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24226"/>
  <mc:AlternateContent xmlns:mc="http://schemas.openxmlformats.org/markup-compatibility/2006">
    <mc:Choice Requires="x15">
      <x15ac:absPath xmlns:x15ac="http://schemas.microsoft.com/office/spreadsheetml/2010/11/ac" url="\\stats\UnscheduledCare1\AE\Publications\ED-Monthly\ed-monthly-master\2023\2023-02\publication_files\"/>
    </mc:Choice>
  </mc:AlternateContent>
  <xr:revisionPtr revIDLastSave="0" documentId="13_ncr:1_{BE20295D-7033-471F-8767-88B0F315686F}" xr6:coauthVersionLast="47" xr6:coauthVersionMax="47" xr10:uidLastSave="{00000000-0000-0000-0000-000000000000}"/>
  <bookViews>
    <workbookView xWindow="-120" yWindow="-120" windowWidth="29040" windowHeight="15840" xr2:uid="{00000000-000D-0000-FFFF-FFFF00000000}"/>
  </bookViews>
  <sheets>
    <sheet name="Notes" sheetId="34" r:id="rId1"/>
    <sheet name="DataQuality" sheetId="36" r:id="rId2"/>
    <sheet name="board_comparison" sheetId="15" r:id="rId3"/>
    <sheet name="Compliance" sheetId="32" r:id="rId4"/>
    <sheet name="Disc_dest" sheetId="7" r:id="rId5"/>
    <sheet name="inputdata" sheetId="5" r:id="rId6"/>
    <sheet name="Lookups" sheetId="28" state="hidden" r:id="rId7"/>
  </sheets>
  <definedNames>
    <definedName name="_xlnm._FilterDatabase" localSheetId="1" hidden="1">DataQuality!$B$4:$F$26</definedName>
    <definedName name="_xlnm._FilterDatabase" localSheetId="5" hidden="1">inputdata!$A$1:$Q$90</definedName>
    <definedName name="All_Attendances">INDIRECT(Lookups!$L$11)</definedName>
    <definedName name="Comparison_Lookup">INDIRECT(Lookups!$L$22)</definedName>
    <definedName name="data_source">inputdata!$A$1:$M$1</definedName>
    <definedName name="date_range">INDIRECT(Lookups!$J$10)</definedName>
    <definedName name="date_range_board">INDIRECT(Lookups!$L$10)</definedName>
    <definedName name="date_range_dest">INDIRECT(Lookups!$K$10)</definedName>
    <definedName name="OLE_LINK1" localSheetId="1">DataQuality!#REF!</definedName>
    <definedName name="OLE_LINK1" localSheetId="0">Notes!#REF!</definedName>
    <definedName name="_xlnm.Print_Area" localSheetId="2">board_comparison!$A$1:$N$126</definedName>
    <definedName name="_xlnm.Print_Area" localSheetId="3">Compliance!$A$1:$N$191</definedName>
    <definedName name="_xlnm.Print_Area" localSheetId="1">DataQuality!$A$1:$L$59</definedName>
    <definedName name="_xlnm.Print_Area" localSheetId="4">Disc_dest!$A$1:$N$87</definedName>
    <definedName name="_xlnm.Print_Area" localSheetId="0">Notes!$A$1:$M$45</definedName>
    <definedName name="_xlnm.Print_Titles" localSheetId="2">board_comparison!$1:$7</definedName>
    <definedName name="_xlnm.Print_Titles" localSheetId="3">Compliance!$1:$5</definedName>
    <definedName name="_xlnm.Print_Titles" localSheetId="4">Disc_dest!$1:$5</definedName>
    <definedName name="rolling_average_att">Compliance!$C$97:$I$97,Compliance!$C$111:$N$111,Compliance!$C$125:$N$125,Compliance!$C$139:$N$139,Compliance!$C$153:$N$153,Compliance!$C$167:$N$167,Compliance!$C$181:$N$181,Compliance!$C$195:$N$195</definedName>
    <definedName name="site_level_range">INDIRECT(Lookups!$J$9)</definedName>
    <definedName name="site_level_range_board">INDIRECT(Lookups!$L$9)</definedName>
    <definedName name="site_level_range_dest">INDIRECT(Lookups!$K$9)</definedName>
    <definedName name="site_lookup">Lookups!$B$4:$B$142</definedName>
    <definedName name="Site_lookup_Episode">Lookups!$B$145:$B$223</definedName>
    <definedName name="sum_dest_adm">INDIRECT(Lookups!$K$18)</definedName>
    <definedName name="sum_dest_other">INDIRECT(Lookups!$K$20)</definedName>
    <definedName name="sum_dest_res">INDIRECT(Lookups!$K$17)</definedName>
    <definedName name="sum_dest_tran">INDIRECT(Lookups!$K$19)</definedName>
    <definedName name="sum_dest_unknown">INDIRECT(Lookups!$K$21)</definedName>
    <definedName name="Sum_over_12">INDIRECT(Lookups!$J$16)</definedName>
    <definedName name="sum_over_4_board">INDIRECT(Lookups!$L$13)</definedName>
    <definedName name="Sum_over_4_epi">INDIRECT(Lookups!$J$14)</definedName>
    <definedName name="sum_over_4_tot">INDIRECT(Lookups!$J$13)</definedName>
    <definedName name="Sum_over_8">INDIRECT(Lookups!$J$15)</definedName>
    <definedName name="sum_range">INDIRECT(Lookups!$J$11)</definedName>
    <definedName name="sum_range_board">INDIRECT(Lookups!$L$11)</definedName>
    <definedName name="sum_range_dest">INDIRECT(Lookups!$K$11)</definedName>
    <definedName name="Sum_total_epi">INDIRECT(Lookups!$J$12)</definedName>
    <definedName name="sum_total_epi_dest">INDIRECT(Lookups!$K$12)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39" i="28" l="1"/>
  <c r="D138" i="28"/>
  <c r="D123" i="28"/>
  <c r="D121" i="28"/>
  <c r="D118" i="28"/>
  <c r="D117" i="28"/>
  <c r="D110" i="28"/>
  <c r="D109" i="28"/>
  <c r="D103" i="28"/>
  <c r="D102" i="28"/>
  <c r="D78" i="28"/>
  <c r="D77" i="28"/>
  <c r="D63" i="28"/>
  <c r="D62" i="28"/>
  <c r="D43" i="28"/>
  <c r="D42" i="28"/>
  <c r="D37" i="28"/>
  <c r="D36" i="28"/>
  <c r="D30" i="28"/>
  <c r="D29" i="28"/>
  <c r="D22" i="28"/>
  <c r="K21" i="28"/>
  <c r="D21" i="28"/>
  <c r="K20" i="28"/>
  <c r="K19" i="28"/>
  <c r="K18" i="28"/>
  <c r="K17" i="28"/>
  <c r="L16" i="28"/>
  <c r="J16" i="28"/>
  <c r="L15" i="28"/>
  <c r="J15" i="28"/>
  <c r="D15" i="28"/>
  <c r="J14" i="28"/>
  <c r="D14" i="28"/>
  <c r="L13" i="28"/>
  <c r="J13" i="28"/>
  <c r="K12" i="28"/>
  <c r="J12" i="28"/>
  <c r="L11" i="28"/>
  <c r="K11" i="28"/>
  <c r="J11" i="28"/>
  <c r="L10" i="28"/>
  <c r="K10" i="28"/>
  <c r="J10" i="28"/>
  <c r="L9" i="28"/>
  <c r="D7" i="28"/>
  <c r="D6" i="28"/>
  <c r="T5" i="28"/>
  <c r="M5" i="28"/>
  <c r="L22" i="28" s="1"/>
  <c r="L5" i="28"/>
  <c r="K5" i="28"/>
  <c r="K6" i="28" s="1"/>
  <c r="K7" i="28" s="1"/>
  <c r="K9" i="28" s="1"/>
  <c r="J5" i="28"/>
  <c r="T6" i="28" s="1"/>
  <c r="D5" i="28"/>
  <c r="D4" i="28"/>
  <c r="B129" i="7"/>
  <c r="B118" i="7"/>
  <c r="B107" i="7"/>
  <c r="B96" i="7"/>
  <c r="B85" i="7"/>
  <c r="B74" i="7"/>
  <c r="B63" i="7"/>
  <c r="B52" i="7"/>
  <c r="B41" i="7"/>
  <c r="B30" i="7"/>
  <c r="B19" i="7"/>
  <c r="B8" i="7"/>
  <c r="E3" i="7"/>
  <c r="B6" i="32"/>
  <c r="D3" i="32"/>
  <c r="B196" i="15"/>
  <c r="B179" i="15"/>
  <c r="B162" i="15"/>
  <c r="B145" i="15"/>
  <c r="B128" i="15"/>
  <c r="B111" i="15"/>
  <c r="B94" i="15"/>
  <c r="B77" i="15"/>
  <c r="B60" i="15"/>
  <c r="B43" i="15"/>
  <c r="B26" i="15"/>
  <c r="B9" i="15"/>
  <c r="H137" i="7"/>
  <c r="L136" i="7"/>
  <c r="D136" i="7"/>
  <c r="H133" i="7"/>
  <c r="L131" i="7"/>
  <c r="D131" i="7"/>
  <c r="M126" i="7"/>
  <c r="E126" i="7"/>
  <c r="I125" i="7"/>
  <c r="M122" i="7"/>
  <c r="E122" i="7"/>
  <c r="I120" i="7"/>
  <c r="J115" i="7"/>
  <c r="N114" i="7"/>
  <c r="F114" i="7"/>
  <c r="J111" i="7"/>
  <c r="N109" i="7"/>
  <c r="F109" i="7"/>
  <c r="G104" i="7"/>
  <c r="K103" i="7"/>
  <c r="C103" i="7"/>
  <c r="G100" i="7"/>
  <c r="K98" i="7"/>
  <c r="C98" i="7"/>
  <c r="L93" i="7"/>
  <c r="D93" i="7"/>
  <c r="H92" i="7"/>
  <c r="L91" i="7"/>
  <c r="D91" i="7"/>
  <c r="L89" i="7"/>
  <c r="D89" i="7"/>
  <c r="H87" i="7"/>
  <c r="I82" i="7"/>
  <c r="M81" i="7"/>
  <c r="E81" i="7"/>
  <c r="I80" i="7"/>
  <c r="M79" i="7"/>
  <c r="E79" i="7"/>
  <c r="I78" i="7"/>
  <c r="M76" i="7"/>
  <c r="E76" i="7"/>
  <c r="N71" i="7"/>
  <c r="F71" i="7"/>
  <c r="J70" i="7"/>
  <c r="N69" i="7"/>
  <c r="F69" i="7"/>
  <c r="J68" i="7"/>
  <c r="N67" i="7"/>
  <c r="F67" i="7"/>
  <c r="J65" i="7"/>
  <c r="K60" i="7"/>
  <c r="C60" i="7"/>
  <c r="G59" i="7"/>
  <c r="K58" i="7"/>
  <c r="C58" i="7"/>
  <c r="G57" i="7"/>
  <c r="K56" i="7"/>
  <c r="C56" i="7"/>
  <c r="G54" i="7"/>
  <c r="H49" i="7"/>
  <c r="L48" i="7"/>
  <c r="D48" i="7"/>
  <c r="H47" i="7"/>
  <c r="L46" i="7"/>
  <c r="D46" i="7"/>
  <c r="H45" i="7"/>
  <c r="L43" i="7"/>
  <c r="D43" i="7"/>
  <c r="M38" i="7"/>
  <c r="E38" i="7"/>
  <c r="I37" i="7"/>
  <c r="M36" i="7"/>
  <c r="E36" i="7"/>
  <c r="I35" i="7"/>
  <c r="M34" i="7"/>
  <c r="E34" i="7"/>
  <c r="I32" i="7"/>
  <c r="J27" i="7"/>
  <c r="N26" i="7"/>
  <c r="F26" i="7"/>
  <c r="J25" i="7"/>
  <c r="G137" i="7"/>
  <c r="K136" i="7"/>
  <c r="C136" i="7"/>
  <c r="G133" i="7"/>
  <c r="K131" i="7"/>
  <c r="C131" i="7"/>
  <c r="L126" i="7"/>
  <c r="D126" i="7"/>
  <c r="H125" i="7"/>
  <c r="L122" i="7"/>
  <c r="D122" i="7"/>
  <c r="H120" i="7"/>
  <c r="I115" i="7"/>
  <c r="M114" i="7"/>
  <c r="E114" i="7"/>
  <c r="I111" i="7"/>
  <c r="M109" i="7"/>
  <c r="E109" i="7"/>
  <c r="N104" i="7"/>
  <c r="F104" i="7"/>
  <c r="J103" i="7"/>
  <c r="N100" i="7"/>
  <c r="F100" i="7"/>
  <c r="J98" i="7"/>
  <c r="K93" i="7"/>
  <c r="C93" i="7"/>
  <c r="G92" i="7"/>
  <c r="K91" i="7"/>
  <c r="C91" i="7"/>
  <c r="K89" i="7"/>
  <c r="C89" i="7"/>
  <c r="G87" i="7"/>
  <c r="H82" i="7"/>
  <c r="L81" i="7"/>
  <c r="D81" i="7"/>
  <c r="H80" i="7"/>
  <c r="L79" i="7"/>
  <c r="D79" i="7"/>
  <c r="H78" i="7"/>
  <c r="L76" i="7"/>
  <c r="D76" i="7"/>
  <c r="M71" i="7"/>
  <c r="E71" i="7"/>
  <c r="I70" i="7"/>
  <c r="M69" i="7"/>
  <c r="E69" i="7"/>
  <c r="I68" i="7"/>
  <c r="M67" i="7"/>
  <c r="E67" i="7"/>
  <c r="I65" i="7"/>
  <c r="J60" i="7"/>
  <c r="N59" i="7"/>
  <c r="F59" i="7"/>
  <c r="J58" i="7"/>
  <c r="N57" i="7"/>
  <c r="F57" i="7"/>
  <c r="J56" i="7"/>
  <c r="N54" i="7"/>
  <c r="F54" i="7"/>
  <c r="G49" i="7"/>
  <c r="K48" i="7"/>
  <c r="C48" i="7"/>
  <c r="G47" i="7"/>
  <c r="K46" i="7"/>
  <c r="C46" i="7"/>
  <c r="G45" i="7"/>
  <c r="K43" i="7"/>
  <c r="C43" i="7"/>
  <c r="L38" i="7"/>
  <c r="D38" i="7"/>
  <c r="H37" i="7"/>
  <c r="L36" i="7"/>
  <c r="D36" i="7"/>
  <c r="H35" i="7"/>
  <c r="L34" i="7"/>
  <c r="D34" i="7"/>
  <c r="H32" i="7"/>
  <c r="I27" i="7"/>
  <c r="N137" i="7"/>
  <c r="F137" i="7"/>
  <c r="J136" i="7"/>
  <c r="N135" i="7"/>
  <c r="F135" i="7"/>
  <c r="J134" i="7"/>
  <c r="N133" i="7"/>
  <c r="F133" i="7"/>
  <c r="J131" i="7"/>
  <c r="K126" i="7"/>
  <c r="C126" i="7"/>
  <c r="G125" i="7"/>
  <c r="K124" i="7"/>
  <c r="C124" i="7"/>
  <c r="G123" i="7"/>
  <c r="K122" i="7"/>
  <c r="C122" i="7"/>
  <c r="G120" i="7"/>
  <c r="H115" i="7"/>
  <c r="L114" i="7"/>
  <c r="D114" i="7"/>
  <c r="H113" i="7"/>
  <c r="L112" i="7"/>
  <c r="D112" i="7"/>
  <c r="H111" i="7"/>
  <c r="L109" i="7"/>
  <c r="D109" i="7"/>
  <c r="M104" i="7"/>
  <c r="E104" i="7"/>
  <c r="I103" i="7"/>
  <c r="M102" i="7"/>
  <c r="E102" i="7"/>
  <c r="I101" i="7"/>
  <c r="M100" i="7"/>
  <c r="E100" i="7"/>
  <c r="I98" i="7"/>
  <c r="J93" i="7"/>
  <c r="N92" i="7"/>
  <c r="F92" i="7"/>
  <c r="J91" i="7"/>
  <c r="N90" i="7"/>
  <c r="F90" i="7"/>
  <c r="J89" i="7"/>
  <c r="N87" i="7"/>
  <c r="F87" i="7"/>
  <c r="G82" i="7"/>
  <c r="M137" i="7"/>
  <c r="E137" i="7"/>
  <c r="I136" i="7"/>
  <c r="M135" i="7"/>
  <c r="E135" i="7"/>
  <c r="I134" i="7"/>
  <c r="M133" i="7"/>
  <c r="E133" i="7"/>
  <c r="I131" i="7"/>
  <c r="J126" i="7"/>
  <c r="N125" i="7"/>
  <c r="F125" i="7"/>
  <c r="J124" i="7"/>
  <c r="N123" i="7"/>
  <c r="F123" i="7"/>
  <c r="J122" i="7"/>
  <c r="N120" i="7"/>
  <c r="F120" i="7"/>
  <c r="G115" i="7"/>
  <c r="K114" i="7"/>
  <c r="C114" i="7"/>
  <c r="G113" i="7"/>
  <c r="K112" i="7"/>
  <c r="C112" i="7"/>
  <c r="G111" i="7"/>
  <c r="K109" i="7"/>
  <c r="C109" i="7"/>
  <c r="L104" i="7"/>
  <c r="D104" i="7"/>
  <c r="H103" i="7"/>
  <c r="L102" i="7"/>
  <c r="D102" i="7"/>
  <c r="H101" i="7"/>
  <c r="L100" i="7"/>
  <c r="D100" i="7"/>
  <c r="H98" i="7"/>
  <c r="I93" i="7"/>
  <c r="M92" i="7"/>
  <c r="E92" i="7"/>
  <c r="I91" i="7"/>
  <c r="M90" i="7"/>
  <c r="E90" i="7"/>
  <c r="I89" i="7"/>
  <c r="M87" i="7"/>
  <c r="E87" i="7"/>
  <c r="N82" i="7"/>
  <c r="F82" i="7"/>
  <c r="J81" i="7"/>
  <c r="L137" i="7"/>
  <c r="D137" i="7"/>
  <c r="H136" i="7"/>
  <c r="L133" i="7"/>
  <c r="D133" i="7"/>
  <c r="H131" i="7"/>
  <c r="I126" i="7"/>
  <c r="M125" i="7"/>
  <c r="E125" i="7"/>
  <c r="I122" i="7"/>
  <c r="M120" i="7"/>
  <c r="E120" i="7"/>
  <c r="N115" i="7"/>
  <c r="F115" i="7"/>
  <c r="J114" i="7"/>
  <c r="N111" i="7"/>
  <c r="F111" i="7"/>
  <c r="J109" i="7"/>
  <c r="K104" i="7"/>
  <c r="C104" i="7"/>
  <c r="G103" i="7"/>
  <c r="K100" i="7"/>
  <c r="C100" i="7"/>
  <c r="G98" i="7"/>
  <c r="H93" i="7"/>
  <c r="L92" i="7"/>
  <c r="D92" i="7"/>
  <c r="H91" i="7"/>
  <c r="D90" i="7"/>
  <c r="H89" i="7"/>
  <c r="L87" i="7"/>
  <c r="D87" i="7"/>
  <c r="M82" i="7"/>
  <c r="E82" i="7"/>
  <c r="I81" i="7"/>
  <c r="M80" i="7"/>
  <c r="E80" i="7"/>
  <c r="I79" i="7"/>
  <c r="M78" i="7"/>
  <c r="E78" i="7"/>
  <c r="I76" i="7"/>
  <c r="J71" i="7"/>
  <c r="N70" i="7"/>
  <c r="F70" i="7"/>
  <c r="J69" i="7"/>
  <c r="N68" i="7"/>
  <c r="F68" i="7"/>
  <c r="J67" i="7"/>
  <c r="N65" i="7"/>
  <c r="F65" i="7"/>
  <c r="G60" i="7"/>
  <c r="K59" i="7"/>
  <c r="C59" i="7"/>
  <c r="G58" i="7"/>
  <c r="K57" i="7"/>
  <c r="C57" i="7"/>
  <c r="G56" i="7"/>
  <c r="K54" i="7"/>
  <c r="C54" i="7"/>
  <c r="L49" i="7"/>
  <c r="D49" i="7"/>
  <c r="H48" i="7"/>
  <c r="L47" i="7"/>
  <c r="D47" i="7"/>
  <c r="H46" i="7"/>
  <c r="L45" i="7"/>
  <c r="D45" i="7"/>
  <c r="H43" i="7"/>
  <c r="I38" i="7"/>
  <c r="M37" i="7"/>
  <c r="E37" i="7"/>
  <c r="I36" i="7"/>
  <c r="M35" i="7"/>
  <c r="E35" i="7"/>
  <c r="I34" i="7"/>
  <c r="M32" i="7"/>
  <c r="E32" i="7"/>
  <c r="N27" i="7"/>
  <c r="F27" i="7"/>
  <c r="J26" i="7"/>
  <c r="N25" i="7"/>
  <c r="K137" i="7"/>
  <c r="C137" i="7"/>
  <c r="G136" i="7"/>
  <c r="K135" i="7"/>
  <c r="C135" i="7"/>
  <c r="G134" i="7"/>
  <c r="K133" i="7"/>
  <c r="C133" i="7"/>
  <c r="G131" i="7"/>
  <c r="H126" i="7"/>
  <c r="L125" i="7"/>
  <c r="D125" i="7"/>
  <c r="H124" i="7"/>
  <c r="L123" i="7"/>
  <c r="D123" i="7"/>
  <c r="H122" i="7"/>
  <c r="L120" i="7"/>
  <c r="D120" i="7"/>
  <c r="M115" i="7"/>
  <c r="E115" i="7"/>
  <c r="I114" i="7"/>
  <c r="M113" i="7"/>
  <c r="E113" i="7"/>
  <c r="I112" i="7"/>
  <c r="M111" i="7"/>
  <c r="E111" i="7"/>
  <c r="I109" i="7"/>
  <c r="J104" i="7"/>
  <c r="N103" i="7"/>
  <c r="F103" i="7"/>
  <c r="J102" i="7"/>
  <c r="N101" i="7"/>
  <c r="F101" i="7"/>
  <c r="J100" i="7"/>
  <c r="N98" i="7"/>
  <c r="F98" i="7"/>
  <c r="G93" i="7"/>
  <c r="K92" i="7"/>
  <c r="C92" i="7"/>
  <c r="G91" i="7"/>
  <c r="K90" i="7"/>
  <c r="C90" i="7"/>
  <c r="G89" i="7"/>
  <c r="K87" i="7"/>
  <c r="C87" i="7"/>
  <c r="L82" i="7"/>
  <c r="D82" i="7"/>
  <c r="H81" i="7"/>
  <c r="L80" i="7"/>
  <c r="D80" i="7"/>
  <c r="H79" i="7"/>
  <c r="L78" i="7"/>
  <c r="D78" i="7"/>
  <c r="H76" i="7"/>
  <c r="N138" i="7"/>
  <c r="F136" i="7"/>
  <c r="J133" i="7"/>
  <c r="J127" i="7"/>
  <c r="N124" i="7"/>
  <c r="F122" i="7"/>
  <c r="K115" i="7"/>
  <c r="C113" i="7"/>
  <c r="G109" i="7"/>
  <c r="M103" i="7"/>
  <c r="E101" i="7"/>
  <c r="I92" i="7"/>
  <c r="M89" i="7"/>
  <c r="F83" i="7"/>
  <c r="C81" i="7"/>
  <c r="K79" i="7"/>
  <c r="G78" i="7"/>
  <c r="C76" i="7"/>
  <c r="D72" i="7"/>
  <c r="C71" i="7"/>
  <c r="C70" i="7"/>
  <c r="M68" i="7"/>
  <c r="L67" i="7"/>
  <c r="L65" i="7"/>
  <c r="M61" i="7"/>
  <c r="M60" i="7"/>
  <c r="L59" i="7"/>
  <c r="L58" i="7"/>
  <c r="J57" i="7"/>
  <c r="I56" i="7"/>
  <c r="I54" i="7"/>
  <c r="I50" i="7"/>
  <c r="I49" i="7"/>
  <c r="G48" i="7"/>
  <c r="F47" i="7"/>
  <c r="F46" i="7"/>
  <c r="E45" i="7"/>
  <c r="E43" i="7"/>
  <c r="D39" i="7"/>
  <c r="C38" i="7"/>
  <c r="C37" i="7"/>
  <c r="N35" i="7"/>
  <c r="N34" i="7"/>
  <c r="L32" i="7"/>
  <c r="L28" i="7"/>
  <c r="L27" i="7"/>
  <c r="L26" i="7"/>
  <c r="M25" i="7"/>
  <c r="D25" i="7"/>
  <c r="H24" i="7"/>
  <c r="L23" i="7"/>
  <c r="D23" i="7"/>
  <c r="H21" i="7"/>
  <c r="K17" i="7"/>
  <c r="C17" i="7"/>
  <c r="E16" i="7"/>
  <c r="G15" i="7"/>
  <c r="I14" i="7"/>
  <c r="K13" i="7"/>
  <c r="C13" i="7"/>
  <c r="E12" i="7"/>
  <c r="G10" i="7"/>
  <c r="H135" i="7"/>
  <c r="M138" i="7"/>
  <c r="E136" i="7"/>
  <c r="I133" i="7"/>
  <c r="C127" i="7"/>
  <c r="G124" i="7"/>
  <c r="K120" i="7"/>
  <c r="D115" i="7"/>
  <c r="H112" i="7"/>
  <c r="L103" i="7"/>
  <c r="D101" i="7"/>
  <c r="J94" i="7"/>
  <c r="N91" i="7"/>
  <c r="F89" i="7"/>
  <c r="K82" i="7"/>
  <c r="N80" i="7"/>
  <c r="J79" i="7"/>
  <c r="F78" i="7"/>
  <c r="C72" i="7"/>
  <c r="M70" i="7"/>
  <c r="L69" i="7"/>
  <c r="L68" i="7"/>
  <c r="K67" i="7"/>
  <c r="K65" i="7"/>
  <c r="L61" i="7"/>
  <c r="L60" i="7"/>
  <c r="J59" i="7"/>
  <c r="I58" i="7"/>
  <c r="I57" i="7"/>
  <c r="H56" i="7"/>
  <c r="H54" i="7"/>
  <c r="G50" i="7"/>
  <c r="F49" i="7"/>
  <c r="F48" i="7"/>
  <c r="E47" i="7"/>
  <c r="E46" i="7"/>
  <c r="C45" i="7"/>
  <c r="C39" i="7"/>
  <c r="N37" i="7"/>
  <c r="N36" i="7"/>
  <c r="L35" i="7"/>
  <c r="K34" i="7"/>
  <c r="K32" i="7"/>
  <c r="K28" i="7"/>
  <c r="K27" i="7"/>
  <c r="K26" i="7"/>
  <c r="L25" i="7"/>
  <c r="C25" i="7"/>
  <c r="G24" i="7"/>
  <c r="K23" i="7"/>
  <c r="C23" i="7"/>
  <c r="G21" i="7"/>
  <c r="J17" i="7"/>
  <c r="L16" i="7"/>
  <c r="D16" i="7"/>
  <c r="F15" i="7"/>
  <c r="H14" i="7"/>
  <c r="J13" i="7"/>
  <c r="L12" i="7"/>
  <c r="D12" i="7"/>
  <c r="F10" i="7"/>
  <c r="L134" i="7"/>
  <c r="F138" i="7"/>
  <c r="J135" i="7"/>
  <c r="N131" i="7"/>
  <c r="N126" i="7"/>
  <c r="F124" i="7"/>
  <c r="J120" i="7"/>
  <c r="C115" i="7"/>
  <c r="G112" i="7"/>
  <c r="M105" i="7"/>
  <c r="E103" i="7"/>
  <c r="I100" i="7"/>
  <c r="I94" i="7"/>
  <c r="M91" i="7"/>
  <c r="E89" i="7"/>
  <c r="J82" i="7"/>
  <c r="K80" i="7"/>
  <c r="G79" i="7"/>
  <c r="C78" i="7"/>
  <c r="M72" i="7"/>
  <c r="L71" i="7"/>
  <c r="L70" i="7"/>
  <c r="K69" i="7"/>
  <c r="K68" i="7"/>
  <c r="I67" i="7"/>
  <c r="H65" i="7"/>
  <c r="J61" i="7"/>
  <c r="I60" i="7"/>
  <c r="I59" i="7"/>
  <c r="H58" i="7"/>
  <c r="H57" i="7"/>
  <c r="F56" i="7"/>
  <c r="E54" i="7"/>
  <c r="F50" i="7"/>
  <c r="E49" i="7"/>
  <c r="E48" i="7"/>
  <c r="C47" i="7"/>
  <c r="N45" i="7"/>
  <c r="N43" i="7"/>
  <c r="N39" i="7"/>
  <c r="N38" i="7"/>
  <c r="L37" i="7"/>
  <c r="K36" i="7"/>
  <c r="K35" i="7"/>
  <c r="J34" i="7"/>
  <c r="J32" i="7"/>
  <c r="I28" i="7"/>
  <c r="H27" i="7"/>
  <c r="I26" i="7"/>
  <c r="K25" i="7"/>
  <c r="N24" i="7"/>
  <c r="F24" i="7"/>
  <c r="J23" i="7"/>
  <c r="N21" i="7"/>
  <c r="F21" i="7"/>
  <c r="I17" i="7"/>
  <c r="K16" i="7"/>
  <c r="C16" i="7"/>
  <c r="E15" i="7"/>
  <c r="G14" i="7"/>
  <c r="I13" i="7"/>
  <c r="K12" i="7"/>
  <c r="C12" i="7"/>
  <c r="E10" i="7"/>
  <c r="I135" i="7"/>
  <c r="M131" i="7"/>
  <c r="G126" i="7"/>
  <c r="K123" i="7"/>
  <c r="C120" i="7"/>
  <c r="H114" i="7"/>
  <c r="L111" i="7"/>
  <c r="D103" i="7"/>
  <c r="H100" i="7"/>
  <c r="N93" i="7"/>
  <c r="F91" i="7"/>
  <c r="J87" i="7"/>
  <c r="C82" i="7"/>
  <c r="J80" i="7"/>
  <c r="F79" i="7"/>
  <c r="N76" i="7"/>
  <c r="L72" i="7"/>
  <c r="K71" i="7"/>
  <c r="K70" i="7"/>
  <c r="I69" i="7"/>
  <c r="H68" i="7"/>
  <c r="H67" i="7"/>
  <c r="G65" i="7"/>
  <c r="I61" i="7"/>
  <c r="H60" i="7"/>
  <c r="H59" i="7"/>
  <c r="F58" i="7"/>
  <c r="E57" i="7"/>
  <c r="E56" i="7"/>
  <c r="D54" i="7"/>
  <c r="E50" i="7"/>
  <c r="C49" i="7"/>
  <c r="N47" i="7"/>
  <c r="N46" i="7"/>
  <c r="M45" i="7"/>
  <c r="M43" i="7"/>
  <c r="L39" i="7"/>
  <c r="K38" i="7"/>
  <c r="K37" i="7"/>
  <c r="J36" i="7"/>
  <c r="J35" i="7"/>
  <c r="H34" i="7"/>
  <c r="G32" i="7"/>
  <c r="H28" i="7"/>
  <c r="G27" i="7"/>
  <c r="H26" i="7"/>
  <c r="I25" i="7"/>
  <c r="M24" i="7"/>
  <c r="E24" i="7"/>
  <c r="I23" i="7"/>
  <c r="M21" i="7"/>
  <c r="E21" i="7"/>
  <c r="H17" i="7"/>
  <c r="J16" i="7"/>
  <c r="L15" i="7"/>
  <c r="D15" i="7"/>
  <c r="F14" i="7"/>
  <c r="H13" i="7"/>
  <c r="J12" i="7"/>
  <c r="L10" i="7"/>
  <c r="D10" i="7"/>
  <c r="J137" i="7"/>
  <c r="N134" i="7"/>
  <c r="F131" i="7"/>
  <c r="F126" i="7"/>
  <c r="J123" i="7"/>
  <c r="G114" i="7"/>
  <c r="K111" i="7"/>
  <c r="E105" i="7"/>
  <c r="I102" i="7"/>
  <c r="M98" i="7"/>
  <c r="M93" i="7"/>
  <c r="E91" i="7"/>
  <c r="I87" i="7"/>
  <c r="N81" i="7"/>
  <c r="G80" i="7"/>
  <c r="C79" i="7"/>
  <c r="K76" i="7"/>
  <c r="K72" i="7"/>
  <c r="I71" i="7"/>
  <c r="H70" i="7"/>
  <c r="H69" i="7"/>
  <c r="G68" i="7"/>
  <c r="G67" i="7"/>
  <c r="E65" i="7"/>
  <c r="H61" i="7"/>
  <c r="F60" i="7"/>
  <c r="E59" i="7"/>
  <c r="E58" i="7"/>
  <c r="D57" i="7"/>
  <c r="D56" i="7"/>
  <c r="N49" i="7"/>
  <c r="N48" i="7"/>
  <c r="M47" i="7"/>
  <c r="M46" i="7"/>
  <c r="K45" i="7"/>
  <c r="J43" i="7"/>
  <c r="K39" i="7"/>
  <c r="J38" i="7"/>
  <c r="J37" i="7"/>
  <c r="H36" i="7"/>
  <c r="G35" i="7"/>
  <c r="G34" i="7"/>
  <c r="F32" i="7"/>
  <c r="G28" i="7"/>
  <c r="E27" i="7"/>
  <c r="G26" i="7"/>
  <c r="H25" i="7"/>
  <c r="L24" i="7"/>
  <c r="D24" i="7"/>
  <c r="H23" i="7"/>
  <c r="L21" i="7"/>
  <c r="D21" i="7"/>
  <c r="G17" i="7"/>
  <c r="I16" i="7"/>
  <c r="K15" i="7"/>
  <c r="C15" i="7"/>
  <c r="E14" i="7"/>
  <c r="G13" i="7"/>
  <c r="I12" i="7"/>
  <c r="K10" i="7"/>
  <c r="C10" i="7"/>
  <c r="I137" i="7"/>
  <c r="M134" i="7"/>
  <c r="E131" i="7"/>
  <c r="K125" i="7"/>
  <c r="C123" i="7"/>
  <c r="H116" i="7"/>
  <c r="L113" i="7"/>
  <c r="D111" i="7"/>
  <c r="D105" i="7"/>
  <c r="H102" i="7"/>
  <c r="L98" i="7"/>
  <c r="F93" i="7"/>
  <c r="J90" i="7"/>
  <c r="K81" i="7"/>
  <c r="F80" i="7"/>
  <c r="N78" i="7"/>
  <c r="J76" i="7"/>
  <c r="H72" i="7"/>
  <c r="H71" i="7"/>
  <c r="G70" i="7"/>
  <c r="G69" i="7"/>
  <c r="E68" i="7"/>
  <c r="D67" i="7"/>
  <c r="D65" i="7"/>
  <c r="E61" i="7"/>
  <c r="E60" i="7"/>
  <c r="D59" i="7"/>
  <c r="D58" i="7"/>
  <c r="N56" i="7"/>
  <c r="M54" i="7"/>
  <c r="N50" i="7"/>
  <c r="M49" i="7"/>
  <c r="M48" i="7"/>
  <c r="K47" i="7"/>
  <c r="J46" i="7"/>
  <c r="J45" i="7"/>
  <c r="I43" i="7"/>
  <c r="J39" i="7"/>
  <c r="H38" i="7"/>
  <c r="G37" i="7"/>
  <c r="G36" i="7"/>
  <c r="F35" i="7"/>
  <c r="F34" i="7"/>
  <c r="D32" i="7"/>
  <c r="D28" i="7"/>
  <c r="D27" i="7"/>
  <c r="E26" i="7"/>
  <c r="G25" i="7"/>
  <c r="K24" i="7"/>
  <c r="C24" i="7"/>
  <c r="G23" i="7"/>
  <c r="K21" i="7"/>
  <c r="C21" i="7"/>
  <c r="F17" i="7"/>
  <c r="H16" i="7"/>
  <c r="J15" i="7"/>
  <c r="L14" i="7"/>
  <c r="D14" i="7"/>
  <c r="F13" i="7"/>
  <c r="H12" i="7"/>
  <c r="J10" i="7"/>
  <c r="M136" i="7"/>
  <c r="G122" i="7"/>
  <c r="E93" i="7"/>
  <c r="F81" i="7"/>
  <c r="G72" i="7"/>
  <c r="D68" i="7"/>
  <c r="D60" i="7"/>
  <c r="L54" i="7"/>
  <c r="I48" i="7"/>
  <c r="F43" i="7"/>
  <c r="F36" i="7"/>
  <c r="C28" i="7"/>
  <c r="J24" i="7"/>
  <c r="K14" i="7"/>
  <c r="I10" i="7"/>
  <c r="F134" i="7"/>
  <c r="I104" i="7"/>
  <c r="J92" i="7"/>
  <c r="C80" i="7"/>
  <c r="E72" i="7"/>
  <c r="C68" i="7"/>
  <c r="M59" i="7"/>
  <c r="J54" i="7"/>
  <c r="J47" i="7"/>
  <c r="C36" i="7"/>
  <c r="M27" i="7"/>
  <c r="I24" i="7"/>
  <c r="L17" i="7"/>
  <c r="J14" i="7"/>
  <c r="H10" i="7"/>
  <c r="E134" i="7"/>
  <c r="G116" i="7"/>
  <c r="H104" i="7"/>
  <c r="I90" i="7"/>
  <c r="N79" i="7"/>
  <c r="G71" i="7"/>
  <c r="C67" i="7"/>
  <c r="N58" i="7"/>
  <c r="I47" i="7"/>
  <c r="G39" i="7"/>
  <c r="D35" i="7"/>
  <c r="C27" i="7"/>
  <c r="N23" i="7"/>
  <c r="E17" i="7"/>
  <c r="C14" i="7"/>
  <c r="K127" i="7"/>
  <c r="K113" i="7"/>
  <c r="L101" i="7"/>
  <c r="J78" i="7"/>
  <c r="E70" i="7"/>
  <c r="C65" i="7"/>
  <c r="M57" i="7"/>
  <c r="J50" i="7"/>
  <c r="G46" i="7"/>
  <c r="G38" i="7"/>
  <c r="C34" i="7"/>
  <c r="D26" i="7"/>
  <c r="F23" i="7"/>
  <c r="G16" i="7"/>
  <c r="E13" i="7"/>
  <c r="J125" i="7"/>
  <c r="D113" i="7"/>
  <c r="E98" i="7"/>
  <c r="N83" i="7"/>
  <c r="G76" i="7"/>
  <c r="D70" i="7"/>
  <c r="L57" i="7"/>
  <c r="K49" i="7"/>
  <c r="I45" i="7"/>
  <c r="F38" i="7"/>
  <c r="N32" i="7"/>
  <c r="C26" i="7"/>
  <c r="E23" i="7"/>
  <c r="F16" i="7"/>
  <c r="D13" i="7"/>
  <c r="C125" i="7"/>
  <c r="D98" i="7"/>
  <c r="M58" i="7"/>
  <c r="F45" i="7"/>
  <c r="D17" i="7"/>
  <c r="N122" i="7"/>
  <c r="D71" i="7"/>
  <c r="M56" i="7"/>
  <c r="G43" i="7"/>
  <c r="M26" i="7"/>
  <c r="I15" i="7"/>
  <c r="N89" i="7"/>
  <c r="D69" i="7"/>
  <c r="L56" i="7"/>
  <c r="F25" i="7"/>
  <c r="H15" i="7"/>
  <c r="C111" i="7"/>
  <c r="G83" i="7"/>
  <c r="M65" i="7"/>
  <c r="M50" i="7"/>
  <c r="F37" i="7"/>
  <c r="M23" i="7"/>
  <c r="G12" i="7"/>
  <c r="H109" i="7"/>
  <c r="G81" i="7"/>
  <c r="J49" i="7"/>
  <c r="D37" i="7"/>
  <c r="J21" i="7"/>
  <c r="F12" i="7"/>
  <c r="L13" i="7"/>
  <c r="L115" i="7"/>
  <c r="C69" i="7"/>
  <c r="F39" i="7"/>
  <c r="C35" i="7"/>
  <c r="M101" i="7"/>
  <c r="D61" i="7"/>
  <c r="C32" i="7"/>
  <c r="N60" i="7"/>
  <c r="E25" i="7"/>
  <c r="J48" i="7"/>
  <c r="I46" i="7"/>
  <c r="K78" i="7"/>
  <c r="F76" i="7"/>
  <c r="I21" i="7"/>
  <c r="G211" i="15"/>
  <c r="K210" i="15"/>
  <c r="C210" i="15"/>
  <c r="G209" i="15"/>
  <c r="K208" i="15"/>
  <c r="C208" i="15"/>
  <c r="G207" i="15"/>
  <c r="K206" i="15"/>
  <c r="C206" i="15"/>
  <c r="G205" i="15"/>
  <c r="K204" i="15"/>
  <c r="C204" i="15"/>
  <c r="G203" i="15"/>
  <c r="K202" i="15"/>
  <c r="C202" i="15"/>
  <c r="G201" i="15"/>
  <c r="K200" i="15"/>
  <c r="C200" i="15"/>
  <c r="G199" i="15"/>
  <c r="K198" i="15"/>
  <c r="C198" i="15"/>
  <c r="G197" i="15"/>
  <c r="L194" i="15"/>
  <c r="D194" i="15"/>
  <c r="H193" i="15"/>
  <c r="L192" i="15"/>
  <c r="D192" i="15"/>
  <c r="H191" i="15"/>
  <c r="L190" i="15"/>
  <c r="D190" i="15"/>
  <c r="H189" i="15"/>
  <c r="L188" i="15"/>
  <c r="D188" i="15"/>
  <c r="H187" i="15"/>
  <c r="L186" i="15"/>
  <c r="D186" i="15"/>
  <c r="H185" i="15"/>
  <c r="L184" i="15"/>
  <c r="D184" i="15"/>
  <c r="H183" i="15"/>
  <c r="L182" i="15"/>
  <c r="D182" i="15"/>
  <c r="H181" i="15"/>
  <c r="L180" i="15"/>
  <c r="D180" i="15"/>
  <c r="I177" i="15"/>
  <c r="M176" i="15"/>
  <c r="E176" i="15"/>
  <c r="I175" i="15"/>
  <c r="M174" i="15"/>
  <c r="E174" i="15"/>
  <c r="I173" i="15"/>
  <c r="M172" i="15"/>
  <c r="E172" i="15"/>
  <c r="I171" i="15"/>
  <c r="M170" i="15"/>
  <c r="E170" i="15"/>
  <c r="I169" i="15"/>
  <c r="M168" i="15"/>
  <c r="E168" i="15"/>
  <c r="I167" i="15"/>
  <c r="M166" i="15"/>
  <c r="E166" i="15"/>
  <c r="I165" i="15"/>
  <c r="M164" i="15"/>
  <c r="E164" i="15"/>
  <c r="I163" i="15"/>
  <c r="N160" i="15"/>
  <c r="F160" i="15"/>
  <c r="J159" i="15"/>
  <c r="N158" i="15"/>
  <c r="F158" i="15"/>
  <c r="J157" i="15"/>
  <c r="N156" i="15"/>
  <c r="F156" i="15"/>
  <c r="J155" i="15"/>
  <c r="N154" i="15"/>
  <c r="F154" i="15"/>
  <c r="J153" i="15"/>
  <c r="N152" i="15"/>
  <c r="F152" i="15"/>
  <c r="J151" i="15"/>
  <c r="N150" i="15"/>
  <c r="F150" i="15"/>
  <c r="J149" i="15"/>
  <c r="N148" i="15"/>
  <c r="F148" i="15"/>
  <c r="J147" i="15"/>
  <c r="N146" i="15"/>
  <c r="F146" i="15"/>
  <c r="K143" i="15"/>
  <c r="C143" i="15"/>
  <c r="G142" i="15"/>
  <c r="K141" i="15"/>
  <c r="C141" i="15"/>
  <c r="G140" i="15"/>
  <c r="K139" i="15"/>
  <c r="C139" i="15"/>
  <c r="G138" i="15"/>
  <c r="K137" i="15"/>
  <c r="C137" i="15"/>
  <c r="G136" i="15"/>
  <c r="K135" i="15"/>
  <c r="C135" i="15"/>
  <c r="G134" i="15"/>
  <c r="K133" i="15"/>
  <c r="C133" i="15"/>
  <c r="G132" i="15"/>
  <c r="K131" i="15"/>
  <c r="C131" i="15"/>
  <c r="G130" i="15"/>
  <c r="K129" i="15"/>
  <c r="C129" i="15"/>
  <c r="H126" i="15"/>
  <c r="L125" i="15"/>
  <c r="D125" i="15"/>
  <c r="H124" i="15"/>
  <c r="L123" i="15"/>
  <c r="D123" i="15"/>
  <c r="H122" i="15"/>
  <c r="L121" i="15"/>
  <c r="D121" i="15"/>
  <c r="H120" i="15"/>
  <c r="L119" i="15"/>
  <c r="D119" i="15"/>
  <c r="H118" i="15"/>
  <c r="L117" i="15"/>
  <c r="D117" i="15"/>
  <c r="H116" i="15"/>
  <c r="L115" i="15"/>
  <c r="D115" i="15"/>
  <c r="H114" i="15"/>
  <c r="L113" i="15"/>
  <c r="D113" i="15"/>
  <c r="H112" i="15"/>
  <c r="M109" i="15"/>
  <c r="E109" i="15"/>
  <c r="I108" i="15"/>
  <c r="M107" i="15"/>
  <c r="E107" i="15"/>
  <c r="I106" i="15"/>
  <c r="M105" i="15"/>
  <c r="E105" i="15"/>
  <c r="I104" i="15"/>
  <c r="M103" i="15"/>
  <c r="E103" i="15"/>
  <c r="I102" i="15"/>
  <c r="M101" i="15"/>
  <c r="E101" i="15"/>
  <c r="I100" i="15"/>
  <c r="M99" i="15"/>
  <c r="E99" i="15"/>
  <c r="I98" i="15"/>
  <c r="M97" i="15"/>
  <c r="E97" i="15"/>
  <c r="I96" i="15"/>
  <c r="M95" i="15"/>
  <c r="E95" i="15"/>
  <c r="J92" i="15"/>
  <c r="N91" i="15"/>
  <c r="F91" i="15"/>
  <c r="J90" i="15"/>
  <c r="N89" i="15"/>
  <c r="F89" i="15"/>
  <c r="J88" i="15"/>
  <c r="N87" i="15"/>
  <c r="F87" i="15"/>
  <c r="J86" i="15"/>
  <c r="N85" i="15"/>
  <c r="F85" i="15"/>
  <c r="J84" i="15"/>
  <c r="N83" i="15"/>
  <c r="F83" i="15"/>
  <c r="J82" i="15"/>
  <c r="N81" i="15"/>
  <c r="F81" i="15"/>
  <c r="J80" i="15"/>
  <c r="N79" i="15"/>
  <c r="F79" i="15"/>
  <c r="J78" i="15"/>
  <c r="G75" i="15"/>
  <c r="K74" i="15"/>
  <c r="C74" i="15"/>
  <c r="G73" i="15"/>
  <c r="K72" i="15"/>
  <c r="N211" i="15"/>
  <c r="F211" i="15"/>
  <c r="J210" i="15"/>
  <c r="N209" i="15"/>
  <c r="F209" i="15"/>
  <c r="J208" i="15"/>
  <c r="N207" i="15"/>
  <c r="F207" i="15"/>
  <c r="J206" i="15"/>
  <c r="N205" i="15"/>
  <c r="F205" i="15"/>
  <c r="J204" i="15"/>
  <c r="N203" i="15"/>
  <c r="F203" i="15"/>
  <c r="J202" i="15"/>
  <c r="N201" i="15"/>
  <c r="F201" i="15"/>
  <c r="J200" i="15"/>
  <c r="N199" i="15"/>
  <c r="F199" i="15"/>
  <c r="J198" i="15"/>
  <c r="N197" i="15"/>
  <c r="F197" i="15"/>
  <c r="K194" i="15"/>
  <c r="C194" i="15"/>
  <c r="G193" i="15"/>
  <c r="K192" i="15"/>
  <c r="C192" i="15"/>
  <c r="G191" i="15"/>
  <c r="K190" i="15"/>
  <c r="C190" i="15"/>
  <c r="G189" i="15"/>
  <c r="K188" i="15"/>
  <c r="C188" i="15"/>
  <c r="G187" i="15"/>
  <c r="K186" i="15"/>
  <c r="C186" i="15"/>
  <c r="G185" i="15"/>
  <c r="K184" i="15"/>
  <c r="C184" i="15"/>
  <c r="G183" i="15"/>
  <c r="K182" i="15"/>
  <c r="C182" i="15"/>
  <c r="G181" i="15"/>
  <c r="K180" i="15"/>
  <c r="C180" i="15"/>
  <c r="H177" i="15"/>
  <c r="L176" i="15"/>
  <c r="D176" i="15"/>
  <c r="H175" i="15"/>
  <c r="L174" i="15"/>
  <c r="D174" i="15"/>
  <c r="H173" i="15"/>
  <c r="L172" i="15"/>
  <c r="D172" i="15"/>
  <c r="H171" i="15"/>
  <c r="L170" i="15"/>
  <c r="D170" i="15"/>
  <c r="H169" i="15"/>
  <c r="L168" i="15"/>
  <c r="D168" i="15"/>
  <c r="H167" i="15"/>
  <c r="L166" i="15"/>
  <c r="D166" i="15"/>
  <c r="H165" i="15"/>
  <c r="L164" i="15"/>
  <c r="D164" i="15"/>
  <c r="H163" i="15"/>
  <c r="M160" i="15"/>
  <c r="E160" i="15"/>
  <c r="I159" i="15"/>
  <c r="M158" i="15"/>
  <c r="E158" i="15"/>
  <c r="I157" i="15"/>
  <c r="M156" i="15"/>
  <c r="E156" i="15"/>
  <c r="I155" i="15"/>
  <c r="M154" i="15"/>
  <c r="E154" i="15"/>
  <c r="I153" i="15"/>
  <c r="M152" i="15"/>
  <c r="E152" i="15"/>
  <c r="I151" i="15"/>
  <c r="M150" i="15"/>
  <c r="E150" i="15"/>
  <c r="I149" i="15"/>
  <c r="M148" i="15"/>
  <c r="E148" i="15"/>
  <c r="I147" i="15"/>
  <c r="M146" i="15"/>
  <c r="E146" i="15"/>
  <c r="J143" i="15"/>
  <c r="N142" i="15"/>
  <c r="F142" i="15"/>
  <c r="J141" i="15"/>
  <c r="N140" i="15"/>
  <c r="F140" i="15"/>
  <c r="J139" i="15"/>
  <c r="N138" i="15"/>
  <c r="F138" i="15"/>
  <c r="J137" i="15"/>
  <c r="N136" i="15"/>
  <c r="F136" i="15"/>
  <c r="J135" i="15"/>
  <c r="N134" i="15"/>
  <c r="F134" i="15"/>
  <c r="J133" i="15"/>
  <c r="N132" i="15"/>
  <c r="F132" i="15"/>
  <c r="J131" i="15"/>
  <c r="N130" i="15"/>
  <c r="F130" i="15"/>
  <c r="J129" i="15"/>
  <c r="G126" i="15"/>
  <c r="K125" i="15"/>
  <c r="C125" i="15"/>
  <c r="G124" i="15"/>
  <c r="K123" i="15"/>
  <c r="C123" i="15"/>
  <c r="G122" i="15"/>
  <c r="K121" i="15"/>
  <c r="C121" i="15"/>
  <c r="G120" i="15"/>
  <c r="K119" i="15"/>
  <c r="C119" i="15"/>
  <c r="G118" i="15"/>
  <c r="K117" i="15"/>
  <c r="C117" i="15"/>
  <c r="G116" i="15"/>
  <c r="K115" i="15"/>
  <c r="C115" i="15"/>
  <c r="G114" i="15"/>
  <c r="K113" i="15"/>
  <c r="C113" i="15"/>
  <c r="G112" i="15"/>
  <c r="L109" i="15"/>
  <c r="D109" i="15"/>
  <c r="H108" i="15"/>
  <c r="L107" i="15"/>
  <c r="D107" i="15"/>
  <c r="H106" i="15"/>
  <c r="L105" i="15"/>
  <c r="D105" i="15"/>
  <c r="H104" i="15"/>
  <c r="L103" i="15"/>
  <c r="D103" i="15"/>
  <c r="H102" i="15"/>
  <c r="L101" i="15"/>
  <c r="D101" i="15"/>
  <c r="H100" i="15"/>
  <c r="L99" i="15"/>
  <c r="D99" i="15"/>
  <c r="H98" i="15"/>
  <c r="L97" i="15"/>
  <c r="D97" i="15"/>
  <c r="H96" i="15"/>
  <c r="L95" i="15"/>
  <c r="D95" i="15"/>
  <c r="I92" i="15"/>
  <c r="M91" i="15"/>
  <c r="E91" i="15"/>
  <c r="I90" i="15"/>
  <c r="M89" i="15"/>
  <c r="E89" i="15"/>
  <c r="I88" i="15"/>
  <c r="M87" i="15"/>
  <c r="E87" i="15"/>
  <c r="I86" i="15"/>
  <c r="M85" i="15"/>
  <c r="E85" i="15"/>
  <c r="I84" i="15"/>
  <c r="M83" i="15"/>
  <c r="E83" i="15"/>
  <c r="I82" i="15"/>
  <c r="M81" i="15"/>
  <c r="E81" i="15"/>
  <c r="I80" i="15"/>
  <c r="M79" i="15"/>
  <c r="E79" i="15"/>
  <c r="I78" i="15"/>
  <c r="N75" i="15"/>
  <c r="F75" i="15"/>
  <c r="J74" i="15"/>
  <c r="N73" i="15"/>
  <c r="F73" i="15"/>
  <c r="J72" i="15"/>
  <c r="M211" i="15"/>
  <c r="E211" i="15"/>
  <c r="I210" i="15"/>
  <c r="M209" i="15"/>
  <c r="E209" i="15"/>
  <c r="I208" i="15"/>
  <c r="M207" i="15"/>
  <c r="E207" i="15"/>
  <c r="I206" i="15"/>
  <c r="M205" i="15"/>
  <c r="E205" i="15"/>
  <c r="I204" i="15"/>
  <c r="M203" i="15"/>
  <c r="E203" i="15"/>
  <c r="I202" i="15"/>
  <c r="M201" i="15"/>
  <c r="E201" i="15"/>
  <c r="I200" i="15"/>
  <c r="M199" i="15"/>
  <c r="E199" i="15"/>
  <c r="I198" i="15"/>
  <c r="M197" i="15"/>
  <c r="E197" i="15"/>
  <c r="J194" i="15"/>
  <c r="N193" i="15"/>
  <c r="F193" i="15"/>
  <c r="J192" i="15"/>
  <c r="N191" i="15"/>
  <c r="F191" i="15"/>
  <c r="J190" i="15"/>
  <c r="N189" i="15"/>
  <c r="F189" i="15"/>
  <c r="J188" i="15"/>
  <c r="N187" i="15"/>
  <c r="F187" i="15"/>
  <c r="J186" i="15"/>
  <c r="N185" i="15"/>
  <c r="F185" i="15"/>
  <c r="J184" i="15"/>
  <c r="N183" i="15"/>
  <c r="F183" i="15"/>
  <c r="J182" i="15"/>
  <c r="N181" i="15"/>
  <c r="F181" i="15"/>
  <c r="J180" i="15"/>
  <c r="G177" i="15"/>
  <c r="K176" i="15"/>
  <c r="C176" i="15"/>
  <c r="G175" i="15"/>
  <c r="K174" i="15"/>
  <c r="C174" i="15"/>
  <c r="G173" i="15"/>
  <c r="K172" i="15"/>
  <c r="C172" i="15"/>
  <c r="G171" i="15"/>
  <c r="K170" i="15"/>
  <c r="C170" i="15"/>
  <c r="G169" i="15"/>
  <c r="K168" i="15"/>
  <c r="C168" i="15"/>
  <c r="G167" i="15"/>
  <c r="K166" i="15"/>
  <c r="C166" i="15"/>
  <c r="G165" i="15"/>
  <c r="K164" i="15"/>
  <c r="C164" i="15"/>
  <c r="G163" i="15"/>
  <c r="L160" i="15"/>
  <c r="D160" i="15"/>
  <c r="H159" i="15"/>
  <c r="L158" i="15"/>
  <c r="D158" i="15"/>
  <c r="H157" i="15"/>
  <c r="L156" i="15"/>
  <c r="D156" i="15"/>
  <c r="H155" i="15"/>
  <c r="L154" i="15"/>
  <c r="D154" i="15"/>
  <c r="H153" i="15"/>
  <c r="L152" i="15"/>
  <c r="D152" i="15"/>
  <c r="H151" i="15"/>
  <c r="L150" i="15"/>
  <c r="D150" i="15"/>
  <c r="H149" i="15"/>
  <c r="L148" i="15"/>
  <c r="D148" i="15"/>
  <c r="H147" i="15"/>
  <c r="L146" i="15"/>
  <c r="D146" i="15"/>
  <c r="I143" i="15"/>
  <c r="M142" i="15"/>
  <c r="E142" i="15"/>
  <c r="I141" i="15"/>
  <c r="M140" i="15"/>
  <c r="E140" i="15"/>
  <c r="I139" i="15"/>
  <c r="M138" i="15"/>
  <c r="E138" i="15"/>
  <c r="I137" i="15"/>
  <c r="M136" i="15"/>
  <c r="E136" i="15"/>
  <c r="I135" i="15"/>
  <c r="M134" i="15"/>
  <c r="E134" i="15"/>
  <c r="I133" i="15"/>
  <c r="M132" i="15"/>
  <c r="E132" i="15"/>
  <c r="I131" i="15"/>
  <c r="M130" i="15"/>
  <c r="E130" i="15"/>
  <c r="I129" i="15"/>
  <c r="N126" i="15"/>
  <c r="F126" i="15"/>
  <c r="J125" i="15"/>
  <c r="N124" i="15"/>
  <c r="F124" i="15"/>
  <c r="J123" i="15"/>
  <c r="N122" i="15"/>
  <c r="F122" i="15"/>
  <c r="J121" i="15"/>
  <c r="N120" i="15"/>
  <c r="F120" i="15"/>
  <c r="J119" i="15"/>
  <c r="N118" i="15"/>
  <c r="F118" i="15"/>
  <c r="J117" i="15"/>
  <c r="N116" i="15"/>
  <c r="F116" i="15"/>
  <c r="J115" i="15"/>
  <c r="N114" i="15"/>
  <c r="F114" i="15"/>
  <c r="J113" i="15"/>
  <c r="N112" i="15"/>
  <c r="F112" i="15"/>
  <c r="K109" i="15"/>
  <c r="C109" i="15"/>
  <c r="G108" i="15"/>
  <c r="K107" i="15"/>
  <c r="C107" i="15"/>
  <c r="G106" i="15"/>
  <c r="K105" i="15"/>
  <c r="C105" i="15"/>
  <c r="G104" i="15"/>
  <c r="K103" i="15"/>
  <c r="C103" i="15"/>
  <c r="G102" i="15"/>
  <c r="K101" i="15"/>
  <c r="C101" i="15"/>
  <c r="G100" i="15"/>
  <c r="K99" i="15"/>
  <c r="C99" i="15"/>
  <c r="G98" i="15"/>
  <c r="K97" i="15"/>
  <c r="C97" i="15"/>
  <c r="G96" i="15"/>
  <c r="K95" i="15"/>
  <c r="C95" i="15"/>
  <c r="H92" i="15"/>
  <c r="L91" i="15"/>
  <c r="D91" i="15"/>
  <c r="H90" i="15"/>
  <c r="L89" i="15"/>
  <c r="D89" i="15"/>
  <c r="H88" i="15"/>
  <c r="L87" i="15"/>
  <c r="D87" i="15"/>
  <c r="H86" i="15"/>
  <c r="L85" i="15"/>
  <c r="D85" i="15"/>
  <c r="H84" i="15"/>
  <c r="L83" i="15"/>
  <c r="D83" i="15"/>
  <c r="H82" i="15"/>
  <c r="L81" i="15"/>
  <c r="D81" i="15"/>
  <c r="H80" i="15"/>
  <c r="L79" i="15"/>
  <c r="D79" i="15"/>
  <c r="H78" i="15"/>
  <c r="M75" i="15"/>
  <c r="E75" i="15"/>
  <c r="I74" i="15"/>
  <c r="M73" i="15"/>
  <c r="E73" i="15"/>
  <c r="I72" i="15"/>
  <c r="M71" i="15"/>
  <c r="E71" i="15"/>
  <c r="I70" i="15"/>
  <c r="M69" i="15"/>
  <c r="E69" i="15"/>
  <c r="I68" i="15"/>
  <c r="M67" i="15"/>
  <c r="L211" i="15"/>
  <c r="D211" i="15"/>
  <c r="H210" i="15"/>
  <c r="L209" i="15"/>
  <c r="D209" i="15"/>
  <c r="H208" i="15"/>
  <c r="L207" i="15"/>
  <c r="D207" i="15"/>
  <c r="H206" i="15"/>
  <c r="L205" i="15"/>
  <c r="D205" i="15"/>
  <c r="H204" i="15"/>
  <c r="L203" i="15"/>
  <c r="D203" i="15"/>
  <c r="H202" i="15"/>
  <c r="L201" i="15"/>
  <c r="D201" i="15"/>
  <c r="H200" i="15"/>
  <c r="L199" i="15"/>
  <c r="D199" i="15"/>
  <c r="H198" i="15"/>
  <c r="L197" i="15"/>
  <c r="D197" i="15"/>
  <c r="I194" i="15"/>
  <c r="M193" i="15"/>
  <c r="E193" i="15"/>
  <c r="I192" i="15"/>
  <c r="M191" i="15"/>
  <c r="E191" i="15"/>
  <c r="I190" i="15"/>
  <c r="M189" i="15"/>
  <c r="E189" i="15"/>
  <c r="I188" i="15"/>
  <c r="M187" i="15"/>
  <c r="E187" i="15"/>
  <c r="I186" i="15"/>
  <c r="M185" i="15"/>
  <c r="E185" i="15"/>
  <c r="I184" i="15"/>
  <c r="M183" i="15"/>
  <c r="E183" i="15"/>
  <c r="I182" i="15"/>
  <c r="M181" i="15"/>
  <c r="E181" i="15"/>
  <c r="I180" i="15"/>
  <c r="N177" i="15"/>
  <c r="F177" i="15"/>
  <c r="J176" i="15"/>
  <c r="N175" i="15"/>
  <c r="F175" i="15"/>
  <c r="J174" i="15"/>
  <c r="N173" i="15"/>
  <c r="F173" i="15"/>
  <c r="J172" i="15"/>
  <c r="N171" i="15"/>
  <c r="F171" i="15"/>
  <c r="J170" i="15"/>
  <c r="N169" i="15"/>
  <c r="F169" i="15"/>
  <c r="J168" i="15"/>
  <c r="N167" i="15"/>
  <c r="F167" i="15"/>
  <c r="J166" i="15"/>
  <c r="N165" i="15"/>
  <c r="F165" i="15"/>
  <c r="J164" i="15"/>
  <c r="N163" i="15"/>
  <c r="F163" i="15"/>
  <c r="K160" i="15"/>
  <c r="C160" i="15"/>
  <c r="G159" i="15"/>
  <c r="K158" i="15"/>
  <c r="C158" i="15"/>
  <c r="G157" i="15"/>
  <c r="K156" i="15"/>
  <c r="C156" i="15"/>
  <c r="G155" i="15"/>
  <c r="K154" i="15"/>
  <c r="C154" i="15"/>
  <c r="G153" i="15"/>
  <c r="K152" i="15"/>
  <c r="C152" i="15"/>
  <c r="G151" i="15"/>
  <c r="K150" i="15"/>
  <c r="C150" i="15"/>
  <c r="G149" i="15"/>
  <c r="K148" i="15"/>
  <c r="C148" i="15"/>
  <c r="G147" i="15"/>
  <c r="K146" i="15"/>
  <c r="C146" i="15"/>
  <c r="H143" i="15"/>
  <c r="L142" i="15"/>
  <c r="D142" i="15"/>
  <c r="H141" i="15"/>
  <c r="L140" i="15"/>
  <c r="D140" i="15"/>
  <c r="H139" i="15"/>
  <c r="L138" i="15"/>
  <c r="D138" i="15"/>
  <c r="H137" i="15"/>
  <c r="L136" i="15"/>
  <c r="D136" i="15"/>
  <c r="H135" i="15"/>
  <c r="L134" i="15"/>
  <c r="D134" i="15"/>
  <c r="H133" i="15"/>
  <c r="L132" i="15"/>
  <c r="D132" i="15"/>
  <c r="H131" i="15"/>
  <c r="L130" i="15"/>
  <c r="D130" i="15"/>
  <c r="H129" i="15"/>
  <c r="M126" i="15"/>
  <c r="E126" i="15"/>
  <c r="I125" i="15"/>
  <c r="M124" i="15"/>
  <c r="E124" i="15"/>
  <c r="I123" i="15"/>
  <c r="M122" i="15"/>
  <c r="E122" i="15"/>
  <c r="I121" i="15"/>
  <c r="M120" i="15"/>
  <c r="E120" i="15"/>
  <c r="I119" i="15"/>
  <c r="M118" i="15"/>
  <c r="E118" i="15"/>
  <c r="I117" i="15"/>
  <c r="M116" i="15"/>
  <c r="E116" i="15"/>
  <c r="I115" i="15"/>
  <c r="M114" i="15"/>
  <c r="E114" i="15"/>
  <c r="I113" i="15"/>
  <c r="M112" i="15"/>
  <c r="E112" i="15"/>
  <c r="J109" i="15"/>
  <c r="N108" i="15"/>
  <c r="F108" i="15"/>
  <c r="J107" i="15"/>
  <c r="N106" i="15"/>
  <c r="F106" i="15"/>
  <c r="J105" i="15"/>
  <c r="N104" i="15"/>
  <c r="F104" i="15"/>
  <c r="J103" i="15"/>
  <c r="N102" i="15"/>
  <c r="F102" i="15"/>
  <c r="J101" i="15"/>
  <c r="N100" i="15"/>
  <c r="F100" i="15"/>
  <c r="J99" i="15"/>
  <c r="N98" i="15"/>
  <c r="F98" i="15"/>
  <c r="J97" i="15"/>
  <c r="N96" i="15"/>
  <c r="F96" i="15"/>
  <c r="J95" i="15"/>
  <c r="G92" i="15"/>
  <c r="K91" i="15"/>
  <c r="C91" i="15"/>
  <c r="G90" i="15"/>
  <c r="K89" i="15"/>
  <c r="C89" i="15"/>
  <c r="G88" i="15"/>
  <c r="K87" i="15"/>
  <c r="C87" i="15"/>
  <c r="G86" i="15"/>
  <c r="K85" i="15"/>
  <c r="C85" i="15"/>
  <c r="G84" i="15"/>
  <c r="K83" i="15"/>
  <c r="C83" i="15"/>
  <c r="G82" i="15"/>
  <c r="K81" i="15"/>
  <c r="C81" i="15"/>
  <c r="G80" i="15"/>
  <c r="K79" i="15"/>
  <c r="C79" i="15"/>
  <c r="G78" i="15"/>
  <c r="L75" i="15"/>
  <c r="D75" i="15"/>
  <c r="H74" i="15"/>
  <c r="L73" i="15"/>
  <c r="K211" i="15"/>
  <c r="C211" i="15"/>
  <c r="G210" i="15"/>
  <c r="K209" i="15"/>
  <c r="C209" i="15"/>
  <c r="G208" i="15"/>
  <c r="K207" i="15"/>
  <c r="C207" i="15"/>
  <c r="G206" i="15"/>
  <c r="K205" i="15"/>
  <c r="C205" i="15"/>
  <c r="G204" i="15"/>
  <c r="K203" i="15"/>
  <c r="C203" i="15"/>
  <c r="G202" i="15"/>
  <c r="K201" i="15"/>
  <c r="C201" i="15"/>
  <c r="G200" i="15"/>
  <c r="K199" i="15"/>
  <c r="C199" i="15"/>
  <c r="G198" i="15"/>
  <c r="K197" i="15"/>
  <c r="C197" i="15"/>
  <c r="H194" i="15"/>
  <c r="L193" i="15"/>
  <c r="D193" i="15"/>
  <c r="H192" i="15"/>
  <c r="L191" i="15"/>
  <c r="D191" i="15"/>
  <c r="H190" i="15"/>
  <c r="L189" i="15"/>
  <c r="D189" i="15"/>
  <c r="H188" i="15"/>
  <c r="L187" i="15"/>
  <c r="D187" i="15"/>
  <c r="H186" i="15"/>
  <c r="L185" i="15"/>
  <c r="D185" i="15"/>
  <c r="H184" i="15"/>
  <c r="L183" i="15"/>
  <c r="D183" i="15"/>
  <c r="H182" i="15"/>
  <c r="L181" i="15"/>
  <c r="D181" i="15"/>
  <c r="H180" i="15"/>
  <c r="M177" i="15"/>
  <c r="E177" i="15"/>
  <c r="I176" i="15"/>
  <c r="M175" i="15"/>
  <c r="E175" i="15"/>
  <c r="I174" i="15"/>
  <c r="M173" i="15"/>
  <c r="E173" i="15"/>
  <c r="I172" i="15"/>
  <c r="M171" i="15"/>
  <c r="E171" i="15"/>
  <c r="I170" i="15"/>
  <c r="M169" i="15"/>
  <c r="E169" i="15"/>
  <c r="I168" i="15"/>
  <c r="M167" i="15"/>
  <c r="E167" i="15"/>
  <c r="I166" i="15"/>
  <c r="M165" i="15"/>
  <c r="E165" i="15"/>
  <c r="I164" i="15"/>
  <c r="M163" i="15"/>
  <c r="E163" i="15"/>
  <c r="J160" i="15"/>
  <c r="N159" i="15"/>
  <c r="F159" i="15"/>
  <c r="J158" i="15"/>
  <c r="N157" i="15"/>
  <c r="F157" i="15"/>
  <c r="J156" i="15"/>
  <c r="N155" i="15"/>
  <c r="F155" i="15"/>
  <c r="J154" i="15"/>
  <c r="N153" i="15"/>
  <c r="F153" i="15"/>
  <c r="J152" i="15"/>
  <c r="N151" i="15"/>
  <c r="F151" i="15"/>
  <c r="J150" i="15"/>
  <c r="N149" i="15"/>
  <c r="F149" i="15"/>
  <c r="J148" i="15"/>
  <c r="N147" i="15"/>
  <c r="F147" i="15"/>
  <c r="J146" i="15"/>
  <c r="G143" i="15"/>
  <c r="K142" i="15"/>
  <c r="C142" i="15"/>
  <c r="G141" i="15"/>
  <c r="K140" i="15"/>
  <c r="C140" i="15"/>
  <c r="G139" i="15"/>
  <c r="K138" i="15"/>
  <c r="C138" i="15"/>
  <c r="G137" i="15"/>
  <c r="K136" i="15"/>
  <c r="C136" i="15"/>
  <c r="G135" i="15"/>
  <c r="K134" i="15"/>
  <c r="C134" i="15"/>
  <c r="G133" i="15"/>
  <c r="K132" i="15"/>
  <c r="C132" i="15"/>
  <c r="G131" i="15"/>
  <c r="K130" i="15"/>
  <c r="C130" i="15"/>
  <c r="G129" i="15"/>
  <c r="L126" i="15"/>
  <c r="D126" i="15"/>
  <c r="H125" i="15"/>
  <c r="L124" i="15"/>
  <c r="D124" i="15"/>
  <c r="H123" i="15"/>
  <c r="L122" i="15"/>
  <c r="D122" i="15"/>
  <c r="H121" i="15"/>
  <c r="L120" i="15"/>
  <c r="D120" i="15"/>
  <c r="H119" i="15"/>
  <c r="L118" i="15"/>
  <c r="D118" i="15"/>
  <c r="H117" i="15"/>
  <c r="L116" i="15"/>
  <c r="D116" i="15"/>
  <c r="H115" i="15"/>
  <c r="L114" i="15"/>
  <c r="D114" i="15"/>
  <c r="H113" i="15"/>
  <c r="L112" i="15"/>
  <c r="D112" i="15"/>
  <c r="I109" i="15"/>
  <c r="M108" i="15"/>
  <c r="E108" i="15"/>
  <c r="I107" i="15"/>
  <c r="M106" i="15"/>
  <c r="E106" i="15"/>
  <c r="I105" i="15"/>
  <c r="M104" i="15"/>
  <c r="E104" i="15"/>
  <c r="I103" i="15"/>
  <c r="M102" i="15"/>
  <c r="E102" i="15"/>
  <c r="I101" i="15"/>
  <c r="M100" i="15"/>
  <c r="E100" i="15"/>
  <c r="I99" i="15"/>
  <c r="M98" i="15"/>
  <c r="E98" i="15"/>
  <c r="I97" i="15"/>
  <c r="M96" i="15"/>
  <c r="E96" i="15"/>
  <c r="I95" i="15"/>
  <c r="N92" i="15"/>
  <c r="F92" i="15"/>
  <c r="J91" i="15"/>
  <c r="N90" i="15"/>
  <c r="F90" i="15"/>
  <c r="J89" i="15"/>
  <c r="N88" i="15"/>
  <c r="F88" i="15"/>
  <c r="J87" i="15"/>
  <c r="N86" i="15"/>
  <c r="F86" i="15"/>
  <c r="J85" i="15"/>
  <c r="N84" i="15"/>
  <c r="F84" i="15"/>
  <c r="J83" i="15"/>
  <c r="N82" i="15"/>
  <c r="F82" i="15"/>
  <c r="J81" i="15"/>
  <c r="N80" i="15"/>
  <c r="F80" i="15"/>
  <c r="J79" i="15"/>
  <c r="N78" i="15"/>
  <c r="F78" i="15"/>
  <c r="K75" i="15"/>
  <c r="C75" i="15"/>
  <c r="G74" i="15"/>
  <c r="K73" i="15"/>
  <c r="C73" i="15"/>
  <c r="G72" i="15"/>
  <c r="K71" i="15"/>
  <c r="C71" i="15"/>
  <c r="J211" i="15"/>
  <c r="N210" i="15"/>
  <c r="F210" i="15"/>
  <c r="J209" i="15"/>
  <c r="N208" i="15"/>
  <c r="F208" i="15"/>
  <c r="J207" i="15"/>
  <c r="N206" i="15"/>
  <c r="F206" i="15"/>
  <c r="J205" i="15"/>
  <c r="N204" i="15"/>
  <c r="F204" i="15"/>
  <c r="J203" i="15"/>
  <c r="N202" i="15"/>
  <c r="F202" i="15"/>
  <c r="J201" i="15"/>
  <c r="N200" i="15"/>
  <c r="F200" i="15"/>
  <c r="J199" i="15"/>
  <c r="N198" i="15"/>
  <c r="F198" i="15"/>
  <c r="J197" i="15"/>
  <c r="G194" i="15"/>
  <c r="K193" i="15"/>
  <c r="C193" i="15"/>
  <c r="G192" i="15"/>
  <c r="K191" i="15"/>
  <c r="C191" i="15"/>
  <c r="G190" i="15"/>
  <c r="K189" i="15"/>
  <c r="C189" i="15"/>
  <c r="G188" i="15"/>
  <c r="K187" i="15"/>
  <c r="C187" i="15"/>
  <c r="G186" i="15"/>
  <c r="K185" i="15"/>
  <c r="C185" i="15"/>
  <c r="G184" i="15"/>
  <c r="K183" i="15"/>
  <c r="C183" i="15"/>
  <c r="G182" i="15"/>
  <c r="K181" i="15"/>
  <c r="C181" i="15"/>
  <c r="G180" i="15"/>
  <c r="L177" i="15"/>
  <c r="D177" i="15"/>
  <c r="H176" i="15"/>
  <c r="L175" i="15"/>
  <c r="D175" i="15"/>
  <c r="H174" i="15"/>
  <c r="L173" i="15"/>
  <c r="D173" i="15"/>
  <c r="H172" i="15"/>
  <c r="L171" i="15"/>
  <c r="D171" i="15"/>
  <c r="H170" i="15"/>
  <c r="L169" i="15"/>
  <c r="D169" i="15"/>
  <c r="H168" i="15"/>
  <c r="L167" i="15"/>
  <c r="D167" i="15"/>
  <c r="H166" i="15"/>
  <c r="L165" i="15"/>
  <c r="D165" i="15"/>
  <c r="H164" i="15"/>
  <c r="L163" i="15"/>
  <c r="D163" i="15"/>
  <c r="I160" i="15"/>
  <c r="M159" i="15"/>
  <c r="E159" i="15"/>
  <c r="I158" i="15"/>
  <c r="M157" i="15"/>
  <c r="E157" i="15"/>
  <c r="I156" i="15"/>
  <c r="M155" i="15"/>
  <c r="E155" i="15"/>
  <c r="I154" i="15"/>
  <c r="M153" i="15"/>
  <c r="E153" i="15"/>
  <c r="I152" i="15"/>
  <c r="M151" i="15"/>
  <c r="E151" i="15"/>
  <c r="I150" i="15"/>
  <c r="M149" i="15"/>
  <c r="E149" i="15"/>
  <c r="I148" i="15"/>
  <c r="M147" i="15"/>
  <c r="E147" i="15"/>
  <c r="I146" i="15"/>
  <c r="N143" i="15"/>
  <c r="F143" i="15"/>
  <c r="J142" i="15"/>
  <c r="N141" i="15"/>
  <c r="F141" i="15"/>
  <c r="J140" i="15"/>
  <c r="N139" i="15"/>
  <c r="F139" i="15"/>
  <c r="J138" i="15"/>
  <c r="N137" i="15"/>
  <c r="F137" i="15"/>
  <c r="J136" i="15"/>
  <c r="N135" i="15"/>
  <c r="F135" i="15"/>
  <c r="J134" i="15"/>
  <c r="N133" i="15"/>
  <c r="F133" i="15"/>
  <c r="J132" i="15"/>
  <c r="N131" i="15"/>
  <c r="F131" i="15"/>
  <c r="J130" i="15"/>
  <c r="N129" i="15"/>
  <c r="F129" i="15"/>
  <c r="K126" i="15"/>
  <c r="C126" i="15"/>
  <c r="G125" i="15"/>
  <c r="K124" i="15"/>
  <c r="C124" i="15"/>
  <c r="G123" i="15"/>
  <c r="K122" i="15"/>
  <c r="C122" i="15"/>
  <c r="G121" i="15"/>
  <c r="K120" i="15"/>
  <c r="C120" i="15"/>
  <c r="G119" i="15"/>
  <c r="K118" i="15"/>
  <c r="C118" i="15"/>
  <c r="G117" i="15"/>
  <c r="K116" i="15"/>
  <c r="C116" i="15"/>
  <c r="G115" i="15"/>
  <c r="K114" i="15"/>
  <c r="C114" i="15"/>
  <c r="G113" i="15"/>
  <c r="K112" i="15"/>
  <c r="C112" i="15"/>
  <c r="H109" i="15"/>
  <c r="L108" i="15"/>
  <c r="D108" i="15"/>
  <c r="H107" i="15"/>
  <c r="L106" i="15"/>
  <c r="D106" i="15"/>
  <c r="H105" i="15"/>
  <c r="L104" i="15"/>
  <c r="D104" i="15"/>
  <c r="H103" i="15"/>
  <c r="L102" i="15"/>
  <c r="D102" i="15"/>
  <c r="H101" i="15"/>
  <c r="L100" i="15"/>
  <c r="D100" i="15"/>
  <c r="H99" i="15"/>
  <c r="L98" i="15"/>
  <c r="D98" i="15"/>
  <c r="H97" i="15"/>
  <c r="L96" i="15"/>
  <c r="D96" i="15"/>
  <c r="H95" i="15"/>
  <c r="M92" i="15"/>
  <c r="E92" i="15"/>
  <c r="I91" i="15"/>
  <c r="M90" i="15"/>
  <c r="E90" i="15"/>
  <c r="I89" i="15"/>
  <c r="M88" i="15"/>
  <c r="E88" i="15"/>
  <c r="I87" i="15"/>
  <c r="M86" i="15"/>
  <c r="E86" i="15"/>
  <c r="I85" i="15"/>
  <c r="M84" i="15"/>
  <c r="E84" i="15"/>
  <c r="I83" i="15"/>
  <c r="M82" i="15"/>
  <c r="E82" i="15"/>
  <c r="I81" i="15"/>
  <c r="M80" i="15"/>
  <c r="E80" i="15"/>
  <c r="I79" i="15"/>
  <c r="M78" i="15"/>
  <c r="E78" i="15"/>
  <c r="J75" i="15"/>
  <c r="N74" i="15"/>
  <c r="F74" i="15"/>
  <c r="J73" i="15"/>
  <c r="N72" i="15"/>
  <c r="F72" i="15"/>
  <c r="J71" i="15"/>
  <c r="H209" i="15"/>
  <c r="L206" i="15"/>
  <c r="D204" i="15"/>
  <c r="H201" i="15"/>
  <c r="L198" i="15"/>
  <c r="F194" i="15"/>
  <c r="J191" i="15"/>
  <c r="N188" i="15"/>
  <c r="F186" i="15"/>
  <c r="J183" i="15"/>
  <c r="N180" i="15"/>
  <c r="N176" i="15"/>
  <c r="F174" i="15"/>
  <c r="J171" i="15"/>
  <c r="N168" i="15"/>
  <c r="F166" i="15"/>
  <c r="J163" i="15"/>
  <c r="C159" i="15"/>
  <c r="G156" i="15"/>
  <c r="K153" i="15"/>
  <c r="C151" i="15"/>
  <c r="G148" i="15"/>
  <c r="M143" i="15"/>
  <c r="E141" i="15"/>
  <c r="I138" i="15"/>
  <c r="M135" i="15"/>
  <c r="E133" i="15"/>
  <c r="I130" i="15"/>
  <c r="I126" i="15"/>
  <c r="M123" i="15"/>
  <c r="E121" i="15"/>
  <c r="I118" i="15"/>
  <c r="M115" i="15"/>
  <c r="E113" i="15"/>
  <c r="J108" i="15"/>
  <c r="N105" i="15"/>
  <c r="F103" i="15"/>
  <c r="J100" i="15"/>
  <c r="N97" i="15"/>
  <c r="F95" i="15"/>
  <c r="L90" i="15"/>
  <c r="D88" i="15"/>
  <c r="H85" i="15"/>
  <c r="L82" i="15"/>
  <c r="D80" i="15"/>
  <c r="H73" i="15"/>
  <c r="N71" i="15"/>
  <c r="M70" i="15"/>
  <c r="D70" i="15"/>
  <c r="G69" i="15"/>
  <c r="J68" i="15"/>
  <c r="L67" i="15"/>
  <c r="D67" i="15"/>
  <c r="H66" i="15"/>
  <c r="L65" i="15"/>
  <c r="D65" i="15"/>
  <c r="H64" i="15"/>
  <c r="L63" i="15"/>
  <c r="D63" i="15"/>
  <c r="H62" i="15"/>
  <c r="L61" i="15"/>
  <c r="D61" i="15"/>
  <c r="I58" i="15"/>
  <c r="M57" i="15"/>
  <c r="E57" i="15"/>
  <c r="I56" i="15"/>
  <c r="M55" i="15"/>
  <c r="E55" i="15"/>
  <c r="I54" i="15"/>
  <c r="M53" i="15"/>
  <c r="E53" i="15"/>
  <c r="I52" i="15"/>
  <c r="M51" i="15"/>
  <c r="E51" i="15"/>
  <c r="I50" i="15"/>
  <c r="M49" i="15"/>
  <c r="E49" i="15"/>
  <c r="I48" i="15"/>
  <c r="M47" i="15"/>
  <c r="E47" i="15"/>
  <c r="I46" i="15"/>
  <c r="M45" i="15"/>
  <c r="E45" i="15"/>
  <c r="I44" i="15"/>
  <c r="I211" i="15"/>
  <c r="M208" i="15"/>
  <c r="E206" i="15"/>
  <c r="I203" i="15"/>
  <c r="M200" i="15"/>
  <c r="E198" i="15"/>
  <c r="E194" i="15"/>
  <c r="I191" i="15"/>
  <c r="M188" i="15"/>
  <c r="E186" i="15"/>
  <c r="I183" i="15"/>
  <c r="M180" i="15"/>
  <c r="G176" i="15"/>
  <c r="K173" i="15"/>
  <c r="C171" i="15"/>
  <c r="G168" i="15"/>
  <c r="K165" i="15"/>
  <c r="C163" i="15"/>
  <c r="H158" i="15"/>
  <c r="L155" i="15"/>
  <c r="D153" i="15"/>
  <c r="H150" i="15"/>
  <c r="L147" i="15"/>
  <c r="L143" i="15"/>
  <c r="D141" i="15"/>
  <c r="H138" i="15"/>
  <c r="L135" i="15"/>
  <c r="D133" i="15"/>
  <c r="H130" i="15"/>
  <c r="N125" i="15"/>
  <c r="F123" i="15"/>
  <c r="J120" i="15"/>
  <c r="N117" i="15"/>
  <c r="F115" i="15"/>
  <c r="J112" i="15"/>
  <c r="C108" i="15"/>
  <c r="G105" i="15"/>
  <c r="K102" i="15"/>
  <c r="C100" i="15"/>
  <c r="G97" i="15"/>
  <c r="K90" i="15"/>
  <c r="C88" i="15"/>
  <c r="G85" i="15"/>
  <c r="K82" i="15"/>
  <c r="C80" i="15"/>
  <c r="I75" i="15"/>
  <c r="D73" i="15"/>
  <c r="L71" i="15"/>
  <c r="L70" i="15"/>
  <c r="C70" i="15"/>
  <c r="F69" i="15"/>
  <c r="H68" i="15"/>
  <c r="K67" i="15"/>
  <c r="C67" i="15"/>
  <c r="G66" i="15"/>
  <c r="K65" i="15"/>
  <c r="C65" i="15"/>
  <c r="G64" i="15"/>
  <c r="K63" i="15"/>
  <c r="C63" i="15"/>
  <c r="G62" i="15"/>
  <c r="K61" i="15"/>
  <c r="C61" i="15"/>
  <c r="H58" i="15"/>
  <c r="L57" i="15"/>
  <c r="D57" i="15"/>
  <c r="H56" i="15"/>
  <c r="L55" i="15"/>
  <c r="D55" i="15"/>
  <c r="H54" i="15"/>
  <c r="L53" i="15"/>
  <c r="D53" i="15"/>
  <c r="H52" i="15"/>
  <c r="L51" i="15"/>
  <c r="D51" i="15"/>
  <c r="H50" i="15"/>
  <c r="L49" i="15"/>
  <c r="D49" i="15"/>
  <c r="H48" i="15"/>
  <c r="L47" i="15"/>
  <c r="D47" i="15"/>
  <c r="H46" i="15"/>
  <c r="L45" i="15"/>
  <c r="D45" i="15"/>
  <c r="H44" i="15"/>
  <c r="M41" i="15"/>
  <c r="E41" i="15"/>
  <c r="I40" i="15"/>
  <c r="M39" i="15"/>
  <c r="E39" i="15"/>
  <c r="I38" i="15"/>
  <c r="M37" i="15"/>
  <c r="E37" i="15"/>
  <c r="I36" i="15"/>
  <c r="M35" i="15"/>
  <c r="E35" i="15"/>
  <c r="I34" i="15"/>
  <c r="M33" i="15"/>
  <c r="H211" i="15"/>
  <c r="L208" i="15"/>
  <c r="D206" i="15"/>
  <c r="H203" i="15"/>
  <c r="L200" i="15"/>
  <c r="D198" i="15"/>
  <c r="J193" i="15"/>
  <c r="N190" i="15"/>
  <c r="F188" i="15"/>
  <c r="J185" i="15"/>
  <c r="N182" i="15"/>
  <c r="F180" i="15"/>
  <c r="F176" i="15"/>
  <c r="J173" i="15"/>
  <c r="N170" i="15"/>
  <c r="F168" i="15"/>
  <c r="J165" i="15"/>
  <c r="G158" i="15"/>
  <c r="K155" i="15"/>
  <c r="C153" i="15"/>
  <c r="G150" i="15"/>
  <c r="K147" i="15"/>
  <c r="E143" i="15"/>
  <c r="I140" i="15"/>
  <c r="M137" i="15"/>
  <c r="E135" i="15"/>
  <c r="I132" i="15"/>
  <c r="M129" i="15"/>
  <c r="M125" i="15"/>
  <c r="E123" i="15"/>
  <c r="I120" i="15"/>
  <c r="M117" i="15"/>
  <c r="E115" i="15"/>
  <c r="I112" i="15"/>
  <c r="N107" i="15"/>
  <c r="F105" i="15"/>
  <c r="J102" i="15"/>
  <c r="N99" i="15"/>
  <c r="F97" i="15"/>
  <c r="L92" i="15"/>
  <c r="D90" i="15"/>
  <c r="H87" i="15"/>
  <c r="L84" i="15"/>
  <c r="D82" i="15"/>
  <c r="H79" i="15"/>
  <c r="H75" i="15"/>
  <c r="M72" i="15"/>
  <c r="I71" i="15"/>
  <c r="K70" i="15"/>
  <c r="N69" i="15"/>
  <c r="D69" i="15"/>
  <c r="G68" i="15"/>
  <c r="J67" i="15"/>
  <c r="N66" i="15"/>
  <c r="F66" i="15"/>
  <c r="J65" i="15"/>
  <c r="N64" i="15"/>
  <c r="F64" i="15"/>
  <c r="J63" i="15"/>
  <c r="N62" i="15"/>
  <c r="F62" i="15"/>
  <c r="J61" i="15"/>
  <c r="G58" i="15"/>
  <c r="K57" i="15"/>
  <c r="C57" i="15"/>
  <c r="G56" i="15"/>
  <c r="K55" i="15"/>
  <c r="C55" i="15"/>
  <c r="G54" i="15"/>
  <c r="K53" i="15"/>
  <c r="C53" i="15"/>
  <c r="G52" i="15"/>
  <c r="K51" i="15"/>
  <c r="C51" i="15"/>
  <c r="G50" i="15"/>
  <c r="K49" i="15"/>
  <c r="C49" i="15"/>
  <c r="G48" i="15"/>
  <c r="K47" i="15"/>
  <c r="C47" i="15"/>
  <c r="G46" i="15"/>
  <c r="K45" i="15"/>
  <c r="C45" i="15"/>
  <c r="G44" i="15"/>
  <c r="L41" i="15"/>
  <c r="D41" i="15"/>
  <c r="H40" i="15"/>
  <c r="L39" i="15"/>
  <c r="D39" i="15"/>
  <c r="H38" i="15"/>
  <c r="L37" i="15"/>
  <c r="D37" i="15"/>
  <c r="H36" i="15"/>
  <c r="L35" i="15"/>
  <c r="D35" i="15"/>
  <c r="H34" i="15"/>
  <c r="L33" i="15"/>
  <c r="D33" i="15"/>
  <c r="H32" i="15"/>
  <c r="L31" i="15"/>
  <c r="D31" i="15"/>
  <c r="H30" i="15"/>
  <c r="L29" i="15"/>
  <c r="D29" i="15"/>
  <c r="H28" i="15"/>
  <c r="L27" i="15"/>
  <c r="D27" i="15"/>
  <c r="G24" i="15"/>
  <c r="I23" i="15"/>
  <c r="K22" i="15"/>
  <c r="C22" i="15"/>
  <c r="E21" i="15"/>
  <c r="G20" i="15"/>
  <c r="I19" i="15"/>
  <c r="K18" i="15"/>
  <c r="C18" i="15"/>
  <c r="M210" i="15"/>
  <c r="E208" i="15"/>
  <c r="I205" i="15"/>
  <c r="M202" i="15"/>
  <c r="E200" i="15"/>
  <c r="I197" i="15"/>
  <c r="I193" i="15"/>
  <c r="M190" i="15"/>
  <c r="E188" i="15"/>
  <c r="I185" i="15"/>
  <c r="M182" i="15"/>
  <c r="E180" i="15"/>
  <c r="K175" i="15"/>
  <c r="C173" i="15"/>
  <c r="G170" i="15"/>
  <c r="K167" i="15"/>
  <c r="C165" i="15"/>
  <c r="H160" i="15"/>
  <c r="L157" i="15"/>
  <c r="D155" i="15"/>
  <c r="H152" i="15"/>
  <c r="L149" i="15"/>
  <c r="D147" i="15"/>
  <c r="D143" i="15"/>
  <c r="H140" i="15"/>
  <c r="L137" i="15"/>
  <c r="D135" i="15"/>
  <c r="H132" i="15"/>
  <c r="L129" i="15"/>
  <c r="F125" i="15"/>
  <c r="J122" i="15"/>
  <c r="N119" i="15"/>
  <c r="F117" i="15"/>
  <c r="J114" i="15"/>
  <c r="G107" i="15"/>
  <c r="K104" i="15"/>
  <c r="C102" i="15"/>
  <c r="G99" i="15"/>
  <c r="K96" i="15"/>
  <c r="K92" i="15"/>
  <c r="C90" i="15"/>
  <c r="G87" i="15"/>
  <c r="K84" i="15"/>
  <c r="C82" i="15"/>
  <c r="G79" i="15"/>
  <c r="M74" i="15"/>
  <c r="L72" i="15"/>
  <c r="H71" i="15"/>
  <c r="J70" i="15"/>
  <c r="L69" i="15"/>
  <c r="C69" i="15"/>
  <c r="F68" i="15"/>
  <c r="I67" i="15"/>
  <c r="M66" i="15"/>
  <c r="E66" i="15"/>
  <c r="I65" i="15"/>
  <c r="M64" i="15"/>
  <c r="E64" i="15"/>
  <c r="I63" i="15"/>
  <c r="M62" i="15"/>
  <c r="E62" i="15"/>
  <c r="I61" i="15"/>
  <c r="N58" i="15"/>
  <c r="F58" i="15"/>
  <c r="J57" i="15"/>
  <c r="N56" i="15"/>
  <c r="F56" i="15"/>
  <c r="J55" i="15"/>
  <c r="N54" i="15"/>
  <c r="F54" i="15"/>
  <c r="J53" i="15"/>
  <c r="N52" i="15"/>
  <c r="F52" i="15"/>
  <c r="J51" i="15"/>
  <c r="N50" i="15"/>
  <c r="F50" i="15"/>
  <c r="J49" i="15"/>
  <c r="N48" i="15"/>
  <c r="F48" i="15"/>
  <c r="J47" i="15"/>
  <c r="N46" i="15"/>
  <c r="F46" i="15"/>
  <c r="J45" i="15"/>
  <c r="N44" i="15"/>
  <c r="F44" i="15"/>
  <c r="K41" i="15"/>
  <c r="C41" i="15"/>
  <c r="G40" i="15"/>
  <c r="K39" i="15"/>
  <c r="C39" i="15"/>
  <c r="G38" i="15"/>
  <c r="K37" i="15"/>
  <c r="C37" i="15"/>
  <c r="G36" i="15"/>
  <c r="K35" i="15"/>
  <c r="C35" i="15"/>
  <c r="G34" i="15"/>
  <c r="K33" i="15"/>
  <c r="C33" i="15"/>
  <c r="G32" i="15"/>
  <c r="K31" i="15"/>
  <c r="C31" i="15"/>
  <c r="G30" i="15"/>
  <c r="K29" i="15"/>
  <c r="C29" i="15"/>
  <c r="G28" i="15"/>
  <c r="K27" i="15"/>
  <c r="C27" i="15"/>
  <c r="F24" i="15"/>
  <c r="H23" i="15"/>
  <c r="J22" i="15"/>
  <c r="L21" i="15"/>
  <c r="D21" i="15"/>
  <c r="F20" i="15"/>
  <c r="H19" i="15"/>
  <c r="J18" i="15"/>
  <c r="L210" i="15"/>
  <c r="D208" i="15"/>
  <c r="H205" i="15"/>
  <c r="L202" i="15"/>
  <c r="D200" i="15"/>
  <c r="H197" i="15"/>
  <c r="N192" i="15"/>
  <c r="F190" i="15"/>
  <c r="J187" i="15"/>
  <c r="N184" i="15"/>
  <c r="F182" i="15"/>
  <c r="J175" i="15"/>
  <c r="N172" i="15"/>
  <c r="F170" i="15"/>
  <c r="J167" i="15"/>
  <c r="N164" i="15"/>
  <c r="G160" i="15"/>
  <c r="K157" i="15"/>
  <c r="C155" i="15"/>
  <c r="G152" i="15"/>
  <c r="K149" i="15"/>
  <c r="C147" i="15"/>
  <c r="I142" i="15"/>
  <c r="M139" i="15"/>
  <c r="E137" i="15"/>
  <c r="I134" i="15"/>
  <c r="M131" i="15"/>
  <c r="E129" i="15"/>
  <c r="E125" i="15"/>
  <c r="I122" i="15"/>
  <c r="M119" i="15"/>
  <c r="E117" i="15"/>
  <c r="I114" i="15"/>
  <c r="N109" i="15"/>
  <c r="F107" i="15"/>
  <c r="J104" i="15"/>
  <c r="N101" i="15"/>
  <c r="F99" i="15"/>
  <c r="J96" i="15"/>
  <c r="D92" i="15"/>
  <c r="H89" i="15"/>
  <c r="L86" i="15"/>
  <c r="D84" i="15"/>
  <c r="H81" i="15"/>
  <c r="L78" i="15"/>
  <c r="L74" i="15"/>
  <c r="H72" i="15"/>
  <c r="G71" i="15"/>
  <c r="H70" i="15"/>
  <c r="K69" i="15"/>
  <c r="N68" i="15"/>
  <c r="E68" i="15"/>
  <c r="H67" i="15"/>
  <c r="L66" i="15"/>
  <c r="D66" i="15"/>
  <c r="H65" i="15"/>
  <c r="L64" i="15"/>
  <c r="D64" i="15"/>
  <c r="H63" i="15"/>
  <c r="L62" i="15"/>
  <c r="D62" i="15"/>
  <c r="H61" i="15"/>
  <c r="M58" i="15"/>
  <c r="E58" i="15"/>
  <c r="I57" i="15"/>
  <c r="M56" i="15"/>
  <c r="E56" i="15"/>
  <c r="I55" i="15"/>
  <c r="M54" i="15"/>
  <c r="E54" i="15"/>
  <c r="I53" i="15"/>
  <c r="M52" i="15"/>
  <c r="E52" i="15"/>
  <c r="I51" i="15"/>
  <c r="M50" i="15"/>
  <c r="E50" i="15"/>
  <c r="I49" i="15"/>
  <c r="M48" i="15"/>
  <c r="E48" i="15"/>
  <c r="I47" i="15"/>
  <c r="M46" i="15"/>
  <c r="E46" i="15"/>
  <c r="I45" i="15"/>
  <c r="M44" i="15"/>
  <c r="E44" i="15"/>
  <c r="J41" i="15"/>
  <c r="N40" i="15"/>
  <c r="F40" i="15"/>
  <c r="J39" i="15"/>
  <c r="N38" i="15"/>
  <c r="F38" i="15"/>
  <c r="J37" i="15"/>
  <c r="N36" i="15"/>
  <c r="F36" i="15"/>
  <c r="J35" i="15"/>
  <c r="N34" i="15"/>
  <c r="F34" i="15"/>
  <c r="J33" i="15"/>
  <c r="N32" i="15"/>
  <c r="F32" i="15"/>
  <c r="J31" i="15"/>
  <c r="N30" i="15"/>
  <c r="F30" i="15"/>
  <c r="J29" i="15"/>
  <c r="N28" i="15"/>
  <c r="F28" i="15"/>
  <c r="J27" i="15"/>
  <c r="E24" i="15"/>
  <c r="G23" i="15"/>
  <c r="I22" i="15"/>
  <c r="K21" i="15"/>
  <c r="C21" i="15"/>
  <c r="E20" i="15"/>
  <c r="G19" i="15"/>
  <c r="E210" i="15"/>
  <c r="I207" i="15"/>
  <c r="M204" i="15"/>
  <c r="E202" i="15"/>
  <c r="I199" i="15"/>
  <c r="M192" i="15"/>
  <c r="E190" i="15"/>
  <c r="I187" i="15"/>
  <c r="M184" i="15"/>
  <c r="E182" i="15"/>
  <c r="K177" i="15"/>
  <c r="C175" i="15"/>
  <c r="G172" i="15"/>
  <c r="K169" i="15"/>
  <c r="C167" i="15"/>
  <c r="G164" i="15"/>
  <c r="L159" i="15"/>
  <c r="D157" i="15"/>
  <c r="H154" i="15"/>
  <c r="L151" i="15"/>
  <c r="D149" i="15"/>
  <c r="H146" i="15"/>
  <c r="H142" i="15"/>
  <c r="L139" i="15"/>
  <c r="D137" i="15"/>
  <c r="H134" i="15"/>
  <c r="L131" i="15"/>
  <c r="D129" i="15"/>
  <c r="J124" i="15"/>
  <c r="N121" i="15"/>
  <c r="F119" i="15"/>
  <c r="J116" i="15"/>
  <c r="N113" i="15"/>
  <c r="G109" i="15"/>
  <c r="K106" i="15"/>
  <c r="C104" i="15"/>
  <c r="G101" i="15"/>
  <c r="K98" i="15"/>
  <c r="C96" i="15"/>
  <c r="C92" i="15"/>
  <c r="G89" i="15"/>
  <c r="K86" i="15"/>
  <c r="C84" i="15"/>
  <c r="G81" i="15"/>
  <c r="K78" i="15"/>
  <c r="E74" i="15"/>
  <c r="E72" i="15"/>
  <c r="F71" i="15"/>
  <c r="G70" i="15"/>
  <c r="J69" i="15"/>
  <c r="M68" i="15"/>
  <c r="D68" i="15"/>
  <c r="G67" i="15"/>
  <c r="K66" i="15"/>
  <c r="C66" i="15"/>
  <c r="G65" i="15"/>
  <c r="K64" i="15"/>
  <c r="C64" i="15"/>
  <c r="G63" i="15"/>
  <c r="K62" i="15"/>
  <c r="C62" i="15"/>
  <c r="G61" i="15"/>
  <c r="L58" i="15"/>
  <c r="D58" i="15"/>
  <c r="H57" i="15"/>
  <c r="L56" i="15"/>
  <c r="D56" i="15"/>
  <c r="H55" i="15"/>
  <c r="L54" i="15"/>
  <c r="D54" i="15"/>
  <c r="H53" i="15"/>
  <c r="L52" i="15"/>
  <c r="D52" i="15"/>
  <c r="H51" i="15"/>
  <c r="L50" i="15"/>
  <c r="D50" i="15"/>
  <c r="H49" i="15"/>
  <c r="L48" i="15"/>
  <c r="D48" i="15"/>
  <c r="H47" i="15"/>
  <c r="L46" i="15"/>
  <c r="D46" i="15"/>
  <c r="H45" i="15"/>
  <c r="L44" i="15"/>
  <c r="D44" i="15"/>
  <c r="I41" i="15"/>
  <c r="M40" i="15"/>
  <c r="E40" i="15"/>
  <c r="I39" i="15"/>
  <c r="M38" i="15"/>
  <c r="E38" i="15"/>
  <c r="I37" i="15"/>
  <c r="M36" i="15"/>
  <c r="E36" i="15"/>
  <c r="I35" i="15"/>
  <c r="M34" i="15"/>
  <c r="E34" i="15"/>
  <c r="I33" i="15"/>
  <c r="M32" i="15"/>
  <c r="E32" i="15"/>
  <c r="I31" i="15"/>
  <c r="M30" i="15"/>
  <c r="E30" i="15"/>
  <c r="I29" i="15"/>
  <c r="M28" i="15"/>
  <c r="E28" i="15"/>
  <c r="I27" i="15"/>
  <c r="L24" i="15"/>
  <c r="D24" i="15"/>
  <c r="F23" i="15"/>
  <c r="H22" i="15"/>
  <c r="J21" i="15"/>
  <c r="L20" i="15"/>
  <c r="D20" i="15"/>
  <c r="F19" i="15"/>
  <c r="N136" i="7"/>
  <c r="D210" i="15"/>
  <c r="H207" i="15"/>
  <c r="L204" i="15"/>
  <c r="D202" i="15"/>
  <c r="H199" i="15"/>
  <c r="N194" i="15"/>
  <c r="F192" i="15"/>
  <c r="J189" i="15"/>
  <c r="N186" i="15"/>
  <c r="F184" i="15"/>
  <c r="J181" i="15"/>
  <c r="J177" i="15"/>
  <c r="N174" i="15"/>
  <c r="F172" i="15"/>
  <c r="J169" i="15"/>
  <c r="N166" i="15"/>
  <c r="F164" i="15"/>
  <c r="K159" i="15"/>
  <c r="C157" i="15"/>
  <c r="G154" i="15"/>
  <c r="K151" i="15"/>
  <c r="C149" i="15"/>
  <c r="G146" i="15"/>
  <c r="M141" i="15"/>
  <c r="E139" i="15"/>
  <c r="I136" i="15"/>
  <c r="M133" i="15"/>
  <c r="E131" i="15"/>
  <c r="I124" i="15"/>
  <c r="M121" i="15"/>
  <c r="E119" i="15"/>
  <c r="I116" i="15"/>
  <c r="M113" i="15"/>
  <c r="F109" i="15"/>
  <c r="J106" i="15"/>
  <c r="N103" i="15"/>
  <c r="F101" i="15"/>
  <c r="J98" i="15"/>
  <c r="N95" i="15"/>
  <c r="H91" i="15"/>
  <c r="L88" i="15"/>
  <c r="D86" i="15"/>
  <c r="H83" i="15"/>
  <c r="L80" i="15"/>
  <c r="D78" i="15"/>
  <c r="D74" i="15"/>
  <c r="D72" i="15"/>
  <c r="D71" i="15"/>
  <c r="F70" i="15"/>
  <c r="I69" i="15"/>
  <c r="L68" i="15"/>
  <c r="C68" i="15"/>
  <c r="F67" i="15"/>
  <c r="J66" i="15"/>
  <c r="N65" i="15"/>
  <c r="F65" i="15"/>
  <c r="J64" i="15"/>
  <c r="N63" i="15"/>
  <c r="F63" i="15"/>
  <c r="J62" i="15"/>
  <c r="N61" i="15"/>
  <c r="F61" i="15"/>
  <c r="K58" i="15"/>
  <c r="C58" i="15"/>
  <c r="G57" i="15"/>
  <c r="K56" i="15"/>
  <c r="C56" i="15"/>
  <c r="G55" i="15"/>
  <c r="K54" i="15"/>
  <c r="C54" i="15"/>
  <c r="G53" i="15"/>
  <c r="K52" i="15"/>
  <c r="C52" i="15"/>
  <c r="G51" i="15"/>
  <c r="K50" i="15"/>
  <c r="C50" i="15"/>
  <c r="G49" i="15"/>
  <c r="K48" i="15"/>
  <c r="C48" i="15"/>
  <c r="G47" i="15"/>
  <c r="K46" i="15"/>
  <c r="C46" i="15"/>
  <c r="G45" i="15"/>
  <c r="K44" i="15"/>
  <c r="C44" i="15"/>
  <c r="H41" i="15"/>
  <c r="L40" i="15"/>
  <c r="D40" i="15"/>
  <c r="H39" i="15"/>
  <c r="L38" i="15"/>
  <c r="D38" i="15"/>
  <c r="H37" i="15"/>
  <c r="L36" i="15"/>
  <c r="D36" i="15"/>
  <c r="H35" i="15"/>
  <c r="L34" i="15"/>
  <c r="D34" i="15"/>
  <c r="H33" i="15"/>
  <c r="L32" i="15"/>
  <c r="D32" i="15"/>
  <c r="H31" i="15"/>
  <c r="L30" i="15"/>
  <c r="D30" i="15"/>
  <c r="H29" i="15"/>
  <c r="L28" i="15"/>
  <c r="D28" i="15"/>
  <c r="H27" i="15"/>
  <c r="K24" i="15"/>
  <c r="C24" i="15"/>
  <c r="E23" i="15"/>
  <c r="I209" i="15"/>
  <c r="I189" i="15"/>
  <c r="C169" i="15"/>
  <c r="H148" i="15"/>
  <c r="J126" i="15"/>
  <c r="C106" i="15"/>
  <c r="C86" i="15"/>
  <c r="E70" i="15"/>
  <c r="I64" i="15"/>
  <c r="N57" i="15"/>
  <c r="J52" i="15"/>
  <c r="F47" i="15"/>
  <c r="F41" i="15"/>
  <c r="J38" i="15"/>
  <c r="N35" i="15"/>
  <c r="F33" i="15"/>
  <c r="G31" i="15"/>
  <c r="M29" i="15"/>
  <c r="N27" i="15"/>
  <c r="H24" i="15"/>
  <c r="F22" i="15"/>
  <c r="J20" i="15"/>
  <c r="D19" i="15"/>
  <c r="D18" i="15"/>
  <c r="E17" i="15"/>
  <c r="G16" i="15"/>
  <c r="I15" i="15"/>
  <c r="K14" i="15"/>
  <c r="C14" i="15"/>
  <c r="E13" i="15"/>
  <c r="G12" i="15"/>
  <c r="I11" i="15"/>
  <c r="K10" i="15"/>
  <c r="C10" i="15"/>
  <c r="N47" i="15"/>
  <c r="G22" i="15"/>
  <c r="J15" i="15"/>
  <c r="D10" i="15"/>
  <c r="M206" i="15"/>
  <c r="M186" i="15"/>
  <c r="G166" i="15"/>
  <c r="N123" i="15"/>
  <c r="G103" i="15"/>
  <c r="G83" i="15"/>
  <c r="H69" i="15"/>
  <c r="M63" i="15"/>
  <c r="F57" i="15"/>
  <c r="N51" i="15"/>
  <c r="J46" i="15"/>
  <c r="K40" i="15"/>
  <c r="C38" i="15"/>
  <c r="G35" i="15"/>
  <c r="E33" i="15"/>
  <c r="F31" i="15"/>
  <c r="G29" i="15"/>
  <c r="M27" i="15"/>
  <c r="L23" i="15"/>
  <c r="E22" i="15"/>
  <c r="I20" i="15"/>
  <c r="C19" i="15"/>
  <c r="L17" i="15"/>
  <c r="D17" i="15"/>
  <c r="F16" i="15"/>
  <c r="H15" i="15"/>
  <c r="J14" i="15"/>
  <c r="L13" i="15"/>
  <c r="D13" i="15"/>
  <c r="F12" i="15"/>
  <c r="H11" i="15"/>
  <c r="J10" i="15"/>
  <c r="K38" i="15"/>
  <c r="K20" i="15"/>
  <c r="L14" i="15"/>
  <c r="L10" i="15"/>
  <c r="E204" i="15"/>
  <c r="E184" i="15"/>
  <c r="K163" i="15"/>
  <c r="L141" i="15"/>
  <c r="F121" i="15"/>
  <c r="K100" i="15"/>
  <c r="K80" i="15"/>
  <c r="K68" i="15"/>
  <c r="E63" i="15"/>
  <c r="J56" i="15"/>
  <c r="F51" i="15"/>
  <c r="N45" i="15"/>
  <c r="J40" i="15"/>
  <c r="N37" i="15"/>
  <c r="F35" i="15"/>
  <c r="K32" i="15"/>
  <c r="E31" i="15"/>
  <c r="F29" i="15"/>
  <c r="G27" i="15"/>
  <c r="K23" i="15"/>
  <c r="D22" i="15"/>
  <c r="H20" i="15"/>
  <c r="L18" i="15"/>
  <c r="K17" i="15"/>
  <c r="C17" i="15"/>
  <c r="E16" i="15"/>
  <c r="G15" i="15"/>
  <c r="I14" i="15"/>
  <c r="K13" i="15"/>
  <c r="C13" i="15"/>
  <c r="E12" i="15"/>
  <c r="G11" i="15"/>
  <c r="I10" i="15"/>
  <c r="L153" i="15"/>
  <c r="G91" i="15"/>
  <c r="N41" i="15"/>
  <c r="N33" i="15"/>
  <c r="I28" i="15"/>
  <c r="J19" i="15"/>
  <c r="K15" i="15"/>
  <c r="I12" i="15"/>
  <c r="E10" i="15"/>
  <c r="K171" i="15"/>
  <c r="K88" i="15"/>
  <c r="E65" i="15"/>
  <c r="C36" i="15"/>
  <c r="C28" i="15"/>
  <c r="F17" i="15"/>
  <c r="H12" i="15"/>
  <c r="I201" i="15"/>
  <c r="I181" i="15"/>
  <c r="D139" i="15"/>
  <c r="J118" i="15"/>
  <c r="C98" i="15"/>
  <c r="C78" i="15"/>
  <c r="N67" i="15"/>
  <c r="I62" i="15"/>
  <c r="N55" i="15"/>
  <c r="J50" i="15"/>
  <c r="F45" i="15"/>
  <c r="C40" i="15"/>
  <c r="G37" i="15"/>
  <c r="K34" i="15"/>
  <c r="J32" i="15"/>
  <c r="K30" i="15"/>
  <c r="E29" i="15"/>
  <c r="F27" i="15"/>
  <c r="J23" i="15"/>
  <c r="I21" i="15"/>
  <c r="C20" i="15"/>
  <c r="I18" i="15"/>
  <c r="J17" i="15"/>
  <c r="L16" i="15"/>
  <c r="D16" i="15"/>
  <c r="F15" i="15"/>
  <c r="H14" i="15"/>
  <c r="J13" i="15"/>
  <c r="L12" i="15"/>
  <c r="D12" i="15"/>
  <c r="F11" i="15"/>
  <c r="H10" i="15"/>
  <c r="M194" i="15"/>
  <c r="M65" i="15"/>
  <c r="J36" i="15"/>
  <c r="L22" i="15"/>
  <c r="G17" i="15"/>
  <c r="E14" i="15"/>
  <c r="C11" i="15"/>
  <c r="E192" i="15"/>
  <c r="N70" i="15"/>
  <c r="G41" i="15"/>
  <c r="N29" i="15"/>
  <c r="E19" i="15"/>
  <c r="D14" i="15"/>
  <c r="M198" i="15"/>
  <c r="D159" i="15"/>
  <c r="H136" i="15"/>
  <c r="N115" i="15"/>
  <c r="G95" i="15"/>
  <c r="E67" i="15"/>
  <c r="M61" i="15"/>
  <c r="F55" i="15"/>
  <c r="N49" i="15"/>
  <c r="J44" i="15"/>
  <c r="N39" i="15"/>
  <c r="F37" i="15"/>
  <c r="J34" i="15"/>
  <c r="I32" i="15"/>
  <c r="J30" i="15"/>
  <c r="K28" i="15"/>
  <c r="E27" i="15"/>
  <c r="D23" i="15"/>
  <c r="H21" i="15"/>
  <c r="L19" i="15"/>
  <c r="H18" i="15"/>
  <c r="I17" i="15"/>
  <c r="K16" i="15"/>
  <c r="C16" i="15"/>
  <c r="E15" i="15"/>
  <c r="G14" i="15"/>
  <c r="I13" i="15"/>
  <c r="K12" i="15"/>
  <c r="C12" i="15"/>
  <c r="E11" i="15"/>
  <c r="G10" i="15"/>
  <c r="D131" i="15"/>
  <c r="N53" i="15"/>
  <c r="F39" i="15"/>
  <c r="N31" i="15"/>
  <c r="J24" i="15"/>
  <c r="F18" i="15"/>
  <c r="C15" i="15"/>
  <c r="K11" i="15"/>
  <c r="K108" i="15"/>
  <c r="F53" i="15"/>
  <c r="M31" i="15"/>
  <c r="E18" i="15"/>
  <c r="F13" i="15"/>
  <c r="C177" i="15"/>
  <c r="H156" i="15"/>
  <c r="L133" i="15"/>
  <c r="F113" i="15"/>
  <c r="I73" i="15"/>
  <c r="I66" i="15"/>
  <c r="E61" i="15"/>
  <c r="J54" i="15"/>
  <c r="F49" i="15"/>
  <c r="G39" i="15"/>
  <c r="K36" i="15"/>
  <c r="C34" i="15"/>
  <c r="C32" i="15"/>
  <c r="I30" i="15"/>
  <c r="J28" i="15"/>
  <c r="C23" i="15"/>
  <c r="G21" i="15"/>
  <c r="K19" i="15"/>
  <c r="G18" i="15"/>
  <c r="H17" i="15"/>
  <c r="J16" i="15"/>
  <c r="L15" i="15"/>
  <c r="D15" i="15"/>
  <c r="F14" i="15"/>
  <c r="H13" i="15"/>
  <c r="J12" i="15"/>
  <c r="L11" i="15"/>
  <c r="D11" i="15"/>
  <c r="F10" i="15"/>
  <c r="G174" i="15"/>
  <c r="C72" i="15"/>
  <c r="J48" i="15"/>
  <c r="C30" i="15"/>
  <c r="F21" i="15"/>
  <c r="I16" i="15"/>
  <c r="G13" i="15"/>
  <c r="D151" i="15"/>
  <c r="J58" i="15"/>
  <c r="G33" i="15"/>
  <c r="I24" i="15"/>
  <c r="H16" i="15"/>
  <c r="J11" i="15"/>
  <c r="J6" i="28" l="1"/>
  <c r="J7" i="28" s="1"/>
  <c r="J9" i="28" s="1"/>
  <c r="N116" i="7"/>
  <c r="G61" i="7"/>
  <c r="H127" i="7"/>
  <c r="N61" i="7"/>
  <c r="G127" i="7"/>
  <c r="I138" i="7"/>
  <c r="J83" i="7"/>
  <c r="I83" i="7"/>
  <c r="J28" i="7"/>
  <c r="C94" i="7"/>
  <c r="K102" i="7"/>
  <c r="D135" i="7"/>
  <c r="I113" i="7"/>
  <c r="C101" i="7"/>
  <c r="M124" i="7"/>
  <c r="F116" i="7"/>
  <c r="L50" i="7"/>
  <c r="M116" i="7"/>
  <c r="F61" i="7"/>
  <c r="L116" i="7"/>
  <c r="N127" i="7"/>
  <c r="H138" i="7"/>
  <c r="N72" i="7"/>
  <c r="G138" i="7"/>
  <c r="H83" i="7"/>
  <c r="J112" i="7"/>
  <c r="L135" i="7"/>
  <c r="H123" i="7"/>
  <c r="K101" i="7"/>
  <c r="D134" i="7"/>
  <c r="K105" i="7"/>
  <c r="D50" i="7"/>
  <c r="E116" i="7"/>
  <c r="K50" i="7"/>
  <c r="D116" i="7"/>
  <c r="F127" i="7"/>
  <c r="M127" i="7"/>
  <c r="F72" i="7"/>
  <c r="L127" i="7"/>
  <c r="L105" i="7"/>
  <c r="F113" i="7"/>
  <c r="G90" i="7"/>
  <c r="D124" i="7"/>
  <c r="G102" i="7"/>
  <c r="C105" i="7"/>
  <c r="I39" i="7"/>
  <c r="J105" i="7"/>
  <c r="C50" i="7"/>
  <c r="I105" i="7"/>
  <c r="K116" i="7"/>
  <c r="E127" i="7"/>
  <c r="K61" i="7"/>
  <c r="D127" i="7"/>
  <c r="E138" i="7"/>
  <c r="N113" i="7"/>
  <c r="J101" i="7"/>
  <c r="L124" i="7"/>
  <c r="F112" i="7"/>
  <c r="C138" i="7"/>
  <c r="I72" i="7"/>
  <c r="C83" i="7"/>
  <c r="D94" i="7"/>
  <c r="K94" i="7"/>
  <c r="H134" i="7"/>
  <c r="M112" i="7"/>
  <c r="E124" i="7"/>
  <c r="H94" i="7"/>
  <c r="N28" i="7"/>
  <c r="G94" i="7"/>
  <c r="H39" i="7"/>
  <c r="N94" i="7"/>
  <c r="C116" i="7"/>
  <c r="J116" i="7"/>
  <c r="C61" i="7"/>
  <c r="I116" i="7"/>
  <c r="H53" i="32"/>
  <c r="L144" i="32"/>
  <c r="D67" i="32"/>
  <c r="C39" i="32"/>
  <c r="I53" i="32"/>
  <c r="E67" i="32"/>
  <c r="J46" i="32"/>
  <c r="L74" i="32"/>
  <c r="K46" i="32"/>
  <c r="M74" i="32"/>
  <c r="H158" i="32"/>
  <c r="M116" i="32"/>
  <c r="L165" i="32"/>
  <c r="E39" i="32"/>
  <c r="L46" i="32"/>
  <c r="J53" i="32"/>
  <c r="F67" i="32"/>
  <c r="N74" i="32"/>
  <c r="C81" i="32"/>
  <c r="F39" i="32"/>
  <c r="G60" i="32"/>
  <c r="K67" i="32"/>
  <c r="C74" i="32"/>
  <c r="L81" i="32"/>
  <c r="D88" i="32"/>
  <c r="H95" i="32"/>
  <c r="D109" i="32"/>
  <c r="G39" i="32"/>
  <c r="H60" i="32"/>
  <c r="L67" i="32"/>
  <c r="D74" i="32"/>
  <c r="M81" i="32"/>
  <c r="E88" i="32"/>
  <c r="I95" i="32"/>
  <c r="E109" i="32"/>
  <c r="H39" i="32"/>
  <c r="C46" i="32"/>
  <c r="I60" i="32"/>
  <c r="M67" i="32"/>
  <c r="E74" i="32"/>
  <c r="J88" i="32"/>
  <c r="N95" i="32"/>
  <c r="F102" i="32"/>
  <c r="J109" i="32"/>
  <c r="G123" i="32"/>
  <c r="D172" i="32"/>
  <c r="K39" i="32"/>
  <c r="D46" i="32"/>
  <c r="J60" i="32"/>
  <c r="N67" i="32"/>
  <c r="F74" i="32"/>
  <c r="K88" i="32"/>
  <c r="G102" i="32"/>
  <c r="K109" i="32"/>
  <c r="C116" i="32"/>
  <c r="H123" i="32"/>
  <c r="G172" i="32"/>
  <c r="I46" i="32"/>
  <c r="G53" i="32"/>
  <c r="C67" i="32"/>
  <c r="K74" i="32"/>
  <c r="L116" i="32"/>
  <c r="N130" i="32"/>
  <c r="J144" i="32"/>
  <c r="N151" i="32"/>
  <c r="F158" i="32"/>
  <c r="J165" i="32"/>
  <c r="K179" i="32"/>
  <c r="I39" i="32"/>
  <c r="E46" i="32"/>
  <c r="C53" i="32"/>
  <c r="K53" i="32"/>
  <c r="C60" i="32"/>
  <c r="K60" i="32"/>
  <c r="G67" i="32"/>
  <c r="G74" i="32"/>
  <c r="D81" i="32"/>
  <c r="L88" i="32"/>
  <c r="H102" i="32"/>
  <c r="L109" i="32"/>
  <c r="D116" i="32"/>
  <c r="J123" i="32"/>
  <c r="J39" i="32"/>
  <c r="F46" i="32"/>
  <c r="D53" i="32"/>
  <c r="L53" i="32"/>
  <c r="D60" i="32"/>
  <c r="L60" i="32"/>
  <c r="H67" i="32"/>
  <c r="H74" i="32"/>
  <c r="E81" i="32"/>
  <c r="M88" i="32"/>
  <c r="I102" i="32"/>
  <c r="M109" i="32"/>
  <c r="E116" i="32"/>
  <c r="L123" i="32"/>
  <c r="D137" i="32"/>
  <c r="C186" i="32"/>
  <c r="G46" i="32"/>
  <c r="E53" i="32"/>
  <c r="M53" i="32"/>
  <c r="E60" i="32"/>
  <c r="M60" i="32"/>
  <c r="I67" i="32"/>
  <c r="I74" i="32"/>
  <c r="J81" i="32"/>
  <c r="F95" i="32"/>
  <c r="N102" i="32"/>
  <c r="J116" i="32"/>
  <c r="L130" i="32"/>
  <c r="H144" i="32"/>
  <c r="L151" i="32"/>
  <c r="D158" i="32"/>
  <c r="H165" i="32"/>
  <c r="C214" i="32"/>
  <c r="D39" i="32"/>
  <c r="L39" i="32"/>
  <c r="H46" i="32"/>
  <c r="F53" i="32"/>
  <c r="N53" i="32"/>
  <c r="F60" i="32"/>
  <c r="N60" i="32"/>
  <c r="J67" i="32"/>
  <c r="J74" i="32"/>
  <c r="K81" i="32"/>
  <c r="C88" i="32"/>
  <c r="G95" i="32"/>
  <c r="C109" i="32"/>
  <c r="K116" i="32"/>
  <c r="M130" i="32"/>
  <c r="I144" i="32"/>
  <c r="M151" i="32"/>
  <c r="E158" i="32"/>
  <c r="I165" i="32"/>
  <c r="H179" i="32"/>
  <c r="D193" i="32"/>
  <c r="F81" i="32"/>
  <c r="N81" i="32"/>
  <c r="F88" i="32"/>
  <c r="N88" i="32"/>
  <c r="J95" i="32"/>
  <c r="J102" i="32"/>
  <c r="F109" i="32"/>
  <c r="N109" i="32"/>
  <c r="F116" i="32"/>
  <c r="N116" i="32"/>
  <c r="M123" i="32"/>
  <c r="D130" i="32"/>
  <c r="H137" i="32"/>
  <c r="D151" i="32"/>
  <c r="L158" i="32"/>
  <c r="K186" i="32"/>
  <c r="G193" i="32"/>
  <c r="G81" i="32"/>
  <c r="G88" i="32"/>
  <c r="C95" i="32"/>
  <c r="K95" i="32"/>
  <c r="C102" i="32"/>
  <c r="K102" i="32"/>
  <c r="G109" i="32"/>
  <c r="G116" i="32"/>
  <c r="D123" i="32"/>
  <c r="N123" i="32"/>
  <c r="E130" i="32"/>
  <c r="I137" i="32"/>
  <c r="E151" i="32"/>
  <c r="M158" i="32"/>
  <c r="H81" i="32"/>
  <c r="H88" i="32"/>
  <c r="D95" i="32"/>
  <c r="L95" i="32"/>
  <c r="D102" i="32"/>
  <c r="L102" i="32"/>
  <c r="H109" i="32"/>
  <c r="H116" i="32"/>
  <c r="E123" i="32"/>
  <c r="F130" i="32"/>
  <c r="J137" i="32"/>
  <c r="F151" i="32"/>
  <c r="N158" i="32"/>
  <c r="G200" i="32"/>
  <c r="C207" i="32"/>
  <c r="J235" i="32"/>
  <c r="J256" i="32"/>
  <c r="I81" i="32"/>
  <c r="I88" i="32"/>
  <c r="E95" i="32"/>
  <c r="M95" i="32"/>
  <c r="E102" i="32"/>
  <c r="M102" i="32"/>
  <c r="I109" i="32"/>
  <c r="I116" i="32"/>
  <c r="F123" i="32"/>
  <c r="H130" i="32"/>
  <c r="L137" i="32"/>
  <c r="D144" i="32"/>
  <c r="H151" i="32"/>
  <c r="D165" i="32"/>
  <c r="K207" i="32"/>
  <c r="F228" i="32"/>
  <c r="G221" i="32"/>
  <c r="K228" i="32"/>
  <c r="K172" i="32"/>
  <c r="G186" i="32"/>
  <c r="K193" i="32"/>
  <c r="C200" i="32"/>
  <c r="G207" i="32"/>
  <c r="C221" i="32"/>
  <c r="G130" i="32"/>
  <c r="C137" i="32"/>
  <c r="K137" i="32"/>
  <c r="C144" i="32"/>
  <c r="K144" i="32"/>
  <c r="G151" i="32"/>
  <c r="G158" i="32"/>
  <c r="C165" i="32"/>
  <c r="K165" i="32"/>
  <c r="L172" i="32"/>
  <c r="H186" i="32"/>
  <c r="L193" i="32"/>
  <c r="D200" i="32"/>
  <c r="H207" i="32"/>
  <c r="D221" i="32"/>
  <c r="I123" i="32"/>
  <c r="I130" i="32"/>
  <c r="E137" i="32"/>
  <c r="M137" i="32"/>
  <c r="E144" i="32"/>
  <c r="M144" i="32"/>
  <c r="I151" i="32"/>
  <c r="I158" i="32"/>
  <c r="E165" i="32"/>
  <c r="M165" i="32"/>
  <c r="K200" i="32"/>
  <c r="G214" i="32"/>
  <c r="M221" i="32"/>
  <c r="J130" i="32"/>
  <c r="F137" i="32"/>
  <c r="N137" i="32"/>
  <c r="F144" i="32"/>
  <c r="N144" i="32"/>
  <c r="J151" i="32"/>
  <c r="J158" i="32"/>
  <c r="F165" i="32"/>
  <c r="N165" i="32"/>
  <c r="C179" i="32"/>
  <c r="L200" i="32"/>
  <c r="H214" i="32"/>
  <c r="N221" i="32"/>
  <c r="C123" i="32"/>
  <c r="K123" i="32"/>
  <c r="C130" i="32"/>
  <c r="K130" i="32"/>
  <c r="G137" i="32"/>
  <c r="G144" i="32"/>
  <c r="C151" i="32"/>
  <c r="K151" i="32"/>
  <c r="C158" i="32"/>
  <c r="K158" i="32"/>
  <c r="G165" i="32"/>
  <c r="C172" i="32"/>
  <c r="G179" i="32"/>
  <c r="C193" i="32"/>
  <c r="K214" i="32"/>
  <c r="E228" i="32"/>
  <c r="C235" i="32"/>
  <c r="I249" i="32"/>
  <c r="E172" i="32"/>
  <c r="M172" i="32"/>
  <c r="I179" i="32"/>
  <c r="I186" i="32"/>
  <c r="E193" i="32"/>
  <c r="M193" i="32"/>
  <c r="E200" i="32"/>
  <c r="M200" i="32"/>
  <c r="I207" i="32"/>
  <c r="I214" i="32"/>
  <c r="E221" i="32"/>
  <c r="G228" i="32"/>
  <c r="D235" i="32"/>
  <c r="K256" i="32"/>
  <c r="F172" i="32"/>
  <c r="N172" i="32"/>
  <c r="J179" i="32"/>
  <c r="J186" i="32"/>
  <c r="F193" i="32"/>
  <c r="N193" i="32"/>
  <c r="F200" i="32"/>
  <c r="N200" i="32"/>
  <c r="J207" i="32"/>
  <c r="J214" i="32"/>
  <c r="F221" i="32"/>
  <c r="H228" i="32"/>
  <c r="I235" i="32"/>
  <c r="H249" i="32"/>
  <c r="H172" i="32"/>
  <c r="D179" i="32"/>
  <c r="L179" i="32"/>
  <c r="D186" i="32"/>
  <c r="L186" i="32"/>
  <c r="H193" i="32"/>
  <c r="H200" i="32"/>
  <c r="D207" i="32"/>
  <c r="L207" i="32"/>
  <c r="D214" i="32"/>
  <c r="L214" i="32"/>
  <c r="H221" i="32"/>
  <c r="L228" i="32"/>
  <c r="K235" i="32"/>
  <c r="I242" i="32"/>
  <c r="I172" i="32"/>
  <c r="E179" i="32"/>
  <c r="M179" i="32"/>
  <c r="E186" i="32"/>
  <c r="M186" i="32"/>
  <c r="I193" i="32"/>
  <c r="I200" i="32"/>
  <c r="E207" i="32"/>
  <c r="M207" i="32"/>
  <c r="E214" i="32"/>
  <c r="M214" i="32"/>
  <c r="K221" i="32"/>
  <c r="C228" i="32"/>
  <c r="M228" i="32"/>
  <c r="L235" i="32"/>
  <c r="J242" i="32"/>
  <c r="J172" i="32"/>
  <c r="F179" i="32"/>
  <c r="N179" i="32"/>
  <c r="F186" i="32"/>
  <c r="N186" i="32"/>
  <c r="J193" i="32"/>
  <c r="J200" i="32"/>
  <c r="F207" i="32"/>
  <c r="N207" i="32"/>
  <c r="F214" i="32"/>
  <c r="N214" i="32"/>
  <c r="L221" i="32"/>
  <c r="D228" i="32"/>
  <c r="N228" i="32"/>
  <c r="C242" i="32"/>
  <c r="K242" i="32"/>
  <c r="J249" i="32"/>
  <c r="L256" i="32"/>
  <c r="D242" i="32"/>
  <c r="L242" i="32"/>
  <c r="K249" i="32"/>
  <c r="M256" i="32"/>
  <c r="I221" i="32"/>
  <c r="I228" i="32"/>
  <c r="E235" i="32"/>
  <c r="M235" i="32"/>
  <c r="E242" i="32"/>
  <c r="M242" i="32"/>
  <c r="L249" i="32"/>
  <c r="F256" i="32"/>
  <c r="N256" i="32"/>
  <c r="J221" i="32"/>
  <c r="J228" i="32"/>
  <c r="F235" i="32"/>
  <c r="N235" i="32"/>
  <c r="F242" i="32"/>
  <c r="N242" i="32"/>
  <c r="M249" i="32"/>
  <c r="G256" i="32"/>
  <c r="G235" i="32"/>
  <c r="G242" i="32"/>
  <c r="F249" i="32"/>
  <c r="N249" i="32"/>
  <c r="H256" i="32"/>
  <c r="H235" i="32"/>
  <c r="H242" i="32"/>
  <c r="G249" i="32"/>
  <c r="I256" i="32"/>
  <c r="E123" i="7"/>
  <c r="F102" i="7"/>
  <c r="C134" i="7"/>
  <c r="N112" i="7"/>
  <c r="L138" i="7"/>
  <c r="M83" i="7"/>
  <c r="F28" i="7"/>
  <c r="L83" i="7"/>
  <c r="M28" i="7"/>
  <c r="F94" i="7"/>
  <c r="H105" i="7"/>
  <c r="G105" i="7"/>
  <c r="H50" i="7"/>
  <c r="N105" i="7"/>
  <c r="L90" i="7"/>
  <c r="M123" i="7"/>
  <c r="N102" i="7"/>
  <c r="K134" i="7"/>
  <c r="J113" i="7"/>
  <c r="D138" i="7"/>
  <c r="E83" i="7"/>
  <c r="K138" i="7"/>
  <c r="D83" i="7"/>
  <c r="E28" i="7"/>
  <c r="K83" i="7"/>
  <c r="M94" i="7"/>
  <c r="L94" i="7"/>
  <c r="M39" i="7"/>
  <c r="F105" i="7"/>
  <c r="G101" i="7"/>
  <c r="I124" i="7"/>
  <c r="E112" i="7"/>
  <c r="G135" i="7"/>
  <c r="I123" i="7"/>
  <c r="I127" i="7"/>
  <c r="J72" i="7"/>
  <c r="J138" i="7"/>
  <c r="E94" i="7"/>
  <c r="E39" i="7"/>
  <c r="C102" i="7"/>
  <c r="H90" i="7"/>
  <c r="N250" i="32" l="1"/>
  <c r="N251" i="32" s="1"/>
  <c r="N254" i="32" s="1"/>
  <c r="F250" i="32"/>
  <c r="F251" i="32" s="1"/>
  <c r="F254" i="32" s="1"/>
  <c r="M250" i="32"/>
  <c r="M251" i="32" s="1"/>
  <c r="M254" i="32" s="1"/>
  <c r="L250" i="32"/>
  <c r="L251" i="32" s="1"/>
  <c r="L254" i="32" s="1"/>
  <c r="K250" i="32"/>
  <c r="K251" i="32" s="1"/>
  <c r="K254" i="32" s="1"/>
  <c r="J250" i="32"/>
  <c r="J251" i="32" s="1"/>
  <c r="J254" i="32" s="1"/>
  <c r="I250" i="32"/>
  <c r="I251" i="32" s="1"/>
  <c r="I254" i="32" s="1"/>
  <c r="H250" i="32"/>
  <c r="H251" i="32" s="1"/>
  <c r="H254" i="32" s="1"/>
  <c r="G250" i="32"/>
  <c r="G251" i="32" s="1"/>
  <c r="G254" i="32" s="1"/>
  <c r="L236" i="32"/>
  <c r="L237" i="32" s="1"/>
  <c r="D236" i="32"/>
  <c r="D237" i="32" s="1"/>
  <c r="D240" i="32" s="1"/>
  <c r="K236" i="32"/>
  <c r="K237" i="32" s="1"/>
  <c r="C236" i="32"/>
  <c r="C237" i="32" s="1"/>
  <c r="C240" i="32" s="1"/>
  <c r="J236" i="32"/>
  <c r="J237" i="32" s="1"/>
  <c r="I236" i="32"/>
  <c r="I237" i="32" s="1"/>
  <c r="E236" i="32"/>
  <c r="E237" i="32" s="1"/>
  <c r="M236" i="32"/>
  <c r="M237" i="32" s="1"/>
  <c r="H236" i="32"/>
  <c r="H237" i="32" s="1"/>
  <c r="N236" i="32"/>
  <c r="N237" i="32" s="1"/>
  <c r="G236" i="32"/>
  <c r="G237" i="32" s="1"/>
  <c r="F236" i="32"/>
  <c r="F237" i="32" s="1"/>
  <c r="J208" i="32"/>
  <c r="J209" i="32" s="1"/>
  <c r="I208" i="32"/>
  <c r="I209" i="32" s="1"/>
  <c r="H208" i="32"/>
  <c r="H209" i="32" s="1"/>
  <c r="N208" i="32"/>
  <c r="N209" i="32" s="1"/>
  <c r="F208" i="32"/>
  <c r="F209" i="32" s="1"/>
  <c r="M208" i="32"/>
  <c r="M209" i="32" s="1"/>
  <c r="E208" i="32"/>
  <c r="E209" i="32" s="1"/>
  <c r="G208" i="32"/>
  <c r="G209" i="32" s="1"/>
  <c r="D208" i="32"/>
  <c r="D209" i="32" s="1"/>
  <c r="C208" i="32"/>
  <c r="C209" i="32" s="1"/>
  <c r="K208" i="32"/>
  <c r="K209" i="32" s="1"/>
  <c r="L208" i="32"/>
  <c r="L209" i="32" s="1"/>
  <c r="J180" i="32"/>
  <c r="J181" i="32" s="1"/>
  <c r="I180" i="32"/>
  <c r="I181" i="32" s="1"/>
  <c r="H180" i="32"/>
  <c r="H181" i="32" s="1"/>
  <c r="N180" i="32"/>
  <c r="N181" i="32" s="1"/>
  <c r="F180" i="32"/>
  <c r="F181" i="32" s="1"/>
  <c r="M180" i="32"/>
  <c r="M181" i="32" s="1"/>
  <c r="E180" i="32"/>
  <c r="E181" i="32" s="1"/>
  <c r="L180" i="32"/>
  <c r="L181" i="32" s="1"/>
  <c r="K180" i="32"/>
  <c r="K181" i="32" s="1"/>
  <c r="D180" i="32"/>
  <c r="D181" i="32" s="1"/>
  <c r="C180" i="32"/>
  <c r="C181" i="32" s="1"/>
  <c r="G180" i="32"/>
  <c r="G181" i="32" s="1"/>
  <c r="N194" i="32"/>
  <c r="N195" i="32" s="1"/>
  <c r="F194" i="32"/>
  <c r="F195" i="32" s="1"/>
  <c r="M194" i="32"/>
  <c r="M195" i="32" s="1"/>
  <c r="E194" i="32"/>
  <c r="E195" i="32" s="1"/>
  <c r="L194" i="32"/>
  <c r="L195" i="32" s="1"/>
  <c r="D194" i="32"/>
  <c r="D195" i="32" s="1"/>
  <c r="J194" i="32"/>
  <c r="J195" i="32" s="1"/>
  <c r="I194" i="32"/>
  <c r="I195" i="32" s="1"/>
  <c r="K194" i="32"/>
  <c r="K195" i="32" s="1"/>
  <c r="H194" i="32"/>
  <c r="H195" i="32" s="1"/>
  <c r="G194" i="32"/>
  <c r="G195" i="32" s="1"/>
  <c r="C194" i="32"/>
  <c r="C195" i="32" s="1"/>
  <c r="N222" i="32"/>
  <c r="N223" i="32" s="1"/>
  <c r="F222" i="32"/>
  <c r="F223" i="32" s="1"/>
  <c r="M222" i="32"/>
  <c r="M223" i="32" s="1"/>
  <c r="E222" i="32"/>
  <c r="E223" i="32" s="1"/>
  <c r="J222" i="32"/>
  <c r="J223" i="32" s="1"/>
  <c r="I222" i="32"/>
  <c r="I223" i="32" s="1"/>
  <c r="H222" i="32"/>
  <c r="H223" i="32" s="1"/>
  <c r="D222" i="32"/>
  <c r="D223" i="32" s="1"/>
  <c r="C222" i="32"/>
  <c r="C223" i="32" s="1"/>
  <c r="G222" i="32"/>
  <c r="G223" i="32" s="1"/>
  <c r="L222" i="32"/>
  <c r="L223" i="32" s="1"/>
  <c r="K222" i="32"/>
  <c r="K223" i="32" s="1"/>
  <c r="K166" i="32"/>
  <c r="K167" i="32" s="1"/>
  <c r="C166" i="32"/>
  <c r="C167" i="32" s="1"/>
  <c r="J166" i="32"/>
  <c r="J167" i="32" s="1"/>
  <c r="I166" i="32"/>
  <c r="I167" i="32" s="1"/>
  <c r="G166" i="32"/>
  <c r="G167" i="32" s="1"/>
  <c r="H166" i="32"/>
  <c r="H167" i="32" s="1"/>
  <c r="F166" i="32"/>
  <c r="F167" i="32" s="1"/>
  <c r="E166" i="32"/>
  <c r="E167" i="32" s="1"/>
  <c r="D166" i="32"/>
  <c r="D167" i="32" s="1"/>
  <c r="N166" i="32"/>
  <c r="N167" i="32" s="1"/>
  <c r="M166" i="32"/>
  <c r="M167" i="32" s="1"/>
  <c r="L166" i="32"/>
  <c r="L167" i="32" s="1"/>
  <c r="K138" i="32"/>
  <c r="K139" i="32" s="1"/>
  <c r="C138" i="32"/>
  <c r="C139" i="32" s="1"/>
  <c r="J138" i="32"/>
  <c r="J139" i="32" s="1"/>
  <c r="I138" i="32"/>
  <c r="I139" i="32" s="1"/>
  <c r="G138" i="32"/>
  <c r="G139" i="32" s="1"/>
  <c r="N138" i="32"/>
  <c r="N139" i="32" s="1"/>
  <c r="M138" i="32"/>
  <c r="M139" i="32" s="1"/>
  <c r="L138" i="32"/>
  <c r="L139" i="32" s="1"/>
  <c r="E138" i="32"/>
  <c r="E139" i="32" s="1"/>
  <c r="D138" i="32"/>
  <c r="D139" i="32" s="1"/>
  <c r="F138" i="32"/>
  <c r="F139" i="32" s="1"/>
  <c r="H138" i="32"/>
  <c r="H139" i="32" s="1"/>
  <c r="G124" i="32"/>
  <c r="G125" i="32" s="1"/>
  <c r="N124" i="32"/>
  <c r="N125" i="32" s="1"/>
  <c r="F124" i="32"/>
  <c r="F125" i="32" s="1"/>
  <c r="M124" i="32"/>
  <c r="M125" i="32" s="1"/>
  <c r="E124" i="32"/>
  <c r="E125" i="32" s="1"/>
  <c r="K124" i="32"/>
  <c r="K125" i="32" s="1"/>
  <c r="D124" i="32"/>
  <c r="D125" i="32" s="1"/>
  <c r="C124" i="32"/>
  <c r="C125" i="32" s="1"/>
  <c r="I124" i="32"/>
  <c r="I125" i="32" s="1"/>
  <c r="H124" i="32"/>
  <c r="H125" i="32" s="1"/>
  <c r="J124" i="32"/>
  <c r="J125" i="32" s="1"/>
  <c r="L124" i="32"/>
  <c r="L125" i="32" s="1"/>
  <c r="M110" i="32"/>
  <c r="M111" i="32" s="1"/>
  <c r="E110" i="32"/>
  <c r="E111" i="32" s="1"/>
  <c r="L110" i="32"/>
  <c r="L111" i="32" s="1"/>
  <c r="D110" i="32"/>
  <c r="D111" i="32" s="1"/>
  <c r="K110" i="32"/>
  <c r="K111" i="32" s="1"/>
  <c r="C110" i="32"/>
  <c r="C111" i="32" s="1"/>
  <c r="J110" i="32"/>
  <c r="J111" i="32" s="1"/>
  <c r="G110" i="32"/>
  <c r="G111" i="32" s="1"/>
  <c r="F110" i="32"/>
  <c r="F111" i="32" s="1"/>
  <c r="H110" i="32"/>
  <c r="H111" i="32" s="1"/>
  <c r="N110" i="32"/>
  <c r="N111" i="32" s="1"/>
  <c r="I110" i="32"/>
  <c r="I111" i="32" s="1"/>
  <c r="M82" i="32"/>
  <c r="M83" i="32" s="1"/>
  <c r="E82" i="32"/>
  <c r="E83" i="32" s="1"/>
  <c r="L82" i="32"/>
  <c r="L83" i="32" s="1"/>
  <c r="D82" i="32"/>
  <c r="D83" i="32" s="1"/>
  <c r="K82" i="32"/>
  <c r="K83" i="32" s="1"/>
  <c r="C82" i="32"/>
  <c r="C83" i="32" s="1"/>
  <c r="J82" i="32"/>
  <c r="J83" i="32" s="1"/>
  <c r="N82" i="32"/>
  <c r="N83" i="32" s="1"/>
  <c r="I82" i="32"/>
  <c r="I83" i="32" s="1"/>
  <c r="H82" i="32"/>
  <c r="H83" i="32" s="1"/>
  <c r="G82" i="32"/>
  <c r="G83" i="32" s="1"/>
  <c r="F82" i="32"/>
  <c r="F83" i="32" s="1"/>
  <c r="J54" i="32"/>
  <c r="J55" i="32" s="1"/>
  <c r="I54" i="32"/>
  <c r="I55" i="32" s="1"/>
  <c r="H54" i="32"/>
  <c r="H55" i="32" s="1"/>
  <c r="G54" i="32"/>
  <c r="G55" i="32" s="1"/>
  <c r="K54" i="32"/>
  <c r="K55" i="32" s="1"/>
  <c r="F54" i="32"/>
  <c r="F55" i="32" s="1"/>
  <c r="E54" i="32"/>
  <c r="E55" i="32" s="1"/>
  <c r="D54" i="32"/>
  <c r="D55" i="32" s="1"/>
  <c r="C54" i="32"/>
  <c r="C55" i="32" s="1"/>
  <c r="N54" i="32"/>
  <c r="N55" i="32" s="1"/>
  <c r="M54" i="32"/>
  <c r="M55" i="32" s="1"/>
  <c r="L54" i="32"/>
  <c r="L55" i="32" s="1"/>
  <c r="G152" i="32"/>
  <c r="G153" i="32" s="1"/>
  <c r="N152" i="32"/>
  <c r="N153" i="32" s="1"/>
  <c r="F152" i="32"/>
  <c r="F153" i="32" s="1"/>
  <c r="M152" i="32"/>
  <c r="M153" i="32" s="1"/>
  <c r="E152" i="32"/>
  <c r="E153" i="32" s="1"/>
  <c r="K152" i="32"/>
  <c r="K153" i="32" s="1"/>
  <c r="C152" i="32"/>
  <c r="C153" i="32" s="1"/>
  <c r="L152" i="32"/>
  <c r="L153" i="32" s="1"/>
  <c r="J152" i="32"/>
  <c r="J153" i="32" s="1"/>
  <c r="I152" i="32"/>
  <c r="I153" i="32" s="1"/>
  <c r="H152" i="32"/>
  <c r="H153" i="32" s="1"/>
  <c r="D152" i="32"/>
  <c r="D153" i="32" s="1"/>
  <c r="N68" i="32"/>
  <c r="N69" i="32" s="1"/>
  <c r="F68" i="32"/>
  <c r="F69" i="32" s="1"/>
  <c r="M68" i="32"/>
  <c r="M69" i="32" s="1"/>
  <c r="E68" i="32"/>
  <c r="E69" i="32" s="1"/>
  <c r="L68" i="32"/>
  <c r="L69" i="32" s="1"/>
  <c r="D68" i="32"/>
  <c r="D69" i="32" s="1"/>
  <c r="K68" i="32"/>
  <c r="K69" i="32" s="1"/>
  <c r="C68" i="32"/>
  <c r="C69" i="32" s="1"/>
  <c r="G68" i="32"/>
  <c r="G69" i="32" s="1"/>
  <c r="J68" i="32"/>
  <c r="J69" i="32" s="1"/>
  <c r="I68" i="32"/>
  <c r="I69" i="32" s="1"/>
  <c r="H68" i="32"/>
  <c r="H69" i="32" s="1"/>
  <c r="I96" i="32"/>
  <c r="I97" i="32" s="1"/>
  <c r="H96" i="32"/>
  <c r="H97" i="32" s="1"/>
  <c r="G96" i="32"/>
  <c r="G97" i="32" s="1"/>
  <c r="N96" i="32"/>
  <c r="N97" i="32" s="1"/>
  <c r="F96" i="32"/>
  <c r="F97" i="32" s="1"/>
  <c r="K96" i="32"/>
  <c r="K97" i="32" s="1"/>
  <c r="J96" i="32"/>
  <c r="J97" i="32" s="1"/>
  <c r="E96" i="32"/>
  <c r="E97" i="32" s="1"/>
  <c r="D96" i="32"/>
  <c r="D97" i="32" s="1"/>
  <c r="L96" i="32"/>
  <c r="L97" i="32" s="1"/>
  <c r="C96" i="32"/>
  <c r="C97" i="32" s="1"/>
  <c r="M96" i="32"/>
  <c r="M97" i="32" s="1"/>
  <c r="J40" i="32"/>
  <c r="J41" i="32" s="1"/>
  <c r="H40" i="32"/>
  <c r="H41" i="32" s="1"/>
  <c r="G40" i="32"/>
  <c r="G41" i="32" s="1"/>
  <c r="C40" i="32"/>
  <c r="C41" i="32" s="1"/>
  <c r="L40" i="32"/>
  <c r="L41" i="32" s="1"/>
  <c r="K40" i="32"/>
  <c r="K41" i="32" s="1"/>
  <c r="I40" i="32"/>
  <c r="I41" i="32" s="1"/>
  <c r="F40" i="32"/>
  <c r="F41" i="32" s="1"/>
  <c r="E40" i="32"/>
  <c r="E41" i="32" s="1"/>
  <c r="D40" i="32"/>
  <c r="D41" i="32" s="1"/>
  <c r="I259" i="32"/>
  <c r="M252" i="32"/>
  <c r="F259" i="32"/>
  <c r="E238" i="32"/>
  <c r="L243" i="32"/>
  <c r="C245" i="32"/>
  <c r="N215" i="32"/>
  <c r="F210" i="32"/>
  <c r="J245" i="32"/>
  <c r="M217" i="32"/>
  <c r="I196" i="32"/>
  <c r="I173" i="32"/>
  <c r="L215" i="32"/>
  <c r="L189" i="32"/>
  <c r="H252" i="32"/>
  <c r="N203" i="32"/>
  <c r="F173" i="32"/>
  <c r="I215" i="32"/>
  <c r="I189" i="32"/>
  <c r="C238" i="32"/>
  <c r="C173" i="32"/>
  <c r="G147" i="32"/>
  <c r="C126" i="32"/>
  <c r="L203" i="32"/>
  <c r="N168" i="32"/>
  <c r="F168" i="32"/>
  <c r="M224" i="32"/>
  <c r="I159" i="32"/>
  <c r="I131" i="32"/>
  <c r="H189" i="32"/>
  <c r="G154" i="32"/>
  <c r="G131" i="32"/>
  <c r="K173" i="32"/>
  <c r="D168" i="32"/>
  <c r="I117" i="32"/>
  <c r="E98" i="32"/>
  <c r="G201" i="32"/>
  <c r="E126" i="32"/>
  <c r="L98" i="32"/>
  <c r="I140" i="32"/>
  <c r="D126" i="32"/>
  <c r="K98" i="32"/>
  <c r="L161" i="32"/>
  <c r="N119" i="32"/>
  <c r="F112" i="32"/>
  <c r="I168" i="32"/>
  <c r="K119" i="32"/>
  <c r="J77" i="32"/>
  <c r="C217" i="32"/>
  <c r="L131" i="32"/>
  <c r="I75" i="32"/>
  <c r="E56" i="32"/>
  <c r="E117" i="32"/>
  <c r="H77" i="32"/>
  <c r="F47" i="32"/>
  <c r="H103" i="32"/>
  <c r="K61" i="32"/>
  <c r="K182" i="32"/>
  <c r="K75" i="32"/>
  <c r="C119" i="32"/>
  <c r="F75" i="32"/>
  <c r="D47" i="32"/>
  <c r="F103" i="32"/>
  <c r="E77" i="32"/>
  <c r="E112" i="32"/>
  <c r="H63" i="32"/>
  <c r="C77" i="32"/>
  <c r="N75" i="32"/>
  <c r="M117" i="32"/>
  <c r="L75" i="32"/>
  <c r="D70" i="32"/>
  <c r="J103" i="32"/>
  <c r="E159" i="32"/>
  <c r="C112" i="32"/>
  <c r="N61" i="32"/>
  <c r="I105" i="32"/>
  <c r="J42" i="32"/>
  <c r="F161" i="32"/>
  <c r="G56" i="32"/>
  <c r="E91" i="32"/>
  <c r="G42" i="32"/>
  <c r="K70" i="32"/>
  <c r="H159" i="32"/>
  <c r="L145" i="32"/>
  <c r="I257" i="32"/>
  <c r="N252" i="32"/>
  <c r="N243" i="32"/>
  <c r="F257" i="32"/>
  <c r="I231" i="32"/>
  <c r="D245" i="32"/>
  <c r="C243" i="32"/>
  <c r="F217" i="32"/>
  <c r="J203" i="32"/>
  <c r="J243" i="32"/>
  <c r="M215" i="32"/>
  <c r="M189" i="32"/>
  <c r="I245" i="32"/>
  <c r="D217" i="32"/>
  <c r="L187" i="32"/>
  <c r="I238" i="32"/>
  <c r="N201" i="32"/>
  <c r="F196" i="32"/>
  <c r="K259" i="32"/>
  <c r="I210" i="32"/>
  <c r="I187" i="32"/>
  <c r="E231" i="32"/>
  <c r="G168" i="32"/>
  <c r="G145" i="32"/>
  <c r="N224" i="32"/>
  <c r="L201" i="32"/>
  <c r="J161" i="32"/>
  <c r="G217" i="32"/>
  <c r="I154" i="32"/>
  <c r="I133" i="32"/>
  <c r="H187" i="32"/>
  <c r="K147" i="32"/>
  <c r="C224" i="32"/>
  <c r="K175" i="32"/>
  <c r="H154" i="32"/>
  <c r="I119" i="32"/>
  <c r="I91" i="32"/>
  <c r="G203" i="32"/>
  <c r="H117" i="32"/>
  <c r="D98" i="32"/>
  <c r="E133" i="32"/>
  <c r="G119" i="32"/>
  <c r="C98" i="32"/>
  <c r="L159" i="32"/>
  <c r="F119" i="32"/>
  <c r="J105" i="32"/>
  <c r="E161" i="32"/>
  <c r="K117" i="32"/>
  <c r="J70" i="32"/>
  <c r="C215" i="32"/>
  <c r="L133" i="32"/>
  <c r="I77" i="32"/>
  <c r="G49" i="32"/>
  <c r="M112" i="32"/>
  <c r="H70" i="32"/>
  <c r="F49" i="32"/>
  <c r="L91" i="32"/>
  <c r="C61" i="32"/>
  <c r="J168" i="32"/>
  <c r="J147" i="32"/>
  <c r="C70" i="32"/>
  <c r="C117" i="32"/>
  <c r="N70" i="32"/>
  <c r="D49" i="32"/>
  <c r="E75" i="32"/>
  <c r="I98" i="32"/>
  <c r="H61" i="32"/>
  <c r="C75" i="32"/>
  <c r="F70" i="32"/>
  <c r="H161" i="32"/>
  <c r="J49" i="32"/>
  <c r="L147" i="32"/>
  <c r="F117" i="32"/>
  <c r="G252" i="32"/>
  <c r="F252" i="32"/>
  <c r="N245" i="32"/>
  <c r="F238" i="32"/>
  <c r="L252" i="32"/>
  <c r="I229" i="32"/>
  <c r="D243" i="32"/>
  <c r="N231" i="32"/>
  <c r="F215" i="32"/>
  <c r="J201" i="32"/>
  <c r="L238" i="32"/>
  <c r="E217" i="32"/>
  <c r="M187" i="32"/>
  <c r="I243" i="32"/>
  <c r="D215" i="32"/>
  <c r="D189" i="32"/>
  <c r="H231" i="32"/>
  <c r="F203" i="32"/>
  <c r="J189" i="32"/>
  <c r="K257" i="32"/>
  <c r="M203" i="32"/>
  <c r="I182" i="32"/>
  <c r="E229" i="32"/>
  <c r="K161" i="32"/>
  <c r="G140" i="32"/>
  <c r="C182" i="32"/>
  <c r="J159" i="32"/>
  <c r="G215" i="32"/>
  <c r="M147" i="32"/>
  <c r="I126" i="32"/>
  <c r="L175" i="32"/>
  <c r="K145" i="32"/>
  <c r="G210" i="32"/>
  <c r="K231" i="32"/>
  <c r="D145" i="32"/>
  <c r="I112" i="32"/>
  <c r="I89" i="32"/>
  <c r="N161" i="32"/>
  <c r="H119" i="32"/>
  <c r="H91" i="32"/>
  <c r="E131" i="32"/>
  <c r="G117" i="32"/>
  <c r="G89" i="32"/>
  <c r="I70" i="32"/>
  <c r="K112" i="32"/>
  <c r="K42" i="32"/>
  <c r="M70" i="32"/>
  <c r="J56" i="32"/>
  <c r="H245" i="32"/>
  <c r="G245" i="32"/>
  <c r="F245" i="32"/>
  <c r="J231" i="32"/>
  <c r="M245" i="32"/>
  <c r="I224" i="32"/>
  <c r="L259" i="32"/>
  <c r="N229" i="32"/>
  <c r="J196" i="32"/>
  <c r="N182" i="32"/>
  <c r="M231" i="32"/>
  <c r="E215" i="32"/>
  <c r="E189" i="32"/>
  <c r="K238" i="32"/>
  <c r="L210" i="32"/>
  <c r="D187" i="32"/>
  <c r="H229" i="32"/>
  <c r="F201" i="32"/>
  <c r="J187" i="32"/>
  <c r="D238" i="32"/>
  <c r="M201" i="32"/>
  <c r="M175" i="32"/>
  <c r="K215" i="32"/>
  <c r="K159" i="32"/>
  <c r="K133" i="32"/>
  <c r="J154" i="32"/>
  <c r="N140" i="32"/>
  <c r="K203" i="32"/>
  <c r="M145" i="32"/>
  <c r="D224" i="32"/>
  <c r="L173" i="32"/>
  <c r="C147" i="32"/>
  <c r="C201" i="32"/>
  <c r="K229" i="32"/>
  <c r="D147" i="32"/>
  <c r="M103" i="32"/>
  <c r="I84" i="32"/>
  <c r="N159" i="32"/>
  <c r="H112" i="32"/>
  <c r="H89" i="32"/>
  <c r="G112" i="32"/>
  <c r="G91" i="32"/>
  <c r="H140" i="32"/>
  <c r="N112" i="32"/>
  <c r="J98" i="32"/>
  <c r="N84" i="32"/>
  <c r="M154" i="32"/>
  <c r="G98" i="32"/>
  <c r="N63" i="32"/>
  <c r="N56" i="32"/>
  <c r="F56" i="32"/>
  <c r="D159" i="32"/>
  <c r="J117" i="32"/>
  <c r="M61" i="32"/>
  <c r="C189" i="32"/>
  <c r="I103" i="32"/>
  <c r="L63" i="32"/>
  <c r="J126" i="32"/>
  <c r="D84" i="32"/>
  <c r="K56" i="32"/>
  <c r="F159" i="32"/>
  <c r="N133" i="32"/>
  <c r="I49" i="32"/>
  <c r="G105" i="32"/>
  <c r="D175" i="32"/>
  <c r="I63" i="32"/>
  <c r="E89" i="32"/>
  <c r="D112" i="32"/>
  <c r="G63" i="32"/>
  <c r="L47" i="32"/>
  <c r="M77" i="32"/>
  <c r="E70" i="32"/>
  <c r="H56" i="32"/>
  <c r="K187" i="32"/>
  <c r="F89" i="32"/>
  <c r="D196" i="32"/>
  <c r="M133" i="32"/>
  <c r="E61" i="32"/>
  <c r="L112" i="32"/>
  <c r="J63" i="32"/>
  <c r="H243" i="32"/>
  <c r="G243" i="32"/>
  <c r="F243" i="32"/>
  <c r="N238" i="32"/>
  <c r="J229" i="32"/>
  <c r="M243" i="32"/>
  <c r="M259" i="32"/>
  <c r="L257" i="32"/>
  <c r="D231" i="32"/>
  <c r="N189" i="32"/>
  <c r="M229" i="32"/>
  <c r="M210" i="32"/>
  <c r="E187" i="32"/>
  <c r="L229" i="32"/>
  <c r="D210" i="32"/>
  <c r="L182" i="32"/>
  <c r="F224" i="32"/>
  <c r="N196" i="32"/>
  <c r="J182" i="32"/>
  <c r="G229" i="32"/>
  <c r="E203" i="32"/>
  <c r="M173" i="32"/>
  <c r="K217" i="32"/>
  <c r="C161" i="32"/>
  <c r="K131" i="32"/>
  <c r="N147" i="32"/>
  <c r="K201" i="32"/>
  <c r="E145" i="32"/>
  <c r="H210" i="32"/>
  <c r="K168" i="32"/>
  <c r="C145" i="32"/>
  <c r="C203" i="32"/>
  <c r="G224" i="32"/>
  <c r="L140" i="32"/>
  <c r="M105" i="32"/>
  <c r="J259" i="32"/>
  <c r="F154" i="32"/>
  <c r="L103" i="32"/>
  <c r="H84" i="32"/>
  <c r="N126" i="32"/>
  <c r="K105" i="32"/>
  <c r="G84" i="32"/>
  <c r="D133" i="32"/>
  <c r="N91" i="32"/>
  <c r="I147" i="32"/>
  <c r="C91" i="32"/>
  <c r="F63" i="32"/>
  <c r="H49" i="32"/>
  <c r="D161" i="32"/>
  <c r="N105" i="32"/>
  <c r="M63" i="32"/>
  <c r="C187" i="32"/>
  <c r="M91" i="32"/>
  <c r="D63" i="32"/>
  <c r="D119" i="32"/>
  <c r="G77" i="32"/>
  <c r="C56" i="32"/>
  <c r="N131" i="32"/>
  <c r="I47" i="32"/>
  <c r="G103" i="32"/>
  <c r="D173" i="32"/>
  <c r="N98" i="32"/>
  <c r="I61" i="32"/>
  <c r="M84" i="32"/>
  <c r="H98" i="32"/>
  <c r="G61" i="32"/>
  <c r="L49" i="32"/>
  <c r="M75" i="32"/>
  <c r="I56" i="32"/>
  <c r="C103" i="32"/>
  <c r="K84" i="32"/>
  <c r="E84" i="32"/>
  <c r="E49" i="32"/>
  <c r="L117" i="32"/>
  <c r="K89" i="32"/>
  <c r="C84" i="32"/>
  <c r="H238" i="32"/>
  <c r="G238" i="32"/>
  <c r="J224" i="32"/>
  <c r="E243" i="32"/>
  <c r="M257" i="32"/>
  <c r="J252" i="32"/>
  <c r="D229" i="32"/>
  <c r="N187" i="32"/>
  <c r="F182" i="32"/>
  <c r="C231" i="32"/>
  <c r="E210" i="32"/>
  <c r="M182" i="32"/>
  <c r="L231" i="32"/>
  <c r="H203" i="32"/>
  <c r="D182" i="32"/>
  <c r="J217" i="32"/>
  <c r="N175" i="32"/>
  <c r="G231" i="32"/>
  <c r="E201" i="32"/>
  <c r="E175" i="32"/>
  <c r="C196" i="32"/>
  <c r="C159" i="32"/>
  <c r="C133" i="32"/>
  <c r="N145" i="32"/>
  <c r="F140" i="32"/>
  <c r="M168" i="32"/>
  <c r="E147" i="32"/>
  <c r="D203" i="32"/>
  <c r="C168" i="32"/>
  <c r="K140" i="32"/>
  <c r="K196" i="32"/>
  <c r="F231" i="32"/>
  <c r="H131" i="32"/>
  <c r="E105" i="32"/>
  <c r="J257" i="32"/>
  <c r="J140" i="32"/>
  <c r="L105" i="32"/>
  <c r="M161" i="32"/>
  <c r="K103" i="32"/>
  <c r="G196" i="32"/>
  <c r="D131" i="32"/>
  <c r="N89" i="32"/>
  <c r="F84" i="32"/>
  <c r="I145" i="32"/>
  <c r="C89" i="32"/>
  <c r="F61" i="32"/>
  <c r="H47" i="32"/>
  <c r="L154" i="32"/>
  <c r="N103" i="32"/>
  <c r="E63" i="32"/>
  <c r="D140" i="32"/>
  <c r="M89" i="32"/>
  <c r="D61" i="32"/>
  <c r="D117" i="32"/>
  <c r="G75" i="32"/>
  <c r="E47" i="32"/>
  <c r="N154" i="32"/>
  <c r="L119" i="32"/>
  <c r="G175" i="32"/>
  <c r="K91" i="32"/>
  <c r="G126" i="32"/>
  <c r="C47" i="32"/>
  <c r="D77" i="32"/>
  <c r="D91" i="32"/>
  <c r="F42" i="32"/>
  <c r="E42" i="32"/>
  <c r="K47" i="32"/>
  <c r="M126" i="32"/>
  <c r="L42" i="32"/>
  <c r="H145" i="32"/>
  <c r="F98" i="32"/>
  <c r="L126" i="32"/>
  <c r="G70" i="32"/>
  <c r="J91" i="32"/>
  <c r="D75" i="32"/>
  <c r="D89" i="32"/>
  <c r="K49" i="32"/>
  <c r="H257" i="32"/>
  <c r="G257" i="32"/>
  <c r="N259" i="32"/>
  <c r="E245" i="32"/>
  <c r="K252" i="32"/>
  <c r="K245" i="32"/>
  <c r="L224" i="32"/>
  <c r="N210" i="32"/>
  <c r="F189" i="32"/>
  <c r="J175" i="32"/>
  <c r="C229" i="32"/>
  <c r="I203" i="32"/>
  <c r="E182" i="32"/>
  <c r="H224" i="32"/>
  <c r="H201" i="32"/>
  <c r="H175" i="32"/>
  <c r="J215" i="32"/>
  <c r="N173" i="32"/>
  <c r="E224" i="32"/>
  <c r="M196" i="32"/>
  <c r="E173" i="32"/>
  <c r="G182" i="32"/>
  <c r="K154" i="32"/>
  <c r="C131" i="32"/>
  <c r="H217" i="32"/>
  <c r="F145" i="32"/>
  <c r="J131" i="32"/>
  <c r="E168" i="32"/>
  <c r="M140" i="32"/>
  <c r="D201" i="32"/>
  <c r="G161" i="32"/>
  <c r="C140" i="32"/>
  <c r="G187" i="32"/>
  <c r="F229" i="32"/>
  <c r="H133" i="32"/>
  <c r="E103" i="32"/>
  <c r="J238" i="32"/>
  <c r="F133" i="32"/>
  <c r="D105" i="32"/>
  <c r="M159" i="32"/>
  <c r="L56" i="32"/>
  <c r="G173" i="32"/>
  <c r="J112" i="32"/>
  <c r="C49" i="32"/>
  <c r="L168" i="32"/>
  <c r="H259" i="32"/>
  <c r="G259" i="32"/>
  <c r="N257" i="32"/>
  <c r="M238" i="32"/>
  <c r="L245" i="32"/>
  <c r="K243" i="32"/>
  <c r="N217" i="32"/>
  <c r="F187" i="32"/>
  <c r="J173" i="32"/>
  <c r="K224" i="32"/>
  <c r="I201" i="32"/>
  <c r="I175" i="32"/>
  <c r="L217" i="32"/>
  <c r="H196" i="32"/>
  <c r="H173" i="32"/>
  <c r="J210" i="32"/>
  <c r="F175" i="32"/>
  <c r="I217" i="32"/>
  <c r="E196" i="32"/>
  <c r="I252" i="32"/>
  <c r="C175" i="32"/>
  <c r="C154" i="32"/>
  <c r="K126" i="32"/>
  <c r="H215" i="32"/>
  <c r="F147" i="32"/>
  <c r="J133" i="32"/>
  <c r="I161" i="32"/>
  <c r="E140" i="32"/>
  <c r="L196" i="32"/>
  <c r="G159" i="32"/>
  <c r="G133" i="32"/>
  <c r="G189" i="32"/>
  <c r="K210" i="32"/>
  <c r="F126" i="32"/>
  <c r="M98" i="32"/>
  <c r="C210" i="32"/>
  <c r="F131" i="32"/>
  <c r="D103" i="32"/>
  <c r="E154" i="32"/>
  <c r="C105" i="32"/>
  <c r="K189" i="32"/>
  <c r="N117" i="32"/>
  <c r="F91" i="32"/>
  <c r="H182" i="32"/>
  <c r="M131" i="32"/>
  <c r="J75" i="32"/>
  <c r="D42" i="32"/>
  <c r="H147" i="32"/>
  <c r="J84" i="32"/>
  <c r="M56" i="32"/>
  <c r="E119" i="32"/>
  <c r="H75" i="32"/>
  <c r="D56" i="32"/>
  <c r="H105" i="32"/>
  <c r="K63" i="32"/>
  <c r="I42" i="32"/>
  <c r="K77" i="32"/>
  <c r="H126" i="32"/>
  <c r="F77" i="32"/>
  <c r="J61" i="32"/>
  <c r="F105" i="32"/>
  <c r="J89" i="32"/>
  <c r="H42" i="32"/>
  <c r="L70" i="32"/>
  <c r="L84" i="32"/>
  <c r="N77" i="32"/>
  <c r="M119" i="32"/>
  <c r="L77" i="32"/>
  <c r="C42" i="32"/>
  <c r="D154" i="32"/>
  <c r="H168" i="32"/>
  <c r="J119" i="32"/>
  <c r="G47" i="32"/>
  <c r="L61" i="32"/>
  <c r="L89" i="32"/>
  <c r="C63" i="32"/>
  <c r="J145" i="32"/>
  <c r="J47" i="32"/>
  <c r="J48" i="32" l="1"/>
  <c r="J146" i="32"/>
  <c r="C64" i="32"/>
  <c r="L90" i="32"/>
  <c r="L62" i="32"/>
  <c r="G48" i="32"/>
  <c r="J120" i="32"/>
  <c r="H169" i="32"/>
  <c r="D155" i="32"/>
  <c r="C43" i="32"/>
  <c r="L78" i="32"/>
  <c r="M120" i="32"/>
  <c r="N78" i="32"/>
  <c r="L85" i="32"/>
  <c r="L71" i="32"/>
  <c r="H43" i="32"/>
  <c r="J90" i="32"/>
  <c r="F106" i="32"/>
  <c r="J62" i="32"/>
  <c r="F78" i="32"/>
  <c r="H127" i="32"/>
  <c r="K78" i="32"/>
  <c r="I43" i="32"/>
  <c r="K64" i="32"/>
  <c r="H106" i="32"/>
  <c r="D57" i="32"/>
  <c r="H76" i="32"/>
  <c r="E120" i="32"/>
  <c r="M57" i="32"/>
  <c r="J85" i="32"/>
  <c r="H148" i="32"/>
  <c r="D43" i="32"/>
  <c r="J76" i="32"/>
  <c r="M132" i="32"/>
  <c r="H183" i="32"/>
  <c r="F92" i="32"/>
  <c r="N118" i="32"/>
  <c r="K190" i="32"/>
  <c r="C106" i="32"/>
  <c r="E155" i="32"/>
  <c r="D104" i="32"/>
  <c r="F132" i="32"/>
  <c r="C211" i="32"/>
  <c r="M99" i="32"/>
  <c r="F127" i="32"/>
  <c r="K211" i="32"/>
  <c r="G190" i="32"/>
  <c r="G134" i="32"/>
  <c r="G160" i="32"/>
  <c r="L197" i="32"/>
  <c r="E141" i="32"/>
  <c r="I162" i="32"/>
  <c r="J134" i="32"/>
  <c r="F148" i="32"/>
  <c r="H216" i="32"/>
  <c r="K127" i="32"/>
  <c r="C155" i="32"/>
  <c r="C176" i="32"/>
  <c r="I253" i="32"/>
  <c r="E197" i="32"/>
  <c r="I218" i="32"/>
  <c r="F176" i="32"/>
  <c r="J211" i="32"/>
  <c r="H174" i="32"/>
  <c r="H197" i="32"/>
  <c r="L218" i="32"/>
  <c r="I176" i="32"/>
  <c r="I202" i="32"/>
  <c r="K225" i="32"/>
  <c r="J174" i="32"/>
  <c r="F188" i="32"/>
  <c r="N218" i="32"/>
  <c r="K244" i="32"/>
  <c r="L246" i="32"/>
  <c r="M239" i="32"/>
  <c r="N258" i="32"/>
  <c r="G260" i="32"/>
  <c r="H260" i="32"/>
  <c r="L169" i="32"/>
  <c r="C50" i="32"/>
  <c r="J113" i="32"/>
  <c r="G174" i="32"/>
  <c r="L57" i="32"/>
  <c r="M160" i="32"/>
  <c r="D106" i="32"/>
  <c r="F134" i="32"/>
  <c r="J239" i="32"/>
  <c r="E104" i="32"/>
  <c r="H134" i="32"/>
  <c r="F230" i="32"/>
  <c r="G188" i="32"/>
  <c r="C141" i="32"/>
  <c r="G162" i="32"/>
  <c r="D202" i="32"/>
  <c r="M141" i="32"/>
  <c r="E169" i="32"/>
  <c r="J132" i="32"/>
  <c r="F146" i="32"/>
  <c r="H218" i="32"/>
  <c r="C132" i="32"/>
  <c r="K155" i="32"/>
  <c r="G183" i="32"/>
  <c r="E174" i="32"/>
  <c r="M197" i="32"/>
  <c r="E225" i="32"/>
  <c r="N174" i="32"/>
  <c r="J216" i="32"/>
  <c r="H176" i="32"/>
  <c r="H202" i="32"/>
  <c r="H225" i="32"/>
  <c r="E183" i="32"/>
  <c r="I204" i="32"/>
  <c r="C230" i="32"/>
  <c r="J176" i="32"/>
  <c r="F190" i="32"/>
  <c r="N211" i="32"/>
  <c r="L225" i="32"/>
  <c r="K246" i="32"/>
  <c r="K253" i="32"/>
  <c r="E246" i="32"/>
  <c r="N260" i="32"/>
  <c r="G258" i="32"/>
  <c r="H258" i="32"/>
  <c r="K50" i="32"/>
  <c r="D90" i="32"/>
  <c r="D76" i="32"/>
  <c r="J92" i="32"/>
  <c r="G71" i="32"/>
  <c r="L127" i="32"/>
  <c r="F99" i="32"/>
  <c r="H146" i="32"/>
  <c r="L43" i="32"/>
  <c r="M127" i="32"/>
  <c r="K48" i="32"/>
  <c r="E43" i="32"/>
  <c r="F43" i="32"/>
  <c r="D92" i="32"/>
  <c r="D78" i="32"/>
  <c r="C48" i="32"/>
  <c r="G127" i="32"/>
  <c r="K92" i="32"/>
  <c r="G176" i="32"/>
  <c r="L120" i="32"/>
  <c r="N155" i="32"/>
  <c r="E48" i="32"/>
  <c r="G76" i="32"/>
  <c r="D118" i="32"/>
  <c r="D62" i="32"/>
  <c r="M90" i="32"/>
  <c r="D141" i="32"/>
  <c r="E64" i="32"/>
  <c r="N104" i="32"/>
  <c r="L155" i="32"/>
  <c r="H48" i="32"/>
  <c r="F62" i="32"/>
  <c r="C90" i="32"/>
  <c r="I146" i="32"/>
  <c r="F85" i="32"/>
  <c r="N90" i="32"/>
  <c r="D132" i="32"/>
  <c r="G197" i="32"/>
  <c r="K104" i="32"/>
  <c r="M162" i="32"/>
  <c r="L106" i="32"/>
  <c r="J141" i="32"/>
  <c r="J258" i="32"/>
  <c r="E106" i="32"/>
  <c r="H132" i="32"/>
  <c r="F232" i="32"/>
  <c r="K197" i="32"/>
  <c r="K141" i="32"/>
  <c r="C169" i="32"/>
  <c r="D204" i="32"/>
  <c r="E148" i="32"/>
  <c r="M169" i="32"/>
  <c r="F141" i="32"/>
  <c r="N146" i="32"/>
  <c r="C134" i="32"/>
  <c r="C160" i="32"/>
  <c r="C197" i="32"/>
  <c r="E176" i="32"/>
  <c r="E202" i="32"/>
  <c r="G232" i="32"/>
  <c r="N176" i="32"/>
  <c r="J218" i="32"/>
  <c r="D183" i="32"/>
  <c r="H204" i="32"/>
  <c r="L232" i="32"/>
  <c r="M183" i="32"/>
  <c r="E211" i="32"/>
  <c r="C232" i="32"/>
  <c r="F183" i="32"/>
  <c r="N188" i="32"/>
  <c r="D230" i="32"/>
  <c r="J253" i="32"/>
  <c r="M258" i="32"/>
  <c r="E244" i="32"/>
  <c r="J225" i="32"/>
  <c r="G239" i="32"/>
  <c r="H239" i="32"/>
  <c r="C85" i="32"/>
  <c r="K90" i="32"/>
  <c r="L118" i="32"/>
  <c r="E50" i="32"/>
  <c r="E85" i="32"/>
  <c r="K85" i="32"/>
  <c r="C104" i="32"/>
  <c r="I57" i="32"/>
  <c r="M76" i="32"/>
  <c r="L50" i="32"/>
  <c r="G62" i="32"/>
  <c r="H99" i="32"/>
  <c r="M85" i="32"/>
  <c r="I62" i="32"/>
  <c r="N99" i="32"/>
  <c r="D174" i="32"/>
  <c r="G104" i="32"/>
  <c r="I48" i="32"/>
  <c r="N132" i="32"/>
  <c r="C57" i="32"/>
  <c r="G78" i="32"/>
  <c r="D120" i="32"/>
  <c r="D64" i="32"/>
  <c r="M92" i="32"/>
  <c r="C188" i="32"/>
  <c r="M64" i="32"/>
  <c r="N106" i="32"/>
  <c r="D162" i="32"/>
  <c r="H50" i="32"/>
  <c r="F64" i="32"/>
  <c r="C92" i="32"/>
  <c r="I148" i="32"/>
  <c r="N92" i="32"/>
  <c r="D134" i="32"/>
  <c r="G85" i="32"/>
  <c r="K106" i="32"/>
  <c r="N127" i="32"/>
  <c r="H85" i="32"/>
  <c r="L104" i="32"/>
  <c r="F155" i="32"/>
  <c r="J260" i="32"/>
  <c r="M106" i="32"/>
  <c r="L141" i="32"/>
  <c r="G225" i="32"/>
  <c r="C204" i="32"/>
  <c r="C146" i="32"/>
  <c r="K169" i="32"/>
  <c r="H211" i="32"/>
  <c r="E146" i="32"/>
  <c r="K202" i="32"/>
  <c r="N148" i="32"/>
  <c r="K132" i="32"/>
  <c r="C162" i="32"/>
  <c r="K218" i="32"/>
  <c r="M174" i="32"/>
  <c r="E204" i="32"/>
  <c r="G230" i="32"/>
  <c r="J183" i="32"/>
  <c r="N197" i="32"/>
  <c r="F225" i="32"/>
  <c r="L183" i="32"/>
  <c r="D211" i="32"/>
  <c r="L230" i="32"/>
  <c r="E188" i="32"/>
  <c r="M211" i="32"/>
  <c r="M230" i="32"/>
  <c r="N190" i="32"/>
  <c r="D232" i="32"/>
  <c r="L258" i="32"/>
  <c r="M260" i="32"/>
  <c r="M244" i="32"/>
  <c r="J230" i="32"/>
  <c r="N239" i="32"/>
  <c r="F244" i="32"/>
  <c r="G244" i="32"/>
  <c r="H244" i="32"/>
  <c r="J64" i="32"/>
  <c r="L113" i="32"/>
  <c r="E62" i="32"/>
  <c r="M134" i="32"/>
  <c r="D197" i="32"/>
  <c r="F90" i="32"/>
  <c r="K188" i="32"/>
  <c r="H57" i="32"/>
  <c r="E71" i="32"/>
  <c r="M78" i="32"/>
  <c r="L48" i="32"/>
  <c r="G64" i="32"/>
  <c r="D113" i="32"/>
  <c r="E90" i="32"/>
  <c r="I64" i="32"/>
  <c r="D176" i="32"/>
  <c r="G106" i="32"/>
  <c r="I50" i="32"/>
  <c r="N134" i="32"/>
  <c r="F160" i="32"/>
  <c r="K57" i="32"/>
  <c r="D85" i="32"/>
  <c r="J127" i="32"/>
  <c r="L64" i="32"/>
  <c r="I104" i="32"/>
  <c r="C190" i="32"/>
  <c r="M62" i="32"/>
  <c r="J118" i="32"/>
  <c r="D160" i="32"/>
  <c r="F57" i="32"/>
  <c r="N57" i="32"/>
  <c r="N64" i="32"/>
  <c r="G99" i="32"/>
  <c r="M155" i="32"/>
  <c r="N85" i="32"/>
  <c r="J99" i="32"/>
  <c r="N113" i="32"/>
  <c r="H141" i="32"/>
  <c r="G92" i="32"/>
  <c r="G113" i="32"/>
  <c r="H90" i="32"/>
  <c r="H113" i="32"/>
  <c r="N160" i="32"/>
  <c r="I85" i="32"/>
  <c r="M104" i="32"/>
  <c r="D148" i="32"/>
  <c r="K230" i="32"/>
  <c r="C202" i="32"/>
  <c r="C148" i="32"/>
  <c r="L174" i="32"/>
  <c r="D225" i="32"/>
  <c r="M146" i="32"/>
  <c r="K204" i="32"/>
  <c r="N141" i="32"/>
  <c r="J155" i="32"/>
  <c r="K134" i="32"/>
  <c r="K160" i="32"/>
  <c r="K216" i="32"/>
  <c r="M176" i="32"/>
  <c r="M202" i="32"/>
  <c r="D239" i="32"/>
  <c r="J188" i="32"/>
  <c r="F202" i="32"/>
  <c r="H230" i="32"/>
  <c r="D188" i="32"/>
  <c r="L211" i="32"/>
  <c r="K239" i="32"/>
  <c r="E190" i="32"/>
  <c r="E216" i="32"/>
  <c r="M232" i="32"/>
  <c r="N183" i="32"/>
  <c r="J197" i="32"/>
  <c r="N230" i="32"/>
  <c r="L260" i="32"/>
  <c r="I225" i="32"/>
  <c r="M246" i="32"/>
  <c r="J232" i="32"/>
  <c r="F246" i="32"/>
  <c r="G246" i="32"/>
  <c r="H246" i="32"/>
  <c r="J57" i="32"/>
  <c r="M71" i="32"/>
  <c r="K43" i="32"/>
  <c r="K113" i="32"/>
  <c r="I71" i="32"/>
  <c r="G90" i="32"/>
  <c r="G118" i="32"/>
  <c r="E132" i="32"/>
  <c r="H92" i="32"/>
  <c r="H120" i="32"/>
  <c r="N162" i="32"/>
  <c r="I90" i="32"/>
  <c r="I113" i="32"/>
  <c r="D146" i="32"/>
  <c r="K232" i="32"/>
  <c r="G211" i="32"/>
  <c r="K146" i="32"/>
  <c r="L176" i="32"/>
  <c r="I127" i="32"/>
  <c r="M148" i="32"/>
  <c r="G216" i="32"/>
  <c r="J160" i="32"/>
  <c r="C183" i="32"/>
  <c r="G141" i="32"/>
  <c r="K162" i="32"/>
  <c r="E230" i="32"/>
  <c r="I183" i="32"/>
  <c r="M204" i="32"/>
  <c r="K258" i="32"/>
  <c r="J190" i="32"/>
  <c r="F204" i="32"/>
  <c r="H232" i="32"/>
  <c r="D190" i="32"/>
  <c r="D216" i="32"/>
  <c r="I244" i="32"/>
  <c r="M188" i="32"/>
  <c r="E218" i="32"/>
  <c r="L239" i="32"/>
  <c r="J202" i="32"/>
  <c r="F216" i="32"/>
  <c r="N232" i="32"/>
  <c r="D244" i="32"/>
  <c r="I230" i="32"/>
  <c r="L253" i="32"/>
  <c r="F239" i="32"/>
  <c r="N246" i="32"/>
  <c r="F253" i="32"/>
  <c r="G253" i="32"/>
  <c r="F118" i="32"/>
  <c r="L148" i="32"/>
  <c r="J50" i="32"/>
  <c r="H162" i="32"/>
  <c r="F71" i="32"/>
  <c r="C76" i="32"/>
  <c r="H62" i="32"/>
  <c r="I99" i="32"/>
  <c r="E76" i="32"/>
  <c r="D50" i="32"/>
  <c r="N71" i="32"/>
  <c r="C118" i="32"/>
  <c r="C71" i="32"/>
  <c r="J148" i="32"/>
  <c r="J169" i="32"/>
  <c r="C62" i="32"/>
  <c r="L92" i="32"/>
  <c r="F50" i="32"/>
  <c r="H71" i="32"/>
  <c r="M113" i="32"/>
  <c r="G50" i="32"/>
  <c r="I78" i="32"/>
  <c r="L134" i="32"/>
  <c r="C216" i="32"/>
  <c r="J71" i="32"/>
  <c r="K118" i="32"/>
  <c r="E162" i="32"/>
  <c r="J106" i="32"/>
  <c r="F120" i="32"/>
  <c r="L160" i="32"/>
  <c r="C99" i="32"/>
  <c r="G120" i="32"/>
  <c r="E134" i="32"/>
  <c r="D99" i="32"/>
  <c r="H118" i="32"/>
  <c r="G204" i="32"/>
  <c r="I92" i="32"/>
  <c r="I120" i="32"/>
  <c r="H155" i="32"/>
  <c r="K176" i="32"/>
  <c r="C225" i="32"/>
  <c r="K148" i="32"/>
  <c r="H188" i="32"/>
  <c r="I134" i="32"/>
  <c r="I155" i="32"/>
  <c r="G218" i="32"/>
  <c r="J162" i="32"/>
  <c r="L202" i="32"/>
  <c r="N225" i="32"/>
  <c r="G146" i="32"/>
  <c r="G169" i="32"/>
  <c r="E232" i="32"/>
  <c r="I188" i="32"/>
  <c r="I211" i="32"/>
  <c r="K260" i="32"/>
  <c r="F197" i="32"/>
  <c r="N202" i="32"/>
  <c r="I239" i="32"/>
  <c r="L188" i="32"/>
  <c r="D218" i="32"/>
  <c r="I246" i="32"/>
  <c r="M190" i="32"/>
  <c r="M216" i="32"/>
  <c r="J244" i="32"/>
  <c r="J204" i="32"/>
  <c r="F218" i="32"/>
  <c r="C244" i="32"/>
  <c r="D246" i="32"/>
  <c r="I232" i="32"/>
  <c r="F258" i="32"/>
  <c r="N244" i="32"/>
  <c r="N253" i="32"/>
  <c r="I258" i="32"/>
  <c r="L146" i="32"/>
  <c r="H160" i="32"/>
  <c r="K71" i="32"/>
  <c r="G43" i="32"/>
  <c r="E92" i="32"/>
  <c r="G57" i="32"/>
  <c r="F162" i="32"/>
  <c r="J43" i="32"/>
  <c r="I106" i="32"/>
  <c r="N62" i="32"/>
  <c r="C113" i="32"/>
  <c r="E160" i="32"/>
  <c r="J104" i="32"/>
  <c r="D71" i="32"/>
  <c r="L76" i="32"/>
  <c r="M118" i="32"/>
  <c r="N76" i="32"/>
  <c r="C78" i="32"/>
  <c r="H64" i="32"/>
  <c r="E113" i="32"/>
  <c r="E78" i="32"/>
  <c r="F104" i="32"/>
  <c r="D48" i="32"/>
  <c r="F76" i="32"/>
  <c r="C120" i="32"/>
  <c r="K76" i="32"/>
  <c r="K183" i="32"/>
  <c r="K62" i="32"/>
  <c r="H104" i="32"/>
  <c r="F48" i="32"/>
  <c r="H78" i="32"/>
  <c r="E118" i="32"/>
  <c r="E57" i="32"/>
  <c r="I76" i="32"/>
  <c r="L132" i="32"/>
  <c r="C218" i="32"/>
  <c r="J78" i="32"/>
  <c r="K120" i="32"/>
  <c r="I169" i="32"/>
  <c r="F113" i="32"/>
  <c r="N120" i="32"/>
  <c r="L162" i="32"/>
  <c r="K99" i="32"/>
  <c r="D127" i="32"/>
  <c r="I141" i="32"/>
  <c r="L99" i="32"/>
  <c r="E127" i="32"/>
  <c r="G202" i="32"/>
  <c r="E99" i="32"/>
  <c r="I118" i="32"/>
  <c r="D169" i="32"/>
  <c r="K174" i="32"/>
  <c r="G132" i="32"/>
  <c r="G155" i="32"/>
  <c r="H190" i="32"/>
  <c r="I132" i="32"/>
  <c r="I160" i="32"/>
  <c r="M225" i="32"/>
  <c r="F169" i="32"/>
  <c r="N169" i="32"/>
  <c r="L204" i="32"/>
  <c r="C127" i="32"/>
  <c r="G148" i="32"/>
  <c r="C174" i="32"/>
  <c r="C239" i="32"/>
  <c r="I190" i="32"/>
  <c r="I216" i="32"/>
  <c r="F174" i="32"/>
  <c r="N204" i="32"/>
  <c r="H253" i="32"/>
  <c r="L190" i="32"/>
  <c r="L216" i="32"/>
  <c r="I174" i="32"/>
  <c r="I197" i="32"/>
  <c r="M218" i="32"/>
  <c r="J246" i="32"/>
  <c r="F211" i="32"/>
  <c r="N216" i="32"/>
  <c r="C246" i="32"/>
  <c r="L244" i="32"/>
  <c r="E239" i="32"/>
  <c r="F260" i="32"/>
  <c r="M253" i="32"/>
  <c r="I260" i="32"/>
  <c r="H100" i="32"/>
  <c r="N72" i="32"/>
  <c r="G86" i="32"/>
  <c r="D44" i="32"/>
  <c r="K100" i="32"/>
  <c r="D72" i="32"/>
  <c r="H156" i="32"/>
  <c r="F156" i="32"/>
  <c r="C58" i="32"/>
  <c r="I58" i="32"/>
  <c r="N86" i="32"/>
  <c r="I114" i="32"/>
  <c r="K114" i="32"/>
  <c r="L128" i="32"/>
  <c r="M128" i="32"/>
  <c r="L142" i="32"/>
  <c r="L170" i="32"/>
  <c r="G170" i="32"/>
  <c r="I226" i="32"/>
  <c r="G198" i="32"/>
  <c r="M198" i="32"/>
  <c r="E184" i="32"/>
  <c r="L212" i="32"/>
  <c r="N212" i="32"/>
  <c r="N240" i="32"/>
  <c r="K240" i="32"/>
  <c r="D114" i="32"/>
  <c r="J128" i="32"/>
  <c r="F128" i="32"/>
  <c r="M142" i="32"/>
  <c r="M170" i="32"/>
  <c r="I170" i="32"/>
  <c r="J226" i="32"/>
  <c r="H198" i="32"/>
  <c r="F198" i="32"/>
  <c r="M184" i="32"/>
  <c r="K212" i="32"/>
  <c r="H240" i="32"/>
  <c r="I156" i="32"/>
  <c r="J86" i="32"/>
  <c r="F44" i="32"/>
  <c r="J44" i="32"/>
  <c r="M100" i="32"/>
  <c r="N100" i="32"/>
  <c r="H72" i="32"/>
  <c r="E72" i="32"/>
  <c r="J156" i="32"/>
  <c r="E58" i="32"/>
  <c r="C86" i="32"/>
  <c r="H114" i="32"/>
  <c r="L114" i="32"/>
  <c r="H128" i="32"/>
  <c r="N128" i="32"/>
  <c r="N142" i="32"/>
  <c r="N170" i="32"/>
  <c r="J170" i="32"/>
  <c r="K226" i="32"/>
  <c r="E226" i="32"/>
  <c r="K198" i="32"/>
  <c r="N198" i="32"/>
  <c r="F184" i="32"/>
  <c r="C212" i="32"/>
  <c r="H212" i="32"/>
  <c r="M240" i="32"/>
  <c r="L240" i="32"/>
  <c r="H44" i="32"/>
  <c r="L72" i="32"/>
  <c r="D58" i="32"/>
  <c r="N114" i="32"/>
  <c r="I44" i="32"/>
  <c r="C100" i="32"/>
  <c r="I72" i="32"/>
  <c r="M72" i="32"/>
  <c r="L156" i="32"/>
  <c r="G156" i="32"/>
  <c r="F58" i="32"/>
  <c r="F86" i="32"/>
  <c r="K86" i="32"/>
  <c r="F114" i="32"/>
  <c r="E114" i="32"/>
  <c r="I128" i="32"/>
  <c r="H142" i="32"/>
  <c r="G142" i="32"/>
  <c r="D170" i="32"/>
  <c r="C170" i="32"/>
  <c r="L226" i="32"/>
  <c r="M226" i="32"/>
  <c r="I198" i="32"/>
  <c r="G184" i="32"/>
  <c r="N184" i="32"/>
  <c r="D212" i="32"/>
  <c r="I212" i="32"/>
  <c r="E44" i="32"/>
  <c r="F100" i="32"/>
  <c r="N156" i="32"/>
  <c r="J58" i="32"/>
  <c r="K44" i="32"/>
  <c r="L100" i="32"/>
  <c r="G100" i="32"/>
  <c r="J72" i="32"/>
  <c r="F72" i="32"/>
  <c r="C156" i="32"/>
  <c r="D86" i="32"/>
  <c r="M114" i="32"/>
  <c r="C128" i="32"/>
  <c r="G128" i="32"/>
  <c r="I142" i="32"/>
  <c r="E170" i="32"/>
  <c r="K170" i="32"/>
  <c r="G226" i="32"/>
  <c r="F226" i="32"/>
  <c r="J198" i="32"/>
  <c r="C184" i="32"/>
  <c r="G212" i="32"/>
  <c r="J212" i="32"/>
  <c r="E240" i="32"/>
  <c r="G114" i="32"/>
  <c r="D128" i="32"/>
  <c r="F142" i="32"/>
  <c r="J142" i="32"/>
  <c r="F170" i="32"/>
  <c r="C226" i="32"/>
  <c r="N226" i="32"/>
  <c r="D198" i="32"/>
  <c r="D184" i="32"/>
  <c r="H184" i="32"/>
  <c r="E212" i="32"/>
  <c r="I240" i="32"/>
  <c r="L44" i="32"/>
  <c r="D100" i="32"/>
  <c r="K156" i="32"/>
  <c r="L58" i="32"/>
  <c r="L86" i="32"/>
  <c r="C44" i="32"/>
  <c r="E100" i="32"/>
  <c r="I100" i="32"/>
  <c r="C72" i="32"/>
  <c r="E156" i="32"/>
  <c r="M58" i="32"/>
  <c r="G58" i="32"/>
  <c r="H86" i="32"/>
  <c r="E86" i="32"/>
  <c r="J114" i="32"/>
  <c r="K128" i="32"/>
  <c r="D142" i="32"/>
  <c r="C142" i="32"/>
  <c r="H170" i="32"/>
  <c r="D226" i="32"/>
  <c r="L198" i="32"/>
  <c r="K184" i="32"/>
  <c r="I184" i="32"/>
  <c r="M212" i="32"/>
  <c r="F240" i="32"/>
  <c r="J240" i="32"/>
  <c r="G72" i="32"/>
  <c r="K58" i="32"/>
  <c r="G44" i="32"/>
  <c r="J100" i="32"/>
  <c r="K72" i="32"/>
  <c r="D156" i="32"/>
  <c r="M156" i="32"/>
  <c r="N58" i="32"/>
  <c r="H58" i="32"/>
  <c r="I86" i="32"/>
  <c r="M86" i="32"/>
  <c r="C114" i="32"/>
  <c r="E128" i="32"/>
  <c r="E142" i="32"/>
  <c r="K142" i="32"/>
  <c r="H226" i="32"/>
  <c r="C198" i="32"/>
  <c r="E198" i="32"/>
  <c r="L184" i="32"/>
  <c r="J184" i="32"/>
  <c r="F212" i="32"/>
  <c r="G240" i="32"/>
</calcChain>
</file>

<file path=xl/sharedStrings.xml><?xml version="1.0" encoding="utf-8"?>
<sst xmlns="http://schemas.openxmlformats.org/spreadsheetml/2006/main" count="82956" uniqueCount="745">
  <si>
    <t>NHS SCOTLAND</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</si>
  <si>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</si>
  <si>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</si>
  <si>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</si>
  <si>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</si>
  <si>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</si>
  <si>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</si>
  <si>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</si>
  <si>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</si>
  <si>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</si>
  <si>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</si>
  <si>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</si>
  <si>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</si>
  <si>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</si>
  <si>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</si>
  <si>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Disc_dest sheet</t>
  </si>
  <si>
    <t>HB/Site Selected:</t>
  </si>
  <si>
    <t>University Hospital Ayr</t>
  </si>
  <si>
    <t>University Hospital Crosshouse</t>
  </si>
  <si>
    <t>Return to Contents &amp; Notes</t>
  </si>
  <si>
    <t>Please select NHS Board or Hospital:</t>
  </si>
  <si>
    <t>Number of attendances</t>
  </si>
  <si>
    <t>Arran War Memorial Hospital</t>
  </si>
  <si>
    <t>Davidson Cottage Hospital</t>
  </si>
  <si>
    <t>Borders General Hospital</t>
  </si>
  <si>
    <t>Hawick Community  Hospital</t>
  </si>
  <si>
    <t>Hay Lodge Hospital</t>
  </si>
  <si>
    <t>Galloway Community Hospital</t>
  </si>
  <si>
    <t>Newton Stewart Hospital</t>
  </si>
  <si>
    <t>Adamson Hospital</t>
  </si>
  <si>
    <t>Queen Margaret Hospital</t>
  </si>
  <si>
    <t>St Andrews Community Hospital</t>
  </si>
  <si>
    <t>Victoria Hospital</t>
  </si>
  <si>
    <t>Falkirk Community Hospital</t>
  </si>
  <si>
    <t>Stirling Community Hospital</t>
  </si>
  <si>
    <t>Forth Valley Royal Hospital</t>
  </si>
  <si>
    <t>Aberdeen Royal Infirmary</t>
  </si>
  <si>
    <t>Aboyne Hospital</t>
  </si>
  <si>
    <t>Chalmers Hospital</t>
  </si>
  <si>
    <t>Dr Gray's Hospital</t>
  </si>
  <si>
    <t>Fraserburgh Hospital</t>
  </si>
  <si>
    <t>Inverurie Hospital</t>
  </si>
  <si>
    <t>Jubilee Hospital</t>
  </si>
  <si>
    <t>Kincardine Community Hospital</t>
  </si>
  <si>
    <t>Leanchoil Hospital</t>
  </si>
  <si>
    <t>Peterhead Community Hospital</t>
  </si>
  <si>
    <t>Royal Aberdeen Children's Hospital</t>
  </si>
  <si>
    <t>Seafield Hospital</t>
  </si>
  <si>
    <t>Turner Memorial Hospital</t>
  </si>
  <si>
    <t>Glasgow Royal Infirmary</t>
  </si>
  <si>
    <t>Inverclyde Royal Hospital</t>
  </si>
  <si>
    <t>Royal Alexandra Hospital</t>
  </si>
  <si>
    <t>Royal Hospital For Sick Children (Glasgow)</t>
  </si>
  <si>
    <t>Southern General Hospital</t>
  </si>
  <si>
    <t>Stobhill Hospital</t>
  </si>
  <si>
    <t>Vale of Leven General Hospital</t>
  </si>
  <si>
    <t>Victoria Infirmary</t>
  </si>
  <si>
    <t>Western Infirmary/Gartnavel General</t>
  </si>
  <si>
    <t>Aviemore Health Centre</t>
  </si>
  <si>
    <t>Belford Hospital</t>
  </si>
  <si>
    <t>Caithness General Hospital</t>
  </si>
  <si>
    <t>Campbeltown Hospital</t>
  </si>
  <si>
    <t>Dunbar Hospital</t>
  </si>
  <si>
    <t>Islay Hospital</t>
  </si>
  <si>
    <t>Lawson Memorial Hospital</t>
  </si>
  <si>
    <t>Lorn &amp; Islands Hospital</t>
  </si>
  <si>
    <t>Nairn Town and County Hospital</t>
  </si>
  <si>
    <t>Raigmore Hospital</t>
  </si>
  <si>
    <t>Ross Memorial Hospital</t>
  </si>
  <si>
    <t>Hairmyres Hospital</t>
  </si>
  <si>
    <t>Kello Hospital</t>
  </si>
  <si>
    <t>Wishaw General Hospital</t>
  </si>
  <si>
    <t>Royal Infirmary of Edinburgh at Little France</t>
  </si>
  <si>
    <t>St John's Hospital</t>
  </si>
  <si>
    <t>Western General Hospital</t>
  </si>
  <si>
    <t>Balfour Hospital</t>
  </si>
  <si>
    <t>Gilbert Bain Hospital</t>
  </si>
  <si>
    <t>Arbroath Infirmary</t>
  </si>
  <si>
    <t>Blairgowrie &amp; Rattray Cottage Hospital</t>
  </si>
  <si>
    <t>Brechin Infirmary</t>
  </si>
  <si>
    <t>Irvine Memorial Hospital</t>
  </si>
  <si>
    <t>Links Health Centre</t>
  </si>
  <si>
    <t>Ninewells Hospital</t>
  </si>
  <si>
    <t>Perth Royal Infirmary</t>
  </si>
  <si>
    <t>Whitehills Health and Community Care Centre</t>
  </si>
  <si>
    <t>Uist &amp; Barra Hospital</t>
  </si>
  <si>
    <t>Western Isles Hospital</t>
  </si>
  <si>
    <t>All sites:</t>
  </si>
  <si>
    <t>Lookups</t>
  </si>
  <si>
    <t>Compliance Sheet</t>
  </si>
  <si>
    <t>Contents</t>
  </si>
  <si>
    <t>Discharge Destination</t>
  </si>
  <si>
    <t>List of Sites</t>
  </si>
  <si>
    <t>List of all hospital sites in NHS Scotland providing unscheduled care with details of the type of site. This opens in a new web page.</t>
  </si>
  <si>
    <t>Notes</t>
  </si>
  <si>
    <t xml:space="preserve">2) Latest data available is for: </t>
  </si>
  <si>
    <t>6) Note that some hospitals began submitting episode level data throughout the time period of this report. More details can be found on the 'List of Sites'.</t>
  </si>
  <si>
    <t>NHS Forth Valley</t>
  </si>
  <si>
    <t>NHS Borders</t>
  </si>
  <si>
    <t>NHS Fife</t>
  </si>
  <si>
    <t>NHS Greater Glasgow &amp; Clyde</t>
  </si>
  <si>
    <t>NHS Lanarkshire</t>
  </si>
  <si>
    <t>Borders General Hospital transferred to a new patient management system at the end of November 2010.  There was an issue with the new system that prevented the recording of different attendance categories from November 2010 to September 2011. This results in the attendance figures for Borders General being artificially inflated by approximately 0.8 % (estimated from the prior 12 month's data).  Please interpret the attendances and the associated rates from this time period with caution.</t>
  </si>
  <si>
    <t>As of 08:00 hrs on 19 January 2012 all ED services were transferred to Victoria Hospital and Queen Margaret Hospital became an MIU.</t>
  </si>
  <si>
    <t>As of 08:00 on 12 July 2011 the ED at Stirling Royal Infirmary closed and became an MIU at Stirling Community Hospital; the MIU at Falkirk Community Hospital closed; and a new ED opened at Forth Valley Royal Hospital.</t>
  </si>
  <si>
    <t>Stobhill Hospital changed services in April 2011 from having both an ED and MIU to only having an MIU.</t>
  </si>
  <si>
    <t>Revisions:</t>
  </si>
  <si>
    <t>Compliance</t>
  </si>
  <si>
    <t>Data</t>
  </si>
  <si>
    <t>Lady Margaret Hospital</t>
  </si>
  <si>
    <t>Girvan Community Hospital</t>
  </si>
  <si>
    <t>Cowal Community Hospital</t>
  </si>
  <si>
    <t>Mull and Iona Community Hospital</t>
  </si>
  <si>
    <t>Monklands District General Hospital</t>
  </si>
  <si>
    <t>Forres Health &amp; Care Centre</t>
  </si>
  <si>
    <t>Belhaven Hospital</t>
  </si>
  <si>
    <t>Edington Cottage Hospital</t>
  </si>
  <si>
    <t>Royal Hospital for Sick Children (Edinburgh)</t>
  </si>
  <si>
    <t>St Margaret's Hospital</t>
  </si>
  <si>
    <t>Aberfeldy Cottage Hospital</t>
  </si>
  <si>
    <t>Crieff Community Hospital</t>
  </si>
  <si>
    <t>Pitlochry Community Hospital</t>
  </si>
  <si>
    <t>NHS SCOTLAND (ED only)</t>
  </si>
  <si>
    <t xml:space="preserve"> </t>
  </si>
  <si>
    <t>NHS AYRSHIRE &amp; ARRAN (ED only)</t>
  </si>
  <si>
    <t>NHS BORDERS (ED only)</t>
  </si>
  <si>
    <t>NHS FIFE (ED only)</t>
  </si>
  <si>
    <t>NHS GREATER GLASGOW &amp; CLYDE (ED only)</t>
  </si>
  <si>
    <t>NHS HIGHLAND (ED only)</t>
  </si>
  <si>
    <t>NHS LANARKSHIRE (ED only)</t>
  </si>
  <si>
    <t>NHS GRAMPIAN (ED only)</t>
  </si>
  <si>
    <t>NHS ORKNEY (ED only)</t>
  </si>
  <si>
    <t>NHS LOTHIAN (ED only)</t>
  </si>
  <si>
    <t>NHS TAYSIDE (ED only)</t>
  </si>
  <si>
    <t>NHS FORTH VALLEY (ED only)</t>
  </si>
  <si>
    <t>NHS DUMFRIES &amp; GALLOWAY (ED only)</t>
  </si>
  <si>
    <t>NHS WESTERN ISLES (ED only)</t>
  </si>
  <si>
    <t>NHS SHETLAND (ED only)</t>
  </si>
  <si>
    <t>input</t>
  </si>
  <si>
    <t>HB</t>
  </si>
  <si>
    <t>Hosp</t>
  </si>
  <si>
    <t>Level</t>
  </si>
  <si>
    <t>Chart data</t>
  </si>
  <si>
    <t>Selections</t>
  </si>
  <si>
    <t>Site Level selected:</t>
  </si>
  <si>
    <t>Input sheet selected:</t>
  </si>
  <si>
    <t>Site Level column</t>
  </si>
  <si>
    <t>Lookup address</t>
  </si>
  <si>
    <t>Date address</t>
  </si>
  <si>
    <t>Sum address (over 8)</t>
  </si>
  <si>
    <t>Sum address (over 12)</t>
  </si>
  <si>
    <t>Sum address (over 4 epi)</t>
  </si>
  <si>
    <t>Sum address (residence)</t>
  </si>
  <si>
    <t>Sum address (admission)</t>
  </si>
  <si>
    <t>Sum address (transfer)</t>
  </si>
  <si>
    <t>Sum address (other)</t>
  </si>
  <si>
    <t>Sum address (unknown)</t>
  </si>
  <si>
    <t>Chart titles:</t>
  </si>
  <si>
    <t>Board comparison sheet</t>
  </si>
  <si>
    <t>Compliance Notes</t>
  </si>
  <si>
    <t>This A&amp;E site opened in Oct-07</t>
  </si>
  <si>
    <t>This A&amp;E site closed in May-10</t>
  </si>
  <si>
    <t>This A&amp;E site opened in May-10</t>
  </si>
  <si>
    <t>Some sites in NHS Dumfries &amp; Galloway began submitting episode level data throughout the time period of this report, please refer to 'List of Sites' for more details.</t>
  </si>
  <si>
    <t>This site began submitting episode level data in March 2012</t>
  </si>
  <si>
    <t>This site began submitting episode level data in December 2007</t>
  </si>
  <si>
    <t>On the 19-Jan-2012, this A&amp;E site changed from an ED to an MIU</t>
  </si>
  <si>
    <t>This A&amp;E site closed on 12-Jul-2011</t>
  </si>
  <si>
    <t>This A&amp;E site opened on 12-Jul-2011</t>
  </si>
  <si>
    <t>This MIU closed on the 7th of September 2014</t>
  </si>
  <si>
    <t>This site began submitting aggregate level data in June 2012</t>
  </si>
  <si>
    <t>This site opened up on the 8th of September 2014</t>
  </si>
  <si>
    <t>Some sites in NHS Highland began submitting episode level data throughout the time period of this report, please refer to 'List of Sites' for more details.</t>
  </si>
  <si>
    <t>Some ED sites in NHS Highland began submitting episode level data throughout the time period of this report, please refer to 'List of Sites' for more details.</t>
  </si>
  <si>
    <t>Please note that data for Campbeltown Hospital are presented in both Campbeltown Hospital and Campbeltown Health Centre.</t>
  </si>
  <si>
    <t>Please note that data for Mid Argyll Community Hospital &amp; Integrated Care Centre are presented in both Mid Argyll Hospital and Mid Argyll Community Hospital &amp; Integrated Care Centre.</t>
  </si>
  <si>
    <t>This A&amp;E site closed on 20-Nov-2012</t>
  </si>
  <si>
    <t>This site began submitting episode level data in April 2012</t>
  </si>
  <si>
    <t>This site began submitting episode level data in March 2011</t>
  </si>
  <si>
    <t>This A&amp;E site opened on 21-Nov-2012</t>
  </si>
  <si>
    <t>This A&amp;E site opened in Dec-07 and closed in Oct-12</t>
  </si>
  <si>
    <t>This A&amp;E site opened in Dec-07</t>
  </si>
  <si>
    <t>This Health Board began submitting episode level data in June 2011</t>
  </si>
  <si>
    <t>This A&amp;E site opened in Sep-08</t>
  </si>
  <si>
    <t>This A&amp;E site closed in Jul-08</t>
  </si>
  <si>
    <t>Disc_Dest Notes</t>
  </si>
  <si>
    <t>Following the service changes in Forth Valley in July 2011, there were issues with the recording of discharge destination between July and October 2011. Please interpret the figures from this period with caution.</t>
  </si>
  <si>
    <t>This Health Board began submitting episode level data in June 2011. In August 2013 NHS Orkney introduced mapping procedures to ensure that all patients admitted to hospital after attending A&amp;E are correctly recorded.</t>
  </si>
  <si>
    <t>This site began submitting episode level data in June 2011. On 1 January 2014, this site changed from an MIU to an ED</t>
  </si>
  <si>
    <t>Following the service changes in Forth Valley in July 2011, there were issues with the recording of discharge destination between July and October 2011. Please interpret the figures from this period with caution.
This A&amp;E site opened on 12-Jul-2011</t>
  </si>
  <si>
    <t>Sites submitting Episode Level Data Only</t>
  </si>
  <si>
    <t>NHS Orkney</t>
  </si>
  <si>
    <t xml:space="preserve"> In August 2013 Balfour Hospital introduced mapping procedures to ensure that all patients admitted to hospital after attending A&amp;E are correctly recorded. 
This site began submitting episode level data in June 2011, and on 1 January 2014, this site became an ED.</t>
  </si>
  <si>
    <t>4 hour national standard (98%)</t>
  </si>
  <si>
    <t>4 hour rolling compliance standard (95%)</t>
  </si>
  <si>
    <t>Please refer to all the notes when interpreting data.</t>
  </si>
  <si>
    <t>Please refer to all notes when interpreting NHS Scotland level data</t>
  </si>
  <si>
    <t>Please refer to all the notes when interpreting NHS Scotland level data</t>
  </si>
  <si>
    <t>Please select site type:</t>
  </si>
  <si>
    <t>NHS Ayrshire &amp; Arran</t>
  </si>
  <si>
    <t>NHS Grampian</t>
  </si>
  <si>
    <t>NHS Lothian</t>
  </si>
  <si>
    <t>Accident &amp; Emergency Activity and Waiting Times Statistics</t>
  </si>
  <si>
    <t>Trend of attendances, 4 hour waiting time standard breaches, and 8 and 12 hour waits by NHS board of treatment and hospital. Figures for the number of attendances and 4 hour waits are available for all hospitals. Figures for 8 hour and 12 hour waits are only available for hospitals submitting episode level data.</t>
  </si>
  <si>
    <t>The immediate destination of the patient on discharge from the A&amp;E department. These figures are derived from hospitals submitting episode level data only and are not available for hospitals submitting aggregate data.</t>
  </si>
  <si>
    <t>Accident &amp; Emergency: attendance and time in department by month</t>
  </si>
  <si>
    <t>Accident &amp; Emergency: destination on leaving department by month</t>
  </si>
  <si>
    <t>Between 18-Sep-11 and 27-May-13,  all sites within Greater Glasgow &amp; Clyde transferred to a new patient management system. This led to a significant improvement in the recording of discharge destination across all sites. Please select an individual site for information on the date a particular site transferred patient management system.</t>
  </si>
  <si>
    <t xml:space="preserve">Vale of Leven General Hospital transferred to a new patient management system on 26-Feb-12 . This led to a significant improvement in the recording of discharge destination at this site. </t>
  </si>
  <si>
    <t xml:space="preserve">Inverclyde Royal Hospital transferred to a new patient management system on 18-Sep-11 . This led to a significant improvement in the recording of discharge destination at this site. </t>
  </si>
  <si>
    <t xml:space="preserve">Royal Alexandra Hospital transferred to a new patient management system on 26-May-12. This led to a significant improvement in the recording of discharge destination at this site. </t>
  </si>
  <si>
    <t xml:space="preserve">Glasgow Royal Infirmary transferred to a new patient management system on 27-May-13. This led to a significant improvement in the recording of discharge destination at this site. </t>
  </si>
  <si>
    <t>Please note that destination on leaving A&amp;E is only available for those units which submit episode level data. If a hospital which submits aggregate level data is selected, this chart will not contain any data.</t>
  </si>
  <si>
    <t>Input data.</t>
  </si>
  <si>
    <t xml:space="preserve">9) MIU / Other is a site that includes minor injuries units (MIU), small hospitals and health centres in rural areas that carry out emergency department related activity and are GP or Nurse led. They may or may not be open 24 hours. </t>
  </si>
  <si>
    <t>10) The waiting time is defined as the time of arrival until the time of discharge, admission or transfer.</t>
  </si>
  <si>
    <t>7)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</si>
  <si>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Data Types</t>
  </si>
  <si>
    <t>Comparison Numerator</t>
  </si>
  <si>
    <t>Please select data type:</t>
  </si>
  <si>
    <t>$C:$C</t>
  </si>
  <si>
    <t>Board Comparison</t>
  </si>
  <si>
    <t>Scotland</t>
  </si>
  <si>
    <t>NHS Highland</t>
  </si>
  <si>
    <t>% within 4 hours</t>
  </si>
  <si>
    <t>Number over 8 hours</t>
  </si>
  <si>
    <t>Number over 12 hours</t>
  </si>
  <si>
    <t>4) A&amp;E sites submit data as either episode level files containing a detailed record for each attendance or as aggregate files containing monthly summary attendance and compliance figures only. See 'List of Sites' for details.</t>
  </si>
  <si>
    <t xml:space="preserve">The health board transferred to a new patient management system during March 2011. There was an issue with the new system that prevented the recording of different attendance categories from March to June 2011. This results in the attendance figures for the three EDs from March to June 2011 being artificially inflated by approximately 5.0 % (estimated from the prior 12 month's data).  Please interpret the attendances and the associated rates from this time period with caution. </t>
  </si>
  <si>
    <t xml:space="preserve">In August and October 2011, there was an issue with some patients who were discharged to a place of residence being wrongly recorded as unknown.
</t>
  </si>
  <si>
    <t>University Hospital Crosshouse - ED</t>
  </si>
  <si>
    <t>University Hospital Ayr - ED</t>
  </si>
  <si>
    <t>Borders General Hospital - ED</t>
  </si>
  <si>
    <t>Galloway Community Hospital - ED</t>
  </si>
  <si>
    <t>Dumfries &amp; Galloway Royal Infirmary - ED</t>
  </si>
  <si>
    <t>Queen Margaret Hospital - ED</t>
  </si>
  <si>
    <t>Forth Valley Royal Hospital - ED</t>
  </si>
  <si>
    <t>This A&amp;E site closed 12-Jul-2011</t>
  </si>
  <si>
    <t>Stirling Royal Infirmary - ED</t>
  </si>
  <si>
    <t>Aberdeen Royal Infirmary - ED</t>
  </si>
  <si>
    <t>Royal Aberdeen Children's Hospital - ED</t>
  </si>
  <si>
    <t>Dr Gray's Hospital - ED</t>
  </si>
  <si>
    <t>Victoria Infirmary - ED</t>
  </si>
  <si>
    <t>Stobhill Hospital - ED</t>
  </si>
  <si>
    <t>Inverclyde Royal Hospital - ED</t>
  </si>
  <si>
    <t>Royal Alexandra Hospital - ED</t>
  </si>
  <si>
    <t>Glasgow Royal Infirmary - ED</t>
  </si>
  <si>
    <t>Southern General Hospital - ED</t>
  </si>
  <si>
    <t>Western Infirmary/Gartnavel General - ED</t>
  </si>
  <si>
    <t>Belford Hospital - ED</t>
  </si>
  <si>
    <t>Caithness General Hospital - ED</t>
  </si>
  <si>
    <t>Raigmore Hospital - ED</t>
  </si>
  <si>
    <t>Lorn &amp; Islands Hospital - ED</t>
  </si>
  <si>
    <t>St John's Hospital - ED</t>
  </si>
  <si>
    <t>Balfour Hospital - ED</t>
  </si>
  <si>
    <t>All</t>
  </si>
  <si>
    <t>On 1 January 2014, this site became an ED.</t>
  </si>
  <si>
    <t>On 1 January 2014, this site changed from an MIU to an ED</t>
  </si>
  <si>
    <t>Gilbert Bain Hospital - ED</t>
  </si>
  <si>
    <t>Ninewells Hospital - ED</t>
  </si>
  <si>
    <t>Perth Royal Infirmary - ED</t>
  </si>
  <si>
    <t>Western Isles Hospital - ED</t>
  </si>
  <si>
    <t>inputdata!</t>
  </si>
  <si>
    <t>Sum  (total)</t>
  </si>
  <si>
    <t>Sum (epi)</t>
  </si>
  <si>
    <t>Sum(over 4 tot)</t>
  </si>
  <si>
    <t>Balfour Hospital - MIU</t>
  </si>
  <si>
    <t>This A&amp;E site closed on 02-May-15 at 08:00 hrs.</t>
  </si>
  <si>
    <t>Southern General Hospital transferred to a new patient management system on 02-Dec-12. This led to a significant improvement in the recording of discharge destination at this site. This A&amp;E site closed on 02-May-15 at 08:00 hrs.</t>
  </si>
  <si>
    <t>This ED closed on 30-May-15 at 08:00 hrs.</t>
  </si>
  <si>
    <t>The Western Infirmary/Gartnavel General transferred to a new patient management system on 27-May-13. This led to a significant improvement in the recording of discharge destination at this site. This ED site closed on 30-May-15 at 08:00 hrs.</t>
  </si>
  <si>
    <t>This ED opened on 02-May-15 at 08:00 hrs.</t>
  </si>
  <si>
    <t>This A&amp;E site had an ED and an MIU up until 16-May-15 at 08:00hrs, when the ED closed and the site became an MIU only.</t>
  </si>
  <si>
    <t>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</si>
  <si>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Until 18-Mar-11, this site had both an ED and MIU, and from 18-Mar-11 there was no ED on site.</t>
  </si>
  <si>
    <t>Queen Elizabeth University Hospital - ED</t>
  </si>
  <si>
    <t>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</si>
  <si>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</si>
  <si>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On 3 July 2015 the South Glasgow University Hospital was renamed The Queen Elizabeth University Hospital.</t>
  </si>
  <si>
    <t>A&amp;E services at this site moved location from Yorkhill to The Queen Elizabeth University Hospital campus on 10-Jun-15 at 08:00 hrs.</t>
  </si>
  <si>
    <t>This A&amp;E site opened in Sep-08 and began submitting episode level data in Nov-08. 
Due to staffing levels, Crieff Community Hospital was only open from 9am to 5pm, Monday to Friday in June 2015.</t>
  </si>
  <si>
    <t xml:space="preserve">As of 08:00 hrs on 2 May 2015, all A&amp;E services at the Southern General Hospital were transferred to The Queen Elizabeth University Hospital, and the Southern General Hospital closed. </t>
  </si>
  <si>
    <t>The Royal Hospital for Children transferred to a new patient management system on 27-May-13. This led to a significant improvement in the recording of discharge destination at this site. 
A&amp;E services at this site moved location from Yorkhill to The Queen Elizabeth University Hospital campus on 10-Jun-15 at 08:00 hrs.</t>
  </si>
  <si>
    <t>For information on how the Scottish Government (SG) plans to monitor NHS Boards’ performance within A&amp;E Services, please see the NHS Local Delivery Plan standards.</t>
  </si>
  <si>
    <t>The ED at the Queen Elizabeth University Hospital opened on 2 May 2015 at 8:00am.</t>
  </si>
  <si>
    <t xml:space="preserve">The A&amp;E service at Aberfeldy Cottage opened in Sep-07 and closed in Dec-15 </t>
  </si>
  <si>
    <t>As of 08:00 hrs on 10 June 2015, the A&amp;E services at the Royal Hospital for Children (Glasgow) moved location from the Yorkhill campus to The Queen Elizabeth University Hospital campus.</t>
  </si>
  <si>
    <t>Balfour hospital became an ED on 1 January 2014.</t>
  </si>
  <si>
    <t>8) Emergency Department (ED) is a larger A&amp;E site that typically provides a 24 hour consultant led service.</t>
  </si>
  <si>
    <r>
      <t xml:space="preserve">11) Discharge Destination groupings comprise:
</t>
    </r>
    <r>
      <rPr>
        <b/>
        <sz val="10"/>
        <rFont val="Arial"/>
        <family val="2"/>
      </rPr>
      <t>Grouping</t>
    </r>
    <r>
      <rPr>
        <sz val="10"/>
        <rFont val="Arial"/>
        <family val="2"/>
      </rPr>
      <t xml:space="preserve">                                          </t>
    </r>
    <r>
      <rPr>
        <b/>
        <sz val="10"/>
        <rFont val="Arial"/>
        <family val="2"/>
      </rPr>
      <t>National code/value &amp; Description</t>
    </r>
    <r>
      <rPr>
        <sz val="10"/>
        <rFont val="Arial"/>
        <family val="2"/>
      </rPr>
      <t xml:space="preserve">
Place of residence -                            (01) Private residence, (02) residential institution &amp; (03) temporary residence.
Admission to same hospital -              (04) Admission to same NHS healthcare provider/hospital.
Transfer -                                           (05) Transfer to other NHS healthcare provider/hospital.
Other specified -                                 (06) Private healthcare provider &amp; (00) Death.
Unknown -                                         (98) Other &amp; (99) Not known.</t>
    </r>
  </si>
  <si>
    <t>Monthly attendances, compliance, 8 and 12 hour waits by board from April 2011.</t>
  </si>
  <si>
    <t>Following the service changes in Forth Valley in July 2011, there were issues with the recording of discharge destination between July and October 2011. Please interpret the figures from this period with caution. 
Formerly Stirling Royal Infirmary. Opened as MIU 12-Jul-2011.
March 2013 - Due to power outages, several days MIU data were lost.</t>
  </si>
  <si>
    <t>From 30th November 2015, RACH made changes in the procedure and recording of specialty admissions leading to a reduction in the number of admissions from the ED.</t>
  </si>
  <si>
    <t>Opened as MIU 12-Jul-2011.
March 2013 - Due to power outages, several days MIU data were lost.</t>
  </si>
  <si>
    <t>Following the service changes in Forth Valley in July 2011, there were issues with the recording of discharge destination between July and October 2011. Please interpret the figures from this period with caution. 
This A&amp;E site closed 12-Jul-2011</t>
  </si>
  <si>
    <t>Accident &amp; Emergency: attendances and time in department by NHS board and month</t>
  </si>
  <si>
    <t>As of 09:00 hrs on 23 December 2016, the minor injury unit at West-Glasgow temporarily moved to Queen Elizabeth University Hospital as part of the board's winter preparations.</t>
  </si>
  <si>
    <t>The new West Glasgow MIU service began on 30-May-15 at 08:00 hrs at the Western Infirmary site. As of 09:00 hrs on 23-Dec-16, the minor injury unit at West-Glasgow temporarily moved to Queen Elizabeth University Hospital as part of the board's winter preparations.</t>
  </si>
  <si>
    <t>New Victoria Hospital (formerly 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</si>
  <si>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 xml:space="preserve">Until 18-Mar-11, this site had both an ED and MIU, and from 18-Mar-11 there was no ED on site.  New Stobhill Hospital (formerly Stobhill Hospital) transferred to a new patient management system on 27-May-13. This led to a significant improvement in the recording of discharge destination at this site. </t>
  </si>
  <si>
    <t>New Victoria Hospital (formerly Victoria Infirmary), this site had an ED and an MIU up until 16-May-15 at 08:00 hrs, when the ED closed and the site became an MIU only.</t>
  </si>
  <si>
    <t xml:space="preserve">Until 18-Mar-11, New Stobhill Hospital (formerly Stobhill Hospital) had both an ED and MIU, and from 18-Mar-11 there was no ED on site. </t>
  </si>
  <si>
    <t>NHS Tayside</t>
  </si>
  <si>
    <t>NHS Tayside ED migrated across to TrakCare from Symphony during June 2017, therefore the data submitted across this period may be subject to change or refinement as this migration evolves. As such, any data recorded across this period should be viewed in this context.</t>
  </si>
  <si>
    <t>Information Services Division is aware of an investigation into recording practices of A&amp;E waiting times in NHS Lothian. The investigation is concerned with the accuracy of the figures included with this release of statistics for NHS Lothian only. When the external investigation has reported, ISD will consider whether any revisions are required to previously published A&amp;E waiting times statistics.</t>
  </si>
  <si>
    <t xml:space="preserve">From 28 May 2018, Raigmore hospital in NHS Highland trialled a new patient flow system. As a consequence the accuracy of some patients' waiting times may have been affected between this date and 4 July 2018, however the total number of attendances remains correct. </t>
  </si>
  <si>
    <t>The review findings were published 26 June 2018.</t>
  </si>
  <si>
    <t>ISD report on A&amp;E data quality</t>
  </si>
  <si>
    <t>Ian Charles Community Hospital</t>
  </si>
  <si>
    <t>NHS Forth Valley ED migrated across to TrakCare during April 2019, therefore the data submitted across this period may be subject to change or refinement as this migration evolves. As such, any data recorded across this period should be viewed in this context.</t>
  </si>
  <si>
    <t>5) This document contains information on all A&amp;E sites across NHS Scotland where possible.  However for sites submitting an aggregated return to PHS, information on the number of patients waiting for more than 8 hours, 12 hours and the patients destination upon leaving the A&amp;E department is unavailable.  Please take this into account when interpreting the information presented in this document.</t>
  </si>
  <si>
    <t xml:space="preserve">In April 2020, The Knoll Hospital, Hawick Community Hospital, Kelso Hospital and Hay Lodge Hospital were closed during the COVID-19 response.  </t>
  </si>
  <si>
    <t xml:space="preserve">In April 2020, Aboyne Hospital, Insch &amp; District War Memorial Hospital,Turriff Cottage Hospital, Chalmers Hospital, Kincardine Community Hospital and Forres Health &amp; Care Centre were closed during the COVID-19 response. </t>
  </si>
  <si>
    <t xml:space="preserve">In April 2020, Crieff Community Hospital, Links Health Centre, Blairgowrie &amp; Rattray Cottage Hospital and Pitlochry Community Hospital were closed during the COVID-19 response.  </t>
  </si>
  <si>
    <t xml:space="preserve">From April 2020 until 13 July 2020, New Victoria Hospital was closed during the COVID-19 response. </t>
  </si>
  <si>
    <t>NHS Scotland</t>
  </si>
  <si>
    <t>NHS Scotland (ED only)</t>
  </si>
  <si>
    <t>NHS Ayrshire &amp; Arran (ED only)</t>
  </si>
  <si>
    <t>NHS Borders (ED only)</t>
  </si>
  <si>
    <t>Knoll Community Hospital</t>
  </si>
  <si>
    <t>Kelso Community Hospital</t>
  </si>
  <si>
    <t>NHS Dumfries &amp; Galloway</t>
  </si>
  <si>
    <t>NHS Dumfries &amp; Galloway (ED only)</t>
  </si>
  <si>
    <t>Castle Douglas Hospital</t>
  </si>
  <si>
    <t>Kirkcudbright Hospital</t>
  </si>
  <si>
    <t>Moffat Hospital</t>
  </si>
  <si>
    <t>NHS Fife (ED only)</t>
  </si>
  <si>
    <t>Victoria Hospital (NHS Fife) - ED</t>
  </si>
  <si>
    <t>NHS Forth Valley (ED only)</t>
  </si>
  <si>
    <t>Stirling Health And Care Village</t>
  </si>
  <si>
    <t>NHS Grampian (ED only)</t>
  </si>
  <si>
    <t>Insch War Memorial Hospital</t>
  </si>
  <si>
    <t>Turriff Hospital</t>
  </si>
  <si>
    <t>Stephen Hospital</t>
  </si>
  <si>
    <t>Fleming Hospital</t>
  </si>
  <si>
    <t>NHS Greater Glasgow &amp; Clyde (ED only)</t>
  </si>
  <si>
    <t>Vale Of Leven District General Hospital</t>
  </si>
  <si>
    <t>Royal Hospital For Children Glasgow - ED</t>
  </si>
  <si>
    <t>New Victoria Hospital</t>
  </si>
  <si>
    <t>New Stobhill Hospital</t>
  </si>
  <si>
    <t>NHS Highland (ED only)</t>
  </si>
  <si>
    <t>Campbeltown Hospital (2007-2009)</t>
  </si>
  <si>
    <t>Mid Argyll Community Hospital And Integrated Care Centre (2007-2009)</t>
  </si>
  <si>
    <t>Victoria Hospital (NHS Highland)</t>
  </si>
  <si>
    <t>Dunaros Hospital</t>
  </si>
  <si>
    <t>Nairn Town And County Hospital</t>
  </si>
  <si>
    <t>Dr Mackinnon Memorial Hospital</t>
  </si>
  <si>
    <t>Portree Community Hospital</t>
  </si>
  <si>
    <t>County Community Hospital</t>
  </si>
  <si>
    <t>Mid Argyll Community Hospital And Integrated Care Centre</t>
  </si>
  <si>
    <t>Mull And Iona Community Hospital</t>
  </si>
  <si>
    <t>NHS Lanarkshire (ED only)</t>
  </si>
  <si>
    <t>University Hospital Monklands - ED</t>
  </si>
  <si>
    <t>Lady Home Hospital</t>
  </si>
  <si>
    <t>University Hospital Hairmyres - ED</t>
  </si>
  <si>
    <t>University Hospital Wishaw - ED</t>
  </si>
  <si>
    <t>NHS Lothian (ED only)</t>
  </si>
  <si>
    <t>Royal Hospital for Children and Young People Edinburgh - ED</t>
  </si>
  <si>
    <t>Royal Infirmary Of Edinburgh - ED</t>
  </si>
  <si>
    <t>NHS Orkney (ED only)</t>
  </si>
  <si>
    <t>NHS Shetland</t>
  </si>
  <si>
    <t>NHS Shetland (ED only)</t>
  </si>
  <si>
    <t>NHS Tayside (ED only)</t>
  </si>
  <si>
    <t>Blairgowrie Community Hospital</t>
  </si>
  <si>
    <t>Whitehills Health And Community Care Centre</t>
  </si>
  <si>
    <t>Aberfeldy Community Hospital</t>
  </si>
  <si>
    <t>NHS Western Isles</t>
  </si>
  <si>
    <t>NHS Western Isles (ED only)</t>
  </si>
  <si>
    <t>St Brendan's Hospital</t>
  </si>
  <si>
    <t>West Glasgow MIU</t>
  </si>
  <si>
    <t>Date</t>
  </si>
  <si>
    <t>NHS Board</t>
  </si>
  <si>
    <t>Note</t>
  </si>
  <si>
    <t>Link 1</t>
  </si>
  <si>
    <t>Link 2</t>
  </si>
  <si>
    <t>A small number of records reported in this publication as over 12 hour waits prior to March 2014 reflect errors in recording, and are not genuine long waits.											
Figure1 shows the information provided to us from NHS boards with approximate counts for the number of over 12 hour waits which are in error in 2011/12 to 2013/14. There may also be changes to over 12 hour waits in other years in future releases of these data as a result of further quality assurance.											
It is important to note that based on 1.6million attendances per year, these erroneous records do not impact at all on the percentage compliance with the HEAT target and standard either within a Board or at a Scotland level.  											
Figure 1: Number of new attendances at A&amp;E Services across Scotland for NHS Boards with erroneous 12 hour waits, April 2011 to March 2014 																						
NHS Ayrshire &amp; Arran, 2011/12: 15, 2012/13: 18, 2013/14:2							
NHS Grampian, 2011/12: 1, 2012/13: 1, 2013/14:2							
NHS Greater Glasgow &amp; Clyde, 2011/12: 2, 2012/13: 4, 2013/14:3							
NHS Lothian, 2011/12: 14, 2012/13: 27, 2013/14:2</t>
  </si>
  <si>
    <t>NHS Greater Glasgow and Clyde</t>
  </si>
  <si>
    <t>12) Some sites in NHS Highland which supply aggregate data have on occasion not split return attendances into unplanned and planned return attendances, so that only new attendances have been included. This issue will affect NHS Highland's total attendance figure by around 1-4% per month and has a negligible effect on Scotland's total attendances.</t>
  </si>
  <si>
    <t xml:space="preserve">A&amp;E discharge times at hospitals in NHS Lothian were not accurately recorded up to November 2017. The Academy of Medical Royal Colleges was commissioned by Scottish Government to ascertain the causes for the data issues in NHS Lothian.
The review was concerned with the accuracy of the recording and the figures released for NHS Lothian only. Other than the issues identified with NHS Lothian, ISD does not have concerns about the quality of the published A&amp;E statistics.	</t>
  </si>
  <si>
    <t>Accident &amp; Emergency Activity and Waiting Times Statistics - Data Quality</t>
  </si>
  <si>
    <t>Data quality, use filters to select and sort by date and NHS Board.</t>
  </si>
  <si>
    <t>Data Quality</t>
  </si>
  <si>
    <t>Data Quality information</t>
  </si>
  <si>
    <t>This document contains information on A&amp;E activity and waiting times including trends in compliance, attendances and admissions.  Please read all accompanying notes and data quality information before interpreting the data.
Due to the complexity of the spreadsheet formulae pages may take a few seconds to update when selecting drop down options.</t>
  </si>
  <si>
    <t>3) Please note this document only includes 'New Unplanned' and 'Unplanned Return' attendances at Accident &amp; Emergency (A&amp;E). It does not include 'Recall'/'Planned Return' data and the ‘New Planned’ category that was introduced as part of the Redesign of Urgent care.</t>
  </si>
  <si>
    <t>Dr MacKinnon Memorial Hospital closed March 2022 with services moving to the new Broadford Hospital</t>
  </si>
  <si>
    <t>Broadford Hospital</t>
  </si>
  <si>
    <t>Broadford Hospital opened March 2022, replacing the Dr MacKinnon Memorial Hospital</t>
  </si>
  <si>
    <t>13) Due to an ongoing technical issue data for Broadford Hospital and Lawson Hospital will be an undercount starting from July 2022.</t>
  </si>
  <si>
    <t>Data_Month_Date</t>
  </si>
  <si>
    <t>Country</t>
  </si>
  <si>
    <t>HB_Treatment_Description</t>
  </si>
  <si>
    <t>Treatment_Location_Code</t>
  </si>
  <si>
    <t>Treatment_Location_Name</t>
  </si>
  <si>
    <t>ED_MIU</t>
  </si>
  <si>
    <t>Number_Of_Attendances_agg</t>
  </si>
  <si>
    <t>Number_of_Attendances_Epi</t>
  </si>
  <si>
    <t>Number_Meeting_Target_agg</t>
  </si>
  <si>
    <t>Number_Meeting_Target_epi</t>
  </si>
  <si>
    <t>Discharge_destination_admission_to_same</t>
  </si>
  <si>
    <t>Discharge_destination_other_spec</t>
  </si>
  <si>
    <t>Discharge_destination_residence</t>
  </si>
  <si>
    <t>Discharge_destination_transfer</t>
  </si>
  <si>
    <t>Discharge_destination_unknown</t>
  </si>
  <si>
    <t>Attendance_greater_8hrs</t>
  </si>
  <si>
    <t>Attendances_greater_12hrs</t>
  </si>
  <si>
    <t>NHS Scotland</t>
  </si>
  <si>
    <t>NHS Ayrshire &amp; Arran</t>
  </si>
  <si>
    <t>A101H</t>
  </si>
  <si>
    <t>Arran War Memorial Hospital</t>
  </si>
  <si>
    <t>MIU/Other</t>
  </si>
  <si>
    <t>A111H</t>
  </si>
  <si>
    <t>University Hospital Crosshouse - ED</t>
  </si>
  <si>
    <t>ED</t>
  </si>
  <si>
    <t>A207H</t>
  </si>
  <si>
    <t>Davidson Cottage Hospital</t>
  </si>
  <si>
    <t>A210H</t>
  </si>
  <si>
    <t>University Hospital Ayr - ED</t>
  </si>
  <si>
    <t>NHS Borders</t>
  </si>
  <si>
    <t>B103H</t>
  </si>
  <si>
    <t>Knoll Community Hospital</t>
  </si>
  <si>
    <t>B105H</t>
  </si>
  <si>
    <t>Hawick Community  Hospital</t>
  </si>
  <si>
    <t>B114H</t>
  </si>
  <si>
    <t>Kelso Community Hospital</t>
  </si>
  <si>
    <t>B118H</t>
  </si>
  <si>
    <t>Hay Lodge Hospital</t>
  </si>
  <si>
    <t>B120H</t>
  </si>
  <si>
    <t>Borders General Hospital - ED</t>
  </si>
  <si>
    <t>NHS Dumfries &amp; Galloway</t>
  </si>
  <si>
    <t>Y101H</t>
  </si>
  <si>
    <t>Castle Douglas Hospital</t>
  </si>
  <si>
    <t>Y106H</t>
  </si>
  <si>
    <t>Kirkcudbright Hospital</t>
  </si>
  <si>
    <t>Y109H</t>
  </si>
  <si>
    <t>Moffat Hospital</t>
  </si>
  <si>
    <t>Y110H</t>
  </si>
  <si>
    <t>Newton Stewart Hospital</t>
  </si>
  <si>
    <t>Y144H</t>
  </si>
  <si>
    <t>Galloway Community Hospital - ED</t>
  </si>
  <si>
    <t>Y146H</t>
  </si>
  <si>
    <t>Dumfries &amp; Galloway Royal Infirmary - ED</t>
  </si>
  <si>
    <t>NHS Fife</t>
  </si>
  <si>
    <t>F704H</t>
  </si>
  <si>
    <t>Victoria Hospital (NHS Fife) - ED</t>
  </si>
  <si>
    <t>F708H</t>
  </si>
  <si>
    <t>Adamson Hospital</t>
  </si>
  <si>
    <t>F709H</t>
  </si>
  <si>
    <t>St Andrews Community Hospital</t>
  </si>
  <si>
    <t>F805H</t>
  </si>
  <si>
    <t>Queen Margaret Hospital - ED</t>
  </si>
  <si>
    <t>NHS Forth Valley</t>
  </si>
  <si>
    <t>V102H</t>
  </si>
  <si>
    <t>Falkirk Community Hospital</t>
  </si>
  <si>
    <t>V201H</t>
  </si>
  <si>
    <t>Stirling Royal Infirmary - ED</t>
  </si>
  <si>
    <t>NHS Grampian</t>
  </si>
  <si>
    <t>N101H</t>
  </si>
  <si>
    <t>Aberdeen Royal Infirmary - ED</t>
  </si>
  <si>
    <t>N121H</t>
  </si>
  <si>
    <t>Royal Aberdeen Children's Hospital - ED</t>
  </si>
  <si>
    <t>N151H</t>
  </si>
  <si>
    <t>Aboyne Hospital</t>
  </si>
  <si>
    <t>N331H</t>
  </si>
  <si>
    <t>Inverurie Hospital</t>
  </si>
  <si>
    <t>N332H</t>
  </si>
  <si>
    <t>Insch War Memorial Hospital</t>
  </si>
  <si>
    <t>N333H</t>
  </si>
  <si>
    <t>Peterhead Community Hospital</t>
  </si>
  <si>
    <t>N334H</t>
  </si>
  <si>
    <t>Fraserburgh Hospital</t>
  </si>
  <si>
    <t>N335H</t>
  </si>
  <si>
    <t>Jubilee Hospital</t>
  </si>
  <si>
    <t>N336H</t>
  </si>
  <si>
    <t>Turriff Hospital</t>
  </si>
  <si>
    <t>N337H</t>
  </si>
  <si>
    <t>Chalmers Hospital</t>
  </si>
  <si>
    <t>N411H</t>
  </si>
  <si>
    <t>Dr Gray's Hospital - ED</t>
  </si>
  <si>
    <t>N431H</t>
  </si>
  <si>
    <t>Seafield Hospital</t>
  </si>
  <si>
    <t>N432H</t>
  </si>
  <si>
    <t>Stephen Hospital</t>
  </si>
  <si>
    <t>N433H</t>
  </si>
  <si>
    <t>Turner Memorial Hospital</t>
  </si>
  <si>
    <t>N434H</t>
  </si>
  <si>
    <t>Leanchoil Hospital</t>
  </si>
  <si>
    <t>N451H</t>
  </si>
  <si>
    <t>Fleming Hospital</t>
  </si>
  <si>
    <t>N494H</t>
  </si>
  <si>
    <t>Kincardine Community Hospital</t>
  </si>
  <si>
    <t>NHS Greater Glasgow &amp; Clyde</t>
  </si>
  <si>
    <t>C206H</t>
  </si>
  <si>
    <t>Vale Of Leven District General Hospital</t>
  </si>
  <si>
    <t>C313H</t>
  </si>
  <si>
    <t>Inverclyde Royal Hospital - ED</t>
  </si>
  <si>
    <t>C418H</t>
  </si>
  <si>
    <t>Royal Alexandra Hospital - ED</t>
  </si>
  <si>
    <t>G107H</t>
  </si>
  <si>
    <t>Glasgow Royal Infirmary - ED</t>
  </si>
  <si>
    <t>G207H</t>
  </si>
  <si>
    <t>Stobhill Hospital - ED</t>
  </si>
  <si>
    <t>G306H</t>
  </si>
  <si>
    <t>Victoria Infirmary - ED</t>
  </si>
  <si>
    <t>G405H</t>
  </si>
  <si>
    <t>Southern General Hospital - ED</t>
  </si>
  <si>
    <t>G513H</t>
  </si>
  <si>
    <t>Royal Hospital For Children Glasgow - ED</t>
  </si>
  <si>
    <t>G516H</t>
  </si>
  <si>
    <t>Western Infirmary/Gartnavel General - ED</t>
  </si>
  <si>
    <t>NHS Highland</t>
  </si>
  <si>
    <t>C103B</t>
  </si>
  <si>
    <t>Campbeltown Hospital (2007-2009)</t>
  </si>
  <si>
    <t>C106H</t>
  </si>
  <si>
    <t>Cowal Community Hospital</t>
  </si>
  <si>
    <t>C108H</t>
  </si>
  <si>
    <t>Islay Hospital</t>
  </si>
  <si>
    <t>C110H</t>
  </si>
  <si>
    <t>Mid Argyll Community Hospital And Integrated Care Centre (2007-2009)</t>
  </si>
  <si>
    <t>C113H</t>
  </si>
  <si>
    <t>Victoria Hospital (NHS Highland)</t>
  </si>
  <si>
    <t>C117J</t>
  </si>
  <si>
    <t>Dunaros Hospital</t>
  </si>
  <si>
    <t>C121H</t>
  </si>
  <si>
    <t>Lorn &amp; Islands Hospital - ED</t>
  </si>
  <si>
    <t>C122H</t>
  </si>
  <si>
    <t>Campbeltown Hospital</t>
  </si>
  <si>
    <t>H101H</t>
  </si>
  <si>
    <t>Dunbar Hospital</t>
  </si>
  <si>
    <t>H103H</t>
  </si>
  <si>
    <t>Caithness General Hospital - ED</t>
  </si>
  <si>
    <t>H106H</t>
  </si>
  <si>
    <t>Lawson Memorial Hospital</t>
  </si>
  <si>
    <t>H202H</t>
  </si>
  <si>
    <t>Raigmore Hospital - ED</t>
  </si>
  <si>
    <t>H208H</t>
  </si>
  <si>
    <t>Nairn Town And County Hospital</t>
  </si>
  <si>
    <t>H210H</t>
  </si>
  <si>
    <t>Ian Charles Community Hospital</t>
  </si>
  <si>
    <t>H212H</t>
  </si>
  <si>
    <t>Belford Hospital - ED</t>
  </si>
  <si>
    <t>H214H</t>
  </si>
  <si>
    <t>Dr Mackinnon Memorial Hospital</t>
  </si>
  <si>
    <t>H215H</t>
  </si>
  <si>
    <t>Portree Community Hospital</t>
  </si>
  <si>
    <t>H217H</t>
  </si>
  <si>
    <t>Ross Memorial Hospital</t>
  </si>
  <si>
    <t>H219H</t>
  </si>
  <si>
    <t>County Community Hospital</t>
  </si>
  <si>
    <t>H227B</t>
  </si>
  <si>
    <t>Aviemore Health Centre</t>
  </si>
  <si>
    <t>NHS Lanarkshire</t>
  </si>
  <si>
    <t>L106H</t>
  </si>
  <si>
    <t>University Hospital Monklands - ED</t>
  </si>
  <si>
    <t>L206H</t>
  </si>
  <si>
    <t>Kello Hospital</t>
  </si>
  <si>
    <t>L207H</t>
  </si>
  <si>
    <t>Lady Home Hospital</t>
  </si>
  <si>
    <t>L302H</t>
  </si>
  <si>
    <t>University Hospital Hairmyres - ED</t>
  </si>
  <si>
    <t>L308H</t>
  </si>
  <si>
    <t>University Hospital Wishaw - ED</t>
  </si>
  <si>
    <t>NHS Lothian</t>
  </si>
  <si>
    <t>S116H</t>
  </si>
  <si>
    <t>Western General Hospital</t>
  </si>
  <si>
    <t>S308H</t>
  </si>
  <si>
    <t>St John's Hospital - ED</t>
  </si>
  <si>
    <t>S314H</t>
  </si>
  <si>
    <t>Royal Infirmary Of Edinburgh - ED</t>
  </si>
  <si>
    <t>S319H</t>
  </si>
  <si>
    <t>Royal Hospital for Children and Young People Edinburgh - ED</t>
  </si>
  <si>
    <t>NHS Orkney</t>
  </si>
  <si>
    <t>R103H</t>
  </si>
  <si>
    <t>Balfour Hospital - MIU</t>
  </si>
  <si>
    <t>NHS Shetland</t>
  </si>
  <si>
    <t>Z102H</t>
  </si>
  <si>
    <t>Gilbert Bain Hospital - ED</t>
  </si>
  <si>
    <t>NHS Tayside</t>
  </si>
  <si>
    <t>T101H</t>
  </si>
  <si>
    <t>Ninewells Hospital - ED</t>
  </si>
  <si>
    <t>T202H</t>
  </si>
  <si>
    <t>Perth Royal Infirmary - ED</t>
  </si>
  <si>
    <t>T208H</t>
  </si>
  <si>
    <t>Irvine Memorial Hospital</t>
  </si>
  <si>
    <t>T209H</t>
  </si>
  <si>
    <t>Blairgowrie Community Hospital</t>
  </si>
  <si>
    <t>T304H</t>
  </si>
  <si>
    <t>Arbroath Infirmary</t>
  </si>
  <si>
    <t>T305H</t>
  </si>
  <si>
    <t>Brechin Infirmary</t>
  </si>
  <si>
    <t>T319H</t>
  </si>
  <si>
    <t>Whitehills Health And Community Care Centre</t>
  </si>
  <si>
    <t>T357C</t>
  </si>
  <si>
    <t>Links Health Centre</t>
  </si>
  <si>
    <t>NHS Western Isles</t>
  </si>
  <si>
    <t>W106H</t>
  </si>
  <si>
    <t>St Brendan's Hospital</t>
  </si>
  <si>
    <t>W107H</t>
  </si>
  <si>
    <t>Western Isles Hospital - ED</t>
  </si>
  <si>
    <t>W108H</t>
  </si>
  <si>
    <t>Uist &amp; Barra Hospital</t>
  </si>
  <si>
    <t>A110H</t>
  </si>
  <si>
    <t>Lady Margaret Hospital</t>
  </si>
  <si>
    <t>S102H</t>
  </si>
  <si>
    <t>Belhaven Hospital</t>
  </si>
  <si>
    <t>S108H</t>
  </si>
  <si>
    <t>Edington Cottage Hospital</t>
  </si>
  <si>
    <t>T320H</t>
  </si>
  <si>
    <t>Pitlochry Community Hospital</t>
  </si>
  <si>
    <t>T205H</t>
  </si>
  <si>
    <t>St Margaret's Hospital</t>
  </si>
  <si>
    <t>T207H</t>
  </si>
  <si>
    <t>Aberfeldy Community Hospital</t>
  </si>
  <si>
    <t>T316H</t>
  </si>
  <si>
    <t>Crieff Community Hospital</t>
  </si>
  <si>
    <t>New Victoria Hospital</t>
  </si>
  <si>
    <t>H224H</t>
  </si>
  <si>
    <t>Mid Argyll Community Hospital And Integrated Care Centre</t>
  </si>
  <si>
    <t>A216H</t>
  </si>
  <si>
    <t>Girvan Community Hospital</t>
  </si>
  <si>
    <t>New Stobhill Hospital</t>
  </si>
  <si>
    <t>Stirling Health And Care Village</t>
  </si>
  <si>
    <t>V217H</t>
  </si>
  <si>
    <t>Forth Valley Royal Hospital - ED</t>
  </si>
  <si>
    <t>Queen Margaret Hospital</t>
  </si>
  <si>
    <t>H227H</t>
  </si>
  <si>
    <t>Mull And Iona Community Hospital</t>
  </si>
  <si>
    <t>Balfour Hospital - ED</t>
  </si>
  <si>
    <t>N683C</t>
  </si>
  <si>
    <t>Forres Health &amp; Care Centre</t>
  </si>
  <si>
    <t>Queen Elizabeth University Hospital - ED</t>
  </si>
  <si>
    <t>West Glasgow MIU</t>
  </si>
  <si>
    <t>H221B</t>
  </si>
  <si>
    <t>Grantown-On-Spey Health Centre</t>
  </si>
  <si>
    <t>H229H</t>
  </si>
  <si>
    <t>Broadford Hospital</t>
  </si>
  <si>
    <t>1) This document is a National Statistics Publication.</t>
  </si>
  <si>
    <t>National Statistics Publication - January 2023</t>
  </si>
  <si>
    <t>January 2023</t>
  </si>
  <si>
    <t>(extract taken on 22 February 2023).</t>
  </si>
  <si>
    <t>Dec-20, NHS Fife, Victoria Hospital (NHS Fife) - ED, Number_Of_Attendances_agg from 3980 to 4009, Number_of_Attendances_Epi from 3980 to 4009, Number_Meeting_Target_agg from 3460 to 3489, Number_Meeting_Target_epi from 3460 to 3489, Discharge_destination_admission_to_same from 1360 to 1367, Discharge_destination_residence from 2494 to 2515, Discharge_destination_unknown from 79 to 80</t>
  </si>
  <si>
    <t>Dec-20, NHS Fife, St Andrews Community Hospital, Number_Of_Attendances_agg from 113 to 114, Number_of_Attendances_Epi from 113 to 114, Number_Meeting_Target_agg from 113 to 114, Number_Meeting_Target_epi from 113 to 114, Discharge_destination_residence from 108 to 109</t>
  </si>
  <si>
    <t>Dec-20, NHS Fife, Queen Margaret Hospital, Number_Of_Attendances_agg from 761 to 762, Number_of_Attendances_Epi from 761 to 762, Number_Meeting_Target_agg from 761 to 762, Number_Meeting_Target_epi from 761 to 762, Discharge_destination_residence from 707 to 708</t>
  </si>
  <si>
    <t>Jan-21, NHS Fife, Victoria Hospital (NHS Fife) - ED, Number_Of_Attendances_agg from 3657 to 3715, Number_of_Attendances_Epi from 3657 to 3715, Number_Meeting_Target_agg from 3222 to 3276, Number_Meeting_Target_epi from 3222 to 3276, Discharge_destination_admission_to_same from 1327 to 1339, Discharge_destination_residence from 2237 to 2298, Discharge_destination_unknown from 51 to 36, Attendance_greater_8hrs from 20 to 21</t>
  </si>
  <si>
    <t>Jan-21, NHS Fife, Adamson Hospital, Number_Of_Attendances_agg from 42 to 44, Number_of_Attendances_Epi from 42 to 44, Number_Meeting_Target_agg from 40 to 42, Number_Meeting_Target_epi from 40 to 42, Discharge_destination_residence from 38 to 40</t>
  </si>
  <si>
    <t>Jan-21, NHS Fife, St Andrews Community Hospital, Number_Of_Attendances_agg from 73 to 81, Number_of_Attendances_Epi from 73 to 81, Number_Meeting_Target_agg from 73 to 81, Number_Meeting_Target_epi from 73 to 81, Discharge_destination_residence from 65 to 73</t>
  </si>
  <si>
    <t>Jan-21, NHS Fife, Queen Margaret Hospital, Number_Of_Attendances_agg from 631 to 654, Number_of_Attendances_Epi from 631 to 654, Number_Meeting_Target_agg from 631 to 654, Number_Meeting_Target_epi from 631 to 654, Discharge_destination_residence from 586 to 606, Discharge_destination_transfer from 39 to 40, Discharge_destination_unknown from 3 to 5</t>
  </si>
  <si>
    <t>Feb-21, NHS Fife, Victoria Hospital (NHS Fife) - ED, Number_Of_Attendances_agg from 3462 to 3511, Number_of_Attendances_Epi from 3462 to 3511, Number_Meeting_Target_agg from 3095 to 3142, Number_Meeting_Target_epi from 3095 to 3142, Discharge_destination_admission_to_same from 1230 to 1240, Discharge_destination_residence from 2122 to 2172, Discharge_destination_transfer from 37 to 38, Discharge_destination_unknown from 59 to 47, Attendance_greater_8hrs from 12 to 13</t>
  </si>
  <si>
    <t>Feb-21, NHS Fife, Adamson Hospital, Number_Of_Attendances_agg from 68 to 69, Number_of_Attendances_Epi from 68 to 69, Number_Meeting_Target_agg from 67 to 68, Number_Meeting_Target_epi from 67 to 68, Discharge_destination_unknown from 3 to 4</t>
  </si>
  <si>
    <t>Feb-21, NHS Fife, St Andrews Community Hospital, Number_Of_Attendances_agg from 100 to 102, Number_of_Attendances_Epi from 100 to 102, Number_Meeting_Target_agg from 100 to 102, Number_Meeting_Target_epi from 100 to 102, Discharge_destination_residence from 88 to 90</t>
  </si>
  <si>
    <t>Feb-21, NHS Fife, Queen Margaret Hospital, Number_Of_Attendances_agg from 515 to 516, Number_of_Attendances_Epi from 515 to 516, Number_Meeting_Target_agg from 514 to 515, Number_Meeting_Target_epi from 514 to 515, Discharge_destination_residence from 490 to 491</t>
  </si>
  <si>
    <t>Mar-21, NHS Fife, Victoria Hospital (NHS Fife) - ED, Number_Of_Attendances_agg from 4548 to 4684, Number_of_Attendances_Epi from 4548 to 4684, Number_Meeting_Target_agg from 4041 to 4169, Number_Meeting_Target_epi from 4041 to 4169, Discharge_destination_admission_to_same from 1557 to 1580, Discharge_destination_residence from 2857 to 2981, Discharge_destination_transfer from 42 to 43, Discharge_destination_unknown from 84 to 72, Attendance_greater_8hrs from 17 to 19</t>
  </si>
  <si>
    <t>Mar-21, NHS Fife, St Andrews Community Hospital, Number_Of_Attendances_agg from 135 to 144, Number_of_Attendances_Epi from 135 to 144, Number_Meeting_Target_agg from 134 to 143, Number_Meeting_Target_epi from 134 to 143, Discharge_destination_residence from 130 to 139</t>
  </si>
  <si>
    <t>Apr-21, NHS Fife, Victoria Hospital (NHS Fife) - ED, Number_Of_Attendances_agg from 4946 to 4962, Number_of_Attendances_Epi from 4946 to 4962, Number_Meeting_Target_agg from 4442 to 4453, Number_Meeting_Target_epi from 4442 to 4453, Discharge_destination_admission_to_same from 1580 to 1598, Discharge_destination_residence from 3205 to 3219, Discharge_destination_transfer from 53 to 54, Discharge_destination_unknown from 102 to 85</t>
  </si>
  <si>
    <t>Apr-21, NHS Fife, Adamson Hospital, Number_Of_Attendances_agg from 108 to 109, Number_of_Attendances_Epi from 108 to 109, Number_Meeting_Target_agg from 106 to 107, Number_Meeting_Target_epi from 106 to 107, Discharge_destination_residence from 106 to 107</t>
  </si>
  <si>
    <t>Apr-21, NHS Fife, St Andrews Community Hospital, Number_Of_Attendances_agg from 178 to 187, Number_of_Attendances_Epi from 178 to 187, Number_Meeting_Target_agg from 178 to 187, Number_Meeting_Target_epi from 178 to 187, Discharge_destination_residence from 172 to 181</t>
  </si>
  <si>
    <t>Apr-21, NHS Fife, Queen Margaret Hospital, Number_Of_Attendances_agg from 977 to 989, Number_of_Attendances_Epi from 977 to 989, Number_Meeting_Target_agg from 977 to 989, Number_Meeting_Target_epi from 977 to 989, Discharge_destination_residence from 905 to 915, Discharge_destination_transfer from 61 to 63</t>
  </si>
  <si>
    <t>May-21, NHS Fife, Victoria Hospital (NHS Fife) - ED, Number_Of_Attendances_agg from 5645 to 5695, Number_of_Attendances_Epi from 5645 to 5695, Number_Meeting_Target_agg from 4746 to 4785, Number_Meeting_Target_epi from 4746 to 4785, Discharge_destination_admission_to_same from 1810 to 1825, Discharge_destination_residence from 3626 to 3677, Discharge_destination_transfer from 63 to 56, Discharge_destination_unknown from 142 to 133</t>
  </si>
  <si>
    <t>May-21, NHS Fife, Adamson Hospital, Number_Of_Attendances_agg from 117 to 118, Number_of_Attendances_Epi from 117 to 118, Number_Meeting_Target_agg from 116 to 117, Number_Meeting_Target_epi from 116 to 117, Discharge_destination_residence from 112 to 113</t>
  </si>
  <si>
    <t>May-21, NHS Fife, St Andrews Community Hospital, Number_Of_Attendances_agg from 169 to 173, Number_of_Attendances_Epi from 169 to 173, Number_Meeting_Target_agg from 169 to 173, Number_Meeting_Target_epi from 169 to 173, Discharge_destination_admission_to_same from 2 to 3, Discharge_destination_residence from 158 to 161</t>
  </si>
  <si>
    <t>May-21, NHS Fife, Queen Margaret Hospital, Number_Of_Attendances_agg from 1108 to 1122, Number_of_Attendances_Epi from 1108 to 1122, Number_Meeting_Target_agg from 1108 to 1122, Number_Meeting_Target_epi from 1108 to 1122, Discharge_destination_residence from 1009 to 1021, Discharge_destination_transfer from 92 to 94</t>
  </si>
  <si>
    <t>Jun-21, NHS Fife, Victoria Hospital (NHS Fife) - ED, Number_Of_Attendances_agg from 5647 to 5696, Number_of_Attendances_Epi from 5647 to 5696, Number_Meeting_Target_agg from 4765 to 4809, Number_Meeting_Target_epi from 4765 to 4809, Discharge_destination_admission_to_same from 1676 to 1679, Discharge_destination_residence from 3760 to 3806</t>
  </si>
  <si>
    <t>Jun-21, NHS Fife, St Andrews Community Hospital, Number_Of_Attendances_agg from 288 to 289, Number_of_Attendances_Epi from 288 to 289, Number_Meeting_Target_agg from 287 to 288, Number_Meeting_Target_epi from 287 to 288, Discharge_destination_residence from 278 to 279</t>
  </si>
  <si>
    <t>Jun-21, NHS Fife, Queen Margaret Hospital, Number_Of_Attendances_agg from 1360 to 1365, Number_of_Attendances_Epi from 1360 to 1365, Number_Meeting_Target_agg from 1360 to 1365, Number_Meeting_Target_epi from 1360 to 1365, Discharge_destination_residence from 1217 to 1221, Discharge_destination_transfer from 117 to 118</t>
  </si>
  <si>
    <t>Jul-21, NHS Fife, Victoria Hospital (NHS Fife) - ED, Number_Of_Attendances_agg from 5312 to 5464, Number_of_Attendances_Epi from 5312 to 5464, Number_Meeting_Target_agg from 4247 to 4380, Number_Meeting_Target_epi from 4247 to 4380, Discharge_destination_admission_to_same from 1613 to 1641, Discharge_destination_residence from 3461 to 3575, Discharge_destination_transfer from 53 to 54, Discharge_destination_unknown from 184 to 193, Attendance_greater_8hrs from 66 to 67</t>
  </si>
  <si>
    <t>Jul-21, NHS Fife, St Andrews Community Hospital, Number_Of_Attendances_agg from 240 to 246, Number_of_Attendances_Epi from 240 to 246, Number_Meeting_Target_agg from 238 to 244, Number_Meeting_Target_epi from 238 to 244, Discharge_destination_residence from 225 to 231</t>
  </si>
  <si>
    <t>Jul-21, NHS Fife, Queen Margaret Hospital, Number_Of_Attendances_agg from 1239 to 1254, Number_of_Attendances_Epi from 1239 to 1254, Number_Meeting_Target_agg from 1237 to 1252, Number_Meeting_Target_epi from 1237 to 1252, Discharge_destination_residence from 1106 to 1119, Discharge_destination_transfer from 118 to 120</t>
  </si>
  <si>
    <t>Aug-21, NHS Fife, Victoria Hospital (NHS Fife) - ED, Number_Of_Attendances_agg from 5453 to 5581, Number_of_Attendances_Epi from 5453 to 5581, Number_Meeting_Target_agg from 4300 to 4414, Number_Meeting_Target_epi from 4300 to 4414, Discharge_destination_admission_to_same from 1690 to 1709, Discharge_destination_residence from 3565 to 3663, Discharge_destination_unknown from 136 to 147</t>
  </si>
  <si>
    <t>Aug-21, NHS Fife, St Andrews Community Hospital, Number_Of_Attendances_agg from 249 to 252, Number_of_Attendances_Epi from 249 to 252, Number_Meeting_Target_agg from 249 to 252, Number_Meeting_Target_epi from 249 to 252, Discharge_destination_residence from 244 to 246, Discharge_destination_transfer from 5 to 6</t>
  </si>
  <si>
    <t>Aug-21, NHS Fife, Queen Margaret Hospital, Number_Of_Attendances_agg from 1146 to 1165, Number_of_Attendances_Epi from 1146 to 1165, Number_Meeting_Target_agg from 1144 to 1163, Number_Meeting_Target_epi from 1144 to 1163, Discharge_destination_admission_to_same from 4 to 5, Discharge_destination_residence from 1020 to 1038</t>
  </si>
  <si>
    <t>Sep-21, NHS Fife, Victoria Hospital (NHS Fife) - ED, Number_Of_Attendances_agg from 5125 to 5217, Number_of_Attendances_Epi from 5125 to 5217, Number_Meeting_Target_agg from 3779 to 3856, Number_Meeting_Target_epi from 3779 to 3856, Discharge_destination_admission_to_same from 1503 to 1522, Discharge_destination_residence from 3379 to 3449, Discharge_destination_transfer from 64 to 65, Discharge_destination_unknown from 168 to 170, Attendance_greater_8hrs from 249 to 250</t>
  </si>
  <si>
    <t>Sep-21, NHS Fife, St Andrews Community Hospital, Number_Of_Attendances_agg from 271 to 274, Number_of_Attendances_Epi from 271 to 274, Number_Meeting_Target_agg from 271 to 274, Number_Meeting_Target_epi from 271 to 274, Discharge_destination_residence from 265 to 268</t>
  </si>
  <si>
    <t>Sep-21, NHS Fife, Queen Margaret Hospital, Number_Of_Attendances_agg from 1174 to 1177, Number_of_Attendances_Epi from 1174 to 1177, Number_Meeting_Target_agg from 1173 to 1176, Number_Meeting_Target_epi from 1173 to 1176, Discharge_destination_residence from 1077 to 1080</t>
  </si>
  <si>
    <t>Oct-21, NHS Fife, Victoria Hospital (NHS Fife) - ED, Number_Of_Attendances_agg from 5039 to 5097, Number_of_Attendances_Epi from 5039 to 5097, Number_Meeting_Target_agg from 3536 to 3584, Number_Meeting_Target_epi from 3536 to 3584, Discharge_destination_admission_to_same from 1653 to 1668, Discharge_destination_residence from 3190 to 3232, Discharge_destination_unknown from 110 to 111, Attendance_greater_8hrs from 373 to 374</t>
  </si>
  <si>
    <t>Oct-21, NHS Fife, St Andrews Community Hospital, Number_Of_Attendances_agg from 218 to 224, Number_of_Attendances_Epi from 218 to 224, Number_Meeting_Target_agg from 217 to 223, Number_Meeting_Target_epi from 217 to 223, Discharge_destination_residence from 212 to 218</t>
  </si>
  <si>
    <t>Oct-21, NHS Fife, Queen Margaret Hospital, Number_Of_Attendances_agg from 970 to 972, Number_of_Attendances_Epi from 970 to 972, Number_Meeting_Target_agg from 968 to 970, Number_Meeting_Target_epi from 968 to 970, Discharge_destination_residence from 893 to 895</t>
  </si>
  <si>
    <t>Nov-21, NHS Fife, Victoria Hospital (NHS Fife) - ED, Number_Of_Attendances_agg from 5046 to 5101, Number_of_Attendances_Epi from 5046 to 5101, Number_Meeting_Target_agg from 3762 to 3808, Number_Meeting_Target_epi from 3762 to 3808, Discharge_destination_admission_to_same from 1589 to 1606, Discharge_destination_residence from 3278 to 3314, Discharge_destination_unknown from 96 to 98, Attendance_greater_8hrs from 189 to 190</t>
  </si>
  <si>
    <t>Nov-21, NHS Fife, St Andrews Community Hospital, Number_Of_Attendances_agg from 217 to 221, Number_of_Attendances_Epi from 217 to 221, Number_Meeting_Target_agg from 217 to 221, Number_Meeting_Target_epi from 217 to 221, Discharge_destination_residence from 214 to 218</t>
  </si>
  <si>
    <t>Nov-21, NHS Fife, Queen Margaret Hospital, Number_Of_Attendances_agg from 939 to 940, Number_of_Attendances_Epi from 939 to 940, Number_Meeting_Target_agg from 939 to 940, Number_Meeting_Target_epi from 939 to 940, Discharge_destination_residence from 854 to 855</t>
  </si>
  <si>
    <t>Dec-21, NHS Fife, Victoria Hospital (NHS Fife) - ED, Number_Of_Attendances_agg from 4864 to 4883, Number_of_Attendances_Epi from 4864 to 4883, Number_Meeting_Target_agg from 3472 to 3487, Number_Meeting_Target_epi from 3472 to 3487, Discharge_destination_admission_to_same from 1772 to 1777, Discharge_destination_residence from 2928 to 2941, Discharge_destination_unknown from 106 to 107</t>
  </si>
  <si>
    <t>Dec-21, NHS Fife, Adamson Hospital, Number_Of_Attendances_agg from 119 to 121, Number_of_Attendances_Epi from 119 to 121, Number_Meeting_Target_agg from 116 to 118, Number_Meeting_Target_epi from 116 to 118, Discharge_destination_residence from 109 to 111</t>
  </si>
  <si>
    <t>Dec-21, NHS Fife, St Andrews Community Hospital, Number_Of_Attendances_agg from 138 to 140, Number_of_Attendances_Epi from 138 to 140, Number_Meeting_Target_agg from 137 to 139, Number_Meeting_Target_epi from 137 to 139, Discharge_destination_residence from 135 to 137</t>
  </si>
  <si>
    <t>Dec-21, NHS Fife, Queen Margaret Hospital, Number_Of_Attendances_agg from 723 to 725, Number_of_Attendances_Epi from 723 to 725, Number_Meeting_Target_agg from 723 to 725, Number_Meeting_Target_epi from 723 to 725, Discharge_destination_residence from 669 to 670, Discharge_destination_transfer from 46 to 47</t>
  </si>
  <si>
    <t>Jan-22, NHS Fife, Victoria Hospital (NHS Fife) - ED, Number_Of_Attendances_agg from 4795 to 4828, Number_of_Attendances_Epi from 4795 to 4828, Number_Meeting_Target_agg from 3445 to 3475, Number_Meeting_Target_epi from 3445 to 3475, Discharge_destination_admission_to_same from 1684 to 1689, Discharge_destination_residence from 2938 to 2965, Discharge_destination_unknown from 110 to 111, Attendance_greater_8hrs from 255 to 256, Attendances_greater_12hrs from 33 to 34</t>
  </si>
  <si>
    <t>Jan-22, NHS Fife, Queen Margaret Hospital, Number_Of_Attendances_agg from 817 to 822, Number_of_Attendances_Epi from 817 to 822, Number_Meeting_Target_agg from 817 to 822, Number_Meeting_Target_epi from 817 to 822, Discharge_destination_residence from 764 to 768, Discharge_destination_transfer from 46 to 47</t>
  </si>
  <si>
    <t>Feb-22, NHS Fife, Victoria Hospital (NHS Fife) - ED, Number_Of_Attendances_agg from 4796 to 4802, Number_of_Attendances_Epi from 4796 to 4802, Number_Meeting_Target_agg from 3777 to 3783, Number_Meeting_Target_epi from 3777 to 3783, Discharge_destination_admission_to_same from 1511 to 1512, Discharge_destination_residence from 3123 to 3127, Discharge_destination_transfer from 42 to 43</t>
  </si>
  <si>
    <t>Feb-22, NHS Fife, Adamson Hospital, Number_Of_Attendances_agg from 144 to 146, Number_of_Attendances_Epi from 144 to 146, Number_Meeting_Target_agg from 143 to 145, Number_Meeting_Target_epi from 143 to 145, Discharge_destination_residence from 138 to 140</t>
  </si>
  <si>
    <t>Feb-22, NHS Fife, St Andrews Community Hospital, Number_Of_Attendances_agg from 201 to 202, Number_of_Attendances_Epi from 201 to 202, Number_Meeting_Target_agg from 201 to 202, Number_Meeting_Target_epi from 201 to 202, Discharge_destination_residence from 198 to 199</t>
  </si>
  <si>
    <t>Feb-22, NHS Fife, Queen Margaret Hospital, Number_Of_Attendances_agg from 856 to 857, Number_of_Attendances_Epi from 856 to 857, Number_Meeting_Target_agg from 855 to 856, Number_Meeting_Target_epi from 855 to 856, Discharge_destination_residence from 803 to 804</t>
  </si>
  <si>
    <t>Mar-22, NHS Fife, Victoria Hospital (NHS Fife) - ED, Number_Of_Attendances_agg from 5735 to 5749, Number_of_Attendances_Epi from 5735 to 5749, Number_Meeting_Target_agg from 4245 to 4256, Number_Meeting_Target_epi from 4245 to 4256, Discharge_destination_admission_to_same from 1681 to 1683, Discharge_destination_residence from 3842 to 3854, Attendance_greater_8hrs from 289 to 290</t>
  </si>
  <si>
    <t>Mar-22, NHS Fife, St Andrews Community Hospital, Number_Of_Attendances_agg from 262 to 264, Number_of_Attendances_Epi from 262 to 264, Number_Meeting_Target_agg from 262 to 264, Number_Meeting_Target_epi from 262 to 264, Discharge_destination_residence from 254 to 256</t>
  </si>
  <si>
    <t>Mar-22, NHS Fife, Queen Margaret Hospital, Number_Of_Attendances_agg from 1139 to 1141, Number_of_Attendances_Epi from 1139 to 1141, Number_Meeting_Target_agg from 1138 to 1140, Number_Meeting_Target_epi from 1138 to 1140, Discharge_destination_residence from 1062 to 1064</t>
  </si>
  <si>
    <t>Apr-22, NHS Fife, Victoria Hospital (NHS Fife) - ED, Number_Of_Attendances_agg from 5356 to 5368, Number_of_Attendances_Epi from 5356 to 5368, Number_Meeting_Target_agg from 3869 to 3876, Number_Meeting_Target_epi from 3869 to 3876, Discharge_destination_admission_to_same from 1559 to 1564, Discharge_destination_residence from 3606 to 3619, Discharge_destination_transfer from 62 to 61, Discharge_destination_unknown from 124 to 119, Attendance_greater_8hrs from 316 to 317</t>
  </si>
  <si>
    <t>May-22, NHS Fife, Victoria Hospital (NHS Fife) - ED, Number_Of_Attendances_agg from 6071 to 6093, Number_of_Attendances_Epi from 6071 to 6093, Number_Meeting_Target_agg from 4400 to 4419, Number_Meeting_Target_epi from 4400 to 4419, Discharge_destination_admission_to_same from 1752 to 1758, Discharge_destination_residence from 4110 to 4130, Discharge_destination_unknown from 145 to 141, Attendance_greater_8hrs from 309 to 308, Attendances_greater_12hrs from 77 to 75</t>
  </si>
  <si>
    <t>May-22, NHS Fife, St Andrews Community Hospital, Number_Of_Attendances_agg from 224 to 225, Number_of_Attendances_Epi from 224 to 225, Number_Meeting_Target_agg from 224 to 225, Number_Meeting_Target_epi from 224 to 225, Discharge_destination_residence from 216 to 217</t>
  </si>
  <si>
    <t>May-22, NHS Fife, Queen Margaret Hospital, Number_Of_Attendances_agg from 1218 to 1219, Number_of_Attendances_Epi from 1218 to 1219, Number_Meeting_Target_agg from 1218 to 1219, Number_Meeting_Target_epi from 1218 to 1219, Discharge_destination_residence from 1155 to 1156</t>
  </si>
  <si>
    <t>Jun-22, NHS Fife, Victoria Hospital (NHS Fife) - ED, Number_Of_Attendances_agg from 6068 to 6095, Number_of_Attendances_Epi from 6068 to 6095, Number_Meeting_Target_agg from 4119 to 4138, Number_Meeting_Target_epi from 4119 to 4138, Discharge_destination_admission_to_same from 1720 to 1721, Discharge_destination_residence from 4091 to 4116, Discharge_destination_unknown from 178 to 179, Attendance_greater_8hrs from 359 to 358</t>
  </si>
  <si>
    <t>Jun-22, NHS Fife, Adamson Hospital, Number_Of_Attendances_agg from 189 to 190, Number_of_Attendances_Epi from 189 to 190, Number_Meeting_Target_agg from 189 to 190, Number_Meeting_Target_epi from 189 to 190, Discharge_destination_residence from 176 to 177</t>
  </si>
  <si>
    <t>Jul-22, NHS Fife, Victoria Hospital (NHS Fife) - ED, Number_Of_Attendances_agg from 5722 to 5732, Number_of_Attendances_Epi from 5722 to 5732, Number_Meeting_Target_agg from 3497 to 3504, Number_Meeting_Target_epi from 3497 to 3504, Discharge_destination_admission_to_same from 1653 to 1654, Discharge_destination_residence from 3790 to 3799</t>
  </si>
  <si>
    <t>Jul-22, NHS Fife, Adamson Hospital, Number_Of_Attendances_agg from 192 to 193, Number_of_Attendances_Epi from 192 to 193, Number_Meeting_Target_agg from 191 to 192, Number_Meeting_Target_epi from 191 to 192, Discharge_destination_residence from 185 to 186</t>
  </si>
  <si>
    <t>Jul-22, NHS Fife, St Andrews Community Hospital, Number_Of_Attendances_agg from 230 to 231, Number_of_Attendances_Epi from 230 to 231, Number_Meeting_Target_agg from 230 to 231, Number_Meeting_Target_epi from 230 to 231, Discharge_destination_residence from 228 to 229</t>
  </si>
  <si>
    <t>Jul-22, NHS Fife, Queen Margaret Hospital, Number_Of_Attendances_agg from 1097 to 1099, Number_of_Attendances_Epi from 1097 to 1099, Number_Meeting_Target_agg from 1097 to 1099, Number_Meeting_Target_epi from 1097 to 1099, Discharge_destination_residence from 1041 to 1043</t>
  </si>
  <si>
    <t>Jul-22, NHS Tayside, Ninewells Hospital - ED, Number_Of_Attendances_agg from 5006 to 5007, Number_of_Attendances_Epi from 5006 to 5007, Discharge_destination_residence from 2986 to 2987</t>
  </si>
  <si>
    <t>Aug-22, NHS Fife, Victoria Hospital (NHS Fife) - ED, Number_Of_Attendances_agg from 5816 to 5826, Number_of_Attendances_Epi from 5816 to 5826, Number_Meeting_Target_agg from 3392 to 3403, Number_Meeting_Target_epi from 3392 to 3403, Discharge_destination_admission_to_same from 1617 to 1618, Discharge_destination_residence from 3914 to 3921, Discharge_destination_transfer from 62 to 63, Discharge_destination_unknown from 213 to 214, Attendance_greater_8hrs from 607 to 605, Attendances_greater_12hrs from 119 to 117</t>
  </si>
  <si>
    <t>Aug-22, NHS Fife, St Andrews Community Hospital, Number_Of_Attendances_agg from 293 to 294, Number_of_Attendances_Epi from 293 to 294, Number_Meeting_Target_agg from 292 to 293, Number_Meeting_Target_epi from 292 to 293, Discharge_destination_residence from 286 to 287</t>
  </si>
  <si>
    <t>Aug-22, NHS Fife, Queen Margaret Hospital, Number_Of_Attendances_agg from 1365 to 1366, Number_of_Attendances_Epi from 1365 to 1366, Number_Meeting_Target_agg from 1362 to 1363, Number_Meeting_Target_epi from 1362 to 1363, Discharge_destination_residence from 1294 to 1295</t>
  </si>
  <si>
    <t>Sep-22, NHS Fife, Victoria Hospital (NHS Fife) - ED, Number_Of_Attendances_agg from 5702 to 5707, Number_of_Attendances_Epi from 5702 to 5707, Number_Meeting_Target_agg from 3319 to 3322, Number_Meeting_Target_epi from 3319 to 3322, Discharge_destination_admission_to_same from 1647 to 1648, Discharge_destination_residence from 3798 to 3802</t>
  </si>
  <si>
    <t>Sep-22, NHS Fife, St Andrews Community Hospital, Number_Of_Attendances_agg from 280 to 281, Number_of_Attendances_Epi from 280 to 281, Number_Meeting_Target_agg from 277 to 278, Number_Meeting_Target_epi from 277 to 278, Discharge_destination_residence from 272 to 273</t>
  </si>
  <si>
    <t>Sep-22, NHS Lanarkshire, University Hospital Wishaw - ED, Attendances_greater_12hrs from 462 to 461</t>
  </si>
  <si>
    <t>Oct-22, NHS Fife, Victoria Hospital (NHS Fife) - ED, Number_Of_Attendances_agg from 5452 to 5469, Number_of_Attendances_Epi from 5452 to 5469, Number_Meeting_Target_agg from 3302 to 3314, Number_Meeting_Target_epi from 3302 to 3314, Discharge_destination_admission_to_same from 1631 to 1635, Discharge_destination_residence from 3545 to 3556, Discharge_destination_transfer from 80 to 81, Discharge_destination_unknown from 185 to 186, Attendances_greater_12hrs from 183 to 182</t>
  </si>
  <si>
    <t>Oct-22, NHS Fife, Queen Margaret Hospital, Number_Of_Attendances_agg from 1067 to 1068, Number_of_Attendances_Epi from 1067 to 1068, Number_Meeting_Target_agg from 1066 to 1067, Number_Meeting_Target_epi from 1066 to 1067, Discharge_destination_residence from 1005 to 1006</t>
  </si>
  <si>
    <t>Nov-22, NHS Fife, Victoria Hospital (NHS Fife) - ED, Number_Of_Attendances_agg from 5429 to 5454, Number_of_Attendances_Epi from 5429 to 5454, Number_Meeting_Target_agg from 3361 to 3375, Number_Meeting_Target_epi from 3361 to 3375, Discharge_destination_admission_to_same from 1728 to 1731, Discharge_destination_residence from 3459 to 3481</t>
  </si>
  <si>
    <t>Nov-22, NHS Fife, Adamson Hospital, Number_Of_Attendances_agg from 131 to 132, Number_of_Attendances_Epi from 131 to 132, Number_Meeting_Target_agg from 131 to 132, Number_Meeting_Target_epi from 131 to 132, Discharge_destination_residence from 125 to 126</t>
  </si>
  <si>
    <t>Nov-22, NHS Fife, Queen Margaret Hospital, Number_Of_Attendances_agg from 1069 to 1070, Number_of_Attendances_Epi from 1069 to 1070, Number_Meeting_Target_agg from 1068 to 1069, Number_Meeting_Target_epi from 1068 to 1069, Discharge_destination_residence from 1011 to 1012</t>
  </si>
  <si>
    <t>Dec-22, NHS Borders, Borders General Hospital - ED, Number_Of_Attendances_agg from 2478 to 2487, Number_of_Attendances_Epi from 2478 to 2487, Number_Meeting_Target_agg from 1572 to 1579, Number_Meeting_Target_epi from 1572 to 1579, Discharge_destination_residence from 1626 to 1635</t>
  </si>
  <si>
    <t>Dec-22, NHS Fife, Victoria Hospital (NHS Fife) - ED, Number_Of_Attendances_agg from 5627 to 5666, Number_of_Attendances_Epi from 5627 to 5666, Number_Meeting_Target_agg from 3075 to 3098, Number_Meeting_Target_epi from 3075 to 3098, Discharge_destination_admission_to_same from 1841 to 1853, Discharge_destination_residence from 3515 to 3541, Discharge_destination_unknown from 165 to 166, Attendance_greater_8hrs from 918 to 921</t>
  </si>
  <si>
    <t>Dec-22, NHS Fife, St Andrews Community Hospital, Number_Of_Attendances_agg from 178 to 179, Number_of_Attendances_Epi from 178 to 179, Number_Meeting_Target_agg from 176 to 177, Number_Meeting_Target_epi from 176 to 177, Discharge_destination_residence from 174 to 175</t>
  </si>
  <si>
    <t>Dec-22, NHS Fife, Queen Margaret Hospital, Number_Of_Attendances_agg from 987 to 996, Number_of_Attendances_Epi from 987 to 996, Number_Meeting_Target_agg from 983 to 992, Number_Meeting_Target_epi from 983 to 992, Discharge_destination_residence from 920 to 929</t>
  </si>
  <si>
    <t>Dec-22, NHS Lothian, Western General Hospital, Number_Of_Attendances_agg from 3200 to 3218, Number_of_Attendances_Epi from 3200 to 3218, Number_Meeting_Target_agg from 1593 to 1596, Number_Meeting_Target_epi from 1593 to 1596, Discharge_destination_admission_to_same from 1181 to 1202, Discharge_destination_residence from 1989 to 1985, Discharge_destination_unknown from 8 to 9, Attendance_greater_8hrs from 844 to 859, Attendances_greater_12hrs from 513 to 527</t>
  </si>
  <si>
    <t>Dec-22, NHS Lothian, St John's Hospital - ED, Number_Of_Attendances_agg from 4863 to 4902, Number_of_Attendances_Epi from 4863 to 4902, Number_Meeting_Target_agg from 2921 to 2950, Number_Meeting_Target_epi from 2921 to 2950, Discharge_destination_admission_to_same from 941 to 966, Discharge_destination_other_spec from 7 to 8, Discharge_destination_residence from 3340 to 3353, Attendance_greater_8hrs from 776 to 797, Attendances_greater_12hrs from 391 to 406</t>
  </si>
  <si>
    <t>Dec-22, NHS Lothian, Royal Infirmary Of Edinburgh - ED, Number_Of_Attendances_agg from 9317 to 9462, Number_of_Attendances_Epi from 9317 to 9462, Number_Meeting_Target_agg from 3891 to 3892, Number_Meeting_Target_epi from 3891 to 3892, Discharge_destination_admission_to_same from 2194 to 2302, Discharge_destination_residence from 6719 to 6754, Discharge_destination_transfer from 350 to 352, Attendance_greater_8hrs from 2749 to 2893, Attendances_greater_12hrs from 1574 to 1709</t>
  </si>
  <si>
    <t>Dec-22, NHS Lothian, Royal Hospital for Children and Young People Edinburgh - ED, Number_Of_Attendances_agg from 6360 to 6362, Number_of_Attendances_Epi from 6360 to 6362, Number_Meeting_Target_agg from 5648 to 5689, Number_Meeting_Target_epi from 5648 to 5689, Discharge_destination_admission_to_same from 766 to 767, Discharge_destination_residence from 5464 to 5465</t>
  </si>
  <si>
    <t>Dec-22, NHS Tayside, Ninewells Hospital - ED, Number_Meeting_Target_agg from 3813 to 3814, Number_Meeting_Target_epi from 3813 to 3814, Attendance_greater_8hrs from 121 to 120, Attendances_greater_12hrs from 14 to 13</t>
  </si>
  <si>
    <t>Episode and aggregate level data</t>
  </si>
  <si>
    <t>Number of attendances</t>
  </si>
  <si>
    <t>Total attendances for year to month</t>
  </si>
  <si>
    <t>Rolling average attendance</t>
  </si>
  <si>
    <t>Over 4 hours in A&amp;E</t>
  </si>
  <si>
    <t>% within 4 hours (month)</t>
  </si>
  <si>
    <t>% within 4 hours (rolling annual)</t>
  </si>
  <si>
    <t>Episode level data only</t>
  </si>
  <si>
    <t>Over 8 hours in A&amp;E</t>
  </si>
  <si>
    <t>% within 8 hours (month)</t>
  </si>
  <si>
    <t>Over 12 hours in A&amp;E</t>
  </si>
  <si>
    <t>% within 12 hours (month)</t>
  </si>
  <si>
    <t>Episode and aggregate level data:</t>
  </si>
  <si>
    <t xml:space="preserve"> Number of attendances</t>
  </si>
  <si>
    <t>Episode level data:</t>
  </si>
  <si>
    <t xml:space="preserve"> Place of residence</t>
  </si>
  <si>
    <t xml:space="preserve"> Admission to same hospital</t>
  </si>
  <si>
    <t xml:space="preserve"> Transfer</t>
  </si>
  <si>
    <t xml:space="preserve"> Other specified</t>
  </si>
  <si>
    <t xml:space="preserve"> Unknown</t>
  </si>
  <si>
    <t>% within 4 hours</t>
  </si>
  <si>
    <t xml:space="preserve">14) NHS Fife have resubmitted data between November 2020 – January 2022. This has resulted in an additional 1261 records over that period that were previously recorded as Planned Attendances and have now been changed to Unplanned. This has very little impact on the proportion meeting the four hour standard for NHS Fife (approx. 0.1%).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</si>
</sst>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5" formatCode="[$-F800]dddd\,\ mmmm\ dd\,\ yyyy"/>
    <numFmt numFmtId="166" formatCode="mm/dd/yyyy"/>
    <numFmt numFmtId="167" formatCode="0.0%"/>
    <numFmt numFmtId="168" formatCode="mmm\-yyyy"/>
  </numFmts>
  <fonts count="35" x14ac:knownFonts="1">
    <font>
      <sz val="10"/>
      <color rgb="FF000000"/>
      <name val="Arial"/>
    </font>
    <font>
      <sz val="10"/>
      <color rgb="FF000000"/>
      <name val="Arial"/>
      <family val="2"/>
    </font>
    <font>
      <u/>
      <sz val="11"/>
      <color indexed="12"/>
      <name val="Arial"/>
      <family val="2"/>
    </font>
    <font>
      <sz val="11"/>
      <color rgb="FFFF0000"/>
      <name val="Arial"/>
      <family val="2"/>
    </font>
    <font>
      <sz val="10"/>
      <color theme="1"/>
      <name val="Arial"/>
      <family val="2"/>
    </font>
    <font>
      <b/>
      <sz val="10"/>
      <color rgb="FF000000"/>
      <name val="Arial"/>
      <family val="2"/>
    </font>
    <font>
      <b/>
      <sz val="11"/>
      <color rgb="FF000000"/>
      <name val="Arial"/>
      <family val="2"/>
    </font>
    <font>
      <sz val="11"/>
      <color theme="1"/>
      <name val="Arial"/>
      <family val="2"/>
    </font>
    <font>
      <u/>
      <sz val="10"/>
      <color indexed="12"/>
      <name val="Arial"/>
      <family val="2"/>
    </font>
    <font>
      <b/>
      <sz val="18"/>
      <color rgb="FF000000"/>
      <name val="Arial"/>
      <family val="2"/>
    </font>
    <font>
      <b/>
      <i/>
      <sz val="11"/>
      <color rgb="FF000000"/>
      <name val="Arial"/>
      <family val="2"/>
    </font>
    <font>
      <b/>
      <sz val="11"/>
      <color indexed="10"/>
      <name val="Arial"/>
      <family val="2"/>
    </font>
    <font>
      <sz val="11"/>
      <color rgb="FF000000"/>
      <name val="Arial"/>
      <family val="2"/>
    </font>
    <font>
      <b/>
      <sz val="11"/>
      <color rgb="FF002060"/>
      <name val="Arial"/>
      <family val="2"/>
    </font>
    <font>
      <b/>
      <sz val="11"/>
      <color indexed="17"/>
      <name val="Arial"/>
      <family val="2"/>
    </font>
    <font>
      <b/>
      <sz val="14"/>
      <color rgb="FF002060"/>
      <name val="Arial"/>
      <family val="2"/>
    </font>
    <font>
      <b/>
      <sz val="10"/>
      <color indexed="10"/>
      <name val="Arial"/>
      <family val="2"/>
    </font>
    <font>
      <sz val="11"/>
      <color rgb="FF000000"/>
      <name val="Calibri"/>
      <family val="2"/>
      <scheme val="minor"/>
    </font>
    <font>
      <b/>
      <sz val="16"/>
      <color rgb="FF002060"/>
      <name val="Arial"/>
      <family val="2"/>
    </font>
    <font>
      <b/>
      <sz val="10"/>
      <color rgb="FFFF0000"/>
      <name val="Arial"/>
      <family val="2"/>
    </font>
    <font>
      <b/>
      <sz val="8"/>
      <color theme="1"/>
      <name val="Calibri"/>
      <family val="2"/>
    </font>
    <font>
      <b/>
      <sz val="12"/>
      <color theme="1"/>
      <name val="Calibri"/>
      <family val="2"/>
      <scheme val="minor"/>
    </font>
    <font>
      <b/>
      <sz val="14"/>
      <color theme="1"/>
      <name val="Arial"/>
      <family val="2"/>
    </font>
    <font>
      <b/>
      <sz val="11"/>
      <color theme="1"/>
      <name val="Arial"/>
      <family val="2"/>
    </font>
    <font>
      <b/>
      <sz val="11"/>
      <color theme="1"/>
      <name val="Calibri"/>
      <family val="2"/>
      <scheme val="minor"/>
    </font>
    <font>
      <b/>
      <i/>
      <sz val="10"/>
      <color rgb="FF000000"/>
      <name val="Arial"/>
      <family val="2"/>
    </font>
    <font>
      <b/>
      <u/>
      <sz val="11"/>
      <color theme="1"/>
      <name val="Calibri"/>
      <family val="2"/>
      <scheme val="minor"/>
    </font>
    <font>
      <b/>
      <sz val="11"/>
      <color indexed="8"/>
      <name val="Calibri"/>
      <family val="2"/>
      <scheme val="minor"/>
    </font>
    <font>
      <sz val="11"/>
      <color rgb="FFFF0000"/>
      <name val="Calibri"/>
      <family val="2"/>
      <scheme val="minor"/>
    </font>
    <font>
      <b/>
      <sz val="18"/>
      <color rgb="FF002060"/>
      <name val="Arial"/>
      <family val="2"/>
    </font>
    <font>
      <b/>
      <sz val="10"/>
      <color rgb="FF000000"/>
      <name val="Arial"/>
    </font>
    <font>
      <b/>
      <sz val="10"/>
      <color theme="1"/>
      <name val="Arial"/>
      <family val="2"/>
    </font>
    <font>
      <b/>
      <sz val="11"/>
      <color rgb="FF000000"/>
      <name val="Arial"/>
    </font>
    <font>
      <b/>
      <sz val="10"/>
      <name val="Arial"/>
      <family val="2"/>
    </font>
    <font>
      <sz val="1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E6E6E6"/>
        <bgColor indexed="64"/>
      </patternFill>
    </fill>
    <fill>
      <patternFill patternType="solid">
        <fgColor rgb="FFBFBFBF"/>
      </patternFill>
    </fill>
  </fills>
  <borders count="44">
    <border>
      <left/>
      <right/>
      <top/>
      <bottom/>
      <diagonal/>
    </border>
    <border>
      <left style="thin">
        <color indexed="64"/>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auto="1"/>
      </left>
      <right style="thin">
        <color auto="1"/>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auto="1"/>
      </left>
      <right style="thin">
        <color auto="1"/>
      </right>
      <top/>
      <bottom/>
      <diagonal/>
    </border>
    <border>
      <left style="thin">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medium">
        <color rgb="FF000000"/>
      </bottom>
      <diagonal/>
    </border>
    <border>
      <left style="thin">
        <color rgb="FF000000"/>
      </left>
      <right style="thin">
        <color rgb="FF000000"/>
      </right>
      <top style="thin">
        <color rgb="FF000000"/>
      </top>
      <bottom style="medium">
        <color rgb="FF000000"/>
      </bottom>
      <diagonal/>
    </border>
    <border>
      <left/>
      <right/>
      <top style="medium">
        <color auto="1"/>
      </top>
      <bottom style="medium">
        <color rgb="FF000000"/>
      </bottom>
      <diagonal/>
    </border>
    <border>
      <left/>
      <right style="medium">
        <color rgb="FF000000"/>
      </right>
      <top/>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medium">
        <color auto="1"/>
      </left>
      <right style="medium">
        <color rgb="FF000000"/>
      </right>
      <top style="medium">
        <color auto="1"/>
      </top>
      <bottom style="medium">
        <color rgb="FF000000"/>
      </bottom>
      <diagonal/>
    </border>
    <border>
      <left/>
      <right style="medium">
        <color rgb="FF000000"/>
      </right>
      <top style="medium">
        <color auto="1"/>
      </top>
      <bottom style="medium">
        <color rgb="FF000000"/>
      </bottom>
      <diagonal/>
    </border>
    <border>
      <left/>
      <right style="medium">
        <color rgb="FF000000"/>
      </right>
      <top/>
      <bottom style="medium">
        <color rgb="FF000000"/>
      </bottom>
      <diagonal/>
    </border>
    <border>
      <left/>
      <right/>
      <top/>
      <bottom/>
      <diagonal/>
    </border>
    <border>
      <left/>
      <right style="medium">
        <color rgb="FF000000"/>
      </right>
      <top/>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210">
    <xf numFmtId="0" fontId="0" fillId="0" borderId="0" xfId="0"/>
    <xf numFmtId="0" fontId="1" fillId="0" borderId="0" xfId="0" applyFont="1" applyAlignment="1">
      <alignment vertical="center" wrapText="1"/>
    </xf>
    <xf numFmtId="0" fontId="2"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horizontal="left" vertical="center"/>
    </xf>
    <xf numFmtId="0" fontId="6" fillId="0" borderId="0" xfId="0" applyFont="1" applyAlignment="1">
      <alignment vertical="center" wrapText="1"/>
    </xf>
    <xf numFmtId="0" fontId="6" fillId="0" borderId="0" xfId="0" applyFont="1" applyAlignment="1">
      <alignment vertical="center"/>
    </xf>
    <xf numFmtId="0" fontId="9" fillId="0" borderId="0" xfId="0" applyFont="1" applyAlignment="1">
      <alignment horizontal="left" vertical="center"/>
    </xf>
    <xf numFmtId="0" fontId="10" fillId="0" borderId="0" xfId="0" applyFont="1" applyAlignment="1">
      <alignment horizontal="right" vertical="center" wrapText="1"/>
    </xf>
    <xf numFmtId="0" fontId="11" fillId="0" borderId="0" xfId="0" applyFont="1" applyAlignment="1">
      <alignment vertical="center" wrapText="1"/>
    </xf>
    <xf numFmtId="0" fontId="12" fillId="0" borderId="0" xfId="0" applyFont="1" applyAlignment="1">
      <alignment vertical="center"/>
    </xf>
    <xf numFmtId="0" fontId="11" fillId="0" borderId="0" xfId="0" applyFont="1" applyAlignment="1">
      <alignment vertical="center"/>
    </xf>
    <xf numFmtId="0" fontId="10" fillId="0" borderId="0" xfId="0" applyFont="1" applyAlignment="1">
      <alignment horizontal="left" vertical="center" wrapText="1"/>
    </xf>
    <xf numFmtId="0" fontId="12" fillId="0" borderId="0" xfId="0" applyFont="1" applyAlignment="1">
      <alignment horizontal="left" vertical="center"/>
    </xf>
    <xf numFmtId="0" fontId="13" fillId="0" borderId="0" xfId="0" applyFont="1" applyAlignment="1">
      <alignment vertical="center"/>
    </xf>
    <xf numFmtId="0" fontId="6" fillId="0" borderId="0" xfId="0" applyFont="1" applyAlignment="1">
      <alignment vertical="top"/>
    </xf>
    <xf numFmtId="0" fontId="2" fillId="0" borderId="0" xfId="0" applyFont="1" applyAlignment="1">
      <alignment horizontal="left" vertical="top"/>
    </xf>
    <xf numFmtId="0" fontId="14" fillId="0" borderId="0" xfId="0" applyFont="1" applyAlignment="1">
      <alignment vertical="center"/>
    </xf>
    <xf numFmtId="0" fontId="15" fillId="0" borderId="0" xfId="0" applyFont="1" applyAlignment="1">
      <alignment vertical="center"/>
    </xf>
    <xf numFmtId="0" fontId="1" fillId="0" borderId="0" xfId="0" applyFont="1" applyAlignment="1">
      <alignment vertical="top"/>
    </xf>
    <xf numFmtId="0" fontId="1" fillId="0" borderId="0" xfId="0" applyFont="1" applyAlignment="1">
      <alignment vertical="center"/>
    </xf>
    <xf numFmtId="0" fontId="16" fillId="0" borderId="0" xfId="0" applyFont="1" applyAlignment="1">
      <alignment vertical="center"/>
    </xf>
    <xf numFmtId="0" fontId="5" fillId="0" borderId="0" xfId="0" applyFont="1" applyAlignment="1">
      <alignment horizontal="right" vertical="center"/>
    </xf>
    <xf numFmtId="0" fontId="11" fillId="0" borderId="0" xfId="0" applyFont="1" applyAlignment="1">
      <alignment horizontal="left" vertical="center" wrapText="1"/>
    </xf>
    <xf numFmtId="49" fontId="6" fillId="0" borderId="2" xfId="0" applyNumberFormat="1" applyFont="1" applyBorder="1" applyAlignment="1">
      <alignment horizontal="center" vertical="center" wrapText="1"/>
    </xf>
    <xf numFmtId="0" fontId="17" fillId="0" borderId="0" xfId="0" applyFont="1"/>
    <xf numFmtId="0" fontId="5" fillId="0" borderId="2" xfId="0" applyFont="1" applyBorder="1" applyAlignment="1">
      <alignment vertical="center"/>
    </xf>
    <xf numFmtId="0" fontId="5" fillId="0" borderId="2" xfId="0" applyFont="1" applyBorder="1" applyAlignment="1">
      <alignment vertical="center" wrapText="1"/>
    </xf>
    <xf numFmtId="0" fontId="0" fillId="0" borderId="0" xfId="0" applyFont="1" applyAlignment="1">
      <alignment wrapText="1"/>
    </xf>
    <xf numFmtId="0" fontId="5" fillId="0" borderId="0" xfId="0" applyFont="1" applyAlignment="1">
      <alignment vertical="center" wrapText="1"/>
    </xf>
    <xf numFmtId="0" fontId="17" fillId="0" borderId="0" xfId="0" applyFont="1" applyAlignment="1">
      <alignment vertical="center" wrapText="1"/>
    </xf>
    <xf numFmtId="0" fontId="4" fillId="0" borderId="0" xfId="0" applyFont="1" applyAlignment="1">
      <alignment vertical="center" wrapText="1"/>
    </xf>
    <xf numFmtId="0" fontId="3" fillId="0" borderId="0" xfId="0" applyFont="1" applyAlignment="1">
      <alignment vertical="center" wrapText="1"/>
    </xf>
    <xf numFmtId="0" fontId="1" fillId="0" borderId="2" xfId="0" applyFont="1" applyBorder="1" applyAlignment="1">
      <alignment vertical="center" wrapText="1"/>
    </xf>
    <xf numFmtId="0" fontId="8" fillId="0" borderId="2" xfId="0" applyFont="1" applyBorder="1" applyAlignment="1">
      <alignment vertical="center" wrapText="1"/>
    </xf>
    <xf numFmtId="15" fontId="1" fillId="0" borderId="2" xfId="0" applyNumberFormat="1" applyFont="1" applyBorder="1" applyAlignment="1">
      <alignment vertical="center"/>
    </xf>
    <xf numFmtId="0" fontId="4" fillId="0" borderId="2" xfId="0" applyFont="1" applyBorder="1" applyAlignment="1">
      <alignment vertical="center" wrapText="1"/>
    </xf>
    <xf numFmtId="0" fontId="15" fillId="0" borderId="0" xfId="0" applyFont="1" applyAlignment="1">
      <alignment horizontal="left" vertical="center"/>
    </xf>
    <xf numFmtId="0" fontId="0" fillId="0" borderId="0" xfId="0" applyFont="1"/>
    <xf numFmtId="0" fontId="5" fillId="0" borderId="0" xfId="0" applyFont="1" applyAlignment="1">
      <alignment vertical="center"/>
    </xf>
    <xf numFmtId="0" fontId="7" fillId="0" borderId="0" xfId="0" applyFont="1" applyAlignment="1">
      <alignment vertical="center"/>
    </xf>
    <xf numFmtId="0" fontId="18" fillId="0" borderId="0" xfId="0" applyFont="1" applyAlignment="1">
      <alignment horizontal="left" vertical="center"/>
    </xf>
    <xf numFmtId="0" fontId="19" fillId="0" borderId="0" xfId="0" applyFont="1" applyAlignment="1">
      <alignment vertical="center"/>
    </xf>
    <xf numFmtId="0" fontId="7" fillId="0" borderId="0" xfId="0" applyFont="1" applyAlignment="1">
      <alignment vertical="center" wrapText="1"/>
    </xf>
    <xf numFmtId="0" fontId="18" fillId="0" borderId="0" xfId="0" applyFont="1" applyAlignment="1">
      <alignment horizontal="left" wrapText="1"/>
    </xf>
    <xf numFmtId="0" fontId="19" fillId="0" borderId="0" xfId="0" applyFont="1" applyAlignment="1">
      <alignment vertical="center" wrapText="1"/>
    </xf>
    <xf numFmtId="0" fontId="20" fillId="0" borderId="0" xfId="0" applyFont="1"/>
    <xf numFmtId="0" fontId="15" fillId="3" borderId="0" xfId="0" applyFont="1" applyFill="1" applyAlignment="1">
      <alignment horizontal="left"/>
    </xf>
    <xf numFmtId="0" fontId="21" fillId="4" borderId="2" xfId="0" applyFont="1" applyFill="1" applyBorder="1" applyAlignment="1">
      <alignment vertical="center"/>
    </xf>
    <xf numFmtId="0" fontId="18" fillId="3" borderId="0" xfId="0" applyFont="1" applyFill="1" applyAlignment="1">
      <alignment horizontal="left"/>
    </xf>
    <xf numFmtId="0" fontId="7" fillId="0" borderId="0" xfId="0" applyFont="1"/>
    <xf numFmtId="0" fontId="23" fillId="0" borderId="0" xfId="0" applyFont="1"/>
    <xf numFmtId="166" fontId="7" fillId="0" borderId="0" xfId="0" applyNumberFormat="1" applyFont="1"/>
    <xf numFmtId="9" fontId="7" fillId="0" borderId="0" xfId="0" applyNumberFormat="1" applyFont="1"/>
    <xf numFmtId="3" fontId="7" fillId="0" borderId="0" xfId="0" applyNumberFormat="1" applyFont="1"/>
    <xf numFmtId="0" fontId="24" fillId="2" borderId="1" xfId="0" applyFont="1" applyFill="1" applyBorder="1" applyAlignment="1">
      <alignment vertical="center"/>
    </xf>
    <xf numFmtId="0" fontId="15" fillId="0" borderId="0" xfId="0" applyFont="1" applyAlignment="1">
      <alignment horizontal="left"/>
    </xf>
    <xf numFmtId="0" fontId="25" fillId="0" borderId="0" xfId="0" applyFont="1" applyAlignment="1">
      <alignment horizontal="right" vertical="center"/>
    </xf>
    <xf numFmtId="0" fontId="5" fillId="0" borderId="0" xfId="0" applyFont="1" applyAlignment="1">
      <alignment horizontal="left" vertical="center"/>
    </xf>
    <xf numFmtId="9" fontId="7" fillId="0" borderId="0" xfId="0" applyNumberFormat="1" applyFont="1" applyAlignment="1">
      <alignment vertical="center"/>
    </xf>
    <xf numFmtId="0" fontId="7" fillId="0" borderId="0" xfId="0" applyFont="1" applyAlignment="1">
      <alignment horizontal="left"/>
    </xf>
    <xf numFmtId="0" fontId="24" fillId="0" borderId="0" xfId="0" applyFont="1"/>
    <xf numFmtId="0" fontId="24" fillId="0" borderId="3" xfId="0" applyFont="1" applyBorder="1"/>
    <xf numFmtId="14" fontId="0" fillId="0" borderId="4" xfId="0" applyNumberFormat="1" applyFont="1" applyBorder="1" applyAlignment="1">
      <alignment horizontal="center"/>
    </xf>
    <xf numFmtId="14" fontId="0" fillId="0" borderId="4" xfId="0" applyNumberFormat="1" applyFont="1" applyBorder="1" applyAlignment="1">
      <alignment horizontal="left" wrapText="1"/>
    </xf>
    <xf numFmtId="14" fontId="0" fillId="0" borderId="5" xfId="0" applyNumberFormat="1" applyFont="1" applyBorder="1" applyAlignment="1">
      <alignment horizontal="left" wrapText="1"/>
    </xf>
    <xf numFmtId="0" fontId="24" fillId="0" borderId="6" xfId="0" applyFont="1" applyBorder="1"/>
    <xf numFmtId="14" fontId="0" fillId="0" borderId="7" xfId="0" applyNumberFormat="1" applyFont="1" applyBorder="1" applyAlignment="1">
      <alignment horizontal="center"/>
    </xf>
    <xf numFmtId="14" fontId="0" fillId="0" borderId="7" xfId="0" applyNumberFormat="1" applyFont="1" applyBorder="1" applyAlignment="1">
      <alignment horizontal="left" wrapText="1"/>
    </xf>
    <xf numFmtId="14" fontId="0" fillId="0" borderId="8" xfId="0" applyNumberFormat="1" applyFont="1" applyBorder="1" applyAlignment="1">
      <alignment horizontal="left" wrapText="1"/>
    </xf>
    <xf numFmtId="0" fontId="0" fillId="0" borderId="4" xfId="0" applyFont="1" applyBorder="1" applyAlignment="1">
      <alignment horizontal="center"/>
    </xf>
    <xf numFmtId="0" fontId="0" fillId="0" borderId="4" xfId="0" applyFont="1" applyBorder="1" applyAlignment="1">
      <alignment horizontal="left" wrapText="1"/>
    </xf>
    <xf numFmtId="0" fontId="0" fillId="0" borderId="5" xfId="0" applyFont="1" applyBorder="1" applyAlignment="1">
      <alignment horizontal="left" wrapText="1"/>
    </xf>
    <xf numFmtId="0" fontId="0" fillId="0" borderId="7" xfId="0" applyFont="1" applyBorder="1" applyAlignment="1">
      <alignment horizontal="center"/>
    </xf>
    <xf numFmtId="0" fontId="0" fillId="0" borderId="7" xfId="0" applyFont="1" applyBorder="1" applyAlignment="1">
      <alignment horizontal="left" wrapText="1"/>
    </xf>
    <xf numFmtId="0" fontId="26" fillId="0" borderId="0" xfId="0" applyFont="1" applyAlignment="1">
      <alignment horizontal="left"/>
    </xf>
    <xf numFmtId="0" fontId="0" fillId="0" borderId="9" xfId="0" applyFont="1" applyBorder="1"/>
    <xf numFmtId="0" fontId="0" fillId="0" borderId="10" xfId="0" applyFont="1" applyBorder="1" applyAlignment="1">
      <alignment horizontal="center"/>
    </xf>
    <xf numFmtId="0" fontId="0" fillId="0" borderId="10" xfId="0" applyFont="1" applyBorder="1" applyAlignment="1">
      <alignment horizontal="left" wrapText="1"/>
    </xf>
    <xf numFmtId="0" fontId="0" fillId="0" borderId="11" xfId="0" applyFont="1" applyBorder="1" applyAlignment="1">
      <alignment horizontal="left" wrapText="1"/>
    </xf>
    <xf numFmtId="0" fontId="0" fillId="0" borderId="12" xfId="0" applyFont="1" applyBorder="1"/>
    <xf numFmtId="0" fontId="0" fillId="0" borderId="2" xfId="0" applyFont="1" applyBorder="1" applyAlignment="1">
      <alignment horizontal="center"/>
    </xf>
    <xf numFmtId="0" fontId="0" fillId="0" borderId="2" xfId="0" applyFont="1" applyBorder="1" applyAlignment="1">
      <alignment horizontal="left" wrapText="1"/>
    </xf>
    <xf numFmtId="0" fontId="0" fillId="0" borderId="6" xfId="0" applyFont="1" applyBorder="1"/>
    <xf numFmtId="0" fontId="0" fillId="0" borderId="8" xfId="0" applyFont="1" applyBorder="1" applyAlignment="1">
      <alignment horizontal="left" wrapText="1"/>
    </xf>
    <xf numFmtId="0" fontId="0" fillId="0" borderId="3" xfId="0" applyFont="1" applyBorder="1"/>
    <xf numFmtId="49" fontId="27" fillId="0" borderId="0" xfId="0" applyNumberFormat="1" applyFont="1" applyAlignment="1">
      <alignment horizontal="left"/>
    </xf>
    <xf numFmtId="0" fontId="0" fillId="0" borderId="13" xfId="0" applyFont="1" applyBorder="1" applyAlignment="1">
      <alignment horizontal="left" wrapText="1"/>
    </xf>
    <xf numFmtId="0" fontId="0" fillId="0" borderId="14" xfId="0" applyFont="1" applyBorder="1"/>
    <xf numFmtId="0" fontId="0" fillId="0" borderId="15" xfId="0" applyFont="1" applyBorder="1" applyAlignment="1">
      <alignment horizontal="center"/>
    </xf>
    <xf numFmtId="0" fontId="0" fillId="0" borderId="15" xfId="0" applyFont="1" applyBorder="1" applyAlignment="1">
      <alignment horizontal="left" wrapText="1"/>
    </xf>
    <xf numFmtId="0" fontId="0" fillId="0" borderId="16" xfId="0" applyFont="1" applyBorder="1" applyAlignment="1">
      <alignment horizontal="left" wrapText="1"/>
    </xf>
    <xf numFmtId="0" fontId="1" fillId="0" borderId="3" xfId="0" applyFont="1" applyBorder="1"/>
    <xf numFmtId="0" fontId="1" fillId="0" borderId="12" xfId="0" applyFont="1" applyBorder="1"/>
    <xf numFmtId="0" fontId="1" fillId="0" borderId="6" xfId="0" applyFont="1" applyBorder="1"/>
    <xf numFmtId="0" fontId="0" fillId="0" borderId="17" xfId="0" applyFont="1" applyBorder="1"/>
    <xf numFmtId="0" fontId="0" fillId="0" borderId="18" xfId="0" applyFont="1" applyBorder="1" applyAlignment="1">
      <alignment horizontal="center"/>
    </xf>
    <xf numFmtId="17" fontId="1" fillId="0" borderId="19" xfId="0" applyNumberFormat="1" applyFont="1" applyBorder="1" applyAlignment="1">
      <alignment vertical="center"/>
    </xf>
    <xf numFmtId="0" fontId="0" fillId="0" borderId="18" xfId="0" applyFont="1" applyBorder="1" applyAlignment="1">
      <alignment horizontal="left" wrapText="1"/>
    </xf>
    <xf numFmtId="0" fontId="0" fillId="0" borderId="20" xfId="0" applyFont="1" applyBorder="1" applyAlignment="1">
      <alignment horizontal="left" wrapText="1"/>
    </xf>
    <xf numFmtId="0" fontId="24" fillId="0" borderId="12" xfId="0" applyFont="1" applyBorder="1"/>
    <xf numFmtId="0" fontId="0" fillId="0" borderId="19" xfId="0" applyFont="1" applyBorder="1"/>
    <xf numFmtId="0" fontId="24" fillId="0" borderId="0" xfId="0" applyFont="1" applyAlignment="1">
      <alignment horizontal="left"/>
    </xf>
    <xf numFmtId="0" fontId="28" fillId="0" borderId="0" xfId="0" applyFont="1"/>
    <xf numFmtId="0" fontId="24" fillId="0" borderId="21" xfId="0" applyFont="1" applyBorder="1" applyAlignment="1">
      <alignment wrapText="1"/>
    </xf>
    <xf numFmtId="0" fontId="24" fillId="0" borderId="22" xfId="0" applyFont="1" applyBorder="1" applyAlignment="1">
      <alignment wrapText="1"/>
    </xf>
    <xf numFmtId="0" fontId="0" fillId="0" borderId="23" xfId="0" applyFont="1" applyBorder="1" applyAlignment="1">
      <alignment wrapText="1"/>
    </xf>
    <xf numFmtId="0" fontId="0" fillId="0" borderId="22" xfId="0" applyFont="1" applyBorder="1" applyAlignment="1">
      <alignment wrapText="1"/>
    </xf>
    <xf numFmtId="0" fontId="0" fillId="0" borderId="21" xfId="0" applyFont="1" applyBorder="1" applyAlignment="1">
      <alignment wrapText="1"/>
    </xf>
    <xf numFmtId="0" fontId="0" fillId="0" borderId="24" xfId="0" applyFont="1" applyBorder="1" applyAlignment="1">
      <alignment wrapText="1"/>
    </xf>
    <xf numFmtId="0" fontId="0" fillId="0" borderId="25" xfId="0" applyFont="1" applyBorder="1" applyAlignment="1">
      <alignment wrapText="1"/>
    </xf>
    <xf numFmtId="0" fontId="24" fillId="0" borderId="23" xfId="0" applyFont="1" applyBorder="1" applyAlignment="1">
      <alignment wrapText="1"/>
    </xf>
    <xf numFmtId="0" fontId="29" fillId="0" borderId="0" xfId="0" applyFont="1"/>
    <xf numFmtId="0" fontId="0" fillId="0" borderId="26" xfId="0" applyFont="1" applyBorder="1" applyAlignment="1">
      <alignment horizontal="center" wrapText="1"/>
    </xf>
    <xf numFmtId="165" fontId="0" fillId="0" borderId="0" xfId="0" applyNumberFormat="1" applyFont="1"/>
    <xf numFmtId="0" fontId="0" fillId="0" borderId="1" xfId="0" applyFont="1" applyBorder="1"/>
    <xf numFmtId="0" fontId="0" fillId="0" borderId="27" xfId="0" applyFont="1" applyBorder="1" applyAlignment="1">
      <alignment horizontal="center" wrapText="1"/>
    </xf>
    <xf numFmtId="0" fontId="0" fillId="0" borderId="28" xfId="0" applyFont="1" applyBorder="1"/>
    <xf numFmtId="0" fontId="0" fillId="0" borderId="10" xfId="0" applyFont="1" applyBorder="1"/>
    <xf numFmtId="0" fontId="24" fillId="0" borderId="2" xfId="0" applyFont="1" applyBorder="1"/>
    <xf numFmtId="0" fontId="0" fillId="0" borderId="29" xfId="0" applyFont="1" applyBorder="1" applyAlignment="1">
      <alignment horizontal="center" wrapText="1"/>
    </xf>
    <xf numFmtId="14" fontId="0" fillId="0" borderId="0" xfId="0" applyNumberFormat="1" applyFont="1"/>
    <xf numFmtId="0" fontId="30" fillId="0" borderId="0" xfId="0" applyFont="1" applyAlignment="1">
      <alignment horizontal="right" vertical="center"/>
    </xf>
    <xf numFmtId="0" fontId="31" fillId="0" borderId="0" xfId="0" applyFont="1" applyAlignment="1">
      <alignment horizontal="right" vertical="center"/>
    </xf>
    <xf numFmtId="3" fontId="4" fillId="0" borderId="30" xfId="0" applyNumberFormat="1" applyFont="1" applyBorder="1" applyAlignment="1">
      <alignment horizontal="right"/>
    </xf>
    <xf numFmtId="167" fontId="4" fillId="0" borderId="30" xfId="0" applyNumberFormat="1" applyFont="1" applyBorder="1" applyAlignment="1">
      <alignment horizontal="right"/>
    </xf>
    <xf numFmtId="0" fontId="23" fillId="0" borderId="31" xfId="0" applyFont="1" applyBorder="1"/>
    <xf numFmtId="0" fontId="0" fillId="0" borderId="31" xfId="0" applyFont="1" applyBorder="1"/>
    <xf numFmtId="168" fontId="23" fillId="0" borderId="32" xfId="0" applyNumberFormat="1" applyFont="1" applyBorder="1" applyAlignment="1">
      <alignment horizontal="right"/>
    </xf>
    <xf numFmtId="3" fontId="4" fillId="0" borderId="32" xfId="0" applyNumberFormat="1" applyFont="1" applyBorder="1" applyAlignment="1">
      <alignment horizontal="right"/>
    </xf>
    <xf numFmtId="167" fontId="4" fillId="0" borderId="32" xfId="0" applyNumberFormat="1" applyFont="1" applyBorder="1" applyAlignment="1">
      <alignment horizontal="right"/>
    </xf>
    <xf numFmtId="0" fontId="7" fillId="0" borderId="33" xfId="0" applyFont="1" applyBorder="1" applyAlignment="1">
      <alignment horizontal="right"/>
    </xf>
    <xf numFmtId="0" fontId="0" fillId="0" borderId="34" xfId="0" applyFont="1" applyBorder="1"/>
    <xf numFmtId="0" fontId="4" fillId="0" borderId="35" xfId="0" applyFont="1" applyBorder="1" applyAlignment="1">
      <alignment vertical="center" wrapText="1"/>
    </xf>
    <xf numFmtId="0" fontId="4" fillId="0" borderId="35" xfId="0" applyFont="1" applyBorder="1"/>
    <xf numFmtId="0" fontId="4" fillId="0" borderId="35" xfId="0" applyFont="1" applyBorder="1" applyAlignment="1">
      <alignment vertical="center"/>
    </xf>
    <xf numFmtId="0" fontId="23" fillId="0" borderId="36" xfId="0" applyFont="1" applyBorder="1"/>
    <xf numFmtId="0" fontId="4" fillId="0" borderId="36" xfId="0" applyFont="1" applyBorder="1"/>
    <xf numFmtId="0" fontId="23" fillId="0" borderId="37" xfId="0" applyFont="1" applyBorder="1"/>
    <xf numFmtId="0" fontId="4" fillId="0" borderId="36" xfId="0" applyFont="1" applyBorder="1" applyAlignment="1">
      <alignment vertical="center" wrapText="1"/>
    </xf>
    <xf numFmtId="0" fontId="4" fillId="0" borderId="36" xfId="0" applyFont="1" applyBorder="1" applyAlignment="1">
      <alignment horizontal="left"/>
    </xf>
    <xf numFmtId="3" fontId="4" fillId="0" borderId="35" xfId="0" applyNumberFormat="1" applyFont="1" applyBorder="1" applyAlignment="1">
      <alignment horizontal="right"/>
    </xf>
    <xf numFmtId="167" fontId="4" fillId="0" borderId="35" xfId="0" applyNumberFormat="1" applyFont="1" applyBorder="1" applyAlignment="1">
      <alignment horizontal="right"/>
    </xf>
    <xf numFmtId="168" fontId="23" fillId="0" borderId="36" xfId="0" applyNumberFormat="1" applyFont="1" applyBorder="1" applyAlignment="1">
      <alignment horizontal="right"/>
    </xf>
    <xf numFmtId="3" fontId="4" fillId="0" borderId="36" xfId="0" applyNumberFormat="1" applyFont="1" applyBorder="1" applyAlignment="1">
      <alignment horizontal="right"/>
    </xf>
    <xf numFmtId="167" fontId="4" fillId="0" borderId="36" xfId="0" applyNumberFormat="1" applyFont="1" applyBorder="1" applyAlignment="1">
      <alignment horizontal="right"/>
    </xf>
    <xf numFmtId="0" fontId="7" fillId="0" borderId="38" xfId="0" applyFont="1" applyBorder="1" applyAlignment="1">
      <alignment horizontal="right"/>
    </xf>
    <xf numFmtId="3" fontId="0" fillId="0" borderId="30" xfId="0" applyNumberFormat="1" applyFont="1" applyBorder="1"/>
    <xf numFmtId="167" fontId="0" fillId="0" borderId="30" xfId="0" applyNumberFormat="1" applyFont="1" applyBorder="1"/>
    <xf numFmtId="168" fontId="32" fillId="0" borderId="32" xfId="0" applyNumberFormat="1" applyFont="1" applyBorder="1"/>
    <xf numFmtId="3" fontId="0" fillId="0" borderId="32" xfId="0" applyNumberFormat="1" applyFont="1" applyBorder="1"/>
    <xf numFmtId="167" fontId="0" fillId="0" borderId="32" xfId="0" applyNumberFormat="1" applyFont="1" applyBorder="1"/>
    <xf numFmtId="0" fontId="0" fillId="0" borderId="35" xfId="0" applyFont="1" applyBorder="1"/>
    <xf numFmtId="0" fontId="32" fillId="0" borderId="36" xfId="0" applyFont="1" applyBorder="1"/>
    <xf numFmtId="0" fontId="0" fillId="0" borderId="36" xfId="0" applyFont="1" applyBorder="1"/>
    <xf numFmtId="0" fontId="32" fillId="0" borderId="39" xfId="0" applyFont="1" applyBorder="1"/>
    <xf numFmtId="3" fontId="0" fillId="0" borderId="35" xfId="0" applyNumberFormat="1" applyFont="1" applyBorder="1"/>
    <xf numFmtId="167" fontId="0" fillId="0" borderId="35" xfId="0" applyNumberFormat="1" applyFont="1" applyBorder="1"/>
    <xf numFmtId="168" fontId="32" fillId="0" borderId="36" xfId="0" applyNumberFormat="1" applyFont="1" applyBorder="1"/>
    <xf numFmtId="3" fontId="0" fillId="0" borderId="36" xfId="0" applyNumberFormat="1" applyFont="1" applyBorder="1"/>
    <xf numFmtId="167" fontId="0" fillId="0" borderId="36" xfId="0" applyNumberFormat="1" applyFont="1" applyBorder="1"/>
    <xf numFmtId="0" fontId="0" fillId="0" borderId="39" xfId="0" applyFont="1" applyBorder="1"/>
    <xf numFmtId="0" fontId="0" fillId="0" borderId="30" xfId="0" applyFont="1" applyBorder="1"/>
    <xf numFmtId="0" fontId="7" fillId="0" borderId="31" xfId="0" applyFont="1" applyBorder="1" applyAlignment="1">
      <alignment vertical="center"/>
    </xf>
    <xf numFmtId="0" fontId="30" fillId="0" borderId="35" xfId="0" applyFont="1" applyBorder="1"/>
    <xf numFmtId="3" fontId="0" fillId="0" borderId="30" xfId="0" applyNumberFormat="1" applyFont="1" applyBorder="1" applyAlignment="1">
      <alignment horizontal="right"/>
    </xf>
    <xf numFmtId="0" fontId="18" fillId="0" borderId="31" xfId="0" applyFont="1" applyBorder="1" applyAlignment="1">
      <alignment horizontal="left" wrapText="1"/>
    </xf>
    <xf numFmtId="0" fontId="19" fillId="0" borderId="31" xfId="0" applyFont="1" applyBorder="1" applyAlignment="1">
      <alignment vertical="center" wrapText="1"/>
    </xf>
    <xf numFmtId="3" fontId="0" fillId="0" borderId="32" xfId="0" applyNumberFormat="1" applyFont="1" applyBorder="1" applyAlignment="1">
      <alignment horizontal="right"/>
    </xf>
    <xf numFmtId="3" fontId="30" fillId="0" borderId="32" xfId="0" applyNumberFormat="1" applyFont="1" applyBorder="1" applyAlignment="1">
      <alignment horizontal="right"/>
    </xf>
    <xf numFmtId="0" fontId="30" fillId="0" borderId="36" xfId="0" applyFont="1" applyBorder="1"/>
    <xf numFmtId="3" fontId="0" fillId="0" borderId="35" xfId="0" applyNumberFormat="1" applyFont="1" applyBorder="1" applyAlignment="1">
      <alignment horizontal="right"/>
    </xf>
    <xf numFmtId="3" fontId="0" fillId="0" borderId="36" xfId="0" applyNumberFormat="1" applyFont="1" applyBorder="1" applyAlignment="1">
      <alignment horizontal="right"/>
    </xf>
    <xf numFmtId="3" fontId="30" fillId="0" borderId="36" xfId="0" applyNumberFormat="1" applyFont="1" applyBorder="1" applyAlignment="1">
      <alignment horizontal="right"/>
    </xf>
    <xf numFmtId="0" fontId="6" fillId="4" borderId="30" xfId="0" applyFont="1" applyFill="1" applyBorder="1" applyAlignment="1">
      <alignment horizontal="left" vertical="center" wrapText="1"/>
    </xf>
    <xf numFmtId="168" fontId="32" fillId="5" borderId="40" xfId="0" applyNumberFormat="1" applyFont="1" applyFill="1" applyBorder="1"/>
    <xf numFmtId="168" fontId="32" fillId="5" borderId="41" xfId="0" applyNumberFormat="1" applyFont="1" applyFill="1" applyBorder="1"/>
    <xf numFmtId="3" fontId="0" fillId="5" borderId="40" xfId="0" applyNumberFormat="1" applyFont="1" applyFill="1" applyBorder="1"/>
    <xf numFmtId="3" fontId="0" fillId="5" borderId="41" xfId="0" applyNumberFormat="1" applyFont="1" applyFill="1" applyBorder="1"/>
    <xf numFmtId="167" fontId="0" fillId="5" borderId="40" xfId="0" applyNumberFormat="1" applyFont="1" applyFill="1" applyBorder="1"/>
    <xf numFmtId="167" fontId="0" fillId="5" borderId="41" xfId="0" applyNumberFormat="1" applyFont="1" applyFill="1" applyBorder="1"/>
    <xf numFmtId="0" fontId="0" fillId="5" borderId="40" xfId="0" applyFont="1" applyFill="1" applyBorder="1"/>
    <xf numFmtId="0" fontId="0" fillId="5" borderId="41" xfId="0" applyFont="1" applyFill="1" applyBorder="1"/>
    <xf numFmtId="167" fontId="0" fillId="5" borderId="42" xfId="0" applyNumberFormat="1" applyFont="1" applyFill="1" applyBorder="1"/>
    <xf numFmtId="167" fontId="0" fillId="5" borderId="43" xfId="0" applyNumberFormat="1" applyFont="1" applyFill="1" applyBorder="1"/>
    <xf numFmtId="0" fontId="24" fillId="4" borderId="30" xfId="0" applyFont="1" applyFill="1" applyBorder="1" applyAlignment="1">
      <alignment vertical="center"/>
    </xf>
    <xf numFmtId="0" fontId="1" fillId="0" borderId="0" xfId="0" applyFont="1" applyAlignment="1">
      <alignment horizontal="left" vertical="center" wrapText="1"/>
    </xf>
    <xf numFmtId="0" fontId="3" fillId="0" borderId="0" xfId="0" applyFont="1" applyAlignment="1">
      <alignment horizontal="left" vertical="center" wrapText="1"/>
    </xf>
    <xf numFmtId="0" fontId="4" fillId="0" borderId="0" xfId="0" applyFont="1" applyAlignment="1">
      <alignment horizontal="left" vertical="center" wrapText="1"/>
    </xf>
    <xf numFmtId="0" fontId="5" fillId="0" borderId="0" xfId="0" applyFont="1" applyAlignment="1">
      <alignment horizontal="left" vertical="center" wrapText="1"/>
    </xf>
    <xf numFmtId="0" fontId="6" fillId="0" borderId="0" xfId="0" applyFont="1" applyAlignment="1">
      <alignment vertical="center" wrapText="1"/>
    </xf>
    <xf numFmtId="0" fontId="6" fillId="0" borderId="0" xfId="0" applyFont="1" applyAlignment="1">
      <alignment vertical="center"/>
    </xf>
    <xf numFmtId="0" fontId="1" fillId="0" borderId="0" xfId="0" applyFont="1" applyAlignment="1">
      <alignment horizontal="left" vertical="top" wrapText="1"/>
    </xf>
    <xf numFmtId="0" fontId="2" fillId="0" borderId="0" xfId="0" applyFont="1" applyAlignment="1">
      <alignment horizontal="left" vertical="top" wrapText="1"/>
    </xf>
    <xf numFmtId="0" fontId="7" fillId="0" borderId="0" xfId="0" applyFont="1" applyAlignment="1">
      <alignment vertical="top" wrapText="1"/>
    </xf>
    <xf numFmtId="0" fontId="8" fillId="0" borderId="0" xfId="0" applyFont="1" applyAlignment="1">
      <alignment horizontal="left" vertical="center" wrapText="1"/>
    </xf>
    <xf numFmtId="0" fontId="1" fillId="2" borderId="1" xfId="0" applyFont="1" applyFill="1" applyBorder="1" applyAlignment="1">
      <alignment horizontal="left" vertical="center"/>
    </xf>
    <xf numFmtId="0" fontId="1" fillId="2" borderId="0" xfId="0" applyFont="1" applyFill="1" applyAlignment="1">
      <alignment horizontal="left" vertical="center"/>
    </xf>
    <xf numFmtId="0" fontId="1" fillId="0" borderId="0" xfId="0" applyFont="1" applyAlignment="1">
      <alignment horizontal="left" vertical="center"/>
    </xf>
    <xf numFmtId="0" fontId="1" fillId="0" borderId="0" xfId="0" applyFont="1" applyAlignment="1">
      <alignment vertical="top" wrapText="1"/>
    </xf>
    <xf numFmtId="0" fontId="8" fillId="0" borderId="0" xfId="0" applyFont="1" applyAlignment="1">
      <alignment horizontal="right" vertical="center"/>
    </xf>
    <xf numFmtId="0" fontId="0" fillId="0" borderId="0" xfId="0" applyFont="1"/>
    <xf numFmtId="0" fontId="8" fillId="3" borderId="0" xfId="0" applyFont="1" applyFill="1" applyAlignment="1">
      <alignment horizontal="right" vertical="center"/>
    </xf>
    <xf numFmtId="0" fontId="5" fillId="3" borderId="0" xfId="0" applyFont="1" applyFill="1" applyAlignment="1">
      <alignment horizontal="left" vertical="center"/>
    </xf>
    <xf numFmtId="0" fontId="19" fillId="0" borderId="0" xfId="0" applyFont="1" applyAlignment="1">
      <alignment horizontal="left" vertical="top" wrapText="1"/>
    </xf>
    <xf numFmtId="0" fontId="22" fillId="0" borderId="0" xfId="0" applyFont="1" applyAlignment="1">
      <alignment horizontal="center"/>
    </xf>
    <xf numFmtId="0" fontId="16" fillId="0" borderId="0" xfId="0" applyFont="1" applyAlignment="1">
      <alignment horizontal="left" vertical="center" wrapText="1"/>
    </xf>
    <xf numFmtId="0" fontId="7" fillId="0" borderId="0" xfId="0" applyFont="1"/>
    <xf numFmtId="0" fontId="5" fillId="0" borderId="0" xfId="0" applyFont="1" applyAlignment="1">
      <alignment horizontal="left" vertical="center"/>
    </xf>
    <xf numFmtId="0" fontId="26" fillId="0" borderId="0" xfId="0" applyFont="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Compliance!$B$43</c:f>
              <c:strCache>
                <c:ptCount val="1"/>
                <c:pt idx="0">
                  <c:v>% within 4 hours (month)</c:v>
                </c:pt>
              </c:strCache>
            </c:strRef>
          </c:tx>
          <c:spPr>
            <a:ln w="22225" cap="rnd">
              <a:solidFill>
                <a:srgbClr val="25406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$43:$N$43,Compliance!$C$57:$N$57,Compliance!$C$71:$N$71,Compliance!$C$85:$N$85,Compliance!$C$99:$N$99,Compliance!$C$113:$N$113,Compliance!$C$127:$N$127,Compliance!$C$141:$N$141,Compliance!$C$155:$N$155,Compliance!$C$169:$N$169,Compliance!$C$183:$N$183,Compliance!$C$197:$N$197,Compliance!$C$211:$N$211,Compliance!$C$225:$N$225,Compliance!$C$239:$N$239,Compliance!$F$253:$N$253)</c:f>
              <c:numCache>
                <c:formatCode>0.0%</c:formatCode>
                <c:ptCount val="189"/>
                <c:pt idx="0">
                  <c:v>0.72102340276533727</c:v>
                </c:pt>
                <c:pt idx="1">
                  <c:v>0.72997301672962767</c:v>
                </c:pt>
                <c:pt idx="2">
                  <c:v>0.71304373431093249</c:v>
                </c:pt>
                <c:pt idx="3">
                  <c:v>0.6996588614791952</c:v>
                </c:pt>
                <c:pt idx="4">
                  <c:v>0.69609172365008254</c:v>
                </c:pt>
                <c:pt idx="5">
                  <c:v>0.68995918615521423</c:v>
                </c:pt>
                <c:pt idx="6">
                  <c:v>0.67581575522337478</c:v>
                </c:pt>
                <c:pt idx="7">
                  <c:v>0.67452307009760426</c:v>
                </c:pt>
                <c:pt idx="8">
                  <c:v>0.62092041197781656</c:v>
                </c:pt>
                <c:pt idx="9">
                  <c:v>0.68698456657581308</c:v>
                </c:pt>
                <c:pt idx="12">
                  <c:v>0.88713093848614533</c:v>
                </c:pt>
                <c:pt idx="13">
                  <c:v>0.87153209189618852</c:v>
                </c:pt>
                <c:pt idx="14">
                  <c:v>0.85079504011670315</c:v>
                </c:pt>
                <c:pt idx="15">
                  <c:v>0.81538670019348181</c:v>
                </c:pt>
                <c:pt idx="16">
                  <c:v>0.77869897025004031</c:v>
                </c:pt>
                <c:pt idx="17">
                  <c:v>0.76146969995902325</c:v>
                </c:pt>
                <c:pt idx="18">
                  <c:v>0.73492639969145723</c:v>
                </c:pt>
                <c:pt idx="19">
                  <c:v>0.75934300556461509</c:v>
                </c:pt>
                <c:pt idx="20">
                  <c:v>0.75664601419257238</c:v>
                </c:pt>
                <c:pt idx="21">
                  <c:v>0.76001878239511655</c:v>
                </c:pt>
                <c:pt idx="22">
                  <c:v>0.74189892469218632</c:v>
                </c:pt>
                <c:pt idx="23">
                  <c:v>0.71562068436397119</c:v>
                </c:pt>
                <c:pt idx="24">
                  <c:v>0.94869235376322614</c:v>
                </c:pt>
                <c:pt idx="25">
                  <c:v>0.95718509490599679</c:v>
                </c:pt>
                <c:pt idx="26">
                  <c:v>0.95599174166016343</c:v>
                </c:pt>
                <c:pt idx="27">
                  <c:v>0.95101840709542274</c:v>
                </c:pt>
                <c:pt idx="28">
                  <c:v>0.92946937046300748</c:v>
                </c:pt>
                <c:pt idx="29">
                  <c:v>0.92120794975479647</c:v>
                </c:pt>
                <c:pt idx="30">
                  <c:v>0.89585311807534029</c:v>
                </c:pt>
                <c:pt idx="31">
                  <c:v>0.89774344175233978</c:v>
                </c:pt>
                <c:pt idx="32">
                  <c:v>0.86316127306766521</c:v>
                </c:pt>
                <c:pt idx="33">
                  <c:v>0.85982400579635621</c:v>
                </c:pt>
                <c:pt idx="34">
                  <c:v>0.86143695014662758</c:v>
                </c:pt>
                <c:pt idx="35">
                  <c:v>0.88514811541860372</c:v>
                </c:pt>
                <c:pt idx="36">
                  <c:v>0.89925003440209161</c:v>
                </c:pt>
                <c:pt idx="37">
                  <c:v>0.90703584272197668</c:v>
                </c:pt>
                <c:pt idx="38">
                  <c:v>0.90328327473971559</c:v>
                </c:pt>
                <c:pt idx="39">
                  <c:v>0.91206428623565872</c:v>
                </c:pt>
                <c:pt idx="40">
                  <c:v>0.90576602803677042</c:v>
                </c:pt>
                <c:pt idx="41">
                  <c:v>0.8927359715853368</c:v>
                </c:pt>
                <c:pt idx="42">
                  <c:v>0.87729687542788293</c:v>
                </c:pt>
                <c:pt idx="43">
                  <c:v>0.85531756038119922</c:v>
                </c:pt>
                <c:pt idx="44">
                  <c:v>0.83827376995856251</c:v>
                </c:pt>
                <c:pt idx="45">
                  <c:v>0.86099116958010447</c:v>
                </c:pt>
                <c:pt idx="46">
                  <c:v>0.87064149414450565</c:v>
                </c:pt>
                <c:pt idx="47">
                  <c:v>0.89245739688812054</c:v>
                </c:pt>
                <c:pt idx="48">
                  <c:v>0.89989329500664184</c:v>
                </c:pt>
                <c:pt idx="49">
                  <c:v>0.93054094837441126</c:v>
                </c:pt>
                <c:pt idx="50">
                  <c:v>0.92807506870614231</c:v>
                </c:pt>
                <c:pt idx="51">
                  <c:v>0.93011583276687193</c:v>
                </c:pt>
                <c:pt idx="52">
                  <c:v>0.91982909758555476</c:v>
                </c:pt>
                <c:pt idx="53">
                  <c:v>0.90903724145779397</c:v>
                </c:pt>
                <c:pt idx="54">
                  <c:v>0.92224514167842797</c:v>
                </c:pt>
                <c:pt idx="55">
                  <c:v>0.91264817755456262</c:v>
                </c:pt>
                <c:pt idx="56">
                  <c:v>0.8956829584368009</c:v>
                </c:pt>
                <c:pt idx="57">
                  <c:v>0.88758325233106528</c:v>
                </c:pt>
                <c:pt idx="58">
                  <c:v>0.89322321929763859</c:v>
                </c:pt>
                <c:pt idx="59">
                  <c:v>0.91327024708779503</c:v>
                </c:pt>
                <c:pt idx="60">
                  <c:v>0.93377819258780215</c:v>
                </c:pt>
                <c:pt idx="61">
                  <c:v>0.93956215637652163</c:v>
                </c:pt>
                <c:pt idx="62">
                  <c:v>0.95451761874914443</c:v>
                </c:pt>
                <c:pt idx="63">
                  <c:v>0.95742841157621683</c:v>
                </c:pt>
                <c:pt idx="64">
                  <c:v>0.95043438888417242</c:v>
                </c:pt>
                <c:pt idx="65">
                  <c:v>0.93490616241529789</c:v>
                </c:pt>
                <c:pt idx="66">
                  <c:v>0.94430780169630479</c:v>
                </c:pt>
                <c:pt idx="67">
                  <c:v>0.93279834208177648</c:v>
                </c:pt>
                <c:pt idx="68">
                  <c:v>0.85056135457606108</c:v>
                </c:pt>
                <c:pt idx="69">
                  <c:v>0.87160669864616669</c:v>
                </c:pt>
                <c:pt idx="70">
                  <c:v>0.90346522446698341</c:v>
                </c:pt>
                <c:pt idx="71">
                  <c:v>0.879481876564711</c:v>
                </c:pt>
                <c:pt idx="72">
                  <c:v>0.95084667289052838</c:v>
                </c:pt>
                <c:pt idx="73">
                  <c:v>0.94475268324871731</c:v>
                </c:pt>
                <c:pt idx="74">
                  <c:v>0.95691660444546556</c:v>
                </c:pt>
                <c:pt idx="75">
                  <c:v>0.95754901454387142</c:v>
                </c:pt>
                <c:pt idx="76">
                  <c:v>0.94753706126389581</c:v>
                </c:pt>
                <c:pt idx="77">
                  <c:v>0.94853477906523509</c:v>
                </c:pt>
                <c:pt idx="78">
                  <c:v>0.93923593336356059</c:v>
                </c:pt>
                <c:pt idx="79">
                  <c:v>0.93561716978649967</c:v>
                </c:pt>
                <c:pt idx="80">
                  <c:v>0.92612294499346526</c:v>
                </c:pt>
                <c:pt idx="81">
                  <c:v>0.91850314436075031</c:v>
                </c:pt>
                <c:pt idx="82">
                  <c:v>0.92540743484409727</c:v>
                </c:pt>
                <c:pt idx="83">
                  <c:v>0.9380218576872924</c:v>
                </c:pt>
                <c:pt idx="84">
                  <c:v>0.92823204501922818</c:v>
                </c:pt>
                <c:pt idx="85">
                  <c:v>0.93486448510132836</c:v>
                </c:pt>
                <c:pt idx="86">
                  <c:v>0.94330646717430344</c:v>
                </c:pt>
                <c:pt idx="87">
                  <c:v>0.95838449993177788</c:v>
                </c:pt>
                <c:pt idx="88">
                  <c:v>0.95225057188104878</c:v>
                </c:pt>
                <c:pt idx="89">
                  <c:v>0.95416110369381402</c:v>
                </c:pt>
                <c:pt idx="90">
                  <c:v>0.94658497161974209</c:v>
                </c:pt>
                <c:pt idx="91">
                  <c:v>0.94891117680732107</c:v>
                </c:pt>
                <c:pt idx="92">
                  <c:v>0.94927154222179622</c:v>
                </c:pt>
                <c:pt idx="93">
                  <c:v>0.91800494132180355</c:v>
                </c:pt>
                <c:pt idx="94">
                  <c:v>0.92948236472318713</c:v>
                </c:pt>
                <c:pt idx="95">
                  <c:v>0.9307234735563652</c:v>
                </c:pt>
                <c:pt idx="96">
                  <c:v>0.92976060539911232</c:v>
                </c:pt>
                <c:pt idx="97">
                  <c:v>0.92742457814896884</c:v>
                </c:pt>
                <c:pt idx="98">
                  <c:v>0.93996353893323759</c:v>
                </c:pt>
                <c:pt idx="99">
                  <c:v>0.94555516258555761</c:v>
                </c:pt>
                <c:pt idx="100">
                  <c:v>0.93162959101731446</c:v>
                </c:pt>
                <c:pt idx="101">
                  <c:v>0.93500161355951228</c:v>
                </c:pt>
                <c:pt idx="102">
                  <c:v>0.91826199021451638</c:v>
                </c:pt>
                <c:pt idx="103">
                  <c:v>0.91795541503425204</c:v>
                </c:pt>
                <c:pt idx="104">
                  <c:v>0.89882789834048971</c:v>
                </c:pt>
                <c:pt idx="105">
                  <c:v>0.87133923596062157</c:v>
                </c:pt>
                <c:pt idx="106">
                  <c:v>0.87948479026312965</c:v>
                </c:pt>
                <c:pt idx="107">
                  <c:v>0.9217359697586508</c:v>
                </c:pt>
                <c:pt idx="108">
                  <c:v>0.91616620678461291</c:v>
                </c:pt>
                <c:pt idx="109">
                  <c:v>0.9457398724285051</c:v>
                </c:pt>
                <c:pt idx="110">
                  <c:v>0.94601935640662749</c:v>
                </c:pt>
                <c:pt idx="111">
                  <c:v>0.95871726938031177</c:v>
                </c:pt>
                <c:pt idx="112">
                  <c:v>0.95139062369889249</c:v>
                </c:pt>
                <c:pt idx="113">
                  <c:v>0.94825037685316627</c:v>
                </c:pt>
                <c:pt idx="114">
                  <c:v>0.9390685346459674</c:v>
                </c:pt>
                <c:pt idx="115">
                  <c:v>0.94732031442491871</c:v>
                </c:pt>
                <c:pt idx="116">
                  <c:v>0.93464047132682915</c:v>
                </c:pt>
                <c:pt idx="117">
                  <c:v>0.92211049423457703</c:v>
                </c:pt>
                <c:pt idx="118">
                  <c:v>0.9183475309246385</c:v>
                </c:pt>
                <c:pt idx="119">
                  <c:v>0.9334930758659572</c:v>
                </c:pt>
                <c:pt idx="120">
                  <c:v>0.94238260628963788</c:v>
                </c:pt>
                <c:pt idx="121">
                  <c:v>0.94663408641416968</c:v>
                </c:pt>
                <c:pt idx="122">
                  <c:v>0.95087539880879501</c:v>
                </c:pt>
                <c:pt idx="123">
                  <c:v>0.96196506453541142</c:v>
                </c:pt>
                <c:pt idx="124">
                  <c:v>0.95456583985924726</c:v>
                </c:pt>
                <c:pt idx="125">
                  <c:v>0.94974235139388974</c:v>
                </c:pt>
                <c:pt idx="126">
                  <c:v>0.94391563736659068</c:v>
                </c:pt>
                <c:pt idx="127">
                  <c:v>0.93463970840213095</c:v>
                </c:pt>
                <c:pt idx="128">
                  <c:v>0.90283345790582326</c:v>
                </c:pt>
                <c:pt idx="129">
                  <c:v>0.89664088854942392</c:v>
                </c:pt>
                <c:pt idx="130">
                  <c:v>0.91901767293877856</c:v>
                </c:pt>
                <c:pt idx="131">
                  <c:v>0.91873235017257615</c:v>
                </c:pt>
                <c:pt idx="132">
                  <c:v>0.95882859603789838</c:v>
                </c:pt>
                <c:pt idx="133">
                  <c:v>0.95943758286232639</c:v>
                </c:pt>
                <c:pt idx="134">
                  <c:v>0.95994980044216471</c:v>
                </c:pt>
                <c:pt idx="135">
                  <c:v>0.97138375715938363</c:v>
                </c:pt>
                <c:pt idx="136">
                  <c:v>0.96990226803829327</c:v>
                </c:pt>
                <c:pt idx="137">
                  <c:v>0.95967119174948223</c:v>
                </c:pt>
                <c:pt idx="138">
                  <c:v>0.95892175181829686</c:v>
                </c:pt>
                <c:pt idx="139">
                  <c:v>0.96266553627079265</c:v>
                </c:pt>
                <c:pt idx="140">
                  <c:v>0.94745108355061081</c:v>
                </c:pt>
                <c:pt idx="141">
                  <c:v>0.94337750910640938</c:v>
                </c:pt>
                <c:pt idx="142">
                  <c:v>0.9444147009731364</c:v>
                </c:pt>
                <c:pt idx="143">
                  <c:v>0.95374301675977657</c:v>
                </c:pt>
                <c:pt idx="144">
                  <c:v>0.97139989597298226</c:v>
                </c:pt>
                <c:pt idx="145">
                  <c:v>0.97235337390490206</c:v>
                </c:pt>
                <c:pt idx="146">
                  <c:v>0.97398245442207332</c:v>
                </c:pt>
                <c:pt idx="147">
                  <c:v>0.97862269842921046</c:v>
                </c:pt>
                <c:pt idx="148">
                  <c:v>0.9696022943755932</c:v>
                </c:pt>
                <c:pt idx="149">
                  <c:v>0.97115567591304985</c:v>
                </c:pt>
                <c:pt idx="150">
                  <c:v>0.96762625381926803</c:v>
                </c:pt>
                <c:pt idx="151">
                  <c:v>0.96137994943870464</c:v>
                </c:pt>
                <c:pt idx="152">
                  <c:v>0.94832230196922163</c:v>
                </c:pt>
                <c:pt idx="153">
                  <c:v>0.93651779102557386</c:v>
                </c:pt>
                <c:pt idx="154">
                  <c:v>0.94964852598233018</c:v>
                </c:pt>
                <c:pt idx="155">
                  <c:v>0.9534603956808464</c:v>
                </c:pt>
                <c:pt idx="156">
                  <c:v>0.97311746498993523</c:v>
                </c:pt>
                <c:pt idx="157">
                  <c:v>0.97820747212259085</c:v>
                </c:pt>
                <c:pt idx="158">
                  <c:v>0.97933460663427241</c:v>
                </c:pt>
                <c:pt idx="159">
                  <c:v>0.98212914935898821</c:v>
                </c:pt>
                <c:pt idx="160">
                  <c:v>0.9802526571950041</c:v>
                </c:pt>
                <c:pt idx="161">
                  <c:v>0.97960121022126634</c:v>
                </c:pt>
                <c:pt idx="162">
                  <c:v>0.97415633069150287</c:v>
                </c:pt>
                <c:pt idx="163">
                  <c:v>0.97403816558941214</c:v>
                </c:pt>
                <c:pt idx="164">
                  <c:v>0.97175708002160666</c:v>
                </c:pt>
                <c:pt idx="165">
                  <c:v>0.95993672546323161</c:v>
                </c:pt>
                <c:pt idx="166">
                  <c:v>0.9639192064799561</c:v>
                </c:pt>
                <c:pt idx="167">
                  <c:v>0.96497331057772617</c:v>
                </c:pt>
                <c:pt idx="168">
                  <c:v>0.97710383454059047</c:v>
                </c:pt>
                <c:pt idx="169">
                  <c:v>0.98118864346273982</c:v>
                </c:pt>
                <c:pt idx="170">
                  <c:v>0.9819451503834169</c:v>
                </c:pt>
                <c:pt idx="171">
                  <c:v>0.98526587444484459</c:v>
                </c:pt>
                <c:pt idx="172">
                  <c:v>0.97805006664811267</c:v>
                </c:pt>
                <c:pt idx="173">
                  <c:v>0.98168545275739461</c:v>
                </c:pt>
                <c:pt idx="174">
                  <c:v>0.98115036023226443</c:v>
                </c:pt>
                <c:pt idx="175">
                  <c:v>0.97676816935412958</c:v>
                </c:pt>
                <c:pt idx="176">
                  <c:v>0.96633641773374457</c:v>
                </c:pt>
                <c:pt idx="177">
                  <c:v>0.96482618575641832</c:v>
                </c:pt>
                <c:pt idx="178">
                  <c:v>0.97312156902734581</c:v>
                </c:pt>
                <c:pt idx="179">
                  <c:v>0.9771152216183876</c:v>
                </c:pt>
                <c:pt idx="180">
                  <c:v>0.96634906231094975</c:v>
                </c:pt>
                <c:pt idx="181">
                  <c:v>0.96338616991417136</c:v>
                </c:pt>
                <c:pt idx="182">
                  <c:v>0.96722527178483508</c:v>
                </c:pt>
                <c:pt idx="183">
                  <c:v>0.97092271706010891</c:v>
                </c:pt>
                <c:pt idx="184">
                  <c:v>0.97613788459801454</c:v>
                </c:pt>
                <c:pt idx="185">
                  <c:v>0.97813225247605662</c:v>
                </c:pt>
                <c:pt idx="186">
                  <c:v>0.97423235620660509</c:v>
                </c:pt>
                <c:pt idx="187">
                  <c:v>0.97918002903149581</c:v>
                </c:pt>
                <c:pt idx="188">
                  <c:v>0.97469960444809312</c:v>
                </c:pt>
              </c:numCache>
            </c:numRef>
          </c:val>
          <c:smooth val="0"/>
          <c:extLst>
            <c:ext xmlns:c16="http://schemas.microsoft.com/office/drawing/2014/chart" uri="{C3380CC4-5D6E-409C-BE32-E72D297353CC}">
              <c16:uniqueId val="{00000000-7DA1-441B-B710-47C6B618C1E8}"/>
            </c:ext>
          </c:extLst>
        </c:ser>
        <c:ser>
          <c:idx val="1"/>
          <c:order val="1"/>
          <c:tx>
            <c:strRef>
              <c:f>Compliance!$B$44</c:f>
              <c:strCache>
                <c:ptCount val="1"/>
                <c:pt idx="0">
                  <c:v>% within 4 hours (rolling annual)</c:v>
                </c:pt>
              </c:strCache>
            </c:strRef>
          </c:tx>
          <c:spPr>
            <a:ln w="22225" cap="rnd">
              <a:solidFill>
                <a:srgbClr val="094061"/>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$44:$N$44,Compliance!$C$58:$N$58,Compliance!$C$72:$N$72,Compliance!$C$86:$N$86,Compliance!$C$100:$N$100,Compliance!$C$114:$N$114,Compliance!$C$128:$N$128,Compliance!$C$142:$N$142,Compliance!$C$156:$N$156,Compliance!$C$170:$N$170,Compliance!$C$184:$N$184,Compliance!$C$198:$N$198,Compliance!$C$212:$N$212,Compliance!$C$226:$N$226,Compliance!$C$240:$N$240,Compliance!$F$254:$N$254)</c:f>
              <c:numCache>
                <c:formatCode>0.0%</c:formatCode>
                <c:ptCount val="189"/>
                <c:pt idx="0">
                  <c:v>0.77394455514882277</c:v>
                </c:pt>
                <c:pt idx="1">
                  <c:v>0.76148902429954202</c:v>
                </c:pt>
                <c:pt idx="2">
                  <c:v>0.74897764544418344</c:v>
                </c:pt>
                <c:pt idx="3">
                  <c:v>0.73885370261928407</c:v>
                </c:pt>
                <c:pt idx="4">
                  <c:v>0.7313590622256676</c:v>
                </c:pt>
                <c:pt idx="5">
                  <c:v>0.72508239868162105</c:v>
                </c:pt>
                <c:pt idx="6">
                  <c:v>0.72001910434118921</c:v>
                </c:pt>
                <c:pt idx="7">
                  <c:v>0.71313005106847149</c:v>
                </c:pt>
                <c:pt idx="8">
                  <c:v>0.70214828830311071</c:v>
                </c:pt>
                <c:pt idx="9">
                  <c:v>0.69684605657723553</c:v>
                </c:pt>
                <c:pt idx="12">
                  <c:v>0.90721059063136456</c:v>
                </c:pt>
                <c:pt idx="13">
                  <c:v>0.90007465704665557</c:v>
                </c:pt>
                <c:pt idx="14">
                  <c:v>0.89055504103237204</c:v>
                </c:pt>
                <c:pt idx="15">
                  <c:v>0.87790004377424569</c:v>
                </c:pt>
                <c:pt idx="16">
                  <c:v>0.8630548627590704</c:v>
                </c:pt>
                <c:pt idx="17">
                  <c:v>0.84817943055195599</c:v>
                </c:pt>
                <c:pt idx="18">
                  <c:v>0.83416765168490992</c:v>
                </c:pt>
                <c:pt idx="19">
                  <c:v>0.82320338686862082</c:v>
                </c:pt>
                <c:pt idx="20">
                  <c:v>0.81530214840254644</c:v>
                </c:pt>
                <c:pt idx="21">
                  <c:v>0.80837264274356779</c:v>
                </c:pt>
                <c:pt idx="22">
                  <c:v>0.80044289370892718</c:v>
                </c:pt>
                <c:pt idx="23">
                  <c:v>0.78709855459174116</c:v>
                </c:pt>
                <c:pt idx="24">
                  <c:v>0.8863712762275967</c:v>
                </c:pt>
                <c:pt idx="25">
                  <c:v>0.88840616753077939</c:v>
                </c:pt>
                <c:pt idx="26">
                  <c:v>0.89148911460113411</c:v>
                </c:pt>
                <c:pt idx="27">
                  <c:v>0.89392563877468045</c:v>
                </c:pt>
                <c:pt idx="28">
                  <c:v>0.89570302235729693</c:v>
                </c:pt>
                <c:pt idx="29">
                  <c:v>0.89813358520886577</c:v>
                </c:pt>
                <c:pt idx="30">
                  <c:v>0.90018356204118644</c:v>
                </c:pt>
                <c:pt idx="31">
                  <c:v>0.90481402174249881</c:v>
                </c:pt>
                <c:pt idx="32">
                  <c:v>0.90914038874179659</c:v>
                </c:pt>
                <c:pt idx="33">
                  <c:v>0.91115313920391772</c:v>
                </c:pt>
                <c:pt idx="34">
                  <c:v>0.91217381601933112</c:v>
                </c:pt>
                <c:pt idx="35">
                  <c:v>0.91147897280432844</c:v>
                </c:pt>
                <c:pt idx="36">
                  <c:v>0.91217555367470726</c:v>
                </c:pt>
                <c:pt idx="37">
                  <c:v>0.91006485614108612</c:v>
                </c:pt>
                <c:pt idx="38">
                  <c:v>0.90792239198248925</c:v>
                </c:pt>
                <c:pt idx="39">
                  <c:v>0.90639275699852029</c:v>
                </c:pt>
                <c:pt idx="40">
                  <c:v>0.90520034449034403</c:v>
                </c:pt>
                <c:pt idx="41">
                  <c:v>0.90379555968791403</c:v>
                </c:pt>
                <c:pt idx="42">
                  <c:v>0.90008666061968123</c:v>
                </c:pt>
                <c:pt idx="43">
                  <c:v>0.89544958525854867</c:v>
                </c:pt>
                <c:pt idx="44">
                  <c:v>0.8907861455836219</c:v>
                </c:pt>
                <c:pt idx="45">
                  <c:v>0.88866706231590387</c:v>
                </c:pt>
                <c:pt idx="46">
                  <c:v>0.88699592211826717</c:v>
                </c:pt>
                <c:pt idx="47">
                  <c:v>0.88508180806981085</c:v>
                </c:pt>
                <c:pt idx="48">
                  <c:v>0.91870165943720683</c:v>
                </c:pt>
                <c:pt idx="49">
                  <c:v>0.91789841766206692</c:v>
                </c:pt>
                <c:pt idx="50">
                  <c:v>0.91573277005997844</c:v>
                </c:pt>
                <c:pt idx="51">
                  <c:v>0.91354560963106757</c:v>
                </c:pt>
                <c:pt idx="52">
                  <c:v>0.910967659235974</c:v>
                </c:pt>
                <c:pt idx="53">
                  <c:v>0.90878378175975194</c:v>
                </c:pt>
                <c:pt idx="54">
                  <c:v>0.90696502900023901</c:v>
                </c:pt>
                <c:pt idx="55">
                  <c:v>0.90538307476160584</c:v>
                </c:pt>
                <c:pt idx="56">
                  <c:v>0.90924431282617024</c:v>
                </c:pt>
                <c:pt idx="57">
                  <c:v>0.91034543973912263</c:v>
                </c:pt>
                <c:pt idx="58">
                  <c:v>0.90952173768719358</c:v>
                </c:pt>
                <c:pt idx="59">
                  <c:v>0.91228569421230465</c:v>
                </c:pt>
                <c:pt idx="60">
                  <c:v>0.93976353989265227</c:v>
                </c:pt>
                <c:pt idx="61">
                  <c:v>0.93928991430211961</c:v>
                </c:pt>
                <c:pt idx="62">
                  <c:v>0.93908009543536863</c:v>
                </c:pt>
                <c:pt idx="63">
                  <c:v>0.93909377465469623</c:v>
                </c:pt>
                <c:pt idx="64">
                  <c:v>0.9393370150139122</c:v>
                </c:pt>
                <c:pt idx="65">
                  <c:v>0.93815641672393668</c:v>
                </c:pt>
                <c:pt idx="66">
                  <c:v>0.93858617599764327</c:v>
                </c:pt>
                <c:pt idx="67">
                  <c:v>0.93835242570881938</c:v>
                </c:pt>
                <c:pt idx="68">
                  <c:v>0.93174181881462714</c:v>
                </c:pt>
                <c:pt idx="69">
                  <c:v>0.92805730887713334</c:v>
                </c:pt>
                <c:pt idx="70">
                  <c:v>0.92643152705530574</c:v>
                </c:pt>
                <c:pt idx="71">
                  <c:v>0.92152265004836742</c:v>
                </c:pt>
                <c:pt idx="72">
                  <c:v>0.94306064912655951</c:v>
                </c:pt>
                <c:pt idx="73">
                  <c:v>0.94391743992902322</c:v>
                </c:pt>
                <c:pt idx="74">
                  <c:v>0.94508694268794846</c:v>
                </c:pt>
                <c:pt idx="75">
                  <c:v>0.94504664670193572</c:v>
                </c:pt>
                <c:pt idx="76">
                  <c:v>0.94463537347402249</c:v>
                </c:pt>
                <c:pt idx="77">
                  <c:v>0.94417108763096957</c:v>
                </c:pt>
                <c:pt idx="78">
                  <c:v>0.94356039864534658</c:v>
                </c:pt>
                <c:pt idx="79">
                  <c:v>0.94251366133607595</c:v>
                </c:pt>
                <c:pt idx="80">
                  <c:v>0.94068808487519606</c:v>
                </c:pt>
                <c:pt idx="81">
                  <c:v>0.94073937896271465</c:v>
                </c:pt>
                <c:pt idx="82">
                  <c:v>0.94050444857834037</c:v>
                </c:pt>
                <c:pt idx="83">
                  <c:v>0.94116577321214567</c:v>
                </c:pt>
                <c:pt idx="84">
                  <c:v>0.9190009947524973</c:v>
                </c:pt>
                <c:pt idx="85">
                  <c:v>0.91958741482537554</c:v>
                </c:pt>
                <c:pt idx="86">
                  <c:v>0.9197389964454119</c:v>
                </c:pt>
                <c:pt idx="87">
                  <c:v>0.92059565404233856</c:v>
                </c:pt>
                <c:pt idx="88">
                  <c:v>0.92242096026574616</c:v>
                </c:pt>
                <c:pt idx="89">
                  <c:v>0.92401897682138245</c:v>
                </c:pt>
                <c:pt idx="90">
                  <c:v>0.92637546724006448</c:v>
                </c:pt>
                <c:pt idx="91">
                  <c:v>0.92886628806528682</c:v>
                </c:pt>
                <c:pt idx="92">
                  <c:v>0.93290892728513897</c:v>
                </c:pt>
                <c:pt idx="93">
                  <c:v>0.93669187614392324</c:v>
                </c:pt>
                <c:pt idx="94">
                  <c:v>0.94045382804859445</c:v>
                </c:pt>
                <c:pt idx="95">
                  <c:v>0.94117885055410733</c:v>
                </c:pt>
                <c:pt idx="96">
                  <c:v>0.93998564692040198</c:v>
                </c:pt>
                <c:pt idx="97">
                  <c:v>0.93835189823966114</c:v>
                </c:pt>
                <c:pt idx="98">
                  <c:v>0.93783789742371204</c:v>
                </c:pt>
                <c:pt idx="99">
                  <c:v>0.9366605016123517</c:v>
                </c:pt>
                <c:pt idx="100">
                  <c:v>0.93491966284412675</c:v>
                </c:pt>
                <c:pt idx="101">
                  <c:v>0.93381293732375592</c:v>
                </c:pt>
                <c:pt idx="102">
                  <c:v>0.93212106328374655</c:v>
                </c:pt>
                <c:pt idx="103">
                  <c:v>0.92982686916926549</c:v>
                </c:pt>
                <c:pt idx="104">
                  <c:v>0.92701930110786324</c:v>
                </c:pt>
                <c:pt idx="105">
                  <c:v>0.92303001933201212</c:v>
                </c:pt>
                <c:pt idx="106">
                  <c:v>0.92016633660956826</c:v>
                </c:pt>
                <c:pt idx="107">
                  <c:v>0.91914452333894547</c:v>
                </c:pt>
                <c:pt idx="108">
                  <c:v>0.93368315505127009</c:v>
                </c:pt>
                <c:pt idx="109">
                  <c:v>0.93355516589631693</c:v>
                </c:pt>
                <c:pt idx="110">
                  <c:v>0.93314490482912682</c:v>
                </c:pt>
                <c:pt idx="111">
                  <c:v>0.93302816176066972</c:v>
                </c:pt>
                <c:pt idx="112">
                  <c:v>0.93273481447108275</c:v>
                </c:pt>
                <c:pt idx="113">
                  <c:v>0.93258268642105324</c:v>
                </c:pt>
                <c:pt idx="114">
                  <c:v>0.93217714884112479</c:v>
                </c:pt>
                <c:pt idx="115">
                  <c:v>0.93316163997923329</c:v>
                </c:pt>
                <c:pt idx="116">
                  <c:v>0.93577567555469343</c:v>
                </c:pt>
                <c:pt idx="117">
                  <c:v>0.93773583617789802</c:v>
                </c:pt>
                <c:pt idx="118">
                  <c:v>0.9376633180779167</c:v>
                </c:pt>
                <c:pt idx="119">
                  <c:v>0.93886116005543163</c:v>
                </c:pt>
                <c:pt idx="120">
                  <c:v>0.95630063428237733</c:v>
                </c:pt>
                <c:pt idx="121">
                  <c:v>0.95515103008382418</c:v>
                </c:pt>
                <c:pt idx="122">
                  <c:v>0.95438733325277469</c:v>
                </c:pt>
                <c:pt idx="123">
                  <c:v>0.95354973101325891</c:v>
                </c:pt>
                <c:pt idx="124">
                  <c:v>0.95224123700263241</c:v>
                </c:pt>
                <c:pt idx="125">
                  <c:v>0.95140076381997873</c:v>
                </c:pt>
                <c:pt idx="126">
                  <c:v>0.9501740549709623</c:v>
                </c:pt>
                <c:pt idx="127">
                  <c:v>0.94798585226898269</c:v>
                </c:pt>
                <c:pt idx="128">
                  <c:v>0.94438550225042783</c:v>
                </c:pt>
                <c:pt idx="129">
                  <c:v>0.94080257883713092</c:v>
                </c:pt>
                <c:pt idx="130">
                  <c:v>0.93891066865410855</c:v>
                </c:pt>
                <c:pt idx="131">
                  <c:v>0.93588840529204886</c:v>
                </c:pt>
                <c:pt idx="132">
                  <c:v>0.96221168316549743</c:v>
                </c:pt>
                <c:pt idx="133">
                  <c:v>0.96102220617507284</c:v>
                </c:pt>
                <c:pt idx="134">
                  <c:v>0.9597750330888728</c:v>
                </c:pt>
                <c:pt idx="135">
                  <c:v>0.95921532081450067</c:v>
                </c:pt>
                <c:pt idx="136">
                  <c:v>0.95921382870107064</c:v>
                </c:pt>
                <c:pt idx="137">
                  <c:v>0.95823808664596855</c:v>
                </c:pt>
                <c:pt idx="138">
                  <c:v>0.95752586567863318</c:v>
                </c:pt>
                <c:pt idx="139">
                  <c:v>0.957637766785293</c:v>
                </c:pt>
                <c:pt idx="140">
                  <c:v>0.95752536680339118</c:v>
                </c:pt>
                <c:pt idx="141">
                  <c:v>0.95813335576380709</c:v>
                </c:pt>
                <c:pt idx="142">
                  <c:v>0.95768556126290694</c:v>
                </c:pt>
                <c:pt idx="143">
                  <c:v>0.95768606027519332</c:v>
                </c:pt>
                <c:pt idx="144">
                  <c:v>0.97358502504221256</c:v>
                </c:pt>
                <c:pt idx="145">
                  <c:v>0.97306188832492324</c:v>
                </c:pt>
                <c:pt idx="146">
                  <c:v>0.97259134981270445</c:v>
                </c:pt>
                <c:pt idx="147">
                  <c:v>0.9722705658214712</c:v>
                </c:pt>
                <c:pt idx="148">
                  <c:v>0.97134363360378284</c:v>
                </c:pt>
                <c:pt idx="149">
                  <c:v>0.97062778717134868</c:v>
                </c:pt>
                <c:pt idx="150">
                  <c:v>0.97009022745288287</c:v>
                </c:pt>
                <c:pt idx="151">
                  <c:v>0.96910544246858155</c:v>
                </c:pt>
                <c:pt idx="152">
                  <c:v>0.96731032243156989</c:v>
                </c:pt>
                <c:pt idx="153">
                  <c:v>0.96532849436973323</c:v>
                </c:pt>
                <c:pt idx="154">
                  <c:v>0.96426681883448961</c:v>
                </c:pt>
                <c:pt idx="155">
                  <c:v>0.96328175870515642</c:v>
                </c:pt>
                <c:pt idx="156">
                  <c:v>0.97685577783469135</c:v>
                </c:pt>
                <c:pt idx="157">
                  <c:v>0.9765852720703605</c:v>
                </c:pt>
                <c:pt idx="158">
                  <c:v>0.97637361876104456</c:v>
                </c:pt>
                <c:pt idx="159">
                  <c:v>0.97613331166847239</c:v>
                </c:pt>
                <c:pt idx="160">
                  <c:v>0.97632980122167157</c:v>
                </c:pt>
                <c:pt idx="161">
                  <c:v>0.97616799125664511</c:v>
                </c:pt>
                <c:pt idx="162">
                  <c:v>0.97561105873790088</c:v>
                </c:pt>
                <c:pt idx="163">
                  <c:v>0.97539487998038521</c:v>
                </c:pt>
                <c:pt idx="164">
                  <c:v>0.97582275215258429</c:v>
                </c:pt>
                <c:pt idx="165">
                  <c:v>0.97543102169570639</c:v>
                </c:pt>
                <c:pt idx="166">
                  <c:v>0.97476934000131121</c:v>
                </c:pt>
                <c:pt idx="167">
                  <c:v>0.9737296630235327</c:v>
                </c:pt>
                <c:pt idx="168">
                  <c:v>#N/A</c:v>
                </c:pt>
                <c:pt idx="169">
                  <c:v>#N/A</c:v>
                </c:pt>
                <c:pt idx="170">
                  <c:v>0.97417593953390724</c:v>
                </c:pt>
                <c:pt idx="171">
                  <c:v>0.97579344494830078</c:v>
                </c:pt>
                <c:pt idx="172">
                  <c:v>0.97707187259236017</c:v>
                </c:pt>
                <c:pt idx="173">
                  <c:v>0.97829129222904598</c:v>
                </c:pt>
                <c:pt idx="174">
                  <c:v>0.9791401059486774</c:v>
                </c:pt>
                <c:pt idx="175">
                  <c:v>0.97918441209464091</c:v>
                </c:pt>
                <c:pt idx="176">
                  <c:v>0.97821054431374355</c:v>
                </c:pt>
                <c:pt idx="177">
                  <c:v>0.97745601395540538</c:v>
                </c:pt>
                <c:pt idx="178">
                  <c:v>0.97699931784951899</c:v>
                </c:pt>
                <c:pt idx="179">
                  <c:v>0.97720587298959616</c:v>
                </c:pt>
                <c:pt idx="180">
                  <c:v>#N/A</c:v>
                </c:pt>
                <c:pt idx="181">
                  <c:v>#N/A</c:v>
                </c:pt>
                <c:pt idx="182">
                  <c:v>#N/A</c:v>
                </c:pt>
                <c:pt idx="183">
                  <c:v>#N/A</c:v>
                </c:pt>
                <c:pt idx="184">
                  <c:v>#N/A</c:v>
                </c:pt>
                <c:pt idx="185">
                  <c:v>#N/A</c:v>
                </c:pt>
                <c:pt idx="186">
                  <c:v>#N/A</c:v>
                </c:pt>
                <c:pt idx="187">
                  <c:v>#N/A</c:v>
                </c:pt>
                <c:pt idx="188">
                  <c:v>#N/A</c:v>
                </c:pt>
              </c:numCache>
            </c:numRef>
          </c:val>
          <c:smooth val="0"/>
          <c:extLst>
            <c:ext xmlns:c16="http://schemas.microsoft.com/office/drawing/2014/chart" uri="{C3380CC4-5D6E-409C-BE32-E72D297353CC}">
              <c16:uniqueId val="{00000001-7DA1-441B-B710-47C6B618C1E8}"/>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max val="1"/>
          <c:min val="0.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Compliance!$B$39</c:f>
              <c:strCache>
                <c:ptCount val="1"/>
                <c:pt idx="0">
                  <c:v>Number of attendances</c:v>
                </c:pt>
              </c:strCache>
            </c:strRef>
          </c:tx>
          <c:spPr>
            <a:ln w="22225" cap="rnd">
              <a:solidFill>
                <a:schemeClr val="accent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$39:$N$39,Compliance!$C$53:$N$53,Compliance!$C$67:$N$67,Compliance!$C$81:$N$81,Compliance!$C$95:$N$95,Compliance!$C$109:$N$109,Compliance!$C$123:$N$123,Compliance!$C$137:$N$137,Compliance!$C$151:$N$151,Compliance!$C$165:$N$165,Compliance!$C$179:$N$179,Compliance!$C$193:$N$193,Compliance!$C$207:$N$207,Compliance!$C$221:$N$221,Compliance!$C$235:$N$235,Compliance!$F$249:$N$249)</c:f>
              <c:numCache>
                <c:formatCode>#,##0</c:formatCode>
                <c:ptCount val="189"/>
                <c:pt idx="0">
                  <c:v>122806</c:v>
                </c:pt>
                <c:pt idx="1">
                  <c:v>138975</c:v>
                </c:pt>
                <c:pt idx="2">
                  <c:v>135843</c:v>
                </c:pt>
                <c:pt idx="3">
                  <c:v>129273</c:v>
                </c:pt>
                <c:pt idx="4">
                  <c:v>135712</c:v>
                </c:pt>
                <c:pt idx="5">
                  <c:v>131573</c:v>
                </c:pt>
                <c:pt idx="6">
                  <c:v>129849</c:v>
                </c:pt>
                <c:pt idx="7">
                  <c:v>126224</c:v>
                </c:pt>
                <c:pt idx="8">
                  <c:v>130007</c:v>
                </c:pt>
                <c:pt idx="9">
                  <c:v>114103</c:v>
                </c:pt>
                <c:pt idx="12">
                  <c:v>115665</c:v>
                </c:pt>
                <c:pt idx="13">
                  <c:v>129581</c:v>
                </c:pt>
                <c:pt idx="14">
                  <c:v>137100</c:v>
                </c:pt>
                <c:pt idx="15">
                  <c:v>132829</c:v>
                </c:pt>
                <c:pt idx="16">
                  <c:v>136538</c:v>
                </c:pt>
                <c:pt idx="17">
                  <c:v>131782</c:v>
                </c:pt>
                <c:pt idx="18">
                  <c:v>124456</c:v>
                </c:pt>
                <c:pt idx="19">
                  <c:v>118966</c:v>
                </c:pt>
                <c:pt idx="20">
                  <c:v>111044</c:v>
                </c:pt>
                <c:pt idx="21">
                  <c:v>110742</c:v>
                </c:pt>
                <c:pt idx="22">
                  <c:v>110294</c:v>
                </c:pt>
                <c:pt idx="23">
                  <c:v>130340</c:v>
                </c:pt>
                <c:pt idx="24">
                  <c:v>65117</c:v>
                </c:pt>
                <c:pt idx="25">
                  <c:v>88614</c:v>
                </c:pt>
                <c:pt idx="26">
                  <c:v>101231</c:v>
                </c:pt>
                <c:pt idx="27">
                  <c:v>112185</c:v>
                </c:pt>
                <c:pt idx="28">
                  <c:v>122741</c:v>
                </c:pt>
                <c:pt idx="29">
                  <c:v>116230</c:v>
                </c:pt>
                <c:pt idx="30">
                  <c:v>107406</c:v>
                </c:pt>
                <c:pt idx="31">
                  <c:v>99798</c:v>
                </c:pt>
                <c:pt idx="32">
                  <c:v>93475</c:v>
                </c:pt>
                <c:pt idx="33">
                  <c:v>85571</c:v>
                </c:pt>
                <c:pt idx="34">
                  <c:v>80476</c:v>
                </c:pt>
                <c:pt idx="35">
                  <c:v>104108</c:v>
                </c:pt>
                <c:pt idx="36">
                  <c:v>145340</c:v>
                </c:pt>
                <c:pt idx="37">
                  <c:v>150714</c:v>
                </c:pt>
                <c:pt idx="38">
                  <c:v>147627</c:v>
                </c:pt>
                <c:pt idx="39">
                  <c:v>150701</c:v>
                </c:pt>
                <c:pt idx="40">
                  <c:v>152514</c:v>
                </c:pt>
                <c:pt idx="41">
                  <c:v>150908</c:v>
                </c:pt>
                <c:pt idx="42">
                  <c:v>146068</c:v>
                </c:pt>
                <c:pt idx="43">
                  <c:v>141973</c:v>
                </c:pt>
                <c:pt idx="44">
                  <c:v>141418</c:v>
                </c:pt>
                <c:pt idx="45">
                  <c:v>138725</c:v>
                </c:pt>
                <c:pt idx="46">
                  <c:v>128341</c:v>
                </c:pt>
                <c:pt idx="47">
                  <c:v>101225</c:v>
                </c:pt>
                <c:pt idx="48">
                  <c:v>137763</c:v>
                </c:pt>
                <c:pt idx="49">
                  <c:v>153083</c:v>
                </c:pt>
                <c:pt idx="50">
                  <c:v>146639</c:v>
                </c:pt>
                <c:pt idx="51">
                  <c:v>145641</c:v>
                </c:pt>
                <c:pt idx="52">
                  <c:v>144878</c:v>
                </c:pt>
                <c:pt idx="53">
                  <c:v>140596</c:v>
                </c:pt>
                <c:pt idx="54">
                  <c:v>138165</c:v>
                </c:pt>
                <c:pt idx="55">
                  <c:v>135395</c:v>
                </c:pt>
                <c:pt idx="56">
                  <c:v>138127</c:v>
                </c:pt>
                <c:pt idx="57">
                  <c:v>138885</c:v>
                </c:pt>
                <c:pt idx="58">
                  <c:v>130047</c:v>
                </c:pt>
                <c:pt idx="59">
                  <c:v>144564</c:v>
                </c:pt>
                <c:pt idx="60">
                  <c:v>136073</c:v>
                </c:pt>
                <c:pt idx="61">
                  <c:v>150419</c:v>
                </c:pt>
                <c:pt idx="62">
                  <c:v>138801</c:v>
                </c:pt>
                <c:pt idx="63">
                  <c:v>137627</c:v>
                </c:pt>
                <c:pt idx="64">
                  <c:v>141348</c:v>
                </c:pt>
                <c:pt idx="65">
                  <c:v>140935</c:v>
                </c:pt>
                <c:pt idx="66">
                  <c:v>137829</c:v>
                </c:pt>
                <c:pt idx="67">
                  <c:v>132214</c:v>
                </c:pt>
                <c:pt idx="68">
                  <c:v>141978</c:v>
                </c:pt>
                <c:pt idx="69">
                  <c:v>129041</c:v>
                </c:pt>
                <c:pt idx="70">
                  <c:v>121666</c:v>
                </c:pt>
                <c:pt idx="71">
                  <c:v>137805</c:v>
                </c:pt>
                <c:pt idx="72">
                  <c:v>131751</c:v>
                </c:pt>
                <c:pt idx="73">
                  <c:v>148514</c:v>
                </c:pt>
                <c:pt idx="74">
                  <c:v>139288</c:v>
                </c:pt>
                <c:pt idx="75">
                  <c:v>135521</c:v>
                </c:pt>
                <c:pt idx="76">
                  <c:v>142939</c:v>
                </c:pt>
                <c:pt idx="77">
                  <c:v>141105</c:v>
                </c:pt>
                <c:pt idx="78">
                  <c:v>136742</c:v>
                </c:pt>
                <c:pt idx="79">
                  <c:v>129227</c:v>
                </c:pt>
                <c:pt idx="80">
                  <c:v>130839</c:v>
                </c:pt>
                <c:pt idx="81">
                  <c:v>128643</c:v>
                </c:pt>
                <c:pt idx="82">
                  <c:v>118792</c:v>
                </c:pt>
                <c:pt idx="83">
                  <c:v>138807</c:v>
                </c:pt>
                <c:pt idx="84">
                  <c:v>134698</c:v>
                </c:pt>
                <c:pt idx="85">
                  <c:v>138066</c:v>
                </c:pt>
                <c:pt idx="86">
                  <c:v>134742</c:v>
                </c:pt>
                <c:pt idx="87">
                  <c:v>131922</c:v>
                </c:pt>
                <c:pt idx="88">
                  <c:v>142075</c:v>
                </c:pt>
                <c:pt idx="89">
                  <c:v>137067</c:v>
                </c:pt>
                <c:pt idx="90">
                  <c:v>133015</c:v>
                </c:pt>
                <c:pt idx="91">
                  <c:v>127523</c:v>
                </c:pt>
                <c:pt idx="92">
                  <c:v>125196</c:v>
                </c:pt>
                <c:pt idx="93">
                  <c:v>129520</c:v>
                </c:pt>
                <c:pt idx="94">
                  <c:v>127812</c:v>
                </c:pt>
                <c:pt idx="95">
                  <c:v>144912</c:v>
                </c:pt>
                <c:pt idx="96">
                  <c:v>137430</c:v>
                </c:pt>
                <c:pt idx="97">
                  <c:v>146675</c:v>
                </c:pt>
                <c:pt idx="98">
                  <c:v>144812</c:v>
                </c:pt>
                <c:pt idx="99">
                  <c:v>144201</c:v>
                </c:pt>
                <c:pt idx="100">
                  <c:v>141962</c:v>
                </c:pt>
                <c:pt idx="101">
                  <c:v>142542</c:v>
                </c:pt>
                <c:pt idx="102">
                  <c:v>133463</c:v>
                </c:pt>
                <c:pt idx="103">
                  <c:v>130941</c:v>
                </c:pt>
                <c:pt idx="104">
                  <c:v>129255</c:v>
                </c:pt>
                <c:pt idx="105">
                  <c:v>129208</c:v>
                </c:pt>
                <c:pt idx="106">
                  <c:v>121271</c:v>
                </c:pt>
                <c:pt idx="107">
                  <c:v>137560</c:v>
                </c:pt>
                <c:pt idx="108">
                  <c:v>135542</c:v>
                </c:pt>
                <c:pt idx="109">
                  <c:v>142038</c:v>
                </c:pt>
                <c:pt idx="110">
                  <c:v>139902</c:v>
                </c:pt>
                <c:pt idx="111">
                  <c:v>145315</c:v>
                </c:pt>
                <c:pt idx="112">
                  <c:v>144108</c:v>
                </c:pt>
                <c:pt idx="113">
                  <c:v>136658</c:v>
                </c:pt>
                <c:pt idx="114">
                  <c:v>132050</c:v>
                </c:pt>
                <c:pt idx="115">
                  <c:v>125817</c:v>
                </c:pt>
                <c:pt idx="116">
                  <c:v>126791</c:v>
                </c:pt>
                <c:pt idx="117">
                  <c:v>128785</c:v>
                </c:pt>
                <c:pt idx="118">
                  <c:v>122556</c:v>
                </c:pt>
                <c:pt idx="119">
                  <c:v>141895</c:v>
                </c:pt>
                <c:pt idx="120">
                  <c:v>137337</c:v>
                </c:pt>
                <c:pt idx="121">
                  <c:v>148147</c:v>
                </c:pt>
                <c:pt idx="122">
                  <c:v>138851</c:v>
                </c:pt>
                <c:pt idx="123">
                  <c:v>135507</c:v>
                </c:pt>
                <c:pt idx="124">
                  <c:v>144935</c:v>
                </c:pt>
                <c:pt idx="125">
                  <c:v>139143</c:v>
                </c:pt>
                <c:pt idx="126">
                  <c:v>133424</c:v>
                </c:pt>
                <c:pt idx="127">
                  <c:v>128396</c:v>
                </c:pt>
                <c:pt idx="128">
                  <c:v>132453</c:v>
                </c:pt>
                <c:pt idx="129">
                  <c:v>125688</c:v>
                </c:pt>
                <c:pt idx="130">
                  <c:v>120693</c:v>
                </c:pt>
                <c:pt idx="131">
                  <c:v>133854</c:v>
                </c:pt>
                <c:pt idx="132">
                  <c:v>139320</c:v>
                </c:pt>
                <c:pt idx="133">
                  <c:v>143310</c:v>
                </c:pt>
                <c:pt idx="134">
                  <c:v>137053</c:v>
                </c:pt>
                <c:pt idx="135">
                  <c:v>140899</c:v>
                </c:pt>
                <c:pt idx="136">
                  <c:v>140077</c:v>
                </c:pt>
                <c:pt idx="137">
                  <c:v>138561</c:v>
                </c:pt>
                <c:pt idx="138">
                  <c:v>134329</c:v>
                </c:pt>
                <c:pt idx="139">
                  <c:v>127389</c:v>
                </c:pt>
                <c:pt idx="140">
                  <c:v>129251</c:v>
                </c:pt>
                <c:pt idx="141">
                  <c:v>129030</c:v>
                </c:pt>
                <c:pt idx="142">
                  <c:v>127012</c:v>
                </c:pt>
                <c:pt idx="143">
                  <c:v>147675</c:v>
                </c:pt>
                <c:pt idx="144">
                  <c:v>136503</c:v>
                </c:pt>
                <c:pt idx="145">
                  <c:v>149530</c:v>
                </c:pt>
                <c:pt idx="146">
                  <c:v>142942</c:v>
                </c:pt>
                <c:pt idx="147">
                  <c:v>134582</c:v>
                </c:pt>
                <c:pt idx="148">
                  <c:v>144353</c:v>
                </c:pt>
                <c:pt idx="149">
                  <c:v>136630</c:v>
                </c:pt>
                <c:pt idx="150">
                  <c:v>131897</c:v>
                </c:pt>
                <c:pt idx="151">
                  <c:v>123019</c:v>
                </c:pt>
                <c:pt idx="152">
                  <c:v>121774</c:v>
                </c:pt>
                <c:pt idx="153">
                  <c:v>133691</c:v>
                </c:pt>
                <c:pt idx="154">
                  <c:v>119639</c:v>
                </c:pt>
                <c:pt idx="155">
                  <c:v>137990</c:v>
                </c:pt>
                <c:pt idx="156">
                  <c:v>138603</c:v>
                </c:pt>
                <c:pt idx="157">
                  <c:v>143306</c:v>
                </c:pt>
                <c:pt idx="158">
                  <c:v>142412</c:v>
                </c:pt>
                <c:pt idx="159">
                  <c:v>139389</c:v>
                </c:pt>
                <c:pt idx="160">
                  <c:v>139715</c:v>
                </c:pt>
                <c:pt idx="161">
                  <c:v>137165</c:v>
                </c:pt>
                <c:pt idx="162">
                  <c:v>133998</c:v>
                </c:pt>
                <c:pt idx="163">
                  <c:v>129960</c:v>
                </c:pt>
                <c:pt idx="164">
                  <c:v>129590</c:v>
                </c:pt>
                <c:pt idx="165">
                  <c:v>125801</c:v>
                </c:pt>
                <c:pt idx="166">
                  <c:v>116544</c:v>
                </c:pt>
                <c:pt idx="167">
                  <c:v>137695</c:v>
                </c:pt>
                <c:pt idx="168">
                  <c:v>127838</c:v>
                </c:pt>
                <c:pt idx="169">
                  <c:v>143424</c:v>
                </c:pt>
                <c:pt idx="170">
                  <c:v>135753</c:v>
                </c:pt>
                <c:pt idx="171">
                  <c:v>133296</c:v>
                </c:pt>
                <c:pt idx="172">
                  <c:v>136538</c:v>
                </c:pt>
                <c:pt idx="173">
                  <c:v>132190</c:v>
                </c:pt>
                <c:pt idx="174">
                  <c:v>125891</c:v>
                </c:pt>
                <c:pt idx="175">
                  <c:v>125087</c:v>
                </c:pt>
                <c:pt idx="176">
                  <c:v>128388</c:v>
                </c:pt>
                <c:pt idx="177">
                  <c:v>124098</c:v>
                </c:pt>
                <c:pt idx="178">
                  <c:v>117678</c:v>
                </c:pt>
                <c:pt idx="179">
                  <c:v>140399</c:v>
                </c:pt>
                <c:pt idx="180">
                  <c:v>132240</c:v>
                </c:pt>
                <c:pt idx="181">
                  <c:v>135386</c:v>
                </c:pt>
                <c:pt idx="182">
                  <c:v>130802</c:v>
                </c:pt>
                <c:pt idx="183">
                  <c:v>129964</c:v>
                </c:pt>
                <c:pt idx="184">
                  <c:v>121783</c:v>
                </c:pt>
                <c:pt idx="185">
                  <c:v>122372</c:v>
                </c:pt>
                <c:pt idx="186">
                  <c:v>120694</c:v>
                </c:pt>
                <c:pt idx="187">
                  <c:v>118492</c:v>
                </c:pt>
                <c:pt idx="188">
                  <c:v>133990</c:v>
                </c:pt>
              </c:numCache>
            </c:numRef>
          </c:val>
          <c:smooth val="0"/>
          <c:extLst>
            <c:ext xmlns:c16="http://schemas.microsoft.com/office/drawing/2014/chart" uri="{C3380CC4-5D6E-409C-BE32-E72D297353CC}">
              <c16:uniqueId val="{00000000-544B-4BF0-B8FE-19DF7A4D337E}"/>
            </c:ext>
          </c:extLst>
        </c:ser>
        <c:ser>
          <c:idx val="1"/>
          <c:order val="1"/>
          <c:tx>
            <c:strRef>
              <c:f>Compliance!$B$41</c:f>
              <c:strCache>
                <c:ptCount val="1"/>
                <c:pt idx="0">
                  <c:v>Rolling average attendance</c:v>
                </c:pt>
              </c:strCache>
            </c:strRef>
          </c:tx>
          <c:spPr>
            <a:ln w="22225" cap="rnd">
              <a:solidFill>
                <a:schemeClr val="accent1">
                  <a:lumMod val="75000"/>
                </a:schemeClr>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$41:$N$41,Compliance!$C$55:$N$55,Compliance!$C$69:$N$69,Compliance!$C$83:$N$83,Compliance!$C$97:$N$97,Compliance!$C$111:$N$111,Compliance!$C$125:$N$125,Compliance!$C$139:$N$139,Compliance!$C$153:$N$153,Compliance!$C$167:$N$167,Compliance!$C$181:$N$181,Compliance!$C$195:$N$195,Compliance!$C$209:$N$209,Compliance!$C$223:$N$223,Compliance!$C$237:$N$237,Compliance!$F$251:$N$251)</c:f>
              <c:numCache>
                <c:formatCode>#,##0</c:formatCode>
                <c:ptCount val="189"/>
                <c:pt idx="0">
                  <c:v>124706.5</c:v>
                </c:pt>
                <c:pt idx="1">
                  <c:v>125489.33333333333</c:v>
                </c:pt>
                <c:pt idx="2">
                  <c:v>125384.58333333333</c:v>
                </c:pt>
                <c:pt idx="3">
                  <c:v>125088.25</c:v>
                </c:pt>
                <c:pt idx="4">
                  <c:v>125019.41666666667</c:v>
                </c:pt>
                <c:pt idx="5">
                  <c:v>125002</c:v>
                </c:pt>
                <c:pt idx="6">
                  <c:v>125451.41666666667</c:v>
                </c:pt>
                <c:pt idx="7">
                  <c:v>126056.25</c:v>
                </c:pt>
                <c:pt idx="8">
                  <c:v>127636.5</c:v>
                </c:pt>
                <c:pt idx="9">
                  <c:v>127916.58333333333</c:v>
                </c:pt>
                <c:pt idx="12">
                  <c:v>102291.66666666667</c:v>
                </c:pt>
                <c:pt idx="13">
                  <c:v>105705.58333333333</c:v>
                </c:pt>
                <c:pt idx="14">
                  <c:v>108694.66666666667</c:v>
                </c:pt>
                <c:pt idx="15">
                  <c:v>110415</c:v>
                </c:pt>
                <c:pt idx="16">
                  <c:v>111564.75</c:v>
                </c:pt>
                <c:pt idx="17">
                  <c:v>112860.75</c:v>
                </c:pt>
                <c:pt idx="18">
                  <c:v>114281.58333333333</c:v>
                </c:pt>
                <c:pt idx="19">
                  <c:v>115878.91666666667</c:v>
                </c:pt>
                <c:pt idx="20">
                  <c:v>117343</c:v>
                </c:pt>
                <c:pt idx="21">
                  <c:v>119440.58333333333</c:v>
                </c:pt>
                <c:pt idx="22">
                  <c:v>121925.41666666667</c:v>
                </c:pt>
                <c:pt idx="23">
                  <c:v>124111.41666666667</c:v>
                </c:pt>
                <c:pt idx="24">
                  <c:v>134610.91666666666</c:v>
                </c:pt>
                <c:pt idx="25">
                  <c:v>129435.91666666667</c:v>
                </c:pt>
                <c:pt idx="26">
                  <c:v>125569.58333333333</c:v>
                </c:pt>
                <c:pt idx="27">
                  <c:v>122359.91666666667</c:v>
                </c:pt>
                <c:pt idx="28">
                  <c:v>119878.83333333333</c:v>
                </c:pt>
                <c:pt idx="29">
                  <c:v>116989</c:v>
                </c:pt>
                <c:pt idx="30">
                  <c:v>113767.16666666667</c:v>
                </c:pt>
                <c:pt idx="31">
                  <c:v>110252.58333333333</c:v>
                </c:pt>
                <c:pt idx="32">
                  <c:v>106257.33333333333</c:v>
                </c:pt>
                <c:pt idx="33">
                  <c:v>101827.83333333333</c:v>
                </c:pt>
                <c:pt idx="34">
                  <c:v>97839.083333333328</c:v>
                </c:pt>
                <c:pt idx="35">
                  <c:v>98079.333333333328</c:v>
                </c:pt>
                <c:pt idx="36">
                  <c:v>141780</c:v>
                </c:pt>
                <c:pt idx="37">
                  <c:v>141582.58333333334</c:v>
                </c:pt>
                <c:pt idx="38">
                  <c:v>141664.91666666666</c:v>
                </c:pt>
                <c:pt idx="39">
                  <c:v>142086.58333333334</c:v>
                </c:pt>
                <c:pt idx="40">
                  <c:v>142722.91666666666</c:v>
                </c:pt>
                <c:pt idx="41">
                  <c:v>143582.25</c:v>
                </c:pt>
                <c:pt idx="42">
                  <c:v>144240.83333333334</c:v>
                </c:pt>
                <c:pt idx="43">
                  <c:v>144789</c:v>
                </c:pt>
                <c:pt idx="44">
                  <c:v>145063.25</c:v>
                </c:pt>
                <c:pt idx="45">
                  <c:v>145049.91666666666</c:v>
                </c:pt>
                <c:pt idx="46">
                  <c:v>144907.75</c:v>
                </c:pt>
                <c:pt idx="47">
                  <c:v>141296.16666666666</c:v>
                </c:pt>
                <c:pt idx="48">
                  <c:v>137285.5</c:v>
                </c:pt>
                <c:pt idx="49">
                  <c:v>137507.5</c:v>
                </c:pt>
                <c:pt idx="50">
                  <c:v>138160.66666666666</c:v>
                </c:pt>
                <c:pt idx="51">
                  <c:v>138828.5</c:v>
                </c:pt>
                <c:pt idx="52">
                  <c:v>139122.66666666666</c:v>
                </c:pt>
                <c:pt idx="53">
                  <c:v>139094.41666666666</c:v>
                </c:pt>
                <c:pt idx="54">
                  <c:v>139122.41666666666</c:v>
                </c:pt>
                <c:pt idx="55">
                  <c:v>139387.5</c:v>
                </c:pt>
                <c:pt idx="56">
                  <c:v>139066.58333333334</c:v>
                </c:pt>
                <c:pt idx="57">
                  <c:v>139886.91666666666</c:v>
                </c:pt>
                <c:pt idx="58">
                  <c:v>140585.33333333334</c:v>
                </c:pt>
                <c:pt idx="59">
                  <c:v>141148.58333333334</c:v>
                </c:pt>
                <c:pt idx="60">
                  <c:v>135540.83333333334</c:v>
                </c:pt>
                <c:pt idx="61">
                  <c:v>135699.58333333334</c:v>
                </c:pt>
                <c:pt idx="62">
                  <c:v>135659</c:v>
                </c:pt>
                <c:pt idx="63">
                  <c:v>135834.5</c:v>
                </c:pt>
                <c:pt idx="64">
                  <c:v>135701.91666666666</c:v>
                </c:pt>
                <c:pt idx="65">
                  <c:v>135687.75</c:v>
                </c:pt>
                <c:pt idx="66">
                  <c:v>135778.33333333334</c:v>
                </c:pt>
                <c:pt idx="67">
                  <c:v>136027.25</c:v>
                </c:pt>
                <c:pt idx="68">
                  <c:v>136955.5</c:v>
                </c:pt>
                <c:pt idx="69">
                  <c:v>136988.66666666666</c:v>
                </c:pt>
                <c:pt idx="70">
                  <c:v>137228.16666666666</c:v>
                </c:pt>
                <c:pt idx="71">
                  <c:v>137144.66666666666</c:v>
                </c:pt>
                <c:pt idx="72">
                  <c:v>133633.41666666666</c:v>
                </c:pt>
                <c:pt idx="73">
                  <c:v>134504.08333333334</c:v>
                </c:pt>
                <c:pt idx="74">
                  <c:v>134882.91666666666</c:v>
                </c:pt>
                <c:pt idx="75">
                  <c:v>135182.83333333334</c:v>
                </c:pt>
                <c:pt idx="76">
                  <c:v>135254.83333333334</c:v>
                </c:pt>
                <c:pt idx="77">
                  <c:v>135591.33333333334</c:v>
                </c:pt>
                <c:pt idx="78">
                  <c:v>135901.91666666666</c:v>
                </c:pt>
                <c:pt idx="79">
                  <c:v>136043.91666666666</c:v>
                </c:pt>
                <c:pt idx="80">
                  <c:v>136514.16666666666</c:v>
                </c:pt>
                <c:pt idx="81">
                  <c:v>136441.08333333334</c:v>
                </c:pt>
                <c:pt idx="82">
                  <c:v>135689.41666666666</c:v>
                </c:pt>
                <c:pt idx="83">
                  <c:v>135180.66666666666</c:v>
                </c:pt>
                <c:pt idx="84">
                  <c:v>136382.33333333334</c:v>
                </c:pt>
                <c:pt idx="85">
                  <c:v>135664.91666666666</c:v>
                </c:pt>
                <c:pt idx="86">
                  <c:v>134825.75</c:v>
                </c:pt>
                <c:pt idx="87">
                  <c:v>133802.5</c:v>
                </c:pt>
                <c:pt idx="88">
                  <c:v>133811.91666666666</c:v>
                </c:pt>
                <c:pt idx="89">
                  <c:v>133355.66666666666</c:v>
                </c:pt>
                <c:pt idx="90">
                  <c:v>133318.33333333334</c:v>
                </c:pt>
                <c:pt idx="91">
                  <c:v>133033.5</c:v>
                </c:pt>
                <c:pt idx="92">
                  <c:v>132695.25</c:v>
                </c:pt>
                <c:pt idx="93">
                  <c:v>132721.25</c:v>
                </c:pt>
                <c:pt idx="94">
                  <c:v>133266.33333333334</c:v>
                </c:pt>
                <c:pt idx="95">
                  <c:v>133879</c:v>
                </c:pt>
                <c:pt idx="96">
                  <c:v>135278.75</c:v>
                </c:pt>
                <c:pt idx="97">
                  <c:v>135665.16666666666</c:v>
                </c:pt>
                <c:pt idx="98">
                  <c:v>136074.33333333334</c:v>
                </c:pt>
                <c:pt idx="99">
                  <c:v>135981.5</c:v>
                </c:pt>
                <c:pt idx="100">
                  <c:v>135802.66666666666</c:v>
                </c:pt>
                <c:pt idx="101">
                  <c:v>136293</c:v>
                </c:pt>
                <c:pt idx="102">
                  <c:v>136410.75</c:v>
                </c:pt>
                <c:pt idx="103">
                  <c:v>136837.75</c:v>
                </c:pt>
                <c:pt idx="104">
                  <c:v>137043.08333333334</c:v>
                </c:pt>
                <c:pt idx="105">
                  <c:v>137078.33333333334</c:v>
                </c:pt>
                <c:pt idx="106">
                  <c:v>136971.25</c:v>
                </c:pt>
                <c:pt idx="107">
                  <c:v>136610</c:v>
                </c:pt>
                <c:pt idx="108">
                  <c:v>134719.41666666666</c:v>
                </c:pt>
                <c:pt idx="109">
                  <c:v>134210.33333333334</c:v>
                </c:pt>
                <c:pt idx="110">
                  <c:v>134297.91666666666</c:v>
                </c:pt>
                <c:pt idx="111">
                  <c:v>135115.25</c:v>
                </c:pt>
                <c:pt idx="112">
                  <c:v>135046.33333333334</c:v>
                </c:pt>
                <c:pt idx="113">
                  <c:v>134839.25</c:v>
                </c:pt>
                <c:pt idx="114">
                  <c:v>134724.75</c:v>
                </c:pt>
                <c:pt idx="115">
                  <c:v>134509.83333333334</c:v>
                </c:pt>
                <c:pt idx="116">
                  <c:v>134038</c:v>
                </c:pt>
                <c:pt idx="117">
                  <c:v>134296.08333333334</c:v>
                </c:pt>
                <c:pt idx="118">
                  <c:v>134451.33333333334</c:v>
                </c:pt>
                <c:pt idx="119">
                  <c:v>135121.41666666666</c:v>
                </c:pt>
                <c:pt idx="120">
                  <c:v>135993.58333333334</c:v>
                </c:pt>
                <c:pt idx="121">
                  <c:v>136396.66666666666</c:v>
                </c:pt>
                <c:pt idx="122">
                  <c:v>136546.5</c:v>
                </c:pt>
                <c:pt idx="123">
                  <c:v>136097.16666666666</c:v>
                </c:pt>
                <c:pt idx="124">
                  <c:v>136502</c:v>
                </c:pt>
                <c:pt idx="125">
                  <c:v>136550.5</c:v>
                </c:pt>
                <c:pt idx="126">
                  <c:v>136475.08333333334</c:v>
                </c:pt>
                <c:pt idx="127">
                  <c:v>136559</c:v>
                </c:pt>
                <c:pt idx="128">
                  <c:v>136825.83333333334</c:v>
                </c:pt>
                <c:pt idx="129">
                  <c:v>136547.33333333334</c:v>
                </c:pt>
                <c:pt idx="130">
                  <c:v>136020.75</c:v>
                </c:pt>
                <c:pt idx="131">
                  <c:v>134869</c:v>
                </c:pt>
                <c:pt idx="132">
                  <c:v>134613.91666666666</c:v>
                </c:pt>
                <c:pt idx="133">
                  <c:v>134095.58333333334</c:v>
                </c:pt>
                <c:pt idx="134">
                  <c:v>133604.83333333334</c:v>
                </c:pt>
                <c:pt idx="135">
                  <c:v>134131.25</c:v>
                </c:pt>
                <c:pt idx="136">
                  <c:v>133774.91666666666</c:v>
                </c:pt>
                <c:pt idx="137">
                  <c:v>133935.83333333334</c:v>
                </c:pt>
                <c:pt idx="138">
                  <c:v>134138.5</c:v>
                </c:pt>
                <c:pt idx="139">
                  <c:v>134502.66666666666</c:v>
                </c:pt>
                <c:pt idx="140">
                  <c:v>135125.75</c:v>
                </c:pt>
                <c:pt idx="141">
                  <c:v>134737.33333333334</c:v>
                </c:pt>
                <c:pt idx="142">
                  <c:v>135351.75</c:v>
                </c:pt>
                <c:pt idx="143">
                  <c:v>136158.83333333334</c:v>
                </c:pt>
                <c:pt idx="144">
                  <c:v>134339.83333333334</c:v>
                </c:pt>
                <c:pt idx="145">
                  <c:v>134858.5</c:v>
                </c:pt>
                <c:pt idx="146">
                  <c:v>134902.66666666666</c:v>
                </c:pt>
                <c:pt idx="147">
                  <c:v>134502.08333333334</c:v>
                </c:pt>
                <c:pt idx="148">
                  <c:v>134888.58333333334</c:v>
                </c:pt>
                <c:pt idx="149">
                  <c:v>134844</c:v>
                </c:pt>
                <c:pt idx="150">
                  <c:v>134668.91666666666</c:v>
                </c:pt>
                <c:pt idx="151">
                  <c:v>134090.5</c:v>
                </c:pt>
                <c:pt idx="152">
                  <c:v>133439.16666666666</c:v>
                </c:pt>
                <c:pt idx="153">
                  <c:v>134096.66666666666</c:v>
                </c:pt>
                <c:pt idx="154">
                  <c:v>134354.58333333334</c:v>
                </c:pt>
                <c:pt idx="155">
                  <c:v>134379.16666666666</c:v>
                </c:pt>
                <c:pt idx="156">
                  <c:v>131778.75</c:v>
                </c:pt>
                <c:pt idx="157">
                  <c:v>131768.91666666666</c:v>
                </c:pt>
                <c:pt idx="158">
                  <c:v>132323.83333333334</c:v>
                </c:pt>
                <c:pt idx="159">
                  <c:v>132831.58333333334</c:v>
                </c:pt>
                <c:pt idx="160">
                  <c:v>133096.33333333334</c:v>
                </c:pt>
                <c:pt idx="161">
                  <c:v>133510.91666666666</c:v>
                </c:pt>
                <c:pt idx="162">
                  <c:v>134186.5</c:v>
                </c:pt>
                <c:pt idx="163">
                  <c:v>134592.58333333334</c:v>
                </c:pt>
                <c:pt idx="164">
                  <c:v>134692.75</c:v>
                </c:pt>
                <c:pt idx="165">
                  <c:v>134834.66666666666</c:v>
                </c:pt>
                <c:pt idx="166">
                  <c:v>134740.16666666666</c:v>
                </c:pt>
                <c:pt idx="167">
                  <c:v>134514.83333333334</c:v>
                </c:pt>
                <c:pt idx="168">
                  <c:v>#N/A</c:v>
                </c:pt>
                <c:pt idx="169">
                  <c:v>#N/A</c:v>
                </c:pt>
                <c:pt idx="170">
                  <c:v>129394.83333333333</c:v>
                </c:pt>
                <c:pt idx="171">
                  <c:v>129482.83333333333</c:v>
                </c:pt>
                <c:pt idx="172">
                  <c:v>129578.83333333333</c:v>
                </c:pt>
                <c:pt idx="173">
                  <c:v>129694.5</c:v>
                </c:pt>
                <c:pt idx="174">
                  <c:v>129355.08333333333</c:v>
                </c:pt>
                <c:pt idx="175">
                  <c:v>129630.41666666667</c:v>
                </c:pt>
                <c:pt idx="176">
                  <c:v>130131.75</c:v>
                </c:pt>
                <c:pt idx="177">
                  <c:v>130415.41666666667</c:v>
                </c:pt>
                <c:pt idx="178">
                  <c:v>130347.58333333333</c:v>
                </c:pt>
                <c:pt idx="179">
                  <c:v>130881.66666666667</c:v>
                </c:pt>
                <c:pt idx="180">
                  <c:v>#N/A</c:v>
                </c:pt>
                <c:pt idx="181">
                  <c:v>#N/A</c:v>
                </c:pt>
                <c:pt idx="182">
                  <c:v>#N/A</c:v>
                </c:pt>
                <c:pt idx="183">
                  <c:v>#N/A</c:v>
                </c:pt>
                <c:pt idx="184">
                  <c:v>#N/A</c:v>
                </c:pt>
                <c:pt idx="185">
                  <c:v>#N/A</c:v>
                </c:pt>
                <c:pt idx="186">
                  <c:v>#N/A</c:v>
                </c:pt>
                <c:pt idx="187">
                  <c:v>#N/A</c:v>
                </c:pt>
                <c:pt idx="188">
                  <c:v>#N/A</c:v>
                </c:pt>
              </c:numCache>
            </c:numRef>
          </c:val>
          <c:smooth val="0"/>
          <c:extLst>
            <c:ext xmlns:c16="http://schemas.microsoft.com/office/drawing/2014/chart" uri="{C3380CC4-5D6E-409C-BE32-E72D297353CC}">
              <c16:uniqueId val="{00000001-544B-4BF0-B8FE-19DF7A4D337E}"/>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14286</xdr:colOff>
      <xdr:row>6</xdr:row>
      <xdr:rowOff>38099</xdr:rowOff>
    </xdr:from>
    <xdr:to>
      <xdr:col>11</xdr:col>
      <xdr:colOff>647699</xdr:colOff>
      <xdr:row>19</xdr:row>
      <xdr:rowOff>19050</xdr:rowOff>
    </xdr:to>
    <xdr:graphicFrame macro="">
      <xdr:nvGraphicFramePr>
        <xdr:cNvPr id="5" name="Chart 4" descr="Compliance with 4  hour waiting time standard&#10;&#10;Variation in compliance with 4 hour waiting time standard with two trend lines. One showing the rolling annual trend and another showing the compliance percentage each month. Data for this chart can be found in the tables below.">
          <a:extLst>
            <a:ext uri="{FF2B5EF4-FFF2-40B4-BE49-F238E27FC236}">
              <a16:creationId xmlns:a16="http://schemas.microsoft.com/office/drawing/2014/main" id="{3F0CD098-97FA-4A92-AF83-901330648C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19049</xdr:colOff>
      <xdr:row>19</xdr:row>
      <xdr:rowOff>133350</xdr:rowOff>
    </xdr:from>
    <xdr:to>
      <xdr:col>11</xdr:col>
      <xdr:colOff>657224</xdr:colOff>
      <xdr:row>34</xdr:row>
      <xdr:rowOff>66675</xdr:rowOff>
    </xdr:to>
    <xdr:graphicFrame macro="">
      <xdr:nvGraphicFramePr>
        <xdr:cNvPr id="7" name="Chart 6" descr="Attendance variation with time&#10;&#10;Chart of the number of attendances each month along with a second trend showing the rolling annual trend. Data for this chart can be found in the tables below.">
          <a:extLst>
            <a:ext uri="{FF2B5EF4-FFF2-40B4-BE49-F238E27FC236}">
              <a16:creationId xmlns:a16="http://schemas.microsoft.com/office/drawing/2014/main" id="{ABDB2A54-62C2-4D7D-BB88-C80535B423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scotland.gov.uk/Topics/Health/Quality-Improvement-Performance/NHS-Performance-Target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_docs/Quality-of-ISD-AE-Statistics.pdf"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128"/>
  <sheetViews>
    <sheetView showGridLines="0" tabSelected="1" zoomScaleNormal="100" zoomScaleSheetLayoutView="70" workbookViewId="0"/>
  </sheetViews>
  <sheetFormatPr defaultColWidth="11.42578125" defaultRowHeight="12.75" x14ac:dyDescent="0.2"/>
  <cols>
    <col min="1" max="1" width="1.7109375" customWidth="1"/>
    <col min="2" max="2" width="25" customWidth="1"/>
    <col min="3" max="3" width="32.85546875" customWidth="1"/>
    <col min="4" max="5" width="13.140625" customWidth="1"/>
    <col min="6" max="6" width="11.140625" customWidth="1"/>
    <col min="7" max="7" width="12.28515625" customWidth="1"/>
    <col min="8" max="8" width="9.28515625" customWidth="1"/>
    <col min="9" max="9" width="7.42578125" customWidth="1"/>
    <col min="10" max="10" width="8.28515625" customWidth="1"/>
    <col min="11" max="11" width="7.140625" customWidth="1"/>
    <col min="12" max="12" width="8.7109375" customWidth="1"/>
    <col min="13" max="13" width="8.5703125" customWidth="1"/>
    <col min="14" max="14" width="6.140625" customWidth="1"/>
    <col min="15" max="16" width="10.7109375" customWidth="1"/>
  </cols>
  <sheetData>
    <row r="1" spans="2:14" ht="24" customHeight="1" x14ac:dyDescent="0.2">
      <c r="B1" s="7" t="s">
        <v>202</v>
      </c>
      <c r="C1" s="7"/>
      <c r="D1" s="7"/>
      <c r="E1" s="7"/>
      <c r="F1" s="7"/>
      <c r="G1" s="7"/>
      <c r="H1" s="7"/>
      <c r="I1" s="7"/>
      <c r="K1" s="8"/>
      <c r="L1" s="8"/>
      <c r="M1" s="22"/>
      <c r="N1" s="122" t="s">
        <v>637</v>
      </c>
    </row>
    <row r="2" spans="2:14" ht="15" customHeight="1" x14ac:dyDescent="0.2">
      <c r="B2" s="187"/>
      <c r="C2" s="187"/>
      <c r="D2" s="187"/>
      <c r="E2" s="187"/>
      <c r="F2" s="187"/>
      <c r="G2" s="187"/>
      <c r="H2" s="187"/>
      <c r="I2" s="187"/>
      <c r="J2" s="187"/>
      <c r="K2" s="187"/>
    </row>
    <row r="3" spans="2:14" ht="15" customHeight="1" x14ac:dyDescent="0.2">
      <c r="B3" s="189" t="s">
        <v>383</v>
      </c>
      <c r="C3" s="189"/>
      <c r="D3" s="189"/>
      <c r="E3" s="189"/>
      <c r="F3" s="189"/>
      <c r="G3" s="189"/>
      <c r="H3" s="189"/>
      <c r="I3" s="189"/>
      <c r="J3" s="189"/>
      <c r="K3" s="189"/>
      <c r="L3" s="9"/>
      <c r="M3" s="9"/>
    </row>
    <row r="4" spans="2:14" ht="15" customHeight="1" x14ac:dyDescent="0.2">
      <c r="B4" s="189"/>
      <c r="C4" s="189"/>
      <c r="D4" s="189"/>
      <c r="E4" s="189"/>
      <c r="F4" s="189"/>
      <c r="G4" s="189"/>
      <c r="H4" s="189"/>
      <c r="I4" s="189"/>
      <c r="J4" s="189"/>
      <c r="K4" s="189"/>
      <c r="L4" s="23"/>
      <c r="M4" s="23"/>
    </row>
    <row r="5" spans="2:14" ht="15" customHeight="1" x14ac:dyDescent="0.2">
      <c r="B5" s="189"/>
      <c r="C5" s="189"/>
      <c r="D5" s="189"/>
      <c r="E5" s="189"/>
      <c r="F5" s="189"/>
      <c r="G5" s="189"/>
      <c r="H5" s="189"/>
      <c r="I5" s="189"/>
      <c r="J5" s="189"/>
      <c r="K5" s="189"/>
      <c r="L5" s="23"/>
      <c r="M5" s="23"/>
    </row>
    <row r="6" spans="2:14" ht="15" customHeight="1" x14ac:dyDescent="0.2">
      <c r="B6" s="9"/>
      <c r="C6" s="10"/>
      <c r="D6" s="10"/>
      <c r="E6" s="10"/>
      <c r="F6" s="10"/>
      <c r="G6" s="11"/>
      <c r="H6" s="11"/>
      <c r="I6" s="11"/>
      <c r="J6" s="11"/>
      <c r="K6" s="11"/>
      <c r="L6" s="12"/>
      <c r="M6" s="13"/>
    </row>
    <row r="7" spans="2:14" ht="15" customHeight="1" x14ac:dyDescent="0.2">
      <c r="B7" s="18" t="s">
        <v>90</v>
      </c>
      <c r="C7" s="14"/>
      <c r="D7" s="14"/>
      <c r="E7" s="14"/>
      <c r="F7" s="14"/>
      <c r="G7" s="11"/>
      <c r="H7" s="11"/>
      <c r="I7" s="11"/>
      <c r="J7" s="11"/>
      <c r="K7" s="11"/>
      <c r="L7" s="12"/>
      <c r="M7" s="13"/>
    </row>
    <row r="8" spans="2:14" ht="15" customHeight="1" x14ac:dyDescent="0.2">
      <c r="B8" s="190"/>
      <c r="C8" s="191"/>
      <c r="D8" s="191"/>
      <c r="E8" s="191"/>
      <c r="F8" s="191"/>
      <c r="G8" s="191"/>
      <c r="H8" s="191"/>
      <c r="I8" s="191"/>
      <c r="J8" s="191"/>
      <c r="K8" s="191"/>
      <c r="L8" s="191"/>
      <c r="M8" s="191"/>
    </row>
    <row r="9" spans="2:14" ht="22.5" customHeight="1" x14ac:dyDescent="0.2">
      <c r="B9" s="2" t="s">
        <v>381</v>
      </c>
      <c r="C9" s="19" t="s">
        <v>382</v>
      </c>
      <c r="D9" s="15"/>
      <c r="E9" s="15"/>
      <c r="F9" s="15"/>
      <c r="G9" s="15"/>
      <c r="H9" s="15"/>
      <c r="I9" s="15"/>
      <c r="J9" s="15"/>
      <c r="K9" s="15"/>
      <c r="L9" s="15"/>
      <c r="M9" s="15"/>
    </row>
    <row r="10" spans="2:14" ht="22.5" customHeight="1" x14ac:dyDescent="0.2">
      <c r="B10" s="2" t="s">
        <v>221</v>
      </c>
      <c r="C10" s="19" t="s">
        <v>290</v>
      </c>
      <c r="D10" s="15"/>
      <c r="E10" s="15"/>
      <c r="F10" s="15"/>
      <c r="G10" s="15"/>
      <c r="H10" s="15"/>
      <c r="I10" s="15"/>
      <c r="J10" s="15"/>
      <c r="K10" s="15"/>
      <c r="L10" s="15"/>
      <c r="M10" s="15"/>
    </row>
    <row r="11" spans="2:14" ht="42" customHeight="1" x14ac:dyDescent="0.2">
      <c r="B11" s="2" t="s">
        <v>107</v>
      </c>
      <c r="C11" s="192" t="s">
        <v>203</v>
      </c>
      <c r="D11" s="192"/>
      <c r="E11" s="192"/>
      <c r="F11" s="192"/>
      <c r="G11" s="192"/>
      <c r="H11" s="192"/>
      <c r="I11" s="192"/>
      <c r="J11" s="192"/>
      <c r="K11" s="192"/>
      <c r="L11" s="192"/>
      <c r="M11" s="192"/>
    </row>
    <row r="12" spans="2:14" ht="32.25" customHeight="1" x14ac:dyDescent="0.2">
      <c r="B12" s="16" t="s">
        <v>91</v>
      </c>
      <c r="C12" s="192" t="s">
        <v>204</v>
      </c>
      <c r="D12" s="192"/>
      <c r="E12" s="192"/>
      <c r="F12" s="192"/>
      <c r="G12" s="192"/>
      <c r="H12" s="192"/>
      <c r="I12" s="192"/>
      <c r="J12" s="192"/>
      <c r="K12" s="192"/>
      <c r="L12" s="192"/>
      <c r="M12" s="192"/>
    </row>
    <row r="13" spans="2:14" ht="28.5" customHeight="1" x14ac:dyDescent="0.2">
      <c r="B13" s="16" t="s">
        <v>108</v>
      </c>
      <c r="C13" s="192" t="s">
        <v>213</v>
      </c>
      <c r="D13" s="192"/>
      <c r="E13" s="192"/>
      <c r="F13" s="192"/>
      <c r="G13" s="192"/>
      <c r="H13" s="192"/>
      <c r="I13" s="192"/>
      <c r="J13" s="192"/>
      <c r="K13" s="192"/>
      <c r="L13" s="192"/>
      <c r="M13" s="192"/>
    </row>
    <row r="14" spans="2:14" ht="15" customHeight="1" x14ac:dyDescent="0.2">
      <c r="B14" s="193" t="s">
        <v>92</v>
      </c>
      <c r="C14" s="192" t="s">
        <v>93</v>
      </c>
      <c r="D14" s="192"/>
      <c r="E14" s="192"/>
      <c r="F14" s="192"/>
      <c r="G14" s="192"/>
      <c r="H14" s="192"/>
      <c r="I14" s="192"/>
      <c r="J14" s="192"/>
      <c r="K14" s="192"/>
      <c r="L14" s="192"/>
      <c r="M14" s="192"/>
    </row>
    <row r="15" spans="2:14" ht="15" customHeight="1" x14ac:dyDescent="0.2">
      <c r="B15" s="194"/>
      <c r="C15" s="199"/>
      <c r="D15" s="199"/>
      <c r="E15" s="199"/>
      <c r="F15" s="199"/>
      <c r="G15" s="199"/>
      <c r="H15" s="199"/>
      <c r="I15" s="199"/>
      <c r="J15" s="199"/>
      <c r="K15" s="199"/>
      <c r="L15" s="199"/>
      <c r="M15" s="199"/>
    </row>
    <row r="16" spans="2:14" ht="15" customHeight="1" x14ac:dyDescent="0.2">
      <c r="B16" s="5"/>
      <c r="C16" s="10"/>
      <c r="D16" s="10"/>
      <c r="E16" s="10"/>
      <c r="F16" s="10"/>
      <c r="G16" s="10"/>
      <c r="H16" s="10"/>
      <c r="I16" s="10"/>
      <c r="J16" s="10"/>
      <c r="K16" s="10"/>
      <c r="L16" s="10"/>
      <c r="M16" s="10"/>
    </row>
    <row r="17" spans="2:13" ht="24.75" customHeight="1" x14ac:dyDescent="0.2">
      <c r="B17" s="18" t="s">
        <v>94</v>
      </c>
    </row>
    <row r="18" spans="2:13" ht="15" customHeight="1" x14ac:dyDescent="0.2">
      <c r="B18" s="17"/>
      <c r="C18" s="10"/>
      <c r="D18" s="10"/>
      <c r="E18" s="10"/>
      <c r="F18" s="10"/>
      <c r="G18" s="10"/>
      <c r="H18" s="10"/>
      <c r="I18" s="10"/>
      <c r="J18" s="10"/>
      <c r="K18" s="10"/>
      <c r="L18" s="10"/>
      <c r="M18" s="10"/>
    </row>
    <row r="19" spans="2:13" ht="15" customHeight="1" x14ac:dyDescent="0.2">
      <c r="B19" s="186" t="s">
        <v>636</v>
      </c>
      <c r="C19" s="186"/>
      <c r="D19" s="186" t="s">
        <v>639</v>
      </c>
      <c r="E19" s="186"/>
      <c r="F19" s="20"/>
      <c r="G19" s="21"/>
      <c r="H19" s="21"/>
      <c r="I19" s="21"/>
      <c r="J19" s="21"/>
      <c r="K19" s="21"/>
      <c r="L19" s="21"/>
      <c r="M19" s="21"/>
    </row>
    <row r="20" spans="2:13" ht="15" customHeight="1" x14ac:dyDescent="0.2">
      <c r="B20" s="1" t="s">
        <v>95</v>
      </c>
      <c r="C20" s="24" t="s">
        <v>638</v>
      </c>
      <c r="D20" s="196"/>
      <c r="E20" s="197"/>
      <c r="F20" s="197"/>
      <c r="G20" s="197"/>
      <c r="H20" s="3"/>
      <c r="I20" s="3"/>
      <c r="J20" s="3"/>
      <c r="K20" s="3"/>
      <c r="L20" s="3"/>
      <c r="M20" s="3"/>
    </row>
    <row r="21" spans="2:13" ht="32.25" customHeight="1" x14ac:dyDescent="0.2">
      <c r="B21" s="186" t="s">
        <v>384</v>
      </c>
      <c r="C21" s="186"/>
      <c r="D21" s="186"/>
      <c r="E21" s="186"/>
      <c r="F21" s="186"/>
      <c r="G21" s="186"/>
      <c r="H21" s="186"/>
      <c r="I21" s="186"/>
      <c r="J21" s="186"/>
      <c r="K21" s="186"/>
      <c r="L21" s="186"/>
      <c r="M21" s="186"/>
    </row>
    <row r="22" spans="2:13" ht="15" customHeight="1" x14ac:dyDescent="0.2">
      <c r="B22" s="186" t="s">
        <v>227</v>
      </c>
      <c r="C22" s="186"/>
      <c r="D22" s="186"/>
      <c r="E22" s="186"/>
      <c r="F22" s="186"/>
      <c r="G22" s="186"/>
      <c r="H22" s="186"/>
      <c r="I22" s="186"/>
      <c r="J22" s="186"/>
      <c r="K22" s="186"/>
      <c r="L22" s="186"/>
      <c r="M22" s="186"/>
    </row>
    <row r="23" spans="2:13" ht="15" customHeight="1" x14ac:dyDescent="0.2">
      <c r="B23" s="186"/>
      <c r="C23" s="186"/>
      <c r="D23" s="186"/>
      <c r="E23" s="186"/>
      <c r="F23" s="186"/>
      <c r="G23" s="186"/>
      <c r="H23" s="186"/>
      <c r="I23" s="186"/>
      <c r="J23" s="186"/>
      <c r="K23" s="186"/>
      <c r="L23" s="186"/>
      <c r="M23" s="186"/>
    </row>
    <row r="24" spans="2:13" ht="15" customHeight="1" x14ac:dyDescent="0.2">
      <c r="B24" s="186" t="s">
        <v>310</v>
      </c>
      <c r="C24" s="186"/>
      <c r="D24" s="186"/>
      <c r="E24" s="186"/>
      <c r="F24" s="186"/>
      <c r="G24" s="186"/>
      <c r="H24" s="186"/>
      <c r="I24" s="186"/>
      <c r="J24" s="186"/>
      <c r="K24" s="186"/>
      <c r="L24" s="186"/>
      <c r="M24" s="186"/>
    </row>
    <row r="25" spans="2:13" ht="32.25" customHeight="1" x14ac:dyDescent="0.2">
      <c r="B25" s="186"/>
      <c r="C25" s="186"/>
      <c r="D25" s="186"/>
      <c r="E25" s="186"/>
      <c r="F25" s="186"/>
      <c r="G25" s="186"/>
      <c r="H25" s="186"/>
      <c r="I25" s="186"/>
      <c r="J25" s="186"/>
      <c r="K25" s="186"/>
      <c r="L25" s="186"/>
      <c r="M25" s="186"/>
    </row>
    <row r="26" spans="2:13" ht="18" customHeight="1" x14ac:dyDescent="0.2">
      <c r="B26" s="186" t="s">
        <v>96</v>
      </c>
      <c r="C26" s="186"/>
      <c r="D26" s="186"/>
      <c r="E26" s="186"/>
      <c r="F26" s="186"/>
      <c r="G26" s="186"/>
      <c r="H26" s="186"/>
      <c r="I26" s="186"/>
      <c r="J26" s="186"/>
      <c r="K26" s="186"/>
      <c r="L26" s="186"/>
      <c r="M26" s="186"/>
    </row>
    <row r="27" spans="2:13" ht="45" customHeight="1" x14ac:dyDescent="0.2">
      <c r="B27" s="186" t="s">
        <v>216</v>
      </c>
      <c r="C27" s="186"/>
      <c r="D27" s="186"/>
      <c r="E27" s="186"/>
      <c r="F27" s="186"/>
      <c r="G27" s="186"/>
      <c r="H27" s="186"/>
      <c r="I27" s="186"/>
      <c r="J27" s="186"/>
      <c r="K27" s="186"/>
      <c r="L27" s="186"/>
      <c r="M27" s="186"/>
    </row>
    <row r="28" spans="2:13" ht="13.5" customHeight="1" x14ac:dyDescent="0.2">
      <c r="B28" s="195" t="s">
        <v>283</v>
      </c>
      <c r="C28" s="195"/>
      <c r="D28" s="195"/>
      <c r="E28" s="195"/>
      <c r="F28" s="195"/>
      <c r="G28" s="195"/>
      <c r="H28" s="195"/>
      <c r="I28" s="195"/>
      <c r="J28" s="195"/>
      <c r="K28" s="195"/>
      <c r="L28" s="195"/>
      <c r="M28" s="195"/>
    </row>
    <row r="29" spans="2:13" ht="15.75" customHeight="1" x14ac:dyDescent="0.2">
      <c r="B29" s="186" t="s">
        <v>288</v>
      </c>
      <c r="C29" s="186"/>
      <c r="D29" s="186"/>
      <c r="E29" s="186"/>
      <c r="F29" s="186"/>
      <c r="G29" s="186"/>
      <c r="H29" s="186"/>
      <c r="I29" s="186"/>
      <c r="J29" s="186"/>
      <c r="K29" s="186"/>
      <c r="L29" s="186"/>
      <c r="M29" s="186"/>
    </row>
    <row r="30" spans="2:13" ht="15" customHeight="1" x14ac:dyDescent="0.2">
      <c r="B30" s="186" t="s">
        <v>214</v>
      </c>
      <c r="C30" s="186"/>
      <c r="D30" s="186"/>
      <c r="E30" s="186"/>
      <c r="F30" s="186"/>
      <c r="G30" s="186"/>
      <c r="H30" s="186"/>
      <c r="I30" s="186"/>
      <c r="J30" s="186"/>
      <c r="K30" s="186"/>
      <c r="L30" s="186"/>
      <c r="M30" s="186"/>
    </row>
    <row r="31" spans="2:13" ht="15" customHeight="1" x14ac:dyDescent="0.2">
      <c r="B31" s="186"/>
      <c r="C31" s="186"/>
      <c r="D31" s="186"/>
      <c r="E31" s="186"/>
      <c r="F31" s="186"/>
      <c r="G31" s="186"/>
      <c r="H31" s="186"/>
      <c r="I31" s="186"/>
      <c r="J31" s="186"/>
      <c r="K31" s="186"/>
      <c r="L31" s="186"/>
      <c r="M31" s="186"/>
    </row>
    <row r="32" spans="2:13" ht="15" customHeight="1" x14ac:dyDescent="0.2">
      <c r="B32" s="186" t="s">
        <v>215</v>
      </c>
      <c r="C32" s="198"/>
      <c r="D32" s="198"/>
      <c r="E32" s="198"/>
      <c r="F32" s="198"/>
      <c r="G32" s="198"/>
      <c r="H32" s="198"/>
      <c r="I32" s="198"/>
      <c r="J32" s="198"/>
      <c r="K32" s="198"/>
      <c r="L32" s="198"/>
      <c r="M32" s="198"/>
    </row>
    <row r="33" spans="2:13" ht="15" customHeight="1" x14ac:dyDescent="0.2">
      <c r="B33" s="186" t="s">
        <v>289</v>
      </c>
      <c r="C33" s="186"/>
      <c r="D33" s="186"/>
      <c r="E33" s="186"/>
      <c r="F33" s="186"/>
      <c r="G33" s="186"/>
      <c r="H33" s="186"/>
      <c r="I33" s="186"/>
      <c r="J33" s="186"/>
      <c r="K33" s="186"/>
      <c r="L33" s="186"/>
      <c r="M33" s="186"/>
    </row>
    <row r="34" spans="2:13" ht="15" customHeight="1" x14ac:dyDescent="0.2">
      <c r="B34" s="188"/>
      <c r="C34" s="188"/>
      <c r="D34" s="188"/>
      <c r="E34" s="188"/>
      <c r="F34" s="188"/>
      <c r="G34" s="188"/>
      <c r="H34" s="188"/>
      <c r="I34" s="188"/>
      <c r="J34" s="188"/>
      <c r="K34" s="188"/>
      <c r="L34" s="188"/>
      <c r="M34" s="188"/>
    </row>
    <row r="35" spans="2:13" ht="15" customHeight="1" x14ac:dyDescent="0.2">
      <c r="B35" s="188"/>
      <c r="C35" s="188"/>
      <c r="D35" s="188"/>
      <c r="E35" s="188"/>
      <c r="F35" s="188"/>
      <c r="G35" s="188"/>
      <c r="H35" s="188"/>
      <c r="I35" s="188"/>
      <c r="J35" s="188"/>
      <c r="K35" s="188"/>
      <c r="L35" s="188"/>
      <c r="M35" s="188"/>
    </row>
    <row r="36" spans="2:13" ht="15" customHeight="1" x14ac:dyDescent="0.2">
      <c r="B36" s="188"/>
      <c r="C36" s="188"/>
      <c r="D36" s="188"/>
      <c r="E36" s="188"/>
      <c r="F36" s="188"/>
      <c r="G36" s="188"/>
      <c r="H36" s="188"/>
      <c r="I36" s="188"/>
      <c r="J36" s="188"/>
      <c r="K36" s="188"/>
      <c r="L36" s="188"/>
      <c r="M36" s="188"/>
    </row>
    <row r="37" spans="2:13" ht="15" customHeight="1" x14ac:dyDescent="0.2">
      <c r="B37" s="188"/>
      <c r="C37" s="188"/>
      <c r="D37" s="188"/>
      <c r="E37" s="188"/>
      <c r="F37" s="188"/>
      <c r="G37" s="188"/>
      <c r="H37" s="188"/>
      <c r="I37" s="188"/>
      <c r="J37" s="188"/>
      <c r="K37" s="188"/>
      <c r="L37" s="188"/>
      <c r="M37" s="188"/>
    </row>
    <row r="38" spans="2:13" ht="15" customHeight="1" x14ac:dyDescent="0.2">
      <c r="B38" s="188"/>
      <c r="C38" s="188"/>
      <c r="D38" s="188"/>
      <c r="E38" s="188"/>
      <c r="F38" s="188"/>
      <c r="G38" s="188"/>
      <c r="H38" s="188"/>
      <c r="I38" s="188"/>
      <c r="J38" s="188"/>
      <c r="K38" s="188"/>
      <c r="L38" s="188"/>
      <c r="M38" s="188"/>
    </row>
    <row r="39" spans="2:13" ht="15" customHeight="1" x14ac:dyDescent="0.2">
      <c r="B39" s="188"/>
      <c r="C39" s="188"/>
      <c r="D39" s="188"/>
      <c r="E39" s="188"/>
      <c r="F39" s="188"/>
      <c r="G39" s="188"/>
      <c r="H39" s="188"/>
      <c r="I39" s="188"/>
      <c r="J39" s="188"/>
      <c r="K39" s="188"/>
      <c r="L39" s="188"/>
      <c r="M39" s="188"/>
    </row>
    <row r="40" spans="2:13" ht="15" customHeight="1" x14ac:dyDescent="0.2">
      <c r="B40" s="186" t="s">
        <v>377</v>
      </c>
      <c r="C40" s="186"/>
      <c r="D40" s="186"/>
      <c r="E40" s="186"/>
      <c r="F40" s="186"/>
      <c r="G40" s="186"/>
      <c r="H40" s="186"/>
      <c r="I40" s="186"/>
      <c r="J40" s="186"/>
      <c r="K40" s="186"/>
      <c r="L40" s="186"/>
      <c r="M40" s="186"/>
    </row>
    <row r="41" spans="2:13" ht="14.25" customHeight="1" x14ac:dyDescent="0.2">
      <c r="B41" s="186"/>
      <c r="C41" s="186"/>
      <c r="D41" s="186"/>
      <c r="E41" s="186"/>
      <c r="F41" s="186"/>
      <c r="G41" s="186"/>
      <c r="H41" s="186"/>
      <c r="I41" s="186"/>
      <c r="J41" s="186"/>
      <c r="K41" s="186"/>
      <c r="L41" s="186"/>
      <c r="M41" s="186"/>
    </row>
    <row r="42" spans="2:13" ht="22.5" customHeight="1" x14ac:dyDescent="0.2">
      <c r="B42" s="186" t="s">
        <v>388</v>
      </c>
      <c r="C42" s="186"/>
      <c r="D42" s="186"/>
      <c r="E42" s="186"/>
      <c r="F42" s="186"/>
      <c r="G42" s="186"/>
      <c r="H42" s="186"/>
      <c r="I42" s="186"/>
      <c r="J42" s="186"/>
      <c r="K42" s="186"/>
      <c r="L42" s="186"/>
      <c r="M42" s="186"/>
    </row>
    <row r="43" spans="2:13" ht="36.75" customHeight="1" x14ac:dyDescent="0.2">
      <c r="B43" s="186" t="s">
        <v>744</v>
      </c>
      <c r="C43" s="186"/>
      <c r="D43" s="186"/>
      <c r="E43" s="186"/>
      <c r="F43" s="186"/>
      <c r="G43" s="186"/>
      <c r="H43" s="186"/>
      <c r="I43" s="186"/>
      <c r="J43" s="186"/>
      <c r="K43" s="186"/>
      <c r="L43" s="186"/>
      <c r="M43" s="186"/>
    </row>
    <row r="44" spans="2:13" ht="14.25" customHeight="1" x14ac:dyDescent="0.2">
      <c r="B44" s="3"/>
      <c r="C44" s="3"/>
      <c r="D44" s="3"/>
      <c r="E44" s="3"/>
      <c r="F44" s="3"/>
      <c r="G44" s="3"/>
      <c r="H44" s="3"/>
      <c r="I44" s="3"/>
      <c r="J44" s="3"/>
      <c r="K44" s="3"/>
      <c r="L44" s="3"/>
      <c r="M44" s="3"/>
    </row>
    <row r="45" spans="2:13" ht="29.45" customHeight="1" x14ac:dyDescent="0.2">
      <c r="B45" s="6" t="s">
        <v>106</v>
      </c>
      <c r="C45" s="1"/>
      <c r="D45" s="1"/>
      <c r="E45" s="1"/>
      <c r="F45" s="1"/>
      <c r="G45" s="1"/>
      <c r="H45" s="1"/>
      <c r="I45" s="1"/>
      <c r="J45" s="1"/>
      <c r="K45" s="1"/>
      <c r="L45" s="1"/>
      <c r="M45" s="1"/>
    </row>
    <row r="46" spans="2:13" ht="45" customHeight="1" x14ac:dyDescent="0.2">
      <c r="B46" s="186" t="s">
        <v>640</v>
      </c>
      <c r="C46" s="186"/>
      <c r="D46" s="186"/>
      <c r="E46" s="186"/>
      <c r="F46" s="186"/>
      <c r="G46" s="186"/>
      <c r="H46" s="186"/>
      <c r="I46" s="186"/>
      <c r="J46" s="186"/>
      <c r="K46" s="186"/>
      <c r="L46" s="186"/>
      <c r="M46" s="1"/>
    </row>
    <row r="47" spans="2:13" ht="53.25" customHeight="1" x14ac:dyDescent="0.2">
      <c r="B47" s="186" t="s">
        <v>641</v>
      </c>
      <c r="C47" s="186"/>
      <c r="D47" s="186"/>
      <c r="E47" s="186"/>
      <c r="F47" s="186"/>
      <c r="G47" s="186"/>
      <c r="H47" s="186"/>
      <c r="I47" s="186"/>
      <c r="J47" s="186"/>
      <c r="K47" s="186"/>
      <c r="L47" s="186"/>
      <c r="M47" s="1"/>
    </row>
    <row r="48" spans="2:13" ht="45" customHeight="1" x14ac:dyDescent="0.2">
      <c r="B48" s="186" t="s">
        <v>642</v>
      </c>
      <c r="C48" s="186"/>
      <c r="D48" s="186"/>
      <c r="E48" s="186"/>
      <c r="F48" s="186"/>
      <c r="G48" s="186"/>
      <c r="H48" s="186"/>
      <c r="I48" s="186"/>
      <c r="J48" s="186"/>
      <c r="K48" s="186"/>
      <c r="L48" s="186"/>
      <c r="M48" s="1"/>
    </row>
    <row r="49" spans="2:13" ht="45" customHeight="1" x14ac:dyDescent="0.2">
      <c r="B49" s="186" t="s">
        <v>643</v>
      </c>
      <c r="C49" s="186"/>
      <c r="D49" s="186"/>
      <c r="E49" s="186"/>
      <c r="F49" s="186"/>
      <c r="G49" s="186"/>
      <c r="H49" s="186"/>
      <c r="I49" s="186"/>
      <c r="J49" s="186"/>
      <c r="K49" s="186"/>
      <c r="L49" s="186"/>
      <c r="M49" s="1"/>
    </row>
    <row r="50" spans="2:13" ht="53.25" customHeight="1" x14ac:dyDescent="0.2">
      <c r="B50" s="186" t="s">
        <v>644</v>
      </c>
      <c r="C50" s="186"/>
      <c r="D50" s="186"/>
      <c r="E50" s="186"/>
      <c r="F50" s="186"/>
      <c r="G50" s="186"/>
      <c r="H50" s="186"/>
      <c r="I50" s="186"/>
      <c r="J50" s="186"/>
      <c r="K50" s="186"/>
      <c r="L50" s="186"/>
      <c r="M50" s="1"/>
    </row>
    <row r="51" spans="2:13" ht="45" customHeight="1" x14ac:dyDescent="0.2">
      <c r="B51" s="186" t="s">
        <v>645</v>
      </c>
      <c r="C51" s="186"/>
      <c r="D51" s="186"/>
      <c r="E51" s="186"/>
      <c r="F51" s="186"/>
      <c r="G51" s="186"/>
      <c r="H51" s="186"/>
      <c r="I51" s="186"/>
      <c r="J51" s="186"/>
      <c r="K51" s="186"/>
      <c r="L51" s="186"/>
      <c r="M51" s="1"/>
    </row>
    <row r="52" spans="2:13" ht="45" customHeight="1" x14ac:dyDescent="0.2">
      <c r="B52" s="186" t="s">
        <v>646</v>
      </c>
      <c r="C52" s="186"/>
      <c r="D52" s="186"/>
      <c r="E52" s="186"/>
      <c r="F52" s="186"/>
      <c r="G52" s="186"/>
      <c r="H52" s="186"/>
      <c r="I52" s="186"/>
      <c r="J52" s="186"/>
      <c r="K52" s="186"/>
      <c r="L52" s="186"/>
      <c r="M52" s="1"/>
    </row>
    <row r="53" spans="2:13" ht="53.25" customHeight="1" x14ac:dyDescent="0.2">
      <c r="B53" s="186" t="s">
        <v>647</v>
      </c>
      <c r="C53" s="186"/>
      <c r="D53" s="186"/>
      <c r="E53" s="186"/>
      <c r="F53" s="186"/>
      <c r="G53" s="186"/>
      <c r="H53" s="186"/>
      <c r="I53" s="186"/>
      <c r="J53" s="186"/>
      <c r="K53" s="186"/>
      <c r="L53" s="186"/>
      <c r="M53" s="1"/>
    </row>
    <row r="54" spans="2:13" ht="45" customHeight="1" x14ac:dyDescent="0.2">
      <c r="B54" s="186" t="s">
        <v>648</v>
      </c>
      <c r="C54" s="186"/>
      <c r="D54" s="186"/>
      <c r="E54" s="186"/>
      <c r="F54" s="186"/>
      <c r="G54" s="186"/>
      <c r="H54" s="186"/>
      <c r="I54" s="186"/>
      <c r="J54" s="186"/>
      <c r="K54" s="186"/>
      <c r="L54" s="186"/>
      <c r="M54" s="1"/>
    </row>
    <row r="55" spans="2:13" ht="45" customHeight="1" x14ac:dyDescent="0.2">
      <c r="B55" s="186" t="s">
        <v>649</v>
      </c>
      <c r="C55" s="186"/>
      <c r="D55" s="186"/>
      <c r="E55" s="186"/>
      <c r="F55" s="186"/>
      <c r="G55" s="186"/>
      <c r="H55" s="186"/>
      <c r="I55" s="186"/>
      <c r="J55" s="186"/>
      <c r="K55" s="186"/>
      <c r="L55" s="186"/>
      <c r="M55" s="1"/>
    </row>
    <row r="56" spans="2:13" ht="53.25" customHeight="1" x14ac:dyDescent="0.2">
      <c r="B56" s="186" t="s">
        <v>650</v>
      </c>
      <c r="C56" s="186"/>
      <c r="D56" s="186"/>
      <c r="E56" s="186"/>
      <c r="F56" s="186"/>
      <c r="G56" s="186"/>
      <c r="H56" s="186"/>
      <c r="I56" s="186"/>
      <c r="J56" s="186"/>
      <c r="K56" s="186"/>
      <c r="L56" s="186"/>
      <c r="M56" s="1"/>
    </row>
    <row r="57" spans="2:13" ht="54" customHeight="1" x14ac:dyDescent="0.2">
      <c r="B57" s="186" t="s">
        <v>651</v>
      </c>
      <c r="C57" s="186"/>
      <c r="D57" s="186"/>
      <c r="E57" s="186"/>
      <c r="F57" s="186"/>
      <c r="G57" s="186"/>
      <c r="H57" s="186"/>
      <c r="I57" s="186"/>
      <c r="J57" s="186"/>
      <c r="K57" s="186"/>
      <c r="L57" s="186"/>
      <c r="M57" s="1"/>
    </row>
    <row r="58" spans="2:13" ht="45" customHeight="1" x14ac:dyDescent="0.2">
      <c r="B58" s="186" t="s">
        <v>652</v>
      </c>
      <c r="C58" s="186"/>
      <c r="D58" s="186"/>
      <c r="E58" s="186"/>
      <c r="F58" s="186"/>
      <c r="G58" s="186"/>
      <c r="H58" s="186"/>
      <c r="I58" s="186"/>
      <c r="J58" s="186"/>
      <c r="K58" s="186"/>
      <c r="L58" s="186"/>
      <c r="M58" s="1"/>
    </row>
    <row r="59" spans="2:13" ht="53.25" customHeight="1" x14ac:dyDescent="0.2">
      <c r="B59" s="186" t="s">
        <v>653</v>
      </c>
      <c r="C59" s="186"/>
      <c r="D59" s="186"/>
      <c r="E59" s="186"/>
      <c r="F59" s="186"/>
      <c r="G59" s="186"/>
      <c r="H59" s="186"/>
      <c r="I59" s="186"/>
      <c r="J59" s="186"/>
      <c r="K59" s="186"/>
      <c r="L59" s="186"/>
      <c r="M59" s="1"/>
    </row>
    <row r="60" spans="2:13" ht="45" customHeight="1" x14ac:dyDescent="0.2">
      <c r="B60" s="186" t="s">
        <v>654</v>
      </c>
      <c r="C60" s="186"/>
      <c r="D60" s="186"/>
      <c r="E60" s="186"/>
      <c r="F60" s="186"/>
      <c r="G60" s="186"/>
      <c r="H60" s="186"/>
      <c r="I60" s="186"/>
      <c r="J60" s="186"/>
      <c r="K60" s="186"/>
      <c r="L60" s="186"/>
      <c r="M60" s="1"/>
    </row>
    <row r="61" spans="2:13" ht="45" customHeight="1" x14ac:dyDescent="0.2">
      <c r="B61" s="186" t="s">
        <v>655</v>
      </c>
      <c r="C61" s="186"/>
      <c r="D61" s="186"/>
      <c r="E61" s="186"/>
      <c r="F61" s="186"/>
      <c r="G61" s="186"/>
      <c r="H61" s="186"/>
      <c r="I61" s="186"/>
      <c r="J61" s="186"/>
      <c r="K61" s="186"/>
      <c r="L61" s="186"/>
      <c r="M61" s="1"/>
    </row>
    <row r="62" spans="2:13" ht="53.25" customHeight="1" x14ac:dyDescent="0.2">
      <c r="B62" s="186" t="s">
        <v>656</v>
      </c>
      <c r="C62" s="186"/>
      <c r="D62" s="186"/>
      <c r="E62" s="186"/>
      <c r="F62" s="186"/>
      <c r="G62" s="186"/>
      <c r="H62" s="186"/>
      <c r="I62" s="186"/>
      <c r="J62" s="186"/>
      <c r="K62" s="186"/>
      <c r="L62" s="186"/>
      <c r="M62" s="1"/>
    </row>
    <row r="63" spans="2:13" ht="45" customHeight="1" x14ac:dyDescent="0.2">
      <c r="B63" s="186" t="s">
        <v>657</v>
      </c>
      <c r="C63" s="186"/>
      <c r="D63" s="186"/>
      <c r="E63" s="186"/>
      <c r="F63" s="186"/>
      <c r="G63" s="186"/>
      <c r="H63" s="186"/>
      <c r="I63" s="186"/>
      <c r="J63" s="186"/>
      <c r="K63" s="186"/>
      <c r="L63" s="186"/>
      <c r="M63" s="1"/>
    </row>
    <row r="64" spans="2:13" ht="45" customHeight="1" x14ac:dyDescent="0.2">
      <c r="B64" s="186" t="s">
        <v>658</v>
      </c>
      <c r="C64" s="186"/>
      <c r="D64" s="186"/>
      <c r="E64" s="186"/>
      <c r="F64" s="186"/>
      <c r="G64" s="186"/>
      <c r="H64" s="186"/>
      <c r="I64" s="186"/>
      <c r="J64" s="186"/>
      <c r="K64" s="186"/>
      <c r="L64" s="186"/>
      <c r="M64" s="1"/>
    </row>
    <row r="65" spans="2:13" ht="53.25" customHeight="1" x14ac:dyDescent="0.2">
      <c r="B65" s="186" t="s">
        <v>659</v>
      </c>
      <c r="C65" s="186"/>
      <c r="D65" s="186"/>
      <c r="E65" s="186"/>
      <c r="F65" s="186"/>
      <c r="G65" s="186"/>
      <c r="H65" s="186"/>
      <c r="I65" s="186"/>
      <c r="J65" s="186"/>
      <c r="K65" s="186"/>
      <c r="L65" s="186"/>
      <c r="M65" s="1"/>
    </row>
    <row r="66" spans="2:13" ht="45" customHeight="1" x14ac:dyDescent="0.2">
      <c r="B66" s="186" t="s">
        <v>660</v>
      </c>
      <c r="C66" s="186"/>
      <c r="D66" s="186"/>
      <c r="E66" s="186"/>
      <c r="F66" s="186"/>
      <c r="G66" s="186"/>
      <c r="H66" s="186"/>
      <c r="I66" s="186"/>
      <c r="J66" s="186"/>
      <c r="K66" s="186"/>
      <c r="L66" s="186"/>
      <c r="M66" s="1"/>
    </row>
    <row r="67" spans="2:13" ht="45" customHeight="1" x14ac:dyDescent="0.2">
      <c r="B67" s="186" t="s">
        <v>661</v>
      </c>
      <c r="C67" s="186"/>
      <c r="D67" s="186"/>
      <c r="E67" s="186"/>
      <c r="F67" s="186"/>
      <c r="G67" s="186"/>
      <c r="H67" s="186"/>
      <c r="I67" s="186"/>
      <c r="J67" s="186"/>
      <c r="K67" s="186"/>
      <c r="L67" s="186"/>
      <c r="M67" s="1"/>
    </row>
    <row r="68" spans="2:13" ht="53.25" customHeight="1" x14ac:dyDescent="0.2">
      <c r="B68" s="186" t="s">
        <v>662</v>
      </c>
      <c r="C68" s="186"/>
      <c r="D68" s="186"/>
      <c r="E68" s="186"/>
      <c r="F68" s="186"/>
      <c r="G68" s="186"/>
      <c r="H68" s="186"/>
      <c r="I68" s="186"/>
      <c r="J68" s="186"/>
      <c r="K68" s="186"/>
      <c r="L68" s="186"/>
      <c r="M68" s="1"/>
    </row>
    <row r="69" spans="2:13" ht="45" customHeight="1" x14ac:dyDescent="0.2">
      <c r="B69" s="186" t="s">
        <v>663</v>
      </c>
      <c r="C69" s="186"/>
      <c r="D69" s="186"/>
      <c r="E69" s="186"/>
      <c r="F69" s="186"/>
      <c r="G69" s="186"/>
      <c r="H69" s="186"/>
      <c r="I69" s="186"/>
      <c r="J69" s="186"/>
      <c r="K69" s="186"/>
      <c r="L69" s="186"/>
      <c r="M69" s="1"/>
    </row>
    <row r="70" spans="2:13" ht="57" customHeight="1" x14ac:dyDescent="0.2">
      <c r="B70" s="186" t="s">
        <v>664</v>
      </c>
      <c r="C70" s="186"/>
      <c r="D70" s="186"/>
      <c r="E70" s="186"/>
      <c r="F70" s="186"/>
      <c r="G70" s="186"/>
      <c r="H70" s="186"/>
      <c r="I70" s="186"/>
      <c r="J70" s="186"/>
      <c r="K70" s="186"/>
      <c r="L70" s="186"/>
      <c r="M70" s="1"/>
    </row>
    <row r="71" spans="2:13" ht="53.25" customHeight="1" x14ac:dyDescent="0.2">
      <c r="B71" s="186" t="s">
        <v>665</v>
      </c>
      <c r="C71" s="186"/>
      <c r="D71" s="186"/>
      <c r="E71" s="186"/>
      <c r="F71" s="186"/>
      <c r="G71" s="186"/>
      <c r="H71" s="186"/>
      <c r="I71" s="186"/>
      <c r="J71" s="186"/>
      <c r="K71" s="186"/>
      <c r="L71" s="186"/>
      <c r="M71" s="1"/>
    </row>
    <row r="72" spans="2:13" ht="45" customHeight="1" x14ac:dyDescent="0.2">
      <c r="B72" s="186" t="s">
        <v>666</v>
      </c>
      <c r="C72" s="186"/>
      <c r="D72" s="186"/>
      <c r="E72" s="186"/>
      <c r="F72" s="186"/>
      <c r="G72" s="186"/>
      <c r="H72" s="186"/>
      <c r="I72" s="186"/>
      <c r="J72" s="186"/>
      <c r="K72" s="186"/>
      <c r="L72" s="186"/>
      <c r="M72" s="1"/>
    </row>
    <row r="73" spans="2:13" ht="45" customHeight="1" x14ac:dyDescent="0.2">
      <c r="B73" s="186" t="s">
        <v>667</v>
      </c>
      <c r="C73" s="186"/>
      <c r="D73" s="186"/>
      <c r="E73" s="186"/>
      <c r="F73" s="186"/>
      <c r="G73" s="186"/>
      <c r="H73" s="186"/>
      <c r="I73" s="186"/>
      <c r="J73" s="186"/>
      <c r="K73" s="186"/>
      <c r="L73" s="186"/>
      <c r="M73" s="1"/>
    </row>
    <row r="74" spans="2:13" ht="53.25" customHeight="1" x14ac:dyDescent="0.2">
      <c r="B74" s="186" t="s">
        <v>668</v>
      </c>
      <c r="C74" s="186"/>
      <c r="D74" s="186"/>
      <c r="E74" s="186"/>
      <c r="F74" s="186"/>
      <c r="G74" s="186"/>
      <c r="H74" s="186"/>
      <c r="I74" s="186"/>
      <c r="J74" s="186"/>
      <c r="K74" s="186"/>
      <c r="L74" s="186"/>
      <c r="M74" s="1"/>
    </row>
    <row r="75" spans="2:13" ht="45" customHeight="1" x14ac:dyDescent="0.2">
      <c r="B75" s="186" t="s">
        <v>669</v>
      </c>
      <c r="C75" s="186"/>
      <c r="D75" s="186"/>
      <c r="E75" s="186"/>
      <c r="F75" s="186"/>
      <c r="G75" s="186"/>
      <c r="H75" s="186"/>
      <c r="I75" s="186"/>
      <c r="J75" s="186"/>
      <c r="K75" s="186"/>
      <c r="L75" s="186"/>
      <c r="M75" s="1"/>
    </row>
    <row r="76" spans="2:13" ht="57" customHeight="1" x14ac:dyDescent="0.2">
      <c r="B76" s="186" t="s">
        <v>670</v>
      </c>
      <c r="C76" s="186"/>
      <c r="D76" s="186"/>
      <c r="E76" s="186"/>
      <c r="F76" s="186"/>
      <c r="G76" s="186"/>
      <c r="H76" s="186"/>
      <c r="I76" s="186"/>
      <c r="J76" s="186"/>
      <c r="K76" s="186"/>
      <c r="L76" s="186"/>
      <c r="M76" s="1"/>
    </row>
    <row r="77" spans="2:13" ht="53.25" customHeight="1" x14ac:dyDescent="0.2">
      <c r="B77" s="186" t="s">
        <v>671</v>
      </c>
      <c r="C77" s="186"/>
      <c r="D77" s="186"/>
      <c r="E77" s="186"/>
      <c r="F77" s="186"/>
      <c r="G77" s="186"/>
      <c r="H77" s="186"/>
      <c r="I77" s="186"/>
      <c r="J77" s="186"/>
      <c r="K77" s="186"/>
      <c r="L77" s="186"/>
      <c r="M77" s="1"/>
    </row>
    <row r="78" spans="2:13" ht="45" customHeight="1" x14ac:dyDescent="0.2">
      <c r="B78" s="186" t="s">
        <v>672</v>
      </c>
      <c r="C78" s="186"/>
      <c r="D78" s="186"/>
      <c r="E78" s="186"/>
      <c r="F78" s="186"/>
      <c r="G78" s="186"/>
      <c r="H78" s="186"/>
      <c r="I78" s="186"/>
      <c r="J78" s="186"/>
      <c r="K78" s="186"/>
      <c r="L78" s="186"/>
      <c r="M78" s="1"/>
    </row>
    <row r="79" spans="2:13" ht="45" customHeight="1" x14ac:dyDescent="0.2">
      <c r="B79" s="186" t="s">
        <v>673</v>
      </c>
      <c r="C79" s="186"/>
      <c r="D79" s="186"/>
      <c r="E79" s="186"/>
      <c r="F79" s="186"/>
      <c r="G79" s="186"/>
      <c r="H79" s="186"/>
      <c r="I79" s="186"/>
      <c r="J79" s="186"/>
      <c r="K79" s="186"/>
      <c r="L79" s="186"/>
      <c r="M79" s="1"/>
    </row>
    <row r="80" spans="2:13" ht="53.25" customHeight="1" x14ac:dyDescent="0.2">
      <c r="B80" s="186" t="s">
        <v>674</v>
      </c>
      <c r="C80" s="186"/>
      <c r="D80" s="186"/>
      <c r="E80" s="186"/>
      <c r="F80" s="186"/>
      <c r="G80" s="186"/>
      <c r="H80" s="186"/>
      <c r="I80" s="186"/>
      <c r="J80" s="186"/>
      <c r="K80" s="186"/>
      <c r="L80" s="186"/>
      <c r="M80" s="1"/>
    </row>
    <row r="81" spans="2:13" ht="45" customHeight="1" x14ac:dyDescent="0.2">
      <c r="B81" s="186" t="s">
        <v>675</v>
      </c>
      <c r="C81" s="186"/>
      <c r="D81" s="186"/>
      <c r="E81" s="186"/>
      <c r="F81" s="186"/>
      <c r="G81" s="186"/>
      <c r="H81" s="186"/>
      <c r="I81" s="186"/>
      <c r="J81" s="186"/>
      <c r="K81" s="186"/>
      <c r="L81" s="186"/>
      <c r="M81" s="1"/>
    </row>
    <row r="82" spans="2:13" ht="45" customHeight="1" x14ac:dyDescent="0.2">
      <c r="B82" s="186" t="s">
        <v>676</v>
      </c>
      <c r="C82" s="186"/>
      <c r="D82" s="186"/>
      <c r="E82" s="186"/>
      <c r="F82" s="186"/>
      <c r="G82" s="186"/>
      <c r="H82" s="186"/>
      <c r="I82" s="186"/>
      <c r="J82" s="186"/>
      <c r="K82" s="186"/>
      <c r="L82" s="186"/>
      <c r="M82" s="1"/>
    </row>
    <row r="83" spans="2:13" ht="53.25" customHeight="1" x14ac:dyDescent="0.2">
      <c r="B83" s="186" t="s">
        <v>677</v>
      </c>
      <c r="C83" s="186"/>
      <c r="D83" s="186"/>
      <c r="E83" s="186"/>
      <c r="F83" s="186"/>
      <c r="G83" s="186"/>
      <c r="H83" s="186"/>
      <c r="I83" s="186"/>
      <c r="J83" s="186"/>
      <c r="K83" s="186"/>
      <c r="L83" s="186"/>
      <c r="M83" s="1"/>
    </row>
    <row r="84" spans="2:13" ht="45" customHeight="1" x14ac:dyDescent="0.2">
      <c r="B84" s="186" t="s">
        <v>678</v>
      </c>
      <c r="C84" s="186"/>
      <c r="D84" s="186"/>
      <c r="E84" s="186"/>
      <c r="F84" s="186"/>
      <c r="G84" s="186"/>
      <c r="H84" s="186"/>
      <c r="I84" s="186"/>
      <c r="J84" s="186"/>
      <c r="K84" s="186"/>
      <c r="L84" s="186"/>
      <c r="M84" s="1"/>
    </row>
    <row r="85" spans="2:13" ht="45" customHeight="1" x14ac:dyDescent="0.2">
      <c r="B85" s="186" t="s">
        <v>679</v>
      </c>
      <c r="C85" s="186"/>
      <c r="D85" s="186"/>
      <c r="E85" s="186"/>
      <c r="F85" s="186"/>
      <c r="G85" s="186"/>
      <c r="H85" s="186"/>
      <c r="I85" s="186"/>
      <c r="J85" s="186"/>
      <c r="K85" s="186"/>
      <c r="L85" s="186"/>
      <c r="M85" s="1"/>
    </row>
    <row r="86" spans="2:13" ht="53.25" customHeight="1" x14ac:dyDescent="0.2">
      <c r="B86" s="186" t="s">
        <v>680</v>
      </c>
      <c r="C86" s="186"/>
      <c r="D86" s="186"/>
      <c r="E86" s="186"/>
      <c r="F86" s="186"/>
      <c r="G86" s="186"/>
      <c r="H86" s="186"/>
      <c r="I86" s="186"/>
      <c r="J86" s="186"/>
      <c r="K86" s="186"/>
      <c r="L86" s="186"/>
      <c r="M86" s="1"/>
    </row>
    <row r="87" spans="2:13" ht="45" customHeight="1" x14ac:dyDescent="0.2">
      <c r="B87" s="186" t="s">
        <v>681</v>
      </c>
      <c r="C87" s="186"/>
      <c r="D87" s="186"/>
      <c r="E87" s="186"/>
      <c r="F87" s="186"/>
      <c r="G87" s="186"/>
      <c r="H87" s="186"/>
      <c r="I87" s="186"/>
      <c r="J87" s="186"/>
      <c r="K87" s="186"/>
      <c r="L87" s="186"/>
      <c r="M87" s="1"/>
    </row>
    <row r="88" spans="2:13" ht="45" customHeight="1" x14ac:dyDescent="0.2">
      <c r="B88" s="186" t="s">
        <v>682</v>
      </c>
      <c r="C88" s="186"/>
      <c r="D88" s="186"/>
      <c r="E88" s="186"/>
      <c r="F88" s="186"/>
      <c r="G88" s="186"/>
      <c r="H88" s="186"/>
      <c r="I88" s="186"/>
      <c r="J88" s="186"/>
      <c r="K88" s="186"/>
      <c r="L88" s="186"/>
      <c r="M88" s="1"/>
    </row>
    <row r="89" spans="2:13" ht="53.25" customHeight="1" x14ac:dyDescent="0.2">
      <c r="B89" s="186" t="s">
        <v>683</v>
      </c>
      <c r="C89" s="186"/>
      <c r="D89" s="186"/>
      <c r="E89" s="186"/>
      <c r="F89" s="186"/>
      <c r="G89" s="186"/>
      <c r="H89" s="186"/>
      <c r="I89" s="186"/>
      <c r="J89" s="186"/>
      <c r="K89" s="186"/>
      <c r="L89" s="186"/>
      <c r="M89" s="1"/>
    </row>
    <row r="90" spans="2:13" ht="45" customHeight="1" x14ac:dyDescent="0.2">
      <c r="B90" s="186" t="s">
        <v>684</v>
      </c>
      <c r="C90" s="186"/>
      <c r="D90" s="186"/>
      <c r="E90" s="186"/>
      <c r="F90" s="186"/>
      <c r="G90" s="186"/>
      <c r="H90" s="186"/>
      <c r="I90" s="186"/>
      <c r="J90" s="186"/>
      <c r="K90" s="186"/>
      <c r="L90" s="186"/>
      <c r="M90" s="1"/>
    </row>
    <row r="91" spans="2:13" ht="45" customHeight="1" x14ac:dyDescent="0.2">
      <c r="B91" s="186" t="s">
        <v>685</v>
      </c>
      <c r="C91" s="186"/>
      <c r="D91" s="186"/>
      <c r="E91" s="186"/>
      <c r="F91" s="186"/>
      <c r="G91" s="186"/>
      <c r="H91" s="186"/>
      <c r="I91" s="186"/>
      <c r="J91" s="186"/>
      <c r="K91" s="186"/>
      <c r="L91" s="186"/>
      <c r="M91" s="1"/>
    </row>
    <row r="92" spans="2:13" ht="53.25" customHeight="1" x14ac:dyDescent="0.2">
      <c r="B92" s="186" t="s">
        <v>686</v>
      </c>
      <c r="C92" s="186"/>
      <c r="D92" s="186"/>
      <c r="E92" s="186"/>
      <c r="F92" s="186"/>
      <c r="G92" s="186"/>
      <c r="H92" s="186"/>
      <c r="I92" s="186"/>
      <c r="J92" s="186"/>
      <c r="K92" s="186"/>
      <c r="L92" s="186"/>
      <c r="M92" s="1"/>
    </row>
    <row r="93" spans="2:13" ht="45" customHeight="1" x14ac:dyDescent="0.2">
      <c r="B93" s="186" t="s">
        <v>687</v>
      </c>
      <c r="C93" s="186"/>
      <c r="D93" s="186"/>
      <c r="E93" s="186"/>
      <c r="F93" s="186"/>
      <c r="G93" s="186"/>
      <c r="H93" s="186"/>
      <c r="I93" s="186"/>
      <c r="J93" s="186"/>
      <c r="K93" s="186"/>
      <c r="L93" s="186"/>
      <c r="M93" s="1"/>
    </row>
    <row r="94" spans="2:13" ht="45" customHeight="1" x14ac:dyDescent="0.2">
      <c r="B94" s="186" t="s">
        <v>688</v>
      </c>
      <c r="C94" s="186"/>
      <c r="D94" s="186"/>
      <c r="E94" s="186"/>
      <c r="F94" s="186"/>
      <c r="G94" s="186"/>
      <c r="H94" s="186"/>
      <c r="I94" s="186"/>
      <c r="J94" s="186"/>
      <c r="K94" s="186"/>
      <c r="L94" s="186"/>
      <c r="M94" s="1"/>
    </row>
    <row r="95" spans="2:13" ht="53.25" customHeight="1" x14ac:dyDescent="0.2">
      <c r="B95" s="186" t="s">
        <v>689</v>
      </c>
      <c r="C95" s="186"/>
      <c r="D95" s="186"/>
      <c r="E95" s="186"/>
      <c r="F95" s="186"/>
      <c r="G95" s="186"/>
      <c r="H95" s="186"/>
      <c r="I95" s="186"/>
      <c r="J95" s="186"/>
      <c r="K95" s="186"/>
      <c r="L95" s="186"/>
      <c r="M95" s="1"/>
    </row>
    <row r="96" spans="2:13" ht="45" customHeight="1" x14ac:dyDescent="0.2">
      <c r="B96" s="186" t="s">
        <v>690</v>
      </c>
      <c r="C96" s="186"/>
      <c r="D96" s="186"/>
      <c r="E96" s="186"/>
      <c r="F96" s="186"/>
      <c r="G96" s="186"/>
      <c r="H96" s="186"/>
      <c r="I96" s="186"/>
      <c r="J96" s="186"/>
      <c r="K96" s="186"/>
      <c r="L96" s="186"/>
      <c r="M96" s="1"/>
    </row>
    <row r="97" spans="2:13" ht="45" customHeight="1" x14ac:dyDescent="0.2">
      <c r="B97" s="186" t="s">
        <v>691</v>
      </c>
      <c r="C97" s="186"/>
      <c r="D97" s="186"/>
      <c r="E97" s="186"/>
      <c r="F97" s="186"/>
      <c r="G97" s="186"/>
      <c r="H97" s="186"/>
      <c r="I97" s="186"/>
      <c r="J97" s="186"/>
      <c r="K97" s="186"/>
      <c r="L97" s="186"/>
      <c r="M97" s="1"/>
    </row>
    <row r="98" spans="2:13" ht="62.25" customHeight="1" x14ac:dyDescent="0.2">
      <c r="B98" s="186" t="s">
        <v>692</v>
      </c>
      <c r="C98" s="186"/>
      <c r="D98" s="186"/>
      <c r="E98" s="186"/>
      <c r="F98" s="186"/>
      <c r="G98" s="186"/>
      <c r="H98" s="186"/>
      <c r="I98" s="186"/>
      <c r="J98" s="186"/>
      <c r="K98" s="186"/>
      <c r="L98" s="186"/>
      <c r="M98" s="1"/>
    </row>
    <row r="99" spans="2:13" ht="63.75" customHeight="1" x14ac:dyDescent="0.2">
      <c r="B99" s="186" t="s">
        <v>693</v>
      </c>
      <c r="C99" s="186"/>
      <c r="D99" s="186"/>
      <c r="E99" s="186"/>
      <c r="F99" s="186"/>
      <c r="G99" s="186"/>
      <c r="H99" s="186"/>
      <c r="I99" s="186"/>
      <c r="J99" s="186"/>
      <c r="K99" s="186"/>
      <c r="L99" s="186"/>
      <c r="M99" s="1"/>
    </row>
    <row r="100" spans="2:13" ht="45" customHeight="1" x14ac:dyDescent="0.2">
      <c r="B100" s="186" t="s">
        <v>694</v>
      </c>
      <c r="C100" s="186"/>
      <c r="D100" s="186"/>
      <c r="E100" s="186"/>
      <c r="F100" s="186"/>
      <c r="G100" s="186"/>
      <c r="H100" s="186"/>
      <c r="I100" s="186"/>
      <c r="J100" s="186"/>
      <c r="K100" s="186"/>
      <c r="L100" s="186"/>
      <c r="M100" s="1"/>
    </row>
    <row r="101" spans="2:13" ht="53.25" customHeight="1" x14ac:dyDescent="0.2">
      <c r="B101" s="186" t="s">
        <v>695</v>
      </c>
      <c r="C101" s="186"/>
      <c r="D101" s="186"/>
      <c r="E101" s="186"/>
      <c r="F101" s="186"/>
      <c r="G101" s="186"/>
      <c r="H101" s="186"/>
      <c r="I101" s="186"/>
      <c r="J101" s="186"/>
      <c r="K101" s="186"/>
      <c r="L101" s="186"/>
      <c r="M101" s="1"/>
    </row>
    <row r="102" spans="2:13" ht="45" customHeight="1" x14ac:dyDescent="0.2">
      <c r="B102" s="186" t="s">
        <v>696</v>
      </c>
      <c r="C102" s="186"/>
      <c r="D102" s="186"/>
      <c r="E102" s="186"/>
      <c r="F102" s="186"/>
      <c r="G102" s="186"/>
      <c r="H102" s="186"/>
      <c r="I102" s="186"/>
      <c r="J102" s="186"/>
      <c r="K102" s="186"/>
      <c r="L102" s="186"/>
      <c r="M102" s="1"/>
    </row>
    <row r="103" spans="2:13" ht="45" customHeight="1" x14ac:dyDescent="0.2">
      <c r="B103" s="186" t="s">
        <v>697</v>
      </c>
      <c r="C103" s="186"/>
      <c r="D103" s="186"/>
      <c r="E103" s="186"/>
      <c r="F103" s="186"/>
      <c r="G103" s="186"/>
      <c r="H103" s="186"/>
      <c r="I103" s="186"/>
      <c r="J103" s="186"/>
      <c r="K103" s="186"/>
      <c r="L103" s="186"/>
      <c r="M103" s="1"/>
    </row>
    <row r="104" spans="2:13" ht="53.25" customHeight="1" x14ac:dyDescent="0.2">
      <c r="B104" s="186" t="s">
        <v>698</v>
      </c>
      <c r="C104" s="186"/>
      <c r="D104" s="186"/>
      <c r="E104" s="186"/>
      <c r="F104" s="186"/>
      <c r="G104" s="186"/>
      <c r="H104" s="186"/>
      <c r="I104" s="186"/>
      <c r="J104" s="186"/>
      <c r="K104" s="186"/>
      <c r="L104" s="186"/>
      <c r="M104" s="1"/>
    </row>
    <row r="105" spans="2:13" ht="45" customHeight="1" x14ac:dyDescent="0.2">
      <c r="B105" s="186" t="s">
        <v>699</v>
      </c>
      <c r="C105" s="186"/>
      <c r="D105" s="186"/>
      <c r="E105" s="186"/>
      <c r="F105" s="186"/>
      <c r="G105" s="186"/>
      <c r="H105" s="186"/>
      <c r="I105" s="186"/>
      <c r="J105" s="186"/>
      <c r="K105" s="186"/>
      <c r="L105" s="186"/>
      <c r="M105" s="1"/>
    </row>
    <row r="106" spans="2:13" ht="45" customHeight="1" x14ac:dyDescent="0.2">
      <c r="B106" s="186" t="s">
        <v>700</v>
      </c>
      <c r="C106" s="186"/>
      <c r="D106" s="186"/>
      <c r="E106" s="186"/>
      <c r="F106" s="186"/>
      <c r="G106" s="186"/>
      <c r="H106" s="186"/>
      <c r="I106" s="186"/>
      <c r="J106" s="186"/>
      <c r="K106" s="186"/>
      <c r="L106" s="186"/>
      <c r="M106" s="1"/>
    </row>
    <row r="107" spans="2:13" ht="53.25" customHeight="1" x14ac:dyDescent="0.2">
      <c r="B107" s="186" t="s">
        <v>701</v>
      </c>
      <c r="C107" s="186"/>
      <c r="D107" s="186"/>
      <c r="E107" s="186"/>
      <c r="F107" s="186"/>
      <c r="G107" s="186"/>
      <c r="H107" s="186"/>
      <c r="I107" s="186"/>
      <c r="J107" s="186"/>
      <c r="K107" s="186"/>
      <c r="L107" s="186"/>
      <c r="M107" s="1"/>
    </row>
    <row r="108" spans="2:13" ht="45" customHeight="1" x14ac:dyDescent="0.2">
      <c r="B108" s="186" t="s">
        <v>702</v>
      </c>
      <c r="C108" s="186"/>
      <c r="D108" s="186"/>
      <c r="E108" s="186"/>
      <c r="F108" s="186"/>
      <c r="G108" s="186"/>
      <c r="H108" s="186"/>
      <c r="I108" s="186"/>
      <c r="J108" s="186"/>
      <c r="K108" s="186"/>
      <c r="L108" s="186"/>
      <c r="M108" s="1"/>
    </row>
    <row r="109" spans="2:13" ht="45" customHeight="1" x14ac:dyDescent="0.2">
      <c r="B109" s="186" t="s">
        <v>703</v>
      </c>
      <c r="C109" s="186"/>
      <c r="D109" s="186"/>
      <c r="E109" s="186"/>
      <c r="F109" s="186"/>
      <c r="G109" s="186"/>
      <c r="H109" s="186"/>
      <c r="I109" s="186"/>
      <c r="J109" s="186"/>
      <c r="K109" s="186"/>
      <c r="L109" s="186"/>
      <c r="M109" s="1"/>
    </row>
    <row r="110" spans="2:13" ht="53.25" customHeight="1" x14ac:dyDescent="0.2">
      <c r="B110" s="186" t="s">
        <v>704</v>
      </c>
      <c r="C110" s="186"/>
      <c r="D110" s="186"/>
      <c r="E110" s="186"/>
      <c r="F110" s="186"/>
      <c r="G110" s="186"/>
      <c r="H110" s="186"/>
      <c r="I110" s="186"/>
      <c r="J110" s="186"/>
      <c r="K110" s="186"/>
      <c r="L110" s="186"/>
      <c r="M110" s="1"/>
    </row>
    <row r="111" spans="2:13" ht="45" customHeight="1" x14ac:dyDescent="0.2">
      <c r="B111" s="186" t="s">
        <v>705</v>
      </c>
      <c r="C111" s="186"/>
      <c r="D111" s="186"/>
      <c r="E111" s="186"/>
      <c r="F111" s="186"/>
      <c r="G111" s="186"/>
      <c r="H111" s="186"/>
      <c r="I111" s="186"/>
      <c r="J111" s="186"/>
      <c r="K111" s="186"/>
      <c r="L111" s="186"/>
      <c r="M111" s="1"/>
    </row>
    <row r="112" spans="2:13" ht="45" customHeight="1" x14ac:dyDescent="0.2">
      <c r="B112" s="186" t="s">
        <v>706</v>
      </c>
      <c r="C112" s="186"/>
      <c r="D112" s="186"/>
      <c r="E112" s="186"/>
      <c r="F112" s="186"/>
      <c r="G112" s="186"/>
      <c r="H112" s="186"/>
      <c r="I112" s="186"/>
      <c r="J112" s="186"/>
      <c r="K112" s="186"/>
      <c r="L112" s="186"/>
      <c r="M112" s="1"/>
    </row>
    <row r="113" spans="2:13" ht="53.25" customHeight="1" x14ac:dyDescent="0.2">
      <c r="B113" s="186" t="s">
        <v>707</v>
      </c>
      <c r="C113" s="186"/>
      <c r="D113" s="186"/>
      <c r="E113" s="186"/>
      <c r="F113" s="186"/>
      <c r="G113" s="186"/>
      <c r="H113" s="186"/>
      <c r="I113" s="186"/>
      <c r="J113" s="186"/>
      <c r="K113" s="186"/>
      <c r="L113" s="186"/>
      <c r="M113" s="1"/>
    </row>
    <row r="114" spans="2:13" ht="45" customHeight="1" x14ac:dyDescent="0.2">
      <c r="B114" s="186" t="s">
        <v>708</v>
      </c>
      <c r="C114" s="186"/>
      <c r="D114" s="186"/>
      <c r="E114" s="186"/>
      <c r="F114" s="186"/>
      <c r="G114" s="186"/>
      <c r="H114" s="186"/>
      <c r="I114" s="186"/>
      <c r="J114" s="186"/>
      <c r="K114" s="186"/>
      <c r="L114" s="186"/>
      <c r="M114" s="1"/>
    </row>
    <row r="115" spans="2:13" ht="45" customHeight="1" x14ac:dyDescent="0.2">
      <c r="B115" s="186" t="s">
        <v>709</v>
      </c>
      <c r="C115" s="186"/>
      <c r="D115" s="186"/>
      <c r="E115" s="186"/>
      <c r="F115" s="186"/>
      <c r="G115" s="186"/>
      <c r="H115" s="186"/>
      <c r="I115" s="186"/>
      <c r="J115" s="186"/>
      <c r="K115" s="186"/>
      <c r="L115" s="186"/>
      <c r="M115" s="1"/>
    </row>
    <row r="116" spans="2:13" ht="53.25" customHeight="1" x14ac:dyDescent="0.2">
      <c r="B116" s="186" t="s">
        <v>710</v>
      </c>
      <c r="C116" s="186"/>
      <c r="D116" s="186"/>
      <c r="E116" s="186"/>
      <c r="F116" s="186"/>
      <c r="G116" s="186"/>
      <c r="H116" s="186"/>
      <c r="I116" s="186"/>
      <c r="J116" s="186"/>
      <c r="K116" s="186"/>
      <c r="L116" s="186"/>
      <c r="M116" s="1"/>
    </row>
    <row r="117" spans="2:13" ht="45" customHeight="1" x14ac:dyDescent="0.2">
      <c r="B117" s="186" t="s">
        <v>711</v>
      </c>
      <c r="C117" s="186"/>
      <c r="D117" s="186"/>
      <c r="E117" s="186"/>
      <c r="F117" s="186"/>
      <c r="G117" s="186"/>
      <c r="H117" s="186"/>
      <c r="I117" s="186"/>
      <c r="J117" s="186"/>
      <c r="K117" s="186"/>
      <c r="L117" s="186"/>
      <c r="M117" s="1"/>
    </row>
    <row r="118" spans="2:13" ht="45" customHeight="1" x14ac:dyDescent="0.2">
      <c r="B118" s="186" t="s">
        <v>712</v>
      </c>
      <c r="C118" s="186"/>
      <c r="D118" s="186"/>
      <c r="E118" s="186"/>
      <c r="F118" s="186"/>
      <c r="G118" s="186"/>
      <c r="H118" s="186"/>
      <c r="I118" s="186"/>
      <c r="J118" s="186"/>
      <c r="K118" s="186"/>
      <c r="L118" s="186"/>
      <c r="M118" s="1"/>
    </row>
    <row r="119" spans="2:13" ht="53.25" customHeight="1" x14ac:dyDescent="0.2">
      <c r="B119" s="186" t="s">
        <v>713</v>
      </c>
      <c r="C119" s="186"/>
      <c r="D119" s="186"/>
      <c r="E119" s="186"/>
      <c r="F119" s="186"/>
      <c r="G119" s="186"/>
      <c r="H119" s="186"/>
      <c r="I119" s="186"/>
      <c r="J119" s="186"/>
      <c r="K119" s="186"/>
      <c r="L119" s="186"/>
      <c r="M119" s="1"/>
    </row>
    <row r="120" spans="2:13" ht="45" customHeight="1" x14ac:dyDescent="0.2">
      <c r="B120" s="186" t="s">
        <v>714</v>
      </c>
      <c r="C120" s="186"/>
      <c r="D120" s="186"/>
      <c r="E120" s="186"/>
      <c r="F120" s="186"/>
      <c r="G120" s="186"/>
      <c r="H120" s="186"/>
      <c r="I120" s="186"/>
      <c r="J120" s="186"/>
      <c r="K120" s="186"/>
      <c r="L120" s="186"/>
      <c r="M120" s="1"/>
    </row>
    <row r="121" spans="2:13" ht="45" customHeight="1" x14ac:dyDescent="0.2">
      <c r="B121" s="186" t="s">
        <v>715</v>
      </c>
      <c r="C121" s="186"/>
      <c r="D121" s="186"/>
      <c r="E121" s="186"/>
      <c r="F121" s="186"/>
      <c r="G121" s="186"/>
      <c r="H121" s="186"/>
      <c r="I121" s="186"/>
      <c r="J121" s="186"/>
      <c r="K121" s="186"/>
      <c r="L121" s="186"/>
      <c r="M121" s="1"/>
    </row>
    <row r="122" spans="2:13" ht="53.25" customHeight="1" x14ac:dyDescent="0.2">
      <c r="B122" s="186" t="s">
        <v>716</v>
      </c>
      <c r="C122" s="186"/>
      <c r="D122" s="186"/>
      <c r="E122" s="186"/>
      <c r="F122" s="186"/>
      <c r="G122" s="186"/>
      <c r="H122" s="186"/>
      <c r="I122" s="186"/>
      <c r="J122" s="186"/>
      <c r="K122" s="186"/>
      <c r="L122" s="186"/>
      <c r="M122" s="1"/>
    </row>
    <row r="123" spans="2:13" ht="45" customHeight="1" x14ac:dyDescent="0.2">
      <c r="B123" s="186" t="s">
        <v>717</v>
      </c>
      <c r="C123" s="186"/>
      <c r="D123" s="186"/>
      <c r="E123" s="186"/>
      <c r="F123" s="186"/>
      <c r="G123" s="186"/>
      <c r="H123" s="186"/>
      <c r="I123" s="186"/>
      <c r="J123" s="186"/>
      <c r="K123" s="186"/>
      <c r="L123" s="186"/>
      <c r="M123" s="1"/>
    </row>
    <row r="124" spans="2:13" ht="53.25" customHeight="1" x14ac:dyDescent="0.2">
      <c r="B124" s="186" t="s">
        <v>718</v>
      </c>
      <c r="C124" s="186"/>
      <c r="D124" s="186"/>
      <c r="E124" s="186"/>
      <c r="F124" s="186"/>
      <c r="G124" s="186"/>
      <c r="H124" s="186"/>
      <c r="I124" s="186"/>
      <c r="J124" s="186"/>
      <c r="K124" s="186"/>
      <c r="L124" s="186"/>
      <c r="M124" s="1"/>
    </row>
    <row r="125" spans="2:13" ht="66.75" customHeight="1" x14ac:dyDescent="0.2">
      <c r="B125" s="186" t="s">
        <v>719</v>
      </c>
      <c r="C125" s="186"/>
      <c r="D125" s="186"/>
      <c r="E125" s="186"/>
      <c r="F125" s="186"/>
      <c r="G125" s="186"/>
      <c r="H125" s="186"/>
      <c r="I125" s="186"/>
      <c r="J125" s="186"/>
      <c r="K125" s="186"/>
      <c r="L125" s="186"/>
      <c r="M125" s="1"/>
    </row>
    <row r="126" spans="2:13" ht="61.5" customHeight="1" x14ac:dyDescent="0.2">
      <c r="B126" s="186" t="s">
        <v>720</v>
      </c>
      <c r="C126" s="186"/>
      <c r="D126" s="186"/>
      <c r="E126" s="186"/>
      <c r="F126" s="186"/>
      <c r="G126" s="186"/>
      <c r="H126" s="186"/>
      <c r="I126" s="186"/>
      <c r="J126" s="186"/>
      <c r="K126" s="186"/>
      <c r="L126" s="186"/>
      <c r="M126" s="1"/>
    </row>
    <row r="127" spans="2:13" ht="45" customHeight="1" x14ac:dyDescent="0.2">
      <c r="B127" s="186" t="s">
        <v>721</v>
      </c>
      <c r="C127" s="186"/>
      <c r="D127" s="186"/>
      <c r="E127" s="186"/>
      <c r="F127" s="186"/>
      <c r="G127" s="186"/>
      <c r="H127" s="186"/>
      <c r="I127" s="186"/>
      <c r="J127" s="186"/>
      <c r="K127" s="186"/>
      <c r="L127" s="186"/>
      <c r="M127" s="1"/>
    </row>
    <row r="128" spans="2:13" ht="45.75" customHeight="1" x14ac:dyDescent="0.2">
      <c r="B128" s="186" t="s">
        <v>722</v>
      </c>
      <c r="C128" s="186"/>
      <c r="D128" s="186"/>
      <c r="E128" s="186"/>
      <c r="F128" s="186"/>
      <c r="G128" s="186"/>
      <c r="H128" s="186"/>
      <c r="I128" s="186"/>
      <c r="J128" s="186"/>
      <c r="K128" s="186"/>
      <c r="L128" s="186"/>
      <c r="M128" s="1"/>
    </row>
  </sheetData>
  <mergeCells count="106">
    <mergeCell ref="B127:L127"/>
    <mergeCell ref="B128:L128"/>
    <mergeCell ref="B122:L122"/>
    <mergeCell ref="B123:L123"/>
    <mergeCell ref="B124:L124"/>
    <mergeCell ref="B125:L125"/>
    <mergeCell ref="B126:L126"/>
    <mergeCell ref="B117:L117"/>
    <mergeCell ref="B118:L118"/>
    <mergeCell ref="B119:L119"/>
    <mergeCell ref="B120:L120"/>
    <mergeCell ref="B121:L121"/>
    <mergeCell ref="B112:L112"/>
    <mergeCell ref="B113:L113"/>
    <mergeCell ref="B114:L114"/>
    <mergeCell ref="B115:L115"/>
    <mergeCell ref="B116:L116"/>
    <mergeCell ref="B107:L107"/>
    <mergeCell ref="B108:L108"/>
    <mergeCell ref="B109:L109"/>
    <mergeCell ref="B110:L110"/>
    <mergeCell ref="B111:L111"/>
    <mergeCell ref="B102:L102"/>
    <mergeCell ref="B103:L103"/>
    <mergeCell ref="B104:L104"/>
    <mergeCell ref="B105:L105"/>
    <mergeCell ref="B106:L106"/>
    <mergeCell ref="B97:L97"/>
    <mergeCell ref="B98:L98"/>
    <mergeCell ref="B99:L99"/>
    <mergeCell ref="B100:L100"/>
    <mergeCell ref="B101:L101"/>
    <mergeCell ref="B92:L92"/>
    <mergeCell ref="B93:L93"/>
    <mergeCell ref="B94:L94"/>
    <mergeCell ref="B95:L95"/>
    <mergeCell ref="B96:L96"/>
    <mergeCell ref="B87:L87"/>
    <mergeCell ref="B88:L88"/>
    <mergeCell ref="B89:L89"/>
    <mergeCell ref="B90:L90"/>
    <mergeCell ref="B91:L91"/>
    <mergeCell ref="B82:L82"/>
    <mergeCell ref="B83:L83"/>
    <mergeCell ref="B84:L84"/>
    <mergeCell ref="B85:L85"/>
    <mergeCell ref="B86:L86"/>
    <mergeCell ref="B77:L77"/>
    <mergeCell ref="B78:L78"/>
    <mergeCell ref="B79:L79"/>
    <mergeCell ref="B80:L80"/>
    <mergeCell ref="B81:L81"/>
    <mergeCell ref="B72:L72"/>
    <mergeCell ref="B73:L73"/>
    <mergeCell ref="B74:L74"/>
    <mergeCell ref="B75:L75"/>
    <mergeCell ref="B76:L76"/>
    <mergeCell ref="C13:M13"/>
    <mergeCell ref="B19:E19"/>
    <mergeCell ref="D20:G20"/>
    <mergeCell ref="B21:M21"/>
    <mergeCell ref="B48:L48"/>
    <mergeCell ref="B43:M43"/>
    <mergeCell ref="B47:L47"/>
    <mergeCell ref="B24:M25"/>
    <mergeCell ref="B40:M41"/>
    <mergeCell ref="B30:M31"/>
    <mergeCell ref="B32:M32"/>
    <mergeCell ref="C14:M15"/>
    <mergeCell ref="B46:L46"/>
    <mergeCell ref="B49:L49"/>
    <mergeCell ref="B50:L50"/>
    <mergeCell ref="B51:L51"/>
    <mergeCell ref="B2:K2"/>
    <mergeCell ref="B27:M27"/>
    <mergeCell ref="B33:M39"/>
    <mergeCell ref="B29:M29"/>
    <mergeCell ref="B3:K5"/>
    <mergeCell ref="B26:M26"/>
    <mergeCell ref="B8:M8"/>
    <mergeCell ref="C11:M11"/>
    <mergeCell ref="C12:M12"/>
    <mergeCell ref="B14:B15"/>
    <mergeCell ref="B22:M23"/>
    <mergeCell ref="B28:M28"/>
    <mergeCell ref="B42:M42"/>
    <mergeCell ref="B70:L70"/>
    <mergeCell ref="B71:L71"/>
    <mergeCell ref="B62:L62"/>
    <mergeCell ref="B63:L63"/>
    <mergeCell ref="B64:L64"/>
    <mergeCell ref="B65:L65"/>
    <mergeCell ref="B66:L66"/>
    <mergeCell ref="B67:L67"/>
    <mergeCell ref="B68:L68"/>
    <mergeCell ref="B69:L69"/>
    <mergeCell ref="B57:L57"/>
    <mergeCell ref="B58:L58"/>
    <mergeCell ref="B59:L59"/>
    <mergeCell ref="B60:L60"/>
    <mergeCell ref="B61:L61"/>
    <mergeCell ref="B52:L52"/>
    <mergeCell ref="B53:L53"/>
    <mergeCell ref="B54:L54"/>
    <mergeCell ref="B55:L55"/>
    <mergeCell ref="B56:L56"/>
  </mergeCells>
  <hyperlinks>
    <hyperlink ref="B11" location="Compliance!A1" display="Compliance" xr:uid="{00000000-0004-0000-0000-000000000000}"/>
    <hyperlink ref="B14" r:id="rId1" xr:uid="{00000000-0004-0000-0000-000001000000}"/>
    <hyperlink ref="B10" location="board_comparison!A1" display="Board Comparison" xr:uid="{00000000-0004-0000-0000-000002000000}"/>
    <hyperlink ref="B12" location="Disc_dest!A1" display="Discharge Destination" xr:uid="{00000000-0004-0000-0000-000003000000}"/>
    <hyperlink ref="B13" location="inputdata!A1" display="Data" xr:uid="{00000000-0004-0000-0000-000004000000}"/>
    <hyperlink ref="B28:M28" r:id="rId2" display="For information on how the Scottish Government (SG) plans to monitor NHS Boards’ performance within A&amp;E Services, please see the NHS Local Development Plan standards." xr:uid="{00000000-0004-0000-0000-000005000000}"/>
    <hyperlink ref="B9" location="DataQuality!A1" display="Data Quality" xr:uid="{00000000-0004-0000-0000-000006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B81"/>
  <sheetViews>
    <sheetView showGridLines="0" zoomScaleNormal="100" zoomScaleSheetLayoutView="70" workbookViewId="0"/>
  </sheetViews>
  <sheetFormatPr defaultColWidth="11.42578125" defaultRowHeight="12.75" x14ac:dyDescent="0.2"/>
  <cols>
    <col min="1" max="1" width="4.42578125" customWidth="1"/>
    <col min="2" max="2" width="15.5703125" customWidth="1"/>
    <col min="3" max="3" width="16.7109375" customWidth="1"/>
    <col min="4" max="4" width="99.85546875" customWidth="1"/>
    <col min="5" max="5" width="15.85546875" customWidth="1"/>
    <col min="6" max="6" width="17.5703125" customWidth="1"/>
    <col min="7" max="13" width="3.5703125" customWidth="1"/>
    <col min="14" max="14" width="14.85546875" customWidth="1"/>
    <col min="15" max="15" width="19.5703125" customWidth="1"/>
    <col min="16" max="16" width="17" customWidth="1"/>
    <col min="17" max="17" width="92.28515625" customWidth="1"/>
    <col min="18" max="18" width="11.85546875" customWidth="1"/>
    <col min="19" max="19" width="11.7109375" customWidth="1"/>
  </cols>
  <sheetData>
    <row r="1" spans="2:14" ht="42" customHeight="1" x14ac:dyDescent="0.2">
      <c r="B1" s="7" t="s">
        <v>379</v>
      </c>
      <c r="C1" s="7"/>
      <c r="D1" s="7"/>
      <c r="E1" s="7"/>
      <c r="F1" s="7"/>
      <c r="G1" s="7"/>
      <c r="H1" s="7"/>
      <c r="J1" s="8"/>
      <c r="K1" s="8"/>
      <c r="L1" s="22"/>
      <c r="N1" s="122" t="s">
        <v>637</v>
      </c>
    </row>
    <row r="2" spans="2:14" ht="15" customHeight="1" x14ac:dyDescent="0.2">
      <c r="B2" s="4" t="s">
        <v>380</v>
      </c>
      <c r="C2" s="32"/>
      <c r="D2" s="32"/>
      <c r="E2" s="32"/>
      <c r="F2" s="32"/>
      <c r="G2" s="32"/>
      <c r="H2" s="32"/>
      <c r="I2" s="32"/>
      <c r="J2" s="32"/>
    </row>
    <row r="3" spans="2:14" ht="15" customHeight="1" x14ac:dyDescent="0.2">
      <c r="B3" s="6"/>
      <c r="C3" s="32"/>
      <c r="D3" s="32"/>
      <c r="E3" s="32"/>
      <c r="F3" s="32"/>
      <c r="G3" s="32"/>
      <c r="H3" s="32"/>
      <c r="I3" s="32"/>
      <c r="J3" s="32"/>
    </row>
    <row r="4" spans="2:14" ht="15" customHeight="1" x14ac:dyDescent="0.2">
      <c r="B4" s="26" t="s">
        <v>370</v>
      </c>
      <c r="C4" s="27" t="s">
        <v>371</v>
      </c>
      <c r="D4" s="27" t="s">
        <v>372</v>
      </c>
      <c r="E4" s="27" t="s">
        <v>373</v>
      </c>
      <c r="F4" s="27" t="s">
        <v>374</v>
      </c>
      <c r="G4" s="10"/>
      <c r="H4" s="10"/>
      <c r="I4" s="10"/>
      <c r="J4" s="10"/>
      <c r="K4" s="10"/>
      <c r="L4" s="10"/>
    </row>
    <row r="5" spans="2:14" ht="39.75" customHeight="1" x14ac:dyDescent="0.2">
      <c r="B5" s="35">
        <v>44025</v>
      </c>
      <c r="C5" s="36" t="s">
        <v>376</v>
      </c>
      <c r="D5" s="33" t="s">
        <v>314</v>
      </c>
      <c r="E5" s="33"/>
      <c r="F5" s="33"/>
      <c r="G5" s="31"/>
      <c r="H5" s="31"/>
      <c r="I5" s="31"/>
      <c r="J5" s="31"/>
      <c r="K5" s="31"/>
      <c r="L5" s="31"/>
    </row>
    <row r="6" spans="2:14" ht="45.75" customHeight="1" x14ac:dyDescent="0.2">
      <c r="B6" s="35">
        <v>43951</v>
      </c>
      <c r="C6" s="33" t="s">
        <v>98</v>
      </c>
      <c r="D6" s="33" t="s">
        <v>311</v>
      </c>
      <c r="E6" s="33"/>
      <c r="F6" s="33"/>
      <c r="G6" s="1"/>
      <c r="H6" s="1"/>
      <c r="I6" s="1"/>
      <c r="J6" s="1"/>
      <c r="K6" s="1"/>
      <c r="L6" s="1"/>
    </row>
    <row r="7" spans="2:14" ht="51" customHeight="1" x14ac:dyDescent="0.2">
      <c r="B7" s="35">
        <v>43951</v>
      </c>
      <c r="C7" s="36" t="s">
        <v>200</v>
      </c>
      <c r="D7" s="33" t="s">
        <v>312</v>
      </c>
      <c r="E7" s="33"/>
      <c r="F7" s="33"/>
      <c r="G7" s="1"/>
      <c r="H7" s="1"/>
      <c r="I7" s="1"/>
      <c r="J7" s="1"/>
      <c r="K7" s="1"/>
      <c r="L7" s="1"/>
    </row>
    <row r="8" spans="2:14" ht="44.25" customHeight="1" x14ac:dyDescent="0.2">
      <c r="B8" s="35">
        <v>43951</v>
      </c>
      <c r="C8" s="33" t="s">
        <v>302</v>
      </c>
      <c r="D8" s="33" t="s">
        <v>313</v>
      </c>
      <c r="E8" s="33"/>
      <c r="F8" s="33"/>
      <c r="G8" s="1"/>
      <c r="H8" s="1"/>
      <c r="I8" s="1"/>
      <c r="J8" s="1"/>
      <c r="K8" s="1"/>
      <c r="L8" s="1"/>
    </row>
    <row r="9" spans="2:14" ht="54" customHeight="1" x14ac:dyDescent="0.2">
      <c r="B9" s="35">
        <v>43585</v>
      </c>
      <c r="C9" s="33" t="s">
        <v>97</v>
      </c>
      <c r="D9" s="33" t="s">
        <v>309</v>
      </c>
      <c r="E9" s="33"/>
      <c r="F9" s="33"/>
      <c r="G9" s="1"/>
      <c r="H9" s="1"/>
      <c r="I9" s="1"/>
      <c r="J9" s="1"/>
      <c r="K9" s="1"/>
      <c r="L9" s="1"/>
    </row>
    <row r="10" spans="2:14" ht="51.75" customHeight="1" x14ac:dyDescent="0.2">
      <c r="B10" s="35">
        <v>43248</v>
      </c>
      <c r="C10" s="36" t="s">
        <v>223</v>
      </c>
      <c r="D10" s="33" t="s">
        <v>305</v>
      </c>
      <c r="E10" s="33"/>
      <c r="F10" s="33"/>
      <c r="G10" s="1"/>
      <c r="H10" s="1"/>
      <c r="I10" s="1"/>
      <c r="J10" s="1"/>
      <c r="K10" s="1"/>
      <c r="L10" s="1"/>
    </row>
    <row r="11" spans="2:14" ht="94.5" customHeight="1" x14ac:dyDescent="0.2">
      <c r="B11" s="35">
        <v>43069</v>
      </c>
      <c r="C11" s="33" t="s">
        <v>201</v>
      </c>
      <c r="D11" s="33" t="s">
        <v>378</v>
      </c>
      <c r="E11" s="34" t="s">
        <v>306</v>
      </c>
      <c r="F11" s="34" t="s">
        <v>307</v>
      </c>
      <c r="G11" s="29"/>
      <c r="H11" s="29"/>
      <c r="I11" s="29"/>
      <c r="J11" s="29"/>
      <c r="K11" s="29"/>
      <c r="L11" s="29"/>
    </row>
    <row r="12" spans="2:14" ht="50.25" customHeight="1" x14ac:dyDescent="0.2">
      <c r="B12" s="35">
        <v>42916</v>
      </c>
      <c r="C12" s="33" t="s">
        <v>302</v>
      </c>
      <c r="D12" s="33" t="s">
        <v>303</v>
      </c>
      <c r="E12" s="33"/>
      <c r="F12" s="33"/>
      <c r="G12" s="1"/>
      <c r="H12" s="1"/>
      <c r="I12" s="1"/>
      <c r="J12" s="1"/>
      <c r="K12" s="1"/>
      <c r="L12" s="1"/>
    </row>
    <row r="13" spans="2:14" ht="38.25" customHeight="1" x14ac:dyDescent="0.2">
      <c r="B13" s="35">
        <v>42727</v>
      </c>
      <c r="C13" s="33" t="s">
        <v>376</v>
      </c>
      <c r="D13" s="33" t="s">
        <v>296</v>
      </c>
      <c r="E13" s="33"/>
      <c r="F13" s="33"/>
      <c r="G13" s="1"/>
      <c r="H13" s="1"/>
      <c r="I13" s="1"/>
      <c r="J13" s="1"/>
      <c r="K13" s="1"/>
      <c r="L13" s="1"/>
    </row>
    <row r="14" spans="2:14" ht="40.5" customHeight="1" x14ac:dyDescent="0.25">
      <c r="B14" s="35">
        <v>42188</v>
      </c>
      <c r="C14" s="33" t="s">
        <v>376</v>
      </c>
      <c r="D14" s="33" t="s">
        <v>278</v>
      </c>
      <c r="E14" s="33"/>
      <c r="F14" s="33"/>
      <c r="G14" s="25"/>
      <c r="H14" s="25"/>
      <c r="I14" s="25"/>
      <c r="J14" s="25"/>
      <c r="K14" s="25"/>
      <c r="L14" s="25"/>
    </row>
    <row r="15" spans="2:14" ht="44.25" customHeight="1" x14ac:dyDescent="0.2">
      <c r="B15" s="35">
        <v>42165</v>
      </c>
      <c r="C15" s="33" t="s">
        <v>376</v>
      </c>
      <c r="D15" s="33" t="s">
        <v>286</v>
      </c>
      <c r="E15" s="33"/>
      <c r="F15" s="33"/>
      <c r="G15" s="1"/>
      <c r="H15" s="1"/>
      <c r="I15" s="1"/>
      <c r="J15" s="1"/>
      <c r="K15" s="1"/>
      <c r="L15" s="1"/>
    </row>
    <row r="16" spans="2:14" ht="45.75" customHeight="1" x14ac:dyDescent="0.2">
      <c r="B16" s="35">
        <v>42154</v>
      </c>
      <c r="C16" s="33" t="s">
        <v>376</v>
      </c>
      <c r="D16" s="33" t="s">
        <v>276</v>
      </c>
      <c r="E16" s="33"/>
      <c r="F16" s="33"/>
      <c r="G16" s="1"/>
      <c r="H16" s="1"/>
      <c r="I16" s="1"/>
      <c r="J16" s="1"/>
      <c r="K16" s="1"/>
      <c r="L16" s="1"/>
    </row>
    <row r="17" spans="2:28" ht="40.5" customHeight="1" x14ac:dyDescent="0.2">
      <c r="B17" s="35">
        <v>42140</v>
      </c>
      <c r="C17" s="33" t="s">
        <v>376</v>
      </c>
      <c r="D17" s="33" t="s">
        <v>277</v>
      </c>
      <c r="E17" s="33"/>
      <c r="F17" s="33"/>
      <c r="G17" s="1"/>
      <c r="H17" s="1"/>
      <c r="I17" s="1"/>
      <c r="J17" s="1"/>
      <c r="K17" s="1"/>
      <c r="L17" s="30"/>
    </row>
    <row r="18" spans="2:28" ht="31.5" customHeight="1" x14ac:dyDescent="0.2">
      <c r="B18" s="35">
        <v>42126</v>
      </c>
      <c r="C18" s="33" t="s">
        <v>376</v>
      </c>
      <c r="D18" s="33" t="s">
        <v>284</v>
      </c>
      <c r="E18" s="33"/>
      <c r="F18" s="33"/>
      <c r="G18" s="1"/>
      <c r="H18" s="1"/>
      <c r="I18" s="1"/>
      <c r="J18" s="1"/>
      <c r="K18" s="1"/>
      <c r="L18" s="1"/>
    </row>
    <row r="19" spans="2:28" ht="54.75" customHeight="1" x14ac:dyDescent="0.2">
      <c r="B19" s="35">
        <v>42126</v>
      </c>
      <c r="C19" s="33" t="s">
        <v>376</v>
      </c>
      <c r="D19" s="33" t="s">
        <v>281</v>
      </c>
      <c r="E19" s="33"/>
      <c r="F19" s="33"/>
      <c r="G19" s="1"/>
      <c r="H19" s="1"/>
      <c r="I19" s="1"/>
      <c r="J19" s="1"/>
      <c r="K19" s="1"/>
      <c r="L19" s="1"/>
    </row>
    <row r="20" spans="2:28" ht="182.25" customHeight="1" x14ac:dyDescent="0.2">
      <c r="B20" s="35">
        <v>41729</v>
      </c>
      <c r="C20" s="33" t="s">
        <v>315</v>
      </c>
      <c r="D20" s="33" t="s">
        <v>375</v>
      </c>
      <c r="E20" s="33"/>
      <c r="F20" s="33"/>
      <c r="G20" s="1"/>
      <c r="H20" s="1"/>
      <c r="I20" s="1"/>
      <c r="J20" s="1"/>
      <c r="K20" s="1"/>
      <c r="L20" s="1"/>
    </row>
    <row r="21" spans="2:28" ht="39.75" customHeight="1" x14ac:dyDescent="0.2">
      <c r="B21" s="35">
        <v>41640</v>
      </c>
      <c r="C21" s="33" t="s">
        <v>191</v>
      </c>
      <c r="D21" s="33" t="s">
        <v>287</v>
      </c>
      <c r="E21" s="33"/>
      <c r="F21" s="33"/>
      <c r="G21" s="29"/>
      <c r="H21" s="29"/>
      <c r="I21" s="29"/>
      <c r="J21" s="29"/>
      <c r="K21" s="29"/>
      <c r="L21" s="29"/>
    </row>
    <row r="22" spans="2:28" ht="36" customHeight="1" x14ac:dyDescent="0.2">
      <c r="B22" s="35">
        <v>40927</v>
      </c>
      <c r="C22" s="33" t="s">
        <v>99</v>
      </c>
      <c r="D22" s="33" t="s">
        <v>103</v>
      </c>
      <c r="E22" s="33"/>
      <c r="F22" s="33"/>
      <c r="G22" s="1"/>
      <c r="H22" s="1"/>
      <c r="I22" s="1"/>
      <c r="J22" s="1"/>
      <c r="K22" s="1"/>
      <c r="L22" s="1"/>
    </row>
    <row r="23" spans="2:28" ht="87" customHeight="1" x14ac:dyDescent="0.2">
      <c r="B23" s="35">
        <v>40816</v>
      </c>
      <c r="C23" s="33" t="s">
        <v>98</v>
      </c>
      <c r="D23" s="33" t="s">
        <v>102</v>
      </c>
      <c r="E23" s="33"/>
      <c r="F23" s="33"/>
      <c r="G23" s="1"/>
      <c r="H23" s="1"/>
      <c r="I23" s="1"/>
      <c r="J23" s="1"/>
      <c r="K23" s="1"/>
      <c r="L23" s="1"/>
    </row>
    <row r="24" spans="2:28" ht="54" customHeight="1" x14ac:dyDescent="0.2">
      <c r="B24" s="35">
        <v>40736</v>
      </c>
      <c r="C24" s="33" t="s">
        <v>97</v>
      </c>
      <c r="D24" s="33" t="s">
        <v>104</v>
      </c>
      <c r="E24" s="33"/>
      <c r="F24" s="33"/>
      <c r="G24" s="29"/>
      <c r="H24" s="29"/>
      <c r="I24" s="29"/>
      <c r="J24" s="29"/>
      <c r="K24" s="29"/>
      <c r="L24" s="29"/>
      <c r="T24" s="1"/>
      <c r="U24" s="1"/>
      <c r="V24" s="1"/>
      <c r="W24" s="1"/>
      <c r="X24" s="1"/>
      <c r="Y24" s="1"/>
      <c r="Z24" s="1"/>
      <c r="AA24" s="1"/>
      <c r="AB24" s="1"/>
    </row>
    <row r="25" spans="2:28" ht="42" customHeight="1" x14ac:dyDescent="0.2">
      <c r="B25" s="35">
        <v>40663</v>
      </c>
      <c r="C25" s="36" t="s">
        <v>376</v>
      </c>
      <c r="D25" s="33" t="s">
        <v>105</v>
      </c>
      <c r="E25" s="33"/>
      <c r="F25" s="33"/>
      <c r="G25" s="1"/>
      <c r="H25" s="1"/>
      <c r="I25" s="1"/>
      <c r="J25" s="1"/>
      <c r="K25" s="1"/>
      <c r="L25" s="1"/>
    </row>
    <row r="26" spans="2:28" ht="92.25" customHeight="1" x14ac:dyDescent="0.2">
      <c r="B26" s="35">
        <v>40633</v>
      </c>
      <c r="C26" s="36" t="s">
        <v>101</v>
      </c>
      <c r="D26" s="33" t="s">
        <v>228</v>
      </c>
      <c r="E26" s="33"/>
      <c r="F26" s="33"/>
      <c r="G26" s="1"/>
      <c r="H26" s="1"/>
      <c r="I26" s="1"/>
      <c r="J26" s="1"/>
      <c r="K26" s="1"/>
      <c r="L26" s="1"/>
    </row>
    <row r="27" spans="2:28" ht="15" customHeight="1" x14ac:dyDescent="0.2">
      <c r="B27" s="1"/>
      <c r="C27" s="1"/>
      <c r="D27" s="1"/>
      <c r="E27" s="1"/>
      <c r="F27" s="1"/>
      <c r="G27" s="1"/>
      <c r="H27" s="1"/>
      <c r="I27" s="1"/>
      <c r="J27" s="1"/>
      <c r="K27" s="1"/>
      <c r="L27" s="1"/>
    </row>
    <row r="28" spans="2:28" ht="15" customHeight="1" x14ac:dyDescent="0.2">
      <c r="B28" s="29"/>
      <c r="C28" s="29"/>
      <c r="D28" s="29"/>
      <c r="E28" s="29"/>
      <c r="F28" s="29"/>
      <c r="G28" s="29"/>
      <c r="H28" s="29"/>
      <c r="I28" s="29"/>
      <c r="J28" s="29"/>
      <c r="K28" s="29"/>
      <c r="L28" s="29"/>
    </row>
    <row r="29" spans="2:28" ht="57" customHeight="1" x14ac:dyDescent="0.2">
      <c r="B29" s="1"/>
      <c r="C29" s="1"/>
      <c r="D29" s="1"/>
      <c r="E29" s="1"/>
      <c r="F29" s="1"/>
      <c r="G29" s="1"/>
      <c r="H29" s="1"/>
      <c r="I29" s="1"/>
      <c r="J29" s="1"/>
      <c r="K29" s="1"/>
      <c r="L29" s="1"/>
    </row>
    <row r="30" spans="2:28" ht="57" customHeight="1" x14ac:dyDescent="0.2">
      <c r="B30" s="29"/>
      <c r="C30" s="29"/>
      <c r="D30" s="29"/>
      <c r="E30" s="29"/>
      <c r="F30" s="29"/>
      <c r="G30" s="29"/>
      <c r="H30" s="29"/>
      <c r="I30" s="29"/>
      <c r="J30" s="29"/>
      <c r="K30" s="29"/>
      <c r="L30" s="29"/>
    </row>
    <row r="31" spans="2:28" ht="57" customHeight="1" x14ac:dyDescent="0.2">
      <c r="B31" s="1"/>
      <c r="C31" s="1"/>
      <c r="D31" s="1"/>
      <c r="E31" s="1"/>
      <c r="F31" s="1"/>
      <c r="G31" s="1"/>
      <c r="H31" s="1"/>
      <c r="I31" s="1"/>
      <c r="J31" s="1"/>
      <c r="K31" s="1"/>
      <c r="L31" s="1"/>
    </row>
    <row r="32" spans="2:28" ht="57" customHeight="1" x14ac:dyDescent="0.2">
      <c r="B32" s="29"/>
      <c r="C32" s="29"/>
      <c r="D32" s="29"/>
      <c r="E32" s="29"/>
      <c r="F32" s="29"/>
      <c r="G32" s="29"/>
      <c r="H32" s="29"/>
      <c r="I32" s="29"/>
      <c r="J32" s="29"/>
      <c r="K32" s="29"/>
      <c r="L32" s="29"/>
    </row>
    <row r="33" spans="2:17" ht="57" customHeight="1" x14ac:dyDescent="0.2">
      <c r="B33" s="1"/>
      <c r="C33" s="1"/>
      <c r="D33" s="1"/>
      <c r="E33" s="1"/>
      <c r="F33" s="1"/>
      <c r="G33" s="1"/>
      <c r="H33" s="1"/>
      <c r="I33" s="1"/>
      <c r="J33" s="1"/>
      <c r="K33" s="1"/>
      <c r="L33" s="1"/>
    </row>
    <row r="34" spans="2:17" ht="57" customHeight="1" x14ac:dyDescent="0.2">
      <c r="B34" s="1"/>
      <c r="C34" s="1"/>
      <c r="D34" s="1"/>
      <c r="E34" s="1"/>
      <c r="F34" s="1"/>
      <c r="G34" s="1"/>
      <c r="H34" s="1"/>
      <c r="I34" s="1"/>
      <c r="J34" s="1"/>
      <c r="K34" s="1"/>
      <c r="L34" s="1"/>
      <c r="P34" s="28"/>
    </row>
    <row r="35" spans="2:17" ht="57" customHeight="1" x14ac:dyDescent="0.2">
      <c r="B35" s="6"/>
      <c r="P35" s="28"/>
    </row>
    <row r="36" spans="2:17" ht="57" customHeight="1" x14ac:dyDescent="0.2">
      <c r="B36" s="1"/>
      <c r="C36" s="1"/>
      <c r="D36" s="1"/>
      <c r="E36" s="1"/>
      <c r="F36" s="1"/>
      <c r="G36" s="1"/>
      <c r="H36" s="1"/>
      <c r="I36" s="1"/>
      <c r="J36" s="1"/>
      <c r="K36" s="1"/>
      <c r="L36" s="1"/>
      <c r="P36" s="28"/>
    </row>
    <row r="37" spans="2:17" ht="57" customHeight="1" x14ac:dyDescent="0.2">
      <c r="B37" s="1"/>
      <c r="C37" s="1"/>
      <c r="D37" s="1"/>
      <c r="E37" s="1"/>
      <c r="F37" s="1"/>
      <c r="G37" s="1"/>
      <c r="H37" s="1"/>
      <c r="I37" s="1"/>
      <c r="J37" s="1"/>
      <c r="K37" s="1"/>
      <c r="L37" s="1"/>
      <c r="P37" s="28"/>
    </row>
    <row r="38" spans="2:17" ht="57" customHeight="1" x14ac:dyDescent="0.2">
      <c r="B38" s="1"/>
      <c r="C38" s="1"/>
      <c r="D38" s="1"/>
      <c r="E38" s="1"/>
      <c r="F38" s="1"/>
      <c r="G38" s="1"/>
      <c r="H38" s="1"/>
      <c r="I38" s="1"/>
      <c r="J38" s="1"/>
      <c r="K38" s="1"/>
      <c r="L38" s="1"/>
      <c r="P38" s="28"/>
    </row>
    <row r="39" spans="2:17" ht="57" customHeight="1" x14ac:dyDescent="0.2">
      <c r="B39" s="1"/>
      <c r="C39" s="1"/>
      <c r="D39" s="1"/>
      <c r="E39" s="1"/>
      <c r="F39" s="1"/>
      <c r="G39" s="1"/>
      <c r="H39" s="1"/>
      <c r="I39" s="1"/>
      <c r="J39" s="1"/>
      <c r="K39" s="1"/>
      <c r="L39" s="1"/>
      <c r="P39" s="28"/>
    </row>
    <row r="40" spans="2:17" ht="33.75" customHeight="1" x14ac:dyDescent="0.2">
      <c r="B40" s="1"/>
      <c r="C40" s="1"/>
      <c r="D40" s="1"/>
      <c r="E40" s="1"/>
      <c r="F40" s="1"/>
      <c r="G40" s="1"/>
      <c r="H40" s="1"/>
      <c r="I40" s="1"/>
      <c r="J40" s="1"/>
      <c r="K40" s="1"/>
      <c r="L40" s="1"/>
      <c r="P40" s="28"/>
    </row>
    <row r="41" spans="2:17" ht="15" customHeight="1" x14ac:dyDescent="0.2">
      <c r="B41" s="1"/>
      <c r="C41" s="1"/>
      <c r="D41" s="1"/>
      <c r="E41" s="1"/>
      <c r="F41" s="1"/>
      <c r="G41" s="1"/>
      <c r="H41" s="1"/>
      <c r="I41" s="1"/>
      <c r="J41" s="1"/>
      <c r="K41" s="1"/>
      <c r="L41" s="1"/>
      <c r="P41" s="28"/>
    </row>
    <row r="42" spans="2:17" ht="15" customHeight="1" x14ac:dyDescent="0.2">
      <c r="B42" s="1"/>
      <c r="C42" s="1"/>
      <c r="D42" s="1"/>
      <c r="E42" s="1"/>
      <c r="F42" s="1"/>
      <c r="G42" s="1"/>
      <c r="H42" s="1"/>
      <c r="I42" s="1"/>
      <c r="J42" s="1"/>
      <c r="K42" s="1"/>
      <c r="L42" s="1"/>
      <c r="P42" s="28"/>
    </row>
    <row r="43" spans="2:17" ht="15" customHeight="1" x14ac:dyDescent="0.2">
      <c r="B43" s="1"/>
      <c r="C43" s="1"/>
      <c r="D43" s="1"/>
      <c r="E43" s="1"/>
      <c r="F43" s="1"/>
      <c r="G43" s="1"/>
      <c r="H43" s="1"/>
      <c r="I43" s="1"/>
      <c r="J43" s="1"/>
      <c r="K43" s="1"/>
      <c r="L43" s="1"/>
      <c r="P43" s="28"/>
    </row>
    <row r="44" spans="2:17" ht="15" customHeight="1" x14ac:dyDescent="0.2">
      <c r="B44" s="1"/>
      <c r="C44" s="1"/>
      <c r="D44" s="1"/>
      <c r="E44" s="1"/>
      <c r="F44" s="1"/>
      <c r="G44" s="1"/>
      <c r="H44" s="1"/>
      <c r="I44" s="1"/>
      <c r="J44" s="1"/>
      <c r="K44" s="1"/>
      <c r="L44" s="1"/>
      <c r="P44" s="28"/>
    </row>
    <row r="45" spans="2:17" ht="15" customHeight="1" x14ac:dyDescent="0.2">
      <c r="B45" s="1"/>
      <c r="C45" s="1"/>
      <c r="D45" s="1"/>
      <c r="E45" s="1"/>
      <c r="F45" s="1"/>
      <c r="G45" s="1"/>
      <c r="H45" s="1"/>
      <c r="I45" s="1"/>
      <c r="J45" s="1"/>
      <c r="K45" s="1"/>
      <c r="L45" s="1"/>
      <c r="P45" s="28"/>
    </row>
    <row r="46" spans="2:17" ht="30" customHeight="1" x14ac:dyDescent="0.2">
      <c r="B46" s="1"/>
      <c r="C46" s="1"/>
      <c r="D46" s="1"/>
      <c r="E46" s="1"/>
      <c r="F46" s="1"/>
      <c r="G46" s="1"/>
      <c r="H46" s="1"/>
      <c r="I46" s="1"/>
      <c r="J46" s="1"/>
      <c r="K46" s="1"/>
      <c r="L46" s="1"/>
      <c r="P46" s="28"/>
    </row>
    <row r="47" spans="2:17" ht="15" customHeight="1" x14ac:dyDescent="0.2">
      <c r="B47" s="1"/>
      <c r="C47" s="1"/>
      <c r="D47" s="1"/>
      <c r="E47" s="1"/>
      <c r="F47" s="1"/>
      <c r="G47" s="1"/>
      <c r="H47" s="1"/>
      <c r="I47" s="1"/>
      <c r="J47" s="1"/>
      <c r="K47" s="1"/>
      <c r="L47" s="1"/>
      <c r="P47" s="28"/>
    </row>
    <row r="48" spans="2:17" ht="32.25" customHeight="1" x14ac:dyDescent="0.2">
      <c r="B48" s="1"/>
      <c r="C48" s="1"/>
      <c r="D48" s="1"/>
      <c r="E48" s="1"/>
      <c r="F48" s="1"/>
      <c r="G48" s="1"/>
      <c r="H48" s="1"/>
      <c r="I48" s="1"/>
      <c r="J48" s="1"/>
      <c r="K48" s="1"/>
      <c r="L48" s="1"/>
      <c r="P48" s="28"/>
      <c r="Q48" s="28"/>
    </row>
    <row r="49" spans="2:17" ht="15" customHeight="1" x14ac:dyDescent="0.2">
      <c r="B49" s="1"/>
      <c r="C49" s="1"/>
      <c r="D49" s="1"/>
      <c r="E49" s="1"/>
      <c r="F49" s="1"/>
      <c r="G49" s="1"/>
      <c r="H49" s="1"/>
      <c r="I49" s="1"/>
      <c r="J49" s="1"/>
      <c r="K49" s="1"/>
      <c r="L49" s="1"/>
      <c r="P49" s="28"/>
      <c r="Q49" s="28"/>
    </row>
    <row r="50" spans="2:17" ht="28.5" customHeight="1" x14ac:dyDescent="0.2">
      <c r="B50" s="1"/>
      <c r="C50" s="1"/>
      <c r="D50" s="1"/>
      <c r="E50" s="1"/>
      <c r="F50" s="1"/>
      <c r="G50" s="1"/>
      <c r="H50" s="1"/>
      <c r="I50" s="1"/>
      <c r="J50" s="1"/>
      <c r="K50" s="1"/>
      <c r="L50" s="1"/>
      <c r="P50" s="28"/>
      <c r="Q50" s="28"/>
    </row>
    <row r="51" spans="2:17" ht="12.75" customHeight="1" x14ac:dyDescent="0.2">
      <c r="B51" s="1"/>
      <c r="C51" s="1"/>
      <c r="D51" s="1"/>
      <c r="E51" s="1"/>
      <c r="F51" s="1"/>
      <c r="G51" s="1"/>
      <c r="H51" s="1"/>
      <c r="I51" s="1"/>
      <c r="J51" s="1"/>
      <c r="K51" s="1"/>
      <c r="L51" s="1"/>
      <c r="P51" s="28"/>
      <c r="Q51" s="28"/>
    </row>
    <row r="52" spans="2:17" ht="18.75" customHeight="1" x14ac:dyDescent="0.2">
      <c r="B52" s="1"/>
      <c r="C52" s="1"/>
      <c r="D52" s="1"/>
      <c r="E52" s="1"/>
      <c r="F52" s="1"/>
      <c r="G52" s="1"/>
      <c r="H52" s="1"/>
      <c r="I52" s="1"/>
      <c r="J52" s="1"/>
      <c r="K52" s="1"/>
      <c r="L52" s="1"/>
      <c r="Q52" s="28"/>
    </row>
    <row r="53" spans="2:17" ht="15" customHeight="1" x14ac:dyDescent="0.2">
      <c r="B53" s="1"/>
      <c r="C53" s="1"/>
      <c r="D53" s="1"/>
      <c r="E53" s="1"/>
      <c r="F53" s="1"/>
      <c r="G53" s="1"/>
      <c r="H53" s="1"/>
      <c r="I53" s="1"/>
      <c r="J53" s="1"/>
      <c r="K53" s="1"/>
      <c r="L53" s="1"/>
      <c r="Q53" s="28"/>
    </row>
    <row r="54" spans="2:17" ht="15" customHeight="1" x14ac:dyDescent="0.2">
      <c r="B54" s="1"/>
      <c r="C54" s="1"/>
      <c r="D54" s="1"/>
      <c r="E54" s="1"/>
      <c r="F54" s="1"/>
      <c r="G54" s="1"/>
      <c r="H54" s="1"/>
      <c r="I54" s="1"/>
      <c r="J54" s="1"/>
      <c r="K54" s="1"/>
      <c r="L54" s="1"/>
      <c r="Q54" s="28"/>
    </row>
    <row r="55" spans="2:17" ht="29.25" customHeight="1" x14ac:dyDescent="0.2">
      <c r="B55" s="1"/>
      <c r="C55" s="1"/>
      <c r="D55" s="1"/>
      <c r="E55" s="1"/>
      <c r="F55" s="1"/>
      <c r="G55" s="1"/>
      <c r="H55" s="1"/>
      <c r="I55" s="1"/>
      <c r="J55" s="1"/>
      <c r="K55" s="1"/>
      <c r="L55" s="1"/>
      <c r="Q55" s="28"/>
    </row>
    <row r="56" spans="2:17" ht="29.25" customHeight="1" x14ac:dyDescent="0.2">
      <c r="B56" s="1"/>
      <c r="C56" s="1"/>
      <c r="D56" s="1"/>
      <c r="E56" s="1"/>
      <c r="F56" s="1"/>
      <c r="G56" s="1"/>
      <c r="H56" s="1"/>
      <c r="I56" s="1"/>
      <c r="J56" s="1"/>
      <c r="K56" s="1"/>
      <c r="L56" s="1"/>
      <c r="Q56" s="28"/>
    </row>
    <row r="57" spans="2:17" ht="15" customHeight="1" x14ac:dyDescent="0.2">
      <c r="B57" s="1"/>
      <c r="C57" s="1"/>
      <c r="D57" s="1"/>
      <c r="E57" s="1"/>
      <c r="F57" s="1"/>
      <c r="G57" s="1"/>
      <c r="H57" s="1"/>
      <c r="I57" s="1"/>
      <c r="J57" s="1"/>
      <c r="K57" s="1"/>
      <c r="L57" s="1"/>
      <c r="Q57" s="28"/>
    </row>
    <row r="58" spans="2:17" ht="14.25" customHeight="1" x14ac:dyDescent="0.2">
      <c r="B58" s="1"/>
      <c r="C58" s="1"/>
      <c r="D58" s="1"/>
      <c r="E58" s="1"/>
      <c r="F58" s="1"/>
      <c r="G58" s="1"/>
      <c r="H58" s="1"/>
      <c r="I58" s="1"/>
      <c r="J58" s="1"/>
      <c r="K58" s="1"/>
      <c r="L58" s="1"/>
    </row>
    <row r="59" spans="2:17" ht="34.5" customHeight="1" x14ac:dyDescent="0.2">
      <c r="B59" s="1"/>
      <c r="C59" s="1"/>
      <c r="D59" s="1"/>
      <c r="E59" s="1"/>
      <c r="F59" s="1"/>
      <c r="G59" s="1"/>
      <c r="H59" s="1"/>
      <c r="I59" s="1"/>
      <c r="J59" s="1"/>
      <c r="K59" s="1"/>
      <c r="L59" s="1"/>
    </row>
    <row r="60" spans="2:17" ht="34.5" customHeight="1" x14ac:dyDescent="0.2"/>
    <row r="61" spans="2:17" ht="34.5" customHeight="1" x14ac:dyDescent="0.2"/>
    <row r="62" spans="2:17" ht="34.5" customHeight="1" x14ac:dyDescent="0.2"/>
    <row r="63" spans="2:17" ht="34.5" customHeight="1" x14ac:dyDescent="0.2"/>
    <row r="64" spans="2:17" ht="34.5" customHeight="1" x14ac:dyDescent="0.2"/>
    <row r="65" ht="34.5" customHeight="1" x14ac:dyDescent="0.2"/>
    <row r="66" ht="34.5" customHeight="1" x14ac:dyDescent="0.2"/>
    <row r="67" ht="34.5" customHeight="1" x14ac:dyDescent="0.2"/>
    <row r="68" ht="34.5" customHeight="1" x14ac:dyDescent="0.2"/>
    <row r="69" ht="34.5" customHeight="1" x14ac:dyDescent="0.2"/>
    <row r="70" ht="34.5" customHeight="1" x14ac:dyDescent="0.2"/>
    <row r="71" ht="34.5" customHeight="1" x14ac:dyDescent="0.2"/>
    <row r="72" ht="34.5" customHeight="1" x14ac:dyDescent="0.2"/>
    <row r="73" ht="34.5" customHeight="1" x14ac:dyDescent="0.2"/>
    <row r="74" ht="34.5" customHeight="1" x14ac:dyDescent="0.2"/>
    <row r="75" ht="34.5" customHeight="1" x14ac:dyDescent="0.2"/>
    <row r="76" ht="34.5" customHeight="1" x14ac:dyDescent="0.2"/>
    <row r="77" ht="34.5" customHeight="1" x14ac:dyDescent="0.2"/>
    <row r="78" ht="34.5" customHeight="1" x14ac:dyDescent="0.2"/>
    <row r="79" ht="34.5" customHeight="1" x14ac:dyDescent="0.2"/>
    <row r="80" ht="34.5" customHeight="1" x14ac:dyDescent="0.2"/>
    <row r="81" ht="34.5" customHeight="1" x14ac:dyDescent="0.2"/>
  </sheetData>
  <autoFilter ref="B4:F4" xr:uid="{00000000-0009-0000-0000-000001000000}"/>
  <hyperlinks>
    <hyperlink ref="E11" r:id="rId1" xr:uid="{00000000-0004-0000-0100-000000000000}"/>
    <hyperlink ref="F11"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11"/>
  <sheetViews>
    <sheetView showGridLines="0" zoomScale="110" zoomScaleNormal="110" workbookViewId="0"/>
  </sheetViews>
  <sheetFormatPr defaultColWidth="11.42578125" defaultRowHeight="12.75" x14ac:dyDescent="0.2"/>
  <cols>
    <col min="1" max="1" width="2.7109375" customWidth="1"/>
    <col min="2" max="2" width="41.7109375" customWidth="1"/>
    <col min="3" max="14" width="10.7109375" customWidth="1"/>
    <col min="15" max="15" width="2.7109375" customWidth="1"/>
    <col min="17" max="17" width="9.42578125" customWidth="1"/>
    <col min="18" max="18" width="10.7109375" hidden="1" customWidth="1"/>
  </cols>
  <sheetData>
    <row r="1" spans="1:18" ht="24" customHeight="1" x14ac:dyDescent="0.2">
      <c r="B1" s="37" t="s">
        <v>295</v>
      </c>
      <c r="C1" s="41"/>
      <c r="D1" s="41"/>
      <c r="E1" s="41"/>
      <c r="F1" s="41"/>
      <c r="G1" s="41"/>
      <c r="H1" s="41"/>
      <c r="I1" s="41"/>
      <c r="J1" s="41"/>
      <c r="L1" s="22"/>
      <c r="M1" s="22"/>
      <c r="N1" s="123" t="s">
        <v>637</v>
      </c>
    </row>
    <row r="2" spans="1:18" ht="15" customHeight="1" x14ac:dyDescent="0.2">
      <c r="B2" s="39"/>
      <c r="C2" s="20"/>
      <c r="D2" s="20"/>
      <c r="F2" s="20"/>
      <c r="G2" s="20"/>
      <c r="H2" s="20"/>
      <c r="I2" s="20"/>
      <c r="J2" s="20"/>
      <c r="L2" s="200" t="s">
        <v>19</v>
      </c>
      <c r="M2" s="201"/>
      <c r="N2" s="201"/>
    </row>
    <row r="3" spans="1:18" ht="15" customHeight="1" x14ac:dyDescent="0.2">
      <c r="B3" s="39" t="s">
        <v>198</v>
      </c>
      <c r="C3" s="20"/>
      <c r="D3" s="20"/>
      <c r="E3" s="45"/>
      <c r="F3" s="45"/>
      <c r="G3" s="45"/>
      <c r="H3" s="45"/>
      <c r="I3" s="45"/>
      <c r="J3" s="45"/>
      <c r="K3" s="45"/>
      <c r="L3" s="45"/>
      <c r="M3" s="45"/>
    </row>
    <row r="4" spans="1:18" ht="19.5" customHeight="1" x14ac:dyDescent="0.2">
      <c r="B4" s="174" t="s">
        <v>406</v>
      </c>
      <c r="C4" s="39"/>
      <c r="D4" s="39"/>
      <c r="E4" s="42" t="s">
        <v>195</v>
      </c>
      <c r="F4" s="45"/>
      <c r="G4" s="45"/>
      <c r="H4" s="45"/>
      <c r="I4" s="45"/>
      <c r="J4" s="45"/>
      <c r="K4" s="45"/>
      <c r="L4" s="45"/>
      <c r="M4" s="45"/>
      <c r="R4" s="40" t="s">
        <v>315</v>
      </c>
    </row>
    <row r="5" spans="1:18" ht="6.75" customHeight="1" x14ac:dyDescent="0.2">
      <c r="C5" s="39"/>
      <c r="D5" s="39"/>
      <c r="E5" s="45"/>
      <c r="F5" s="45"/>
      <c r="G5" s="45"/>
      <c r="H5" s="45"/>
      <c r="I5" s="45"/>
      <c r="J5" s="45"/>
      <c r="K5" s="45"/>
      <c r="L5" s="45"/>
      <c r="M5" s="45"/>
      <c r="R5" s="40" t="s">
        <v>316</v>
      </c>
    </row>
    <row r="6" spans="1:18" ht="15.75" customHeight="1" x14ac:dyDescent="0.2">
      <c r="B6" s="39" t="s">
        <v>219</v>
      </c>
      <c r="C6" s="39"/>
      <c r="D6" s="39"/>
      <c r="E6" s="45"/>
      <c r="F6" s="45"/>
      <c r="G6" s="45"/>
      <c r="H6" s="45"/>
      <c r="I6" s="45"/>
      <c r="J6" s="45"/>
      <c r="K6" s="45"/>
      <c r="L6" s="45"/>
      <c r="M6" s="45"/>
    </row>
    <row r="7" spans="1:18" ht="19.5" customHeight="1" x14ac:dyDescent="0.3">
      <c r="A7" s="40"/>
      <c r="B7" s="174" t="s">
        <v>743</v>
      </c>
      <c r="C7" s="44"/>
      <c r="D7" s="44"/>
      <c r="E7" s="45"/>
      <c r="F7" s="45"/>
      <c r="G7" s="45"/>
      <c r="H7" s="45"/>
      <c r="I7" s="45"/>
      <c r="J7" s="45"/>
      <c r="K7" s="45"/>
      <c r="L7" s="45"/>
      <c r="M7" s="45"/>
      <c r="N7" s="44"/>
      <c r="R7" s="40" t="s">
        <v>21</v>
      </c>
    </row>
    <row r="8" spans="1:18" ht="15" customHeight="1" x14ac:dyDescent="0.3">
      <c r="A8" s="40"/>
      <c r="B8" s="166"/>
      <c r="C8" s="166"/>
      <c r="D8" s="166"/>
      <c r="E8" s="167"/>
      <c r="F8" s="167"/>
      <c r="G8" s="167"/>
      <c r="H8" s="167"/>
      <c r="I8" s="167"/>
      <c r="J8" s="167"/>
      <c r="K8" s="167"/>
      <c r="L8" s="167"/>
      <c r="M8" s="167"/>
      <c r="N8" s="166"/>
      <c r="R8" s="40" t="s">
        <v>224</v>
      </c>
    </row>
    <row r="9" spans="1:18" ht="15" customHeight="1" x14ac:dyDescent="0.25">
      <c r="A9" s="132"/>
      <c r="B9" s="153" t="str">
        <f>IF(ISNUMBER(FIND("ED only",$B$4)),"2022/2023 (ED Only)","2022/2023")</f>
        <v>2022/2023</v>
      </c>
      <c r="C9" s="149">
        <v>44681</v>
      </c>
      <c r="D9" s="149">
        <v>44712</v>
      </c>
      <c r="E9" s="149">
        <v>44742</v>
      </c>
      <c r="F9" s="149">
        <v>44773</v>
      </c>
      <c r="G9" s="149">
        <v>44804</v>
      </c>
      <c r="H9" s="149">
        <v>44834</v>
      </c>
      <c r="I9" s="149">
        <v>44865</v>
      </c>
      <c r="J9" s="149">
        <v>44895</v>
      </c>
      <c r="K9" s="149">
        <v>44926</v>
      </c>
      <c r="L9" s="149">
        <v>44957</v>
      </c>
      <c r="M9" s="149"/>
      <c r="N9" s="158"/>
      <c r="R9" s="40" t="s">
        <v>225</v>
      </c>
    </row>
    <row r="10" spans="1:18" ht="15" customHeight="1" x14ac:dyDescent="0.2">
      <c r="A10" s="132"/>
      <c r="B10" s="152" t="s">
        <v>407</v>
      </c>
      <c r="C10" s="165" t="str">
        <f ca="1">IFERROR(IF(ISNUMBER(FIND("ED only",$B$4)),IF(LEFT($B$7,6)="Number",SUMIFS(Comparison_Lookup,site_level_range_board,$B10,date_range_board,C9,inputdata!$F:$F,"ED"),TEXT(SUMIFS(Comparison_Lookup,site_level_range_board,$B10,date_range_board,C9,inputdata!$F:$F,"ED")/SUMIFS(All_Attendances,site_level_range_board,$B10,date_range_board,C9,inputdata!$F:$F,"ED"),"0.0%")),IF(LEFT($B$7,6)="Number",SUMIFS(Comparison_Lookup,site_level_range_board,$B10,date_range_board,C9),TEXT(SUMIFS(Comparison_Lookup,site_level_range_board,$B10,date_range_board,C9)/SUMIFS(All_Attendances,site_level_range_board,$B10,date_range_board,C9),"0.0%"))),"")</f>
        <v>66.9%</v>
      </c>
      <c r="D10" s="165" t="str">
        <f ca="1">IFERROR(IF(ISNUMBER(FIND("ED only",$B$4)),IF(LEFT($B$7,6)="Number",SUMIFS(Comparison_Lookup,site_level_range_board,$B10,date_range_board,D9,inputdata!$F:$F,"ED"),TEXT(SUMIFS(Comparison_Lookup,site_level_range_board,$B10,date_range_board,D9,inputdata!$F:$F,"ED")/SUMIFS(All_Attendances,site_level_range_board,$B10,date_range_board,D9,inputdata!$F:$F,"ED"),"0.0%")),IF(LEFT($B$7,6)="Number",SUMIFS(Comparison_Lookup,site_level_range_board,$B10,date_range_board,D9),TEXT(SUMIFS(Comparison_Lookup,site_level_range_board,$B10,date_range_board,D9)/SUMIFS(All_Attendances,site_level_range_board,$B10,date_range_board,D9),"0.0%"))),"")</f>
        <v>73.1%</v>
      </c>
      <c r="E10" s="165" t="str">
        <f ca="1">IFERROR(IF(ISNUMBER(FIND("ED only",$B$4)),IF(LEFT($B$7,6)="Number",SUMIFS(Comparison_Lookup,site_level_range_board,$B10,date_range_board,E9,inputdata!$F:$F,"ED"),TEXT(SUMIFS(Comparison_Lookup,site_level_range_board,$B10,date_range_board,E9,inputdata!$F:$F,"ED")/SUMIFS(All_Attendances,site_level_range_board,$B10,date_range_board,E9,inputdata!$F:$F,"ED"),"0.0%")),IF(LEFT($B$7,6)="Number",SUMIFS(Comparison_Lookup,site_level_range_board,$B10,date_range_board,E9),TEXT(SUMIFS(Comparison_Lookup,site_level_range_board,$B10,date_range_board,E9)/SUMIFS(All_Attendances,site_level_range_board,$B10,date_range_board,E9),"0.0%"))),"")</f>
        <v>69.0%</v>
      </c>
      <c r="F10" s="165" t="str">
        <f ca="1">IFERROR(IF(ISNUMBER(FIND("ED only",$B$4)),IF(LEFT($B$7,6)="Number",SUMIFS(Comparison_Lookup,site_level_range_board,$B10,date_range_board,F9,inputdata!$F:$F,"ED"),TEXT(SUMIFS(Comparison_Lookup,site_level_range_board,$B10,date_range_board,F9,inputdata!$F:$F,"ED")/SUMIFS(All_Attendances,site_level_range_board,$B10,date_range_board,F9,inputdata!$F:$F,"ED"),"0.0%")),IF(LEFT($B$7,6)="Number",SUMIFS(Comparison_Lookup,site_level_range_board,$B10,date_range_board,F9),TEXT(SUMIFS(Comparison_Lookup,site_level_range_board,$B10,date_range_board,F9)/SUMIFS(All_Attendances,site_level_range_board,$B10,date_range_board,F9),"0.0%"))),"")</f>
        <v>70.5%</v>
      </c>
      <c r="G10" s="165" t="str">
        <f ca="1">IFERROR(IF(ISNUMBER(FIND("ED only",$B$4)),IF(LEFT($B$7,6)="Number",SUMIFS(Comparison_Lookup,site_level_range_board,$B10,date_range_board,G9,inputdata!$F:$F,"ED"),TEXT(SUMIFS(Comparison_Lookup,site_level_range_board,$B10,date_range_board,G9,inputdata!$F:$F,"ED")/SUMIFS(All_Attendances,site_level_range_board,$B10,date_range_board,G9,inputdata!$F:$F,"ED"),"0.0%")),IF(LEFT($B$7,6)="Number",SUMIFS(Comparison_Lookup,site_level_range_board,$B10,date_range_board,G9),TEXT(SUMIFS(Comparison_Lookup,site_level_range_board,$B10,date_range_board,G9)/SUMIFS(All_Attendances,site_level_range_board,$B10,date_range_board,G9),"0.0%"))),"")</f>
        <v>72.1%</v>
      </c>
      <c r="H10" s="165" t="str">
        <f ca="1">IFERROR(IF(ISNUMBER(FIND("ED only",$B$4)),IF(LEFT($B$7,6)="Number",SUMIFS(Comparison_Lookup,site_level_range_board,$B10,date_range_board,H9,inputdata!$F:$F,"ED"),TEXT(SUMIFS(Comparison_Lookup,site_level_range_board,$B10,date_range_board,H9,inputdata!$F:$F,"ED")/SUMIFS(All_Attendances,site_level_range_board,$B10,date_range_board,H9,inputdata!$F:$F,"ED"),"0.0%")),IF(LEFT($B$7,6)="Number",SUMIFS(Comparison_Lookup,site_level_range_board,$B10,date_range_board,H9),TEXT(SUMIFS(Comparison_Lookup,site_level_range_board,$B10,date_range_board,H9)/SUMIFS(All_Attendances,site_level_range_board,$B10,date_range_board,H9),"0.0%"))),"")</f>
        <v>69.0%</v>
      </c>
      <c r="I10" s="165" t="str">
        <f ca="1">IFERROR(IF(ISNUMBER(FIND("ED only",$B$4)),IF(LEFT($B$7,6)="Number",SUMIFS(Comparison_Lookup,site_level_range_board,$B10,date_range_board,I9,inputdata!$F:$F,"ED"),TEXT(SUMIFS(Comparison_Lookup,site_level_range_board,$B10,date_range_board,I9,inputdata!$F:$F,"ED")/SUMIFS(All_Attendances,site_level_range_board,$B10,date_range_board,I9,inputdata!$F:$F,"ED"),"0.0%")),IF(LEFT($B$7,6)="Number",SUMIFS(Comparison_Lookup,site_level_range_board,$B10,date_range_board,I9),TEXT(SUMIFS(Comparison_Lookup,site_level_range_board,$B10,date_range_board,I9)/SUMIFS(All_Attendances,site_level_range_board,$B10,date_range_board,I9),"0.0%"))),"")</f>
        <v>67.0%</v>
      </c>
      <c r="J10" s="165" t="str">
        <f ca="1">IFERROR(IF(ISNUMBER(FIND("ED only",$B$4)),IF(LEFT($B$7,6)="Number",SUMIFS(Comparison_Lookup,site_level_range_board,$B10,date_range_board,J9,inputdata!$F:$F,"ED"),TEXT(SUMIFS(Comparison_Lookup,site_level_range_board,$B10,date_range_board,J9,inputdata!$F:$F,"ED")/SUMIFS(All_Attendances,site_level_range_board,$B10,date_range_board,J9,inputdata!$F:$F,"ED"),"0.0%")),IF(LEFT($B$7,6)="Number",SUMIFS(Comparison_Lookup,site_level_range_board,$B10,date_range_board,J9),TEXT(SUMIFS(Comparison_Lookup,site_level_range_board,$B10,date_range_board,J9)/SUMIFS(All_Attendances,site_level_range_board,$B10,date_range_board,J9),"0.0%"))),"")</f>
        <v>67.0%</v>
      </c>
      <c r="K10" s="165" t="str">
        <f ca="1">IFERROR(IF(ISNUMBER(FIND("ED only",$B$4)),IF(LEFT($B$7,6)="Number",SUMIFS(Comparison_Lookup,site_level_range_board,$B10,date_range_board,K9,inputdata!$F:$F,"ED"),TEXT(SUMIFS(Comparison_Lookup,site_level_range_board,$B10,date_range_board,K9,inputdata!$F:$F,"ED")/SUMIFS(All_Attendances,site_level_range_board,$B10,date_range_board,K9,inputdata!$F:$F,"ED"),"0.0%")),IF(LEFT($B$7,6)="Number",SUMIFS(Comparison_Lookup,site_level_range_board,$B10,date_range_board,K9),TEXT(SUMIFS(Comparison_Lookup,site_level_range_board,$B10,date_range_board,K9)/SUMIFS(All_Attendances,site_level_range_board,$B10,date_range_board,K9),"0.0%"))),"")</f>
        <v>63.6%</v>
      </c>
      <c r="L10" s="165" t="str">
        <f ca="1">IFERROR(IF(ISNUMBER(FIND("ED only",$B$4)),IF(LEFT($B$7,6)="Number",SUMIFS(Comparison_Lookup,site_level_range_board,$B10,date_range_board,L9,inputdata!$F:$F,"ED"),TEXT(SUMIFS(Comparison_Lookup,site_level_range_board,$B10,date_range_board,L9,inputdata!$F:$F,"ED")/SUMIFS(All_Attendances,site_level_range_board,$B10,date_range_board,L9,inputdata!$F:$F,"ED"),"0.0%")),IF(LEFT($B$7,6)="Number",SUMIFS(Comparison_Lookup,site_level_range_board,$B10,date_range_board,L9),TEXT(SUMIFS(Comparison_Lookup,site_level_range_board,$B10,date_range_board,L9)/SUMIFS(All_Attendances,site_level_range_board,$B10,date_range_board,L9),"0.0%"))),"")</f>
        <v>64.5%</v>
      </c>
      <c r="M10" s="165"/>
      <c r="N10" s="171"/>
      <c r="R10" s="40" t="s">
        <v>226</v>
      </c>
    </row>
    <row r="11" spans="1:18" ht="15" customHeight="1" x14ac:dyDescent="0.2">
      <c r="A11" s="132"/>
      <c r="B11" s="152" t="s">
        <v>418</v>
      </c>
      <c r="C11" s="165" t="str">
        <f ca="1">IFERROR(IF(ISNUMBER(FIND("ED only",$B$4)),IF(LEFT($B$7,6)="Number",SUMIFS(Comparison_Lookup,site_level_range_board,$B11,date_range_board,C9,inputdata!$F:$F,"ED"),TEXT(SUMIFS(Comparison_Lookup,site_level_range_board,$B11,date_range_board,C9,inputdata!$F:$F,"ED")/SUMIFS(All_Attendances,site_level_range_board,$B11,date_range_board,C9,inputdata!$F:$F,"ED"),"0.0%")),IF(LEFT($B$7,6)="Number",SUMIFS(Comparison_Lookup,site_level_range_board,$B11,date_range_board,C9),TEXT(SUMIFS(Comparison_Lookup,site_level_range_board,$B11,date_range_board,C9)/SUMIFS(All_Attendances,site_level_range_board,$B11,date_range_board,C9),"0.0%"))),"")</f>
        <v>60.1%</v>
      </c>
      <c r="D11" s="165" t="str">
        <f ca="1">IFERROR(IF(ISNUMBER(FIND("ED only",$B$4)),IF(LEFT($B$7,6)="Number",SUMIFS(Comparison_Lookup,site_level_range_board,$B11,date_range_board,D9,inputdata!$F:$F,"ED"),TEXT(SUMIFS(Comparison_Lookup,site_level_range_board,$B11,date_range_board,D9,inputdata!$F:$F,"ED")/SUMIFS(All_Attendances,site_level_range_board,$B11,date_range_board,D9,inputdata!$F:$F,"ED"),"0.0%")),IF(LEFT($B$7,6)="Number",SUMIFS(Comparison_Lookup,site_level_range_board,$B11,date_range_board,D9),TEXT(SUMIFS(Comparison_Lookup,site_level_range_board,$B11,date_range_board,D9)/SUMIFS(All_Attendances,site_level_range_board,$B11,date_range_board,D9),"0.0%"))),"")</f>
        <v>64.1%</v>
      </c>
      <c r="E11" s="165" t="str">
        <f ca="1">IFERROR(IF(ISNUMBER(FIND("ED only",$B$4)),IF(LEFT($B$7,6)="Number",SUMIFS(Comparison_Lookup,site_level_range_board,$B11,date_range_board,E9,inputdata!$F:$F,"ED"),TEXT(SUMIFS(Comparison_Lookup,site_level_range_board,$B11,date_range_board,E9,inputdata!$F:$F,"ED")/SUMIFS(All_Attendances,site_level_range_board,$B11,date_range_board,E9,inputdata!$F:$F,"ED"),"0.0%")),IF(LEFT($B$7,6)="Number",SUMIFS(Comparison_Lookup,site_level_range_board,$B11,date_range_board,E9),TEXT(SUMIFS(Comparison_Lookup,site_level_range_board,$B11,date_range_board,E9)/SUMIFS(All_Attendances,site_level_range_board,$B11,date_range_board,E9),"0.0%"))),"")</f>
        <v>65.5%</v>
      </c>
      <c r="F11" s="165" t="str">
        <f ca="1">IFERROR(IF(ISNUMBER(FIND("ED only",$B$4)),IF(LEFT($B$7,6)="Number",SUMIFS(Comparison_Lookup,site_level_range_board,$B11,date_range_board,F9,inputdata!$F:$F,"ED"),TEXT(SUMIFS(Comparison_Lookup,site_level_range_board,$B11,date_range_board,F9,inputdata!$F:$F,"ED")/SUMIFS(All_Attendances,site_level_range_board,$B11,date_range_board,F9,inputdata!$F:$F,"ED"),"0.0%")),IF(LEFT($B$7,6)="Number",SUMIFS(Comparison_Lookup,site_level_range_board,$B11,date_range_board,F9),TEXT(SUMIFS(Comparison_Lookup,site_level_range_board,$B11,date_range_board,F9)/SUMIFS(All_Attendances,site_level_range_board,$B11,date_range_board,F9),"0.0%"))),"")</f>
        <v>62.2%</v>
      </c>
      <c r="G11" s="165" t="str">
        <f ca="1">IFERROR(IF(ISNUMBER(FIND("ED only",$B$4)),IF(LEFT($B$7,6)="Number",SUMIFS(Comparison_Lookup,site_level_range_board,$B11,date_range_board,G9,inputdata!$F:$F,"ED"),TEXT(SUMIFS(Comparison_Lookup,site_level_range_board,$B11,date_range_board,G9,inputdata!$F:$F,"ED")/SUMIFS(All_Attendances,site_level_range_board,$B11,date_range_board,G9,inputdata!$F:$F,"ED"),"0.0%")),IF(LEFT($B$7,6)="Number",SUMIFS(Comparison_Lookup,site_level_range_board,$B11,date_range_board,G9),TEXT(SUMIFS(Comparison_Lookup,site_level_range_board,$B11,date_range_board,G9)/SUMIFS(All_Attendances,site_level_range_board,$B11,date_range_board,G9),"0.0%"))),"")</f>
        <v>61.9%</v>
      </c>
      <c r="H11" s="165" t="str">
        <f ca="1">IFERROR(IF(ISNUMBER(FIND("ED only",$B$4)),IF(LEFT($B$7,6)="Number",SUMIFS(Comparison_Lookup,site_level_range_board,$B11,date_range_board,H9,inputdata!$F:$F,"ED"),TEXT(SUMIFS(Comparison_Lookup,site_level_range_board,$B11,date_range_board,H9,inputdata!$F:$F,"ED")/SUMIFS(All_Attendances,site_level_range_board,$B11,date_range_board,H9,inputdata!$F:$F,"ED"),"0.0%")),IF(LEFT($B$7,6)="Number",SUMIFS(Comparison_Lookup,site_level_range_board,$B11,date_range_board,H9),TEXT(SUMIFS(Comparison_Lookup,site_level_range_board,$B11,date_range_board,H9)/SUMIFS(All_Attendances,site_level_range_board,$B11,date_range_board,H9),"0.0%"))),"")</f>
        <v>67.9%</v>
      </c>
      <c r="I11" s="165" t="str">
        <f ca="1">IFERROR(IF(ISNUMBER(FIND("ED only",$B$4)),IF(LEFT($B$7,6)="Number",SUMIFS(Comparison_Lookup,site_level_range_board,$B11,date_range_board,I9,inputdata!$F:$F,"ED"),TEXT(SUMIFS(Comparison_Lookup,site_level_range_board,$B11,date_range_board,I9,inputdata!$F:$F,"ED")/SUMIFS(All_Attendances,site_level_range_board,$B11,date_range_board,I9,inputdata!$F:$F,"ED"),"0.0%")),IF(LEFT($B$7,6)="Number",SUMIFS(Comparison_Lookup,site_level_range_board,$B11,date_range_board,I9),TEXT(SUMIFS(Comparison_Lookup,site_level_range_board,$B11,date_range_board,I9)/SUMIFS(All_Attendances,site_level_range_board,$B11,date_range_board,I9),"0.0%"))),"")</f>
        <v>63.6%</v>
      </c>
      <c r="J11" s="165" t="str">
        <f ca="1">IFERROR(IF(ISNUMBER(FIND("ED only",$B$4)),IF(LEFT($B$7,6)="Number",SUMIFS(Comparison_Lookup,site_level_range_board,$B11,date_range_board,J9,inputdata!$F:$F,"ED"),TEXT(SUMIFS(Comparison_Lookup,site_level_range_board,$B11,date_range_board,J9,inputdata!$F:$F,"ED")/SUMIFS(All_Attendances,site_level_range_board,$B11,date_range_board,J9,inputdata!$F:$F,"ED"),"0.0%")),IF(LEFT($B$7,6)="Number",SUMIFS(Comparison_Lookup,site_level_range_board,$B11,date_range_board,J9),TEXT(SUMIFS(Comparison_Lookup,site_level_range_board,$B11,date_range_board,J9)/SUMIFS(All_Attendances,site_level_range_board,$B11,date_range_board,J9),"0.0%"))),"")</f>
        <v>69.3%</v>
      </c>
      <c r="K11" s="165" t="str">
        <f ca="1">IFERROR(IF(ISNUMBER(FIND("ED only",$B$4)),IF(LEFT($B$7,6)="Number",SUMIFS(Comparison_Lookup,site_level_range_board,$B11,date_range_board,K9,inputdata!$F:$F,"ED"),TEXT(SUMIFS(Comparison_Lookup,site_level_range_board,$B11,date_range_board,K9,inputdata!$F:$F,"ED")/SUMIFS(All_Attendances,site_level_range_board,$B11,date_range_board,K9,inputdata!$F:$F,"ED"),"0.0%")),IF(LEFT($B$7,6)="Number",SUMIFS(Comparison_Lookup,site_level_range_board,$B11,date_range_board,K9),TEXT(SUMIFS(Comparison_Lookup,site_level_range_board,$B11,date_range_board,K9)/SUMIFS(All_Attendances,site_level_range_board,$B11,date_range_board,K9),"0.0%"))),"")</f>
        <v>63.5%</v>
      </c>
      <c r="L11" s="165" t="str">
        <f ca="1">IFERROR(IF(ISNUMBER(FIND("ED only",$B$4)),IF(LEFT($B$7,6)="Number",SUMIFS(Comparison_Lookup,site_level_range_board,$B11,date_range_board,L9,inputdata!$F:$F,"ED"),TEXT(SUMIFS(Comparison_Lookup,site_level_range_board,$B11,date_range_board,L9,inputdata!$F:$F,"ED")/SUMIFS(All_Attendances,site_level_range_board,$B11,date_range_board,L9,inputdata!$F:$F,"ED"),"0.0%")),IF(LEFT($B$7,6)="Number",SUMIFS(Comparison_Lookup,site_level_range_board,$B11,date_range_board,L9),TEXT(SUMIFS(Comparison_Lookup,site_level_range_board,$B11,date_range_board,L9)/SUMIFS(All_Attendances,site_level_range_board,$B11,date_range_board,L9),"0.0%"))),"")</f>
        <v>64.7%</v>
      </c>
      <c r="M11" s="165"/>
      <c r="N11" s="171"/>
    </row>
    <row r="12" spans="1:18" ht="15" customHeight="1" x14ac:dyDescent="0.2">
      <c r="A12" s="132"/>
      <c r="B12" s="152" t="s">
        <v>429</v>
      </c>
      <c r="C12" s="165" t="str">
        <f ca="1">IFERROR(IF(ISNUMBER(FIND("ED only",$B$4)),IF(LEFT($B$7,6)="Number",SUMIFS(Comparison_Lookup,site_level_range_board,$B12,date_range_board,C9,inputdata!$F:$F,"ED"),TEXT(SUMIFS(Comparison_Lookup,site_level_range_board,$B12,date_range_board,C9,inputdata!$F:$F,"ED")/SUMIFS(All_Attendances,site_level_range_board,$B12,date_range_board,C9,inputdata!$F:$F,"ED"),"0.0%")),IF(LEFT($B$7,6)="Number",SUMIFS(Comparison_Lookup,site_level_range_board,$B12,date_range_board,C9),TEXT(SUMIFS(Comparison_Lookup,site_level_range_board,$B12,date_range_board,C9)/SUMIFS(All_Attendances,site_level_range_board,$B12,date_range_board,C9),"0.0%"))),"")</f>
        <v>82.9%</v>
      </c>
      <c r="D12" s="165" t="str">
        <f ca="1">IFERROR(IF(ISNUMBER(FIND("ED only",$B$4)),IF(LEFT($B$7,6)="Number",SUMIFS(Comparison_Lookup,site_level_range_board,$B12,date_range_board,D9,inputdata!$F:$F,"ED"),TEXT(SUMIFS(Comparison_Lookup,site_level_range_board,$B12,date_range_board,D9,inputdata!$F:$F,"ED")/SUMIFS(All_Attendances,site_level_range_board,$B12,date_range_board,D9,inputdata!$F:$F,"ED"),"0.0%")),IF(LEFT($B$7,6)="Number",SUMIFS(Comparison_Lookup,site_level_range_board,$B12,date_range_board,D9),TEXT(SUMIFS(Comparison_Lookup,site_level_range_board,$B12,date_range_board,D9)/SUMIFS(All_Attendances,site_level_range_board,$B12,date_range_board,D9),"0.0%"))),"")</f>
        <v>81.2%</v>
      </c>
      <c r="E12" s="165" t="str">
        <f ca="1">IFERROR(IF(ISNUMBER(FIND("ED only",$B$4)),IF(LEFT($B$7,6)="Number",SUMIFS(Comparison_Lookup,site_level_range_board,$B12,date_range_board,E9,inputdata!$F:$F,"ED"),TEXT(SUMIFS(Comparison_Lookup,site_level_range_board,$B12,date_range_board,E9,inputdata!$F:$F,"ED")/SUMIFS(All_Attendances,site_level_range_board,$B12,date_range_board,E9,inputdata!$F:$F,"ED"),"0.0%")),IF(LEFT($B$7,6)="Number",SUMIFS(Comparison_Lookup,site_level_range_board,$B12,date_range_board,E9),TEXT(SUMIFS(Comparison_Lookup,site_level_range_board,$B12,date_range_board,E9)/SUMIFS(All_Attendances,site_level_range_board,$B12,date_range_board,E9),"0.0%"))),"")</f>
        <v>79.4%</v>
      </c>
      <c r="F12" s="165" t="str">
        <f ca="1">IFERROR(IF(ISNUMBER(FIND("ED only",$B$4)),IF(LEFT($B$7,6)="Number",SUMIFS(Comparison_Lookup,site_level_range_board,$B12,date_range_board,F9,inputdata!$F:$F,"ED"),TEXT(SUMIFS(Comparison_Lookup,site_level_range_board,$B12,date_range_board,F9,inputdata!$F:$F,"ED")/SUMIFS(All_Attendances,site_level_range_board,$B12,date_range_board,F9,inputdata!$F:$F,"ED"),"0.0%")),IF(LEFT($B$7,6)="Number",SUMIFS(Comparison_Lookup,site_level_range_board,$B12,date_range_board,F9),TEXT(SUMIFS(Comparison_Lookup,site_level_range_board,$B12,date_range_board,F9)/SUMIFS(All_Attendances,site_level_range_board,$B12,date_range_board,F9),"0.0%"))),"")</f>
        <v>82.1%</v>
      </c>
      <c r="G12" s="165" t="str">
        <f ca="1">IFERROR(IF(ISNUMBER(FIND("ED only",$B$4)),IF(LEFT($B$7,6)="Number",SUMIFS(Comparison_Lookup,site_level_range_board,$B12,date_range_board,G9,inputdata!$F:$F,"ED"),TEXT(SUMIFS(Comparison_Lookup,site_level_range_board,$B12,date_range_board,G9,inputdata!$F:$F,"ED")/SUMIFS(All_Attendances,site_level_range_board,$B12,date_range_board,G9,inputdata!$F:$F,"ED"),"0.0%")),IF(LEFT($B$7,6)="Number",SUMIFS(Comparison_Lookup,site_level_range_board,$B12,date_range_board,G9),TEXT(SUMIFS(Comparison_Lookup,site_level_range_board,$B12,date_range_board,G9)/SUMIFS(All_Attendances,site_level_range_board,$B12,date_range_board,G9),"0.0%"))),"")</f>
        <v>80.6%</v>
      </c>
      <c r="H12" s="165" t="str">
        <f ca="1">IFERROR(IF(ISNUMBER(FIND("ED only",$B$4)),IF(LEFT($B$7,6)="Number",SUMIFS(Comparison_Lookup,site_level_range_board,$B12,date_range_board,H9,inputdata!$F:$F,"ED"),TEXT(SUMIFS(Comparison_Lookup,site_level_range_board,$B12,date_range_board,H9,inputdata!$F:$F,"ED")/SUMIFS(All_Attendances,site_level_range_board,$B12,date_range_board,H9,inputdata!$F:$F,"ED"),"0.0%")),IF(LEFT($B$7,6)="Number",SUMIFS(Comparison_Lookup,site_level_range_board,$B12,date_range_board,H9),TEXT(SUMIFS(Comparison_Lookup,site_level_range_board,$B12,date_range_board,H9)/SUMIFS(All_Attendances,site_level_range_board,$B12,date_range_board,H9),"0.0%"))),"")</f>
        <v>75.6%</v>
      </c>
      <c r="I12" s="165" t="str">
        <f ca="1">IFERROR(IF(ISNUMBER(FIND("ED only",$B$4)),IF(LEFT($B$7,6)="Number",SUMIFS(Comparison_Lookup,site_level_range_board,$B12,date_range_board,I9,inputdata!$F:$F,"ED"),TEXT(SUMIFS(Comparison_Lookup,site_level_range_board,$B12,date_range_board,I9,inputdata!$F:$F,"ED")/SUMIFS(All_Attendances,site_level_range_board,$B12,date_range_board,I9,inputdata!$F:$F,"ED"),"0.0%")),IF(LEFT($B$7,6)="Number",SUMIFS(Comparison_Lookup,site_level_range_board,$B12,date_range_board,I9),TEXT(SUMIFS(Comparison_Lookup,site_level_range_board,$B12,date_range_board,I9)/SUMIFS(All_Attendances,site_level_range_board,$B12,date_range_board,I9),"0.0%"))),"")</f>
        <v>77.0%</v>
      </c>
      <c r="J12" s="165" t="str">
        <f ca="1">IFERROR(IF(ISNUMBER(FIND("ED only",$B$4)),IF(LEFT($B$7,6)="Number",SUMIFS(Comparison_Lookup,site_level_range_board,$B12,date_range_board,J9,inputdata!$F:$F,"ED"),TEXT(SUMIFS(Comparison_Lookup,site_level_range_board,$B12,date_range_board,J9,inputdata!$F:$F,"ED")/SUMIFS(All_Attendances,site_level_range_board,$B12,date_range_board,J9,inputdata!$F:$F,"ED"),"0.0%")),IF(LEFT($B$7,6)="Number",SUMIFS(Comparison_Lookup,site_level_range_board,$B12,date_range_board,J9),TEXT(SUMIFS(Comparison_Lookup,site_level_range_board,$B12,date_range_board,J9)/SUMIFS(All_Attendances,site_level_range_board,$B12,date_range_board,J9),"0.0%"))),"")</f>
        <v>79.9%</v>
      </c>
      <c r="K12" s="165" t="str">
        <f ca="1">IFERROR(IF(ISNUMBER(FIND("ED only",$B$4)),IF(LEFT($B$7,6)="Number",SUMIFS(Comparison_Lookup,site_level_range_board,$B12,date_range_board,K9,inputdata!$F:$F,"ED"),TEXT(SUMIFS(Comparison_Lookup,site_level_range_board,$B12,date_range_board,K9,inputdata!$F:$F,"ED")/SUMIFS(All_Attendances,site_level_range_board,$B12,date_range_board,K9,inputdata!$F:$F,"ED"),"0.0%")),IF(LEFT($B$7,6)="Number",SUMIFS(Comparison_Lookup,site_level_range_board,$B12,date_range_board,K9),TEXT(SUMIFS(Comparison_Lookup,site_level_range_board,$B12,date_range_board,K9)/SUMIFS(All_Attendances,site_level_range_board,$B12,date_range_board,K9),"0.0%"))),"")</f>
        <v>75.7%</v>
      </c>
      <c r="L12" s="165" t="str">
        <f ca="1">IFERROR(IF(ISNUMBER(FIND("ED only",$B$4)),IF(LEFT($B$7,6)="Number",SUMIFS(Comparison_Lookup,site_level_range_board,$B12,date_range_board,L9,inputdata!$F:$F,"ED"),TEXT(SUMIFS(Comparison_Lookup,site_level_range_board,$B12,date_range_board,L9,inputdata!$F:$F,"ED")/SUMIFS(All_Attendances,site_level_range_board,$B12,date_range_board,L9,inputdata!$F:$F,"ED"),"0.0%")),IF(LEFT($B$7,6)="Number",SUMIFS(Comparison_Lookup,site_level_range_board,$B12,date_range_board,L9),TEXT(SUMIFS(Comparison_Lookup,site_level_range_board,$B12,date_range_board,L9)/SUMIFS(All_Attendances,site_level_range_board,$B12,date_range_board,L9),"0.0%"))),"")</f>
        <v>79.2%</v>
      </c>
      <c r="M12" s="165"/>
      <c r="N12" s="171"/>
    </row>
    <row r="13" spans="1:18" ht="15" customHeight="1" x14ac:dyDescent="0.2">
      <c r="A13" s="132"/>
      <c r="B13" s="152" t="s">
        <v>442</v>
      </c>
      <c r="C13" s="165" t="str">
        <f ca="1">IFERROR(IF(ISNUMBER(FIND("ED only",$B$4)),IF(LEFT($B$7,6)="Number",SUMIFS(Comparison_Lookup,site_level_range_board,$B13,date_range_board,C9,inputdata!$F:$F,"ED"),TEXT(SUMIFS(Comparison_Lookup,site_level_range_board,$B13,date_range_board,C9,inputdata!$F:$F,"ED")/SUMIFS(All_Attendances,site_level_range_board,$B13,date_range_board,C9,inputdata!$F:$F,"ED"),"0.0%")),IF(LEFT($B$7,6)="Number",SUMIFS(Comparison_Lookup,site_level_range_board,$B13,date_range_board,C9),TEXT(SUMIFS(Comparison_Lookup,site_level_range_board,$B13,date_range_board,C9)/SUMIFS(All_Attendances,site_level_range_board,$B13,date_range_board,C9),"0.0%"))),"")</f>
        <v>77.5%</v>
      </c>
      <c r="D13" s="165" t="str">
        <f ca="1">IFERROR(IF(ISNUMBER(FIND("ED only",$B$4)),IF(LEFT($B$7,6)="Number",SUMIFS(Comparison_Lookup,site_level_range_board,$B13,date_range_board,D9,inputdata!$F:$F,"ED"),TEXT(SUMIFS(Comparison_Lookup,site_level_range_board,$B13,date_range_board,D9,inputdata!$F:$F,"ED")/SUMIFS(All_Attendances,site_level_range_board,$B13,date_range_board,D9,inputdata!$F:$F,"ED"),"0.0%")),IF(LEFT($B$7,6)="Number",SUMIFS(Comparison_Lookup,site_level_range_board,$B13,date_range_board,D9),TEXT(SUMIFS(Comparison_Lookup,site_level_range_board,$B13,date_range_board,D9)/SUMIFS(All_Attendances,site_level_range_board,$B13,date_range_board,D9),"0.0%"))),"")</f>
        <v>78.2%</v>
      </c>
      <c r="E13" s="165" t="str">
        <f ca="1">IFERROR(IF(ISNUMBER(FIND("ED only",$B$4)),IF(LEFT($B$7,6)="Number",SUMIFS(Comparison_Lookup,site_level_range_board,$B13,date_range_board,E9,inputdata!$F:$F,"ED"),TEXT(SUMIFS(Comparison_Lookup,site_level_range_board,$B13,date_range_board,E9,inputdata!$F:$F,"ED")/SUMIFS(All_Attendances,site_level_range_board,$B13,date_range_board,E9,inputdata!$F:$F,"ED"),"0.0%")),IF(LEFT($B$7,6)="Number",SUMIFS(Comparison_Lookup,site_level_range_board,$B13,date_range_board,E9),TEXT(SUMIFS(Comparison_Lookup,site_level_range_board,$B13,date_range_board,E9)/SUMIFS(All_Attendances,site_level_range_board,$B13,date_range_board,E9),"0.0%"))),"")</f>
        <v>74.9%</v>
      </c>
      <c r="F13" s="165" t="str">
        <f ca="1">IFERROR(IF(ISNUMBER(FIND("ED only",$B$4)),IF(LEFT($B$7,6)="Number",SUMIFS(Comparison_Lookup,site_level_range_board,$B13,date_range_board,F9,inputdata!$F:$F,"ED"),TEXT(SUMIFS(Comparison_Lookup,site_level_range_board,$B13,date_range_board,F9,inputdata!$F:$F,"ED")/SUMIFS(All_Attendances,site_level_range_board,$B13,date_range_board,F9,inputdata!$F:$F,"ED"),"0.0%")),IF(LEFT($B$7,6)="Number",SUMIFS(Comparison_Lookup,site_level_range_board,$B13,date_range_board,F9),TEXT(SUMIFS(Comparison_Lookup,site_level_range_board,$B13,date_range_board,F9)/SUMIFS(All_Attendances,site_level_range_board,$B13,date_range_board,F9),"0.0%"))),"")</f>
        <v>69.3%</v>
      </c>
      <c r="G13" s="165" t="str">
        <f ca="1">IFERROR(IF(ISNUMBER(FIND("ED only",$B$4)),IF(LEFT($B$7,6)="Number",SUMIFS(Comparison_Lookup,site_level_range_board,$B13,date_range_board,G9,inputdata!$F:$F,"ED"),TEXT(SUMIFS(Comparison_Lookup,site_level_range_board,$B13,date_range_board,G9,inputdata!$F:$F,"ED")/SUMIFS(All_Attendances,site_level_range_board,$B13,date_range_board,G9,inputdata!$F:$F,"ED"),"0.0%")),IF(LEFT($B$7,6)="Number",SUMIFS(Comparison_Lookup,site_level_range_board,$B13,date_range_board,G9),TEXT(SUMIFS(Comparison_Lookup,site_level_range_board,$B13,date_range_board,G9)/SUMIFS(All_Attendances,site_level_range_board,$B13,date_range_board,G9),"0.0%"))),"")</f>
        <v>68.4%</v>
      </c>
      <c r="H13" s="165" t="str">
        <f ca="1">IFERROR(IF(ISNUMBER(FIND("ED only",$B$4)),IF(LEFT($B$7,6)="Number",SUMIFS(Comparison_Lookup,site_level_range_board,$B13,date_range_board,H9,inputdata!$F:$F,"ED"),TEXT(SUMIFS(Comparison_Lookup,site_level_range_board,$B13,date_range_board,H9,inputdata!$F:$F,"ED")/SUMIFS(All_Attendances,site_level_range_board,$B13,date_range_board,H9,inputdata!$F:$F,"ED"),"0.0%")),IF(LEFT($B$7,6)="Number",SUMIFS(Comparison_Lookup,site_level_range_board,$B13,date_range_board,H9),TEXT(SUMIFS(Comparison_Lookup,site_level_range_board,$B13,date_range_board,H9)/SUMIFS(All_Attendances,site_level_range_board,$B13,date_range_board,H9),"0.0%"))),"")</f>
        <v>67.7%</v>
      </c>
      <c r="I13" s="165" t="str">
        <f ca="1">IFERROR(IF(ISNUMBER(FIND("ED only",$B$4)),IF(LEFT($B$7,6)="Number",SUMIFS(Comparison_Lookup,site_level_range_board,$B13,date_range_board,I9,inputdata!$F:$F,"ED"),TEXT(SUMIFS(Comparison_Lookup,site_level_range_board,$B13,date_range_board,I9,inputdata!$F:$F,"ED")/SUMIFS(All_Attendances,site_level_range_board,$B13,date_range_board,I9,inputdata!$F:$F,"ED"),"0.0%")),IF(LEFT($B$7,6)="Number",SUMIFS(Comparison_Lookup,site_level_range_board,$B13,date_range_board,I9),TEXT(SUMIFS(Comparison_Lookup,site_level_range_board,$B13,date_range_board,I9)/SUMIFS(All_Attendances,site_level_range_board,$B13,date_range_board,I9),"0.0%"))),"")</f>
        <v>68.9%</v>
      </c>
      <c r="J13" s="165" t="str">
        <f ca="1">IFERROR(IF(ISNUMBER(FIND("ED only",$B$4)),IF(LEFT($B$7,6)="Number",SUMIFS(Comparison_Lookup,site_level_range_board,$B13,date_range_board,J9,inputdata!$F:$F,"ED"),TEXT(SUMIFS(Comparison_Lookup,site_level_range_board,$B13,date_range_board,J9,inputdata!$F:$F,"ED")/SUMIFS(All_Attendances,site_level_range_board,$B13,date_range_board,J9,inputdata!$F:$F,"ED"),"0.0%")),IF(LEFT($B$7,6)="Number",SUMIFS(Comparison_Lookup,site_level_range_board,$B13,date_range_board,J9),TEXT(SUMIFS(Comparison_Lookup,site_level_range_board,$B13,date_range_board,J9)/SUMIFS(All_Attendances,site_level_range_board,$B13,date_range_board,J9),"0.0%"))),"")</f>
        <v>70.1%</v>
      </c>
      <c r="K13" s="165" t="str">
        <f ca="1">IFERROR(IF(ISNUMBER(FIND("ED only",$B$4)),IF(LEFT($B$7,6)="Number",SUMIFS(Comparison_Lookup,site_level_range_board,$B13,date_range_board,K9,inputdata!$F:$F,"ED"),TEXT(SUMIFS(Comparison_Lookup,site_level_range_board,$B13,date_range_board,K9,inputdata!$F:$F,"ED")/SUMIFS(All_Attendances,site_level_range_board,$B13,date_range_board,K9,inputdata!$F:$F,"ED"),"0.0%")),IF(LEFT($B$7,6)="Number",SUMIFS(Comparison_Lookup,site_level_range_board,$B13,date_range_board,K9),TEXT(SUMIFS(Comparison_Lookup,site_level_range_board,$B13,date_range_board,K9)/SUMIFS(All_Attendances,site_level_range_board,$B13,date_range_board,K9),"0.0%"))),"")</f>
        <v>63.2%</v>
      </c>
      <c r="L13" s="165" t="str">
        <f ca="1">IFERROR(IF(ISNUMBER(FIND("ED only",$B$4)),IF(LEFT($B$7,6)="Number",SUMIFS(Comparison_Lookup,site_level_range_board,$B13,date_range_board,L9,inputdata!$F:$F,"ED"),TEXT(SUMIFS(Comparison_Lookup,site_level_range_board,$B13,date_range_board,L9,inputdata!$F:$F,"ED")/SUMIFS(All_Attendances,site_level_range_board,$B13,date_range_board,L9,inputdata!$F:$F,"ED"),"0.0%")),IF(LEFT($B$7,6)="Number",SUMIFS(Comparison_Lookup,site_level_range_board,$B13,date_range_board,L9),TEXT(SUMIFS(Comparison_Lookup,site_level_range_board,$B13,date_range_board,L9)/SUMIFS(All_Attendances,site_level_range_board,$B13,date_range_board,L9),"0.0%"))),"")</f>
        <v>69.6%</v>
      </c>
      <c r="M13" s="165"/>
      <c r="N13" s="171"/>
    </row>
    <row r="14" spans="1:18" ht="15" customHeight="1" x14ac:dyDescent="0.2">
      <c r="A14" s="132"/>
      <c r="B14" s="152" t="s">
        <v>451</v>
      </c>
      <c r="C14" s="165" t="str">
        <f ca="1">IFERROR(IF(ISNUMBER(FIND("ED only",$B$4)),IF(LEFT($B$7,6)="Number",SUMIFS(Comparison_Lookup,site_level_range_board,$B14,date_range_board,C9,inputdata!$F:$F,"ED"),TEXT(SUMIFS(Comparison_Lookup,site_level_range_board,$B14,date_range_board,C9,inputdata!$F:$F,"ED")/SUMIFS(All_Attendances,site_level_range_board,$B14,date_range_board,C9,inputdata!$F:$F,"ED"),"0.0%")),IF(LEFT($B$7,6)="Number",SUMIFS(Comparison_Lookup,site_level_range_board,$B14,date_range_board,C9),TEXT(SUMIFS(Comparison_Lookup,site_level_range_board,$B14,date_range_board,C9)/SUMIFS(All_Attendances,site_level_range_board,$B14,date_range_board,C9),"0.0%"))),"")</f>
        <v>66.3%</v>
      </c>
      <c r="D14" s="165" t="str">
        <f ca="1">IFERROR(IF(ISNUMBER(FIND("ED only",$B$4)),IF(LEFT($B$7,6)="Number",SUMIFS(Comparison_Lookup,site_level_range_board,$B14,date_range_board,D9,inputdata!$F:$F,"ED"),TEXT(SUMIFS(Comparison_Lookup,site_level_range_board,$B14,date_range_board,D9,inputdata!$F:$F,"ED")/SUMIFS(All_Attendances,site_level_range_board,$B14,date_range_board,D9,inputdata!$F:$F,"ED"),"0.0%")),IF(LEFT($B$7,6)="Number",SUMIFS(Comparison_Lookup,site_level_range_board,$B14,date_range_board,D9),TEXT(SUMIFS(Comparison_Lookup,site_level_range_board,$B14,date_range_board,D9)/SUMIFS(All_Attendances,site_level_range_board,$B14,date_range_board,D9),"0.0%"))),"")</f>
        <v>68.5%</v>
      </c>
      <c r="E14" s="165" t="str">
        <f ca="1">IFERROR(IF(ISNUMBER(FIND("ED only",$B$4)),IF(LEFT($B$7,6)="Number",SUMIFS(Comparison_Lookup,site_level_range_board,$B14,date_range_board,E9,inputdata!$F:$F,"ED"),TEXT(SUMIFS(Comparison_Lookup,site_level_range_board,$B14,date_range_board,E9,inputdata!$F:$F,"ED")/SUMIFS(All_Attendances,site_level_range_board,$B14,date_range_board,E9,inputdata!$F:$F,"ED"),"0.0%")),IF(LEFT($B$7,6)="Number",SUMIFS(Comparison_Lookup,site_level_range_board,$B14,date_range_board,E9),TEXT(SUMIFS(Comparison_Lookup,site_level_range_board,$B14,date_range_board,E9)/SUMIFS(All_Attendances,site_level_range_board,$B14,date_range_board,E9),"0.0%"))),"")</f>
        <v>62.7%</v>
      </c>
      <c r="F14" s="165" t="str">
        <f ca="1">IFERROR(IF(ISNUMBER(FIND("ED only",$B$4)),IF(LEFT($B$7,6)="Number",SUMIFS(Comparison_Lookup,site_level_range_board,$B14,date_range_board,F9,inputdata!$F:$F,"ED"),TEXT(SUMIFS(Comparison_Lookup,site_level_range_board,$B14,date_range_board,F9,inputdata!$F:$F,"ED")/SUMIFS(All_Attendances,site_level_range_board,$B14,date_range_board,F9,inputdata!$F:$F,"ED"),"0.0%")),IF(LEFT($B$7,6)="Number",SUMIFS(Comparison_Lookup,site_level_range_board,$B14,date_range_board,F9),TEXT(SUMIFS(Comparison_Lookup,site_level_range_board,$B14,date_range_board,F9)/SUMIFS(All_Attendances,site_level_range_board,$B14,date_range_board,F9),"0.0%"))),"")</f>
        <v>64.2%</v>
      </c>
      <c r="G14" s="165" t="str">
        <f ca="1">IFERROR(IF(ISNUMBER(FIND("ED only",$B$4)),IF(LEFT($B$7,6)="Number",SUMIFS(Comparison_Lookup,site_level_range_board,$B14,date_range_board,G9,inputdata!$F:$F,"ED"),TEXT(SUMIFS(Comparison_Lookup,site_level_range_board,$B14,date_range_board,G9,inputdata!$F:$F,"ED")/SUMIFS(All_Attendances,site_level_range_board,$B14,date_range_board,G9,inputdata!$F:$F,"ED"),"0.0%")),IF(LEFT($B$7,6)="Number",SUMIFS(Comparison_Lookup,site_level_range_board,$B14,date_range_board,G9),TEXT(SUMIFS(Comparison_Lookup,site_level_range_board,$B14,date_range_board,G9)/SUMIFS(All_Attendances,site_level_range_board,$B14,date_range_board,G9),"0.0%"))),"")</f>
        <v>62.6%</v>
      </c>
      <c r="H14" s="165" t="str">
        <f ca="1">IFERROR(IF(ISNUMBER(FIND("ED only",$B$4)),IF(LEFT($B$7,6)="Number",SUMIFS(Comparison_Lookup,site_level_range_board,$B14,date_range_board,H9,inputdata!$F:$F,"ED"),TEXT(SUMIFS(Comparison_Lookup,site_level_range_board,$B14,date_range_board,H9,inputdata!$F:$F,"ED")/SUMIFS(All_Attendances,site_level_range_board,$B14,date_range_board,H9,inputdata!$F:$F,"ED"),"0.0%")),IF(LEFT($B$7,6)="Number",SUMIFS(Comparison_Lookup,site_level_range_board,$B14,date_range_board,H9),TEXT(SUMIFS(Comparison_Lookup,site_level_range_board,$B14,date_range_board,H9)/SUMIFS(All_Attendances,site_level_range_board,$B14,date_range_board,H9),"0.0%"))),"")</f>
        <v>58.8%</v>
      </c>
      <c r="I14" s="165" t="str">
        <f ca="1">IFERROR(IF(ISNUMBER(FIND("ED only",$B$4)),IF(LEFT($B$7,6)="Number",SUMIFS(Comparison_Lookup,site_level_range_board,$B14,date_range_board,I9,inputdata!$F:$F,"ED"),TEXT(SUMIFS(Comparison_Lookup,site_level_range_board,$B14,date_range_board,I9,inputdata!$F:$F,"ED")/SUMIFS(All_Attendances,site_level_range_board,$B14,date_range_board,I9,inputdata!$F:$F,"ED"),"0.0%")),IF(LEFT($B$7,6)="Number",SUMIFS(Comparison_Lookup,site_level_range_board,$B14,date_range_board,I9),TEXT(SUMIFS(Comparison_Lookup,site_level_range_board,$B14,date_range_board,I9)/SUMIFS(All_Attendances,site_level_range_board,$B14,date_range_board,I9),"0.0%"))),"")</f>
        <v>55.5%</v>
      </c>
      <c r="J14" s="165" t="str">
        <f ca="1">IFERROR(IF(ISNUMBER(FIND("ED only",$B$4)),IF(LEFT($B$7,6)="Number",SUMIFS(Comparison_Lookup,site_level_range_board,$B14,date_range_board,J9,inputdata!$F:$F,"ED"),TEXT(SUMIFS(Comparison_Lookup,site_level_range_board,$B14,date_range_board,J9,inputdata!$F:$F,"ED")/SUMIFS(All_Attendances,site_level_range_board,$B14,date_range_board,J9,inputdata!$F:$F,"ED"),"0.0%")),IF(LEFT($B$7,6)="Number",SUMIFS(Comparison_Lookup,site_level_range_board,$B14,date_range_board,J9),TEXT(SUMIFS(Comparison_Lookup,site_level_range_board,$B14,date_range_board,J9)/SUMIFS(All_Attendances,site_level_range_board,$B14,date_range_board,J9),"0.0%"))),"")</f>
        <v>61.4%</v>
      </c>
      <c r="K14" s="165" t="str">
        <f ca="1">IFERROR(IF(ISNUMBER(FIND("ED only",$B$4)),IF(LEFT($B$7,6)="Number",SUMIFS(Comparison_Lookup,site_level_range_board,$B14,date_range_board,K9,inputdata!$F:$F,"ED"),TEXT(SUMIFS(Comparison_Lookup,site_level_range_board,$B14,date_range_board,K9,inputdata!$F:$F,"ED")/SUMIFS(All_Attendances,site_level_range_board,$B14,date_range_board,K9,inputdata!$F:$F,"ED"),"0.0%")),IF(LEFT($B$7,6)="Number",SUMIFS(Comparison_Lookup,site_level_range_board,$B14,date_range_board,K9),TEXT(SUMIFS(Comparison_Lookup,site_level_range_board,$B14,date_range_board,K9)/SUMIFS(All_Attendances,site_level_range_board,$B14,date_range_board,K9),"0.0%"))),"")</f>
        <v>54.8%</v>
      </c>
      <c r="L14" s="165" t="str">
        <f ca="1">IFERROR(IF(ISNUMBER(FIND("ED only",$B$4)),IF(LEFT($B$7,6)="Number",SUMIFS(Comparison_Lookup,site_level_range_board,$B14,date_range_board,L9,inputdata!$F:$F,"ED"),TEXT(SUMIFS(Comparison_Lookup,site_level_range_board,$B14,date_range_board,L9,inputdata!$F:$F,"ED")/SUMIFS(All_Attendances,site_level_range_board,$B14,date_range_board,L9,inputdata!$F:$F,"ED"),"0.0%")),IF(LEFT($B$7,6)="Number",SUMIFS(Comparison_Lookup,site_level_range_board,$B14,date_range_board,L9),TEXT(SUMIFS(Comparison_Lookup,site_level_range_board,$B14,date_range_board,L9)/SUMIFS(All_Attendances,site_level_range_board,$B14,date_range_board,L9),"0.0%"))),"")</f>
        <v>61.4%</v>
      </c>
      <c r="M14" s="165"/>
      <c r="N14" s="171"/>
    </row>
    <row r="15" spans="1:18" ht="15" customHeight="1" x14ac:dyDescent="0.2">
      <c r="A15" s="132"/>
      <c r="B15" s="152" t="s">
        <v>456</v>
      </c>
      <c r="C15" s="165" t="str">
        <f ca="1">IFERROR(IF(ISNUMBER(FIND("ED only",$B$4)),IF(LEFT($B$7,6)="Number",SUMIFS(Comparison_Lookup,site_level_range_board,$B15,date_range_board,C9,inputdata!$F:$F,"ED"),TEXT(SUMIFS(Comparison_Lookup,site_level_range_board,$B15,date_range_board,C9,inputdata!$F:$F,"ED")/SUMIFS(All_Attendances,site_level_range_board,$B15,date_range_board,C9,inputdata!$F:$F,"ED"),"0.0%")),IF(LEFT($B$7,6)="Number",SUMIFS(Comparison_Lookup,site_level_range_board,$B15,date_range_board,C9),TEXT(SUMIFS(Comparison_Lookup,site_level_range_board,$B15,date_range_board,C9)/SUMIFS(All_Attendances,site_level_range_board,$B15,date_range_board,C9),"0.0%"))),"")</f>
        <v>71.9%</v>
      </c>
      <c r="D15" s="165" t="str">
        <f ca="1">IFERROR(IF(ISNUMBER(FIND("ED only",$B$4)),IF(LEFT($B$7,6)="Number",SUMIFS(Comparison_Lookup,site_level_range_board,$B15,date_range_board,D9,inputdata!$F:$F,"ED"),TEXT(SUMIFS(Comparison_Lookup,site_level_range_board,$B15,date_range_board,D9,inputdata!$F:$F,"ED")/SUMIFS(All_Attendances,site_level_range_board,$B15,date_range_board,D9,inputdata!$F:$F,"ED"),"0.0%")),IF(LEFT($B$7,6)="Number",SUMIFS(Comparison_Lookup,site_level_range_board,$B15,date_range_board,D9),TEXT(SUMIFS(Comparison_Lookup,site_level_range_board,$B15,date_range_board,D9)/SUMIFS(All_Attendances,site_level_range_board,$B15,date_range_board,D9),"0.0%"))),"")</f>
        <v>72.7%</v>
      </c>
      <c r="E15" s="165" t="str">
        <f ca="1">IFERROR(IF(ISNUMBER(FIND("ED only",$B$4)),IF(LEFT($B$7,6)="Number",SUMIFS(Comparison_Lookup,site_level_range_board,$B15,date_range_board,E9,inputdata!$F:$F,"ED"),TEXT(SUMIFS(Comparison_Lookup,site_level_range_board,$B15,date_range_board,E9,inputdata!$F:$F,"ED")/SUMIFS(All_Attendances,site_level_range_board,$B15,date_range_board,E9,inputdata!$F:$F,"ED"),"0.0%")),IF(LEFT($B$7,6)="Number",SUMIFS(Comparison_Lookup,site_level_range_board,$B15,date_range_board,E9),TEXT(SUMIFS(Comparison_Lookup,site_level_range_board,$B15,date_range_board,E9)/SUMIFS(All_Attendances,site_level_range_board,$B15,date_range_board,E9),"0.0%"))),"")</f>
        <v>73.4%</v>
      </c>
      <c r="F15" s="165" t="str">
        <f ca="1">IFERROR(IF(ISNUMBER(FIND("ED only",$B$4)),IF(LEFT($B$7,6)="Number",SUMIFS(Comparison_Lookup,site_level_range_board,$B15,date_range_board,F9,inputdata!$F:$F,"ED"),TEXT(SUMIFS(Comparison_Lookup,site_level_range_board,$B15,date_range_board,F9,inputdata!$F:$F,"ED")/SUMIFS(All_Attendances,site_level_range_board,$B15,date_range_board,F9,inputdata!$F:$F,"ED"),"0.0%")),IF(LEFT($B$7,6)="Number",SUMIFS(Comparison_Lookup,site_level_range_board,$B15,date_range_board,F9),TEXT(SUMIFS(Comparison_Lookup,site_level_range_board,$B15,date_range_board,F9)/SUMIFS(All_Attendances,site_level_range_board,$B15,date_range_board,F9),"0.0%"))),"")</f>
        <v>70.9%</v>
      </c>
      <c r="G15" s="165" t="str">
        <f ca="1">IFERROR(IF(ISNUMBER(FIND("ED only",$B$4)),IF(LEFT($B$7,6)="Number",SUMIFS(Comparison_Lookup,site_level_range_board,$B15,date_range_board,G9,inputdata!$F:$F,"ED"),TEXT(SUMIFS(Comparison_Lookup,site_level_range_board,$B15,date_range_board,G9,inputdata!$F:$F,"ED")/SUMIFS(All_Attendances,site_level_range_board,$B15,date_range_board,G9,inputdata!$F:$F,"ED"),"0.0%")),IF(LEFT($B$7,6)="Number",SUMIFS(Comparison_Lookup,site_level_range_board,$B15,date_range_board,G9),TEXT(SUMIFS(Comparison_Lookup,site_level_range_board,$B15,date_range_board,G9)/SUMIFS(All_Attendances,site_level_range_board,$B15,date_range_board,G9),"0.0%"))),"")</f>
        <v>71.3%</v>
      </c>
      <c r="H15" s="165" t="str">
        <f ca="1">IFERROR(IF(ISNUMBER(FIND("ED only",$B$4)),IF(LEFT($B$7,6)="Number",SUMIFS(Comparison_Lookup,site_level_range_board,$B15,date_range_board,H9,inputdata!$F:$F,"ED"),TEXT(SUMIFS(Comparison_Lookup,site_level_range_board,$B15,date_range_board,H9,inputdata!$F:$F,"ED")/SUMIFS(All_Attendances,site_level_range_board,$B15,date_range_board,H9,inputdata!$F:$F,"ED"),"0.0%")),IF(LEFT($B$7,6)="Number",SUMIFS(Comparison_Lookup,site_level_range_board,$B15,date_range_board,H9),TEXT(SUMIFS(Comparison_Lookup,site_level_range_board,$B15,date_range_board,H9)/SUMIFS(All_Attendances,site_level_range_board,$B15,date_range_board,H9),"0.0%"))),"")</f>
        <v>69.5%</v>
      </c>
      <c r="I15" s="165" t="str">
        <f ca="1">IFERROR(IF(ISNUMBER(FIND("ED only",$B$4)),IF(LEFT($B$7,6)="Number",SUMIFS(Comparison_Lookup,site_level_range_board,$B15,date_range_board,I9,inputdata!$F:$F,"ED"),TEXT(SUMIFS(Comparison_Lookup,site_level_range_board,$B15,date_range_board,I9,inputdata!$F:$F,"ED")/SUMIFS(All_Attendances,site_level_range_board,$B15,date_range_board,I9,inputdata!$F:$F,"ED"),"0.0%")),IF(LEFT($B$7,6)="Number",SUMIFS(Comparison_Lookup,site_level_range_board,$B15,date_range_board,I9),TEXT(SUMIFS(Comparison_Lookup,site_level_range_board,$B15,date_range_board,I9)/SUMIFS(All_Attendances,site_level_range_board,$B15,date_range_board,I9),"0.0%"))),"")</f>
        <v>68.5%</v>
      </c>
      <c r="J15" s="165" t="str">
        <f ca="1">IFERROR(IF(ISNUMBER(FIND("ED only",$B$4)),IF(LEFT($B$7,6)="Number",SUMIFS(Comparison_Lookup,site_level_range_board,$B15,date_range_board,J9,inputdata!$F:$F,"ED"),TEXT(SUMIFS(Comparison_Lookup,site_level_range_board,$B15,date_range_board,J9,inputdata!$F:$F,"ED")/SUMIFS(All_Attendances,site_level_range_board,$B15,date_range_board,J9,inputdata!$F:$F,"ED"),"0.0%")),IF(LEFT($B$7,6)="Number",SUMIFS(Comparison_Lookup,site_level_range_board,$B15,date_range_board,J9),TEXT(SUMIFS(Comparison_Lookup,site_level_range_board,$B15,date_range_board,J9)/SUMIFS(All_Attendances,site_level_range_board,$B15,date_range_board,J9),"0.0%"))),"")</f>
        <v>70.2%</v>
      </c>
      <c r="K15" s="165" t="str">
        <f ca="1">IFERROR(IF(ISNUMBER(FIND("ED only",$B$4)),IF(LEFT($B$7,6)="Number",SUMIFS(Comparison_Lookup,site_level_range_board,$B15,date_range_board,K9,inputdata!$F:$F,"ED"),TEXT(SUMIFS(Comparison_Lookup,site_level_range_board,$B15,date_range_board,K9,inputdata!$F:$F,"ED")/SUMIFS(All_Attendances,site_level_range_board,$B15,date_range_board,K9,inputdata!$F:$F,"ED"),"0.0%")),IF(LEFT($B$7,6)="Number",SUMIFS(Comparison_Lookup,site_level_range_board,$B15,date_range_board,K9),TEXT(SUMIFS(Comparison_Lookup,site_level_range_board,$B15,date_range_board,K9)/SUMIFS(All_Attendances,site_level_range_board,$B15,date_range_board,K9),"0.0%"))),"")</f>
        <v>63.9%</v>
      </c>
      <c r="L15" s="165" t="str">
        <f ca="1">IFERROR(IF(ISNUMBER(FIND("ED only",$B$4)),IF(LEFT($B$7,6)="Number",SUMIFS(Comparison_Lookup,site_level_range_board,$B15,date_range_board,L9,inputdata!$F:$F,"ED"),TEXT(SUMIFS(Comparison_Lookup,site_level_range_board,$B15,date_range_board,L9,inputdata!$F:$F,"ED")/SUMIFS(All_Attendances,site_level_range_board,$B15,date_range_board,L9,inputdata!$F:$F,"ED"),"0.0%")),IF(LEFT($B$7,6)="Number",SUMIFS(Comparison_Lookup,site_level_range_board,$B15,date_range_board,L9),TEXT(SUMIFS(Comparison_Lookup,site_level_range_board,$B15,date_range_board,L9)/SUMIFS(All_Attendances,site_level_range_board,$B15,date_range_board,L9),"0.0%"))),"")</f>
        <v>65.9%</v>
      </c>
      <c r="M15" s="165"/>
      <c r="N15" s="171"/>
    </row>
    <row r="16" spans="1:18" ht="15" customHeight="1" x14ac:dyDescent="0.2">
      <c r="A16" s="132"/>
      <c r="B16" s="152" t="s">
        <v>491</v>
      </c>
      <c r="C16" s="165" t="str">
        <f ca="1">IFERROR(IF(ISNUMBER(FIND("ED only",$B$4)),IF(LEFT($B$7,6)="Number",SUMIFS(Comparison_Lookup,site_level_range_board,$B16,date_range_board,C9,inputdata!$F:$F,"ED"),TEXT(SUMIFS(Comparison_Lookup,site_level_range_board,$B16,date_range_board,C9,inputdata!$F:$F,"ED")/SUMIFS(All_Attendances,site_level_range_board,$B16,date_range_board,C9,inputdata!$F:$F,"ED"),"0.0%")),IF(LEFT($B$7,6)="Number",SUMIFS(Comparison_Lookup,site_level_range_board,$B16,date_range_board,C9),TEXT(SUMIFS(Comparison_Lookup,site_level_range_board,$B16,date_range_board,C9)/SUMIFS(All_Attendances,site_level_range_board,$B16,date_range_board,C9),"0.0%"))),"")</f>
        <v>73.2%</v>
      </c>
      <c r="D16" s="165" t="str">
        <f ca="1">IFERROR(IF(ISNUMBER(FIND("ED only",$B$4)),IF(LEFT($B$7,6)="Number",SUMIFS(Comparison_Lookup,site_level_range_board,$B16,date_range_board,D9,inputdata!$F:$F,"ED"),TEXT(SUMIFS(Comparison_Lookup,site_level_range_board,$B16,date_range_board,D9,inputdata!$F:$F,"ED")/SUMIFS(All_Attendances,site_level_range_board,$B16,date_range_board,D9,inputdata!$F:$F,"ED"),"0.0%")),IF(LEFT($B$7,6)="Number",SUMIFS(Comparison_Lookup,site_level_range_board,$B16,date_range_board,D9),TEXT(SUMIFS(Comparison_Lookup,site_level_range_board,$B16,date_range_board,D9)/SUMIFS(All_Attendances,site_level_range_board,$B16,date_range_board,D9),"0.0%"))),"")</f>
        <v>73.9%</v>
      </c>
      <c r="E16" s="165" t="str">
        <f ca="1">IFERROR(IF(ISNUMBER(FIND("ED only",$B$4)),IF(LEFT($B$7,6)="Number",SUMIFS(Comparison_Lookup,site_level_range_board,$B16,date_range_board,E9,inputdata!$F:$F,"ED"),TEXT(SUMIFS(Comparison_Lookup,site_level_range_board,$B16,date_range_board,E9,inputdata!$F:$F,"ED")/SUMIFS(All_Attendances,site_level_range_board,$B16,date_range_board,E9,inputdata!$F:$F,"ED"),"0.0%")),IF(LEFT($B$7,6)="Number",SUMIFS(Comparison_Lookup,site_level_range_board,$B16,date_range_board,E9),TEXT(SUMIFS(Comparison_Lookup,site_level_range_board,$B16,date_range_board,E9)/SUMIFS(All_Attendances,site_level_range_board,$B16,date_range_board,E9),"0.0%"))),"")</f>
        <v>72.4%</v>
      </c>
      <c r="F16" s="165" t="str">
        <f ca="1">IFERROR(IF(ISNUMBER(FIND("ED only",$B$4)),IF(LEFT($B$7,6)="Number",SUMIFS(Comparison_Lookup,site_level_range_board,$B16,date_range_board,F9,inputdata!$F:$F,"ED"),TEXT(SUMIFS(Comparison_Lookup,site_level_range_board,$B16,date_range_board,F9,inputdata!$F:$F,"ED")/SUMIFS(All_Attendances,site_level_range_board,$B16,date_range_board,F9,inputdata!$F:$F,"ED"),"0.0%")),IF(LEFT($B$7,6)="Number",SUMIFS(Comparison_Lookup,site_level_range_board,$B16,date_range_board,F9),TEXT(SUMIFS(Comparison_Lookup,site_level_range_board,$B16,date_range_board,F9)/SUMIFS(All_Attendances,site_level_range_board,$B16,date_range_board,F9),"0.0%"))),"")</f>
        <v>72.6%</v>
      </c>
      <c r="G16" s="165" t="str">
        <f ca="1">IFERROR(IF(ISNUMBER(FIND("ED only",$B$4)),IF(LEFT($B$7,6)="Number",SUMIFS(Comparison_Lookup,site_level_range_board,$B16,date_range_board,G9,inputdata!$F:$F,"ED"),TEXT(SUMIFS(Comparison_Lookup,site_level_range_board,$B16,date_range_board,G9,inputdata!$F:$F,"ED")/SUMIFS(All_Attendances,site_level_range_board,$B16,date_range_board,G9,inputdata!$F:$F,"ED"),"0.0%")),IF(LEFT($B$7,6)="Number",SUMIFS(Comparison_Lookup,site_level_range_board,$B16,date_range_board,G9),TEXT(SUMIFS(Comparison_Lookup,site_level_range_board,$B16,date_range_board,G9)/SUMIFS(All_Attendances,site_level_range_board,$B16,date_range_board,G9),"0.0%"))),"")</f>
        <v>70.6%</v>
      </c>
      <c r="H16" s="165" t="str">
        <f ca="1">IFERROR(IF(ISNUMBER(FIND("ED only",$B$4)),IF(LEFT($B$7,6)="Number",SUMIFS(Comparison_Lookup,site_level_range_board,$B16,date_range_board,H9,inputdata!$F:$F,"ED"),TEXT(SUMIFS(Comparison_Lookup,site_level_range_board,$B16,date_range_board,H9,inputdata!$F:$F,"ED")/SUMIFS(All_Attendances,site_level_range_board,$B16,date_range_board,H9,inputdata!$F:$F,"ED"),"0.0%")),IF(LEFT($B$7,6)="Number",SUMIFS(Comparison_Lookup,site_level_range_board,$B16,date_range_board,H9),TEXT(SUMIFS(Comparison_Lookup,site_level_range_board,$B16,date_range_board,H9)/SUMIFS(All_Attendances,site_level_range_board,$B16,date_range_board,H9),"0.0%"))),"")</f>
        <v>72.1%</v>
      </c>
      <c r="I16" s="165" t="str">
        <f ca="1">IFERROR(IF(ISNUMBER(FIND("ED only",$B$4)),IF(LEFT($B$7,6)="Number",SUMIFS(Comparison_Lookup,site_level_range_board,$B16,date_range_board,I9,inputdata!$F:$F,"ED"),TEXT(SUMIFS(Comparison_Lookup,site_level_range_board,$B16,date_range_board,I9,inputdata!$F:$F,"ED")/SUMIFS(All_Attendances,site_level_range_board,$B16,date_range_board,I9,inputdata!$F:$F,"ED"),"0.0%")),IF(LEFT($B$7,6)="Number",SUMIFS(Comparison_Lookup,site_level_range_board,$B16,date_range_board,I9),TEXT(SUMIFS(Comparison_Lookup,site_level_range_board,$B16,date_range_board,I9)/SUMIFS(All_Attendances,site_level_range_board,$B16,date_range_board,I9),"0.0%"))),"")</f>
        <v>69.6%</v>
      </c>
      <c r="J16" s="165" t="str">
        <f ca="1">IFERROR(IF(ISNUMBER(FIND("ED only",$B$4)),IF(LEFT($B$7,6)="Number",SUMIFS(Comparison_Lookup,site_level_range_board,$B16,date_range_board,J9,inputdata!$F:$F,"ED"),TEXT(SUMIFS(Comparison_Lookup,site_level_range_board,$B16,date_range_board,J9,inputdata!$F:$F,"ED")/SUMIFS(All_Attendances,site_level_range_board,$B16,date_range_board,J9,inputdata!$F:$F,"ED"),"0.0%")),IF(LEFT($B$7,6)="Number",SUMIFS(Comparison_Lookup,site_level_range_board,$B16,date_range_board,J9),TEXT(SUMIFS(Comparison_Lookup,site_level_range_board,$B16,date_range_board,J9)/SUMIFS(All_Attendances,site_level_range_board,$B16,date_range_board,J9),"0.0%"))),"")</f>
        <v>66.1%</v>
      </c>
      <c r="K16" s="165" t="str">
        <f ca="1">IFERROR(IF(ISNUMBER(FIND("ED only",$B$4)),IF(LEFT($B$7,6)="Number",SUMIFS(Comparison_Lookup,site_level_range_board,$B16,date_range_board,K9,inputdata!$F:$F,"ED"),TEXT(SUMIFS(Comparison_Lookup,site_level_range_board,$B16,date_range_board,K9,inputdata!$F:$F,"ED")/SUMIFS(All_Attendances,site_level_range_board,$B16,date_range_board,K9,inputdata!$F:$F,"ED"),"0.0%")),IF(LEFT($B$7,6)="Number",SUMIFS(Comparison_Lookup,site_level_range_board,$B16,date_range_board,K9),TEXT(SUMIFS(Comparison_Lookup,site_level_range_board,$B16,date_range_board,K9)/SUMIFS(All_Attendances,site_level_range_board,$B16,date_range_board,K9),"0.0%"))),"")</f>
        <v>59.8%</v>
      </c>
      <c r="L16" s="165" t="str">
        <f ca="1">IFERROR(IF(ISNUMBER(FIND("ED only",$B$4)),IF(LEFT($B$7,6)="Number",SUMIFS(Comparison_Lookup,site_level_range_board,$B16,date_range_board,L9,inputdata!$F:$F,"ED"),TEXT(SUMIFS(Comparison_Lookup,site_level_range_board,$B16,date_range_board,L9,inputdata!$F:$F,"ED")/SUMIFS(All_Attendances,site_level_range_board,$B16,date_range_board,L9,inputdata!$F:$F,"ED"),"0.0%")),IF(LEFT($B$7,6)="Number",SUMIFS(Comparison_Lookup,site_level_range_board,$B16,date_range_board,L9),TEXT(SUMIFS(Comparison_Lookup,site_level_range_board,$B16,date_range_board,L9)/SUMIFS(All_Attendances,site_level_range_board,$B16,date_range_board,L9),"0.0%"))),"")</f>
        <v>73.6%</v>
      </c>
      <c r="M16" s="165"/>
      <c r="N16" s="171"/>
    </row>
    <row r="17" spans="1:14" ht="15" customHeight="1" x14ac:dyDescent="0.2">
      <c r="A17" s="132"/>
      <c r="B17" s="152" t="s">
        <v>510</v>
      </c>
      <c r="C17" s="165" t="str">
        <f ca="1">IFERROR(IF(ISNUMBER(FIND("ED only",$B$4)),IF(LEFT($B$7,6)="Number",SUMIFS(Comparison_Lookup,site_level_range_board,$B17,date_range_board,C9,inputdata!$F:$F,"ED"),TEXT(SUMIFS(Comparison_Lookup,site_level_range_board,$B17,date_range_board,C9,inputdata!$F:$F,"ED")/SUMIFS(All_Attendances,site_level_range_board,$B17,date_range_board,C9,inputdata!$F:$F,"ED"),"0.0%")),IF(LEFT($B$7,6)="Number",SUMIFS(Comparison_Lookup,site_level_range_board,$B17,date_range_board,C9),TEXT(SUMIFS(Comparison_Lookup,site_level_range_board,$B17,date_range_board,C9)/SUMIFS(All_Attendances,site_level_range_board,$B17,date_range_board,C9),"0.0%"))),"")</f>
        <v>86.2%</v>
      </c>
      <c r="D17" s="165" t="str">
        <f ca="1">IFERROR(IF(ISNUMBER(FIND("ED only",$B$4)),IF(LEFT($B$7,6)="Number",SUMIFS(Comparison_Lookup,site_level_range_board,$B17,date_range_board,D9,inputdata!$F:$F,"ED"),TEXT(SUMIFS(Comparison_Lookup,site_level_range_board,$B17,date_range_board,D9,inputdata!$F:$F,"ED")/SUMIFS(All_Attendances,site_level_range_board,$B17,date_range_board,D9,inputdata!$F:$F,"ED"),"0.0%")),IF(LEFT($B$7,6)="Number",SUMIFS(Comparison_Lookup,site_level_range_board,$B17,date_range_board,D9),TEXT(SUMIFS(Comparison_Lookup,site_level_range_board,$B17,date_range_board,D9)/SUMIFS(All_Attendances,site_level_range_board,$B17,date_range_board,D9),"0.0%"))),"")</f>
        <v>84.8%</v>
      </c>
      <c r="E17" s="165" t="str">
        <f ca="1">IFERROR(IF(ISNUMBER(FIND("ED only",$B$4)),IF(LEFT($B$7,6)="Number",SUMIFS(Comparison_Lookup,site_level_range_board,$B17,date_range_board,E9,inputdata!$F:$F,"ED"),TEXT(SUMIFS(Comparison_Lookup,site_level_range_board,$B17,date_range_board,E9,inputdata!$F:$F,"ED")/SUMIFS(All_Attendances,site_level_range_board,$B17,date_range_board,E9,inputdata!$F:$F,"ED"),"0.0%")),IF(LEFT($B$7,6)="Number",SUMIFS(Comparison_Lookup,site_level_range_board,$B17,date_range_board,E9),TEXT(SUMIFS(Comparison_Lookup,site_level_range_board,$B17,date_range_board,E9)/SUMIFS(All_Attendances,site_level_range_board,$B17,date_range_board,E9),"0.0%"))),"")</f>
        <v>84.9%</v>
      </c>
      <c r="F17" s="165" t="str">
        <f ca="1">IFERROR(IF(ISNUMBER(FIND("ED only",$B$4)),IF(LEFT($B$7,6)="Number",SUMIFS(Comparison_Lookup,site_level_range_board,$B17,date_range_board,F9,inputdata!$F:$F,"ED"),TEXT(SUMIFS(Comparison_Lookup,site_level_range_board,$B17,date_range_board,F9,inputdata!$F:$F,"ED")/SUMIFS(All_Attendances,site_level_range_board,$B17,date_range_board,F9,inputdata!$F:$F,"ED"),"0.0%")),IF(LEFT($B$7,6)="Number",SUMIFS(Comparison_Lookup,site_level_range_board,$B17,date_range_board,F9),TEXT(SUMIFS(Comparison_Lookup,site_level_range_board,$B17,date_range_board,F9)/SUMIFS(All_Attendances,site_level_range_board,$B17,date_range_board,F9),"0.0%"))),"")</f>
        <v>83.0%</v>
      </c>
      <c r="G17" s="165" t="str">
        <f ca="1">IFERROR(IF(ISNUMBER(FIND("ED only",$B$4)),IF(LEFT($B$7,6)="Number",SUMIFS(Comparison_Lookup,site_level_range_board,$B17,date_range_board,G9,inputdata!$F:$F,"ED"),TEXT(SUMIFS(Comparison_Lookup,site_level_range_board,$B17,date_range_board,G9,inputdata!$F:$F,"ED")/SUMIFS(All_Attendances,site_level_range_board,$B17,date_range_board,G9,inputdata!$F:$F,"ED"),"0.0%")),IF(LEFT($B$7,6)="Number",SUMIFS(Comparison_Lookup,site_level_range_board,$B17,date_range_board,G9),TEXT(SUMIFS(Comparison_Lookup,site_level_range_board,$B17,date_range_board,G9)/SUMIFS(All_Attendances,site_level_range_board,$B17,date_range_board,G9),"0.0%"))),"")</f>
        <v>85.2%</v>
      </c>
      <c r="H17" s="165" t="str">
        <f ca="1">IFERROR(IF(ISNUMBER(FIND("ED only",$B$4)),IF(LEFT($B$7,6)="Number",SUMIFS(Comparison_Lookup,site_level_range_board,$B17,date_range_board,H9,inputdata!$F:$F,"ED"),TEXT(SUMIFS(Comparison_Lookup,site_level_range_board,$B17,date_range_board,H9,inputdata!$F:$F,"ED")/SUMIFS(All_Attendances,site_level_range_board,$B17,date_range_board,H9,inputdata!$F:$F,"ED"),"0.0%")),IF(LEFT($B$7,6)="Number",SUMIFS(Comparison_Lookup,site_level_range_board,$B17,date_range_board,H9),TEXT(SUMIFS(Comparison_Lookup,site_level_range_board,$B17,date_range_board,H9)/SUMIFS(All_Attendances,site_level_range_board,$B17,date_range_board,H9),"0.0%"))),"")</f>
        <v>84.5%</v>
      </c>
      <c r="I17" s="165" t="str">
        <f ca="1">IFERROR(IF(ISNUMBER(FIND("ED only",$B$4)),IF(LEFT($B$7,6)="Number",SUMIFS(Comparison_Lookup,site_level_range_board,$B17,date_range_board,I9,inputdata!$F:$F,"ED"),TEXT(SUMIFS(Comparison_Lookup,site_level_range_board,$B17,date_range_board,I9,inputdata!$F:$F,"ED")/SUMIFS(All_Attendances,site_level_range_board,$B17,date_range_board,I9,inputdata!$F:$F,"ED"),"0.0%")),IF(LEFT($B$7,6)="Number",SUMIFS(Comparison_Lookup,site_level_range_board,$B17,date_range_board,I9),TEXT(SUMIFS(Comparison_Lookup,site_level_range_board,$B17,date_range_board,I9)/SUMIFS(All_Attendances,site_level_range_board,$B17,date_range_board,I9),"0.0%"))),"")</f>
        <v>85.6%</v>
      </c>
      <c r="J17" s="165" t="str">
        <f ca="1">IFERROR(IF(ISNUMBER(FIND("ED only",$B$4)),IF(LEFT($B$7,6)="Number",SUMIFS(Comparison_Lookup,site_level_range_board,$B17,date_range_board,J9,inputdata!$F:$F,"ED"),TEXT(SUMIFS(Comparison_Lookup,site_level_range_board,$B17,date_range_board,J9,inputdata!$F:$F,"ED")/SUMIFS(All_Attendances,site_level_range_board,$B17,date_range_board,J9,inputdata!$F:$F,"ED"),"0.0%")),IF(LEFT($B$7,6)="Number",SUMIFS(Comparison_Lookup,site_level_range_board,$B17,date_range_board,J9),TEXT(SUMIFS(Comparison_Lookup,site_level_range_board,$B17,date_range_board,J9)/SUMIFS(All_Attendances,site_level_range_board,$B17,date_range_board,J9),"0.0%"))),"")</f>
        <v>85.7%</v>
      </c>
      <c r="K17" s="165" t="str">
        <f ca="1">IFERROR(IF(ISNUMBER(FIND("ED only",$B$4)),IF(LEFT($B$7,6)="Number",SUMIFS(Comparison_Lookup,site_level_range_board,$B17,date_range_board,K9,inputdata!$F:$F,"ED"),TEXT(SUMIFS(Comparison_Lookup,site_level_range_board,$B17,date_range_board,K9,inputdata!$F:$F,"ED")/SUMIFS(All_Attendances,site_level_range_board,$B17,date_range_board,K9,inputdata!$F:$F,"ED"),"0.0%")),IF(LEFT($B$7,6)="Number",SUMIFS(Comparison_Lookup,site_level_range_board,$B17,date_range_board,K9),TEXT(SUMIFS(Comparison_Lookup,site_level_range_board,$B17,date_range_board,K9)/SUMIFS(All_Attendances,site_level_range_board,$B17,date_range_board,K9),"0.0%"))),"")</f>
        <v>84.4%</v>
      </c>
      <c r="L17" s="165" t="str">
        <f ca="1">IFERROR(IF(ISNUMBER(FIND("ED only",$B$4)),IF(LEFT($B$7,6)="Number",SUMIFS(Comparison_Lookup,site_level_range_board,$B17,date_range_board,L9,inputdata!$F:$F,"ED"),TEXT(SUMIFS(Comparison_Lookup,site_level_range_board,$B17,date_range_board,L9,inputdata!$F:$F,"ED")/SUMIFS(All_Attendances,site_level_range_board,$B17,date_range_board,L9,inputdata!$F:$F,"ED"),"0.0%")),IF(LEFT($B$7,6)="Number",SUMIFS(Comparison_Lookup,site_level_range_board,$B17,date_range_board,L9),TEXT(SUMIFS(Comparison_Lookup,site_level_range_board,$B17,date_range_board,L9)/SUMIFS(All_Attendances,site_level_range_board,$B17,date_range_board,L9),"0.0%"))),"")</f>
        <v>84.2%</v>
      </c>
      <c r="M17" s="165"/>
      <c r="N17" s="171"/>
    </row>
    <row r="18" spans="1:14" ht="15" customHeight="1" x14ac:dyDescent="0.2">
      <c r="A18" s="132"/>
      <c r="B18" s="152" t="s">
        <v>551</v>
      </c>
      <c r="C18" s="165" t="str">
        <f ca="1">IFERROR(IF(ISNUMBER(FIND("ED only",$B$4)),IF(LEFT($B$7,6)="Number",SUMIFS(Comparison_Lookup,site_level_range_board,$B18,date_range_board,C9,inputdata!$F:$F,"ED"),TEXT(SUMIFS(Comparison_Lookup,site_level_range_board,$B18,date_range_board,C9,inputdata!$F:$F,"ED")/SUMIFS(All_Attendances,site_level_range_board,$B18,date_range_board,C9,inputdata!$F:$F,"ED"),"0.0%")),IF(LEFT($B$7,6)="Number",SUMIFS(Comparison_Lookup,site_level_range_board,$B18,date_range_board,C9),TEXT(SUMIFS(Comparison_Lookup,site_level_range_board,$B18,date_range_board,C9)/SUMIFS(All_Attendances,site_level_range_board,$B18,date_range_board,C9),"0.0%"))),"")</f>
        <v>63.9%</v>
      </c>
      <c r="D18" s="165" t="str">
        <f ca="1">IFERROR(IF(ISNUMBER(FIND("ED only",$B$4)),IF(LEFT($B$7,6)="Number",SUMIFS(Comparison_Lookup,site_level_range_board,$B18,date_range_board,D9,inputdata!$F:$F,"ED"),TEXT(SUMIFS(Comparison_Lookup,site_level_range_board,$B18,date_range_board,D9,inputdata!$F:$F,"ED")/SUMIFS(All_Attendances,site_level_range_board,$B18,date_range_board,D9,inputdata!$F:$F,"ED"),"0.0%")),IF(LEFT($B$7,6)="Number",SUMIFS(Comparison_Lookup,site_level_range_board,$B18,date_range_board,D9),TEXT(SUMIFS(Comparison_Lookup,site_level_range_board,$B18,date_range_board,D9)/SUMIFS(All_Attendances,site_level_range_board,$B18,date_range_board,D9),"0.0%"))),"")</f>
        <v>62.7%</v>
      </c>
      <c r="E18" s="165" t="str">
        <f ca="1">IFERROR(IF(ISNUMBER(FIND("ED only",$B$4)),IF(LEFT($B$7,6)="Number",SUMIFS(Comparison_Lookup,site_level_range_board,$B18,date_range_board,E9,inputdata!$F:$F,"ED"),TEXT(SUMIFS(Comparison_Lookup,site_level_range_board,$B18,date_range_board,E9,inputdata!$F:$F,"ED")/SUMIFS(All_Attendances,site_level_range_board,$B18,date_range_board,E9,inputdata!$F:$F,"ED"),"0.0%")),IF(LEFT($B$7,6)="Number",SUMIFS(Comparison_Lookup,site_level_range_board,$B18,date_range_board,E9),TEXT(SUMIFS(Comparison_Lookup,site_level_range_board,$B18,date_range_board,E9)/SUMIFS(All_Attendances,site_level_range_board,$B18,date_range_board,E9),"0.0%"))),"")</f>
        <v>57.8%</v>
      </c>
      <c r="F18" s="165" t="str">
        <f ca="1">IFERROR(IF(ISNUMBER(FIND("ED only",$B$4)),IF(LEFT($B$7,6)="Number",SUMIFS(Comparison_Lookup,site_level_range_board,$B18,date_range_board,F9,inputdata!$F:$F,"ED"),TEXT(SUMIFS(Comparison_Lookup,site_level_range_board,$B18,date_range_board,F9,inputdata!$F:$F,"ED")/SUMIFS(All_Attendances,site_level_range_board,$B18,date_range_board,F9,inputdata!$F:$F,"ED"),"0.0%")),IF(LEFT($B$7,6)="Number",SUMIFS(Comparison_Lookup,site_level_range_board,$B18,date_range_board,F9),TEXT(SUMIFS(Comparison_Lookup,site_level_range_board,$B18,date_range_board,F9)/SUMIFS(All_Attendances,site_level_range_board,$B18,date_range_board,F9),"0.0%"))),"")</f>
        <v>53.8%</v>
      </c>
      <c r="G18" s="165" t="str">
        <f ca="1">IFERROR(IF(ISNUMBER(FIND("ED only",$B$4)),IF(LEFT($B$7,6)="Number",SUMIFS(Comparison_Lookup,site_level_range_board,$B18,date_range_board,G9,inputdata!$F:$F,"ED"),TEXT(SUMIFS(Comparison_Lookup,site_level_range_board,$B18,date_range_board,G9,inputdata!$F:$F,"ED")/SUMIFS(All_Attendances,site_level_range_board,$B18,date_range_board,G9,inputdata!$F:$F,"ED"),"0.0%")),IF(LEFT($B$7,6)="Number",SUMIFS(Comparison_Lookup,site_level_range_board,$B18,date_range_board,G9),TEXT(SUMIFS(Comparison_Lookup,site_level_range_board,$B18,date_range_board,G9)/SUMIFS(All_Attendances,site_level_range_board,$B18,date_range_board,G9),"0.0%"))),"")</f>
        <v>58.6%</v>
      </c>
      <c r="H18" s="165" t="str">
        <f ca="1">IFERROR(IF(ISNUMBER(FIND("ED only",$B$4)),IF(LEFT($B$7,6)="Number",SUMIFS(Comparison_Lookup,site_level_range_board,$B18,date_range_board,H9,inputdata!$F:$F,"ED"),TEXT(SUMIFS(Comparison_Lookup,site_level_range_board,$B18,date_range_board,H9,inputdata!$F:$F,"ED")/SUMIFS(All_Attendances,site_level_range_board,$B18,date_range_board,H9,inputdata!$F:$F,"ED"),"0.0%")),IF(LEFT($B$7,6)="Number",SUMIFS(Comparison_Lookup,site_level_range_board,$B18,date_range_board,H9),TEXT(SUMIFS(Comparison_Lookup,site_level_range_board,$B18,date_range_board,H9)/SUMIFS(All_Attendances,site_level_range_board,$B18,date_range_board,H9),"0.0%"))),"")</f>
        <v>56.7%</v>
      </c>
      <c r="I18" s="165" t="str">
        <f ca="1">IFERROR(IF(ISNUMBER(FIND("ED only",$B$4)),IF(LEFT($B$7,6)="Number",SUMIFS(Comparison_Lookup,site_level_range_board,$B18,date_range_board,I9,inputdata!$F:$F,"ED"),TEXT(SUMIFS(Comparison_Lookup,site_level_range_board,$B18,date_range_board,I9,inputdata!$F:$F,"ED")/SUMIFS(All_Attendances,site_level_range_board,$B18,date_range_board,I9,inputdata!$F:$F,"ED"),"0.0%")),IF(LEFT($B$7,6)="Number",SUMIFS(Comparison_Lookup,site_level_range_board,$B18,date_range_board,I9),TEXT(SUMIFS(Comparison_Lookup,site_level_range_board,$B18,date_range_board,I9)/SUMIFS(All_Attendances,site_level_range_board,$B18,date_range_board,I9),"0.0%"))),"")</f>
        <v>53.4%</v>
      </c>
      <c r="J18" s="165" t="str">
        <f ca="1">IFERROR(IF(ISNUMBER(FIND("ED only",$B$4)),IF(LEFT($B$7,6)="Number",SUMIFS(Comparison_Lookup,site_level_range_board,$B18,date_range_board,J9,inputdata!$F:$F,"ED"),TEXT(SUMIFS(Comparison_Lookup,site_level_range_board,$B18,date_range_board,J9,inputdata!$F:$F,"ED")/SUMIFS(All_Attendances,site_level_range_board,$B18,date_range_board,J9,inputdata!$F:$F,"ED"),"0.0%")),IF(LEFT($B$7,6)="Number",SUMIFS(Comparison_Lookup,site_level_range_board,$B18,date_range_board,J9),TEXT(SUMIFS(Comparison_Lookup,site_level_range_board,$B18,date_range_board,J9)/SUMIFS(All_Attendances,site_level_range_board,$B18,date_range_board,J9),"0.0%"))),"")</f>
        <v>55.4%</v>
      </c>
      <c r="K18" s="165" t="str">
        <f ca="1">IFERROR(IF(ISNUMBER(FIND("ED only",$B$4)),IF(LEFT($B$7,6)="Number",SUMIFS(Comparison_Lookup,site_level_range_board,$B18,date_range_board,K9,inputdata!$F:$F,"ED"),TEXT(SUMIFS(Comparison_Lookup,site_level_range_board,$B18,date_range_board,K9,inputdata!$F:$F,"ED")/SUMIFS(All_Attendances,site_level_range_board,$B18,date_range_board,K9,inputdata!$F:$F,"ED"),"0.0%")),IF(LEFT($B$7,6)="Number",SUMIFS(Comparison_Lookup,site_level_range_board,$B18,date_range_board,K9),TEXT(SUMIFS(Comparison_Lookup,site_level_range_board,$B18,date_range_board,K9)/SUMIFS(All_Attendances,site_level_range_board,$B18,date_range_board,K9),"0.0%"))),"")</f>
        <v>45.0%</v>
      </c>
      <c r="L18" s="165" t="str">
        <f ca="1">IFERROR(IF(ISNUMBER(FIND("ED only",$B$4)),IF(LEFT($B$7,6)="Number",SUMIFS(Comparison_Lookup,site_level_range_board,$B18,date_range_board,L9,inputdata!$F:$F,"ED"),TEXT(SUMIFS(Comparison_Lookup,site_level_range_board,$B18,date_range_board,L9,inputdata!$F:$F,"ED")/SUMIFS(All_Attendances,site_level_range_board,$B18,date_range_board,L9,inputdata!$F:$F,"ED"),"0.0%")),IF(LEFT($B$7,6)="Number",SUMIFS(Comparison_Lookup,site_level_range_board,$B18,date_range_board,L9),TEXT(SUMIFS(Comparison_Lookup,site_level_range_board,$B18,date_range_board,L9)/SUMIFS(All_Attendances,site_level_range_board,$B18,date_range_board,L9),"0.0%"))),"")</f>
        <v>54.2%</v>
      </c>
      <c r="M18" s="165"/>
      <c r="N18" s="171"/>
    </row>
    <row r="19" spans="1:14" ht="15" customHeight="1" x14ac:dyDescent="0.2">
      <c r="A19" s="132"/>
      <c r="B19" s="152" t="s">
        <v>562</v>
      </c>
      <c r="C19" s="165" t="str">
        <f ca="1">IFERROR(IF(ISNUMBER(FIND("ED only",$B$4)),IF(LEFT($B$7,6)="Number",SUMIFS(Comparison_Lookup,site_level_range_board,$B19,date_range_board,C9,inputdata!$F:$F,"ED"),TEXT(SUMIFS(Comparison_Lookup,site_level_range_board,$B19,date_range_board,C9,inputdata!$F:$F,"ED")/SUMIFS(All_Attendances,site_level_range_board,$B19,date_range_board,C9,inputdata!$F:$F,"ED"),"0.0%")),IF(LEFT($B$7,6)="Number",SUMIFS(Comparison_Lookup,site_level_range_board,$B19,date_range_board,C9),TEXT(SUMIFS(Comparison_Lookup,site_level_range_board,$B19,date_range_board,C9)/SUMIFS(All_Attendances,site_level_range_board,$B19,date_range_board,C9),"0.0%"))),"")</f>
        <v>64.5%</v>
      </c>
      <c r="D19" s="165" t="str">
        <f ca="1">IFERROR(IF(ISNUMBER(FIND("ED only",$B$4)),IF(LEFT($B$7,6)="Number",SUMIFS(Comparison_Lookup,site_level_range_board,$B19,date_range_board,D9,inputdata!$F:$F,"ED"),TEXT(SUMIFS(Comparison_Lookup,site_level_range_board,$B19,date_range_board,D9,inputdata!$F:$F,"ED")/SUMIFS(All_Attendances,site_level_range_board,$B19,date_range_board,D9,inputdata!$F:$F,"ED"),"0.0%")),IF(LEFT($B$7,6)="Number",SUMIFS(Comparison_Lookup,site_level_range_board,$B19,date_range_board,D9),TEXT(SUMIFS(Comparison_Lookup,site_level_range_board,$B19,date_range_board,D9)/SUMIFS(All_Attendances,site_level_range_board,$B19,date_range_board,D9),"0.0%"))),"")</f>
        <v>65.8%</v>
      </c>
      <c r="E19" s="165" t="str">
        <f ca="1">IFERROR(IF(ISNUMBER(FIND("ED only",$B$4)),IF(LEFT($B$7,6)="Number",SUMIFS(Comparison_Lookup,site_level_range_board,$B19,date_range_board,E9,inputdata!$F:$F,"ED"),TEXT(SUMIFS(Comparison_Lookup,site_level_range_board,$B19,date_range_board,E9,inputdata!$F:$F,"ED")/SUMIFS(All_Attendances,site_level_range_board,$B19,date_range_board,E9,inputdata!$F:$F,"ED"),"0.0%")),IF(LEFT($B$7,6)="Number",SUMIFS(Comparison_Lookup,site_level_range_board,$B19,date_range_board,E9),TEXT(SUMIFS(Comparison_Lookup,site_level_range_board,$B19,date_range_board,E9)/SUMIFS(All_Attendances,site_level_range_board,$B19,date_range_board,E9),"0.0%"))),"")</f>
        <v>66.0%</v>
      </c>
      <c r="F19" s="165" t="str">
        <f ca="1">IFERROR(IF(ISNUMBER(FIND("ED only",$B$4)),IF(LEFT($B$7,6)="Number",SUMIFS(Comparison_Lookup,site_level_range_board,$B19,date_range_board,F9,inputdata!$F:$F,"ED"),TEXT(SUMIFS(Comparison_Lookup,site_level_range_board,$B19,date_range_board,F9,inputdata!$F:$F,"ED")/SUMIFS(All_Attendances,site_level_range_board,$B19,date_range_board,F9,inputdata!$F:$F,"ED"),"0.0%")),IF(LEFT($B$7,6)="Number",SUMIFS(Comparison_Lookup,site_level_range_board,$B19,date_range_board,F9),TEXT(SUMIFS(Comparison_Lookup,site_level_range_board,$B19,date_range_board,F9)/SUMIFS(All_Attendances,site_level_range_board,$B19,date_range_board,F9),"0.0%"))),"")</f>
        <v>63.3%</v>
      </c>
      <c r="G19" s="165" t="str">
        <f ca="1">IFERROR(IF(ISNUMBER(FIND("ED only",$B$4)),IF(LEFT($B$7,6)="Number",SUMIFS(Comparison_Lookup,site_level_range_board,$B19,date_range_board,G9,inputdata!$F:$F,"ED"),TEXT(SUMIFS(Comparison_Lookup,site_level_range_board,$B19,date_range_board,G9,inputdata!$F:$F,"ED")/SUMIFS(All_Attendances,site_level_range_board,$B19,date_range_board,G9,inputdata!$F:$F,"ED"),"0.0%")),IF(LEFT($B$7,6)="Number",SUMIFS(Comparison_Lookup,site_level_range_board,$B19,date_range_board,G9),TEXT(SUMIFS(Comparison_Lookup,site_level_range_board,$B19,date_range_board,G9)/SUMIFS(All_Attendances,site_level_range_board,$B19,date_range_board,G9),"0.0%"))),"")</f>
        <v>60.7%</v>
      </c>
      <c r="H19" s="165" t="str">
        <f ca="1">IFERROR(IF(ISNUMBER(FIND("ED only",$B$4)),IF(LEFT($B$7,6)="Number",SUMIFS(Comparison_Lookup,site_level_range_board,$B19,date_range_board,H9,inputdata!$F:$F,"ED"),TEXT(SUMIFS(Comparison_Lookup,site_level_range_board,$B19,date_range_board,H9,inputdata!$F:$F,"ED")/SUMIFS(All_Attendances,site_level_range_board,$B19,date_range_board,H9,inputdata!$F:$F,"ED"),"0.0%")),IF(LEFT($B$7,6)="Number",SUMIFS(Comparison_Lookup,site_level_range_board,$B19,date_range_board,H9),TEXT(SUMIFS(Comparison_Lookup,site_level_range_board,$B19,date_range_board,H9)/SUMIFS(All_Attendances,site_level_range_board,$B19,date_range_board,H9),"0.0%"))),"")</f>
        <v>60.9%</v>
      </c>
      <c r="I19" s="165" t="str">
        <f ca="1">IFERROR(IF(ISNUMBER(FIND("ED only",$B$4)),IF(LEFT($B$7,6)="Number",SUMIFS(Comparison_Lookup,site_level_range_board,$B19,date_range_board,I9,inputdata!$F:$F,"ED"),TEXT(SUMIFS(Comparison_Lookup,site_level_range_board,$B19,date_range_board,I9,inputdata!$F:$F,"ED")/SUMIFS(All_Attendances,site_level_range_board,$B19,date_range_board,I9,inputdata!$F:$F,"ED"),"0.0%")),IF(LEFT($B$7,6)="Number",SUMIFS(Comparison_Lookup,site_level_range_board,$B19,date_range_board,I9),TEXT(SUMIFS(Comparison_Lookup,site_level_range_board,$B19,date_range_board,I9)/SUMIFS(All_Attendances,site_level_range_board,$B19,date_range_board,I9),"0.0%"))),"")</f>
        <v>61.1%</v>
      </c>
      <c r="J19" s="165" t="str">
        <f ca="1">IFERROR(IF(ISNUMBER(FIND("ED only",$B$4)),IF(LEFT($B$7,6)="Number",SUMIFS(Comparison_Lookup,site_level_range_board,$B19,date_range_board,J9,inputdata!$F:$F,"ED"),TEXT(SUMIFS(Comparison_Lookup,site_level_range_board,$B19,date_range_board,J9,inputdata!$F:$F,"ED")/SUMIFS(All_Attendances,site_level_range_board,$B19,date_range_board,J9,inputdata!$F:$F,"ED"),"0.0%")),IF(LEFT($B$7,6)="Number",SUMIFS(Comparison_Lookup,site_level_range_board,$B19,date_range_board,J9),TEXT(SUMIFS(Comparison_Lookup,site_level_range_board,$B19,date_range_board,J9)/SUMIFS(All_Attendances,site_level_range_board,$B19,date_range_board,J9),"0.0%"))),"")</f>
        <v>60.6%</v>
      </c>
      <c r="K19" s="165" t="str">
        <f ca="1">IFERROR(IF(ISNUMBER(FIND("ED only",$B$4)),IF(LEFT($B$7,6)="Number",SUMIFS(Comparison_Lookup,site_level_range_board,$B19,date_range_board,K9,inputdata!$F:$F,"ED"),TEXT(SUMIFS(Comparison_Lookup,site_level_range_board,$B19,date_range_board,K9,inputdata!$F:$F,"ED")/SUMIFS(All_Attendances,site_level_range_board,$B19,date_range_board,K9,inputdata!$F:$F,"ED"),"0.0%")),IF(LEFT($B$7,6)="Number",SUMIFS(Comparison_Lookup,site_level_range_board,$B19,date_range_board,K9),TEXT(SUMIFS(Comparison_Lookup,site_level_range_board,$B19,date_range_board,K9)/SUMIFS(All_Attendances,site_level_range_board,$B19,date_range_board,K9),"0.0%"))),"")</f>
        <v>59.0%</v>
      </c>
      <c r="L19" s="165" t="str">
        <f ca="1">IFERROR(IF(ISNUMBER(FIND("ED only",$B$4)),IF(LEFT($B$7,6)="Number",SUMIFS(Comparison_Lookup,site_level_range_board,$B19,date_range_board,L9,inputdata!$F:$F,"ED"),TEXT(SUMIFS(Comparison_Lookup,site_level_range_board,$B19,date_range_board,L9,inputdata!$F:$F,"ED")/SUMIFS(All_Attendances,site_level_range_board,$B19,date_range_board,L9,inputdata!$F:$F,"ED"),"0.0%")),IF(LEFT($B$7,6)="Number",SUMIFS(Comparison_Lookup,site_level_range_board,$B19,date_range_board,L9),TEXT(SUMIFS(Comparison_Lookup,site_level_range_board,$B19,date_range_board,L9)/SUMIFS(All_Attendances,site_level_range_board,$B19,date_range_board,L9),"0.0%"))),"")</f>
        <v>60.3%</v>
      </c>
      <c r="M19" s="165"/>
      <c r="N19" s="171"/>
    </row>
    <row r="20" spans="1:14" ht="15" customHeight="1" x14ac:dyDescent="0.2">
      <c r="A20" s="132"/>
      <c r="B20" s="152" t="s">
        <v>571</v>
      </c>
      <c r="C20" s="165" t="str">
        <f ca="1">IFERROR(IF(ISNUMBER(FIND("ED only",$B$4)),IF(LEFT($B$7,6)="Number",SUMIFS(Comparison_Lookup,site_level_range_board,$B20,date_range_board,C9,inputdata!$F:$F,"ED"),TEXT(SUMIFS(Comparison_Lookup,site_level_range_board,$B20,date_range_board,C9,inputdata!$F:$F,"ED")/SUMIFS(All_Attendances,site_level_range_board,$B20,date_range_board,C9,inputdata!$F:$F,"ED"),"0.0%")),IF(LEFT($B$7,6)="Number",SUMIFS(Comparison_Lookup,site_level_range_board,$B20,date_range_board,C9),TEXT(SUMIFS(Comparison_Lookup,site_level_range_board,$B20,date_range_board,C9)/SUMIFS(All_Attendances,site_level_range_board,$B20,date_range_board,C9),"0.0%"))),"")</f>
        <v>91.4%</v>
      </c>
      <c r="D20" s="165" t="str">
        <f ca="1">IFERROR(IF(ISNUMBER(FIND("ED only",$B$4)),IF(LEFT($B$7,6)="Number",SUMIFS(Comparison_Lookup,site_level_range_board,$B20,date_range_board,D9,inputdata!$F:$F,"ED"),TEXT(SUMIFS(Comparison_Lookup,site_level_range_board,$B20,date_range_board,D9,inputdata!$F:$F,"ED")/SUMIFS(All_Attendances,site_level_range_board,$B20,date_range_board,D9,inputdata!$F:$F,"ED"),"0.0%")),IF(LEFT($B$7,6)="Number",SUMIFS(Comparison_Lookup,site_level_range_board,$B20,date_range_board,D9),TEXT(SUMIFS(Comparison_Lookup,site_level_range_board,$B20,date_range_board,D9)/SUMIFS(All_Attendances,site_level_range_board,$B20,date_range_board,D9),"0.0%"))),"")</f>
        <v>95.2%</v>
      </c>
      <c r="E20" s="165" t="str">
        <f ca="1">IFERROR(IF(ISNUMBER(FIND("ED only",$B$4)),IF(LEFT($B$7,6)="Number",SUMIFS(Comparison_Lookup,site_level_range_board,$B20,date_range_board,E9,inputdata!$F:$F,"ED"),TEXT(SUMIFS(Comparison_Lookup,site_level_range_board,$B20,date_range_board,E9,inputdata!$F:$F,"ED")/SUMIFS(All_Attendances,site_level_range_board,$B20,date_range_board,E9,inputdata!$F:$F,"ED"),"0.0%")),IF(LEFT($B$7,6)="Number",SUMIFS(Comparison_Lookup,site_level_range_board,$B20,date_range_board,E9),TEXT(SUMIFS(Comparison_Lookup,site_level_range_board,$B20,date_range_board,E9)/SUMIFS(All_Attendances,site_level_range_board,$B20,date_range_board,E9),"0.0%"))),"")</f>
        <v>92.6%</v>
      </c>
      <c r="F20" s="165" t="str">
        <f ca="1">IFERROR(IF(ISNUMBER(FIND("ED only",$B$4)),IF(LEFT($B$7,6)="Number",SUMIFS(Comparison_Lookup,site_level_range_board,$B20,date_range_board,F9,inputdata!$F:$F,"ED"),TEXT(SUMIFS(Comparison_Lookup,site_level_range_board,$B20,date_range_board,F9,inputdata!$F:$F,"ED")/SUMIFS(All_Attendances,site_level_range_board,$B20,date_range_board,F9,inputdata!$F:$F,"ED"),"0.0%")),IF(LEFT($B$7,6)="Number",SUMIFS(Comparison_Lookup,site_level_range_board,$B20,date_range_board,F9),TEXT(SUMIFS(Comparison_Lookup,site_level_range_board,$B20,date_range_board,F9)/SUMIFS(All_Attendances,site_level_range_board,$B20,date_range_board,F9),"0.0%"))),"")</f>
        <v>92.8%</v>
      </c>
      <c r="G20" s="165" t="str">
        <f ca="1">IFERROR(IF(ISNUMBER(FIND("ED only",$B$4)),IF(LEFT($B$7,6)="Number",SUMIFS(Comparison_Lookup,site_level_range_board,$B20,date_range_board,G9,inputdata!$F:$F,"ED"),TEXT(SUMIFS(Comparison_Lookup,site_level_range_board,$B20,date_range_board,G9,inputdata!$F:$F,"ED")/SUMIFS(All_Attendances,site_level_range_board,$B20,date_range_board,G9,inputdata!$F:$F,"ED"),"0.0%")),IF(LEFT($B$7,6)="Number",SUMIFS(Comparison_Lookup,site_level_range_board,$B20,date_range_board,G9),TEXT(SUMIFS(Comparison_Lookup,site_level_range_board,$B20,date_range_board,G9)/SUMIFS(All_Attendances,site_level_range_board,$B20,date_range_board,G9),"0.0%"))),"")</f>
        <v>89.6%</v>
      </c>
      <c r="H20" s="165" t="str">
        <f ca="1">IFERROR(IF(ISNUMBER(FIND("ED only",$B$4)),IF(LEFT($B$7,6)="Number",SUMIFS(Comparison_Lookup,site_level_range_board,$B20,date_range_board,H9,inputdata!$F:$F,"ED"),TEXT(SUMIFS(Comparison_Lookup,site_level_range_board,$B20,date_range_board,H9,inputdata!$F:$F,"ED")/SUMIFS(All_Attendances,site_level_range_board,$B20,date_range_board,H9,inputdata!$F:$F,"ED"),"0.0%")),IF(LEFT($B$7,6)="Number",SUMIFS(Comparison_Lookup,site_level_range_board,$B20,date_range_board,H9),TEXT(SUMIFS(Comparison_Lookup,site_level_range_board,$B20,date_range_board,H9)/SUMIFS(All_Attendances,site_level_range_board,$B20,date_range_board,H9),"0.0%"))),"")</f>
        <v>88.9%</v>
      </c>
      <c r="I20" s="165" t="str">
        <f ca="1">IFERROR(IF(ISNUMBER(FIND("ED only",$B$4)),IF(LEFT($B$7,6)="Number",SUMIFS(Comparison_Lookup,site_level_range_board,$B20,date_range_board,I9,inputdata!$F:$F,"ED"),TEXT(SUMIFS(Comparison_Lookup,site_level_range_board,$B20,date_range_board,I9,inputdata!$F:$F,"ED")/SUMIFS(All_Attendances,site_level_range_board,$B20,date_range_board,I9,inputdata!$F:$F,"ED"),"0.0%")),IF(LEFT($B$7,6)="Number",SUMIFS(Comparison_Lookup,site_level_range_board,$B20,date_range_board,I9),TEXT(SUMIFS(Comparison_Lookup,site_level_range_board,$B20,date_range_board,I9)/SUMIFS(All_Attendances,site_level_range_board,$B20,date_range_board,I9),"0.0%"))),"")</f>
        <v>90.6%</v>
      </c>
      <c r="J20" s="165" t="str">
        <f ca="1">IFERROR(IF(ISNUMBER(FIND("ED only",$B$4)),IF(LEFT($B$7,6)="Number",SUMIFS(Comparison_Lookup,site_level_range_board,$B20,date_range_board,J9,inputdata!$F:$F,"ED"),TEXT(SUMIFS(Comparison_Lookup,site_level_range_board,$B20,date_range_board,J9,inputdata!$F:$F,"ED")/SUMIFS(All_Attendances,site_level_range_board,$B20,date_range_board,J9,inputdata!$F:$F,"ED"),"0.0%")),IF(LEFT($B$7,6)="Number",SUMIFS(Comparison_Lookup,site_level_range_board,$B20,date_range_board,J9),TEXT(SUMIFS(Comparison_Lookup,site_level_range_board,$B20,date_range_board,J9)/SUMIFS(All_Attendances,site_level_range_board,$B20,date_range_board,J9),"0.0%"))),"")</f>
        <v>89.8%</v>
      </c>
      <c r="K20" s="165" t="str">
        <f ca="1">IFERROR(IF(ISNUMBER(FIND("ED only",$B$4)),IF(LEFT($B$7,6)="Number",SUMIFS(Comparison_Lookup,site_level_range_board,$B20,date_range_board,K9,inputdata!$F:$F,"ED"),TEXT(SUMIFS(Comparison_Lookup,site_level_range_board,$B20,date_range_board,K9,inputdata!$F:$F,"ED")/SUMIFS(All_Attendances,site_level_range_board,$B20,date_range_board,K9,inputdata!$F:$F,"ED"),"0.0%")),IF(LEFT($B$7,6)="Number",SUMIFS(Comparison_Lookup,site_level_range_board,$B20,date_range_board,K9),TEXT(SUMIFS(Comparison_Lookup,site_level_range_board,$B20,date_range_board,K9)/SUMIFS(All_Attendances,site_level_range_board,$B20,date_range_board,K9),"0.0%"))),"")</f>
        <v>88.1%</v>
      </c>
      <c r="L20" s="165" t="str">
        <f ca="1">IFERROR(IF(ISNUMBER(FIND("ED only",$B$4)),IF(LEFT($B$7,6)="Number",SUMIFS(Comparison_Lookup,site_level_range_board,$B20,date_range_board,L9,inputdata!$F:$F,"ED"),TEXT(SUMIFS(Comparison_Lookup,site_level_range_board,$B20,date_range_board,L9,inputdata!$F:$F,"ED")/SUMIFS(All_Attendances,site_level_range_board,$B20,date_range_board,L9,inputdata!$F:$F,"ED"),"0.0%")),IF(LEFT($B$7,6)="Number",SUMIFS(Comparison_Lookup,site_level_range_board,$B20,date_range_board,L9),TEXT(SUMIFS(Comparison_Lookup,site_level_range_board,$B20,date_range_board,L9)/SUMIFS(All_Attendances,site_level_range_board,$B20,date_range_board,L9),"0.0%"))),"")</f>
        <v>87.4%</v>
      </c>
      <c r="M20" s="165"/>
      <c r="N20" s="171"/>
    </row>
    <row r="21" spans="1:14" ht="15" customHeight="1" x14ac:dyDescent="0.2">
      <c r="A21" s="132"/>
      <c r="B21" s="152" t="s">
        <v>574</v>
      </c>
      <c r="C21" s="165" t="str">
        <f ca="1">IFERROR(IF(ISNUMBER(FIND("ED only",$B$4)),IF(LEFT($B$7,6)="Number",SUMIFS(Comparison_Lookup,site_level_range_board,$B21,date_range_board,C9,inputdata!$F:$F,"ED"),TEXT(SUMIFS(Comparison_Lookup,site_level_range_board,$B21,date_range_board,C9,inputdata!$F:$F,"ED")/SUMIFS(All_Attendances,site_level_range_board,$B21,date_range_board,C9,inputdata!$F:$F,"ED"),"0.0%")),IF(LEFT($B$7,6)="Number",SUMIFS(Comparison_Lookup,site_level_range_board,$B21,date_range_board,C9),TEXT(SUMIFS(Comparison_Lookup,site_level_range_board,$B21,date_range_board,C9)/SUMIFS(All_Attendances,site_level_range_board,$B21,date_range_board,C9),"0.0%"))),"")</f>
        <v>95.7%</v>
      </c>
      <c r="D21" s="165" t="str">
        <f ca="1">IFERROR(IF(ISNUMBER(FIND("ED only",$B$4)),IF(LEFT($B$7,6)="Number",SUMIFS(Comparison_Lookup,site_level_range_board,$B21,date_range_board,D9,inputdata!$F:$F,"ED"),TEXT(SUMIFS(Comparison_Lookup,site_level_range_board,$B21,date_range_board,D9,inputdata!$F:$F,"ED")/SUMIFS(All_Attendances,site_level_range_board,$B21,date_range_board,D9,inputdata!$F:$F,"ED"),"0.0%")),IF(LEFT($B$7,6)="Number",SUMIFS(Comparison_Lookup,site_level_range_board,$B21,date_range_board,D9),TEXT(SUMIFS(Comparison_Lookup,site_level_range_board,$B21,date_range_board,D9)/SUMIFS(All_Attendances,site_level_range_board,$B21,date_range_board,D9),"0.0%"))),"")</f>
        <v>94.8%</v>
      </c>
      <c r="E21" s="165" t="str">
        <f ca="1">IFERROR(IF(ISNUMBER(FIND("ED only",$B$4)),IF(LEFT($B$7,6)="Number",SUMIFS(Comparison_Lookup,site_level_range_board,$B21,date_range_board,E9,inputdata!$F:$F,"ED"),TEXT(SUMIFS(Comparison_Lookup,site_level_range_board,$B21,date_range_board,E9,inputdata!$F:$F,"ED")/SUMIFS(All_Attendances,site_level_range_board,$B21,date_range_board,E9,inputdata!$F:$F,"ED"),"0.0%")),IF(LEFT($B$7,6)="Number",SUMIFS(Comparison_Lookup,site_level_range_board,$B21,date_range_board,E9),TEXT(SUMIFS(Comparison_Lookup,site_level_range_board,$B21,date_range_board,E9)/SUMIFS(All_Attendances,site_level_range_board,$B21,date_range_board,E9),"0.0%"))),"")</f>
        <v>94.7%</v>
      </c>
      <c r="F21" s="165" t="str">
        <f ca="1">IFERROR(IF(ISNUMBER(FIND("ED only",$B$4)),IF(LEFT($B$7,6)="Number",SUMIFS(Comparison_Lookup,site_level_range_board,$B21,date_range_board,F9,inputdata!$F:$F,"ED"),TEXT(SUMIFS(Comparison_Lookup,site_level_range_board,$B21,date_range_board,F9,inputdata!$F:$F,"ED")/SUMIFS(All_Attendances,site_level_range_board,$B21,date_range_board,F9,inputdata!$F:$F,"ED"),"0.0%")),IF(LEFT($B$7,6)="Number",SUMIFS(Comparison_Lookup,site_level_range_board,$B21,date_range_board,F9),TEXT(SUMIFS(Comparison_Lookup,site_level_range_board,$B21,date_range_board,F9)/SUMIFS(All_Attendances,site_level_range_board,$B21,date_range_board,F9),"0.0%"))),"")</f>
        <v>92.6%</v>
      </c>
      <c r="G21" s="165" t="str">
        <f ca="1">IFERROR(IF(ISNUMBER(FIND("ED only",$B$4)),IF(LEFT($B$7,6)="Number",SUMIFS(Comparison_Lookup,site_level_range_board,$B21,date_range_board,G9,inputdata!$F:$F,"ED"),TEXT(SUMIFS(Comparison_Lookup,site_level_range_board,$B21,date_range_board,G9,inputdata!$F:$F,"ED")/SUMIFS(All_Attendances,site_level_range_board,$B21,date_range_board,G9,inputdata!$F:$F,"ED"),"0.0%")),IF(LEFT($B$7,6)="Number",SUMIFS(Comparison_Lookup,site_level_range_board,$B21,date_range_board,G9),TEXT(SUMIFS(Comparison_Lookup,site_level_range_board,$B21,date_range_board,G9)/SUMIFS(All_Attendances,site_level_range_board,$B21,date_range_board,G9),"0.0%"))),"")</f>
        <v>93.4%</v>
      </c>
      <c r="H21" s="165" t="str">
        <f ca="1">IFERROR(IF(ISNUMBER(FIND("ED only",$B$4)),IF(LEFT($B$7,6)="Number",SUMIFS(Comparison_Lookup,site_level_range_board,$B21,date_range_board,H9,inputdata!$F:$F,"ED"),TEXT(SUMIFS(Comparison_Lookup,site_level_range_board,$B21,date_range_board,H9,inputdata!$F:$F,"ED")/SUMIFS(All_Attendances,site_level_range_board,$B21,date_range_board,H9,inputdata!$F:$F,"ED"),"0.0%")),IF(LEFT($B$7,6)="Number",SUMIFS(Comparison_Lookup,site_level_range_board,$B21,date_range_board,H9),TEXT(SUMIFS(Comparison_Lookup,site_level_range_board,$B21,date_range_board,H9)/SUMIFS(All_Attendances,site_level_range_board,$B21,date_range_board,H9),"0.0%"))),"")</f>
        <v>93.4%</v>
      </c>
      <c r="I21" s="165" t="str">
        <f ca="1">IFERROR(IF(ISNUMBER(FIND("ED only",$B$4)),IF(LEFT($B$7,6)="Number",SUMIFS(Comparison_Lookup,site_level_range_board,$B21,date_range_board,I9,inputdata!$F:$F,"ED"),TEXT(SUMIFS(Comparison_Lookup,site_level_range_board,$B21,date_range_board,I9,inputdata!$F:$F,"ED")/SUMIFS(All_Attendances,site_level_range_board,$B21,date_range_board,I9,inputdata!$F:$F,"ED"),"0.0%")),IF(LEFT($B$7,6)="Number",SUMIFS(Comparison_Lookup,site_level_range_board,$B21,date_range_board,I9),TEXT(SUMIFS(Comparison_Lookup,site_level_range_board,$B21,date_range_board,I9)/SUMIFS(All_Attendances,site_level_range_board,$B21,date_range_board,I9),"0.0%"))),"")</f>
        <v>92.1%</v>
      </c>
      <c r="J21" s="165" t="str">
        <f ca="1">IFERROR(IF(ISNUMBER(FIND("ED only",$B$4)),IF(LEFT($B$7,6)="Number",SUMIFS(Comparison_Lookup,site_level_range_board,$B21,date_range_board,J9,inputdata!$F:$F,"ED"),TEXT(SUMIFS(Comparison_Lookup,site_level_range_board,$B21,date_range_board,J9,inputdata!$F:$F,"ED")/SUMIFS(All_Attendances,site_level_range_board,$B21,date_range_board,J9,inputdata!$F:$F,"ED"),"0.0%")),IF(LEFT($B$7,6)="Number",SUMIFS(Comparison_Lookup,site_level_range_board,$B21,date_range_board,J9),TEXT(SUMIFS(Comparison_Lookup,site_level_range_board,$B21,date_range_board,J9)/SUMIFS(All_Attendances,site_level_range_board,$B21,date_range_board,J9),"0.0%"))),"")</f>
        <v>92.0%</v>
      </c>
      <c r="K21" s="165" t="str">
        <f ca="1">IFERROR(IF(ISNUMBER(FIND("ED only",$B$4)),IF(LEFT($B$7,6)="Number",SUMIFS(Comparison_Lookup,site_level_range_board,$B21,date_range_board,K9,inputdata!$F:$F,"ED"),TEXT(SUMIFS(Comparison_Lookup,site_level_range_board,$B21,date_range_board,K9,inputdata!$F:$F,"ED")/SUMIFS(All_Attendances,site_level_range_board,$B21,date_range_board,K9,inputdata!$F:$F,"ED"),"0.0%")),IF(LEFT($B$7,6)="Number",SUMIFS(Comparison_Lookup,site_level_range_board,$B21,date_range_board,K9),TEXT(SUMIFS(Comparison_Lookup,site_level_range_board,$B21,date_range_board,K9)/SUMIFS(All_Attendances,site_level_range_board,$B21,date_range_board,K9),"0.0%"))),"")</f>
        <v>88.8%</v>
      </c>
      <c r="L21" s="165" t="str">
        <f ca="1">IFERROR(IF(ISNUMBER(FIND("ED only",$B$4)),IF(LEFT($B$7,6)="Number",SUMIFS(Comparison_Lookup,site_level_range_board,$B21,date_range_board,L9,inputdata!$F:$F,"ED"),TEXT(SUMIFS(Comparison_Lookup,site_level_range_board,$B21,date_range_board,L9,inputdata!$F:$F,"ED")/SUMIFS(All_Attendances,site_level_range_board,$B21,date_range_board,L9,inputdata!$F:$F,"ED"),"0.0%")),IF(LEFT($B$7,6)="Number",SUMIFS(Comparison_Lookup,site_level_range_board,$B21,date_range_board,L9),TEXT(SUMIFS(Comparison_Lookup,site_level_range_board,$B21,date_range_board,L9)/SUMIFS(All_Attendances,site_level_range_board,$B21,date_range_board,L9),"0.0%"))),"")</f>
        <v>86.7%</v>
      </c>
      <c r="M21" s="165"/>
      <c r="N21" s="171"/>
    </row>
    <row r="22" spans="1:14" ht="15" customHeight="1" x14ac:dyDescent="0.2">
      <c r="A22" s="132"/>
      <c r="B22" s="152" t="s">
        <v>577</v>
      </c>
      <c r="C22" s="165" t="str">
        <f ca="1">IFERROR(IF(ISNUMBER(FIND("ED only",$B$4)),IF(LEFT($B$7,6)="Number",SUMIFS(Comparison_Lookup,site_level_range_board,$B22,date_range_board,C9,inputdata!$F:$F,"ED"),TEXT(SUMIFS(Comparison_Lookup,site_level_range_board,$B22,date_range_board,C9,inputdata!$F:$F,"ED")/SUMIFS(All_Attendances,site_level_range_board,$B22,date_range_board,C9,inputdata!$F:$F,"ED"),"0.0%")),IF(LEFT($B$7,6)="Number",SUMIFS(Comparison_Lookup,site_level_range_board,$B22,date_range_board,C9),TEXT(SUMIFS(Comparison_Lookup,site_level_range_board,$B22,date_range_board,C9)/SUMIFS(All_Attendances,site_level_range_board,$B22,date_range_board,C9),"0.0%"))),"")</f>
        <v>92.0%</v>
      </c>
      <c r="D22" s="165" t="str">
        <f ca="1">IFERROR(IF(ISNUMBER(FIND("ED only",$B$4)),IF(LEFT($B$7,6)="Number",SUMIFS(Comparison_Lookup,site_level_range_board,$B22,date_range_board,D9,inputdata!$F:$F,"ED"),TEXT(SUMIFS(Comparison_Lookup,site_level_range_board,$B22,date_range_board,D9,inputdata!$F:$F,"ED")/SUMIFS(All_Attendances,site_level_range_board,$B22,date_range_board,D9,inputdata!$F:$F,"ED"),"0.0%")),IF(LEFT($B$7,6)="Number",SUMIFS(Comparison_Lookup,site_level_range_board,$B22,date_range_board,D9),TEXT(SUMIFS(Comparison_Lookup,site_level_range_board,$B22,date_range_board,D9)/SUMIFS(All_Attendances,site_level_range_board,$B22,date_range_board,D9),"0.0%"))),"")</f>
        <v>92.2%</v>
      </c>
      <c r="E22" s="165" t="str">
        <f ca="1">IFERROR(IF(ISNUMBER(FIND("ED only",$B$4)),IF(LEFT($B$7,6)="Number",SUMIFS(Comparison_Lookup,site_level_range_board,$B22,date_range_board,E9,inputdata!$F:$F,"ED"),TEXT(SUMIFS(Comparison_Lookup,site_level_range_board,$B22,date_range_board,E9,inputdata!$F:$F,"ED")/SUMIFS(All_Attendances,site_level_range_board,$B22,date_range_board,E9,inputdata!$F:$F,"ED"),"0.0%")),IF(LEFT($B$7,6)="Number",SUMIFS(Comparison_Lookup,site_level_range_board,$B22,date_range_board,E9),TEXT(SUMIFS(Comparison_Lookup,site_level_range_board,$B22,date_range_board,E9)/SUMIFS(All_Attendances,site_level_range_board,$B22,date_range_board,E9),"0.0%"))),"")</f>
        <v>91.6%</v>
      </c>
      <c r="F22" s="165" t="str">
        <f ca="1">IFERROR(IF(ISNUMBER(FIND("ED only",$B$4)),IF(LEFT($B$7,6)="Number",SUMIFS(Comparison_Lookup,site_level_range_board,$B22,date_range_board,F9,inputdata!$F:$F,"ED"),TEXT(SUMIFS(Comparison_Lookup,site_level_range_board,$B22,date_range_board,F9,inputdata!$F:$F,"ED")/SUMIFS(All_Attendances,site_level_range_board,$B22,date_range_board,F9,inputdata!$F:$F,"ED"),"0.0%")),IF(LEFT($B$7,6)="Number",SUMIFS(Comparison_Lookup,site_level_range_board,$B22,date_range_board,F9),TEXT(SUMIFS(Comparison_Lookup,site_level_range_board,$B22,date_range_board,F9)/SUMIFS(All_Attendances,site_level_range_board,$B22,date_range_board,F9),"0.0%"))),"")</f>
        <v>90.8%</v>
      </c>
      <c r="G22" s="165" t="str">
        <f ca="1">IFERROR(IF(ISNUMBER(FIND("ED only",$B$4)),IF(LEFT($B$7,6)="Number",SUMIFS(Comparison_Lookup,site_level_range_board,$B22,date_range_board,G9,inputdata!$F:$F,"ED"),TEXT(SUMIFS(Comparison_Lookup,site_level_range_board,$B22,date_range_board,G9,inputdata!$F:$F,"ED")/SUMIFS(All_Attendances,site_level_range_board,$B22,date_range_board,G9,inputdata!$F:$F,"ED"),"0.0%")),IF(LEFT($B$7,6)="Number",SUMIFS(Comparison_Lookup,site_level_range_board,$B22,date_range_board,G9),TEXT(SUMIFS(Comparison_Lookup,site_level_range_board,$B22,date_range_board,G9)/SUMIFS(All_Attendances,site_level_range_board,$B22,date_range_board,G9),"0.0%"))),"")</f>
        <v>90.9%</v>
      </c>
      <c r="H22" s="165" t="str">
        <f ca="1">IFERROR(IF(ISNUMBER(FIND("ED only",$B$4)),IF(LEFT($B$7,6)="Number",SUMIFS(Comparison_Lookup,site_level_range_board,$B22,date_range_board,H9,inputdata!$F:$F,"ED"),TEXT(SUMIFS(Comparison_Lookup,site_level_range_board,$B22,date_range_board,H9,inputdata!$F:$F,"ED")/SUMIFS(All_Attendances,site_level_range_board,$B22,date_range_board,H9,inputdata!$F:$F,"ED"),"0.0%")),IF(LEFT($B$7,6)="Number",SUMIFS(Comparison_Lookup,site_level_range_board,$B22,date_range_board,H9),TEXT(SUMIFS(Comparison_Lookup,site_level_range_board,$B22,date_range_board,H9)/SUMIFS(All_Attendances,site_level_range_board,$B22,date_range_board,H9),"0.0%"))),"")</f>
        <v>88.8%</v>
      </c>
      <c r="I22" s="165" t="str">
        <f ca="1">IFERROR(IF(ISNUMBER(FIND("ED only",$B$4)),IF(LEFT($B$7,6)="Number",SUMIFS(Comparison_Lookup,site_level_range_board,$B22,date_range_board,I9,inputdata!$F:$F,"ED"),TEXT(SUMIFS(Comparison_Lookup,site_level_range_board,$B22,date_range_board,I9,inputdata!$F:$F,"ED")/SUMIFS(All_Attendances,site_level_range_board,$B22,date_range_board,I9,inputdata!$F:$F,"ED"),"0.0%")),IF(LEFT($B$7,6)="Number",SUMIFS(Comparison_Lookup,site_level_range_board,$B22,date_range_board,I9),TEXT(SUMIFS(Comparison_Lookup,site_level_range_board,$B22,date_range_board,I9)/SUMIFS(All_Attendances,site_level_range_board,$B22,date_range_board,I9),"0.0%"))),"")</f>
        <v>89.3%</v>
      </c>
      <c r="J22" s="165" t="str">
        <f ca="1">IFERROR(IF(ISNUMBER(FIND("ED only",$B$4)),IF(LEFT($B$7,6)="Number",SUMIFS(Comparison_Lookup,site_level_range_board,$B22,date_range_board,J9,inputdata!$F:$F,"ED"),TEXT(SUMIFS(Comparison_Lookup,site_level_range_board,$B22,date_range_board,J9,inputdata!$F:$F,"ED")/SUMIFS(All_Attendances,site_level_range_board,$B22,date_range_board,J9,inputdata!$F:$F,"ED"),"0.0%")),IF(LEFT($B$7,6)="Number",SUMIFS(Comparison_Lookup,site_level_range_board,$B22,date_range_board,J9),TEXT(SUMIFS(Comparison_Lookup,site_level_range_board,$B22,date_range_board,J9)/SUMIFS(All_Attendances,site_level_range_board,$B22,date_range_board,J9),"0.0%"))),"")</f>
        <v>90.6%</v>
      </c>
      <c r="K22" s="165" t="str">
        <f ca="1">IFERROR(IF(ISNUMBER(FIND("ED only",$B$4)),IF(LEFT($B$7,6)="Number",SUMIFS(Comparison_Lookup,site_level_range_board,$B22,date_range_board,K9,inputdata!$F:$F,"ED"),TEXT(SUMIFS(Comparison_Lookup,site_level_range_board,$B22,date_range_board,K9,inputdata!$F:$F,"ED")/SUMIFS(All_Attendances,site_level_range_board,$B22,date_range_board,K9,inputdata!$F:$F,"ED"),"0.0%")),IF(LEFT($B$7,6)="Number",SUMIFS(Comparison_Lookup,site_level_range_board,$B22,date_range_board,K9),TEXT(SUMIFS(Comparison_Lookup,site_level_range_board,$B22,date_range_board,K9)/SUMIFS(All_Attendances,site_level_range_board,$B22,date_range_board,K9),"0.0%"))),"")</f>
        <v>79.5%</v>
      </c>
      <c r="L22" s="165" t="str">
        <f ca="1">IFERROR(IF(ISNUMBER(FIND("ED only",$B$4)),IF(LEFT($B$7,6)="Number",SUMIFS(Comparison_Lookup,site_level_range_board,$B22,date_range_board,L9,inputdata!$F:$F,"ED"),TEXT(SUMIFS(Comparison_Lookup,site_level_range_board,$B22,date_range_board,L9,inputdata!$F:$F,"ED")/SUMIFS(All_Attendances,site_level_range_board,$B22,date_range_board,L9,inputdata!$F:$F,"ED"),"0.0%")),IF(LEFT($B$7,6)="Number",SUMIFS(Comparison_Lookup,site_level_range_board,$B22,date_range_board,L9),TEXT(SUMIFS(Comparison_Lookup,site_level_range_board,$B22,date_range_board,L9)/SUMIFS(All_Attendances,site_level_range_board,$B22,date_range_board,L9),"0.0%"))),"")</f>
        <v>91.7%</v>
      </c>
      <c r="M22" s="165"/>
      <c r="N22" s="171"/>
    </row>
    <row r="23" spans="1:14" ht="15" customHeight="1" x14ac:dyDescent="0.2">
      <c r="A23" s="132"/>
      <c r="B23" s="154" t="s">
        <v>594</v>
      </c>
      <c r="C23" s="168" t="str">
        <f ca="1">IFERROR(IF(ISNUMBER(FIND("ED only",$B$4)),IF(LEFT($B$7,6)="Number",SUMIFS(Comparison_Lookup,site_level_range_board,$B23,date_range_board,C9,inputdata!$F:$F,"ED"),TEXT(SUMIFS(Comparison_Lookup,site_level_range_board,$B23,date_range_board,C9,inputdata!$F:$F,"ED")/SUMIFS(All_Attendances,site_level_range_board,$B23,date_range_board,C9,inputdata!$F:$F,"ED"),"0.0%")),IF(LEFT($B$7,6)="Number",SUMIFS(Comparison_Lookup,site_level_range_board,$B23,date_range_board,C9),TEXT(SUMIFS(Comparison_Lookup,site_level_range_board,$B23,date_range_board,C9)/SUMIFS(All_Attendances,site_level_range_board,$B23,date_range_board,C9),"0.0%"))),"")</f>
        <v>96.6%</v>
      </c>
      <c r="D23" s="168" t="str">
        <f ca="1">IFERROR(IF(ISNUMBER(FIND("ED only",$B$4)),IF(LEFT($B$7,6)="Number",SUMIFS(Comparison_Lookup,site_level_range_board,$B23,date_range_board,D9,inputdata!$F:$F,"ED"),TEXT(SUMIFS(Comparison_Lookup,site_level_range_board,$B23,date_range_board,D9,inputdata!$F:$F,"ED")/SUMIFS(All_Attendances,site_level_range_board,$B23,date_range_board,D9,inputdata!$F:$F,"ED"),"0.0%")),IF(LEFT($B$7,6)="Number",SUMIFS(Comparison_Lookup,site_level_range_board,$B23,date_range_board,D9),TEXT(SUMIFS(Comparison_Lookup,site_level_range_board,$B23,date_range_board,D9)/SUMIFS(All_Attendances,site_level_range_board,$B23,date_range_board,D9),"0.0%"))),"")</f>
        <v>96.7%</v>
      </c>
      <c r="E23" s="168" t="str">
        <f ca="1">IFERROR(IF(ISNUMBER(FIND("ED only",$B$4)),IF(LEFT($B$7,6)="Number",SUMIFS(Comparison_Lookup,site_level_range_board,$B23,date_range_board,E9,inputdata!$F:$F,"ED"),TEXT(SUMIFS(Comparison_Lookup,site_level_range_board,$B23,date_range_board,E9,inputdata!$F:$F,"ED")/SUMIFS(All_Attendances,site_level_range_board,$B23,date_range_board,E9,inputdata!$F:$F,"ED"),"0.0%")),IF(LEFT($B$7,6)="Number",SUMIFS(Comparison_Lookup,site_level_range_board,$B23,date_range_board,E9),TEXT(SUMIFS(Comparison_Lookup,site_level_range_board,$B23,date_range_board,E9)/SUMIFS(All_Attendances,site_level_range_board,$B23,date_range_board,E9),"0.0%"))),"")</f>
        <v>99.1%</v>
      </c>
      <c r="F23" s="168" t="str">
        <f ca="1">IFERROR(IF(ISNUMBER(FIND("ED only",$B$4)),IF(LEFT($B$7,6)="Number",SUMIFS(Comparison_Lookup,site_level_range_board,$B23,date_range_board,F9,inputdata!$F:$F,"ED"),TEXT(SUMIFS(Comparison_Lookup,site_level_range_board,$B23,date_range_board,F9,inputdata!$F:$F,"ED")/SUMIFS(All_Attendances,site_level_range_board,$B23,date_range_board,F9,inputdata!$F:$F,"ED"),"0.0%")),IF(LEFT($B$7,6)="Number",SUMIFS(Comparison_Lookup,site_level_range_board,$B23,date_range_board,F9),TEXT(SUMIFS(Comparison_Lookup,site_level_range_board,$B23,date_range_board,F9)/SUMIFS(All_Attendances,site_level_range_board,$B23,date_range_board,F9),"0.0%"))),"")</f>
        <v>97.6%</v>
      </c>
      <c r="G23" s="168" t="str">
        <f ca="1">IFERROR(IF(ISNUMBER(FIND("ED only",$B$4)),IF(LEFT($B$7,6)="Number",SUMIFS(Comparison_Lookup,site_level_range_board,$B23,date_range_board,G9,inputdata!$F:$F,"ED"),TEXT(SUMIFS(Comparison_Lookup,site_level_range_board,$B23,date_range_board,G9,inputdata!$F:$F,"ED")/SUMIFS(All_Attendances,site_level_range_board,$B23,date_range_board,G9,inputdata!$F:$F,"ED"),"0.0%")),IF(LEFT($B$7,6)="Number",SUMIFS(Comparison_Lookup,site_level_range_board,$B23,date_range_board,G9),TEXT(SUMIFS(Comparison_Lookup,site_level_range_board,$B23,date_range_board,G9)/SUMIFS(All_Attendances,site_level_range_board,$B23,date_range_board,G9),"0.0%"))),"")</f>
        <v>98.0%</v>
      </c>
      <c r="H23" s="168" t="str">
        <f ca="1">IFERROR(IF(ISNUMBER(FIND("ED only",$B$4)),IF(LEFT($B$7,6)="Number",SUMIFS(Comparison_Lookup,site_level_range_board,$B23,date_range_board,H9,inputdata!$F:$F,"ED"),TEXT(SUMIFS(Comparison_Lookup,site_level_range_board,$B23,date_range_board,H9,inputdata!$F:$F,"ED")/SUMIFS(All_Attendances,site_level_range_board,$B23,date_range_board,H9,inputdata!$F:$F,"ED"),"0.0%")),IF(LEFT($B$7,6)="Number",SUMIFS(Comparison_Lookup,site_level_range_board,$B23,date_range_board,H9),TEXT(SUMIFS(Comparison_Lookup,site_level_range_board,$B23,date_range_board,H9)/SUMIFS(All_Attendances,site_level_range_board,$B23,date_range_board,H9),"0.0%"))),"")</f>
        <v>98.4%</v>
      </c>
      <c r="I23" s="168" t="str">
        <f ca="1">IFERROR(IF(ISNUMBER(FIND("ED only",$B$4)),IF(LEFT($B$7,6)="Number",SUMIFS(Comparison_Lookup,site_level_range_board,$B23,date_range_board,I9,inputdata!$F:$F,"ED"),TEXT(SUMIFS(Comparison_Lookup,site_level_range_board,$B23,date_range_board,I9,inputdata!$F:$F,"ED")/SUMIFS(All_Attendances,site_level_range_board,$B23,date_range_board,I9,inputdata!$F:$F,"ED"),"0.0%")),IF(LEFT($B$7,6)="Number",SUMIFS(Comparison_Lookup,site_level_range_board,$B23,date_range_board,I9),TEXT(SUMIFS(Comparison_Lookup,site_level_range_board,$B23,date_range_board,I9)/SUMIFS(All_Attendances,site_level_range_board,$B23,date_range_board,I9),"0.0%"))),"")</f>
        <v>97.8%</v>
      </c>
      <c r="J23" s="168" t="str">
        <f ca="1">IFERROR(IF(ISNUMBER(FIND("ED only",$B$4)),IF(LEFT($B$7,6)="Number",SUMIFS(Comparison_Lookup,site_level_range_board,$B23,date_range_board,J9,inputdata!$F:$F,"ED"),TEXT(SUMIFS(Comparison_Lookup,site_level_range_board,$B23,date_range_board,J9,inputdata!$F:$F,"ED")/SUMIFS(All_Attendances,site_level_range_board,$B23,date_range_board,J9,inputdata!$F:$F,"ED"),"0.0%")),IF(LEFT($B$7,6)="Number",SUMIFS(Comparison_Lookup,site_level_range_board,$B23,date_range_board,J9),TEXT(SUMIFS(Comparison_Lookup,site_level_range_board,$B23,date_range_board,J9)/SUMIFS(All_Attendances,site_level_range_board,$B23,date_range_board,J9),"0.0%"))),"")</f>
        <v>97.8%</v>
      </c>
      <c r="K23" s="168" t="str">
        <f ca="1">IFERROR(IF(ISNUMBER(FIND("ED only",$B$4)),IF(LEFT($B$7,6)="Number",SUMIFS(Comparison_Lookup,site_level_range_board,$B23,date_range_board,K9,inputdata!$F:$F,"ED"),TEXT(SUMIFS(Comparison_Lookup,site_level_range_board,$B23,date_range_board,K9,inputdata!$F:$F,"ED")/SUMIFS(All_Attendances,site_level_range_board,$B23,date_range_board,K9,inputdata!$F:$F,"ED"),"0.0%")),IF(LEFT($B$7,6)="Number",SUMIFS(Comparison_Lookup,site_level_range_board,$B23,date_range_board,K9),TEXT(SUMIFS(Comparison_Lookup,site_level_range_board,$B23,date_range_board,K9)/SUMIFS(All_Attendances,site_level_range_board,$B23,date_range_board,K9),"0.0%"))),"")</f>
        <v>98.8%</v>
      </c>
      <c r="L23" s="168" t="str">
        <f ca="1">IFERROR(IF(ISNUMBER(FIND("ED only",$B$4)),IF(LEFT($B$7,6)="Number",SUMIFS(Comparison_Lookup,site_level_range_board,$B23,date_range_board,L9,inputdata!$F:$F,"ED"),TEXT(SUMIFS(Comparison_Lookup,site_level_range_board,$B23,date_range_board,L9,inputdata!$F:$F,"ED")/SUMIFS(All_Attendances,site_level_range_board,$B23,date_range_board,L9,inputdata!$F:$F,"ED"),"0.0%")),IF(LEFT($B$7,6)="Number",SUMIFS(Comparison_Lookup,site_level_range_board,$B23,date_range_board,L9),TEXT(SUMIFS(Comparison_Lookup,site_level_range_board,$B23,date_range_board,L9)/SUMIFS(All_Attendances,site_level_range_board,$B23,date_range_board,L9),"0.0%"))),"")</f>
        <v>98.5%</v>
      </c>
      <c r="M23" s="168"/>
      <c r="N23" s="172"/>
    </row>
    <row r="24" spans="1:14" ht="15" customHeight="1" x14ac:dyDescent="0.2">
      <c r="A24" s="132"/>
      <c r="B24" s="170" t="s">
        <v>406</v>
      </c>
      <c r="C24" s="169" t="str">
        <f ca="1">IFERROR(IF(ISNUMBER(FIND("ED only",$B$4)),IF(LEFT($B$7,6)="Number",SUMIFS(Comparison_Lookup,date_range_board,C9,inputdata!$F:$F,"ED"),TEXT(SUMIFS(Comparison_Lookup,date_range_board,C9,inputdata!$F:$F,"ED")/SUMIFS(All_Attendances,date_range_board,C9,inputdata!$F:$F,"ED"),"0.0%")),IF(LEFT($B$7,6)="Number",SUMIFS(Comparison_Lookup,date_range_board,C9),TEXT(SUMIFS(Comparison_Lookup,date_range_board,C9)/SUMIFS(All_Attendances,date_range_board,C9
        ),"0.0%"))),"")</f>
        <v>72.1%</v>
      </c>
      <c r="D24" s="169" t="str">
        <f ca="1">IFERROR(IF(ISNUMBER(FIND("ED only",$B$4)),IF(LEFT($B$7,6)="Number",SUMIFS(Comparison_Lookup,date_range_board,D9,inputdata!$F:$F,"ED"),TEXT(SUMIFS(Comparison_Lookup,date_range_board,D9,inputdata!$F:$F,"ED")/SUMIFS(All_Attendances,date_range_board,D9,inputdata!$F:$F,"ED"),"0.0%")),IF(LEFT($B$7,6)="Number",SUMIFS(Comparison_Lookup,date_range_board,D9),TEXT(SUMIFS(Comparison_Lookup,date_range_board,D9)/SUMIFS(All_Attendances,date_range_board,D9
        ),"0.0%"))),"")</f>
        <v>73.0%</v>
      </c>
      <c r="E24" s="169" t="str">
        <f ca="1">IFERROR(IF(ISNUMBER(FIND("ED only",$B$4)),IF(LEFT($B$7,6)="Number",SUMIFS(Comparison_Lookup,date_range_board,E9,inputdata!$F:$F,"ED"),TEXT(SUMIFS(Comparison_Lookup,date_range_board,E9,inputdata!$F:$F,"ED")/SUMIFS(All_Attendances,date_range_board,E9,inputdata!$F:$F,"ED"),"0.0%")),IF(LEFT($B$7,6)="Number",SUMIFS(Comparison_Lookup,date_range_board,E9),TEXT(SUMIFS(Comparison_Lookup,date_range_board,E9)/SUMIFS(All_Attendances,date_range_board,E9
        ),"0.0%"))),"")</f>
        <v>71.3%</v>
      </c>
      <c r="F24" s="169" t="str">
        <f ca="1">IFERROR(IF(ISNUMBER(FIND("ED only",$B$4)),IF(LEFT($B$7,6)="Number",SUMIFS(Comparison_Lookup,date_range_board,F9,inputdata!$F:$F,"ED"),TEXT(SUMIFS(Comparison_Lookup,date_range_board,F9,inputdata!$F:$F,"ED")/SUMIFS(All_Attendances,date_range_board,F9,inputdata!$F:$F,"ED"),"0.0%")),IF(LEFT($B$7,6)="Number",SUMIFS(Comparison_Lookup,date_range_board,F9),TEXT(SUMIFS(Comparison_Lookup,date_range_board,F9)/SUMIFS(All_Attendances,date_range_board,F9
        ),"0.0%"))),"")</f>
        <v>70.0%</v>
      </c>
      <c r="G24" s="169" t="str">
        <f ca="1">IFERROR(IF(ISNUMBER(FIND("ED only",$B$4)),IF(LEFT($B$7,6)="Number",SUMIFS(Comparison_Lookup,date_range_board,G9,inputdata!$F:$F,"ED"),TEXT(SUMIFS(Comparison_Lookup,date_range_board,G9,inputdata!$F:$F,"ED")/SUMIFS(All_Attendances,date_range_board,G9,inputdata!$F:$F,"ED"),"0.0%")),IF(LEFT($B$7,6)="Number",SUMIFS(Comparison_Lookup,date_range_board,G9),TEXT(SUMIFS(Comparison_Lookup,date_range_board,G9)/SUMIFS(All_Attendances,date_range_board,G9
        ),"0.0%"))),"")</f>
        <v>69.6%</v>
      </c>
      <c r="H24" s="169" t="str">
        <f ca="1">IFERROR(IF(ISNUMBER(FIND("ED only",$B$4)),IF(LEFT($B$7,6)="Number",SUMIFS(Comparison_Lookup,date_range_board,H9,inputdata!$F:$F,"ED"),TEXT(SUMIFS(Comparison_Lookup,date_range_board,H9,inputdata!$F:$F,"ED")/SUMIFS(All_Attendances,date_range_board,H9,inputdata!$F:$F,"ED"),"0.0%")),IF(LEFT($B$7,6)="Number",SUMIFS(Comparison_Lookup,date_range_board,H9),TEXT(SUMIFS(Comparison_Lookup,date_range_board,H9)/SUMIFS(All_Attendances,date_range_board,H9
        ),"0.0%"))),"")</f>
        <v>69.0%</v>
      </c>
      <c r="I24" s="169" t="str">
        <f ca="1">IFERROR(IF(ISNUMBER(FIND("ED only",$B$4)),IF(LEFT($B$7,6)="Number",SUMIFS(Comparison_Lookup,date_range_board,I9,inputdata!$F:$F,"ED"),TEXT(SUMIFS(Comparison_Lookup,date_range_board,I9,inputdata!$F:$F,"ED")/SUMIFS(All_Attendances,date_range_board,I9,inputdata!$F:$F,"ED"),"0.0%")),IF(LEFT($B$7,6)="Number",SUMIFS(Comparison_Lookup,date_range_board,I9),TEXT(SUMIFS(Comparison_Lookup,date_range_board,I9)/SUMIFS(All_Attendances,date_range_board,I9
        ),"0.0%"))),"")</f>
        <v>67.6%</v>
      </c>
      <c r="J24" s="169" t="str">
        <f ca="1">IFERROR(IF(ISNUMBER(FIND("ED only",$B$4)),IF(LEFT($B$7,6)="Number",SUMIFS(Comparison_Lookup,date_range_board,J9,inputdata!$F:$F,"ED"),TEXT(SUMIFS(Comparison_Lookup,date_range_board,J9,inputdata!$F:$F,"ED")/SUMIFS(All_Attendances,date_range_board,J9,inputdata!$F:$F,"ED"),"0.0%")),IF(LEFT($B$7,6)="Number",SUMIFS(Comparison_Lookup,date_range_board,J9),TEXT(SUMIFS(Comparison_Lookup,date_range_board,J9)/SUMIFS(All_Attendances,date_range_board,J9
        ),"0.0%"))),"")</f>
        <v>67.5%</v>
      </c>
      <c r="K24" s="169" t="str">
        <f ca="1">IFERROR(IF(ISNUMBER(FIND("ED only",$B$4)),IF(LEFT($B$7,6)="Number",SUMIFS(Comparison_Lookup,date_range_board,K9,inputdata!$F:$F,"ED"),TEXT(SUMIFS(Comparison_Lookup,date_range_board,K9,inputdata!$F:$F,"ED")/SUMIFS(All_Attendances,date_range_board,K9,inputdata!$F:$F,"ED"),"0.0%")),IF(LEFT($B$7,6)="Number",SUMIFS(Comparison_Lookup,date_range_board,K9),TEXT(SUMIFS(Comparison_Lookup,date_range_board,K9)/SUMIFS(All_Attendances,date_range_board,K9
        ),"0.0%"))),"")</f>
        <v>62.1%</v>
      </c>
      <c r="L24" s="169" t="str">
        <f ca="1">IFERROR(IF(ISNUMBER(FIND("ED only",$B$4)),IF(LEFT($B$7,6)="Number",SUMIFS(Comparison_Lookup,date_range_board,L9,inputdata!$F:$F,"ED"),TEXT(SUMIFS(Comparison_Lookup,date_range_board,L9,inputdata!$F:$F,"ED")/SUMIFS(All_Attendances,date_range_board,L9,inputdata!$F:$F,"ED"),"0.0%")),IF(LEFT($B$7,6)="Number",SUMIFS(Comparison_Lookup,date_range_board,L9),TEXT(SUMIFS(Comparison_Lookup,date_range_board,L9)/SUMIFS(All_Attendances,date_range_board,L9
        ),"0.0%"))),"")</f>
        <v>68.7%</v>
      </c>
      <c r="M24" s="169"/>
      <c r="N24" s="173"/>
    </row>
    <row r="25" spans="1:14" ht="15" customHeight="1" x14ac:dyDescent="0.2">
      <c r="B25" s="127"/>
      <c r="C25" s="127"/>
      <c r="D25" s="127"/>
      <c r="E25" s="127"/>
      <c r="F25" s="127"/>
      <c r="G25" s="127"/>
      <c r="H25" s="127"/>
      <c r="I25" s="127"/>
      <c r="J25" s="127"/>
      <c r="K25" s="127"/>
      <c r="L25" s="127"/>
      <c r="M25" s="127"/>
      <c r="N25" s="127"/>
    </row>
    <row r="26" spans="1:14" ht="15" customHeight="1" x14ac:dyDescent="0.25">
      <c r="A26" s="132"/>
      <c r="B26" s="153" t="str">
        <f>IF(ISNUMBER(FIND("ED only",$B$4)),"2021/2022 (ED Only)","2021/2022")</f>
        <v>2021/2022</v>
      </c>
      <c r="C26" s="149">
        <v>44316</v>
      </c>
      <c r="D26" s="149">
        <v>44347</v>
      </c>
      <c r="E26" s="149">
        <v>44377</v>
      </c>
      <c r="F26" s="149">
        <v>44408</v>
      </c>
      <c r="G26" s="149">
        <v>44439</v>
      </c>
      <c r="H26" s="149">
        <v>44469</v>
      </c>
      <c r="I26" s="149">
        <v>44500</v>
      </c>
      <c r="J26" s="149">
        <v>44530</v>
      </c>
      <c r="K26" s="149">
        <v>44561</v>
      </c>
      <c r="L26" s="149">
        <v>44592</v>
      </c>
      <c r="M26" s="149">
        <v>44620</v>
      </c>
      <c r="N26" s="158">
        <v>44651</v>
      </c>
    </row>
    <row r="27" spans="1:14" ht="15" customHeight="1" x14ac:dyDescent="0.2">
      <c r="A27" s="132"/>
      <c r="B27" s="152" t="s">
        <v>407</v>
      </c>
      <c r="C27" s="165" t="str">
        <f ca="1">IFERROR(IF(ISNUMBER(FIND("ED only",$B$4)),IF(LEFT($B$7,6)="Number",SUMIFS(Comparison_Lookup,site_level_range_board,$B27,date_range_board,C26,inputdata!$F:$F,"ED"),TEXT(SUMIFS(Comparison_Lookup,site_level_range_board,$B27,date_range_board,C26,inputdata!$F:$F,"ED")/SUMIFS(All_Attendances,site_level_range_board,$B27,date_range_board,C26,inputdata!$F:$F,"ED"),"0.0%")),IF(LEFT($B$7,6)="Number",SUMIFS(Comparison_Lookup,site_level_range_board,$B27,date_range_board,C26),TEXT(SUMIFS(Comparison_Lookup,site_level_range_board,$B27,date_range_board,C26)/SUMIFS(All_Attendances,site_level_range_board,$B27,date_range_board,C26),"0.0%"))),"")</f>
        <v>87.2%</v>
      </c>
      <c r="D27" s="165" t="str">
        <f ca="1">IFERROR(IF(ISNUMBER(FIND("ED only",$B$4)),IF(LEFT($B$7,6)="Number",SUMIFS(Comparison_Lookup,site_level_range_board,$B27,date_range_board,D26,inputdata!$F:$F,"ED"),TEXT(SUMIFS(Comparison_Lookup,site_level_range_board,$B27,date_range_board,D26,inputdata!$F:$F,"ED")/SUMIFS(All_Attendances,site_level_range_board,$B27,date_range_board,D26,inputdata!$F:$F,"ED"),"0.0%")),IF(LEFT($B$7,6)="Number",SUMIFS(Comparison_Lookup,site_level_range_board,$B27,date_range_board,D26),TEXT(SUMIFS(Comparison_Lookup,site_level_range_board,$B27,date_range_board,D26)/SUMIFS(All_Attendances,site_level_range_board,$B27,date_range_board,D26),"0.0%"))),"")</f>
        <v>86.7%</v>
      </c>
      <c r="E27" s="165" t="str">
        <f ca="1">IFERROR(IF(ISNUMBER(FIND("ED only",$B$4)),IF(LEFT($B$7,6)="Number",SUMIFS(Comparison_Lookup,site_level_range_board,$B27,date_range_board,E26,inputdata!$F:$F,"ED"),TEXT(SUMIFS(Comparison_Lookup,site_level_range_board,$B27,date_range_board,E26,inputdata!$F:$F,"ED")/SUMIFS(All_Attendances,site_level_range_board,$B27,date_range_board,E26,inputdata!$F:$F,"ED"),"0.0%")),IF(LEFT($B$7,6)="Number",SUMIFS(Comparison_Lookup,site_level_range_board,$B27,date_range_board,E26),TEXT(SUMIFS(Comparison_Lookup,site_level_range_board,$B27,date_range_board,E26)/SUMIFS(All_Attendances,site_level_range_board,$B27,date_range_board,E26),"0.0%"))),"")</f>
        <v>82.0%</v>
      </c>
      <c r="F27" s="165" t="str">
        <f ca="1">IFERROR(IF(ISNUMBER(FIND("ED only",$B$4)),IF(LEFT($B$7,6)="Number",SUMIFS(Comparison_Lookup,site_level_range_board,$B27,date_range_board,F26,inputdata!$F:$F,"ED"),TEXT(SUMIFS(Comparison_Lookup,site_level_range_board,$B27,date_range_board,F26,inputdata!$F:$F,"ED")/SUMIFS(All_Attendances,site_level_range_board,$B27,date_range_board,F26,inputdata!$F:$F,"ED"),"0.0%")),IF(LEFT($B$7,6)="Number",SUMIFS(Comparison_Lookup,site_level_range_board,$B27,date_range_board,F26),TEXT(SUMIFS(Comparison_Lookup,site_level_range_board,$B27,date_range_board,F26)/SUMIFS(All_Attendances,site_level_range_board,$B27,date_range_board,F26),"0.0%"))),"")</f>
        <v>82.5%</v>
      </c>
      <c r="G27" s="165" t="str">
        <f ca="1">IFERROR(IF(ISNUMBER(FIND("ED only",$B$4)),IF(LEFT($B$7,6)="Number",SUMIFS(Comparison_Lookup,site_level_range_board,$B27,date_range_board,G26,inputdata!$F:$F,"ED"),TEXT(SUMIFS(Comparison_Lookup,site_level_range_board,$B27,date_range_board,G26,inputdata!$F:$F,"ED")/SUMIFS(All_Attendances,site_level_range_board,$B27,date_range_board,G26,inputdata!$F:$F,"ED"),"0.0%")),IF(LEFT($B$7,6)="Number",SUMIFS(Comparison_Lookup,site_level_range_board,$B27,date_range_board,G26),TEXT(SUMIFS(Comparison_Lookup,site_level_range_board,$B27,date_range_board,G26)/SUMIFS(All_Attendances,site_level_range_board,$B27,date_range_board,G26),"0.0%"))),"")</f>
        <v>79.4%</v>
      </c>
      <c r="H27" s="165" t="str">
        <f ca="1">IFERROR(IF(ISNUMBER(FIND("ED only",$B$4)),IF(LEFT($B$7,6)="Number",SUMIFS(Comparison_Lookup,site_level_range_board,$B27,date_range_board,H26,inputdata!$F:$F,"ED"),TEXT(SUMIFS(Comparison_Lookup,site_level_range_board,$B27,date_range_board,H26,inputdata!$F:$F,"ED")/SUMIFS(All_Attendances,site_level_range_board,$B27,date_range_board,H26,inputdata!$F:$F,"ED"),"0.0%")),IF(LEFT($B$7,6)="Number",SUMIFS(Comparison_Lookup,site_level_range_board,$B27,date_range_board,H26),TEXT(SUMIFS(Comparison_Lookup,site_level_range_board,$B27,date_range_board,H26)/SUMIFS(All_Attendances,site_level_range_board,$B27,date_range_board,H26),"0.0%"))),"")</f>
        <v>76.6%</v>
      </c>
      <c r="I27" s="165" t="str">
        <f ca="1">IFERROR(IF(ISNUMBER(FIND("ED only",$B$4)),IF(LEFT($B$7,6)="Number",SUMIFS(Comparison_Lookup,site_level_range_board,$B27,date_range_board,I26,inputdata!$F:$F,"ED"),TEXT(SUMIFS(Comparison_Lookup,site_level_range_board,$B27,date_range_board,I26,inputdata!$F:$F,"ED")/SUMIFS(All_Attendances,site_level_range_board,$B27,date_range_board,I26,inputdata!$F:$F,"ED"),"0.0%")),IF(LEFT($B$7,6)="Number",SUMIFS(Comparison_Lookup,site_level_range_board,$B27,date_range_board,I26),TEXT(SUMIFS(Comparison_Lookup,site_level_range_board,$B27,date_range_board,I26)/SUMIFS(All_Attendances,site_level_range_board,$B27,date_range_board,I26),"0.0%"))),"")</f>
        <v>74.9%</v>
      </c>
      <c r="J27" s="165" t="str">
        <f ca="1">IFERROR(IF(ISNUMBER(FIND("ED only",$B$4)),IF(LEFT($B$7,6)="Number",SUMIFS(Comparison_Lookup,site_level_range_board,$B27,date_range_board,J26,inputdata!$F:$F,"ED"),TEXT(SUMIFS(Comparison_Lookup,site_level_range_board,$B27,date_range_board,J26,inputdata!$F:$F,"ED")/SUMIFS(All_Attendances,site_level_range_board,$B27,date_range_board,J26,inputdata!$F:$F,"ED"),"0.0%")),IF(LEFT($B$7,6)="Number",SUMIFS(Comparison_Lookup,site_level_range_board,$B27,date_range_board,J26),TEXT(SUMIFS(Comparison_Lookup,site_level_range_board,$B27,date_range_board,J26)/SUMIFS(All_Attendances,site_level_range_board,$B27,date_range_board,J26),"0.0%"))),"")</f>
        <v>74.3%</v>
      </c>
      <c r="K27" s="165" t="str">
        <f ca="1">IFERROR(IF(ISNUMBER(FIND("ED only",$B$4)),IF(LEFT($B$7,6)="Number",SUMIFS(Comparison_Lookup,site_level_range_board,$B27,date_range_board,K26,inputdata!$F:$F,"ED"),TEXT(SUMIFS(Comparison_Lookup,site_level_range_board,$B27,date_range_board,K26,inputdata!$F:$F,"ED")/SUMIFS(All_Attendances,site_level_range_board,$B27,date_range_board,K26,inputdata!$F:$F,"ED"),"0.0%")),IF(LEFT($B$7,6)="Number",SUMIFS(Comparison_Lookup,site_level_range_board,$B27,date_range_board,K26),TEXT(SUMIFS(Comparison_Lookup,site_level_range_board,$B27,date_range_board,K26)/SUMIFS(All_Attendances,site_level_range_board,$B27,date_range_board,K26),"0.0%"))),"")</f>
        <v>75.1%</v>
      </c>
      <c r="L27" s="165" t="str">
        <f ca="1">IFERROR(IF(ISNUMBER(FIND("ED only",$B$4)),IF(LEFT($B$7,6)="Number",SUMIFS(Comparison_Lookup,site_level_range_board,$B27,date_range_board,L26,inputdata!$F:$F,"ED"),TEXT(SUMIFS(Comparison_Lookup,site_level_range_board,$B27,date_range_board,L26,inputdata!$F:$F,"ED")/SUMIFS(All_Attendances,site_level_range_board,$B27,date_range_board,L26,inputdata!$F:$F,"ED"),"0.0%")),IF(LEFT($B$7,6)="Number",SUMIFS(Comparison_Lookup,site_level_range_board,$B27,date_range_board,L26),TEXT(SUMIFS(Comparison_Lookup,site_level_range_board,$B27,date_range_board,L26)/SUMIFS(All_Attendances,site_level_range_board,$B27,date_range_board,L26),"0.0%"))),"")</f>
        <v>74.4%</v>
      </c>
      <c r="M27" s="165" t="str">
        <f ca="1">IFERROR(IF(ISNUMBER(FIND("ED only",$B$4)),IF(LEFT($B$7,6)="Number",SUMIFS(Comparison_Lookup,site_level_range_board,$B27,date_range_board,M26,inputdata!$F:$F,"ED"),TEXT(SUMIFS(Comparison_Lookup,site_level_range_board,$B27,date_range_board,M26,inputdata!$F:$F,"ED")/SUMIFS(All_Attendances,site_level_range_board,$B27,date_range_board,M26,inputdata!$F:$F,"ED"),"0.0%")),IF(LEFT($B$7,6)="Number",SUMIFS(Comparison_Lookup,site_level_range_board,$B27,date_range_board,M26),TEXT(SUMIFS(Comparison_Lookup,site_level_range_board,$B27,date_range_board,M26)/SUMIFS(All_Attendances,site_level_range_board,$B27,date_range_board,M26),"0.0%"))),"")</f>
        <v>72.1%</v>
      </c>
      <c r="N27" s="171" t="str">
        <f ca="1">IFERROR(IF(ISNUMBER(FIND("ED only",$B$4)),IF(LEFT($B$7,6)="Number",SUMIFS(Comparison_Lookup,site_level_range_board,$B27,date_range_board,N26,inputdata!$F:$F,"ED"),TEXT(SUMIFS(Comparison_Lookup,site_level_range_board,$B27,date_range_board,N26,inputdata!$F:$F,"ED")/SUMIFS(All_Attendances,site_level_range_board,$B27,date_range_board,N26,inputdata!$F:$F,"ED"),"0.0%")),IF(LEFT($B$7,6)="Number",SUMIFS(Comparison_Lookup,site_level_range_board,$B27,date_range_board,N26),TEXT(SUMIFS(Comparison_Lookup,site_level_range_board,$B27,date_range_board,N26)/SUMIFS(All_Attendances,site_level_range_board,$B27,date_range_board,N26),"0.0%"))),"")</f>
        <v>68.9%</v>
      </c>
    </row>
    <row r="28" spans="1:14" ht="15" customHeight="1" x14ac:dyDescent="0.2">
      <c r="A28" s="132"/>
      <c r="B28" s="152" t="s">
        <v>418</v>
      </c>
      <c r="C28" s="165" t="str">
        <f ca="1">IFERROR(IF(ISNUMBER(FIND("ED only",$B$4)),IF(LEFT($B$7,6)="Number",SUMIFS(Comparison_Lookup,site_level_range_board,$B28,date_range_board,C26,inputdata!$F:$F,"ED"),TEXT(SUMIFS(Comparison_Lookup,site_level_range_board,$B28,date_range_board,C26,inputdata!$F:$F,"ED")/SUMIFS(All_Attendances,site_level_range_board,$B28,date_range_board,C26,inputdata!$F:$F,"ED"),"0.0%")),IF(LEFT($B$7,6)="Number",SUMIFS(Comparison_Lookup,site_level_range_board,$B28,date_range_board,C26),TEXT(SUMIFS(Comparison_Lookup,site_level_range_board,$B28,date_range_board,C26)/SUMIFS(All_Attendances,site_level_range_board,$B28,date_range_board,C26),"0.0%"))),"")</f>
        <v>86.6%</v>
      </c>
      <c r="D28" s="165" t="str">
        <f ca="1">IFERROR(IF(ISNUMBER(FIND("ED only",$B$4)),IF(LEFT($B$7,6)="Number",SUMIFS(Comparison_Lookup,site_level_range_board,$B28,date_range_board,D26,inputdata!$F:$F,"ED"),TEXT(SUMIFS(Comparison_Lookup,site_level_range_board,$B28,date_range_board,D26,inputdata!$F:$F,"ED")/SUMIFS(All_Attendances,site_level_range_board,$B28,date_range_board,D26,inputdata!$F:$F,"ED"),"0.0%")),IF(LEFT($B$7,6)="Number",SUMIFS(Comparison_Lookup,site_level_range_board,$B28,date_range_board,D26),TEXT(SUMIFS(Comparison_Lookup,site_level_range_board,$B28,date_range_board,D26)/SUMIFS(All_Attendances,site_level_range_board,$B28,date_range_board,D26),"0.0%"))),"")</f>
        <v>84.4%</v>
      </c>
      <c r="E28" s="165" t="str">
        <f ca="1">IFERROR(IF(ISNUMBER(FIND("ED only",$B$4)),IF(LEFT($B$7,6)="Number",SUMIFS(Comparison_Lookup,site_level_range_board,$B28,date_range_board,E26,inputdata!$F:$F,"ED"),TEXT(SUMIFS(Comparison_Lookup,site_level_range_board,$B28,date_range_board,E26,inputdata!$F:$F,"ED")/SUMIFS(All_Attendances,site_level_range_board,$B28,date_range_board,E26,inputdata!$F:$F,"ED"),"0.0%")),IF(LEFT($B$7,6)="Number",SUMIFS(Comparison_Lookup,site_level_range_board,$B28,date_range_board,E26),TEXT(SUMIFS(Comparison_Lookup,site_level_range_board,$B28,date_range_board,E26)/SUMIFS(All_Attendances,site_level_range_board,$B28,date_range_board,E26),"0.0%"))),"")</f>
        <v>81.8%</v>
      </c>
      <c r="F28" s="165" t="str">
        <f ca="1">IFERROR(IF(ISNUMBER(FIND("ED only",$B$4)),IF(LEFT($B$7,6)="Number",SUMIFS(Comparison_Lookup,site_level_range_board,$B28,date_range_board,F26,inputdata!$F:$F,"ED"),TEXT(SUMIFS(Comparison_Lookup,site_level_range_board,$B28,date_range_board,F26,inputdata!$F:$F,"ED")/SUMIFS(All_Attendances,site_level_range_board,$B28,date_range_board,F26,inputdata!$F:$F,"ED"),"0.0%")),IF(LEFT($B$7,6)="Number",SUMIFS(Comparison_Lookup,site_level_range_board,$B28,date_range_board,F26),TEXT(SUMIFS(Comparison_Lookup,site_level_range_board,$B28,date_range_board,F26)/SUMIFS(All_Attendances,site_level_range_board,$B28,date_range_board,F26),"0.0%"))),"")</f>
        <v>81.5%</v>
      </c>
      <c r="G28" s="165" t="str">
        <f ca="1">IFERROR(IF(ISNUMBER(FIND("ED only",$B$4)),IF(LEFT($B$7,6)="Number",SUMIFS(Comparison_Lookup,site_level_range_board,$B28,date_range_board,G26,inputdata!$F:$F,"ED"),TEXT(SUMIFS(Comparison_Lookup,site_level_range_board,$B28,date_range_board,G26,inputdata!$F:$F,"ED")/SUMIFS(All_Attendances,site_level_range_board,$B28,date_range_board,G26,inputdata!$F:$F,"ED"),"0.0%")),IF(LEFT($B$7,6)="Number",SUMIFS(Comparison_Lookup,site_level_range_board,$B28,date_range_board,G26),TEXT(SUMIFS(Comparison_Lookup,site_level_range_board,$B28,date_range_board,G26)/SUMIFS(All_Attendances,site_level_range_board,$B28,date_range_board,G26),"0.0%"))),"")</f>
        <v>71.2%</v>
      </c>
      <c r="H28" s="165" t="str">
        <f ca="1">IFERROR(IF(ISNUMBER(FIND("ED only",$B$4)),IF(LEFT($B$7,6)="Number",SUMIFS(Comparison_Lookup,site_level_range_board,$B28,date_range_board,H26,inputdata!$F:$F,"ED"),TEXT(SUMIFS(Comparison_Lookup,site_level_range_board,$B28,date_range_board,H26,inputdata!$F:$F,"ED")/SUMIFS(All_Attendances,site_level_range_board,$B28,date_range_board,H26,inputdata!$F:$F,"ED"),"0.0%")),IF(LEFT($B$7,6)="Number",SUMIFS(Comparison_Lookup,site_level_range_board,$B28,date_range_board,H26),TEXT(SUMIFS(Comparison_Lookup,site_level_range_board,$B28,date_range_board,H26)/SUMIFS(All_Attendances,site_level_range_board,$B28,date_range_board,H26),"0.0%"))),"")</f>
        <v>75.9%</v>
      </c>
      <c r="I28" s="165" t="str">
        <f ca="1">IFERROR(IF(ISNUMBER(FIND("ED only",$B$4)),IF(LEFT($B$7,6)="Number",SUMIFS(Comparison_Lookup,site_level_range_board,$B28,date_range_board,I26,inputdata!$F:$F,"ED"),TEXT(SUMIFS(Comparison_Lookup,site_level_range_board,$B28,date_range_board,I26,inputdata!$F:$F,"ED")/SUMIFS(All_Attendances,site_level_range_board,$B28,date_range_board,I26,inputdata!$F:$F,"ED"),"0.0%")),IF(LEFT($B$7,6)="Number",SUMIFS(Comparison_Lookup,site_level_range_board,$B28,date_range_board,I26),TEXT(SUMIFS(Comparison_Lookup,site_level_range_board,$B28,date_range_board,I26)/SUMIFS(All_Attendances,site_level_range_board,$B28,date_range_board,I26),"0.0%"))),"")</f>
        <v>76.1%</v>
      </c>
      <c r="J28" s="165" t="str">
        <f ca="1">IFERROR(IF(ISNUMBER(FIND("ED only",$B$4)),IF(LEFT($B$7,6)="Number",SUMIFS(Comparison_Lookup,site_level_range_board,$B28,date_range_board,J26,inputdata!$F:$F,"ED"),TEXT(SUMIFS(Comparison_Lookup,site_level_range_board,$B28,date_range_board,J26,inputdata!$F:$F,"ED")/SUMIFS(All_Attendances,site_level_range_board,$B28,date_range_board,J26,inputdata!$F:$F,"ED"),"0.0%")),IF(LEFT($B$7,6)="Number",SUMIFS(Comparison_Lookup,site_level_range_board,$B28,date_range_board,J26),TEXT(SUMIFS(Comparison_Lookup,site_level_range_board,$B28,date_range_board,J26)/SUMIFS(All_Attendances,site_level_range_board,$B28,date_range_board,J26),"0.0%"))),"")</f>
        <v>69.6%</v>
      </c>
      <c r="K28" s="165" t="str">
        <f ca="1">IFERROR(IF(ISNUMBER(FIND("ED only",$B$4)),IF(LEFT($B$7,6)="Number",SUMIFS(Comparison_Lookup,site_level_range_board,$B28,date_range_board,K26,inputdata!$F:$F,"ED"),TEXT(SUMIFS(Comparison_Lookup,site_level_range_board,$B28,date_range_board,K26,inputdata!$F:$F,"ED")/SUMIFS(All_Attendances,site_level_range_board,$B28,date_range_board,K26,inputdata!$F:$F,"ED"),"0.0%")),IF(LEFT($B$7,6)="Number",SUMIFS(Comparison_Lookup,site_level_range_board,$B28,date_range_board,K26),TEXT(SUMIFS(Comparison_Lookup,site_level_range_board,$B28,date_range_board,K26)/SUMIFS(All_Attendances,site_level_range_board,$B28,date_range_board,K26),"0.0%"))),"")</f>
        <v>66.7%</v>
      </c>
      <c r="L28" s="165" t="str">
        <f ca="1">IFERROR(IF(ISNUMBER(FIND("ED only",$B$4)),IF(LEFT($B$7,6)="Number",SUMIFS(Comparison_Lookup,site_level_range_board,$B28,date_range_board,L26,inputdata!$F:$F,"ED"),TEXT(SUMIFS(Comparison_Lookup,site_level_range_board,$B28,date_range_board,L26,inputdata!$F:$F,"ED")/SUMIFS(All_Attendances,site_level_range_board,$B28,date_range_board,L26,inputdata!$F:$F,"ED"),"0.0%")),IF(LEFT($B$7,6)="Number",SUMIFS(Comparison_Lookup,site_level_range_board,$B28,date_range_board,L26),TEXT(SUMIFS(Comparison_Lookup,site_level_range_board,$B28,date_range_board,L26)/SUMIFS(All_Attendances,site_level_range_board,$B28,date_range_board,L26),"0.0%"))),"")</f>
        <v>69.4%</v>
      </c>
      <c r="M28" s="165" t="str">
        <f ca="1">IFERROR(IF(ISNUMBER(FIND("ED only",$B$4)),IF(LEFT($B$7,6)="Number",SUMIFS(Comparison_Lookup,site_level_range_board,$B28,date_range_board,M26,inputdata!$F:$F,"ED"),TEXT(SUMIFS(Comparison_Lookup,site_level_range_board,$B28,date_range_board,M26,inputdata!$F:$F,"ED")/SUMIFS(All_Attendances,site_level_range_board,$B28,date_range_board,M26,inputdata!$F:$F,"ED"),"0.0%")),IF(LEFT($B$7,6)="Number",SUMIFS(Comparison_Lookup,site_level_range_board,$B28,date_range_board,M26),TEXT(SUMIFS(Comparison_Lookup,site_level_range_board,$B28,date_range_board,M26)/SUMIFS(All_Attendances,site_level_range_board,$B28,date_range_board,M26),"0.0%"))),"")</f>
        <v>65.9%</v>
      </c>
      <c r="N28" s="171" t="str">
        <f ca="1">IFERROR(IF(ISNUMBER(FIND("ED only",$B$4)),IF(LEFT($B$7,6)="Number",SUMIFS(Comparison_Lookup,site_level_range_board,$B28,date_range_board,N26,inputdata!$F:$F,"ED"),TEXT(SUMIFS(Comparison_Lookup,site_level_range_board,$B28,date_range_board,N26,inputdata!$F:$F,"ED")/SUMIFS(All_Attendances,site_level_range_board,$B28,date_range_board,N26,inputdata!$F:$F,"ED"),"0.0%")),IF(LEFT($B$7,6)="Number",SUMIFS(Comparison_Lookup,site_level_range_board,$B28,date_range_board,N26),TEXT(SUMIFS(Comparison_Lookup,site_level_range_board,$B28,date_range_board,N26)/SUMIFS(All_Attendances,site_level_range_board,$B28,date_range_board,N26),"0.0%"))),"")</f>
        <v>62.0%</v>
      </c>
    </row>
    <row r="29" spans="1:14" ht="15" customHeight="1" x14ac:dyDescent="0.2">
      <c r="A29" s="132"/>
      <c r="B29" s="152" t="s">
        <v>429</v>
      </c>
      <c r="C29" s="165" t="str">
        <f ca="1">IFERROR(IF(ISNUMBER(FIND("ED only",$B$4)),IF(LEFT($B$7,6)="Number",SUMIFS(Comparison_Lookup,site_level_range_board,$B29,date_range_board,C26,inputdata!$F:$F,"ED"),TEXT(SUMIFS(Comparison_Lookup,site_level_range_board,$B29,date_range_board,C26,inputdata!$F:$F,"ED")/SUMIFS(All_Attendances,site_level_range_board,$B29,date_range_board,C26,inputdata!$F:$F,"ED"),"0.0%")),IF(LEFT($B$7,6)="Number",SUMIFS(Comparison_Lookup,site_level_range_board,$B29,date_range_board,C26),TEXT(SUMIFS(Comparison_Lookup,site_level_range_board,$B29,date_range_board,C26)/SUMIFS(All_Attendances,site_level_range_board,$B29,date_range_board,C26),"0.0%"))),"")</f>
        <v>87.9%</v>
      </c>
      <c r="D29" s="165" t="str">
        <f ca="1">IFERROR(IF(ISNUMBER(FIND("ED only",$B$4)),IF(LEFT($B$7,6)="Number",SUMIFS(Comparison_Lookup,site_level_range_board,$B29,date_range_board,D26,inputdata!$F:$F,"ED"),TEXT(SUMIFS(Comparison_Lookup,site_level_range_board,$B29,date_range_board,D26,inputdata!$F:$F,"ED")/SUMIFS(All_Attendances,site_level_range_board,$B29,date_range_board,D26,inputdata!$F:$F,"ED"),"0.0%")),IF(LEFT($B$7,6)="Number",SUMIFS(Comparison_Lookup,site_level_range_board,$B29,date_range_board,D26),TEXT(SUMIFS(Comparison_Lookup,site_level_range_board,$B29,date_range_board,D26)/SUMIFS(All_Attendances,site_level_range_board,$B29,date_range_board,D26),"0.0%"))),"")</f>
        <v>87.1%</v>
      </c>
      <c r="E29" s="165" t="str">
        <f ca="1">IFERROR(IF(ISNUMBER(FIND("ED only",$B$4)),IF(LEFT($B$7,6)="Number",SUMIFS(Comparison_Lookup,site_level_range_board,$B29,date_range_board,E26,inputdata!$F:$F,"ED"),TEXT(SUMIFS(Comparison_Lookup,site_level_range_board,$B29,date_range_board,E26,inputdata!$F:$F,"ED")/SUMIFS(All_Attendances,site_level_range_board,$B29,date_range_board,E26,inputdata!$F:$F,"ED"),"0.0%")),IF(LEFT($B$7,6)="Number",SUMIFS(Comparison_Lookup,site_level_range_board,$B29,date_range_board,E26),TEXT(SUMIFS(Comparison_Lookup,site_level_range_board,$B29,date_range_board,E26)/SUMIFS(All_Attendances,site_level_range_board,$B29,date_range_board,E26),"0.0%"))),"")</f>
        <v>85.8%</v>
      </c>
      <c r="F29" s="165" t="str">
        <f ca="1">IFERROR(IF(ISNUMBER(FIND("ED only",$B$4)),IF(LEFT($B$7,6)="Number",SUMIFS(Comparison_Lookup,site_level_range_board,$B29,date_range_board,F26,inputdata!$F:$F,"ED"),TEXT(SUMIFS(Comparison_Lookup,site_level_range_board,$B29,date_range_board,F26,inputdata!$F:$F,"ED")/SUMIFS(All_Attendances,site_level_range_board,$B29,date_range_board,F26,inputdata!$F:$F,"ED"),"0.0%")),IF(LEFT($B$7,6)="Number",SUMIFS(Comparison_Lookup,site_level_range_board,$B29,date_range_board,F26),TEXT(SUMIFS(Comparison_Lookup,site_level_range_board,$B29,date_range_board,F26)/SUMIFS(All_Attendances,site_level_range_board,$B29,date_range_board,F26),"0.0%"))),"")</f>
        <v>84.8%</v>
      </c>
      <c r="G29" s="165" t="str">
        <f ca="1">IFERROR(IF(ISNUMBER(FIND("ED only",$B$4)),IF(LEFT($B$7,6)="Number",SUMIFS(Comparison_Lookup,site_level_range_board,$B29,date_range_board,G26,inputdata!$F:$F,"ED"),TEXT(SUMIFS(Comparison_Lookup,site_level_range_board,$B29,date_range_board,G26,inputdata!$F:$F,"ED")/SUMIFS(All_Attendances,site_level_range_board,$B29,date_range_board,G26,inputdata!$F:$F,"ED"),"0.0%")),IF(LEFT($B$7,6)="Number",SUMIFS(Comparison_Lookup,site_level_range_board,$B29,date_range_board,G26),TEXT(SUMIFS(Comparison_Lookup,site_level_range_board,$B29,date_range_board,G26)/SUMIFS(All_Attendances,site_level_range_board,$B29,date_range_board,G26),"0.0%"))),"")</f>
        <v>82.4%</v>
      </c>
      <c r="H29" s="165" t="str">
        <f ca="1">IFERROR(IF(ISNUMBER(FIND("ED only",$B$4)),IF(LEFT($B$7,6)="Number",SUMIFS(Comparison_Lookup,site_level_range_board,$B29,date_range_board,H26,inputdata!$F:$F,"ED"),TEXT(SUMIFS(Comparison_Lookup,site_level_range_board,$B29,date_range_board,H26,inputdata!$F:$F,"ED")/SUMIFS(All_Attendances,site_level_range_board,$B29,date_range_board,H26,inputdata!$F:$F,"ED"),"0.0%")),IF(LEFT($B$7,6)="Number",SUMIFS(Comparison_Lookup,site_level_range_board,$B29,date_range_board,H26),TEXT(SUMIFS(Comparison_Lookup,site_level_range_board,$B29,date_range_board,H26)/SUMIFS(All_Attendances,site_level_range_board,$B29,date_range_board,H26),"0.0%"))),"")</f>
        <v>83.1%</v>
      </c>
      <c r="I29" s="165" t="str">
        <f ca="1">IFERROR(IF(ISNUMBER(FIND("ED only",$B$4)),IF(LEFT($B$7,6)="Number",SUMIFS(Comparison_Lookup,site_level_range_board,$B29,date_range_board,I26,inputdata!$F:$F,"ED"),TEXT(SUMIFS(Comparison_Lookup,site_level_range_board,$B29,date_range_board,I26,inputdata!$F:$F,"ED")/SUMIFS(All_Attendances,site_level_range_board,$B29,date_range_board,I26,inputdata!$F:$F,"ED"),"0.0%")),IF(LEFT($B$7,6)="Number",SUMIFS(Comparison_Lookup,site_level_range_board,$B29,date_range_board,I26),TEXT(SUMIFS(Comparison_Lookup,site_level_range_board,$B29,date_range_board,I26)/SUMIFS(All_Attendances,site_level_range_board,$B29,date_range_board,I26),"0.0%"))),"")</f>
        <v>79.7%</v>
      </c>
      <c r="J29" s="165" t="str">
        <f ca="1">IFERROR(IF(ISNUMBER(FIND("ED only",$B$4)),IF(LEFT($B$7,6)="Number",SUMIFS(Comparison_Lookup,site_level_range_board,$B29,date_range_board,J26,inputdata!$F:$F,"ED"),TEXT(SUMIFS(Comparison_Lookup,site_level_range_board,$B29,date_range_board,J26,inputdata!$F:$F,"ED")/SUMIFS(All_Attendances,site_level_range_board,$B29,date_range_board,J26,inputdata!$F:$F,"ED"),"0.0%")),IF(LEFT($B$7,6)="Number",SUMIFS(Comparison_Lookup,site_level_range_board,$B29,date_range_board,J26),TEXT(SUMIFS(Comparison_Lookup,site_level_range_board,$B29,date_range_board,J26)/SUMIFS(All_Attendances,site_level_range_board,$B29,date_range_board,J26),"0.0%"))),"")</f>
        <v>81.0%</v>
      </c>
      <c r="K29" s="165" t="str">
        <f ca="1">IFERROR(IF(ISNUMBER(FIND("ED only",$B$4)),IF(LEFT($B$7,6)="Number",SUMIFS(Comparison_Lookup,site_level_range_board,$B29,date_range_board,K26,inputdata!$F:$F,"ED"),TEXT(SUMIFS(Comparison_Lookup,site_level_range_board,$B29,date_range_board,K26,inputdata!$F:$F,"ED")/SUMIFS(All_Attendances,site_level_range_board,$B29,date_range_board,K26,inputdata!$F:$F,"ED"),"0.0%")),IF(LEFT($B$7,6)="Number",SUMIFS(Comparison_Lookup,site_level_range_board,$B29,date_range_board,K26),TEXT(SUMIFS(Comparison_Lookup,site_level_range_board,$B29,date_range_board,K26)/SUMIFS(All_Attendances,site_level_range_board,$B29,date_range_board,K26),"0.0%"))),"")</f>
        <v>82.5%</v>
      </c>
      <c r="L29" s="165" t="str">
        <f ca="1">IFERROR(IF(ISNUMBER(FIND("ED only",$B$4)),IF(LEFT($B$7,6)="Number",SUMIFS(Comparison_Lookup,site_level_range_board,$B29,date_range_board,L26,inputdata!$F:$F,"ED"),TEXT(SUMIFS(Comparison_Lookup,site_level_range_board,$B29,date_range_board,L26,inputdata!$F:$F,"ED")/SUMIFS(All_Attendances,site_level_range_board,$B29,date_range_board,L26,inputdata!$F:$F,"ED"),"0.0%")),IF(LEFT($B$7,6)="Number",SUMIFS(Comparison_Lookup,site_level_range_board,$B29,date_range_board,L26),TEXT(SUMIFS(Comparison_Lookup,site_level_range_board,$B29,date_range_board,L26)/SUMIFS(All_Attendances,site_level_range_board,$B29,date_range_board,L26),"0.0%"))),"")</f>
        <v>82.4%</v>
      </c>
      <c r="M29" s="165" t="str">
        <f ca="1">IFERROR(IF(ISNUMBER(FIND("ED only",$B$4)),IF(LEFT($B$7,6)="Number",SUMIFS(Comparison_Lookup,site_level_range_board,$B29,date_range_board,M26,inputdata!$F:$F,"ED"),TEXT(SUMIFS(Comparison_Lookup,site_level_range_board,$B29,date_range_board,M26,inputdata!$F:$F,"ED")/SUMIFS(All_Attendances,site_level_range_board,$B29,date_range_board,M26,inputdata!$F:$F,"ED"),"0.0%")),IF(LEFT($B$7,6)="Number",SUMIFS(Comparison_Lookup,site_level_range_board,$B29,date_range_board,M26),TEXT(SUMIFS(Comparison_Lookup,site_level_range_board,$B29,date_range_board,M26)/SUMIFS(All_Attendances,site_level_range_board,$B29,date_range_board,M26),"0.0%"))),"")</f>
        <v>81.2%</v>
      </c>
      <c r="N29" s="171" t="str">
        <f ca="1">IFERROR(IF(ISNUMBER(FIND("ED only",$B$4)),IF(LEFT($B$7,6)="Number",SUMIFS(Comparison_Lookup,site_level_range_board,$B29,date_range_board,N26,inputdata!$F:$F,"ED"),TEXT(SUMIFS(Comparison_Lookup,site_level_range_board,$B29,date_range_board,N26,inputdata!$F:$F,"ED")/SUMIFS(All_Attendances,site_level_range_board,$B29,date_range_board,N26,inputdata!$F:$F,"ED"),"0.0%")),IF(LEFT($B$7,6)="Number",SUMIFS(Comparison_Lookup,site_level_range_board,$B29,date_range_board,N26),TEXT(SUMIFS(Comparison_Lookup,site_level_range_board,$B29,date_range_board,N26)/SUMIFS(All_Attendances,site_level_range_board,$B29,date_range_board,N26),"0.0%"))),"")</f>
        <v>79.6%</v>
      </c>
    </row>
    <row r="30" spans="1:14" ht="15" customHeight="1" x14ac:dyDescent="0.2">
      <c r="A30" s="132"/>
      <c r="B30" s="152" t="s">
        <v>442</v>
      </c>
      <c r="C30" s="165" t="str">
        <f ca="1">IFERROR(IF(ISNUMBER(FIND("ED only",$B$4)),IF(LEFT($B$7,6)="Number",SUMIFS(Comparison_Lookup,site_level_range_board,$B30,date_range_board,C26,inputdata!$F:$F,"ED"),TEXT(SUMIFS(Comparison_Lookup,site_level_range_board,$B30,date_range_board,C26,inputdata!$F:$F,"ED")/SUMIFS(All_Attendances,site_level_range_board,$B30,date_range_board,C26,inputdata!$F:$F,"ED"),"0.0%")),IF(LEFT($B$7,6)="Number",SUMIFS(Comparison_Lookup,site_level_range_board,$B30,date_range_board,C26),TEXT(SUMIFS(Comparison_Lookup,site_level_range_board,$B30,date_range_board,C26)/SUMIFS(All_Attendances,site_level_range_board,$B30,date_range_board,C26),"0.0%"))),"")</f>
        <v>91.8%</v>
      </c>
      <c r="D30" s="165" t="str">
        <f ca="1">IFERROR(IF(ISNUMBER(FIND("ED only",$B$4)),IF(LEFT($B$7,6)="Number",SUMIFS(Comparison_Lookup,site_level_range_board,$B30,date_range_board,D26,inputdata!$F:$F,"ED"),TEXT(SUMIFS(Comparison_Lookup,site_level_range_board,$B30,date_range_board,D26,inputdata!$F:$F,"ED")/SUMIFS(All_Attendances,site_level_range_board,$B30,date_range_board,D26,inputdata!$F:$F,"ED"),"0.0%")),IF(LEFT($B$7,6)="Number",SUMIFS(Comparison_Lookup,site_level_range_board,$B30,date_range_board,D26),TEXT(SUMIFS(Comparison_Lookup,site_level_range_board,$B30,date_range_board,D26)/SUMIFS(All_Attendances,site_level_range_board,$B30,date_range_board,D26),"0.0%"))),"")</f>
        <v>87.2%</v>
      </c>
      <c r="E30" s="165" t="str">
        <f ca="1">IFERROR(IF(ISNUMBER(FIND("ED only",$B$4)),IF(LEFT($B$7,6)="Number",SUMIFS(Comparison_Lookup,site_level_range_board,$B30,date_range_board,E26,inputdata!$F:$F,"ED"),TEXT(SUMIFS(Comparison_Lookup,site_level_range_board,$B30,date_range_board,E26,inputdata!$F:$F,"ED")/SUMIFS(All_Attendances,site_level_range_board,$B30,date_range_board,E26,inputdata!$F:$F,"ED"),"0.0%")),IF(LEFT($B$7,6)="Number",SUMIFS(Comparison_Lookup,site_level_range_board,$B30,date_range_board,E26),TEXT(SUMIFS(Comparison_Lookup,site_level_range_board,$B30,date_range_board,E26)/SUMIFS(All_Attendances,site_level_range_board,$B30,date_range_board,E26),"0.0%"))),"")</f>
        <v>88.2%</v>
      </c>
      <c r="F30" s="165" t="str">
        <f ca="1">IFERROR(IF(ISNUMBER(FIND("ED only",$B$4)),IF(LEFT($B$7,6)="Number",SUMIFS(Comparison_Lookup,site_level_range_board,$B30,date_range_board,F26,inputdata!$F:$F,"ED"),TEXT(SUMIFS(Comparison_Lookup,site_level_range_board,$B30,date_range_board,F26,inputdata!$F:$F,"ED")/SUMIFS(All_Attendances,site_level_range_board,$B30,date_range_board,F26,inputdata!$F:$F,"ED"),"0.0%")),IF(LEFT($B$7,6)="Number",SUMIFS(Comparison_Lookup,site_level_range_board,$B30,date_range_board,F26),TEXT(SUMIFS(Comparison_Lookup,site_level_range_board,$B30,date_range_board,F26)/SUMIFS(All_Attendances,site_level_range_board,$B30,date_range_board,F26),"0.0%"))),"")</f>
        <v>84.8%</v>
      </c>
      <c r="G30" s="165" t="str">
        <f ca="1">IFERROR(IF(ISNUMBER(FIND("ED only",$B$4)),IF(LEFT($B$7,6)="Number",SUMIFS(Comparison_Lookup,site_level_range_board,$B30,date_range_board,G26,inputdata!$F:$F,"ED"),TEXT(SUMIFS(Comparison_Lookup,site_level_range_board,$B30,date_range_board,G26,inputdata!$F:$F,"ED")/SUMIFS(All_Attendances,site_level_range_board,$B30,date_range_board,G26,inputdata!$F:$F,"ED"),"0.0%")),IF(LEFT($B$7,6)="Number",SUMIFS(Comparison_Lookup,site_level_range_board,$B30,date_range_board,G26),TEXT(SUMIFS(Comparison_Lookup,site_level_range_board,$B30,date_range_board,G26)/SUMIFS(All_Attendances,site_level_range_board,$B30,date_range_board,G26),"0.0%"))),"")</f>
        <v>83.7%</v>
      </c>
      <c r="H30" s="165" t="str">
        <f ca="1">IFERROR(IF(ISNUMBER(FIND("ED only",$B$4)),IF(LEFT($B$7,6)="Number",SUMIFS(Comparison_Lookup,site_level_range_board,$B30,date_range_board,H26,inputdata!$F:$F,"ED"),TEXT(SUMIFS(Comparison_Lookup,site_level_range_board,$B30,date_range_board,H26,inputdata!$F:$F,"ED")/SUMIFS(All_Attendances,site_level_range_board,$B30,date_range_board,H26,inputdata!$F:$F,"ED"),"0.0%")),IF(LEFT($B$7,6)="Number",SUMIFS(Comparison_Lookup,site_level_range_board,$B30,date_range_board,H26),TEXT(SUMIFS(Comparison_Lookup,site_level_range_board,$B30,date_range_board,H26)/SUMIFS(All_Attendances,site_level_range_board,$B30,date_range_board,H26),"0.0%"))),"")</f>
        <v>80.1%</v>
      </c>
      <c r="I30" s="165" t="str">
        <f ca="1">IFERROR(IF(ISNUMBER(FIND("ED only",$B$4)),IF(LEFT($B$7,6)="Number",SUMIFS(Comparison_Lookup,site_level_range_board,$B30,date_range_board,I26,inputdata!$F:$F,"ED"),TEXT(SUMIFS(Comparison_Lookup,site_level_range_board,$B30,date_range_board,I26,inputdata!$F:$F,"ED")/SUMIFS(All_Attendances,site_level_range_board,$B30,date_range_board,I26,inputdata!$F:$F,"ED"),"0.0%")),IF(LEFT($B$7,6)="Number",SUMIFS(Comparison_Lookup,site_level_range_board,$B30,date_range_board,I26),TEXT(SUMIFS(Comparison_Lookup,site_level_range_board,$B30,date_range_board,I26)/SUMIFS(All_Attendances,site_level_range_board,$B30,date_range_board,I26),"0.0%"))),"")</f>
        <v>76.4%</v>
      </c>
      <c r="J30" s="165" t="str">
        <f ca="1">IFERROR(IF(ISNUMBER(FIND("ED only",$B$4)),IF(LEFT($B$7,6)="Number",SUMIFS(Comparison_Lookup,site_level_range_board,$B30,date_range_board,J26,inputdata!$F:$F,"ED"),TEXT(SUMIFS(Comparison_Lookup,site_level_range_board,$B30,date_range_board,J26,inputdata!$F:$F,"ED")/SUMIFS(All_Attendances,site_level_range_board,$B30,date_range_board,J26,inputdata!$F:$F,"ED"),"0.0%")),IF(LEFT($B$7,6)="Number",SUMIFS(Comparison_Lookup,site_level_range_board,$B30,date_range_board,J26),TEXT(SUMIFS(Comparison_Lookup,site_level_range_board,$B30,date_range_board,J26)/SUMIFS(All_Attendances,site_level_range_board,$B30,date_range_board,J26),"0.0%"))),"")</f>
        <v>79.7%</v>
      </c>
      <c r="K30" s="165" t="str">
        <f ca="1">IFERROR(IF(ISNUMBER(FIND("ED only",$B$4)),IF(LEFT($B$7,6)="Number",SUMIFS(Comparison_Lookup,site_level_range_board,$B30,date_range_board,K26,inputdata!$F:$F,"ED"),TEXT(SUMIFS(Comparison_Lookup,site_level_range_board,$B30,date_range_board,K26,inputdata!$F:$F,"ED")/SUMIFS(All_Attendances,site_level_range_board,$B30,date_range_board,K26,inputdata!$F:$F,"ED"),"0.0%")),IF(LEFT($B$7,6)="Number",SUMIFS(Comparison_Lookup,site_level_range_board,$B30,date_range_board,K26),TEXT(SUMIFS(Comparison_Lookup,site_level_range_board,$B30,date_range_board,K26)/SUMIFS(All_Attendances,site_level_range_board,$B30,date_range_board,K26),"0.0%"))),"")</f>
        <v>76.1%</v>
      </c>
      <c r="L30" s="165" t="str">
        <f ca="1">IFERROR(IF(ISNUMBER(FIND("ED only",$B$4)),IF(LEFT($B$7,6)="Number",SUMIFS(Comparison_Lookup,site_level_range_board,$B30,date_range_board,L26,inputdata!$F:$F,"ED"),TEXT(SUMIFS(Comparison_Lookup,site_level_range_board,$B30,date_range_board,L26,inputdata!$F:$F,"ED")/SUMIFS(All_Attendances,site_level_range_board,$B30,date_range_board,L26,inputdata!$F:$F,"ED"),"0.0%")),IF(LEFT($B$7,6)="Number",SUMIFS(Comparison_Lookup,site_level_range_board,$B30,date_range_board,L26),TEXT(SUMIFS(Comparison_Lookup,site_level_range_board,$B30,date_range_board,L26)/SUMIFS(All_Attendances,site_level_range_board,$B30,date_range_board,L26),"0.0%"))),"")</f>
        <v>77.1%</v>
      </c>
      <c r="M30" s="165" t="str">
        <f ca="1">IFERROR(IF(ISNUMBER(FIND("ED only",$B$4)),IF(LEFT($B$7,6)="Number",SUMIFS(Comparison_Lookup,site_level_range_board,$B30,date_range_board,M26,inputdata!$F:$F,"ED"),TEXT(SUMIFS(Comparison_Lookup,site_level_range_board,$B30,date_range_board,M26,inputdata!$F:$F,"ED")/SUMIFS(All_Attendances,site_level_range_board,$B30,date_range_board,M26,inputdata!$F:$F,"ED"),"0.0%")),IF(LEFT($B$7,6)="Number",SUMIFS(Comparison_Lookup,site_level_range_board,$B30,date_range_board,M26),TEXT(SUMIFS(Comparison_Lookup,site_level_range_board,$B30,date_range_board,M26)/SUMIFS(All_Attendances,site_level_range_board,$B30,date_range_board,M26),"0.0%"))),"")</f>
        <v>83.0%</v>
      </c>
      <c r="N30" s="171" t="str">
        <f ca="1">IFERROR(IF(ISNUMBER(FIND("ED only",$B$4)),IF(LEFT($B$7,6)="Number",SUMIFS(Comparison_Lookup,site_level_range_board,$B30,date_range_board,N26,inputdata!$F:$F,"ED"),TEXT(SUMIFS(Comparison_Lookup,site_level_range_board,$B30,date_range_board,N26,inputdata!$F:$F,"ED")/SUMIFS(All_Attendances,site_level_range_board,$B30,date_range_board,N26,inputdata!$F:$F,"ED"),"0.0%")),IF(LEFT($B$7,6)="Number",SUMIFS(Comparison_Lookup,site_level_range_board,$B30,date_range_board,N26),TEXT(SUMIFS(Comparison_Lookup,site_level_range_board,$B30,date_range_board,N26)/SUMIFS(All_Attendances,site_level_range_board,$B30,date_range_board,N26),"0.0%"))),"")</f>
        <v>79.6%</v>
      </c>
    </row>
    <row r="31" spans="1:14" ht="15" customHeight="1" x14ac:dyDescent="0.2">
      <c r="A31" s="132"/>
      <c r="B31" s="152" t="s">
        <v>451</v>
      </c>
      <c r="C31" s="165" t="str">
        <f ca="1">IFERROR(IF(ISNUMBER(FIND("ED only",$B$4)),IF(LEFT($B$7,6)="Number",SUMIFS(Comparison_Lookup,site_level_range_board,$B31,date_range_board,C26,inputdata!$F:$F,"ED"),TEXT(SUMIFS(Comparison_Lookup,site_level_range_board,$B31,date_range_board,C26,inputdata!$F:$F,"ED")/SUMIFS(All_Attendances,site_level_range_board,$B31,date_range_board,C26,inputdata!$F:$F,"ED"),"0.0%")),IF(LEFT($B$7,6)="Number",SUMIFS(Comparison_Lookup,site_level_range_board,$B31,date_range_board,C26),TEXT(SUMIFS(Comparison_Lookup,site_level_range_board,$B31,date_range_board,C26)/SUMIFS(All_Attendances,site_level_range_board,$B31,date_range_board,C26),"0.0%"))),"")</f>
        <v>85.1%</v>
      </c>
      <c r="D31" s="165" t="str">
        <f ca="1">IFERROR(IF(ISNUMBER(FIND("ED only",$B$4)),IF(LEFT($B$7,6)="Number",SUMIFS(Comparison_Lookup,site_level_range_board,$B31,date_range_board,D26,inputdata!$F:$F,"ED"),TEXT(SUMIFS(Comparison_Lookup,site_level_range_board,$B31,date_range_board,D26,inputdata!$F:$F,"ED")/SUMIFS(All_Attendances,site_level_range_board,$B31,date_range_board,D26,inputdata!$F:$F,"ED"),"0.0%")),IF(LEFT($B$7,6)="Number",SUMIFS(Comparison_Lookup,site_level_range_board,$B31,date_range_board,D26),TEXT(SUMIFS(Comparison_Lookup,site_level_range_board,$B31,date_range_board,D26)/SUMIFS(All_Attendances,site_level_range_board,$B31,date_range_board,D26),"0.0%"))),"")</f>
        <v>83.8%</v>
      </c>
      <c r="E31" s="165" t="str">
        <f ca="1">IFERROR(IF(ISNUMBER(FIND("ED only",$B$4)),IF(LEFT($B$7,6)="Number",SUMIFS(Comparison_Lookup,site_level_range_board,$B31,date_range_board,E26,inputdata!$F:$F,"ED"),TEXT(SUMIFS(Comparison_Lookup,site_level_range_board,$B31,date_range_board,E26,inputdata!$F:$F,"ED")/SUMIFS(All_Attendances,site_level_range_board,$B31,date_range_board,E26,inputdata!$F:$F,"ED"),"0.0%")),IF(LEFT($B$7,6)="Number",SUMIFS(Comparison_Lookup,site_level_range_board,$B31,date_range_board,E26),TEXT(SUMIFS(Comparison_Lookup,site_level_range_board,$B31,date_range_board,E26)/SUMIFS(All_Attendances,site_level_range_board,$B31,date_range_board,E26),"0.0%"))),"")</f>
        <v>81.7%</v>
      </c>
      <c r="F31" s="165" t="str">
        <f ca="1">IFERROR(IF(ISNUMBER(FIND("ED only",$B$4)),IF(LEFT($B$7,6)="Number",SUMIFS(Comparison_Lookup,site_level_range_board,$B31,date_range_board,F26,inputdata!$F:$F,"ED"),TEXT(SUMIFS(Comparison_Lookup,site_level_range_board,$B31,date_range_board,F26,inputdata!$F:$F,"ED")/SUMIFS(All_Attendances,site_level_range_board,$B31,date_range_board,F26,inputdata!$F:$F,"ED"),"0.0%")),IF(LEFT($B$7,6)="Number",SUMIFS(Comparison_Lookup,site_level_range_board,$B31,date_range_board,F26),TEXT(SUMIFS(Comparison_Lookup,site_level_range_board,$B31,date_range_board,F26)/SUMIFS(All_Attendances,site_level_range_board,$B31,date_range_board,F26),"0.0%"))),"")</f>
        <v>76.8%</v>
      </c>
      <c r="G31" s="165" t="str">
        <f ca="1">IFERROR(IF(ISNUMBER(FIND("ED only",$B$4)),IF(LEFT($B$7,6)="Number",SUMIFS(Comparison_Lookup,site_level_range_board,$B31,date_range_board,G26,inputdata!$F:$F,"ED"),TEXT(SUMIFS(Comparison_Lookup,site_level_range_board,$B31,date_range_board,G26,inputdata!$F:$F,"ED")/SUMIFS(All_Attendances,site_level_range_board,$B31,date_range_board,G26,inputdata!$F:$F,"ED"),"0.0%")),IF(LEFT($B$7,6)="Number",SUMIFS(Comparison_Lookup,site_level_range_board,$B31,date_range_board,G26),TEXT(SUMIFS(Comparison_Lookup,site_level_range_board,$B31,date_range_board,G26)/SUMIFS(All_Attendances,site_level_range_board,$B31,date_range_board,G26),"0.0%"))),"")</f>
        <v>74.6%</v>
      </c>
      <c r="H31" s="165" t="str">
        <f ca="1">IFERROR(IF(ISNUMBER(FIND("ED only",$B$4)),IF(LEFT($B$7,6)="Number",SUMIFS(Comparison_Lookup,site_level_range_board,$B31,date_range_board,H26,inputdata!$F:$F,"ED"),TEXT(SUMIFS(Comparison_Lookup,site_level_range_board,$B31,date_range_board,H26,inputdata!$F:$F,"ED")/SUMIFS(All_Attendances,site_level_range_board,$B31,date_range_board,H26,inputdata!$F:$F,"ED"),"0.0%")),IF(LEFT($B$7,6)="Number",SUMIFS(Comparison_Lookup,site_level_range_board,$B31,date_range_board,H26),TEXT(SUMIFS(Comparison_Lookup,site_level_range_board,$B31,date_range_board,H26)/SUMIFS(All_Attendances,site_level_range_board,$B31,date_range_board,H26),"0.0%"))),"")</f>
        <v>69.3%</v>
      </c>
      <c r="I31" s="165" t="str">
        <f ca="1">IFERROR(IF(ISNUMBER(FIND("ED only",$B$4)),IF(LEFT($B$7,6)="Number",SUMIFS(Comparison_Lookup,site_level_range_board,$B31,date_range_board,I26,inputdata!$F:$F,"ED"),TEXT(SUMIFS(Comparison_Lookup,site_level_range_board,$B31,date_range_board,I26,inputdata!$F:$F,"ED")/SUMIFS(All_Attendances,site_level_range_board,$B31,date_range_board,I26,inputdata!$F:$F,"ED"),"0.0%")),IF(LEFT($B$7,6)="Number",SUMIFS(Comparison_Lookup,site_level_range_board,$B31,date_range_board,I26),TEXT(SUMIFS(Comparison_Lookup,site_level_range_board,$B31,date_range_board,I26)/SUMIFS(All_Attendances,site_level_range_board,$B31,date_range_board,I26),"0.0%"))),"")</f>
        <v>61.6%</v>
      </c>
      <c r="J31" s="165" t="str">
        <f ca="1">IFERROR(IF(ISNUMBER(FIND("ED only",$B$4)),IF(LEFT($B$7,6)="Number",SUMIFS(Comparison_Lookup,site_level_range_board,$B31,date_range_board,J26,inputdata!$F:$F,"ED"),TEXT(SUMIFS(Comparison_Lookup,site_level_range_board,$B31,date_range_board,J26,inputdata!$F:$F,"ED")/SUMIFS(All_Attendances,site_level_range_board,$B31,date_range_board,J26,inputdata!$F:$F,"ED"),"0.0%")),IF(LEFT($B$7,6)="Number",SUMIFS(Comparison_Lookup,site_level_range_board,$B31,date_range_board,J26),TEXT(SUMIFS(Comparison_Lookup,site_level_range_board,$B31,date_range_board,J26)/SUMIFS(All_Attendances,site_level_range_board,$B31,date_range_board,J26),"0.0%"))),"")</f>
        <v>66.3%</v>
      </c>
      <c r="K31" s="165" t="str">
        <f ca="1">IFERROR(IF(ISNUMBER(FIND("ED only",$B$4)),IF(LEFT($B$7,6)="Number",SUMIFS(Comparison_Lookup,site_level_range_board,$B31,date_range_board,K26,inputdata!$F:$F,"ED"),TEXT(SUMIFS(Comparison_Lookup,site_level_range_board,$B31,date_range_board,K26,inputdata!$F:$F,"ED")/SUMIFS(All_Attendances,site_level_range_board,$B31,date_range_board,K26,inputdata!$F:$F,"ED"),"0.0%")),IF(LEFT($B$7,6)="Number",SUMIFS(Comparison_Lookup,site_level_range_board,$B31,date_range_board,K26),TEXT(SUMIFS(Comparison_Lookup,site_level_range_board,$B31,date_range_board,K26)/SUMIFS(All_Attendances,site_level_range_board,$B31,date_range_board,K26),"0.0%"))),"")</f>
        <v>68.4%</v>
      </c>
      <c r="L31" s="165" t="str">
        <f ca="1">IFERROR(IF(ISNUMBER(FIND("ED only",$B$4)),IF(LEFT($B$7,6)="Number",SUMIFS(Comparison_Lookup,site_level_range_board,$B31,date_range_board,L26,inputdata!$F:$F,"ED"),TEXT(SUMIFS(Comparison_Lookup,site_level_range_board,$B31,date_range_board,L26,inputdata!$F:$F,"ED")/SUMIFS(All_Attendances,site_level_range_board,$B31,date_range_board,L26,inputdata!$F:$F,"ED"),"0.0%")),IF(LEFT($B$7,6)="Number",SUMIFS(Comparison_Lookup,site_level_range_board,$B31,date_range_board,L26),TEXT(SUMIFS(Comparison_Lookup,site_level_range_board,$B31,date_range_board,L26)/SUMIFS(All_Attendances,site_level_range_board,$B31,date_range_board,L26),"0.0%"))),"")</f>
        <v>77.6%</v>
      </c>
      <c r="M31" s="165" t="str">
        <f ca="1">IFERROR(IF(ISNUMBER(FIND("ED only",$B$4)),IF(LEFT($B$7,6)="Number",SUMIFS(Comparison_Lookup,site_level_range_board,$B31,date_range_board,M26,inputdata!$F:$F,"ED"),TEXT(SUMIFS(Comparison_Lookup,site_level_range_board,$B31,date_range_board,M26,inputdata!$F:$F,"ED")/SUMIFS(All_Attendances,site_level_range_board,$B31,date_range_board,M26,inputdata!$F:$F,"ED"),"0.0%")),IF(LEFT($B$7,6)="Number",SUMIFS(Comparison_Lookup,site_level_range_board,$B31,date_range_board,M26),TEXT(SUMIFS(Comparison_Lookup,site_level_range_board,$B31,date_range_board,M26)/SUMIFS(All_Attendances,site_level_range_board,$B31,date_range_board,M26),"0.0%"))),"")</f>
        <v>76.1%</v>
      </c>
      <c r="N31" s="171" t="str">
        <f ca="1">IFERROR(IF(ISNUMBER(FIND("ED only",$B$4)),IF(LEFT($B$7,6)="Number",SUMIFS(Comparison_Lookup,site_level_range_board,$B31,date_range_board,N26,inputdata!$F:$F,"ED"),TEXT(SUMIFS(Comparison_Lookup,site_level_range_board,$B31,date_range_board,N26,inputdata!$F:$F,"ED")/SUMIFS(All_Attendances,site_level_range_board,$B31,date_range_board,N26,inputdata!$F:$F,"ED"),"0.0%")),IF(LEFT($B$7,6)="Number",SUMIFS(Comparison_Lookup,site_level_range_board,$B31,date_range_board,N26),TEXT(SUMIFS(Comparison_Lookup,site_level_range_board,$B31,date_range_board,N26)/SUMIFS(All_Attendances,site_level_range_board,$B31,date_range_board,N26),"0.0%"))),"")</f>
        <v>68.4%</v>
      </c>
    </row>
    <row r="32" spans="1:14" ht="15" customHeight="1" x14ac:dyDescent="0.2">
      <c r="A32" s="132"/>
      <c r="B32" s="152" t="s">
        <v>456</v>
      </c>
      <c r="C32" s="165" t="str">
        <f ca="1">IFERROR(IF(ISNUMBER(FIND("ED only",$B$4)),IF(LEFT($B$7,6)="Number",SUMIFS(Comparison_Lookup,site_level_range_board,$B32,date_range_board,C26,inputdata!$F:$F,"ED"),TEXT(SUMIFS(Comparison_Lookup,site_level_range_board,$B32,date_range_board,C26,inputdata!$F:$F,"ED")/SUMIFS(All_Attendances,site_level_range_board,$B32,date_range_board,C26,inputdata!$F:$F,"ED"),"0.0%")),IF(LEFT($B$7,6)="Number",SUMIFS(Comparison_Lookup,site_level_range_board,$B32,date_range_board,C26),TEXT(SUMIFS(Comparison_Lookup,site_level_range_board,$B32,date_range_board,C26)/SUMIFS(All_Attendances,site_level_range_board,$B32,date_range_board,C26),"0.0%"))),"")</f>
        <v>88.4%</v>
      </c>
      <c r="D32" s="165" t="str">
        <f ca="1">IFERROR(IF(ISNUMBER(FIND("ED only",$B$4)),IF(LEFT($B$7,6)="Number",SUMIFS(Comparison_Lookup,site_level_range_board,$B32,date_range_board,D26,inputdata!$F:$F,"ED"),TEXT(SUMIFS(Comparison_Lookup,site_level_range_board,$B32,date_range_board,D26,inputdata!$F:$F,"ED")/SUMIFS(All_Attendances,site_level_range_board,$B32,date_range_board,D26,inputdata!$F:$F,"ED"),"0.0%")),IF(LEFT($B$7,6)="Number",SUMIFS(Comparison_Lookup,site_level_range_board,$B32,date_range_board,D26),TEXT(SUMIFS(Comparison_Lookup,site_level_range_board,$B32,date_range_board,D26)/SUMIFS(All_Attendances,site_level_range_board,$B32,date_range_board,D26),"0.0%"))),"")</f>
        <v>87.7%</v>
      </c>
      <c r="E32" s="165" t="str">
        <f ca="1">IFERROR(IF(ISNUMBER(FIND("ED only",$B$4)),IF(LEFT($B$7,6)="Number",SUMIFS(Comparison_Lookup,site_level_range_board,$B32,date_range_board,E26,inputdata!$F:$F,"ED"),TEXT(SUMIFS(Comparison_Lookup,site_level_range_board,$B32,date_range_board,E26,inputdata!$F:$F,"ED")/SUMIFS(All_Attendances,site_level_range_board,$B32,date_range_board,E26,inputdata!$F:$F,"ED"),"0.0%")),IF(LEFT($B$7,6)="Number",SUMIFS(Comparison_Lookup,site_level_range_board,$B32,date_range_board,E26),TEXT(SUMIFS(Comparison_Lookup,site_level_range_board,$B32,date_range_board,E26)/SUMIFS(All_Attendances,site_level_range_board,$B32,date_range_board,E26),"0.0%"))),"")</f>
        <v>89.3%</v>
      </c>
      <c r="F32" s="165" t="str">
        <f ca="1">IFERROR(IF(ISNUMBER(FIND("ED only",$B$4)),IF(LEFT($B$7,6)="Number",SUMIFS(Comparison_Lookup,site_level_range_board,$B32,date_range_board,F26,inputdata!$F:$F,"ED"),TEXT(SUMIFS(Comparison_Lookup,site_level_range_board,$B32,date_range_board,F26,inputdata!$F:$F,"ED")/SUMIFS(All_Attendances,site_level_range_board,$B32,date_range_board,F26,inputdata!$F:$F,"ED"),"0.0%")),IF(LEFT($B$7,6)="Number",SUMIFS(Comparison_Lookup,site_level_range_board,$B32,date_range_board,F26),TEXT(SUMIFS(Comparison_Lookup,site_level_range_board,$B32,date_range_board,F26)/SUMIFS(All_Attendances,site_level_range_board,$B32,date_range_board,F26),"0.0%"))),"")</f>
        <v>82.5%</v>
      </c>
      <c r="G32" s="165" t="str">
        <f ca="1">IFERROR(IF(ISNUMBER(FIND("ED only",$B$4)),IF(LEFT($B$7,6)="Number",SUMIFS(Comparison_Lookup,site_level_range_board,$B32,date_range_board,G26,inputdata!$F:$F,"ED"),TEXT(SUMIFS(Comparison_Lookup,site_level_range_board,$B32,date_range_board,G26,inputdata!$F:$F,"ED")/SUMIFS(All_Attendances,site_level_range_board,$B32,date_range_board,G26,inputdata!$F:$F,"ED"),"0.0%")),IF(LEFT($B$7,6)="Number",SUMIFS(Comparison_Lookup,site_level_range_board,$B32,date_range_board,G26),TEXT(SUMIFS(Comparison_Lookup,site_level_range_board,$B32,date_range_board,G26)/SUMIFS(All_Attendances,site_level_range_board,$B32,date_range_board,G26),"0.0%"))),"")</f>
        <v>82.0%</v>
      </c>
      <c r="H32" s="165" t="str">
        <f ca="1">IFERROR(IF(ISNUMBER(FIND("ED only",$B$4)),IF(LEFT($B$7,6)="Number",SUMIFS(Comparison_Lookup,site_level_range_board,$B32,date_range_board,H26,inputdata!$F:$F,"ED"),TEXT(SUMIFS(Comparison_Lookup,site_level_range_board,$B32,date_range_board,H26,inputdata!$F:$F,"ED")/SUMIFS(All_Attendances,site_level_range_board,$B32,date_range_board,H26,inputdata!$F:$F,"ED"),"0.0%")),IF(LEFT($B$7,6)="Number",SUMIFS(Comparison_Lookup,site_level_range_board,$B32,date_range_board,H26),TEXT(SUMIFS(Comparison_Lookup,site_level_range_board,$B32,date_range_board,H26)/SUMIFS(All_Attendances,site_level_range_board,$B32,date_range_board,H26),"0.0%"))),"")</f>
        <v>80.5%</v>
      </c>
      <c r="I32" s="165" t="str">
        <f ca="1">IFERROR(IF(ISNUMBER(FIND("ED only",$B$4)),IF(LEFT($B$7,6)="Number",SUMIFS(Comparison_Lookup,site_level_range_board,$B32,date_range_board,I26,inputdata!$F:$F,"ED"),TEXT(SUMIFS(Comparison_Lookup,site_level_range_board,$B32,date_range_board,I26,inputdata!$F:$F,"ED")/SUMIFS(All_Attendances,site_level_range_board,$B32,date_range_board,I26,inputdata!$F:$F,"ED"),"0.0%")),IF(LEFT($B$7,6)="Number",SUMIFS(Comparison_Lookup,site_level_range_board,$B32,date_range_board,I26),TEXT(SUMIFS(Comparison_Lookup,site_level_range_board,$B32,date_range_board,I26)/SUMIFS(All_Attendances,site_level_range_board,$B32,date_range_board,I26),"0.0%"))),"")</f>
        <v>77.8%</v>
      </c>
      <c r="J32" s="165" t="str">
        <f ca="1">IFERROR(IF(ISNUMBER(FIND("ED only",$B$4)),IF(LEFT($B$7,6)="Number",SUMIFS(Comparison_Lookup,site_level_range_board,$B32,date_range_board,J26,inputdata!$F:$F,"ED"),TEXT(SUMIFS(Comparison_Lookup,site_level_range_board,$B32,date_range_board,J26,inputdata!$F:$F,"ED")/SUMIFS(All_Attendances,site_level_range_board,$B32,date_range_board,J26,inputdata!$F:$F,"ED"),"0.0%")),IF(LEFT($B$7,6)="Number",SUMIFS(Comparison_Lookup,site_level_range_board,$B32,date_range_board,J26),TEXT(SUMIFS(Comparison_Lookup,site_level_range_board,$B32,date_range_board,J26)/SUMIFS(All_Attendances,site_level_range_board,$B32,date_range_board,J26),"0.0%"))),"")</f>
        <v>74.5%</v>
      </c>
      <c r="K32" s="165" t="str">
        <f ca="1">IFERROR(IF(ISNUMBER(FIND("ED only",$B$4)),IF(LEFT($B$7,6)="Number",SUMIFS(Comparison_Lookup,site_level_range_board,$B32,date_range_board,K26,inputdata!$F:$F,"ED"),TEXT(SUMIFS(Comparison_Lookup,site_level_range_board,$B32,date_range_board,K26,inputdata!$F:$F,"ED")/SUMIFS(All_Attendances,site_level_range_board,$B32,date_range_board,K26,inputdata!$F:$F,"ED"),"0.0%")),IF(LEFT($B$7,6)="Number",SUMIFS(Comparison_Lookup,site_level_range_board,$B32,date_range_board,K26),TEXT(SUMIFS(Comparison_Lookup,site_level_range_board,$B32,date_range_board,K26)/SUMIFS(All_Attendances,site_level_range_board,$B32,date_range_board,K26),"0.0%"))),"")</f>
        <v>74.7%</v>
      </c>
      <c r="L32" s="165" t="str">
        <f ca="1">IFERROR(IF(ISNUMBER(FIND("ED only",$B$4)),IF(LEFT($B$7,6)="Number",SUMIFS(Comparison_Lookup,site_level_range_board,$B32,date_range_board,L26,inputdata!$F:$F,"ED"),TEXT(SUMIFS(Comparison_Lookup,site_level_range_board,$B32,date_range_board,L26,inputdata!$F:$F,"ED")/SUMIFS(All_Attendances,site_level_range_board,$B32,date_range_board,L26,inputdata!$F:$F,"ED"),"0.0%")),IF(LEFT($B$7,6)="Number",SUMIFS(Comparison_Lookup,site_level_range_board,$B32,date_range_board,L26),TEXT(SUMIFS(Comparison_Lookup,site_level_range_board,$B32,date_range_board,L26)/SUMIFS(All_Attendances,site_level_range_board,$B32,date_range_board,L26),"0.0%"))),"")</f>
        <v>74.8%</v>
      </c>
      <c r="M32" s="165" t="str">
        <f ca="1">IFERROR(IF(ISNUMBER(FIND("ED only",$B$4)),IF(LEFT($B$7,6)="Number",SUMIFS(Comparison_Lookup,site_level_range_board,$B32,date_range_board,M26,inputdata!$F:$F,"ED"),TEXT(SUMIFS(Comparison_Lookup,site_level_range_board,$B32,date_range_board,M26,inputdata!$F:$F,"ED")/SUMIFS(All_Attendances,site_level_range_board,$B32,date_range_board,M26,inputdata!$F:$F,"ED"),"0.0%")),IF(LEFT($B$7,6)="Number",SUMIFS(Comparison_Lookup,site_level_range_board,$B32,date_range_board,M26),TEXT(SUMIFS(Comparison_Lookup,site_level_range_board,$B32,date_range_board,M26)/SUMIFS(All_Attendances,site_level_range_board,$B32,date_range_board,M26),"0.0%"))),"")</f>
        <v>73.1%</v>
      </c>
      <c r="N32" s="171" t="str">
        <f ca="1">IFERROR(IF(ISNUMBER(FIND("ED only",$B$4)),IF(LEFT($B$7,6)="Number",SUMIFS(Comparison_Lookup,site_level_range_board,$B32,date_range_board,N26,inputdata!$F:$F,"ED"),TEXT(SUMIFS(Comparison_Lookup,site_level_range_board,$B32,date_range_board,N26,inputdata!$F:$F,"ED")/SUMIFS(All_Attendances,site_level_range_board,$B32,date_range_board,N26,inputdata!$F:$F,"ED"),"0.0%")),IF(LEFT($B$7,6)="Number",SUMIFS(Comparison_Lookup,site_level_range_board,$B32,date_range_board,N26),TEXT(SUMIFS(Comparison_Lookup,site_level_range_board,$B32,date_range_board,N26)/SUMIFS(All_Attendances,site_level_range_board,$B32,date_range_board,N26),"0.0%"))),"")</f>
        <v>71.8%</v>
      </c>
    </row>
    <row r="33" spans="1:14" ht="15" customHeight="1" x14ac:dyDescent="0.2">
      <c r="A33" s="132"/>
      <c r="B33" s="152" t="s">
        <v>491</v>
      </c>
      <c r="C33" s="165" t="str">
        <f ca="1">IFERROR(IF(ISNUMBER(FIND("ED only",$B$4)),IF(LEFT($B$7,6)="Number",SUMIFS(Comparison_Lookup,site_level_range_board,$B33,date_range_board,C26,inputdata!$F:$F,"ED"),TEXT(SUMIFS(Comparison_Lookup,site_level_range_board,$B33,date_range_board,C26,inputdata!$F:$F,"ED")/SUMIFS(All_Attendances,site_level_range_board,$B33,date_range_board,C26,inputdata!$F:$F,"ED"),"0.0%")),IF(LEFT($B$7,6)="Number",SUMIFS(Comparison_Lookup,site_level_range_board,$B33,date_range_board,C26),TEXT(SUMIFS(Comparison_Lookup,site_level_range_board,$B33,date_range_board,C26)/SUMIFS(All_Attendances,site_level_range_board,$B33,date_range_board,C26),"0.0%"))),"")</f>
        <v>92.2%</v>
      </c>
      <c r="D33" s="165" t="str">
        <f ca="1">IFERROR(IF(ISNUMBER(FIND("ED only",$B$4)),IF(LEFT($B$7,6)="Number",SUMIFS(Comparison_Lookup,site_level_range_board,$B33,date_range_board,D26,inputdata!$F:$F,"ED"),TEXT(SUMIFS(Comparison_Lookup,site_level_range_board,$B33,date_range_board,D26,inputdata!$F:$F,"ED")/SUMIFS(All_Attendances,site_level_range_board,$B33,date_range_board,D26,inputdata!$F:$F,"ED"),"0.0%")),IF(LEFT($B$7,6)="Number",SUMIFS(Comparison_Lookup,site_level_range_board,$B33,date_range_board,D26),TEXT(SUMIFS(Comparison_Lookup,site_level_range_board,$B33,date_range_board,D26)/SUMIFS(All_Attendances,site_level_range_board,$B33,date_range_board,D26),"0.0%"))),"")</f>
        <v>91.8%</v>
      </c>
      <c r="E33" s="165" t="str">
        <f ca="1">IFERROR(IF(ISNUMBER(FIND("ED only",$B$4)),IF(LEFT($B$7,6)="Number",SUMIFS(Comparison_Lookup,site_level_range_board,$B33,date_range_board,E26,inputdata!$F:$F,"ED"),TEXT(SUMIFS(Comparison_Lookup,site_level_range_board,$B33,date_range_board,E26,inputdata!$F:$F,"ED")/SUMIFS(All_Attendances,site_level_range_board,$B33,date_range_board,E26,inputdata!$F:$F,"ED"),"0.0%")),IF(LEFT($B$7,6)="Number",SUMIFS(Comparison_Lookup,site_level_range_board,$B33,date_range_board,E26),TEXT(SUMIFS(Comparison_Lookup,site_level_range_board,$B33,date_range_board,E26)/SUMIFS(All_Attendances,site_level_range_board,$B33,date_range_board,E26),"0.0%"))),"")</f>
        <v>89.3%</v>
      </c>
      <c r="F33" s="165" t="str">
        <f ca="1">IFERROR(IF(ISNUMBER(FIND("ED only",$B$4)),IF(LEFT($B$7,6)="Number",SUMIFS(Comparison_Lookup,site_level_range_board,$B33,date_range_board,F26,inputdata!$F:$F,"ED"),TEXT(SUMIFS(Comparison_Lookup,site_level_range_board,$B33,date_range_board,F26,inputdata!$F:$F,"ED")/SUMIFS(All_Attendances,site_level_range_board,$B33,date_range_board,F26,inputdata!$F:$F,"ED"),"0.0%")),IF(LEFT($B$7,6)="Number",SUMIFS(Comparison_Lookup,site_level_range_board,$B33,date_range_board,F26),TEXT(SUMIFS(Comparison_Lookup,site_level_range_board,$B33,date_range_board,F26)/SUMIFS(All_Attendances,site_level_range_board,$B33,date_range_board,F26),"0.0%"))),"")</f>
        <v>84.1%</v>
      </c>
      <c r="G33" s="165" t="str">
        <f ca="1">IFERROR(IF(ISNUMBER(FIND("ED only",$B$4)),IF(LEFT($B$7,6)="Number",SUMIFS(Comparison_Lookup,site_level_range_board,$B33,date_range_board,G26,inputdata!$F:$F,"ED"),TEXT(SUMIFS(Comparison_Lookup,site_level_range_board,$B33,date_range_board,G26,inputdata!$F:$F,"ED")/SUMIFS(All_Attendances,site_level_range_board,$B33,date_range_board,G26,inputdata!$F:$F,"ED"),"0.0%")),IF(LEFT($B$7,6)="Number",SUMIFS(Comparison_Lookup,site_level_range_board,$B33,date_range_board,G26),TEXT(SUMIFS(Comparison_Lookup,site_level_range_board,$B33,date_range_board,G26)/SUMIFS(All_Attendances,site_level_range_board,$B33,date_range_board,G26),"0.0%"))),"")</f>
        <v>77.9%</v>
      </c>
      <c r="H33" s="165" t="str">
        <f ca="1">IFERROR(IF(ISNUMBER(FIND("ED only",$B$4)),IF(LEFT($B$7,6)="Number",SUMIFS(Comparison_Lookup,site_level_range_board,$B33,date_range_board,H26,inputdata!$F:$F,"ED"),TEXT(SUMIFS(Comparison_Lookup,site_level_range_board,$B33,date_range_board,H26,inputdata!$F:$F,"ED")/SUMIFS(All_Attendances,site_level_range_board,$B33,date_range_board,H26,inputdata!$F:$F,"ED"),"0.0%")),IF(LEFT($B$7,6)="Number",SUMIFS(Comparison_Lookup,site_level_range_board,$B33,date_range_board,H26),TEXT(SUMIFS(Comparison_Lookup,site_level_range_board,$B33,date_range_board,H26)/SUMIFS(All_Attendances,site_level_range_board,$B33,date_range_board,H26),"0.0%"))),"")</f>
        <v>75.9%</v>
      </c>
      <c r="I33" s="165" t="str">
        <f ca="1">IFERROR(IF(ISNUMBER(FIND("ED only",$B$4)),IF(LEFT($B$7,6)="Number",SUMIFS(Comparison_Lookup,site_level_range_board,$B33,date_range_board,I26,inputdata!$F:$F,"ED"),TEXT(SUMIFS(Comparison_Lookup,site_level_range_board,$B33,date_range_board,I26,inputdata!$F:$F,"ED")/SUMIFS(All_Attendances,site_level_range_board,$B33,date_range_board,I26,inputdata!$F:$F,"ED"),"0.0%")),IF(LEFT($B$7,6)="Number",SUMIFS(Comparison_Lookup,site_level_range_board,$B33,date_range_board,I26),TEXT(SUMIFS(Comparison_Lookup,site_level_range_board,$B33,date_range_board,I26)/SUMIFS(All_Attendances,site_level_range_board,$B33,date_range_board,I26),"0.0%"))),"")</f>
        <v>73.0%</v>
      </c>
      <c r="J33" s="165" t="str">
        <f ca="1">IFERROR(IF(ISNUMBER(FIND("ED only",$B$4)),IF(LEFT($B$7,6)="Number",SUMIFS(Comparison_Lookup,site_level_range_board,$B33,date_range_board,J26,inputdata!$F:$F,"ED"),TEXT(SUMIFS(Comparison_Lookup,site_level_range_board,$B33,date_range_board,J26,inputdata!$F:$F,"ED")/SUMIFS(All_Attendances,site_level_range_board,$B33,date_range_board,J26,inputdata!$F:$F,"ED"),"0.0%")),IF(LEFT($B$7,6)="Number",SUMIFS(Comparison_Lookup,site_level_range_board,$B33,date_range_board,J26),TEXT(SUMIFS(Comparison_Lookup,site_level_range_board,$B33,date_range_board,J26)/SUMIFS(All_Attendances,site_level_range_board,$B33,date_range_board,J26),"0.0%"))),"")</f>
        <v>76.7%</v>
      </c>
      <c r="K33" s="165" t="str">
        <f ca="1">IFERROR(IF(ISNUMBER(FIND("ED only",$B$4)),IF(LEFT($B$7,6)="Number",SUMIFS(Comparison_Lookup,site_level_range_board,$B33,date_range_board,K26,inputdata!$F:$F,"ED"),TEXT(SUMIFS(Comparison_Lookup,site_level_range_board,$B33,date_range_board,K26,inputdata!$F:$F,"ED")/SUMIFS(All_Attendances,site_level_range_board,$B33,date_range_board,K26,inputdata!$F:$F,"ED"),"0.0%")),IF(LEFT($B$7,6)="Number",SUMIFS(Comparison_Lookup,site_level_range_board,$B33,date_range_board,K26),TEXT(SUMIFS(Comparison_Lookup,site_level_range_board,$B33,date_range_board,K26)/SUMIFS(All_Attendances,site_level_range_board,$B33,date_range_board,K26),"0.0%"))),"")</f>
        <v>77.7%</v>
      </c>
      <c r="L33" s="165" t="str">
        <f ca="1">IFERROR(IF(ISNUMBER(FIND("ED only",$B$4)),IF(LEFT($B$7,6)="Number",SUMIFS(Comparison_Lookup,site_level_range_board,$B33,date_range_board,L26,inputdata!$F:$F,"ED"),TEXT(SUMIFS(Comparison_Lookup,site_level_range_board,$B33,date_range_board,L26,inputdata!$F:$F,"ED")/SUMIFS(All_Attendances,site_level_range_board,$B33,date_range_board,L26,inputdata!$F:$F,"ED"),"0.0%")),IF(LEFT($B$7,6)="Number",SUMIFS(Comparison_Lookup,site_level_range_board,$B33,date_range_board,L26),TEXT(SUMIFS(Comparison_Lookup,site_level_range_board,$B33,date_range_board,L26)/SUMIFS(All_Attendances,site_level_range_board,$B33,date_range_board,L26),"0.0%"))),"")</f>
        <v>76.9%</v>
      </c>
      <c r="M33" s="165" t="str">
        <f ca="1">IFERROR(IF(ISNUMBER(FIND("ED only",$B$4)),IF(LEFT($B$7,6)="Number",SUMIFS(Comparison_Lookup,site_level_range_board,$B33,date_range_board,M26,inputdata!$F:$F,"ED"),TEXT(SUMIFS(Comparison_Lookup,site_level_range_board,$B33,date_range_board,M26,inputdata!$F:$F,"ED")/SUMIFS(All_Attendances,site_level_range_board,$B33,date_range_board,M26,inputdata!$F:$F,"ED"),"0.0%")),IF(LEFT($B$7,6)="Number",SUMIFS(Comparison_Lookup,site_level_range_board,$B33,date_range_board,M26),TEXT(SUMIFS(Comparison_Lookup,site_level_range_board,$B33,date_range_board,M26)/SUMIFS(All_Attendances,site_level_range_board,$B33,date_range_board,M26),"0.0%"))),"")</f>
        <v>76.5%</v>
      </c>
      <c r="N33" s="171" t="str">
        <f ca="1">IFERROR(IF(ISNUMBER(FIND("ED only",$B$4)),IF(LEFT($B$7,6)="Number",SUMIFS(Comparison_Lookup,site_level_range_board,$B33,date_range_board,N26,inputdata!$F:$F,"ED"),TEXT(SUMIFS(Comparison_Lookup,site_level_range_board,$B33,date_range_board,N26,inputdata!$F:$F,"ED")/SUMIFS(All_Attendances,site_level_range_board,$B33,date_range_board,N26,inputdata!$F:$F,"ED"),"0.0%")),IF(LEFT($B$7,6)="Number",SUMIFS(Comparison_Lookup,site_level_range_board,$B33,date_range_board,N26),TEXT(SUMIFS(Comparison_Lookup,site_level_range_board,$B33,date_range_board,N26)/SUMIFS(All_Attendances,site_level_range_board,$B33,date_range_board,N26),"0.0%"))),"")</f>
        <v>71.7%</v>
      </c>
    </row>
    <row r="34" spans="1:14" ht="15" customHeight="1" x14ac:dyDescent="0.2">
      <c r="A34" s="132"/>
      <c r="B34" s="152" t="s">
        <v>510</v>
      </c>
      <c r="C34" s="165" t="str">
        <f ca="1">IFERROR(IF(ISNUMBER(FIND("ED only",$B$4)),IF(LEFT($B$7,6)="Number",SUMIFS(Comparison_Lookup,site_level_range_board,$B34,date_range_board,C26,inputdata!$F:$F,"ED"),TEXT(SUMIFS(Comparison_Lookup,site_level_range_board,$B34,date_range_board,C26,inputdata!$F:$F,"ED")/SUMIFS(All_Attendances,site_level_range_board,$B34,date_range_board,C26,inputdata!$F:$F,"ED"),"0.0%")),IF(LEFT($B$7,6)="Number",SUMIFS(Comparison_Lookup,site_level_range_board,$B34,date_range_board,C26),TEXT(SUMIFS(Comparison_Lookup,site_level_range_board,$B34,date_range_board,C26)/SUMIFS(All_Attendances,site_level_range_board,$B34,date_range_board,C26),"0.0%"))),"")</f>
        <v>95.0%</v>
      </c>
      <c r="D34" s="165" t="str">
        <f ca="1">IFERROR(IF(ISNUMBER(FIND("ED only",$B$4)),IF(LEFT($B$7,6)="Number",SUMIFS(Comparison_Lookup,site_level_range_board,$B34,date_range_board,D26,inputdata!$F:$F,"ED"),TEXT(SUMIFS(Comparison_Lookup,site_level_range_board,$B34,date_range_board,D26,inputdata!$F:$F,"ED")/SUMIFS(All_Attendances,site_level_range_board,$B34,date_range_board,D26,inputdata!$F:$F,"ED"),"0.0%")),IF(LEFT($B$7,6)="Number",SUMIFS(Comparison_Lookup,site_level_range_board,$B34,date_range_board,D26),TEXT(SUMIFS(Comparison_Lookup,site_level_range_board,$B34,date_range_board,D26)/SUMIFS(All_Attendances,site_level_range_board,$B34,date_range_board,D26),"0.0%"))),"")</f>
        <v>93.8%</v>
      </c>
      <c r="E34" s="165" t="str">
        <f ca="1">IFERROR(IF(ISNUMBER(FIND("ED only",$B$4)),IF(LEFT($B$7,6)="Number",SUMIFS(Comparison_Lookup,site_level_range_board,$B34,date_range_board,E26,inputdata!$F:$F,"ED"),TEXT(SUMIFS(Comparison_Lookup,site_level_range_board,$B34,date_range_board,E26,inputdata!$F:$F,"ED")/SUMIFS(All_Attendances,site_level_range_board,$B34,date_range_board,E26,inputdata!$F:$F,"ED"),"0.0%")),IF(LEFT($B$7,6)="Number",SUMIFS(Comparison_Lookup,site_level_range_board,$B34,date_range_board,E26),TEXT(SUMIFS(Comparison_Lookup,site_level_range_board,$B34,date_range_board,E26)/SUMIFS(All_Attendances,site_level_range_board,$B34,date_range_board,E26),"0.0%"))),"")</f>
        <v>92.1%</v>
      </c>
      <c r="F34" s="165" t="str">
        <f ca="1">IFERROR(IF(ISNUMBER(FIND("ED only",$B$4)),IF(LEFT($B$7,6)="Number",SUMIFS(Comparison_Lookup,site_level_range_board,$B34,date_range_board,F26,inputdata!$F:$F,"ED"),TEXT(SUMIFS(Comparison_Lookup,site_level_range_board,$B34,date_range_board,F26,inputdata!$F:$F,"ED")/SUMIFS(All_Attendances,site_level_range_board,$B34,date_range_board,F26,inputdata!$F:$F,"ED"),"0.0%")),IF(LEFT($B$7,6)="Number",SUMIFS(Comparison_Lookup,site_level_range_board,$B34,date_range_board,F26),TEXT(SUMIFS(Comparison_Lookup,site_level_range_board,$B34,date_range_board,F26)/SUMIFS(All_Attendances,site_level_range_board,$B34,date_range_board,F26),"0.0%"))),"")</f>
        <v>91.6%</v>
      </c>
      <c r="G34" s="165" t="str">
        <f ca="1">IFERROR(IF(ISNUMBER(FIND("ED only",$B$4)),IF(LEFT($B$7,6)="Number",SUMIFS(Comparison_Lookup,site_level_range_board,$B34,date_range_board,G26,inputdata!$F:$F,"ED"),TEXT(SUMIFS(Comparison_Lookup,site_level_range_board,$B34,date_range_board,G26,inputdata!$F:$F,"ED")/SUMIFS(All_Attendances,site_level_range_board,$B34,date_range_board,G26,inputdata!$F:$F,"ED"),"0.0%")),IF(LEFT($B$7,6)="Number",SUMIFS(Comparison_Lookup,site_level_range_board,$B34,date_range_board,G26),TEXT(SUMIFS(Comparison_Lookup,site_level_range_board,$B34,date_range_board,G26)/SUMIFS(All_Attendances,site_level_range_board,$B34,date_range_board,G26),"0.0%"))),"")</f>
        <v>89.0%</v>
      </c>
      <c r="H34" s="165" t="str">
        <f ca="1">IFERROR(IF(ISNUMBER(FIND("ED only",$B$4)),IF(LEFT($B$7,6)="Number",SUMIFS(Comparison_Lookup,site_level_range_board,$B34,date_range_board,H26,inputdata!$F:$F,"ED"),TEXT(SUMIFS(Comparison_Lookup,site_level_range_board,$B34,date_range_board,H26,inputdata!$F:$F,"ED")/SUMIFS(All_Attendances,site_level_range_board,$B34,date_range_board,H26,inputdata!$F:$F,"ED"),"0.0%")),IF(LEFT($B$7,6)="Number",SUMIFS(Comparison_Lookup,site_level_range_board,$B34,date_range_board,H26),TEXT(SUMIFS(Comparison_Lookup,site_level_range_board,$B34,date_range_board,H26)/SUMIFS(All_Attendances,site_level_range_board,$B34,date_range_board,H26),"0.0%"))),"")</f>
        <v>86.7%</v>
      </c>
      <c r="I34" s="165" t="str">
        <f ca="1">IFERROR(IF(ISNUMBER(FIND("ED only",$B$4)),IF(LEFT($B$7,6)="Number",SUMIFS(Comparison_Lookup,site_level_range_board,$B34,date_range_board,I26,inputdata!$F:$F,"ED"),TEXT(SUMIFS(Comparison_Lookup,site_level_range_board,$B34,date_range_board,I26,inputdata!$F:$F,"ED")/SUMIFS(All_Attendances,site_level_range_board,$B34,date_range_board,I26,inputdata!$F:$F,"ED"),"0.0%")),IF(LEFT($B$7,6)="Number",SUMIFS(Comparison_Lookup,site_level_range_board,$B34,date_range_board,I26),TEXT(SUMIFS(Comparison_Lookup,site_level_range_board,$B34,date_range_board,I26)/SUMIFS(All_Attendances,site_level_range_board,$B34,date_range_board,I26),"0.0%"))),"")</f>
        <v>87.7%</v>
      </c>
      <c r="J34" s="165" t="str">
        <f ca="1">IFERROR(IF(ISNUMBER(FIND("ED only",$B$4)),IF(LEFT($B$7,6)="Number",SUMIFS(Comparison_Lookup,site_level_range_board,$B34,date_range_board,J26,inputdata!$F:$F,"ED"),TEXT(SUMIFS(Comparison_Lookup,site_level_range_board,$B34,date_range_board,J26,inputdata!$F:$F,"ED")/SUMIFS(All_Attendances,site_level_range_board,$B34,date_range_board,J26,inputdata!$F:$F,"ED"),"0.0%")),IF(LEFT($B$7,6)="Number",SUMIFS(Comparison_Lookup,site_level_range_board,$B34,date_range_board,J26),TEXT(SUMIFS(Comparison_Lookup,site_level_range_board,$B34,date_range_board,J26)/SUMIFS(All_Attendances,site_level_range_board,$B34,date_range_board,J26),"0.0%"))),"")</f>
        <v>88.5%</v>
      </c>
      <c r="K34" s="165" t="str">
        <f ca="1">IFERROR(IF(ISNUMBER(FIND("ED only",$B$4)),IF(LEFT($B$7,6)="Number",SUMIFS(Comparison_Lookup,site_level_range_board,$B34,date_range_board,K26,inputdata!$F:$F,"ED"),TEXT(SUMIFS(Comparison_Lookup,site_level_range_board,$B34,date_range_board,K26,inputdata!$F:$F,"ED")/SUMIFS(All_Attendances,site_level_range_board,$B34,date_range_board,K26,inputdata!$F:$F,"ED"),"0.0%")),IF(LEFT($B$7,6)="Number",SUMIFS(Comparison_Lookup,site_level_range_board,$B34,date_range_board,K26),TEXT(SUMIFS(Comparison_Lookup,site_level_range_board,$B34,date_range_board,K26)/SUMIFS(All_Attendances,site_level_range_board,$B34,date_range_board,K26),"0.0%"))),"")</f>
        <v>86.7%</v>
      </c>
      <c r="L34" s="165" t="str">
        <f ca="1">IFERROR(IF(ISNUMBER(FIND("ED only",$B$4)),IF(LEFT($B$7,6)="Number",SUMIFS(Comparison_Lookup,site_level_range_board,$B34,date_range_board,L26,inputdata!$F:$F,"ED"),TEXT(SUMIFS(Comparison_Lookup,site_level_range_board,$B34,date_range_board,L26,inputdata!$F:$F,"ED")/SUMIFS(All_Attendances,site_level_range_board,$B34,date_range_board,L26,inputdata!$F:$F,"ED"),"0.0%")),IF(LEFT($B$7,6)="Number",SUMIFS(Comparison_Lookup,site_level_range_board,$B34,date_range_board,L26),TEXT(SUMIFS(Comparison_Lookup,site_level_range_board,$B34,date_range_board,L26)/SUMIFS(All_Attendances,site_level_range_board,$B34,date_range_board,L26),"0.0%"))),"")</f>
        <v>88.3%</v>
      </c>
      <c r="M34" s="165" t="str">
        <f ca="1">IFERROR(IF(ISNUMBER(FIND("ED only",$B$4)),IF(LEFT($B$7,6)="Number",SUMIFS(Comparison_Lookup,site_level_range_board,$B34,date_range_board,M26,inputdata!$F:$F,"ED"),TEXT(SUMIFS(Comparison_Lookup,site_level_range_board,$B34,date_range_board,M26,inputdata!$F:$F,"ED")/SUMIFS(All_Attendances,site_level_range_board,$B34,date_range_board,M26,inputdata!$F:$F,"ED"),"0.0%")),IF(LEFT($B$7,6)="Number",SUMIFS(Comparison_Lookup,site_level_range_board,$B34,date_range_board,M26),TEXT(SUMIFS(Comparison_Lookup,site_level_range_board,$B34,date_range_board,M26)/SUMIFS(All_Attendances,site_level_range_board,$B34,date_range_board,M26),"0.0%"))),"")</f>
        <v>87.7%</v>
      </c>
      <c r="N34" s="171" t="str">
        <f ca="1">IFERROR(IF(ISNUMBER(FIND("ED only",$B$4)),IF(LEFT($B$7,6)="Number",SUMIFS(Comparison_Lookup,site_level_range_board,$B34,date_range_board,N26,inputdata!$F:$F,"ED"),TEXT(SUMIFS(Comparison_Lookup,site_level_range_board,$B34,date_range_board,N26,inputdata!$F:$F,"ED")/SUMIFS(All_Attendances,site_level_range_board,$B34,date_range_board,N26,inputdata!$F:$F,"ED"),"0.0%")),IF(LEFT($B$7,6)="Number",SUMIFS(Comparison_Lookup,site_level_range_board,$B34,date_range_board,N26),TEXT(SUMIFS(Comparison_Lookup,site_level_range_board,$B34,date_range_board,N26)/SUMIFS(All_Attendances,site_level_range_board,$B34,date_range_board,N26),"0.0%"))),"")</f>
        <v>85.5%</v>
      </c>
    </row>
    <row r="35" spans="1:14" ht="15" customHeight="1" x14ac:dyDescent="0.2">
      <c r="A35" s="132"/>
      <c r="B35" s="152" t="s">
        <v>551</v>
      </c>
      <c r="C35" s="165" t="str">
        <f ca="1">IFERROR(IF(ISNUMBER(FIND("ED only",$B$4)),IF(LEFT($B$7,6)="Number",SUMIFS(Comparison_Lookup,site_level_range_board,$B35,date_range_board,C26,inputdata!$F:$F,"ED"),TEXT(SUMIFS(Comparison_Lookup,site_level_range_board,$B35,date_range_board,C26,inputdata!$F:$F,"ED")/SUMIFS(All_Attendances,site_level_range_board,$B35,date_range_board,C26,inputdata!$F:$F,"ED"),"0.0%")),IF(LEFT($B$7,6)="Number",SUMIFS(Comparison_Lookup,site_level_range_board,$B35,date_range_board,C26),TEXT(SUMIFS(Comparison_Lookup,site_level_range_board,$B35,date_range_board,C26)/SUMIFS(All_Attendances,site_level_range_board,$B35,date_range_board,C26),"0.0%"))),"")</f>
        <v>81.9%</v>
      </c>
      <c r="D35" s="165" t="str">
        <f ca="1">IFERROR(IF(ISNUMBER(FIND("ED only",$B$4)),IF(LEFT($B$7,6)="Number",SUMIFS(Comparison_Lookup,site_level_range_board,$B35,date_range_board,D26,inputdata!$F:$F,"ED"),TEXT(SUMIFS(Comparison_Lookup,site_level_range_board,$B35,date_range_board,D26,inputdata!$F:$F,"ED")/SUMIFS(All_Attendances,site_level_range_board,$B35,date_range_board,D26,inputdata!$F:$F,"ED"),"0.0%")),IF(LEFT($B$7,6)="Number",SUMIFS(Comparison_Lookup,site_level_range_board,$B35,date_range_board,D26),TEXT(SUMIFS(Comparison_Lookup,site_level_range_board,$B35,date_range_board,D26)/SUMIFS(All_Attendances,site_level_range_board,$B35,date_range_board,D26),"0.0%"))),"")</f>
        <v>79.6%</v>
      </c>
      <c r="E35" s="165" t="str">
        <f ca="1">IFERROR(IF(ISNUMBER(FIND("ED only",$B$4)),IF(LEFT($B$7,6)="Number",SUMIFS(Comparison_Lookup,site_level_range_board,$B35,date_range_board,E26,inputdata!$F:$F,"ED"),TEXT(SUMIFS(Comparison_Lookup,site_level_range_board,$B35,date_range_board,E26,inputdata!$F:$F,"ED")/SUMIFS(All_Attendances,site_level_range_board,$B35,date_range_board,E26,inputdata!$F:$F,"ED"),"0.0%")),IF(LEFT($B$7,6)="Number",SUMIFS(Comparison_Lookup,site_level_range_board,$B35,date_range_board,E26),TEXT(SUMIFS(Comparison_Lookup,site_level_range_board,$B35,date_range_board,E26)/SUMIFS(All_Attendances,site_level_range_board,$B35,date_range_board,E26),"0.0%"))),"")</f>
        <v>73.6%</v>
      </c>
      <c r="F35" s="165" t="str">
        <f ca="1">IFERROR(IF(ISNUMBER(FIND("ED only",$B$4)),IF(LEFT($B$7,6)="Number",SUMIFS(Comparison_Lookup,site_level_range_board,$B35,date_range_board,F26,inputdata!$F:$F,"ED"),TEXT(SUMIFS(Comparison_Lookup,site_level_range_board,$B35,date_range_board,F26,inputdata!$F:$F,"ED")/SUMIFS(All_Attendances,site_level_range_board,$B35,date_range_board,F26,inputdata!$F:$F,"ED"),"0.0%")),IF(LEFT($B$7,6)="Number",SUMIFS(Comparison_Lookup,site_level_range_board,$B35,date_range_board,F26),TEXT(SUMIFS(Comparison_Lookup,site_level_range_board,$B35,date_range_board,F26)/SUMIFS(All_Attendances,site_level_range_board,$B35,date_range_board,F26),"0.0%"))),"")</f>
        <v>68.0%</v>
      </c>
      <c r="G35" s="165" t="str">
        <f ca="1">IFERROR(IF(ISNUMBER(FIND("ED only",$B$4)),IF(LEFT($B$7,6)="Number",SUMIFS(Comparison_Lookup,site_level_range_board,$B35,date_range_board,G26,inputdata!$F:$F,"ED"),TEXT(SUMIFS(Comparison_Lookup,site_level_range_board,$B35,date_range_board,G26,inputdata!$F:$F,"ED")/SUMIFS(All_Attendances,site_level_range_board,$B35,date_range_board,G26,inputdata!$F:$F,"ED"),"0.0%")),IF(LEFT($B$7,6)="Number",SUMIFS(Comparison_Lookup,site_level_range_board,$B35,date_range_board,G26),TEXT(SUMIFS(Comparison_Lookup,site_level_range_board,$B35,date_range_board,G26)/SUMIFS(All_Attendances,site_level_range_board,$B35,date_range_board,G26),"0.0%"))),"")</f>
        <v>67.5%</v>
      </c>
      <c r="H35" s="165" t="str">
        <f ca="1">IFERROR(IF(ISNUMBER(FIND("ED only",$B$4)),IF(LEFT($B$7,6)="Number",SUMIFS(Comparison_Lookup,site_level_range_board,$B35,date_range_board,H26,inputdata!$F:$F,"ED"),TEXT(SUMIFS(Comparison_Lookup,site_level_range_board,$B35,date_range_board,H26,inputdata!$F:$F,"ED")/SUMIFS(All_Attendances,site_level_range_board,$B35,date_range_board,H26,inputdata!$F:$F,"ED"),"0.0%")),IF(LEFT($B$7,6)="Number",SUMIFS(Comparison_Lookup,site_level_range_board,$B35,date_range_board,H26),TEXT(SUMIFS(Comparison_Lookup,site_level_range_board,$B35,date_range_board,H26)/SUMIFS(All_Attendances,site_level_range_board,$B35,date_range_board,H26),"0.0%"))),"")</f>
        <v>69.2%</v>
      </c>
      <c r="I35" s="165" t="str">
        <f ca="1">IFERROR(IF(ISNUMBER(FIND("ED only",$B$4)),IF(LEFT($B$7,6)="Number",SUMIFS(Comparison_Lookup,site_level_range_board,$B35,date_range_board,I26,inputdata!$F:$F,"ED"),TEXT(SUMIFS(Comparison_Lookup,site_level_range_board,$B35,date_range_board,I26,inputdata!$F:$F,"ED")/SUMIFS(All_Attendances,site_level_range_board,$B35,date_range_board,I26,inputdata!$F:$F,"ED"),"0.0%")),IF(LEFT($B$7,6)="Number",SUMIFS(Comparison_Lookup,site_level_range_board,$B35,date_range_board,I26),TEXT(SUMIFS(Comparison_Lookup,site_level_range_board,$B35,date_range_board,I26)/SUMIFS(All_Attendances,site_level_range_board,$B35,date_range_board,I26),"0.0%"))),"")</f>
        <v>65.0%</v>
      </c>
      <c r="J35" s="165" t="str">
        <f ca="1">IFERROR(IF(ISNUMBER(FIND("ED only",$B$4)),IF(LEFT($B$7,6)="Number",SUMIFS(Comparison_Lookup,site_level_range_board,$B35,date_range_board,J26,inputdata!$F:$F,"ED"),TEXT(SUMIFS(Comparison_Lookup,site_level_range_board,$B35,date_range_board,J26,inputdata!$F:$F,"ED")/SUMIFS(All_Attendances,site_level_range_board,$B35,date_range_board,J26,inputdata!$F:$F,"ED"),"0.0%")),IF(LEFT($B$7,6)="Number",SUMIFS(Comparison_Lookup,site_level_range_board,$B35,date_range_board,J26),TEXT(SUMIFS(Comparison_Lookup,site_level_range_board,$B35,date_range_board,J26)/SUMIFS(All_Attendances,site_level_range_board,$B35,date_range_board,J26),"0.0%"))),"")</f>
        <v>72.5%</v>
      </c>
      <c r="K35" s="165" t="str">
        <f ca="1">IFERROR(IF(ISNUMBER(FIND("ED only",$B$4)),IF(LEFT($B$7,6)="Number",SUMIFS(Comparison_Lookup,site_level_range_board,$B35,date_range_board,K26,inputdata!$F:$F,"ED"),TEXT(SUMIFS(Comparison_Lookup,site_level_range_board,$B35,date_range_board,K26,inputdata!$F:$F,"ED")/SUMIFS(All_Attendances,site_level_range_board,$B35,date_range_board,K26,inputdata!$F:$F,"ED"),"0.0%")),IF(LEFT($B$7,6)="Number",SUMIFS(Comparison_Lookup,site_level_range_board,$B35,date_range_board,K26),TEXT(SUMIFS(Comparison_Lookup,site_level_range_board,$B35,date_range_board,K26)/SUMIFS(All_Attendances,site_level_range_board,$B35,date_range_board,K26),"0.0%"))),"")</f>
        <v>69.3%</v>
      </c>
      <c r="L35" s="165" t="str">
        <f ca="1">IFERROR(IF(ISNUMBER(FIND("ED only",$B$4)),IF(LEFT($B$7,6)="Number",SUMIFS(Comparison_Lookup,site_level_range_board,$B35,date_range_board,L26,inputdata!$F:$F,"ED"),TEXT(SUMIFS(Comparison_Lookup,site_level_range_board,$B35,date_range_board,L26,inputdata!$F:$F,"ED")/SUMIFS(All_Attendances,site_level_range_board,$B35,date_range_board,L26,inputdata!$F:$F,"ED"),"0.0%")),IF(LEFT($B$7,6)="Number",SUMIFS(Comparison_Lookup,site_level_range_board,$B35,date_range_board,L26),TEXT(SUMIFS(Comparison_Lookup,site_level_range_board,$B35,date_range_board,L26)/SUMIFS(All_Attendances,site_level_range_board,$B35,date_range_board,L26),"0.0%"))),"")</f>
        <v>67.9%</v>
      </c>
      <c r="M35" s="165" t="str">
        <f ca="1">IFERROR(IF(ISNUMBER(FIND("ED only",$B$4)),IF(LEFT($B$7,6)="Number",SUMIFS(Comparison_Lookup,site_level_range_board,$B35,date_range_board,M26,inputdata!$F:$F,"ED"),TEXT(SUMIFS(Comparison_Lookup,site_level_range_board,$B35,date_range_board,M26,inputdata!$F:$F,"ED")/SUMIFS(All_Attendances,site_level_range_board,$B35,date_range_board,M26,inputdata!$F:$F,"ED"),"0.0%")),IF(LEFT($B$7,6)="Number",SUMIFS(Comparison_Lookup,site_level_range_board,$B35,date_range_board,M26),TEXT(SUMIFS(Comparison_Lookup,site_level_range_board,$B35,date_range_board,M26)/SUMIFS(All_Attendances,site_level_range_board,$B35,date_range_board,M26),"0.0%"))),"")</f>
        <v>63.5%</v>
      </c>
      <c r="N35" s="171" t="str">
        <f ca="1">IFERROR(IF(ISNUMBER(FIND("ED only",$B$4)),IF(LEFT($B$7,6)="Number",SUMIFS(Comparison_Lookup,site_level_range_board,$B35,date_range_board,N26,inputdata!$F:$F,"ED"),TEXT(SUMIFS(Comparison_Lookup,site_level_range_board,$B35,date_range_board,N26,inputdata!$F:$F,"ED")/SUMIFS(All_Attendances,site_level_range_board,$B35,date_range_board,N26,inputdata!$F:$F,"ED"),"0.0%")),IF(LEFT($B$7,6)="Number",SUMIFS(Comparison_Lookup,site_level_range_board,$B35,date_range_board,N26),TEXT(SUMIFS(Comparison_Lookup,site_level_range_board,$B35,date_range_board,N26)/SUMIFS(All_Attendances,site_level_range_board,$B35,date_range_board,N26),"0.0%"))),"")</f>
        <v>60.2%</v>
      </c>
    </row>
    <row r="36" spans="1:14" ht="15" customHeight="1" x14ac:dyDescent="0.2">
      <c r="A36" s="132"/>
      <c r="B36" s="152" t="s">
        <v>562</v>
      </c>
      <c r="C36" s="165" t="str">
        <f ca="1">IFERROR(IF(ISNUMBER(FIND("ED only",$B$4)),IF(LEFT($B$7,6)="Number",SUMIFS(Comparison_Lookup,site_level_range_board,$B36,date_range_board,C26,inputdata!$F:$F,"ED"),TEXT(SUMIFS(Comparison_Lookup,site_level_range_board,$B36,date_range_board,C26,inputdata!$F:$F,"ED")/SUMIFS(All_Attendances,site_level_range_board,$B36,date_range_board,C26,inputdata!$F:$F,"ED"),"0.0%")),IF(LEFT($B$7,6)="Number",SUMIFS(Comparison_Lookup,site_level_range_board,$B36,date_range_board,C26),TEXT(SUMIFS(Comparison_Lookup,site_level_range_board,$B36,date_range_board,C26)/SUMIFS(All_Attendances,site_level_range_board,$B36,date_range_board,C26),"0.0%"))),"")</f>
        <v>85.4%</v>
      </c>
      <c r="D36" s="165" t="str">
        <f ca="1">IFERROR(IF(ISNUMBER(FIND("ED only",$B$4)),IF(LEFT($B$7,6)="Number",SUMIFS(Comparison_Lookup,site_level_range_board,$B36,date_range_board,D26,inputdata!$F:$F,"ED"),TEXT(SUMIFS(Comparison_Lookup,site_level_range_board,$B36,date_range_board,D26,inputdata!$F:$F,"ED")/SUMIFS(All_Attendances,site_level_range_board,$B36,date_range_board,D26,inputdata!$F:$F,"ED"),"0.0%")),IF(LEFT($B$7,6)="Number",SUMIFS(Comparison_Lookup,site_level_range_board,$B36,date_range_board,D26),TEXT(SUMIFS(Comparison_Lookup,site_level_range_board,$B36,date_range_board,D26)/SUMIFS(All_Attendances,site_level_range_board,$B36,date_range_board,D26),"0.0%"))),"")</f>
        <v>82.4%</v>
      </c>
      <c r="E36" s="165" t="str">
        <f ca="1">IFERROR(IF(ISNUMBER(FIND("ED only",$B$4)),IF(LEFT($B$7,6)="Number",SUMIFS(Comparison_Lookup,site_level_range_board,$B36,date_range_board,E26,inputdata!$F:$F,"ED"),TEXT(SUMIFS(Comparison_Lookup,site_level_range_board,$B36,date_range_board,E26,inputdata!$F:$F,"ED")/SUMIFS(All_Attendances,site_level_range_board,$B36,date_range_board,E26,inputdata!$F:$F,"ED"),"0.0%")),IF(LEFT($B$7,6)="Number",SUMIFS(Comparison_Lookup,site_level_range_board,$B36,date_range_board,E26),TEXT(SUMIFS(Comparison_Lookup,site_level_range_board,$B36,date_range_board,E26)/SUMIFS(All_Attendances,site_level_range_board,$B36,date_range_board,E26),"0.0%"))),"")</f>
        <v>81.4%</v>
      </c>
      <c r="F36" s="165" t="str">
        <f ca="1">IFERROR(IF(ISNUMBER(FIND("ED only",$B$4)),IF(LEFT($B$7,6)="Number",SUMIFS(Comparison_Lookup,site_level_range_board,$B36,date_range_board,F26,inputdata!$F:$F,"ED"),TEXT(SUMIFS(Comparison_Lookup,site_level_range_board,$B36,date_range_board,F26,inputdata!$F:$F,"ED")/SUMIFS(All_Attendances,site_level_range_board,$B36,date_range_board,F26,inputdata!$F:$F,"ED"),"0.0%")),IF(LEFT($B$7,6)="Number",SUMIFS(Comparison_Lookup,site_level_range_board,$B36,date_range_board,F26),TEXT(SUMIFS(Comparison_Lookup,site_level_range_board,$B36,date_range_board,F26)/SUMIFS(All_Attendances,site_level_range_board,$B36,date_range_board,F26),"0.0%"))),"")</f>
        <v>78.7%</v>
      </c>
      <c r="G36" s="165" t="str">
        <f ca="1">IFERROR(IF(ISNUMBER(FIND("ED only",$B$4)),IF(LEFT($B$7,6)="Number",SUMIFS(Comparison_Lookup,site_level_range_board,$B36,date_range_board,G26,inputdata!$F:$F,"ED"),TEXT(SUMIFS(Comparison_Lookup,site_level_range_board,$B36,date_range_board,G26,inputdata!$F:$F,"ED")/SUMIFS(All_Attendances,site_level_range_board,$B36,date_range_board,G26,inputdata!$F:$F,"ED"),"0.0%")),IF(LEFT($B$7,6)="Number",SUMIFS(Comparison_Lookup,site_level_range_board,$B36,date_range_board,G26),TEXT(SUMIFS(Comparison_Lookup,site_level_range_board,$B36,date_range_board,G26)/SUMIFS(All_Attendances,site_level_range_board,$B36,date_range_board,G26),"0.0%"))),"")</f>
        <v>72.7%</v>
      </c>
      <c r="H36" s="165" t="str">
        <f ca="1">IFERROR(IF(ISNUMBER(FIND("ED only",$B$4)),IF(LEFT($B$7,6)="Number",SUMIFS(Comparison_Lookup,site_level_range_board,$B36,date_range_board,H26,inputdata!$F:$F,"ED"),TEXT(SUMIFS(Comparison_Lookup,site_level_range_board,$B36,date_range_board,H26,inputdata!$F:$F,"ED")/SUMIFS(All_Attendances,site_level_range_board,$B36,date_range_board,H26,inputdata!$F:$F,"ED"),"0.0%")),IF(LEFT($B$7,6)="Number",SUMIFS(Comparison_Lookup,site_level_range_board,$B36,date_range_board,H26),TEXT(SUMIFS(Comparison_Lookup,site_level_range_board,$B36,date_range_board,H26)/SUMIFS(All_Attendances,site_level_range_board,$B36,date_range_board,H26),"0.0%"))),"")</f>
        <v>69.7%</v>
      </c>
      <c r="I36" s="165" t="str">
        <f ca="1">IFERROR(IF(ISNUMBER(FIND("ED only",$B$4)),IF(LEFT($B$7,6)="Number",SUMIFS(Comparison_Lookup,site_level_range_board,$B36,date_range_board,I26,inputdata!$F:$F,"ED"),TEXT(SUMIFS(Comparison_Lookup,site_level_range_board,$B36,date_range_board,I26,inputdata!$F:$F,"ED")/SUMIFS(All_Attendances,site_level_range_board,$B36,date_range_board,I26,inputdata!$F:$F,"ED"),"0.0%")),IF(LEFT($B$7,6)="Number",SUMIFS(Comparison_Lookup,site_level_range_board,$B36,date_range_board,I26),TEXT(SUMIFS(Comparison_Lookup,site_level_range_board,$B36,date_range_board,I26)/SUMIFS(All_Attendances,site_level_range_board,$B36,date_range_board,I26),"0.0%"))),"")</f>
        <v>67.8%</v>
      </c>
      <c r="J36" s="165" t="str">
        <f ca="1">IFERROR(IF(ISNUMBER(FIND("ED only",$B$4)),IF(LEFT($B$7,6)="Number",SUMIFS(Comparison_Lookup,site_level_range_board,$B36,date_range_board,J26,inputdata!$F:$F,"ED"),TEXT(SUMIFS(Comparison_Lookup,site_level_range_board,$B36,date_range_board,J26,inputdata!$F:$F,"ED")/SUMIFS(All_Attendances,site_level_range_board,$B36,date_range_board,J26,inputdata!$F:$F,"ED"),"0.0%")),IF(LEFT($B$7,6)="Number",SUMIFS(Comparison_Lookup,site_level_range_board,$B36,date_range_board,J26),TEXT(SUMIFS(Comparison_Lookup,site_level_range_board,$B36,date_range_board,J26)/SUMIFS(All_Attendances,site_level_range_board,$B36,date_range_board,J26),"0.0%"))),"")</f>
        <v>69.1%</v>
      </c>
      <c r="K36" s="165" t="str">
        <f ca="1">IFERROR(IF(ISNUMBER(FIND("ED only",$B$4)),IF(LEFT($B$7,6)="Number",SUMIFS(Comparison_Lookup,site_level_range_board,$B36,date_range_board,K26,inputdata!$F:$F,"ED"),TEXT(SUMIFS(Comparison_Lookup,site_level_range_board,$B36,date_range_board,K26,inputdata!$F:$F,"ED")/SUMIFS(All_Attendances,site_level_range_board,$B36,date_range_board,K26,inputdata!$F:$F,"ED"),"0.0%")),IF(LEFT($B$7,6)="Number",SUMIFS(Comparison_Lookup,site_level_range_board,$B36,date_range_board,K26),TEXT(SUMIFS(Comparison_Lookup,site_level_range_board,$B36,date_range_board,K26)/SUMIFS(All_Attendances,site_level_range_board,$B36,date_range_board,K26),"0.0%"))),"")</f>
        <v>69.2%</v>
      </c>
      <c r="L36" s="165" t="str">
        <f ca="1">IFERROR(IF(ISNUMBER(FIND("ED only",$B$4)),IF(LEFT($B$7,6)="Number",SUMIFS(Comparison_Lookup,site_level_range_board,$B36,date_range_board,L26,inputdata!$F:$F,"ED"),TEXT(SUMIFS(Comparison_Lookup,site_level_range_board,$B36,date_range_board,L26,inputdata!$F:$F,"ED")/SUMIFS(All_Attendances,site_level_range_board,$B36,date_range_board,L26,inputdata!$F:$F,"ED"),"0.0%")),IF(LEFT($B$7,6)="Number",SUMIFS(Comparison_Lookup,site_level_range_board,$B36,date_range_board,L26),TEXT(SUMIFS(Comparison_Lookup,site_level_range_board,$B36,date_range_board,L26)/SUMIFS(All_Attendances,site_level_range_board,$B36,date_range_board,L26),"0.0%"))),"")</f>
        <v>69.4%</v>
      </c>
      <c r="M36" s="165" t="str">
        <f ca="1">IFERROR(IF(ISNUMBER(FIND("ED only",$B$4)),IF(LEFT($B$7,6)="Number",SUMIFS(Comparison_Lookup,site_level_range_board,$B36,date_range_board,M26,inputdata!$F:$F,"ED"),TEXT(SUMIFS(Comparison_Lookup,site_level_range_board,$B36,date_range_board,M26,inputdata!$F:$F,"ED")/SUMIFS(All_Attendances,site_level_range_board,$B36,date_range_board,M26,inputdata!$F:$F,"ED"),"0.0%")),IF(LEFT($B$7,6)="Number",SUMIFS(Comparison_Lookup,site_level_range_board,$B36,date_range_board,M26),TEXT(SUMIFS(Comparison_Lookup,site_level_range_board,$B36,date_range_board,M26)/SUMIFS(All_Attendances,site_level_range_board,$B36,date_range_board,M26),"0.0%"))),"")</f>
        <v>64.8%</v>
      </c>
      <c r="N36" s="171" t="str">
        <f ca="1">IFERROR(IF(ISNUMBER(FIND("ED only",$B$4)),IF(LEFT($B$7,6)="Number",SUMIFS(Comparison_Lookup,site_level_range_board,$B36,date_range_board,N26,inputdata!$F:$F,"ED"),TEXT(SUMIFS(Comparison_Lookup,site_level_range_board,$B36,date_range_board,N26,inputdata!$F:$F,"ED")/SUMIFS(All_Attendances,site_level_range_board,$B36,date_range_board,N26,inputdata!$F:$F,"ED"),"0.0%")),IF(LEFT($B$7,6)="Number",SUMIFS(Comparison_Lookup,site_level_range_board,$B36,date_range_board,N26),TEXT(SUMIFS(Comparison_Lookup,site_level_range_board,$B36,date_range_board,N26)/SUMIFS(All_Attendances,site_level_range_board,$B36,date_range_board,N26),"0.0%"))),"")</f>
        <v>65.5%</v>
      </c>
    </row>
    <row r="37" spans="1:14" ht="15" customHeight="1" x14ac:dyDescent="0.2">
      <c r="A37" s="132"/>
      <c r="B37" s="152" t="s">
        <v>571</v>
      </c>
      <c r="C37" s="165" t="str">
        <f ca="1">IFERROR(IF(ISNUMBER(FIND("ED only",$B$4)),IF(LEFT($B$7,6)="Number",SUMIFS(Comparison_Lookup,site_level_range_board,$B37,date_range_board,C26,inputdata!$F:$F,"ED"),TEXT(SUMIFS(Comparison_Lookup,site_level_range_board,$B37,date_range_board,C26,inputdata!$F:$F,"ED")/SUMIFS(All_Attendances,site_level_range_board,$B37,date_range_board,C26,inputdata!$F:$F,"ED"),"0.0%")),IF(LEFT($B$7,6)="Number",SUMIFS(Comparison_Lookup,site_level_range_board,$B37,date_range_board,C26),TEXT(SUMIFS(Comparison_Lookup,site_level_range_board,$B37,date_range_board,C26)/SUMIFS(All_Attendances,site_level_range_board,$B37,date_range_board,C26),"0.0%"))),"")</f>
        <v>96.6%</v>
      </c>
      <c r="D37" s="165" t="str">
        <f ca="1">IFERROR(IF(ISNUMBER(FIND("ED only",$B$4)),IF(LEFT($B$7,6)="Number",SUMIFS(Comparison_Lookup,site_level_range_board,$B37,date_range_board,D26,inputdata!$F:$F,"ED"),TEXT(SUMIFS(Comparison_Lookup,site_level_range_board,$B37,date_range_board,D26,inputdata!$F:$F,"ED")/SUMIFS(All_Attendances,site_level_range_board,$B37,date_range_board,D26,inputdata!$F:$F,"ED"),"0.0%")),IF(LEFT($B$7,6)="Number",SUMIFS(Comparison_Lookup,site_level_range_board,$B37,date_range_board,D26),TEXT(SUMIFS(Comparison_Lookup,site_level_range_board,$B37,date_range_board,D26)/SUMIFS(All_Attendances,site_level_range_board,$B37,date_range_board,D26),"0.0%"))),"")</f>
        <v>97.6%</v>
      </c>
      <c r="E37" s="165" t="str">
        <f ca="1">IFERROR(IF(ISNUMBER(FIND("ED only",$B$4)),IF(LEFT($B$7,6)="Number",SUMIFS(Comparison_Lookup,site_level_range_board,$B37,date_range_board,E26,inputdata!$F:$F,"ED"),TEXT(SUMIFS(Comparison_Lookup,site_level_range_board,$B37,date_range_board,E26,inputdata!$F:$F,"ED")/SUMIFS(All_Attendances,site_level_range_board,$B37,date_range_board,E26,inputdata!$F:$F,"ED"),"0.0%")),IF(LEFT($B$7,6)="Number",SUMIFS(Comparison_Lookup,site_level_range_board,$B37,date_range_board,E26),TEXT(SUMIFS(Comparison_Lookup,site_level_range_board,$B37,date_range_board,E26)/SUMIFS(All_Attendances,site_level_range_board,$B37,date_range_board,E26),"0.0%"))),"")</f>
        <v>98.1%</v>
      </c>
      <c r="F37" s="165" t="str">
        <f ca="1">IFERROR(IF(ISNUMBER(FIND("ED only",$B$4)),IF(LEFT($B$7,6)="Number",SUMIFS(Comparison_Lookup,site_level_range_board,$B37,date_range_board,F26,inputdata!$F:$F,"ED"),TEXT(SUMIFS(Comparison_Lookup,site_level_range_board,$B37,date_range_board,F26,inputdata!$F:$F,"ED")/SUMIFS(All_Attendances,site_level_range_board,$B37,date_range_board,F26,inputdata!$F:$F,"ED"),"0.0%")),IF(LEFT($B$7,6)="Number",SUMIFS(Comparison_Lookup,site_level_range_board,$B37,date_range_board,F26),TEXT(SUMIFS(Comparison_Lookup,site_level_range_board,$B37,date_range_board,F26)/SUMIFS(All_Attendances,site_level_range_board,$B37,date_range_board,F26),"0.0%"))),"")</f>
        <v>97.5%</v>
      </c>
      <c r="G37" s="165" t="str">
        <f ca="1">IFERROR(IF(ISNUMBER(FIND("ED only",$B$4)),IF(LEFT($B$7,6)="Number",SUMIFS(Comparison_Lookup,site_level_range_board,$B37,date_range_board,G26,inputdata!$F:$F,"ED"),TEXT(SUMIFS(Comparison_Lookup,site_level_range_board,$B37,date_range_board,G26,inputdata!$F:$F,"ED")/SUMIFS(All_Attendances,site_level_range_board,$B37,date_range_board,G26,inputdata!$F:$F,"ED"),"0.0%")),IF(LEFT($B$7,6)="Number",SUMIFS(Comparison_Lookup,site_level_range_board,$B37,date_range_board,G26),TEXT(SUMIFS(Comparison_Lookup,site_level_range_board,$B37,date_range_board,G26)/SUMIFS(All_Attendances,site_level_range_board,$B37,date_range_board,G26),"0.0%"))),"")</f>
        <v>96.8%</v>
      </c>
      <c r="H37" s="165" t="str">
        <f ca="1">IFERROR(IF(ISNUMBER(FIND("ED only",$B$4)),IF(LEFT($B$7,6)="Number",SUMIFS(Comparison_Lookup,site_level_range_board,$B37,date_range_board,H26,inputdata!$F:$F,"ED"),TEXT(SUMIFS(Comparison_Lookup,site_level_range_board,$B37,date_range_board,H26,inputdata!$F:$F,"ED")/SUMIFS(All_Attendances,site_level_range_board,$B37,date_range_board,H26,inputdata!$F:$F,"ED"),"0.0%")),IF(LEFT($B$7,6)="Number",SUMIFS(Comparison_Lookup,site_level_range_board,$B37,date_range_board,H26),TEXT(SUMIFS(Comparison_Lookup,site_level_range_board,$B37,date_range_board,H26)/SUMIFS(All_Attendances,site_level_range_board,$B37,date_range_board,H26),"0.0%"))),"")</f>
        <v>95.9%</v>
      </c>
      <c r="I37" s="165" t="str">
        <f ca="1">IFERROR(IF(ISNUMBER(FIND("ED only",$B$4)),IF(LEFT($B$7,6)="Number",SUMIFS(Comparison_Lookup,site_level_range_board,$B37,date_range_board,I26,inputdata!$F:$F,"ED"),TEXT(SUMIFS(Comparison_Lookup,site_level_range_board,$B37,date_range_board,I26,inputdata!$F:$F,"ED")/SUMIFS(All_Attendances,site_level_range_board,$B37,date_range_board,I26,inputdata!$F:$F,"ED"),"0.0%")),IF(LEFT($B$7,6)="Number",SUMIFS(Comparison_Lookup,site_level_range_board,$B37,date_range_board,I26),TEXT(SUMIFS(Comparison_Lookup,site_level_range_board,$B37,date_range_board,I26)/SUMIFS(All_Attendances,site_level_range_board,$B37,date_range_board,I26),"0.0%"))),"")</f>
        <v>95.4%</v>
      </c>
      <c r="J37" s="165" t="str">
        <f ca="1">IFERROR(IF(ISNUMBER(FIND("ED only",$B$4)),IF(LEFT($B$7,6)="Number",SUMIFS(Comparison_Lookup,site_level_range_board,$B37,date_range_board,J26,inputdata!$F:$F,"ED"),TEXT(SUMIFS(Comparison_Lookup,site_level_range_board,$B37,date_range_board,J26,inputdata!$F:$F,"ED")/SUMIFS(All_Attendances,site_level_range_board,$B37,date_range_board,J26,inputdata!$F:$F,"ED"),"0.0%")),IF(LEFT($B$7,6)="Number",SUMIFS(Comparison_Lookup,site_level_range_board,$B37,date_range_board,J26),TEXT(SUMIFS(Comparison_Lookup,site_level_range_board,$B37,date_range_board,J26)/SUMIFS(All_Attendances,site_level_range_board,$B37,date_range_board,J26),"0.0%"))),"")</f>
        <v>96.7%</v>
      </c>
      <c r="K37" s="165" t="str">
        <f ca="1">IFERROR(IF(ISNUMBER(FIND("ED only",$B$4)),IF(LEFT($B$7,6)="Number",SUMIFS(Comparison_Lookup,site_level_range_board,$B37,date_range_board,K26,inputdata!$F:$F,"ED"),TEXT(SUMIFS(Comparison_Lookup,site_level_range_board,$B37,date_range_board,K26,inputdata!$F:$F,"ED")/SUMIFS(All_Attendances,site_level_range_board,$B37,date_range_board,K26,inputdata!$F:$F,"ED"),"0.0%")),IF(LEFT($B$7,6)="Number",SUMIFS(Comparison_Lookup,site_level_range_board,$B37,date_range_board,K26),TEXT(SUMIFS(Comparison_Lookup,site_level_range_board,$B37,date_range_board,K26)/SUMIFS(All_Attendances,site_level_range_board,$B37,date_range_board,K26),"0.0%"))),"")</f>
        <v>95.2%</v>
      </c>
      <c r="L37" s="165" t="str">
        <f ca="1">IFERROR(IF(ISNUMBER(FIND("ED only",$B$4)),IF(LEFT($B$7,6)="Number",SUMIFS(Comparison_Lookup,site_level_range_board,$B37,date_range_board,L26,inputdata!$F:$F,"ED"),TEXT(SUMIFS(Comparison_Lookup,site_level_range_board,$B37,date_range_board,L26,inputdata!$F:$F,"ED")/SUMIFS(All_Attendances,site_level_range_board,$B37,date_range_board,L26,inputdata!$F:$F,"ED"),"0.0%")),IF(LEFT($B$7,6)="Number",SUMIFS(Comparison_Lookup,site_level_range_board,$B37,date_range_board,L26),TEXT(SUMIFS(Comparison_Lookup,site_level_range_board,$B37,date_range_board,L26)/SUMIFS(All_Attendances,site_level_range_board,$B37,date_range_board,L26),"0.0%"))),"")</f>
        <v>92.9%</v>
      </c>
      <c r="M37" s="165" t="str">
        <f ca="1">IFERROR(IF(ISNUMBER(FIND("ED only",$B$4)),IF(LEFT($B$7,6)="Number",SUMIFS(Comparison_Lookup,site_level_range_board,$B37,date_range_board,M26,inputdata!$F:$F,"ED"),TEXT(SUMIFS(Comparison_Lookup,site_level_range_board,$B37,date_range_board,M26,inputdata!$F:$F,"ED")/SUMIFS(All_Attendances,site_level_range_board,$B37,date_range_board,M26,inputdata!$F:$F,"ED"),"0.0%")),IF(LEFT($B$7,6)="Number",SUMIFS(Comparison_Lookup,site_level_range_board,$B37,date_range_board,M26),TEXT(SUMIFS(Comparison_Lookup,site_level_range_board,$B37,date_range_board,M26)/SUMIFS(All_Attendances,site_level_range_board,$B37,date_range_board,M26),"0.0%"))),"")</f>
        <v>95.1%</v>
      </c>
      <c r="N37" s="171" t="str">
        <f ca="1">IFERROR(IF(ISNUMBER(FIND("ED only",$B$4)),IF(LEFT($B$7,6)="Number",SUMIFS(Comparison_Lookup,site_level_range_board,$B37,date_range_board,N26,inputdata!$F:$F,"ED"),TEXT(SUMIFS(Comparison_Lookup,site_level_range_board,$B37,date_range_board,N26,inputdata!$F:$F,"ED")/SUMIFS(All_Attendances,site_level_range_board,$B37,date_range_board,N26,inputdata!$F:$F,"ED"),"0.0%")),IF(LEFT($B$7,6)="Number",SUMIFS(Comparison_Lookup,site_level_range_board,$B37,date_range_board,N26),TEXT(SUMIFS(Comparison_Lookup,site_level_range_board,$B37,date_range_board,N26)/SUMIFS(All_Attendances,site_level_range_board,$B37,date_range_board,N26),"0.0%"))),"")</f>
        <v>91.5%</v>
      </c>
    </row>
    <row r="38" spans="1:14" ht="15" customHeight="1" x14ac:dyDescent="0.2">
      <c r="A38" s="132"/>
      <c r="B38" s="152" t="s">
        <v>574</v>
      </c>
      <c r="C38" s="165" t="str">
        <f ca="1">IFERROR(IF(ISNUMBER(FIND("ED only",$B$4)),IF(LEFT($B$7,6)="Number",SUMIFS(Comparison_Lookup,site_level_range_board,$B38,date_range_board,C26,inputdata!$F:$F,"ED"),TEXT(SUMIFS(Comparison_Lookup,site_level_range_board,$B38,date_range_board,C26,inputdata!$F:$F,"ED")/SUMIFS(All_Attendances,site_level_range_board,$B38,date_range_board,C26,inputdata!$F:$F,"ED"),"0.0%")),IF(LEFT($B$7,6)="Number",SUMIFS(Comparison_Lookup,site_level_range_board,$B38,date_range_board,C26),TEXT(SUMIFS(Comparison_Lookup,site_level_range_board,$B38,date_range_board,C26)/SUMIFS(All_Attendances,site_level_range_board,$B38,date_range_board,C26),"0.0%"))),"")</f>
        <v>99.2%</v>
      </c>
      <c r="D38" s="165" t="str">
        <f ca="1">IFERROR(IF(ISNUMBER(FIND("ED only",$B$4)),IF(LEFT($B$7,6)="Number",SUMIFS(Comparison_Lookup,site_level_range_board,$B38,date_range_board,D26,inputdata!$F:$F,"ED"),TEXT(SUMIFS(Comparison_Lookup,site_level_range_board,$B38,date_range_board,D26,inputdata!$F:$F,"ED")/SUMIFS(All_Attendances,site_level_range_board,$B38,date_range_board,D26,inputdata!$F:$F,"ED"),"0.0%")),IF(LEFT($B$7,6)="Number",SUMIFS(Comparison_Lookup,site_level_range_board,$B38,date_range_board,D26),TEXT(SUMIFS(Comparison_Lookup,site_level_range_board,$B38,date_range_board,D26)/SUMIFS(All_Attendances,site_level_range_board,$B38,date_range_board,D26),"0.0%"))),"")</f>
        <v>98.9%</v>
      </c>
      <c r="E38" s="165" t="str">
        <f ca="1">IFERROR(IF(ISNUMBER(FIND("ED only",$B$4)),IF(LEFT($B$7,6)="Number",SUMIFS(Comparison_Lookup,site_level_range_board,$B38,date_range_board,E26,inputdata!$F:$F,"ED"),TEXT(SUMIFS(Comparison_Lookup,site_level_range_board,$B38,date_range_board,E26,inputdata!$F:$F,"ED")/SUMIFS(All_Attendances,site_level_range_board,$B38,date_range_board,E26,inputdata!$F:$F,"ED"),"0.0%")),IF(LEFT($B$7,6)="Number",SUMIFS(Comparison_Lookup,site_level_range_board,$B38,date_range_board,E26),TEXT(SUMIFS(Comparison_Lookup,site_level_range_board,$B38,date_range_board,E26)/SUMIFS(All_Attendances,site_level_range_board,$B38,date_range_board,E26),"0.0%"))),"")</f>
        <v>99.3%</v>
      </c>
      <c r="F38" s="165" t="str">
        <f ca="1">IFERROR(IF(ISNUMBER(FIND("ED only",$B$4)),IF(LEFT($B$7,6)="Number",SUMIFS(Comparison_Lookup,site_level_range_board,$B38,date_range_board,F26,inputdata!$F:$F,"ED"),TEXT(SUMIFS(Comparison_Lookup,site_level_range_board,$B38,date_range_board,F26,inputdata!$F:$F,"ED")/SUMIFS(All_Attendances,site_level_range_board,$B38,date_range_board,F26,inputdata!$F:$F,"ED"),"0.0%")),IF(LEFT($B$7,6)="Number",SUMIFS(Comparison_Lookup,site_level_range_board,$B38,date_range_board,F26),TEXT(SUMIFS(Comparison_Lookup,site_level_range_board,$B38,date_range_board,F26)/SUMIFS(All_Attendances,site_level_range_board,$B38,date_range_board,F26),"0.0%"))),"")</f>
        <v>97.1%</v>
      </c>
      <c r="G38" s="165" t="str">
        <f ca="1">IFERROR(IF(ISNUMBER(FIND("ED only",$B$4)),IF(LEFT($B$7,6)="Number",SUMIFS(Comparison_Lookup,site_level_range_board,$B38,date_range_board,G26,inputdata!$F:$F,"ED"),TEXT(SUMIFS(Comparison_Lookup,site_level_range_board,$B38,date_range_board,G26,inputdata!$F:$F,"ED")/SUMIFS(All_Attendances,site_level_range_board,$B38,date_range_board,G26,inputdata!$F:$F,"ED"),"0.0%")),IF(LEFT($B$7,6)="Number",SUMIFS(Comparison_Lookup,site_level_range_board,$B38,date_range_board,G26),TEXT(SUMIFS(Comparison_Lookup,site_level_range_board,$B38,date_range_board,G26)/SUMIFS(All_Attendances,site_level_range_board,$B38,date_range_board,G26),"0.0%"))),"")</f>
        <v>97.5%</v>
      </c>
      <c r="H38" s="165" t="str">
        <f ca="1">IFERROR(IF(ISNUMBER(FIND("ED only",$B$4)),IF(LEFT($B$7,6)="Number",SUMIFS(Comparison_Lookup,site_level_range_board,$B38,date_range_board,H26,inputdata!$F:$F,"ED"),TEXT(SUMIFS(Comparison_Lookup,site_level_range_board,$B38,date_range_board,H26,inputdata!$F:$F,"ED")/SUMIFS(All_Attendances,site_level_range_board,$B38,date_range_board,H26,inputdata!$F:$F,"ED"),"0.0%")),IF(LEFT($B$7,6)="Number",SUMIFS(Comparison_Lookup,site_level_range_board,$B38,date_range_board,H26),TEXT(SUMIFS(Comparison_Lookup,site_level_range_board,$B38,date_range_board,H26)/SUMIFS(All_Attendances,site_level_range_board,$B38,date_range_board,H26),"0.0%"))),"")</f>
        <v>97.7%</v>
      </c>
      <c r="I38" s="165" t="str">
        <f ca="1">IFERROR(IF(ISNUMBER(FIND("ED only",$B$4)),IF(LEFT($B$7,6)="Number",SUMIFS(Comparison_Lookup,site_level_range_board,$B38,date_range_board,I26,inputdata!$F:$F,"ED"),TEXT(SUMIFS(Comparison_Lookup,site_level_range_board,$B38,date_range_board,I26,inputdata!$F:$F,"ED")/SUMIFS(All_Attendances,site_level_range_board,$B38,date_range_board,I26,inputdata!$F:$F,"ED"),"0.0%")),IF(LEFT($B$7,6)="Number",SUMIFS(Comparison_Lookup,site_level_range_board,$B38,date_range_board,I26),TEXT(SUMIFS(Comparison_Lookup,site_level_range_board,$B38,date_range_board,I26)/SUMIFS(All_Attendances,site_level_range_board,$B38,date_range_board,I26),"0.0%"))),"")</f>
        <v>95.8%</v>
      </c>
      <c r="J38" s="165" t="str">
        <f ca="1">IFERROR(IF(ISNUMBER(FIND("ED only",$B$4)),IF(LEFT($B$7,6)="Number",SUMIFS(Comparison_Lookup,site_level_range_board,$B38,date_range_board,J26,inputdata!$F:$F,"ED"),TEXT(SUMIFS(Comparison_Lookup,site_level_range_board,$B38,date_range_board,J26,inputdata!$F:$F,"ED")/SUMIFS(All_Attendances,site_level_range_board,$B38,date_range_board,J26,inputdata!$F:$F,"ED"),"0.0%")),IF(LEFT($B$7,6)="Number",SUMIFS(Comparison_Lookup,site_level_range_board,$B38,date_range_board,J26),TEXT(SUMIFS(Comparison_Lookup,site_level_range_board,$B38,date_range_board,J26)/SUMIFS(All_Attendances,site_level_range_board,$B38,date_range_board,J26),"0.0%"))),"")</f>
        <v>96.6%</v>
      </c>
      <c r="K38" s="165" t="str">
        <f ca="1">IFERROR(IF(ISNUMBER(FIND("ED only",$B$4)),IF(LEFT($B$7,6)="Number",SUMIFS(Comparison_Lookup,site_level_range_board,$B38,date_range_board,K26,inputdata!$F:$F,"ED"),TEXT(SUMIFS(Comparison_Lookup,site_level_range_board,$B38,date_range_board,K26,inputdata!$F:$F,"ED")/SUMIFS(All_Attendances,site_level_range_board,$B38,date_range_board,K26,inputdata!$F:$F,"ED"),"0.0%")),IF(LEFT($B$7,6)="Number",SUMIFS(Comparison_Lookup,site_level_range_board,$B38,date_range_board,K26),TEXT(SUMIFS(Comparison_Lookup,site_level_range_board,$B38,date_range_board,K26)/SUMIFS(All_Attendances,site_level_range_board,$B38,date_range_board,K26),"0.0%"))),"")</f>
        <v>97.0%</v>
      </c>
      <c r="L38" s="165" t="str">
        <f ca="1">IFERROR(IF(ISNUMBER(FIND("ED only",$B$4)),IF(LEFT($B$7,6)="Number",SUMIFS(Comparison_Lookup,site_level_range_board,$B38,date_range_board,L26,inputdata!$F:$F,"ED"),TEXT(SUMIFS(Comparison_Lookup,site_level_range_board,$B38,date_range_board,L26,inputdata!$F:$F,"ED")/SUMIFS(All_Attendances,site_level_range_board,$B38,date_range_board,L26,inputdata!$F:$F,"ED"),"0.0%")),IF(LEFT($B$7,6)="Number",SUMIFS(Comparison_Lookup,site_level_range_board,$B38,date_range_board,L26),TEXT(SUMIFS(Comparison_Lookup,site_level_range_board,$B38,date_range_board,L26)/SUMIFS(All_Attendances,site_level_range_board,$B38,date_range_board,L26),"0.0%"))),"")</f>
        <v>98.2%</v>
      </c>
      <c r="M38" s="165" t="str">
        <f ca="1">IFERROR(IF(ISNUMBER(FIND("ED only",$B$4)),IF(LEFT($B$7,6)="Number",SUMIFS(Comparison_Lookup,site_level_range_board,$B38,date_range_board,M26,inputdata!$F:$F,"ED"),TEXT(SUMIFS(Comparison_Lookup,site_level_range_board,$B38,date_range_board,M26,inputdata!$F:$F,"ED")/SUMIFS(All_Attendances,site_level_range_board,$B38,date_range_board,M26,inputdata!$F:$F,"ED"),"0.0%")),IF(LEFT($B$7,6)="Number",SUMIFS(Comparison_Lookup,site_level_range_board,$B38,date_range_board,M26),TEXT(SUMIFS(Comparison_Lookup,site_level_range_board,$B38,date_range_board,M26)/SUMIFS(All_Attendances,site_level_range_board,$B38,date_range_board,M26),"0.0%"))),"")</f>
        <v>98.1%</v>
      </c>
      <c r="N38" s="171" t="str">
        <f ca="1">IFERROR(IF(ISNUMBER(FIND("ED only",$B$4)),IF(LEFT($B$7,6)="Number",SUMIFS(Comparison_Lookup,site_level_range_board,$B38,date_range_board,N26,inputdata!$F:$F,"ED"),TEXT(SUMIFS(Comparison_Lookup,site_level_range_board,$B38,date_range_board,N26,inputdata!$F:$F,"ED")/SUMIFS(All_Attendances,site_level_range_board,$B38,date_range_board,N26,inputdata!$F:$F,"ED"),"0.0%")),IF(LEFT($B$7,6)="Number",SUMIFS(Comparison_Lookup,site_level_range_board,$B38,date_range_board,N26),TEXT(SUMIFS(Comparison_Lookup,site_level_range_board,$B38,date_range_board,N26)/SUMIFS(All_Attendances,site_level_range_board,$B38,date_range_board,N26),"0.0%"))),"")</f>
        <v>96.2%</v>
      </c>
    </row>
    <row r="39" spans="1:14" ht="15" customHeight="1" x14ac:dyDescent="0.2">
      <c r="A39" s="132"/>
      <c r="B39" s="152" t="s">
        <v>577</v>
      </c>
      <c r="C39" s="165" t="str">
        <f ca="1">IFERROR(IF(ISNUMBER(FIND("ED only",$B$4)),IF(LEFT($B$7,6)="Number",SUMIFS(Comparison_Lookup,site_level_range_board,$B39,date_range_board,C26,inputdata!$F:$F,"ED"),TEXT(SUMIFS(Comparison_Lookup,site_level_range_board,$B39,date_range_board,C26,inputdata!$F:$F,"ED")/SUMIFS(All_Attendances,site_level_range_board,$B39,date_range_board,C26,inputdata!$F:$F,"ED"),"0.0%")),IF(LEFT($B$7,6)="Number",SUMIFS(Comparison_Lookup,site_level_range_board,$B39,date_range_board,C26),TEXT(SUMIFS(Comparison_Lookup,site_level_range_board,$B39,date_range_board,C26)/SUMIFS(All_Attendances,site_level_range_board,$B39,date_range_board,C26),"0.0%"))),"")</f>
        <v>95.6%</v>
      </c>
      <c r="D39" s="165" t="str">
        <f ca="1">IFERROR(IF(ISNUMBER(FIND("ED only",$B$4)),IF(LEFT($B$7,6)="Number",SUMIFS(Comparison_Lookup,site_level_range_board,$B39,date_range_board,D26,inputdata!$F:$F,"ED"),TEXT(SUMIFS(Comparison_Lookup,site_level_range_board,$B39,date_range_board,D26,inputdata!$F:$F,"ED")/SUMIFS(All_Attendances,site_level_range_board,$B39,date_range_board,D26,inputdata!$F:$F,"ED"),"0.0%")),IF(LEFT($B$7,6)="Number",SUMIFS(Comparison_Lookup,site_level_range_board,$B39,date_range_board,D26),TEXT(SUMIFS(Comparison_Lookup,site_level_range_board,$B39,date_range_board,D26)/SUMIFS(All_Attendances,site_level_range_board,$B39,date_range_board,D26),"0.0%"))),"")</f>
        <v>94.3%</v>
      </c>
      <c r="E39" s="165" t="str">
        <f ca="1">IFERROR(IF(ISNUMBER(FIND("ED only",$B$4)),IF(LEFT($B$7,6)="Number",SUMIFS(Comparison_Lookup,site_level_range_board,$B39,date_range_board,E26,inputdata!$F:$F,"ED"),TEXT(SUMIFS(Comparison_Lookup,site_level_range_board,$B39,date_range_board,E26,inputdata!$F:$F,"ED")/SUMIFS(All_Attendances,site_level_range_board,$B39,date_range_board,E26,inputdata!$F:$F,"ED"),"0.0%")),IF(LEFT($B$7,6)="Number",SUMIFS(Comparison_Lookup,site_level_range_board,$B39,date_range_board,E26),TEXT(SUMIFS(Comparison_Lookup,site_level_range_board,$B39,date_range_board,E26)/SUMIFS(All_Attendances,site_level_range_board,$B39,date_range_board,E26),"0.0%"))),"")</f>
        <v>93.9%</v>
      </c>
      <c r="F39" s="165" t="str">
        <f ca="1">IFERROR(IF(ISNUMBER(FIND("ED only",$B$4)),IF(LEFT($B$7,6)="Number",SUMIFS(Comparison_Lookup,site_level_range_board,$B39,date_range_board,F26,inputdata!$F:$F,"ED"),TEXT(SUMIFS(Comparison_Lookup,site_level_range_board,$B39,date_range_board,F26,inputdata!$F:$F,"ED")/SUMIFS(All_Attendances,site_level_range_board,$B39,date_range_board,F26,inputdata!$F:$F,"ED"),"0.0%")),IF(LEFT($B$7,6)="Number",SUMIFS(Comparison_Lookup,site_level_range_board,$B39,date_range_board,F26),TEXT(SUMIFS(Comparison_Lookup,site_level_range_board,$B39,date_range_board,F26)/SUMIFS(All_Attendances,site_level_range_board,$B39,date_range_board,F26),"0.0%"))),"")</f>
        <v>92.6%</v>
      </c>
      <c r="G39" s="165" t="str">
        <f ca="1">IFERROR(IF(ISNUMBER(FIND("ED only",$B$4)),IF(LEFT($B$7,6)="Number",SUMIFS(Comparison_Lookup,site_level_range_board,$B39,date_range_board,G26,inputdata!$F:$F,"ED"),TEXT(SUMIFS(Comparison_Lookup,site_level_range_board,$B39,date_range_board,G26,inputdata!$F:$F,"ED")/SUMIFS(All_Attendances,site_level_range_board,$B39,date_range_board,G26,inputdata!$F:$F,"ED"),"0.0%")),IF(LEFT($B$7,6)="Number",SUMIFS(Comparison_Lookup,site_level_range_board,$B39,date_range_board,G26),TEXT(SUMIFS(Comparison_Lookup,site_level_range_board,$B39,date_range_board,G26)/SUMIFS(All_Attendances,site_level_range_board,$B39,date_range_board,G26),"0.0%"))),"")</f>
        <v>92.1%</v>
      </c>
      <c r="H39" s="165" t="str">
        <f ca="1">IFERROR(IF(ISNUMBER(FIND("ED only",$B$4)),IF(LEFT($B$7,6)="Number",SUMIFS(Comparison_Lookup,site_level_range_board,$B39,date_range_board,H26,inputdata!$F:$F,"ED"),TEXT(SUMIFS(Comparison_Lookup,site_level_range_board,$B39,date_range_board,H26,inputdata!$F:$F,"ED")/SUMIFS(All_Attendances,site_level_range_board,$B39,date_range_board,H26,inputdata!$F:$F,"ED"),"0.0%")),IF(LEFT($B$7,6)="Number",SUMIFS(Comparison_Lookup,site_level_range_board,$B39,date_range_board,H26),TEXT(SUMIFS(Comparison_Lookup,site_level_range_board,$B39,date_range_board,H26)/SUMIFS(All_Attendances,site_level_range_board,$B39,date_range_board,H26),"0.0%"))),"")</f>
        <v>93.2%</v>
      </c>
      <c r="I39" s="165" t="str">
        <f ca="1">IFERROR(IF(ISNUMBER(FIND("ED only",$B$4)),IF(LEFT($B$7,6)="Number",SUMIFS(Comparison_Lookup,site_level_range_board,$B39,date_range_board,I26,inputdata!$F:$F,"ED"),TEXT(SUMIFS(Comparison_Lookup,site_level_range_board,$B39,date_range_board,I26,inputdata!$F:$F,"ED")/SUMIFS(All_Attendances,site_level_range_board,$B39,date_range_board,I26,inputdata!$F:$F,"ED"),"0.0%")),IF(LEFT($B$7,6)="Number",SUMIFS(Comparison_Lookup,site_level_range_board,$B39,date_range_board,I26),TEXT(SUMIFS(Comparison_Lookup,site_level_range_board,$B39,date_range_board,I26)/SUMIFS(All_Attendances,site_level_range_board,$B39,date_range_board,I26),"0.0%"))),"")</f>
        <v>92.6%</v>
      </c>
      <c r="J39" s="165" t="str">
        <f ca="1">IFERROR(IF(ISNUMBER(FIND("ED only",$B$4)),IF(LEFT($B$7,6)="Number",SUMIFS(Comparison_Lookup,site_level_range_board,$B39,date_range_board,J26,inputdata!$F:$F,"ED"),TEXT(SUMIFS(Comparison_Lookup,site_level_range_board,$B39,date_range_board,J26,inputdata!$F:$F,"ED")/SUMIFS(All_Attendances,site_level_range_board,$B39,date_range_board,J26,inputdata!$F:$F,"ED"),"0.0%")),IF(LEFT($B$7,6)="Number",SUMIFS(Comparison_Lookup,site_level_range_board,$B39,date_range_board,J26),TEXT(SUMIFS(Comparison_Lookup,site_level_range_board,$B39,date_range_board,J26)/SUMIFS(All_Attendances,site_level_range_board,$B39,date_range_board,J26),"0.0%"))),"")</f>
        <v>94.4%</v>
      </c>
      <c r="K39" s="165" t="str">
        <f ca="1">IFERROR(IF(ISNUMBER(FIND("ED only",$B$4)),IF(LEFT($B$7,6)="Number",SUMIFS(Comparison_Lookup,site_level_range_board,$B39,date_range_board,K26,inputdata!$F:$F,"ED"),TEXT(SUMIFS(Comparison_Lookup,site_level_range_board,$B39,date_range_board,K26,inputdata!$F:$F,"ED")/SUMIFS(All_Attendances,site_level_range_board,$B39,date_range_board,K26,inputdata!$F:$F,"ED"),"0.0%")),IF(LEFT($B$7,6)="Number",SUMIFS(Comparison_Lookup,site_level_range_board,$B39,date_range_board,K26),TEXT(SUMIFS(Comparison_Lookup,site_level_range_board,$B39,date_range_board,K26)/SUMIFS(All_Attendances,site_level_range_board,$B39,date_range_board,K26),"0.0%"))),"")</f>
        <v>94.2%</v>
      </c>
      <c r="L39" s="165" t="str">
        <f ca="1">IFERROR(IF(ISNUMBER(FIND("ED only",$B$4)),IF(LEFT($B$7,6)="Number",SUMIFS(Comparison_Lookup,site_level_range_board,$B39,date_range_board,L26,inputdata!$F:$F,"ED"),TEXT(SUMIFS(Comparison_Lookup,site_level_range_board,$B39,date_range_board,L26,inputdata!$F:$F,"ED")/SUMIFS(All_Attendances,site_level_range_board,$B39,date_range_board,L26,inputdata!$F:$F,"ED"),"0.0%")),IF(LEFT($B$7,6)="Number",SUMIFS(Comparison_Lookup,site_level_range_board,$B39,date_range_board,L26),TEXT(SUMIFS(Comparison_Lookup,site_level_range_board,$B39,date_range_board,L26)/SUMIFS(All_Attendances,site_level_range_board,$B39,date_range_board,L26),"0.0%"))),"")</f>
        <v>94.7%</v>
      </c>
      <c r="M39" s="165" t="str">
        <f ca="1">IFERROR(IF(ISNUMBER(FIND("ED only",$B$4)),IF(LEFT($B$7,6)="Number",SUMIFS(Comparison_Lookup,site_level_range_board,$B39,date_range_board,M26,inputdata!$F:$F,"ED"),TEXT(SUMIFS(Comparison_Lookup,site_level_range_board,$B39,date_range_board,M26,inputdata!$F:$F,"ED")/SUMIFS(All_Attendances,site_level_range_board,$B39,date_range_board,M26,inputdata!$F:$F,"ED"),"0.0%")),IF(LEFT($B$7,6)="Number",SUMIFS(Comparison_Lookup,site_level_range_board,$B39,date_range_board,M26),TEXT(SUMIFS(Comparison_Lookup,site_level_range_board,$B39,date_range_board,M26)/SUMIFS(All_Attendances,site_level_range_board,$B39,date_range_board,M26),"0.0%"))),"")</f>
        <v>93.0%</v>
      </c>
      <c r="N39" s="171" t="str">
        <f ca="1">IFERROR(IF(ISNUMBER(FIND("ED only",$B$4)),IF(LEFT($B$7,6)="Number",SUMIFS(Comparison_Lookup,site_level_range_board,$B39,date_range_board,N26,inputdata!$F:$F,"ED"),TEXT(SUMIFS(Comparison_Lookup,site_level_range_board,$B39,date_range_board,N26,inputdata!$F:$F,"ED")/SUMIFS(All_Attendances,site_level_range_board,$B39,date_range_board,N26,inputdata!$F:$F,"ED"),"0.0%")),IF(LEFT($B$7,6)="Number",SUMIFS(Comparison_Lookup,site_level_range_board,$B39,date_range_board,N26),TEXT(SUMIFS(Comparison_Lookup,site_level_range_board,$B39,date_range_board,N26)/SUMIFS(All_Attendances,site_level_range_board,$B39,date_range_board,N26),"0.0%"))),"")</f>
        <v>93.1%</v>
      </c>
    </row>
    <row r="40" spans="1:14" ht="15" customHeight="1" x14ac:dyDescent="0.2">
      <c r="A40" s="132"/>
      <c r="B40" s="154" t="s">
        <v>594</v>
      </c>
      <c r="C40" s="168" t="str">
        <f ca="1">IFERROR(IF(ISNUMBER(FIND("ED only",$B$4)),IF(LEFT($B$7,6)="Number",SUMIFS(Comparison_Lookup,site_level_range_board,$B40,date_range_board,C26,inputdata!$F:$F,"ED"),TEXT(SUMIFS(Comparison_Lookup,site_level_range_board,$B40,date_range_board,C26,inputdata!$F:$F,"ED")/SUMIFS(All_Attendances,site_level_range_board,$B40,date_range_board,C26,inputdata!$F:$F,"ED"),"0.0%")),IF(LEFT($B$7,6)="Number",SUMIFS(Comparison_Lookup,site_level_range_board,$B40,date_range_board,C26),TEXT(SUMIFS(Comparison_Lookup,site_level_range_board,$B40,date_range_board,C26)/SUMIFS(All_Attendances,site_level_range_board,$B40,date_range_board,C26),"0.0%"))),"")</f>
        <v>98.3%</v>
      </c>
      <c r="D40" s="168" t="str">
        <f ca="1">IFERROR(IF(ISNUMBER(FIND("ED only",$B$4)),IF(LEFT($B$7,6)="Number",SUMIFS(Comparison_Lookup,site_level_range_board,$B40,date_range_board,D26,inputdata!$F:$F,"ED"),TEXT(SUMIFS(Comparison_Lookup,site_level_range_board,$B40,date_range_board,D26,inputdata!$F:$F,"ED")/SUMIFS(All_Attendances,site_level_range_board,$B40,date_range_board,D26,inputdata!$F:$F,"ED"),"0.0%")),IF(LEFT($B$7,6)="Number",SUMIFS(Comparison_Lookup,site_level_range_board,$B40,date_range_board,D26),TEXT(SUMIFS(Comparison_Lookup,site_level_range_board,$B40,date_range_board,D26)/SUMIFS(All_Attendances,site_level_range_board,$B40,date_range_board,D26),"0.0%"))),"")</f>
        <v>95.0%</v>
      </c>
      <c r="E40" s="168" t="str">
        <f ca="1">IFERROR(IF(ISNUMBER(FIND("ED only",$B$4)),IF(LEFT($B$7,6)="Number",SUMIFS(Comparison_Lookup,site_level_range_board,$B40,date_range_board,E26,inputdata!$F:$F,"ED"),TEXT(SUMIFS(Comparison_Lookup,site_level_range_board,$B40,date_range_board,E26,inputdata!$F:$F,"ED")/SUMIFS(All_Attendances,site_level_range_board,$B40,date_range_board,E26,inputdata!$F:$F,"ED"),"0.0%")),IF(LEFT($B$7,6)="Number",SUMIFS(Comparison_Lookup,site_level_range_board,$B40,date_range_board,E26),TEXT(SUMIFS(Comparison_Lookup,site_level_range_board,$B40,date_range_board,E26)/SUMIFS(All_Attendances,site_level_range_board,$B40,date_range_board,E26),"0.0%"))),"")</f>
        <v>97.0%</v>
      </c>
      <c r="F40" s="168" t="str">
        <f ca="1">IFERROR(IF(ISNUMBER(FIND("ED only",$B$4)),IF(LEFT($B$7,6)="Number",SUMIFS(Comparison_Lookup,site_level_range_board,$B40,date_range_board,F26,inputdata!$F:$F,"ED"),TEXT(SUMIFS(Comparison_Lookup,site_level_range_board,$B40,date_range_board,F26,inputdata!$F:$F,"ED")/SUMIFS(All_Attendances,site_level_range_board,$B40,date_range_board,F26,inputdata!$F:$F,"ED"),"0.0%")),IF(LEFT($B$7,6)="Number",SUMIFS(Comparison_Lookup,site_level_range_board,$B40,date_range_board,F26),TEXT(SUMIFS(Comparison_Lookup,site_level_range_board,$B40,date_range_board,F26)/SUMIFS(All_Attendances,site_level_range_board,$B40,date_range_board,F26),"0.0%"))),"")</f>
        <v>95.6%</v>
      </c>
      <c r="G40" s="168" t="str">
        <f ca="1">IFERROR(IF(ISNUMBER(FIND("ED only",$B$4)),IF(LEFT($B$7,6)="Number",SUMIFS(Comparison_Lookup,site_level_range_board,$B40,date_range_board,G26,inputdata!$F:$F,"ED"),TEXT(SUMIFS(Comparison_Lookup,site_level_range_board,$B40,date_range_board,G26,inputdata!$F:$F,"ED")/SUMIFS(All_Attendances,site_level_range_board,$B40,date_range_board,G26,inputdata!$F:$F,"ED"),"0.0%")),IF(LEFT($B$7,6)="Number",SUMIFS(Comparison_Lookup,site_level_range_board,$B40,date_range_board,G26),TEXT(SUMIFS(Comparison_Lookup,site_level_range_board,$B40,date_range_board,G26)/SUMIFS(All_Attendances,site_level_range_board,$B40,date_range_board,G26),"0.0%"))),"")</f>
        <v>97.5%</v>
      </c>
      <c r="H40" s="168" t="str">
        <f ca="1">IFERROR(IF(ISNUMBER(FIND("ED only",$B$4)),IF(LEFT($B$7,6)="Number",SUMIFS(Comparison_Lookup,site_level_range_board,$B40,date_range_board,H26,inputdata!$F:$F,"ED"),TEXT(SUMIFS(Comparison_Lookup,site_level_range_board,$B40,date_range_board,H26,inputdata!$F:$F,"ED")/SUMIFS(All_Attendances,site_level_range_board,$B40,date_range_board,H26,inputdata!$F:$F,"ED"),"0.0%")),IF(LEFT($B$7,6)="Number",SUMIFS(Comparison_Lookup,site_level_range_board,$B40,date_range_board,H26),TEXT(SUMIFS(Comparison_Lookup,site_level_range_board,$B40,date_range_board,H26)/SUMIFS(All_Attendances,site_level_range_board,$B40,date_range_board,H26),"0.0%"))),"")</f>
        <v>98.2%</v>
      </c>
      <c r="I40" s="168" t="str">
        <f ca="1">IFERROR(IF(ISNUMBER(FIND("ED only",$B$4)),IF(LEFT($B$7,6)="Number",SUMIFS(Comparison_Lookup,site_level_range_board,$B40,date_range_board,I26,inputdata!$F:$F,"ED"),TEXT(SUMIFS(Comparison_Lookup,site_level_range_board,$B40,date_range_board,I26,inputdata!$F:$F,"ED")/SUMIFS(All_Attendances,site_level_range_board,$B40,date_range_board,I26,inputdata!$F:$F,"ED"),"0.0%")),IF(LEFT($B$7,6)="Number",SUMIFS(Comparison_Lookup,site_level_range_board,$B40,date_range_board,I26),TEXT(SUMIFS(Comparison_Lookup,site_level_range_board,$B40,date_range_board,I26)/SUMIFS(All_Attendances,site_level_range_board,$B40,date_range_board,I26),"0.0%"))),"")</f>
        <v>97.9%</v>
      </c>
      <c r="J40" s="168" t="str">
        <f ca="1">IFERROR(IF(ISNUMBER(FIND("ED only",$B$4)),IF(LEFT($B$7,6)="Number",SUMIFS(Comparison_Lookup,site_level_range_board,$B40,date_range_board,J26,inputdata!$F:$F,"ED"),TEXT(SUMIFS(Comparison_Lookup,site_level_range_board,$B40,date_range_board,J26,inputdata!$F:$F,"ED")/SUMIFS(All_Attendances,site_level_range_board,$B40,date_range_board,J26,inputdata!$F:$F,"ED"),"0.0%")),IF(LEFT($B$7,6)="Number",SUMIFS(Comparison_Lookup,site_level_range_board,$B40,date_range_board,J26),TEXT(SUMIFS(Comparison_Lookup,site_level_range_board,$B40,date_range_board,J26)/SUMIFS(All_Attendances,site_level_range_board,$B40,date_range_board,J26),"0.0%"))),"")</f>
        <v>97.8%</v>
      </c>
      <c r="K40" s="168" t="str">
        <f ca="1">IFERROR(IF(ISNUMBER(FIND("ED only",$B$4)),IF(LEFT($B$7,6)="Number",SUMIFS(Comparison_Lookup,site_level_range_board,$B40,date_range_board,K26,inputdata!$F:$F,"ED"),TEXT(SUMIFS(Comparison_Lookup,site_level_range_board,$B40,date_range_board,K26,inputdata!$F:$F,"ED")/SUMIFS(All_Attendances,site_level_range_board,$B40,date_range_board,K26,inputdata!$F:$F,"ED"),"0.0%")),IF(LEFT($B$7,6)="Number",SUMIFS(Comparison_Lookup,site_level_range_board,$B40,date_range_board,K26),TEXT(SUMIFS(Comparison_Lookup,site_level_range_board,$B40,date_range_board,K26)/SUMIFS(All_Attendances,site_level_range_board,$B40,date_range_board,K26),"0.0%"))),"")</f>
        <v>97.2%</v>
      </c>
      <c r="L40" s="168" t="str">
        <f ca="1">IFERROR(IF(ISNUMBER(FIND("ED only",$B$4)),IF(LEFT($B$7,6)="Number",SUMIFS(Comparison_Lookup,site_level_range_board,$B40,date_range_board,L26,inputdata!$F:$F,"ED"),TEXT(SUMIFS(Comparison_Lookup,site_level_range_board,$B40,date_range_board,L26,inputdata!$F:$F,"ED")/SUMIFS(All_Attendances,site_level_range_board,$B40,date_range_board,L26,inputdata!$F:$F,"ED"),"0.0%")),IF(LEFT($B$7,6)="Number",SUMIFS(Comparison_Lookup,site_level_range_board,$B40,date_range_board,L26),TEXT(SUMIFS(Comparison_Lookup,site_level_range_board,$B40,date_range_board,L26)/SUMIFS(All_Attendances,site_level_range_board,$B40,date_range_board,L26),"0.0%"))),"")</f>
        <v>98.6%</v>
      </c>
      <c r="M40" s="168" t="str">
        <f ca="1">IFERROR(IF(ISNUMBER(FIND("ED only",$B$4)),IF(LEFT($B$7,6)="Number",SUMIFS(Comparison_Lookup,site_level_range_board,$B40,date_range_board,M26,inputdata!$F:$F,"ED"),TEXT(SUMIFS(Comparison_Lookup,site_level_range_board,$B40,date_range_board,M26,inputdata!$F:$F,"ED")/SUMIFS(All_Attendances,site_level_range_board,$B40,date_range_board,M26,inputdata!$F:$F,"ED"),"0.0%")),IF(LEFT($B$7,6)="Number",SUMIFS(Comparison_Lookup,site_level_range_board,$B40,date_range_board,M26),TEXT(SUMIFS(Comparison_Lookup,site_level_range_board,$B40,date_range_board,M26)/SUMIFS(All_Attendances,site_level_range_board,$B40,date_range_board,M26),"0.0%"))),"")</f>
        <v>97.5%</v>
      </c>
      <c r="N40" s="172" t="str">
        <f ca="1">IFERROR(IF(ISNUMBER(FIND("ED only",$B$4)),IF(LEFT($B$7,6)="Number",SUMIFS(Comparison_Lookup,site_level_range_board,$B40,date_range_board,N26,inputdata!$F:$F,"ED"),TEXT(SUMIFS(Comparison_Lookup,site_level_range_board,$B40,date_range_board,N26,inputdata!$F:$F,"ED")/SUMIFS(All_Attendances,site_level_range_board,$B40,date_range_board,N26,inputdata!$F:$F,"ED"),"0.0%")),IF(LEFT($B$7,6)="Number",SUMIFS(Comparison_Lookup,site_level_range_board,$B40,date_range_board,N26),TEXT(SUMIFS(Comparison_Lookup,site_level_range_board,$B40,date_range_board,N26)/SUMIFS(All_Attendances,site_level_range_board,$B40,date_range_board,N26),"0.0%"))),"")</f>
        <v>96.1%</v>
      </c>
    </row>
    <row r="41" spans="1:14" ht="15" customHeight="1" x14ac:dyDescent="0.2">
      <c r="A41" s="132"/>
      <c r="B41" s="170" t="s">
        <v>406</v>
      </c>
      <c r="C41" s="169" t="str">
        <f ca="1">IFERROR(IF(ISNUMBER(FIND("ED only",$B$4)),IF(LEFT($B$7,6)="Number",SUMIFS(Comparison_Lookup,date_range_board,C26,inputdata!$F:$F,"ED"),TEXT(SUMIFS(Comparison_Lookup,date_range_board,C26,inputdata!$F:$F,"ED")/SUMIFS(All_Attendances,date_range_board,C26,inputdata!$F:$F,"ED"),"0.0%")),IF(LEFT($B$7,6)="Number",SUMIFS(Comparison_Lookup,date_range_board,C26),TEXT(SUMIFS(Comparison_Lookup,date_range_board,C26)/SUMIFS(All_Attendances,date_range_board,C26
        ),"0.0%"))),"")</f>
        <v>88.7%</v>
      </c>
      <c r="D41" s="169" t="str">
        <f ca="1">IFERROR(IF(ISNUMBER(FIND("ED only",$B$4)),IF(LEFT($B$7,6)="Number",SUMIFS(Comparison_Lookup,date_range_board,D26,inputdata!$F:$F,"ED"),TEXT(SUMIFS(Comparison_Lookup,date_range_board,D26,inputdata!$F:$F,"ED")/SUMIFS(All_Attendances,date_range_board,D26,inputdata!$F:$F,"ED"),"0.0%")),IF(LEFT($B$7,6)="Number",SUMIFS(Comparison_Lookup,date_range_board,D26),TEXT(SUMIFS(Comparison_Lookup,date_range_board,D26)/SUMIFS(All_Attendances,date_range_board,D26
        ),"0.0%"))),"")</f>
        <v>87.2%</v>
      </c>
      <c r="E41" s="169" t="str">
        <f ca="1">IFERROR(IF(ISNUMBER(FIND("ED only",$B$4)),IF(LEFT($B$7,6)="Number",SUMIFS(Comparison_Lookup,date_range_board,E26,inputdata!$F:$F,"ED"),TEXT(SUMIFS(Comparison_Lookup,date_range_board,E26,inputdata!$F:$F,"ED")/SUMIFS(All_Attendances,date_range_board,E26,inputdata!$F:$F,"ED"),"0.0%")),IF(LEFT($B$7,6)="Number",SUMIFS(Comparison_Lookup,date_range_board,E26),TEXT(SUMIFS(Comparison_Lookup,date_range_board,E26)/SUMIFS(All_Attendances,date_range_board,E26
        ),"0.0%"))),"")</f>
        <v>85.1%</v>
      </c>
      <c r="F41" s="169" t="str">
        <f ca="1">IFERROR(IF(ISNUMBER(FIND("ED only",$B$4)),IF(LEFT($B$7,6)="Number",SUMIFS(Comparison_Lookup,date_range_board,F26,inputdata!$F:$F,"ED"),TEXT(SUMIFS(Comparison_Lookup,date_range_board,F26,inputdata!$F:$F,"ED")/SUMIFS(All_Attendances,date_range_board,F26,inputdata!$F:$F,"ED"),"0.0%")),IF(LEFT($B$7,6)="Number",SUMIFS(Comparison_Lookup,date_range_board,F26),TEXT(SUMIFS(Comparison_Lookup,date_range_board,F26)/SUMIFS(All_Attendances,date_range_board,F26
        ),"0.0%"))),"")</f>
        <v>81.5%</v>
      </c>
      <c r="G41" s="169" t="str">
        <f ca="1">IFERROR(IF(ISNUMBER(FIND("ED only",$B$4)),IF(LEFT($B$7,6)="Number",SUMIFS(Comparison_Lookup,date_range_board,G26,inputdata!$F:$F,"ED"),TEXT(SUMIFS(Comparison_Lookup,date_range_board,G26,inputdata!$F:$F,"ED")/SUMIFS(All_Attendances,date_range_board,G26,inputdata!$F:$F,"ED"),"0.0%")),IF(LEFT($B$7,6)="Number",SUMIFS(Comparison_Lookup,date_range_board,G26),TEXT(SUMIFS(Comparison_Lookup,date_range_board,G26)/SUMIFS(All_Attendances,date_range_board,G26
        ),"0.0%"))),"")</f>
        <v>77.9%</v>
      </c>
      <c r="H41" s="169" t="str">
        <f ca="1">IFERROR(IF(ISNUMBER(FIND("ED only",$B$4)),IF(LEFT($B$7,6)="Number",SUMIFS(Comparison_Lookup,date_range_board,H26,inputdata!$F:$F,"ED"),TEXT(SUMIFS(Comparison_Lookup,date_range_board,H26,inputdata!$F:$F,"ED")/SUMIFS(All_Attendances,date_range_board,H26,inputdata!$F:$F,"ED"),"0.0%")),IF(LEFT($B$7,6)="Number",SUMIFS(Comparison_Lookup,date_range_board,H26),TEXT(SUMIFS(Comparison_Lookup,date_range_board,H26)/SUMIFS(All_Attendances,date_range_board,H26
        ),"0.0%"))),"")</f>
        <v>76.1%</v>
      </c>
      <c r="I41" s="169" t="str">
        <f ca="1">IFERROR(IF(ISNUMBER(FIND("ED only",$B$4)),IF(LEFT($B$7,6)="Number",SUMIFS(Comparison_Lookup,date_range_board,I26,inputdata!$F:$F,"ED"),TEXT(SUMIFS(Comparison_Lookup,date_range_board,I26,inputdata!$F:$F,"ED")/SUMIFS(All_Attendances,date_range_board,I26,inputdata!$F:$F,"ED"),"0.0%")),IF(LEFT($B$7,6)="Number",SUMIFS(Comparison_Lookup,date_range_board,I26),TEXT(SUMIFS(Comparison_Lookup,date_range_board,I26)/SUMIFS(All_Attendances,date_range_board,I26
        ),"0.0%"))),"")</f>
        <v>73.5%</v>
      </c>
      <c r="J41" s="169" t="str">
        <f ca="1">IFERROR(IF(ISNUMBER(FIND("ED only",$B$4)),IF(LEFT($B$7,6)="Number",SUMIFS(Comparison_Lookup,date_range_board,J26,inputdata!$F:$F,"ED"),TEXT(SUMIFS(Comparison_Lookup,date_range_board,J26,inputdata!$F:$F,"ED")/SUMIFS(All_Attendances,date_range_board,J26,inputdata!$F:$F,"ED"),"0.0%")),IF(LEFT($B$7,6)="Number",SUMIFS(Comparison_Lookup,date_range_board,J26),TEXT(SUMIFS(Comparison_Lookup,date_range_board,J26)/SUMIFS(All_Attendances,date_range_board,J26
        ),"0.0%"))),"")</f>
        <v>75.9%</v>
      </c>
      <c r="K41" s="169" t="str">
        <f ca="1">IFERROR(IF(ISNUMBER(FIND("ED only",$B$4)),IF(LEFT($B$7,6)="Number",SUMIFS(Comparison_Lookup,date_range_board,K26,inputdata!$F:$F,"ED"),TEXT(SUMIFS(Comparison_Lookup,date_range_board,K26,inputdata!$F:$F,"ED")/SUMIFS(All_Attendances,date_range_board,K26,inputdata!$F:$F,"ED"),"0.0%")),IF(LEFT($B$7,6)="Number",SUMIFS(Comparison_Lookup,date_range_board,K26),TEXT(SUMIFS(Comparison_Lookup,date_range_board,K26)/SUMIFS(All_Attendances,date_range_board,K26
        ),"0.0%"))),"")</f>
        <v>75.7%</v>
      </c>
      <c r="L41" s="169" t="str">
        <f ca="1">IFERROR(IF(ISNUMBER(FIND("ED only",$B$4)),IF(LEFT($B$7,6)="Number",SUMIFS(Comparison_Lookup,date_range_board,L26,inputdata!$F:$F,"ED"),TEXT(SUMIFS(Comparison_Lookup,date_range_board,L26,inputdata!$F:$F,"ED")/SUMIFS(All_Attendances,date_range_board,L26,inputdata!$F:$F,"ED"),"0.0%")),IF(LEFT($B$7,6)="Number",SUMIFS(Comparison_Lookup,date_range_board,L26),TEXT(SUMIFS(Comparison_Lookup,date_range_board,L26)/SUMIFS(All_Attendances,date_range_board,L26
        ),"0.0%"))),"")</f>
        <v>76.0%</v>
      </c>
      <c r="M41" s="169" t="str">
        <f ca="1">IFERROR(IF(ISNUMBER(FIND("ED only",$B$4)),IF(LEFT($B$7,6)="Number",SUMIFS(Comparison_Lookup,date_range_board,M26,inputdata!$F:$F,"ED"),TEXT(SUMIFS(Comparison_Lookup,date_range_board,M26,inputdata!$F:$F,"ED")/SUMIFS(All_Attendances,date_range_board,M26,inputdata!$F:$F,"ED"),"0.0%")),IF(LEFT($B$7,6)="Number",SUMIFS(Comparison_Lookup,date_range_board,M26),TEXT(SUMIFS(Comparison_Lookup,date_range_board,M26)/SUMIFS(All_Attendances,date_range_board,M26
        ),"0.0%"))),"")</f>
        <v>74.2%</v>
      </c>
      <c r="N41" s="173" t="str">
        <f ca="1">IFERROR(IF(ISNUMBER(FIND("ED only",$B$4)),IF(LEFT($B$7,6)="Number",SUMIFS(Comparison_Lookup,date_range_board,N26,inputdata!$F:$F,"ED"),TEXT(SUMIFS(Comparison_Lookup,date_range_board,N26,inputdata!$F:$F,"ED")/SUMIFS(All_Attendances,date_range_board,N26,inputdata!$F:$F,"ED"),"0.0%")),IF(LEFT($B$7,6)="Number",SUMIFS(Comparison_Lookup,date_range_board,N26),TEXT(SUMIFS(Comparison_Lookup,date_range_board,N26)/SUMIFS(All_Attendances,date_range_board,N26
        ),"0.0%"))),"")</f>
        <v>71.6%</v>
      </c>
    </row>
    <row r="42" spans="1:14" ht="15" customHeight="1" x14ac:dyDescent="0.2">
      <c r="B42" s="127"/>
      <c r="C42" s="127"/>
      <c r="D42" s="127"/>
      <c r="E42" s="127"/>
      <c r="F42" s="127"/>
      <c r="G42" s="127"/>
      <c r="H42" s="127"/>
      <c r="I42" s="127"/>
      <c r="J42" s="127"/>
      <c r="K42" s="127"/>
      <c r="L42" s="127"/>
      <c r="M42" s="127"/>
      <c r="N42" s="127"/>
    </row>
    <row r="43" spans="1:14" ht="15" customHeight="1" x14ac:dyDescent="0.25">
      <c r="A43" s="132"/>
      <c r="B43" s="153" t="str">
        <f>IF(ISNUMBER(FIND("ED only",$B$4)),"2020/2021 (ED Only)","2020/2021")</f>
        <v>2020/2021</v>
      </c>
      <c r="C43" s="149">
        <v>43951</v>
      </c>
      <c r="D43" s="149">
        <v>43982</v>
      </c>
      <c r="E43" s="149">
        <v>44012</v>
      </c>
      <c r="F43" s="149">
        <v>44043</v>
      </c>
      <c r="G43" s="149">
        <v>44074</v>
      </c>
      <c r="H43" s="149">
        <v>44104</v>
      </c>
      <c r="I43" s="149">
        <v>44135</v>
      </c>
      <c r="J43" s="149">
        <v>44165</v>
      </c>
      <c r="K43" s="149">
        <v>44196</v>
      </c>
      <c r="L43" s="149">
        <v>44227</v>
      </c>
      <c r="M43" s="149">
        <v>44255</v>
      </c>
      <c r="N43" s="158">
        <v>44286</v>
      </c>
    </row>
    <row r="44" spans="1:14" ht="15" customHeight="1" x14ac:dyDescent="0.2">
      <c r="A44" s="132"/>
      <c r="B44" s="152" t="s">
        <v>407</v>
      </c>
      <c r="C44" s="165" t="str">
        <f ca="1">IFERROR(IF(ISNUMBER(FIND("ED only",$B$4)),IF(LEFT($B$7,6)="Number",SUMIFS(Comparison_Lookup,site_level_range_board,$B44,date_range_board,C43,inputdata!$F:$F,"ED"),TEXT(SUMIFS(Comparison_Lookup,site_level_range_board,$B44,date_range_board,C43,inputdata!$F:$F,"ED")/SUMIFS(All_Attendances,site_level_range_board,$B44,date_range_board,C43,inputdata!$F:$F,"ED"),"0.0%")),IF(LEFT($B$7,6)="Number",SUMIFS(Comparison_Lookup,site_level_range_board,$B44,date_range_board,C43),TEXT(SUMIFS(Comparison_Lookup,site_level_range_board,$B44,date_range_board,C43)/SUMIFS(All_Attendances,site_level_range_board,$B44,date_range_board,C43),"0.0%"))),"")</f>
        <v>96.2%</v>
      </c>
      <c r="D44" s="165" t="str">
        <f ca="1">IFERROR(IF(ISNUMBER(FIND("ED only",$B$4)),IF(LEFT($B$7,6)="Number",SUMIFS(Comparison_Lookup,site_level_range_board,$B44,date_range_board,D43,inputdata!$F:$F,"ED"),TEXT(SUMIFS(Comparison_Lookup,site_level_range_board,$B44,date_range_board,D43,inputdata!$F:$F,"ED")/SUMIFS(All_Attendances,site_level_range_board,$B44,date_range_board,D43,inputdata!$F:$F,"ED"),"0.0%")),IF(LEFT($B$7,6)="Number",SUMIFS(Comparison_Lookup,site_level_range_board,$B44,date_range_board,D43),TEXT(SUMIFS(Comparison_Lookup,site_level_range_board,$B44,date_range_board,D43)/SUMIFS(All_Attendances,site_level_range_board,$B44,date_range_board,D43),"0.0%"))),"")</f>
        <v>96.1%</v>
      </c>
      <c r="E44" s="165" t="str">
        <f ca="1">IFERROR(IF(ISNUMBER(FIND("ED only",$B$4)),IF(LEFT($B$7,6)="Number",SUMIFS(Comparison_Lookup,site_level_range_board,$B44,date_range_board,E43,inputdata!$F:$F,"ED"),TEXT(SUMIFS(Comparison_Lookup,site_level_range_board,$B44,date_range_board,E43,inputdata!$F:$F,"ED")/SUMIFS(All_Attendances,site_level_range_board,$B44,date_range_board,E43,inputdata!$F:$F,"ED"),"0.0%")),IF(LEFT($B$7,6)="Number",SUMIFS(Comparison_Lookup,site_level_range_board,$B44,date_range_board,E43),TEXT(SUMIFS(Comparison_Lookup,site_level_range_board,$B44,date_range_board,E43)/SUMIFS(All_Attendances,site_level_range_board,$B44,date_range_board,E43),"0.0%"))),"")</f>
        <v>96.3%</v>
      </c>
      <c r="F44" s="165" t="str">
        <f ca="1">IFERROR(IF(ISNUMBER(FIND("ED only",$B$4)),IF(LEFT($B$7,6)="Number",SUMIFS(Comparison_Lookup,site_level_range_board,$B44,date_range_board,F43,inputdata!$F:$F,"ED"),TEXT(SUMIFS(Comparison_Lookup,site_level_range_board,$B44,date_range_board,F43,inputdata!$F:$F,"ED")/SUMIFS(All_Attendances,site_level_range_board,$B44,date_range_board,F43,inputdata!$F:$F,"ED"),"0.0%")),IF(LEFT($B$7,6)="Number",SUMIFS(Comparison_Lookup,site_level_range_board,$B44,date_range_board,F43),TEXT(SUMIFS(Comparison_Lookup,site_level_range_board,$B44,date_range_board,F43)/SUMIFS(All_Attendances,site_level_range_board,$B44,date_range_board,F43),"0.0%"))),"")</f>
        <v>95.5%</v>
      </c>
      <c r="G44" s="165" t="str">
        <f ca="1">IFERROR(IF(ISNUMBER(FIND("ED only",$B$4)),IF(LEFT($B$7,6)="Number",SUMIFS(Comparison_Lookup,site_level_range_board,$B44,date_range_board,G43,inputdata!$F:$F,"ED"),TEXT(SUMIFS(Comparison_Lookup,site_level_range_board,$B44,date_range_board,G43,inputdata!$F:$F,"ED")/SUMIFS(All_Attendances,site_level_range_board,$B44,date_range_board,G43,inputdata!$F:$F,"ED"),"0.0%")),IF(LEFT($B$7,6)="Number",SUMIFS(Comparison_Lookup,site_level_range_board,$B44,date_range_board,G43),TEXT(SUMIFS(Comparison_Lookup,site_level_range_board,$B44,date_range_board,G43)/SUMIFS(All_Attendances,site_level_range_board,$B44,date_range_board,G43),"0.0%"))),"")</f>
        <v>93.6%</v>
      </c>
      <c r="H44" s="165" t="str">
        <f ca="1">IFERROR(IF(ISNUMBER(FIND("ED only",$B$4)),IF(LEFT($B$7,6)="Number",SUMIFS(Comparison_Lookup,site_level_range_board,$B44,date_range_board,H43,inputdata!$F:$F,"ED"),TEXT(SUMIFS(Comparison_Lookup,site_level_range_board,$B44,date_range_board,H43,inputdata!$F:$F,"ED")/SUMIFS(All_Attendances,site_level_range_board,$B44,date_range_board,H43,inputdata!$F:$F,"ED"),"0.0%")),IF(LEFT($B$7,6)="Number",SUMIFS(Comparison_Lookup,site_level_range_board,$B44,date_range_board,H43),TEXT(SUMIFS(Comparison_Lookup,site_level_range_board,$B44,date_range_board,H43)/SUMIFS(All_Attendances,site_level_range_board,$B44,date_range_board,H43),"0.0%"))),"")</f>
        <v>90.7%</v>
      </c>
      <c r="I44" s="165" t="str">
        <f ca="1">IFERROR(IF(ISNUMBER(FIND("ED only",$B$4)),IF(LEFT($B$7,6)="Number",SUMIFS(Comparison_Lookup,site_level_range_board,$B44,date_range_board,I43,inputdata!$F:$F,"ED"),TEXT(SUMIFS(Comparison_Lookup,site_level_range_board,$B44,date_range_board,I43,inputdata!$F:$F,"ED")/SUMIFS(All_Attendances,site_level_range_board,$B44,date_range_board,I43,inputdata!$F:$F,"ED"),"0.0%")),IF(LEFT($B$7,6)="Number",SUMIFS(Comparison_Lookup,site_level_range_board,$B44,date_range_board,I43),TEXT(SUMIFS(Comparison_Lookup,site_level_range_board,$B44,date_range_board,I43)/SUMIFS(All_Attendances,site_level_range_board,$B44,date_range_board,I43),"0.0%"))),"")</f>
        <v>86.1%</v>
      </c>
      <c r="J44" s="165" t="str">
        <f ca="1">IFERROR(IF(ISNUMBER(FIND("ED only",$B$4)),IF(LEFT($B$7,6)="Number",SUMIFS(Comparison_Lookup,site_level_range_board,$B44,date_range_board,J43,inputdata!$F:$F,"ED"),TEXT(SUMIFS(Comparison_Lookup,site_level_range_board,$B44,date_range_board,J43,inputdata!$F:$F,"ED")/SUMIFS(All_Attendances,site_level_range_board,$B44,date_range_board,J43,inputdata!$F:$F,"ED"),"0.0%")),IF(LEFT($B$7,6)="Number",SUMIFS(Comparison_Lookup,site_level_range_board,$B44,date_range_board,J43),TEXT(SUMIFS(Comparison_Lookup,site_level_range_board,$B44,date_range_board,J43)/SUMIFS(All_Attendances,site_level_range_board,$B44,date_range_board,J43),"0.0%"))),"")</f>
        <v>81.2%</v>
      </c>
      <c r="K44" s="165" t="str">
        <f ca="1">IFERROR(IF(ISNUMBER(FIND("ED only",$B$4)),IF(LEFT($B$7,6)="Number",SUMIFS(Comparison_Lookup,site_level_range_board,$B44,date_range_board,K43,inputdata!$F:$F,"ED"),TEXT(SUMIFS(Comparison_Lookup,site_level_range_board,$B44,date_range_board,K43,inputdata!$F:$F,"ED")/SUMIFS(All_Attendances,site_level_range_board,$B44,date_range_board,K43,inputdata!$F:$F,"ED"),"0.0%")),IF(LEFT($B$7,6)="Number",SUMIFS(Comparison_Lookup,site_level_range_board,$B44,date_range_board,K43),TEXT(SUMIFS(Comparison_Lookup,site_level_range_board,$B44,date_range_board,K43)/SUMIFS(All_Attendances,site_level_range_board,$B44,date_range_board,K43),"0.0%"))),"")</f>
        <v>78.5%</v>
      </c>
      <c r="L44" s="165" t="str">
        <f ca="1">IFERROR(IF(ISNUMBER(FIND("ED only",$B$4)),IF(LEFT($B$7,6)="Number",SUMIFS(Comparison_Lookup,site_level_range_board,$B44,date_range_board,L43,inputdata!$F:$F,"ED"),TEXT(SUMIFS(Comparison_Lookup,site_level_range_board,$B44,date_range_board,L43,inputdata!$F:$F,"ED")/SUMIFS(All_Attendances,site_level_range_board,$B44,date_range_board,L43,inputdata!$F:$F,"ED"),"0.0%")),IF(LEFT($B$7,6)="Number",SUMIFS(Comparison_Lookup,site_level_range_board,$B44,date_range_board,L43),TEXT(SUMIFS(Comparison_Lookup,site_level_range_board,$B44,date_range_board,L43)/SUMIFS(All_Attendances,site_level_range_board,$B44,date_range_board,L43),"0.0%"))),"")</f>
        <v>78.4%</v>
      </c>
      <c r="M44" s="165" t="str">
        <f ca="1">IFERROR(IF(ISNUMBER(FIND("ED only",$B$4)),IF(LEFT($B$7,6)="Number",SUMIFS(Comparison_Lookup,site_level_range_board,$B44,date_range_board,M43,inputdata!$F:$F,"ED"),TEXT(SUMIFS(Comparison_Lookup,site_level_range_board,$B44,date_range_board,M43,inputdata!$F:$F,"ED")/SUMIFS(All_Attendances,site_level_range_board,$B44,date_range_board,M43,inputdata!$F:$F,"ED"),"0.0%")),IF(LEFT($B$7,6)="Number",SUMIFS(Comparison_Lookup,site_level_range_board,$B44,date_range_board,M43),TEXT(SUMIFS(Comparison_Lookup,site_level_range_board,$B44,date_range_board,M43)/SUMIFS(All_Attendances,site_level_range_board,$B44,date_range_board,M43),"0.0%"))),"")</f>
        <v>81.1%</v>
      </c>
      <c r="N44" s="171" t="str">
        <f ca="1">IFERROR(IF(ISNUMBER(FIND("ED only",$B$4)),IF(LEFT($B$7,6)="Number",SUMIFS(Comparison_Lookup,site_level_range_board,$B44,date_range_board,N43,inputdata!$F:$F,"ED"),TEXT(SUMIFS(Comparison_Lookup,site_level_range_board,$B44,date_range_board,N43,inputdata!$F:$F,"ED")/SUMIFS(All_Attendances,site_level_range_board,$B44,date_range_board,N43,inputdata!$F:$F,"ED"),"0.0%")),IF(LEFT($B$7,6)="Number",SUMIFS(Comparison_Lookup,site_level_range_board,$B44,date_range_board,N43),TEXT(SUMIFS(Comparison_Lookup,site_level_range_board,$B44,date_range_board,N43)/SUMIFS(All_Attendances,site_level_range_board,$B44,date_range_board,N43),"0.0%"))),"")</f>
        <v>83.7%</v>
      </c>
    </row>
    <row r="45" spans="1:14" ht="15" customHeight="1" x14ac:dyDescent="0.2">
      <c r="A45" s="132"/>
      <c r="B45" s="152" t="s">
        <v>418</v>
      </c>
      <c r="C45" s="165" t="str">
        <f ca="1">IFERROR(IF(ISNUMBER(FIND("ED only",$B$4)),IF(LEFT($B$7,6)="Number",SUMIFS(Comparison_Lookup,site_level_range_board,$B45,date_range_board,C43,inputdata!$F:$F,"ED"),TEXT(SUMIFS(Comparison_Lookup,site_level_range_board,$B45,date_range_board,C43,inputdata!$F:$F,"ED")/SUMIFS(All_Attendances,site_level_range_board,$B45,date_range_board,C43,inputdata!$F:$F,"ED"),"0.0%")),IF(LEFT($B$7,6)="Number",SUMIFS(Comparison_Lookup,site_level_range_board,$B45,date_range_board,C43),TEXT(SUMIFS(Comparison_Lookup,site_level_range_board,$B45,date_range_board,C43)/SUMIFS(All_Attendances,site_level_range_board,$B45,date_range_board,C43),"0.0%"))),"")</f>
        <v>89.4%</v>
      </c>
      <c r="D45" s="165" t="str">
        <f ca="1">IFERROR(IF(ISNUMBER(FIND("ED only",$B$4)),IF(LEFT($B$7,6)="Number",SUMIFS(Comparison_Lookup,site_level_range_board,$B45,date_range_board,D43,inputdata!$F:$F,"ED"),TEXT(SUMIFS(Comparison_Lookup,site_level_range_board,$B45,date_range_board,D43,inputdata!$F:$F,"ED")/SUMIFS(All_Attendances,site_level_range_board,$B45,date_range_board,D43,inputdata!$F:$F,"ED"),"0.0%")),IF(LEFT($B$7,6)="Number",SUMIFS(Comparison_Lookup,site_level_range_board,$B45,date_range_board,D43),TEXT(SUMIFS(Comparison_Lookup,site_level_range_board,$B45,date_range_board,D43)/SUMIFS(All_Attendances,site_level_range_board,$B45,date_range_board,D43),"0.0%"))),"")</f>
        <v>92.3%</v>
      </c>
      <c r="E45" s="165" t="str">
        <f ca="1">IFERROR(IF(ISNUMBER(FIND("ED only",$B$4)),IF(LEFT($B$7,6)="Number",SUMIFS(Comparison_Lookup,site_level_range_board,$B45,date_range_board,E43,inputdata!$F:$F,"ED"),TEXT(SUMIFS(Comparison_Lookup,site_level_range_board,$B45,date_range_board,E43,inputdata!$F:$F,"ED")/SUMIFS(All_Attendances,site_level_range_board,$B45,date_range_board,E43,inputdata!$F:$F,"ED"),"0.0%")),IF(LEFT($B$7,6)="Number",SUMIFS(Comparison_Lookup,site_level_range_board,$B45,date_range_board,E43),TEXT(SUMIFS(Comparison_Lookup,site_level_range_board,$B45,date_range_board,E43)/SUMIFS(All_Attendances,site_level_range_board,$B45,date_range_board,E43),"0.0%"))),"")</f>
        <v>88.3%</v>
      </c>
      <c r="F45" s="165" t="str">
        <f ca="1">IFERROR(IF(ISNUMBER(FIND("ED only",$B$4)),IF(LEFT($B$7,6)="Number",SUMIFS(Comparison_Lookup,site_level_range_board,$B45,date_range_board,F43,inputdata!$F:$F,"ED"),TEXT(SUMIFS(Comparison_Lookup,site_level_range_board,$B45,date_range_board,F43,inputdata!$F:$F,"ED")/SUMIFS(All_Attendances,site_level_range_board,$B45,date_range_board,F43,inputdata!$F:$F,"ED"),"0.0%")),IF(LEFT($B$7,6)="Number",SUMIFS(Comparison_Lookup,site_level_range_board,$B45,date_range_board,F43),TEXT(SUMIFS(Comparison_Lookup,site_level_range_board,$B45,date_range_board,F43)/SUMIFS(All_Attendances,site_level_range_board,$B45,date_range_board,F43),"0.0%"))),"")</f>
        <v>91.3%</v>
      </c>
      <c r="G45" s="165" t="str">
        <f ca="1">IFERROR(IF(ISNUMBER(FIND("ED only",$B$4)),IF(LEFT($B$7,6)="Number",SUMIFS(Comparison_Lookup,site_level_range_board,$B45,date_range_board,G43,inputdata!$F:$F,"ED"),TEXT(SUMIFS(Comparison_Lookup,site_level_range_board,$B45,date_range_board,G43,inputdata!$F:$F,"ED")/SUMIFS(All_Attendances,site_level_range_board,$B45,date_range_board,G43,inputdata!$F:$F,"ED"),"0.0%")),IF(LEFT($B$7,6)="Number",SUMIFS(Comparison_Lookup,site_level_range_board,$B45,date_range_board,G43),TEXT(SUMIFS(Comparison_Lookup,site_level_range_board,$B45,date_range_board,G43)/SUMIFS(All_Attendances,site_level_range_board,$B45,date_range_board,G43),"0.0%"))),"")</f>
        <v>86.7%</v>
      </c>
      <c r="H45" s="165" t="str">
        <f ca="1">IFERROR(IF(ISNUMBER(FIND("ED only",$B$4)),IF(LEFT($B$7,6)="Number",SUMIFS(Comparison_Lookup,site_level_range_board,$B45,date_range_board,H43,inputdata!$F:$F,"ED"),TEXT(SUMIFS(Comparison_Lookup,site_level_range_board,$B45,date_range_board,H43,inputdata!$F:$F,"ED")/SUMIFS(All_Attendances,site_level_range_board,$B45,date_range_board,H43,inputdata!$F:$F,"ED"),"0.0%")),IF(LEFT($B$7,6)="Number",SUMIFS(Comparison_Lookup,site_level_range_board,$B45,date_range_board,H43),TEXT(SUMIFS(Comparison_Lookup,site_level_range_board,$B45,date_range_board,H43)/SUMIFS(All_Attendances,site_level_range_board,$B45,date_range_board,H43),"0.0%"))),"")</f>
        <v>85.6%</v>
      </c>
      <c r="I45" s="165" t="str">
        <f ca="1">IFERROR(IF(ISNUMBER(FIND("ED only",$B$4)),IF(LEFT($B$7,6)="Number",SUMIFS(Comparison_Lookup,site_level_range_board,$B45,date_range_board,I43,inputdata!$F:$F,"ED"),TEXT(SUMIFS(Comparison_Lookup,site_level_range_board,$B45,date_range_board,I43,inputdata!$F:$F,"ED")/SUMIFS(All_Attendances,site_level_range_board,$B45,date_range_board,I43,inputdata!$F:$F,"ED"),"0.0%")),IF(LEFT($B$7,6)="Number",SUMIFS(Comparison_Lookup,site_level_range_board,$B45,date_range_board,I43),TEXT(SUMIFS(Comparison_Lookup,site_level_range_board,$B45,date_range_board,I43)/SUMIFS(All_Attendances,site_level_range_board,$B45,date_range_board,I43),"0.0%"))),"")</f>
        <v>88.8%</v>
      </c>
      <c r="J45" s="165" t="str">
        <f ca="1">IFERROR(IF(ISNUMBER(FIND("ED only",$B$4)),IF(LEFT($B$7,6)="Number",SUMIFS(Comparison_Lookup,site_level_range_board,$B45,date_range_board,J43,inputdata!$F:$F,"ED"),TEXT(SUMIFS(Comparison_Lookup,site_level_range_board,$B45,date_range_board,J43,inputdata!$F:$F,"ED")/SUMIFS(All_Attendances,site_level_range_board,$B45,date_range_board,J43,inputdata!$F:$F,"ED"),"0.0%")),IF(LEFT($B$7,6)="Number",SUMIFS(Comparison_Lookup,site_level_range_board,$B45,date_range_board,J43),TEXT(SUMIFS(Comparison_Lookup,site_level_range_board,$B45,date_range_board,J43)/SUMIFS(All_Attendances,site_level_range_board,$B45,date_range_board,J43),"0.0%"))),"")</f>
        <v>87.8%</v>
      </c>
      <c r="K45" s="165" t="str">
        <f ca="1">IFERROR(IF(ISNUMBER(FIND("ED only",$B$4)),IF(LEFT($B$7,6)="Number",SUMIFS(Comparison_Lookup,site_level_range_board,$B45,date_range_board,K43,inputdata!$F:$F,"ED"),TEXT(SUMIFS(Comparison_Lookup,site_level_range_board,$B45,date_range_board,K43,inputdata!$F:$F,"ED")/SUMIFS(All_Attendances,site_level_range_board,$B45,date_range_board,K43,inputdata!$F:$F,"ED"),"0.0%")),IF(LEFT($B$7,6)="Number",SUMIFS(Comparison_Lookup,site_level_range_board,$B45,date_range_board,K43),TEXT(SUMIFS(Comparison_Lookup,site_level_range_board,$B45,date_range_board,K43)/SUMIFS(All_Attendances,site_level_range_board,$B45,date_range_board,K43),"0.0%"))),"")</f>
        <v>79.2%</v>
      </c>
      <c r="L45" s="165" t="str">
        <f ca="1">IFERROR(IF(ISNUMBER(FIND("ED only",$B$4)),IF(LEFT($B$7,6)="Number",SUMIFS(Comparison_Lookup,site_level_range_board,$B45,date_range_board,L43,inputdata!$F:$F,"ED"),TEXT(SUMIFS(Comparison_Lookup,site_level_range_board,$B45,date_range_board,L43,inputdata!$F:$F,"ED")/SUMIFS(All_Attendances,site_level_range_board,$B45,date_range_board,L43,inputdata!$F:$F,"ED"),"0.0%")),IF(LEFT($B$7,6)="Number",SUMIFS(Comparison_Lookup,site_level_range_board,$B45,date_range_board,L43),TEXT(SUMIFS(Comparison_Lookup,site_level_range_board,$B45,date_range_board,L43)/SUMIFS(All_Attendances,site_level_range_board,$B45,date_range_board,L43),"0.0%"))),"")</f>
        <v>78.8%</v>
      </c>
      <c r="M45" s="165" t="str">
        <f ca="1">IFERROR(IF(ISNUMBER(FIND("ED only",$B$4)),IF(LEFT($B$7,6)="Number",SUMIFS(Comparison_Lookup,site_level_range_board,$B45,date_range_board,M43,inputdata!$F:$F,"ED"),TEXT(SUMIFS(Comparison_Lookup,site_level_range_board,$B45,date_range_board,M43,inputdata!$F:$F,"ED")/SUMIFS(All_Attendances,site_level_range_board,$B45,date_range_board,M43,inputdata!$F:$F,"ED"),"0.0%")),IF(LEFT($B$7,6)="Number",SUMIFS(Comparison_Lookup,site_level_range_board,$B45,date_range_board,M43),TEXT(SUMIFS(Comparison_Lookup,site_level_range_board,$B45,date_range_board,M43)/SUMIFS(All_Attendances,site_level_range_board,$B45,date_range_board,M43),"0.0%"))),"")</f>
        <v>74.7%</v>
      </c>
      <c r="N45" s="171" t="str">
        <f ca="1">IFERROR(IF(ISNUMBER(FIND("ED only",$B$4)),IF(LEFT($B$7,6)="Number",SUMIFS(Comparison_Lookup,site_level_range_board,$B45,date_range_board,N43,inputdata!$F:$F,"ED"),TEXT(SUMIFS(Comparison_Lookup,site_level_range_board,$B45,date_range_board,N43,inputdata!$F:$F,"ED")/SUMIFS(All_Attendances,site_level_range_board,$B45,date_range_board,N43,inputdata!$F:$F,"ED"),"0.0%")),IF(LEFT($B$7,6)="Number",SUMIFS(Comparison_Lookup,site_level_range_board,$B45,date_range_board,N43),TEXT(SUMIFS(Comparison_Lookup,site_level_range_board,$B45,date_range_board,N43)/SUMIFS(All_Attendances,site_level_range_board,$B45,date_range_board,N43),"0.0%"))),"")</f>
        <v>86.7%</v>
      </c>
    </row>
    <row r="46" spans="1:14" ht="15" customHeight="1" x14ac:dyDescent="0.2">
      <c r="A46" s="132"/>
      <c r="B46" s="152" t="s">
        <v>429</v>
      </c>
      <c r="C46" s="165" t="str">
        <f ca="1">IFERROR(IF(ISNUMBER(FIND("ED only",$B$4)),IF(LEFT($B$7,6)="Number",SUMIFS(Comparison_Lookup,site_level_range_board,$B46,date_range_board,C43,inputdata!$F:$F,"ED"),TEXT(SUMIFS(Comparison_Lookup,site_level_range_board,$B46,date_range_board,C43,inputdata!$F:$F,"ED")/SUMIFS(All_Attendances,site_level_range_board,$B46,date_range_board,C43,inputdata!$F:$F,"ED"),"0.0%")),IF(LEFT($B$7,6)="Number",SUMIFS(Comparison_Lookup,site_level_range_board,$B46,date_range_board,C43),TEXT(SUMIFS(Comparison_Lookup,site_level_range_board,$B46,date_range_board,C43)/SUMIFS(All_Attendances,site_level_range_board,$B46,date_range_board,C43),"0.0%"))),"")</f>
        <v>94.1%</v>
      </c>
      <c r="D46" s="165" t="str">
        <f ca="1">IFERROR(IF(ISNUMBER(FIND("ED only",$B$4)),IF(LEFT($B$7,6)="Number",SUMIFS(Comparison_Lookup,site_level_range_board,$B46,date_range_board,D43,inputdata!$F:$F,"ED"),TEXT(SUMIFS(Comparison_Lookup,site_level_range_board,$B46,date_range_board,D43,inputdata!$F:$F,"ED")/SUMIFS(All_Attendances,site_level_range_board,$B46,date_range_board,D43,inputdata!$F:$F,"ED"),"0.0%")),IF(LEFT($B$7,6)="Number",SUMIFS(Comparison_Lookup,site_level_range_board,$B46,date_range_board,D43),TEXT(SUMIFS(Comparison_Lookup,site_level_range_board,$B46,date_range_board,D43)/SUMIFS(All_Attendances,site_level_range_board,$B46,date_range_board,D43),"0.0%"))),"")</f>
        <v>94.6%</v>
      </c>
      <c r="E46" s="165" t="str">
        <f ca="1">IFERROR(IF(ISNUMBER(FIND("ED only",$B$4)),IF(LEFT($B$7,6)="Number",SUMIFS(Comparison_Lookup,site_level_range_board,$B46,date_range_board,E43,inputdata!$F:$F,"ED"),TEXT(SUMIFS(Comparison_Lookup,site_level_range_board,$B46,date_range_board,E43,inputdata!$F:$F,"ED")/SUMIFS(All_Attendances,site_level_range_board,$B46,date_range_board,E43,inputdata!$F:$F,"ED"),"0.0%")),IF(LEFT($B$7,6)="Number",SUMIFS(Comparison_Lookup,site_level_range_board,$B46,date_range_board,E43),TEXT(SUMIFS(Comparison_Lookup,site_level_range_board,$B46,date_range_board,E43)/SUMIFS(All_Attendances,site_level_range_board,$B46,date_range_board,E43),"0.0%"))),"")</f>
        <v>94.5%</v>
      </c>
      <c r="F46" s="165" t="str">
        <f ca="1">IFERROR(IF(ISNUMBER(FIND("ED only",$B$4)),IF(LEFT($B$7,6)="Number",SUMIFS(Comparison_Lookup,site_level_range_board,$B46,date_range_board,F43,inputdata!$F:$F,"ED"),TEXT(SUMIFS(Comparison_Lookup,site_level_range_board,$B46,date_range_board,F43,inputdata!$F:$F,"ED")/SUMIFS(All_Attendances,site_level_range_board,$B46,date_range_board,F43,inputdata!$F:$F,"ED"),"0.0%")),IF(LEFT($B$7,6)="Number",SUMIFS(Comparison_Lookup,site_level_range_board,$B46,date_range_board,F43),TEXT(SUMIFS(Comparison_Lookup,site_level_range_board,$B46,date_range_board,F43)/SUMIFS(All_Attendances,site_level_range_board,$B46,date_range_board,F43),"0.0%"))),"")</f>
        <v>95.1%</v>
      </c>
      <c r="G46" s="165" t="str">
        <f ca="1">IFERROR(IF(ISNUMBER(FIND("ED only",$B$4)),IF(LEFT($B$7,6)="Number",SUMIFS(Comparison_Lookup,site_level_range_board,$B46,date_range_board,G43,inputdata!$F:$F,"ED"),TEXT(SUMIFS(Comparison_Lookup,site_level_range_board,$B46,date_range_board,G43,inputdata!$F:$F,"ED")/SUMIFS(All_Attendances,site_level_range_board,$B46,date_range_board,G43,inputdata!$F:$F,"ED"),"0.0%")),IF(LEFT($B$7,6)="Number",SUMIFS(Comparison_Lookup,site_level_range_board,$B46,date_range_board,G43),TEXT(SUMIFS(Comparison_Lookup,site_level_range_board,$B46,date_range_board,G43)/SUMIFS(All_Attendances,site_level_range_board,$B46,date_range_board,G43),"0.0%"))),"")</f>
        <v>93.5%</v>
      </c>
      <c r="H46" s="165" t="str">
        <f ca="1">IFERROR(IF(ISNUMBER(FIND("ED only",$B$4)),IF(LEFT($B$7,6)="Number",SUMIFS(Comparison_Lookup,site_level_range_board,$B46,date_range_board,H43,inputdata!$F:$F,"ED"),TEXT(SUMIFS(Comparison_Lookup,site_level_range_board,$B46,date_range_board,H43,inputdata!$F:$F,"ED")/SUMIFS(All_Attendances,site_level_range_board,$B46,date_range_board,H43,inputdata!$F:$F,"ED"),"0.0%")),IF(LEFT($B$7,6)="Number",SUMIFS(Comparison_Lookup,site_level_range_board,$B46,date_range_board,H43),TEXT(SUMIFS(Comparison_Lookup,site_level_range_board,$B46,date_range_board,H43)/SUMIFS(All_Attendances,site_level_range_board,$B46,date_range_board,H43),"0.0%"))),"")</f>
        <v>94.0%</v>
      </c>
      <c r="I46" s="165" t="str">
        <f ca="1">IFERROR(IF(ISNUMBER(FIND("ED only",$B$4)),IF(LEFT($B$7,6)="Number",SUMIFS(Comparison_Lookup,site_level_range_board,$B46,date_range_board,I43,inputdata!$F:$F,"ED"),TEXT(SUMIFS(Comparison_Lookup,site_level_range_board,$B46,date_range_board,I43,inputdata!$F:$F,"ED")/SUMIFS(All_Attendances,site_level_range_board,$B46,date_range_board,I43,inputdata!$F:$F,"ED"),"0.0%")),IF(LEFT($B$7,6)="Number",SUMIFS(Comparison_Lookup,site_level_range_board,$B46,date_range_board,I43),TEXT(SUMIFS(Comparison_Lookup,site_level_range_board,$B46,date_range_board,I43)/SUMIFS(All_Attendances,site_level_range_board,$B46,date_range_board,I43),"0.0%"))),"")</f>
        <v>93.2%</v>
      </c>
      <c r="J46" s="165" t="str">
        <f ca="1">IFERROR(IF(ISNUMBER(FIND("ED only",$B$4)),IF(LEFT($B$7,6)="Number",SUMIFS(Comparison_Lookup,site_level_range_board,$B46,date_range_board,J43,inputdata!$F:$F,"ED"),TEXT(SUMIFS(Comparison_Lookup,site_level_range_board,$B46,date_range_board,J43,inputdata!$F:$F,"ED")/SUMIFS(All_Attendances,site_level_range_board,$B46,date_range_board,J43,inputdata!$F:$F,"ED"),"0.0%")),IF(LEFT($B$7,6)="Number",SUMIFS(Comparison_Lookup,site_level_range_board,$B46,date_range_board,J43),TEXT(SUMIFS(Comparison_Lookup,site_level_range_board,$B46,date_range_board,J43)/SUMIFS(All_Attendances,site_level_range_board,$B46,date_range_board,J43),"0.0%"))),"")</f>
        <v>93.1%</v>
      </c>
      <c r="K46" s="165" t="str">
        <f ca="1">IFERROR(IF(ISNUMBER(FIND("ED only",$B$4)),IF(LEFT($B$7,6)="Number",SUMIFS(Comparison_Lookup,site_level_range_board,$B46,date_range_board,K43,inputdata!$F:$F,"ED"),TEXT(SUMIFS(Comparison_Lookup,site_level_range_board,$B46,date_range_board,K43,inputdata!$F:$F,"ED")/SUMIFS(All_Attendances,site_level_range_board,$B46,date_range_board,K43,inputdata!$F:$F,"ED"),"0.0%")),IF(LEFT($B$7,6)="Number",SUMIFS(Comparison_Lookup,site_level_range_board,$B46,date_range_board,K43),TEXT(SUMIFS(Comparison_Lookup,site_level_range_board,$B46,date_range_board,K43)/SUMIFS(All_Attendances,site_level_range_board,$B46,date_range_board,K43),"0.0%"))),"")</f>
        <v>88.4%</v>
      </c>
      <c r="L46" s="165" t="str">
        <f ca="1">IFERROR(IF(ISNUMBER(FIND("ED only",$B$4)),IF(LEFT($B$7,6)="Number",SUMIFS(Comparison_Lookup,site_level_range_board,$B46,date_range_board,L43,inputdata!$F:$F,"ED"),TEXT(SUMIFS(Comparison_Lookup,site_level_range_board,$B46,date_range_board,L43,inputdata!$F:$F,"ED")/SUMIFS(All_Attendances,site_level_range_board,$B46,date_range_board,L43,inputdata!$F:$F,"ED"),"0.0%")),IF(LEFT($B$7,6)="Number",SUMIFS(Comparison_Lookup,site_level_range_board,$B46,date_range_board,L43),TEXT(SUMIFS(Comparison_Lookup,site_level_range_board,$B46,date_range_board,L43)/SUMIFS(All_Attendances,site_level_range_board,$B46,date_range_board,L43),"0.0%"))),"")</f>
        <v>88.4%</v>
      </c>
      <c r="M46" s="165" t="str">
        <f ca="1">IFERROR(IF(ISNUMBER(FIND("ED only",$B$4)),IF(LEFT($B$7,6)="Number",SUMIFS(Comparison_Lookup,site_level_range_board,$B46,date_range_board,M43,inputdata!$F:$F,"ED"),TEXT(SUMIFS(Comparison_Lookup,site_level_range_board,$B46,date_range_board,M43,inputdata!$F:$F,"ED")/SUMIFS(All_Attendances,site_level_range_board,$B46,date_range_board,M43,inputdata!$F:$F,"ED"),"0.0%")),IF(LEFT($B$7,6)="Number",SUMIFS(Comparison_Lookup,site_level_range_board,$B46,date_range_board,M43),TEXT(SUMIFS(Comparison_Lookup,site_level_range_board,$B46,date_range_board,M43)/SUMIFS(All_Attendances,site_level_range_board,$B46,date_range_board,M43),"0.0%"))),"")</f>
        <v>92.2%</v>
      </c>
      <c r="N46" s="171" t="str">
        <f ca="1">IFERROR(IF(ISNUMBER(FIND("ED only",$B$4)),IF(LEFT($B$7,6)="Number",SUMIFS(Comparison_Lookup,site_level_range_board,$B46,date_range_board,N43,inputdata!$F:$F,"ED"),TEXT(SUMIFS(Comparison_Lookup,site_level_range_board,$B46,date_range_board,N43,inputdata!$F:$F,"ED")/SUMIFS(All_Attendances,site_level_range_board,$B46,date_range_board,N43,inputdata!$F:$F,"ED"),"0.0%")),IF(LEFT($B$7,6)="Number",SUMIFS(Comparison_Lookup,site_level_range_board,$B46,date_range_board,N43),TEXT(SUMIFS(Comparison_Lookup,site_level_range_board,$B46,date_range_board,N43)/SUMIFS(All_Attendances,site_level_range_board,$B46,date_range_board,N43),"0.0%"))),"")</f>
        <v>89.5%</v>
      </c>
    </row>
    <row r="47" spans="1:14" ht="15" customHeight="1" x14ac:dyDescent="0.2">
      <c r="A47" s="132"/>
      <c r="B47" s="152" t="s">
        <v>442</v>
      </c>
      <c r="C47" s="165" t="str">
        <f ca="1">IFERROR(IF(ISNUMBER(FIND("ED only",$B$4)),IF(LEFT($B$7,6)="Number",SUMIFS(Comparison_Lookup,site_level_range_board,$B47,date_range_board,C43,inputdata!$F:$F,"ED"),TEXT(SUMIFS(Comparison_Lookup,site_level_range_board,$B47,date_range_board,C43,inputdata!$F:$F,"ED")/SUMIFS(All_Attendances,site_level_range_board,$B47,date_range_board,C43,inputdata!$F:$F,"ED"),"0.0%")),IF(LEFT($B$7,6)="Number",SUMIFS(Comparison_Lookup,site_level_range_board,$B47,date_range_board,C43),TEXT(SUMIFS(Comparison_Lookup,site_level_range_board,$B47,date_range_board,C43)/SUMIFS(All_Attendances,site_level_range_board,$B47,date_range_board,C43),"0.0%"))),"")</f>
        <v>96.8%</v>
      </c>
      <c r="D47" s="165" t="str">
        <f ca="1">IFERROR(IF(ISNUMBER(FIND("ED only",$B$4)),IF(LEFT($B$7,6)="Number",SUMIFS(Comparison_Lookup,site_level_range_board,$B47,date_range_board,D43,inputdata!$F:$F,"ED"),TEXT(SUMIFS(Comparison_Lookup,site_level_range_board,$B47,date_range_board,D43,inputdata!$F:$F,"ED")/SUMIFS(All_Attendances,site_level_range_board,$B47,date_range_board,D43,inputdata!$F:$F,"ED"),"0.0%")),IF(LEFT($B$7,6)="Number",SUMIFS(Comparison_Lookup,site_level_range_board,$B47,date_range_board,D43),TEXT(SUMIFS(Comparison_Lookup,site_level_range_board,$B47,date_range_board,D43)/SUMIFS(All_Attendances,site_level_range_board,$B47,date_range_board,D43),"0.0%"))),"")</f>
        <v>96.5%</v>
      </c>
      <c r="E47" s="165" t="str">
        <f ca="1">IFERROR(IF(ISNUMBER(FIND("ED only",$B$4)),IF(LEFT($B$7,6)="Number",SUMIFS(Comparison_Lookup,site_level_range_board,$B47,date_range_board,E43,inputdata!$F:$F,"ED"),TEXT(SUMIFS(Comparison_Lookup,site_level_range_board,$B47,date_range_board,E43,inputdata!$F:$F,"ED")/SUMIFS(All_Attendances,site_level_range_board,$B47,date_range_board,E43,inputdata!$F:$F,"ED"),"0.0%")),IF(LEFT($B$7,6)="Number",SUMIFS(Comparison_Lookup,site_level_range_board,$B47,date_range_board,E43),TEXT(SUMIFS(Comparison_Lookup,site_level_range_board,$B47,date_range_board,E43)/SUMIFS(All_Attendances,site_level_range_board,$B47,date_range_board,E43),"0.0%"))),"")</f>
        <v>96.8%</v>
      </c>
      <c r="F47" s="165" t="str">
        <f ca="1">IFERROR(IF(ISNUMBER(FIND("ED only",$B$4)),IF(LEFT($B$7,6)="Number",SUMIFS(Comparison_Lookup,site_level_range_board,$B47,date_range_board,F43,inputdata!$F:$F,"ED"),TEXT(SUMIFS(Comparison_Lookup,site_level_range_board,$B47,date_range_board,F43,inputdata!$F:$F,"ED")/SUMIFS(All_Attendances,site_level_range_board,$B47,date_range_board,F43,inputdata!$F:$F,"ED"),"0.0%")),IF(LEFT($B$7,6)="Number",SUMIFS(Comparison_Lookup,site_level_range_board,$B47,date_range_board,F43),TEXT(SUMIFS(Comparison_Lookup,site_level_range_board,$B47,date_range_board,F43)/SUMIFS(All_Attendances,site_level_range_board,$B47,date_range_board,F43),"0.0%"))),"")</f>
        <v>96.1%</v>
      </c>
      <c r="G47" s="165" t="str">
        <f ca="1">IFERROR(IF(ISNUMBER(FIND("ED only",$B$4)),IF(LEFT($B$7,6)="Number",SUMIFS(Comparison_Lookup,site_level_range_board,$B47,date_range_board,G43,inputdata!$F:$F,"ED"),TEXT(SUMIFS(Comparison_Lookup,site_level_range_board,$B47,date_range_board,G43,inputdata!$F:$F,"ED")/SUMIFS(All_Attendances,site_level_range_board,$B47,date_range_board,G43,inputdata!$F:$F,"ED"),"0.0%")),IF(LEFT($B$7,6)="Number",SUMIFS(Comparison_Lookup,site_level_range_board,$B47,date_range_board,G43),TEXT(SUMIFS(Comparison_Lookup,site_level_range_board,$B47,date_range_board,G43)/SUMIFS(All_Attendances,site_level_range_board,$B47,date_range_board,G43),"0.0%"))),"")</f>
        <v>95.4%</v>
      </c>
      <c r="H47" s="165" t="str">
        <f ca="1">IFERROR(IF(ISNUMBER(FIND("ED only",$B$4)),IF(LEFT($B$7,6)="Number",SUMIFS(Comparison_Lookup,site_level_range_board,$B47,date_range_board,H43,inputdata!$F:$F,"ED"),TEXT(SUMIFS(Comparison_Lookup,site_level_range_board,$B47,date_range_board,H43,inputdata!$F:$F,"ED")/SUMIFS(All_Attendances,site_level_range_board,$B47,date_range_board,H43,inputdata!$F:$F,"ED"),"0.0%")),IF(LEFT($B$7,6)="Number",SUMIFS(Comparison_Lookup,site_level_range_board,$B47,date_range_board,H43),TEXT(SUMIFS(Comparison_Lookup,site_level_range_board,$B47,date_range_board,H43)/SUMIFS(All_Attendances,site_level_range_board,$B47,date_range_board,H43),"0.0%"))),"")</f>
        <v>96.4%</v>
      </c>
      <c r="I47" s="165" t="str">
        <f ca="1">IFERROR(IF(ISNUMBER(FIND("ED only",$B$4)),IF(LEFT($B$7,6)="Number",SUMIFS(Comparison_Lookup,site_level_range_board,$B47,date_range_board,I43,inputdata!$F:$F,"ED"),TEXT(SUMIFS(Comparison_Lookup,site_level_range_board,$B47,date_range_board,I43,inputdata!$F:$F,"ED")/SUMIFS(All_Attendances,site_level_range_board,$B47,date_range_board,I43,inputdata!$F:$F,"ED"),"0.0%")),IF(LEFT($B$7,6)="Number",SUMIFS(Comparison_Lookup,site_level_range_board,$B47,date_range_board,I43),TEXT(SUMIFS(Comparison_Lookup,site_level_range_board,$B47,date_range_board,I43)/SUMIFS(All_Attendances,site_level_range_board,$B47,date_range_board,I43),"0.0%"))),"")</f>
        <v>94.1%</v>
      </c>
      <c r="J47" s="165" t="str">
        <f ca="1">IFERROR(IF(ISNUMBER(FIND("ED only",$B$4)),IF(LEFT($B$7,6)="Number",SUMIFS(Comparison_Lookup,site_level_range_board,$B47,date_range_board,J43,inputdata!$F:$F,"ED"),TEXT(SUMIFS(Comparison_Lookup,site_level_range_board,$B47,date_range_board,J43,inputdata!$F:$F,"ED")/SUMIFS(All_Attendances,site_level_range_board,$B47,date_range_board,J43,inputdata!$F:$F,"ED"),"0.0%")),IF(LEFT($B$7,6)="Number",SUMIFS(Comparison_Lookup,site_level_range_board,$B47,date_range_board,J43),TEXT(SUMIFS(Comparison_Lookup,site_level_range_board,$B47,date_range_board,J43)/SUMIFS(All_Attendances,site_level_range_board,$B47,date_range_board,J43),"0.0%"))),"")</f>
        <v>92.4%</v>
      </c>
      <c r="K47" s="165" t="str">
        <f ca="1">IFERROR(IF(ISNUMBER(FIND("ED only",$B$4)),IF(LEFT($B$7,6)="Number",SUMIFS(Comparison_Lookup,site_level_range_board,$B47,date_range_board,K43,inputdata!$F:$F,"ED"),TEXT(SUMIFS(Comparison_Lookup,site_level_range_board,$B47,date_range_board,K43,inputdata!$F:$F,"ED")/SUMIFS(All_Attendances,site_level_range_board,$B47,date_range_board,K43,inputdata!$F:$F,"ED"),"0.0%")),IF(LEFT($B$7,6)="Number",SUMIFS(Comparison_Lookup,site_level_range_board,$B47,date_range_board,K43),TEXT(SUMIFS(Comparison_Lookup,site_level_range_board,$B47,date_range_board,K43)/SUMIFS(All_Attendances,site_level_range_board,$B47,date_range_board,K43),"0.0%"))),"")</f>
        <v>89.5%</v>
      </c>
      <c r="L47" s="165" t="str">
        <f ca="1">IFERROR(IF(ISNUMBER(FIND("ED only",$B$4)),IF(LEFT($B$7,6)="Number",SUMIFS(Comparison_Lookup,site_level_range_board,$B47,date_range_board,L43,inputdata!$F:$F,"ED"),TEXT(SUMIFS(Comparison_Lookup,site_level_range_board,$B47,date_range_board,L43,inputdata!$F:$F,"ED")/SUMIFS(All_Attendances,site_level_range_board,$B47,date_range_board,L43,inputdata!$F:$F,"ED"),"0.0%")),IF(LEFT($B$7,6)="Number",SUMIFS(Comparison_Lookup,site_level_range_board,$B47,date_range_board,L43),TEXT(SUMIFS(Comparison_Lookup,site_level_range_board,$B47,date_range_board,L43)/SUMIFS(All_Attendances,site_level_range_board,$B47,date_range_board,L43),"0.0%"))),"")</f>
        <v>90.2%</v>
      </c>
      <c r="M47" s="165" t="str">
        <f ca="1">IFERROR(IF(ISNUMBER(FIND("ED only",$B$4)),IF(LEFT($B$7,6)="Number",SUMIFS(Comparison_Lookup,site_level_range_board,$B47,date_range_board,M43,inputdata!$F:$F,"ED"),TEXT(SUMIFS(Comparison_Lookup,site_level_range_board,$B47,date_range_board,M43,inputdata!$F:$F,"ED")/SUMIFS(All_Attendances,site_level_range_board,$B47,date_range_board,M43,inputdata!$F:$F,"ED"),"0.0%")),IF(LEFT($B$7,6)="Number",SUMIFS(Comparison_Lookup,site_level_range_board,$B47,date_range_board,M43),TEXT(SUMIFS(Comparison_Lookup,site_level_range_board,$B47,date_range_board,M43)/SUMIFS(All_Attendances,site_level_range_board,$B47,date_range_board,M43),"0.0%"))),"")</f>
        <v>91.2%</v>
      </c>
      <c r="N47" s="171" t="str">
        <f ca="1">IFERROR(IF(ISNUMBER(FIND("ED only",$B$4)),IF(LEFT($B$7,6)="Number",SUMIFS(Comparison_Lookup,site_level_range_board,$B47,date_range_board,N43,inputdata!$F:$F,"ED"),TEXT(SUMIFS(Comparison_Lookup,site_level_range_board,$B47,date_range_board,N43,inputdata!$F:$F,"ED")/SUMIFS(All_Attendances,site_level_range_board,$B47,date_range_board,N43,inputdata!$F:$F,"ED"),"0.0%")),IF(LEFT($B$7,6)="Number",SUMIFS(Comparison_Lookup,site_level_range_board,$B47,date_range_board,N43),TEXT(SUMIFS(Comparison_Lookup,site_level_range_board,$B47,date_range_board,N43)/SUMIFS(All_Attendances,site_level_range_board,$B47,date_range_board,N43),"0.0%"))),"")</f>
        <v>90.9%</v>
      </c>
    </row>
    <row r="48" spans="1:14" ht="15" customHeight="1" x14ac:dyDescent="0.2">
      <c r="A48" s="132"/>
      <c r="B48" s="152" t="s">
        <v>451</v>
      </c>
      <c r="C48" s="165" t="str">
        <f ca="1">IFERROR(IF(ISNUMBER(FIND("ED only",$B$4)),IF(LEFT($B$7,6)="Number",SUMIFS(Comparison_Lookup,site_level_range_board,$B48,date_range_board,C43,inputdata!$F:$F,"ED"),TEXT(SUMIFS(Comparison_Lookup,site_level_range_board,$B48,date_range_board,C43,inputdata!$F:$F,"ED")/SUMIFS(All_Attendances,site_level_range_board,$B48,date_range_board,C43,inputdata!$F:$F,"ED"),"0.0%")),IF(LEFT($B$7,6)="Number",SUMIFS(Comparison_Lookup,site_level_range_board,$B48,date_range_board,C43),TEXT(SUMIFS(Comparison_Lookup,site_level_range_board,$B48,date_range_board,C43)/SUMIFS(All_Attendances,site_level_range_board,$B48,date_range_board,C43),"0.0%"))),"")</f>
        <v>97.2%</v>
      </c>
      <c r="D48" s="165" t="str">
        <f ca="1">IFERROR(IF(ISNUMBER(FIND("ED only",$B$4)),IF(LEFT($B$7,6)="Number",SUMIFS(Comparison_Lookup,site_level_range_board,$B48,date_range_board,D43,inputdata!$F:$F,"ED"),TEXT(SUMIFS(Comparison_Lookup,site_level_range_board,$B48,date_range_board,D43,inputdata!$F:$F,"ED")/SUMIFS(All_Attendances,site_level_range_board,$B48,date_range_board,D43,inputdata!$F:$F,"ED"),"0.0%")),IF(LEFT($B$7,6)="Number",SUMIFS(Comparison_Lookup,site_level_range_board,$B48,date_range_board,D43),TEXT(SUMIFS(Comparison_Lookup,site_level_range_board,$B48,date_range_board,D43)/SUMIFS(All_Attendances,site_level_range_board,$B48,date_range_board,D43),"0.0%"))),"")</f>
        <v>98.0%</v>
      </c>
      <c r="E48" s="165" t="str">
        <f ca="1">IFERROR(IF(ISNUMBER(FIND("ED only",$B$4)),IF(LEFT($B$7,6)="Number",SUMIFS(Comparison_Lookup,site_level_range_board,$B48,date_range_board,E43,inputdata!$F:$F,"ED"),TEXT(SUMIFS(Comparison_Lookup,site_level_range_board,$B48,date_range_board,E43,inputdata!$F:$F,"ED")/SUMIFS(All_Attendances,site_level_range_board,$B48,date_range_board,E43,inputdata!$F:$F,"ED"),"0.0%")),IF(LEFT($B$7,6)="Number",SUMIFS(Comparison_Lookup,site_level_range_board,$B48,date_range_board,E43),TEXT(SUMIFS(Comparison_Lookup,site_level_range_board,$B48,date_range_board,E43)/SUMIFS(All_Attendances,site_level_range_board,$B48,date_range_board,E43),"0.0%"))),"")</f>
        <v>97.2%</v>
      </c>
      <c r="F48" s="165" t="str">
        <f ca="1">IFERROR(IF(ISNUMBER(FIND("ED only",$B$4)),IF(LEFT($B$7,6)="Number",SUMIFS(Comparison_Lookup,site_level_range_board,$B48,date_range_board,F43,inputdata!$F:$F,"ED"),TEXT(SUMIFS(Comparison_Lookup,site_level_range_board,$B48,date_range_board,F43,inputdata!$F:$F,"ED")/SUMIFS(All_Attendances,site_level_range_board,$B48,date_range_board,F43,inputdata!$F:$F,"ED"),"0.0%")),IF(LEFT($B$7,6)="Number",SUMIFS(Comparison_Lookup,site_level_range_board,$B48,date_range_board,F43),TEXT(SUMIFS(Comparison_Lookup,site_level_range_board,$B48,date_range_board,F43)/SUMIFS(All_Attendances,site_level_range_board,$B48,date_range_board,F43),"0.0%"))),"")</f>
        <v>95.7%</v>
      </c>
      <c r="G48" s="165" t="str">
        <f ca="1">IFERROR(IF(ISNUMBER(FIND("ED only",$B$4)),IF(LEFT($B$7,6)="Number",SUMIFS(Comparison_Lookup,site_level_range_board,$B48,date_range_board,G43,inputdata!$F:$F,"ED"),TEXT(SUMIFS(Comparison_Lookup,site_level_range_board,$B48,date_range_board,G43,inputdata!$F:$F,"ED")/SUMIFS(All_Attendances,site_level_range_board,$B48,date_range_board,G43,inputdata!$F:$F,"ED"),"0.0%")),IF(LEFT($B$7,6)="Number",SUMIFS(Comparison_Lookup,site_level_range_board,$B48,date_range_board,G43),TEXT(SUMIFS(Comparison_Lookup,site_level_range_board,$B48,date_range_board,G43)/SUMIFS(All_Attendances,site_level_range_board,$B48,date_range_board,G43),"0.0%"))),"")</f>
        <v>93.2%</v>
      </c>
      <c r="H48" s="165" t="str">
        <f ca="1">IFERROR(IF(ISNUMBER(FIND("ED only",$B$4)),IF(LEFT($B$7,6)="Number",SUMIFS(Comparison_Lookup,site_level_range_board,$B48,date_range_board,H43,inputdata!$F:$F,"ED"),TEXT(SUMIFS(Comparison_Lookup,site_level_range_board,$B48,date_range_board,H43,inputdata!$F:$F,"ED")/SUMIFS(All_Attendances,site_level_range_board,$B48,date_range_board,H43,inputdata!$F:$F,"ED"),"0.0%")),IF(LEFT($B$7,6)="Number",SUMIFS(Comparison_Lookup,site_level_range_board,$B48,date_range_board,H43),TEXT(SUMIFS(Comparison_Lookup,site_level_range_board,$B48,date_range_board,H43)/SUMIFS(All_Attendances,site_level_range_board,$B48,date_range_board,H43),"0.0%"))),"")</f>
        <v>91.0%</v>
      </c>
      <c r="I48" s="165" t="str">
        <f ca="1">IFERROR(IF(ISNUMBER(FIND("ED only",$B$4)),IF(LEFT($B$7,6)="Number",SUMIFS(Comparison_Lookup,site_level_range_board,$B48,date_range_board,I43,inputdata!$F:$F,"ED"),TEXT(SUMIFS(Comparison_Lookup,site_level_range_board,$B48,date_range_board,I43,inputdata!$F:$F,"ED")/SUMIFS(All_Attendances,site_level_range_board,$B48,date_range_board,I43,inputdata!$F:$F,"ED"),"0.0%")),IF(LEFT($B$7,6)="Number",SUMIFS(Comparison_Lookup,site_level_range_board,$B48,date_range_board,I43),TEXT(SUMIFS(Comparison_Lookup,site_level_range_board,$B48,date_range_board,I43)/SUMIFS(All_Attendances,site_level_range_board,$B48,date_range_board,I43),"0.0%"))),"")</f>
        <v>94.0%</v>
      </c>
      <c r="J48" s="165" t="str">
        <f ca="1">IFERROR(IF(ISNUMBER(FIND("ED only",$B$4)),IF(LEFT($B$7,6)="Number",SUMIFS(Comparison_Lookup,site_level_range_board,$B48,date_range_board,J43,inputdata!$F:$F,"ED"),TEXT(SUMIFS(Comparison_Lookup,site_level_range_board,$B48,date_range_board,J43,inputdata!$F:$F,"ED")/SUMIFS(All_Attendances,site_level_range_board,$B48,date_range_board,J43,inputdata!$F:$F,"ED"),"0.0%")),IF(LEFT($B$7,6)="Number",SUMIFS(Comparison_Lookup,site_level_range_board,$B48,date_range_board,J43),TEXT(SUMIFS(Comparison_Lookup,site_level_range_board,$B48,date_range_board,J43)/SUMIFS(All_Attendances,site_level_range_board,$B48,date_range_board,J43),"0.0%"))),"")</f>
        <v>94.4%</v>
      </c>
      <c r="K48" s="165" t="str">
        <f ca="1">IFERROR(IF(ISNUMBER(FIND("ED only",$B$4)),IF(LEFT($B$7,6)="Number",SUMIFS(Comparison_Lookup,site_level_range_board,$B48,date_range_board,K43,inputdata!$F:$F,"ED"),TEXT(SUMIFS(Comparison_Lookup,site_level_range_board,$B48,date_range_board,K43,inputdata!$F:$F,"ED")/SUMIFS(All_Attendances,site_level_range_board,$B48,date_range_board,K43,inputdata!$F:$F,"ED"),"0.0%")),IF(LEFT($B$7,6)="Number",SUMIFS(Comparison_Lookup,site_level_range_board,$B48,date_range_board,K43),TEXT(SUMIFS(Comparison_Lookup,site_level_range_board,$B48,date_range_board,K43)/SUMIFS(All_Attendances,site_level_range_board,$B48,date_range_board,K43),"0.0%"))),"")</f>
        <v>91.5%</v>
      </c>
      <c r="L48" s="165" t="str">
        <f ca="1">IFERROR(IF(ISNUMBER(FIND("ED only",$B$4)),IF(LEFT($B$7,6)="Number",SUMIFS(Comparison_Lookup,site_level_range_board,$B48,date_range_board,L43,inputdata!$F:$F,"ED"),TEXT(SUMIFS(Comparison_Lookup,site_level_range_board,$B48,date_range_board,L43,inputdata!$F:$F,"ED")/SUMIFS(All_Attendances,site_level_range_board,$B48,date_range_board,L43,inputdata!$F:$F,"ED"),"0.0%")),IF(LEFT($B$7,6)="Number",SUMIFS(Comparison_Lookup,site_level_range_board,$B48,date_range_board,L43),TEXT(SUMIFS(Comparison_Lookup,site_level_range_board,$B48,date_range_board,L43)/SUMIFS(All_Attendances,site_level_range_board,$B48,date_range_board,L43),"0.0%"))),"")</f>
        <v>89.1%</v>
      </c>
      <c r="M48" s="165" t="str">
        <f ca="1">IFERROR(IF(ISNUMBER(FIND("ED only",$B$4)),IF(LEFT($B$7,6)="Number",SUMIFS(Comparison_Lookup,site_level_range_board,$B48,date_range_board,M43,inputdata!$F:$F,"ED"),TEXT(SUMIFS(Comparison_Lookup,site_level_range_board,$B48,date_range_board,M43,inputdata!$F:$F,"ED")/SUMIFS(All_Attendances,site_level_range_board,$B48,date_range_board,M43,inputdata!$F:$F,"ED"),"0.0%")),IF(LEFT($B$7,6)="Number",SUMIFS(Comparison_Lookup,site_level_range_board,$B48,date_range_board,M43),TEXT(SUMIFS(Comparison_Lookup,site_level_range_board,$B48,date_range_board,M43)/SUMIFS(All_Attendances,site_level_range_board,$B48,date_range_board,M43),"0.0%"))),"")</f>
        <v>84.3%</v>
      </c>
      <c r="N48" s="171" t="str">
        <f ca="1">IFERROR(IF(ISNUMBER(FIND("ED only",$B$4)),IF(LEFT($B$7,6)="Number",SUMIFS(Comparison_Lookup,site_level_range_board,$B48,date_range_board,N43,inputdata!$F:$F,"ED"),TEXT(SUMIFS(Comparison_Lookup,site_level_range_board,$B48,date_range_board,N43,inputdata!$F:$F,"ED")/SUMIFS(All_Attendances,site_level_range_board,$B48,date_range_board,N43,inputdata!$F:$F,"ED"),"0.0%")),IF(LEFT($B$7,6)="Number",SUMIFS(Comparison_Lookup,site_level_range_board,$B48,date_range_board,N43),TEXT(SUMIFS(Comparison_Lookup,site_level_range_board,$B48,date_range_board,N43)/SUMIFS(All_Attendances,site_level_range_board,$B48,date_range_board,N43),"0.0%"))),"")</f>
        <v>87.5%</v>
      </c>
    </row>
    <row r="49" spans="1:16" ht="15" customHeight="1" x14ac:dyDescent="0.2">
      <c r="A49" s="132"/>
      <c r="B49" s="152" t="s">
        <v>456</v>
      </c>
      <c r="C49" s="165" t="str">
        <f ca="1">IFERROR(IF(ISNUMBER(FIND("ED only",$B$4)),IF(LEFT($B$7,6)="Number",SUMIFS(Comparison_Lookup,site_level_range_board,$B49,date_range_board,C43,inputdata!$F:$F,"ED"),TEXT(SUMIFS(Comparison_Lookup,site_level_range_board,$B49,date_range_board,C43,inputdata!$F:$F,"ED")/SUMIFS(All_Attendances,site_level_range_board,$B49,date_range_board,C43,inputdata!$F:$F,"ED"),"0.0%")),IF(LEFT($B$7,6)="Number",SUMIFS(Comparison_Lookup,site_level_range_board,$B49,date_range_board,C43),TEXT(SUMIFS(Comparison_Lookup,site_level_range_board,$B49,date_range_board,C43)/SUMIFS(All_Attendances,site_level_range_board,$B49,date_range_board,C43),"0.0%"))),"")</f>
        <v>92.6%</v>
      </c>
      <c r="D49" s="165" t="str">
        <f ca="1">IFERROR(IF(ISNUMBER(FIND("ED only",$B$4)),IF(LEFT($B$7,6)="Number",SUMIFS(Comparison_Lookup,site_level_range_board,$B49,date_range_board,D43,inputdata!$F:$F,"ED"),TEXT(SUMIFS(Comparison_Lookup,site_level_range_board,$B49,date_range_board,D43,inputdata!$F:$F,"ED")/SUMIFS(All_Attendances,site_level_range_board,$B49,date_range_board,D43,inputdata!$F:$F,"ED"),"0.0%")),IF(LEFT($B$7,6)="Number",SUMIFS(Comparison_Lookup,site_level_range_board,$B49,date_range_board,D43),TEXT(SUMIFS(Comparison_Lookup,site_level_range_board,$B49,date_range_board,D43)/SUMIFS(All_Attendances,site_level_range_board,$B49,date_range_board,D43),"0.0%"))),"")</f>
        <v>95.8%</v>
      </c>
      <c r="E49" s="165" t="str">
        <f ca="1">IFERROR(IF(ISNUMBER(FIND("ED only",$B$4)),IF(LEFT($B$7,6)="Number",SUMIFS(Comparison_Lookup,site_level_range_board,$B49,date_range_board,E43,inputdata!$F:$F,"ED"),TEXT(SUMIFS(Comparison_Lookup,site_level_range_board,$B49,date_range_board,E43,inputdata!$F:$F,"ED")/SUMIFS(All_Attendances,site_level_range_board,$B49,date_range_board,E43,inputdata!$F:$F,"ED"),"0.0%")),IF(LEFT($B$7,6)="Number",SUMIFS(Comparison_Lookup,site_level_range_board,$B49,date_range_board,E43),TEXT(SUMIFS(Comparison_Lookup,site_level_range_board,$B49,date_range_board,E43)/SUMIFS(All_Attendances,site_level_range_board,$B49,date_range_board,E43),"0.0%"))),"")</f>
        <v>96.0%</v>
      </c>
      <c r="F49" s="165" t="str">
        <f ca="1">IFERROR(IF(ISNUMBER(FIND("ED only",$B$4)),IF(LEFT($B$7,6)="Number",SUMIFS(Comparison_Lookup,site_level_range_board,$B49,date_range_board,F43,inputdata!$F:$F,"ED"),TEXT(SUMIFS(Comparison_Lookup,site_level_range_board,$B49,date_range_board,F43,inputdata!$F:$F,"ED")/SUMIFS(All_Attendances,site_level_range_board,$B49,date_range_board,F43,inputdata!$F:$F,"ED"),"0.0%")),IF(LEFT($B$7,6)="Number",SUMIFS(Comparison_Lookup,site_level_range_board,$B49,date_range_board,F43),TEXT(SUMIFS(Comparison_Lookup,site_level_range_board,$B49,date_range_board,F43)/SUMIFS(All_Attendances,site_level_range_board,$B49,date_range_board,F43),"0.0%"))),"")</f>
        <v>93.4%</v>
      </c>
      <c r="G49" s="165" t="str">
        <f ca="1">IFERROR(IF(ISNUMBER(FIND("ED only",$B$4)),IF(LEFT($B$7,6)="Number",SUMIFS(Comparison_Lookup,site_level_range_board,$B49,date_range_board,G43,inputdata!$F:$F,"ED"),TEXT(SUMIFS(Comparison_Lookup,site_level_range_board,$B49,date_range_board,G43,inputdata!$F:$F,"ED")/SUMIFS(All_Attendances,site_level_range_board,$B49,date_range_board,G43,inputdata!$F:$F,"ED"),"0.0%")),IF(LEFT($B$7,6)="Number",SUMIFS(Comparison_Lookup,site_level_range_board,$B49,date_range_board,G43),TEXT(SUMIFS(Comparison_Lookup,site_level_range_board,$B49,date_range_board,G43)/SUMIFS(All_Attendances,site_level_range_board,$B49,date_range_board,G43),"0.0%"))),"")</f>
        <v>93.3%</v>
      </c>
      <c r="H49" s="165" t="str">
        <f ca="1">IFERROR(IF(ISNUMBER(FIND("ED only",$B$4)),IF(LEFT($B$7,6)="Number",SUMIFS(Comparison_Lookup,site_level_range_board,$B49,date_range_board,H43,inputdata!$F:$F,"ED"),TEXT(SUMIFS(Comparison_Lookup,site_level_range_board,$B49,date_range_board,H43,inputdata!$F:$F,"ED")/SUMIFS(All_Attendances,site_level_range_board,$B49,date_range_board,H43,inputdata!$F:$F,"ED"),"0.0%")),IF(LEFT($B$7,6)="Number",SUMIFS(Comparison_Lookup,site_level_range_board,$B49,date_range_board,H43),TEXT(SUMIFS(Comparison_Lookup,site_level_range_board,$B49,date_range_board,H43)/SUMIFS(All_Attendances,site_level_range_board,$B49,date_range_board,H43),"0.0%"))),"")</f>
        <v>93.5%</v>
      </c>
      <c r="I49" s="165" t="str">
        <f ca="1">IFERROR(IF(ISNUMBER(FIND("ED only",$B$4)),IF(LEFT($B$7,6)="Number",SUMIFS(Comparison_Lookup,site_level_range_board,$B49,date_range_board,I43,inputdata!$F:$F,"ED"),TEXT(SUMIFS(Comparison_Lookup,site_level_range_board,$B49,date_range_board,I43,inputdata!$F:$F,"ED")/SUMIFS(All_Attendances,site_level_range_board,$B49,date_range_board,I43,inputdata!$F:$F,"ED"),"0.0%")),IF(LEFT($B$7,6)="Number",SUMIFS(Comparison_Lookup,site_level_range_board,$B49,date_range_board,I43),TEXT(SUMIFS(Comparison_Lookup,site_level_range_board,$B49,date_range_board,I43)/SUMIFS(All_Attendances,site_level_range_board,$B49,date_range_board,I43),"0.0%"))),"")</f>
        <v>89.9%</v>
      </c>
      <c r="J49" s="165" t="str">
        <f ca="1">IFERROR(IF(ISNUMBER(FIND("ED only",$B$4)),IF(LEFT($B$7,6)="Number",SUMIFS(Comparison_Lookup,site_level_range_board,$B49,date_range_board,J43,inputdata!$F:$F,"ED"),TEXT(SUMIFS(Comparison_Lookup,site_level_range_board,$B49,date_range_board,J43,inputdata!$F:$F,"ED")/SUMIFS(All_Attendances,site_level_range_board,$B49,date_range_board,J43,inputdata!$F:$F,"ED"),"0.0%")),IF(LEFT($B$7,6)="Number",SUMIFS(Comparison_Lookup,site_level_range_board,$B49,date_range_board,J43),TEXT(SUMIFS(Comparison_Lookup,site_level_range_board,$B49,date_range_board,J43)/SUMIFS(All_Attendances,site_level_range_board,$B49,date_range_board,J43),"0.0%"))),"")</f>
        <v>91.8%</v>
      </c>
      <c r="K49" s="165" t="str">
        <f ca="1">IFERROR(IF(ISNUMBER(FIND("ED only",$B$4)),IF(LEFT($B$7,6)="Number",SUMIFS(Comparison_Lookup,site_level_range_board,$B49,date_range_board,K43,inputdata!$F:$F,"ED"),TEXT(SUMIFS(Comparison_Lookup,site_level_range_board,$B49,date_range_board,K43,inputdata!$F:$F,"ED")/SUMIFS(All_Attendances,site_level_range_board,$B49,date_range_board,K43,inputdata!$F:$F,"ED"),"0.0%")),IF(LEFT($B$7,6)="Number",SUMIFS(Comparison_Lookup,site_level_range_board,$B49,date_range_board,K43),TEXT(SUMIFS(Comparison_Lookup,site_level_range_board,$B49,date_range_board,K43)/SUMIFS(All_Attendances,site_level_range_board,$B49,date_range_board,K43),"0.0%"))),"")</f>
        <v>86.1%</v>
      </c>
      <c r="L49" s="165" t="str">
        <f ca="1">IFERROR(IF(ISNUMBER(FIND("ED only",$B$4)),IF(LEFT($B$7,6)="Number",SUMIFS(Comparison_Lookup,site_level_range_board,$B49,date_range_board,L43,inputdata!$F:$F,"ED"),TEXT(SUMIFS(Comparison_Lookup,site_level_range_board,$B49,date_range_board,L43,inputdata!$F:$F,"ED")/SUMIFS(All_Attendances,site_level_range_board,$B49,date_range_board,L43,inputdata!$F:$F,"ED"),"0.0%")),IF(LEFT($B$7,6)="Number",SUMIFS(Comparison_Lookup,site_level_range_board,$B49,date_range_board,L43),TEXT(SUMIFS(Comparison_Lookup,site_level_range_board,$B49,date_range_board,L43)/SUMIFS(All_Attendances,site_level_range_board,$B49,date_range_board,L43),"0.0%"))),"")</f>
        <v>83.2%</v>
      </c>
      <c r="M49" s="165" t="str">
        <f ca="1">IFERROR(IF(ISNUMBER(FIND("ED only",$B$4)),IF(LEFT($B$7,6)="Number",SUMIFS(Comparison_Lookup,site_level_range_board,$B49,date_range_board,M43,inputdata!$F:$F,"ED"),TEXT(SUMIFS(Comparison_Lookup,site_level_range_board,$B49,date_range_board,M43,inputdata!$F:$F,"ED")/SUMIFS(All_Attendances,site_level_range_board,$B49,date_range_board,M43,inputdata!$F:$F,"ED"),"0.0%")),IF(LEFT($B$7,6)="Number",SUMIFS(Comparison_Lookup,site_level_range_board,$B49,date_range_board,M43),TEXT(SUMIFS(Comparison_Lookup,site_level_range_board,$B49,date_range_board,M43)/SUMIFS(All_Attendances,site_level_range_board,$B49,date_range_board,M43),"0.0%"))),"")</f>
        <v>87.5%</v>
      </c>
      <c r="N49" s="171" t="str">
        <f ca="1">IFERROR(IF(ISNUMBER(FIND("ED only",$B$4)),IF(LEFT($B$7,6)="Number",SUMIFS(Comparison_Lookup,site_level_range_board,$B49,date_range_board,N43,inputdata!$F:$F,"ED"),TEXT(SUMIFS(Comparison_Lookup,site_level_range_board,$B49,date_range_board,N43,inputdata!$F:$F,"ED")/SUMIFS(All_Attendances,site_level_range_board,$B49,date_range_board,N43,inputdata!$F:$F,"ED"),"0.0%")),IF(LEFT($B$7,6)="Number",SUMIFS(Comparison_Lookup,site_level_range_board,$B49,date_range_board,N43),TEXT(SUMIFS(Comparison_Lookup,site_level_range_board,$B49,date_range_board,N43)/SUMIFS(All_Attendances,site_level_range_board,$B49,date_range_board,N43),"0.0%"))),"")</f>
        <v>88.5%</v>
      </c>
    </row>
    <row r="50" spans="1:16" ht="15" customHeight="1" x14ac:dyDescent="0.2">
      <c r="A50" s="132"/>
      <c r="B50" s="152" t="s">
        <v>491</v>
      </c>
      <c r="C50" s="165" t="str">
        <f ca="1">IFERROR(IF(ISNUMBER(FIND("ED only",$B$4)),IF(LEFT($B$7,6)="Number",SUMIFS(Comparison_Lookup,site_level_range_board,$B50,date_range_board,C43,inputdata!$F:$F,"ED"),TEXT(SUMIFS(Comparison_Lookup,site_level_range_board,$B50,date_range_board,C43,inputdata!$F:$F,"ED")/SUMIFS(All_Attendances,site_level_range_board,$B50,date_range_board,C43,inputdata!$F:$F,"ED"),"0.0%")),IF(LEFT($B$7,6)="Number",SUMIFS(Comparison_Lookup,site_level_range_board,$B50,date_range_board,C43),TEXT(SUMIFS(Comparison_Lookup,site_level_range_board,$B50,date_range_board,C43)/SUMIFS(All_Attendances,site_level_range_board,$B50,date_range_board,C43),"0.0%"))),"")</f>
        <v>93.4%</v>
      </c>
      <c r="D50" s="165" t="str">
        <f ca="1">IFERROR(IF(ISNUMBER(FIND("ED only",$B$4)),IF(LEFT($B$7,6)="Number",SUMIFS(Comparison_Lookup,site_level_range_board,$B50,date_range_board,D43,inputdata!$F:$F,"ED"),TEXT(SUMIFS(Comparison_Lookup,site_level_range_board,$B50,date_range_board,D43,inputdata!$F:$F,"ED")/SUMIFS(All_Attendances,site_level_range_board,$B50,date_range_board,D43,inputdata!$F:$F,"ED"),"0.0%")),IF(LEFT($B$7,6)="Number",SUMIFS(Comparison_Lookup,site_level_range_board,$B50,date_range_board,D43),TEXT(SUMIFS(Comparison_Lookup,site_level_range_board,$B50,date_range_board,D43)/SUMIFS(All_Attendances,site_level_range_board,$B50,date_range_board,D43),"0.0%"))),"")</f>
        <v>95.8%</v>
      </c>
      <c r="E50" s="165" t="str">
        <f ca="1">IFERROR(IF(ISNUMBER(FIND("ED only",$B$4)),IF(LEFT($B$7,6)="Number",SUMIFS(Comparison_Lookup,site_level_range_board,$B50,date_range_board,E43,inputdata!$F:$F,"ED"),TEXT(SUMIFS(Comparison_Lookup,site_level_range_board,$B50,date_range_board,E43,inputdata!$F:$F,"ED")/SUMIFS(All_Attendances,site_level_range_board,$B50,date_range_board,E43,inputdata!$F:$F,"ED"),"0.0%")),IF(LEFT($B$7,6)="Number",SUMIFS(Comparison_Lookup,site_level_range_board,$B50,date_range_board,E43),TEXT(SUMIFS(Comparison_Lookup,site_level_range_board,$B50,date_range_board,E43)/SUMIFS(All_Attendances,site_level_range_board,$B50,date_range_board,E43),"0.0%"))),"")</f>
        <v>96.3%</v>
      </c>
      <c r="F50" s="165" t="str">
        <f ca="1">IFERROR(IF(ISNUMBER(FIND("ED only",$B$4)),IF(LEFT($B$7,6)="Number",SUMIFS(Comparison_Lookup,site_level_range_board,$B50,date_range_board,F43,inputdata!$F:$F,"ED"),TEXT(SUMIFS(Comparison_Lookup,site_level_range_board,$B50,date_range_board,F43,inputdata!$F:$F,"ED")/SUMIFS(All_Attendances,site_level_range_board,$B50,date_range_board,F43,inputdata!$F:$F,"ED"),"0.0%")),IF(LEFT($B$7,6)="Number",SUMIFS(Comparison_Lookup,site_level_range_board,$B50,date_range_board,F43),TEXT(SUMIFS(Comparison_Lookup,site_level_range_board,$B50,date_range_board,F43)/SUMIFS(All_Attendances,site_level_range_board,$B50,date_range_board,F43),"0.0%"))),"")</f>
        <v>96.1%</v>
      </c>
      <c r="G50" s="165" t="str">
        <f ca="1">IFERROR(IF(ISNUMBER(FIND("ED only",$B$4)),IF(LEFT($B$7,6)="Number",SUMIFS(Comparison_Lookup,site_level_range_board,$B50,date_range_board,G43,inputdata!$F:$F,"ED"),TEXT(SUMIFS(Comparison_Lookup,site_level_range_board,$B50,date_range_board,G43,inputdata!$F:$F,"ED")/SUMIFS(All_Attendances,site_level_range_board,$B50,date_range_board,G43,inputdata!$F:$F,"ED"),"0.0%")),IF(LEFT($B$7,6)="Number",SUMIFS(Comparison_Lookup,site_level_range_board,$B50,date_range_board,G43),TEXT(SUMIFS(Comparison_Lookup,site_level_range_board,$B50,date_range_board,G43)/SUMIFS(All_Attendances,site_level_range_board,$B50,date_range_board,G43),"0.0%"))),"")</f>
        <v>94.2%</v>
      </c>
      <c r="H50" s="165" t="str">
        <f ca="1">IFERROR(IF(ISNUMBER(FIND("ED only",$B$4)),IF(LEFT($B$7,6)="Number",SUMIFS(Comparison_Lookup,site_level_range_board,$B50,date_range_board,H43,inputdata!$F:$F,"ED"),TEXT(SUMIFS(Comparison_Lookup,site_level_range_board,$B50,date_range_board,H43,inputdata!$F:$F,"ED")/SUMIFS(All_Attendances,site_level_range_board,$B50,date_range_board,H43,inputdata!$F:$F,"ED"),"0.0%")),IF(LEFT($B$7,6)="Number",SUMIFS(Comparison_Lookup,site_level_range_board,$B50,date_range_board,H43),TEXT(SUMIFS(Comparison_Lookup,site_level_range_board,$B50,date_range_board,H43)/SUMIFS(All_Attendances,site_level_range_board,$B50,date_range_board,H43),"0.0%"))),"")</f>
        <v>93.9%</v>
      </c>
      <c r="I50" s="165" t="str">
        <f ca="1">IFERROR(IF(ISNUMBER(FIND("ED only",$B$4)),IF(LEFT($B$7,6)="Number",SUMIFS(Comparison_Lookup,site_level_range_board,$B50,date_range_board,I43,inputdata!$F:$F,"ED"),TEXT(SUMIFS(Comparison_Lookup,site_level_range_board,$B50,date_range_board,I43,inputdata!$F:$F,"ED")/SUMIFS(All_Attendances,site_level_range_board,$B50,date_range_board,I43,inputdata!$F:$F,"ED"),"0.0%")),IF(LEFT($B$7,6)="Number",SUMIFS(Comparison_Lookup,site_level_range_board,$B50,date_range_board,I43),TEXT(SUMIFS(Comparison_Lookup,site_level_range_board,$B50,date_range_board,I43)/SUMIFS(All_Attendances,site_level_range_board,$B50,date_range_board,I43),"0.0%"))),"")</f>
        <v>88.7%</v>
      </c>
      <c r="J50" s="165" t="str">
        <f ca="1">IFERROR(IF(ISNUMBER(FIND("ED only",$B$4)),IF(LEFT($B$7,6)="Number",SUMIFS(Comparison_Lookup,site_level_range_board,$B50,date_range_board,J43,inputdata!$F:$F,"ED"),TEXT(SUMIFS(Comparison_Lookup,site_level_range_board,$B50,date_range_board,J43,inputdata!$F:$F,"ED")/SUMIFS(All_Attendances,site_level_range_board,$B50,date_range_board,J43,inputdata!$F:$F,"ED"),"0.0%")),IF(LEFT($B$7,6)="Number",SUMIFS(Comparison_Lookup,site_level_range_board,$B50,date_range_board,J43),TEXT(SUMIFS(Comparison_Lookup,site_level_range_board,$B50,date_range_board,J43)/SUMIFS(All_Attendances,site_level_range_board,$B50,date_range_board,J43),"0.0%"))),"")</f>
        <v>90.3%</v>
      </c>
      <c r="K50" s="165" t="str">
        <f ca="1">IFERROR(IF(ISNUMBER(FIND("ED only",$B$4)),IF(LEFT($B$7,6)="Number",SUMIFS(Comparison_Lookup,site_level_range_board,$B50,date_range_board,K43,inputdata!$F:$F,"ED"),TEXT(SUMIFS(Comparison_Lookup,site_level_range_board,$B50,date_range_board,K43,inputdata!$F:$F,"ED")/SUMIFS(All_Attendances,site_level_range_board,$B50,date_range_board,K43,inputdata!$F:$F,"ED"),"0.0%")),IF(LEFT($B$7,6)="Number",SUMIFS(Comparison_Lookup,site_level_range_board,$B50,date_range_board,K43),TEXT(SUMIFS(Comparison_Lookup,site_level_range_board,$B50,date_range_board,K43)/SUMIFS(All_Attendances,site_level_range_board,$B50,date_range_board,K43),"0.0%"))),"")</f>
        <v>88.7%</v>
      </c>
      <c r="L50" s="165" t="str">
        <f ca="1">IFERROR(IF(ISNUMBER(FIND("ED only",$B$4)),IF(LEFT($B$7,6)="Number",SUMIFS(Comparison_Lookup,site_level_range_board,$B50,date_range_board,L43,inputdata!$F:$F,"ED"),TEXT(SUMIFS(Comparison_Lookup,site_level_range_board,$B50,date_range_board,L43,inputdata!$F:$F,"ED")/SUMIFS(All_Attendances,site_level_range_board,$B50,date_range_board,L43,inputdata!$F:$F,"ED"),"0.0%")),IF(LEFT($B$7,6)="Number",SUMIFS(Comparison_Lookup,site_level_range_board,$B50,date_range_board,L43),TEXT(SUMIFS(Comparison_Lookup,site_level_range_board,$B50,date_range_board,L43)/SUMIFS(All_Attendances,site_level_range_board,$B50,date_range_board,L43),"0.0%"))),"")</f>
        <v>87.6%</v>
      </c>
      <c r="M50" s="165" t="str">
        <f ca="1">IFERROR(IF(ISNUMBER(FIND("ED only",$B$4)),IF(LEFT($B$7,6)="Number",SUMIFS(Comparison_Lookup,site_level_range_board,$B50,date_range_board,M43,inputdata!$F:$F,"ED"),TEXT(SUMIFS(Comparison_Lookup,site_level_range_board,$B50,date_range_board,M43,inputdata!$F:$F,"ED")/SUMIFS(All_Attendances,site_level_range_board,$B50,date_range_board,M43,inputdata!$F:$F,"ED"),"0.0%")),IF(LEFT($B$7,6)="Number",SUMIFS(Comparison_Lookup,site_level_range_board,$B50,date_range_board,M43),TEXT(SUMIFS(Comparison_Lookup,site_level_range_board,$B50,date_range_board,M43)/SUMIFS(All_Attendances,site_level_range_board,$B50,date_range_board,M43),"0.0%"))),"")</f>
        <v>87.1%</v>
      </c>
      <c r="N50" s="171" t="str">
        <f ca="1">IFERROR(IF(ISNUMBER(FIND("ED only",$B$4)),IF(LEFT($B$7,6)="Number",SUMIFS(Comparison_Lookup,site_level_range_board,$B50,date_range_board,N43,inputdata!$F:$F,"ED"),TEXT(SUMIFS(Comparison_Lookup,site_level_range_board,$B50,date_range_board,N43,inputdata!$F:$F,"ED")/SUMIFS(All_Attendances,site_level_range_board,$B50,date_range_board,N43,inputdata!$F:$F,"ED"),"0.0%")),IF(LEFT($B$7,6)="Number",SUMIFS(Comparison_Lookup,site_level_range_board,$B50,date_range_board,N43),TEXT(SUMIFS(Comparison_Lookup,site_level_range_board,$B50,date_range_board,N43)/SUMIFS(All_Attendances,site_level_range_board,$B50,date_range_board,N43),"0.0%"))),"")</f>
        <v>91.9%</v>
      </c>
    </row>
    <row r="51" spans="1:16" ht="15" customHeight="1" x14ac:dyDescent="0.2">
      <c r="A51" s="132"/>
      <c r="B51" s="152" t="s">
        <v>510</v>
      </c>
      <c r="C51" s="165" t="str">
        <f ca="1">IFERROR(IF(ISNUMBER(FIND("ED only",$B$4)),IF(LEFT($B$7,6)="Number",SUMIFS(Comparison_Lookup,site_level_range_board,$B51,date_range_board,C43,inputdata!$F:$F,"ED"),TEXT(SUMIFS(Comparison_Lookup,site_level_range_board,$B51,date_range_board,C43,inputdata!$F:$F,"ED")/SUMIFS(All_Attendances,site_level_range_board,$B51,date_range_board,C43,inputdata!$F:$F,"ED"),"0.0%")),IF(LEFT($B$7,6)="Number",SUMIFS(Comparison_Lookup,site_level_range_board,$B51,date_range_board,C43),TEXT(SUMIFS(Comparison_Lookup,site_level_range_board,$B51,date_range_board,C43)/SUMIFS(All_Attendances,site_level_range_board,$B51,date_range_board,C43),"0.0%"))),"")</f>
        <v>97.1%</v>
      </c>
      <c r="D51" s="165" t="str">
        <f ca="1">IFERROR(IF(ISNUMBER(FIND("ED only",$B$4)),IF(LEFT($B$7,6)="Number",SUMIFS(Comparison_Lookup,site_level_range_board,$B51,date_range_board,D43,inputdata!$F:$F,"ED"),TEXT(SUMIFS(Comparison_Lookup,site_level_range_board,$B51,date_range_board,D43,inputdata!$F:$F,"ED")/SUMIFS(All_Attendances,site_level_range_board,$B51,date_range_board,D43,inputdata!$F:$F,"ED"),"0.0%")),IF(LEFT($B$7,6)="Number",SUMIFS(Comparison_Lookup,site_level_range_board,$B51,date_range_board,D43),TEXT(SUMIFS(Comparison_Lookup,site_level_range_board,$B51,date_range_board,D43)/SUMIFS(All_Attendances,site_level_range_board,$B51,date_range_board,D43),"0.0%"))),"")</f>
        <v>95.9%</v>
      </c>
      <c r="E51" s="165" t="str">
        <f ca="1">IFERROR(IF(ISNUMBER(FIND("ED only",$B$4)),IF(LEFT($B$7,6)="Number",SUMIFS(Comparison_Lookup,site_level_range_board,$B51,date_range_board,E43,inputdata!$F:$F,"ED"),TEXT(SUMIFS(Comparison_Lookup,site_level_range_board,$B51,date_range_board,E43,inputdata!$F:$F,"ED")/SUMIFS(All_Attendances,site_level_range_board,$B51,date_range_board,E43,inputdata!$F:$F,"ED"),"0.0%")),IF(LEFT($B$7,6)="Number",SUMIFS(Comparison_Lookup,site_level_range_board,$B51,date_range_board,E43),TEXT(SUMIFS(Comparison_Lookup,site_level_range_board,$B51,date_range_board,E43)/SUMIFS(All_Attendances,site_level_range_board,$B51,date_range_board,E43),"0.0%"))),"")</f>
        <v>96.7%</v>
      </c>
      <c r="F51" s="165" t="str">
        <f ca="1">IFERROR(IF(ISNUMBER(FIND("ED only",$B$4)),IF(LEFT($B$7,6)="Number",SUMIFS(Comparison_Lookup,site_level_range_board,$B51,date_range_board,F43,inputdata!$F:$F,"ED"),TEXT(SUMIFS(Comparison_Lookup,site_level_range_board,$B51,date_range_board,F43,inputdata!$F:$F,"ED")/SUMIFS(All_Attendances,site_level_range_board,$B51,date_range_board,F43,inputdata!$F:$F,"ED"),"0.0%")),IF(LEFT($B$7,6)="Number",SUMIFS(Comparison_Lookup,site_level_range_board,$B51,date_range_board,F43),TEXT(SUMIFS(Comparison_Lookup,site_level_range_board,$B51,date_range_board,F43)/SUMIFS(All_Attendances,site_level_range_board,$B51,date_range_board,F43),"0.0%"))),"")</f>
        <v>96.9%</v>
      </c>
      <c r="G51" s="165" t="str">
        <f ca="1">IFERROR(IF(ISNUMBER(FIND("ED only",$B$4)),IF(LEFT($B$7,6)="Number",SUMIFS(Comparison_Lookup,site_level_range_board,$B51,date_range_board,G43,inputdata!$F:$F,"ED"),TEXT(SUMIFS(Comparison_Lookup,site_level_range_board,$B51,date_range_board,G43,inputdata!$F:$F,"ED")/SUMIFS(All_Attendances,site_level_range_board,$B51,date_range_board,G43,inputdata!$F:$F,"ED"),"0.0%")),IF(LEFT($B$7,6)="Number",SUMIFS(Comparison_Lookup,site_level_range_board,$B51,date_range_board,G43),TEXT(SUMIFS(Comparison_Lookup,site_level_range_board,$B51,date_range_board,G43)/SUMIFS(All_Attendances,site_level_range_board,$B51,date_range_board,G43),"0.0%"))),"")</f>
        <v>94.8%</v>
      </c>
      <c r="H51" s="165" t="str">
        <f ca="1">IFERROR(IF(ISNUMBER(FIND("ED only",$B$4)),IF(LEFT($B$7,6)="Number",SUMIFS(Comparison_Lookup,site_level_range_board,$B51,date_range_board,H43,inputdata!$F:$F,"ED"),TEXT(SUMIFS(Comparison_Lookup,site_level_range_board,$B51,date_range_board,H43,inputdata!$F:$F,"ED")/SUMIFS(All_Attendances,site_level_range_board,$B51,date_range_board,H43,inputdata!$F:$F,"ED"),"0.0%")),IF(LEFT($B$7,6)="Number",SUMIFS(Comparison_Lookup,site_level_range_board,$B51,date_range_board,H43),TEXT(SUMIFS(Comparison_Lookup,site_level_range_board,$B51,date_range_board,H43)/SUMIFS(All_Attendances,site_level_range_board,$B51,date_range_board,H43),"0.0%"))),"")</f>
        <v>94.8%</v>
      </c>
      <c r="I51" s="165" t="str">
        <f ca="1">IFERROR(IF(ISNUMBER(FIND("ED only",$B$4)),IF(LEFT($B$7,6)="Number",SUMIFS(Comparison_Lookup,site_level_range_board,$B51,date_range_board,I43,inputdata!$F:$F,"ED"),TEXT(SUMIFS(Comparison_Lookup,site_level_range_board,$B51,date_range_board,I43,inputdata!$F:$F,"ED")/SUMIFS(All_Attendances,site_level_range_board,$B51,date_range_board,I43,inputdata!$F:$F,"ED"),"0.0%")),IF(LEFT($B$7,6)="Number",SUMIFS(Comparison_Lookup,site_level_range_board,$B51,date_range_board,I43),TEXT(SUMIFS(Comparison_Lookup,site_level_range_board,$B51,date_range_board,I43)/SUMIFS(All_Attendances,site_level_range_board,$B51,date_range_board,I43),"0.0%"))),"")</f>
        <v>94.3%</v>
      </c>
      <c r="J51" s="165" t="str">
        <f ca="1">IFERROR(IF(ISNUMBER(FIND("ED only",$B$4)),IF(LEFT($B$7,6)="Number",SUMIFS(Comparison_Lookup,site_level_range_board,$B51,date_range_board,J43,inputdata!$F:$F,"ED"),TEXT(SUMIFS(Comparison_Lookup,site_level_range_board,$B51,date_range_board,J43,inputdata!$F:$F,"ED")/SUMIFS(All_Attendances,site_level_range_board,$B51,date_range_board,J43,inputdata!$F:$F,"ED"),"0.0%")),IF(LEFT($B$7,6)="Number",SUMIFS(Comparison_Lookup,site_level_range_board,$B51,date_range_board,J43),TEXT(SUMIFS(Comparison_Lookup,site_level_range_board,$B51,date_range_board,J43)/SUMIFS(All_Attendances,site_level_range_board,$B51,date_range_board,J43),"0.0%"))),"")</f>
        <v>93.9%</v>
      </c>
      <c r="K51" s="165" t="str">
        <f ca="1">IFERROR(IF(ISNUMBER(FIND("ED only",$B$4)),IF(LEFT($B$7,6)="Number",SUMIFS(Comparison_Lookup,site_level_range_board,$B51,date_range_board,K43,inputdata!$F:$F,"ED"),TEXT(SUMIFS(Comparison_Lookup,site_level_range_board,$B51,date_range_board,K43,inputdata!$F:$F,"ED")/SUMIFS(All_Attendances,site_level_range_board,$B51,date_range_board,K43,inputdata!$F:$F,"ED"),"0.0%")),IF(LEFT($B$7,6)="Number",SUMIFS(Comparison_Lookup,site_level_range_board,$B51,date_range_board,K43),TEXT(SUMIFS(Comparison_Lookup,site_level_range_board,$B51,date_range_board,K43)/SUMIFS(All_Attendances,site_level_range_board,$B51,date_range_board,K43),"0.0%"))),"")</f>
        <v>93.2%</v>
      </c>
      <c r="L51" s="165" t="str">
        <f ca="1">IFERROR(IF(ISNUMBER(FIND("ED only",$B$4)),IF(LEFT($B$7,6)="Number",SUMIFS(Comparison_Lookup,site_level_range_board,$B51,date_range_board,L43,inputdata!$F:$F,"ED"),TEXT(SUMIFS(Comparison_Lookup,site_level_range_board,$B51,date_range_board,L43,inputdata!$F:$F,"ED")/SUMIFS(All_Attendances,site_level_range_board,$B51,date_range_board,L43,inputdata!$F:$F,"ED"),"0.0%")),IF(LEFT($B$7,6)="Number",SUMIFS(Comparison_Lookup,site_level_range_board,$B51,date_range_board,L43),TEXT(SUMIFS(Comparison_Lookup,site_level_range_board,$B51,date_range_board,L43)/SUMIFS(All_Attendances,site_level_range_board,$B51,date_range_board,L43),"0.0%"))),"")</f>
        <v>93.5%</v>
      </c>
      <c r="M51" s="165" t="str">
        <f ca="1">IFERROR(IF(ISNUMBER(FIND("ED only",$B$4)),IF(LEFT($B$7,6)="Number",SUMIFS(Comparison_Lookup,site_level_range_board,$B51,date_range_board,M43,inputdata!$F:$F,"ED"),TEXT(SUMIFS(Comparison_Lookup,site_level_range_board,$B51,date_range_board,M43,inputdata!$F:$F,"ED")/SUMIFS(All_Attendances,site_level_range_board,$B51,date_range_board,M43,inputdata!$F:$F,"ED"),"0.0%")),IF(LEFT($B$7,6)="Number",SUMIFS(Comparison_Lookup,site_level_range_board,$B51,date_range_board,M43),TEXT(SUMIFS(Comparison_Lookup,site_level_range_board,$B51,date_range_board,M43)/SUMIFS(All_Attendances,site_level_range_board,$B51,date_range_board,M43),"0.0%"))),"")</f>
        <v>93.0%</v>
      </c>
      <c r="N51" s="171" t="str">
        <f ca="1">IFERROR(IF(ISNUMBER(FIND("ED only",$B$4)),IF(LEFT($B$7,6)="Number",SUMIFS(Comparison_Lookup,site_level_range_board,$B51,date_range_board,N43,inputdata!$F:$F,"ED"),TEXT(SUMIFS(Comparison_Lookup,site_level_range_board,$B51,date_range_board,N43,inputdata!$F:$F,"ED")/SUMIFS(All_Attendances,site_level_range_board,$B51,date_range_board,N43,inputdata!$F:$F,"ED"),"0.0%")),IF(LEFT($B$7,6)="Number",SUMIFS(Comparison_Lookup,site_level_range_board,$B51,date_range_board,N43),TEXT(SUMIFS(Comparison_Lookup,site_level_range_board,$B51,date_range_board,N43)/SUMIFS(All_Attendances,site_level_range_board,$B51,date_range_board,N43),"0.0%"))),"")</f>
        <v>92.9%</v>
      </c>
      <c r="P51" s="43"/>
    </row>
    <row r="52" spans="1:16" ht="15" customHeight="1" x14ac:dyDescent="0.2">
      <c r="A52" s="132"/>
      <c r="B52" s="152" t="s">
        <v>551</v>
      </c>
      <c r="C52" s="165" t="str">
        <f ca="1">IFERROR(IF(ISNUMBER(FIND("ED only",$B$4)),IF(LEFT($B$7,6)="Number",SUMIFS(Comparison_Lookup,site_level_range_board,$B52,date_range_board,C43,inputdata!$F:$F,"ED"),TEXT(SUMIFS(Comparison_Lookup,site_level_range_board,$B52,date_range_board,C43,inputdata!$F:$F,"ED")/SUMIFS(All_Attendances,site_level_range_board,$B52,date_range_board,C43,inputdata!$F:$F,"ED"),"0.0%")),IF(LEFT($B$7,6)="Number",SUMIFS(Comparison_Lookup,site_level_range_board,$B52,date_range_board,C43),TEXT(SUMIFS(Comparison_Lookup,site_level_range_board,$B52,date_range_board,C43)/SUMIFS(All_Attendances,site_level_range_board,$B52,date_range_board,C43),"0.0%"))),"")</f>
        <v>94.1%</v>
      </c>
      <c r="D52" s="165" t="str">
        <f ca="1">IFERROR(IF(ISNUMBER(FIND("ED only",$B$4)),IF(LEFT($B$7,6)="Number",SUMIFS(Comparison_Lookup,site_level_range_board,$B52,date_range_board,D43,inputdata!$F:$F,"ED"),TEXT(SUMIFS(Comparison_Lookup,site_level_range_board,$B52,date_range_board,D43,inputdata!$F:$F,"ED")/SUMIFS(All_Attendances,site_level_range_board,$B52,date_range_board,D43,inputdata!$F:$F,"ED"),"0.0%")),IF(LEFT($B$7,6)="Number",SUMIFS(Comparison_Lookup,site_level_range_board,$B52,date_range_board,D43),TEXT(SUMIFS(Comparison_Lookup,site_level_range_board,$B52,date_range_board,D43)/SUMIFS(All_Attendances,site_level_range_board,$B52,date_range_board,D43),"0.0%"))),"")</f>
        <v>94.2%</v>
      </c>
      <c r="E52" s="165" t="str">
        <f ca="1">IFERROR(IF(ISNUMBER(FIND("ED only",$B$4)),IF(LEFT($B$7,6)="Number",SUMIFS(Comparison_Lookup,site_level_range_board,$B52,date_range_board,E43,inputdata!$F:$F,"ED"),TEXT(SUMIFS(Comparison_Lookup,site_level_range_board,$B52,date_range_board,E43,inputdata!$F:$F,"ED")/SUMIFS(All_Attendances,site_level_range_board,$B52,date_range_board,E43,inputdata!$F:$F,"ED"),"0.0%")),IF(LEFT($B$7,6)="Number",SUMIFS(Comparison_Lookup,site_level_range_board,$B52,date_range_board,E43),TEXT(SUMIFS(Comparison_Lookup,site_level_range_board,$B52,date_range_board,E43)/SUMIFS(All_Attendances,site_level_range_board,$B52,date_range_board,E43),"0.0%"))),"")</f>
        <v>93.3%</v>
      </c>
      <c r="F52" s="165" t="str">
        <f ca="1">IFERROR(IF(ISNUMBER(FIND("ED only",$B$4)),IF(LEFT($B$7,6)="Number",SUMIFS(Comparison_Lookup,site_level_range_board,$B52,date_range_board,F43,inputdata!$F:$F,"ED"),TEXT(SUMIFS(Comparison_Lookup,site_level_range_board,$B52,date_range_board,F43,inputdata!$F:$F,"ED")/SUMIFS(All_Attendances,site_level_range_board,$B52,date_range_board,F43,inputdata!$F:$F,"ED"),"0.0%")),IF(LEFT($B$7,6)="Number",SUMIFS(Comparison_Lookup,site_level_range_board,$B52,date_range_board,F43),TEXT(SUMIFS(Comparison_Lookup,site_level_range_board,$B52,date_range_board,F43)/SUMIFS(All_Attendances,site_level_range_board,$B52,date_range_board,F43),"0.0%"))),"")</f>
        <v>92.6%</v>
      </c>
      <c r="G52" s="165" t="str">
        <f ca="1">IFERROR(IF(ISNUMBER(FIND("ED only",$B$4)),IF(LEFT($B$7,6)="Number",SUMIFS(Comparison_Lookup,site_level_range_board,$B52,date_range_board,G43,inputdata!$F:$F,"ED"),TEXT(SUMIFS(Comparison_Lookup,site_level_range_board,$B52,date_range_board,G43,inputdata!$F:$F,"ED")/SUMIFS(All_Attendances,site_level_range_board,$B52,date_range_board,G43,inputdata!$F:$F,"ED"),"0.0%")),IF(LEFT($B$7,6)="Number",SUMIFS(Comparison_Lookup,site_level_range_board,$B52,date_range_board,G43),TEXT(SUMIFS(Comparison_Lookup,site_level_range_board,$B52,date_range_board,G43)/SUMIFS(All_Attendances,site_level_range_board,$B52,date_range_board,G43),"0.0%"))),"")</f>
        <v>88.6%</v>
      </c>
      <c r="H52" s="165" t="str">
        <f ca="1">IFERROR(IF(ISNUMBER(FIND("ED only",$B$4)),IF(LEFT($B$7,6)="Number",SUMIFS(Comparison_Lookup,site_level_range_board,$B52,date_range_board,H43,inputdata!$F:$F,"ED"),TEXT(SUMIFS(Comparison_Lookup,site_level_range_board,$B52,date_range_board,H43,inputdata!$F:$F,"ED")/SUMIFS(All_Attendances,site_level_range_board,$B52,date_range_board,H43,inputdata!$F:$F,"ED"),"0.0%")),IF(LEFT($B$7,6)="Number",SUMIFS(Comparison_Lookup,site_level_range_board,$B52,date_range_board,H43),TEXT(SUMIFS(Comparison_Lookup,site_level_range_board,$B52,date_range_board,H43)/SUMIFS(All_Attendances,site_level_range_board,$B52,date_range_board,H43),"0.0%"))),"")</f>
        <v>87.8%</v>
      </c>
      <c r="I52" s="165" t="str">
        <f ca="1">IFERROR(IF(ISNUMBER(FIND("ED only",$B$4)),IF(LEFT($B$7,6)="Number",SUMIFS(Comparison_Lookup,site_level_range_board,$B52,date_range_board,I43,inputdata!$F:$F,"ED"),TEXT(SUMIFS(Comparison_Lookup,site_level_range_board,$B52,date_range_board,I43,inputdata!$F:$F,"ED")/SUMIFS(All_Attendances,site_level_range_board,$B52,date_range_board,I43,inputdata!$F:$F,"ED"),"0.0%")),IF(LEFT($B$7,6)="Number",SUMIFS(Comparison_Lookup,site_level_range_board,$B52,date_range_board,I43),TEXT(SUMIFS(Comparison_Lookup,site_level_range_board,$B52,date_range_board,I43)/SUMIFS(All_Attendances,site_level_range_board,$B52,date_range_board,I43),"0.0%"))),"")</f>
        <v>82.8%</v>
      </c>
      <c r="J52" s="165" t="str">
        <f ca="1">IFERROR(IF(ISNUMBER(FIND("ED only",$B$4)),IF(LEFT($B$7,6)="Number",SUMIFS(Comparison_Lookup,site_level_range_board,$B52,date_range_board,J43,inputdata!$F:$F,"ED"),TEXT(SUMIFS(Comparison_Lookup,site_level_range_board,$B52,date_range_board,J43,inputdata!$F:$F,"ED")/SUMIFS(All_Attendances,site_level_range_board,$B52,date_range_board,J43,inputdata!$F:$F,"ED"),"0.0%")),IF(LEFT($B$7,6)="Number",SUMIFS(Comparison_Lookup,site_level_range_board,$B52,date_range_board,J43),TEXT(SUMIFS(Comparison_Lookup,site_level_range_board,$B52,date_range_board,J43)/SUMIFS(All_Attendances,site_level_range_board,$B52,date_range_board,J43),"0.0%"))),"")</f>
        <v>84.5%</v>
      </c>
      <c r="K52" s="165" t="str">
        <f ca="1">IFERROR(IF(ISNUMBER(FIND("ED only",$B$4)),IF(LEFT($B$7,6)="Number",SUMIFS(Comparison_Lookup,site_level_range_board,$B52,date_range_board,K43,inputdata!$F:$F,"ED"),TEXT(SUMIFS(Comparison_Lookup,site_level_range_board,$B52,date_range_board,K43,inputdata!$F:$F,"ED")/SUMIFS(All_Attendances,site_level_range_board,$B52,date_range_board,K43,inputdata!$F:$F,"ED"),"0.0%")),IF(LEFT($B$7,6)="Number",SUMIFS(Comparison_Lookup,site_level_range_board,$B52,date_range_board,K43),TEXT(SUMIFS(Comparison_Lookup,site_level_range_board,$B52,date_range_board,K43)/SUMIFS(All_Attendances,site_level_range_board,$B52,date_range_board,K43),"0.0%"))),"")</f>
        <v>79.1%</v>
      </c>
      <c r="L52" s="165" t="str">
        <f ca="1">IFERROR(IF(ISNUMBER(FIND("ED only",$B$4)),IF(LEFT($B$7,6)="Number",SUMIFS(Comparison_Lookup,site_level_range_board,$B52,date_range_board,L43,inputdata!$F:$F,"ED"),TEXT(SUMIFS(Comparison_Lookup,site_level_range_board,$B52,date_range_board,L43,inputdata!$F:$F,"ED")/SUMIFS(All_Attendances,site_level_range_board,$B52,date_range_board,L43,inputdata!$F:$F,"ED"),"0.0%")),IF(LEFT($B$7,6)="Number",SUMIFS(Comparison_Lookup,site_level_range_board,$B52,date_range_board,L43),TEXT(SUMIFS(Comparison_Lookup,site_level_range_board,$B52,date_range_board,L43)/SUMIFS(All_Attendances,site_level_range_board,$B52,date_range_board,L43),"0.0%"))),"")</f>
        <v>79.9%</v>
      </c>
      <c r="M52" s="165" t="str">
        <f ca="1">IFERROR(IF(ISNUMBER(FIND("ED only",$B$4)),IF(LEFT($B$7,6)="Number",SUMIFS(Comparison_Lookup,site_level_range_board,$B52,date_range_board,M43,inputdata!$F:$F,"ED"),TEXT(SUMIFS(Comparison_Lookup,site_level_range_board,$B52,date_range_board,M43,inputdata!$F:$F,"ED")/SUMIFS(All_Attendances,site_level_range_board,$B52,date_range_board,M43,inputdata!$F:$F,"ED"),"0.0%")),IF(LEFT($B$7,6)="Number",SUMIFS(Comparison_Lookup,site_level_range_board,$B52,date_range_board,M43),TEXT(SUMIFS(Comparison_Lookup,site_level_range_board,$B52,date_range_board,M43)/SUMIFS(All_Attendances,site_level_range_board,$B52,date_range_board,M43),"0.0%"))),"")</f>
        <v>83.5%</v>
      </c>
      <c r="N52" s="171" t="str">
        <f ca="1">IFERROR(IF(ISNUMBER(FIND("ED only",$B$4)),IF(LEFT($B$7,6)="Number",SUMIFS(Comparison_Lookup,site_level_range_board,$B52,date_range_board,N43,inputdata!$F:$F,"ED"),TEXT(SUMIFS(Comparison_Lookup,site_level_range_board,$B52,date_range_board,N43,inputdata!$F:$F,"ED")/SUMIFS(All_Attendances,site_level_range_board,$B52,date_range_board,N43,inputdata!$F:$F,"ED"),"0.0%")),IF(LEFT($B$7,6)="Number",SUMIFS(Comparison_Lookup,site_level_range_board,$B52,date_range_board,N43),TEXT(SUMIFS(Comparison_Lookup,site_level_range_board,$B52,date_range_board,N43)/SUMIFS(All_Attendances,site_level_range_board,$B52,date_range_board,N43),"0.0%"))),"")</f>
        <v>82.8%</v>
      </c>
    </row>
    <row r="53" spans="1:16" ht="15" customHeight="1" x14ac:dyDescent="0.2">
      <c r="A53" s="132"/>
      <c r="B53" s="152" t="s">
        <v>562</v>
      </c>
      <c r="C53" s="165" t="str">
        <f ca="1">IFERROR(IF(ISNUMBER(FIND("ED only",$B$4)),IF(LEFT($B$7,6)="Number",SUMIFS(Comparison_Lookup,site_level_range_board,$B53,date_range_board,C43,inputdata!$F:$F,"ED"),TEXT(SUMIFS(Comparison_Lookup,site_level_range_board,$B53,date_range_board,C43,inputdata!$F:$F,"ED")/SUMIFS(All_Attendances,site_level_range_board,$B53,date_range_board,C43,inputdata!$F:$F,"ED"),"0.0%")),IF(LEFT($B$7,6)="Number",SUMIFS(Comparison_Lookup,site_level_range_board,$B53,date_range_board,C43),TEXT(SUMIFS(Comparison_Lookup,site_level_range_board,$B53,date_range_board,C43)/SUMIFS(All_Attendances,site_level_range_board,$B53,date_range_board,C43),"0.0%"))),"")</f>
        <v>95.4%</v>
      </c>
      <c r="D53" s="165" t="str">
        <f ca="1">IFERROR(IF(ISNUMBER(FIND("ED only",$B$4)),IF(LEFT($B$7,6)="Number",SUMIFS(Comparison_Lookup,site_level_range_board,$B53,date_range_board,D43,inputdata!$F:$F,"ED"),TEXT(SUMIFS(Comparison_Lookup,site_level_range_board,$B53,date_range_board,D43,inputdata!$F:$F,"ED")/SUMIFS(All_Attendances,site_level_range_board,$B53,date_range_board,D43,inputdata!$F:$F,"ED"),"0.0%")),IF(LEFT($B$7,6)="Number",SUMIFS(Comparison_Lookup,site_level_range_board,$B53,date_range_board,D43),TEXT(SUMIFS(Comparison_Lookup,site_level_range_board,$B53,date_range_board,D43)/SUMIFS(All_Attendances,site_level_range_board,$B53,date_range_board,D43),"0.0%"))),"")</f>
        <v>95.5%</v>
      </c>
      <c r="E53" s="165" t="str">
        <f ca="1">IFERROR(IF(ISNUMBER(FIND("ED only",$B$4)),IF(LEFT($B$7,6)="Number",SUMIFS(Comparison_Lookup,site_level_range_board,$B53,date_range_board,E43,inputdata!$F:$F,"ED"),TEXT(SUMIFS(Comparison_Lookup,site_level_range_board,$B53,date_range_board,E43,inputdata!$F:$F,"ED")/SUMIFS(All_Attendances,site_level_range_board,$B53,date_range_board,E43,inputdata!$F:$F,"ED"),"0.0%")),IF(LEFT($B$7,6)="Number",SUMIFS(Comparison_Lookup,site_level_range_board,$B53,date_range_board,E43),TEXT(SUMIFS(Comparison_Lookup,site_level_range_board,$B53,date_range_board,E43)/SUMIFS(All_Attendances,site_level_range_board,$B53,date_range_board,E43),"0.0%"))),"")</f>
        <v>94.8%</v>
      </c>
      <c r="F53" s="165" t="str">
        <f ca="1">IFERROR(IF(ISNUMBER(FIND("ED only",$B$4)),IF(LEFT($B$7,6)="Number",SUMIFS(Comparison_Lookup,site_level_range_board,$B53,date_range_board,F43,inputdata!$F:$F,"ED"),TEXT(SUMIFS(Comparison_Lookup,site_level_range_board,$B53,date_range_board,F43,inputdata!$F:$F,"ED")/SUMIFS(All_Attendances,site_level_range_board,$B53,date_range_board,F43,inputdata!$F:$F,"ED"),"0.0%")),IF(LEFT($B$7,6)="Number",SUMIFS(Comparison_Lookup,site_level_range_board,$B53,date_range_board,F43),TEXT(SUMIFS(Comparison_Lookup,site_level_range_board,$B53,date_range_board,F43)/SUMIFS(All_Attendances,site_level_range_board,$B53,date_range_board,F43),"0.0%"))),"")</f>
        <v>94.8%</v>
      </c>
      <c r="G53" s="165" t="str">
        <f ca="1">IFERROR(IF(ISNUMBER(FIND("ED only",$B$4)),IF(LEFT($B$7,6)="Number",SUMIFS(Comparison_Lookup,site_level_range_board,$B53,date_range_board,G43,inputdata!$F:$F,"ED"),TEXT(SUMIFS(Comparison_Lookup,site_level_range_board,$B53,date_range_board,G43,inputdata!$F:$F,"ED")/SUMIFS(All_Attendances,site_level_range_board,$B53,date_range_board,G43,inputdata!$F:$F,"ED"),"0.0%")),IF(LEFT($B$7,6)="Number",SUMIFS(Comparison_Lookup,site_level_range_board,$B53,date_range_board,G43),TEXT(SUMIFS(Comparison_Lookup,site_level_range_board,$B53,date_range_board,G43)/SUMIFS(All_Attendances,site_level_range_board,$B53,date_range_board,G43),"0.0%"))),"")</f>
        <v>92.0%</v>
      </c>
      <c r="H53" s="165" t="str">
        <f ca="1">IFERROR(IF(ISNUMBER(FIND("ED only",$B$4)),IF(LEFT($B$7,6)="Number",SUMIFS(Comparison_Lookup,site_level_range_board,$B53,date_range_board,H43,inputdata!$F:$F,"ED"),TEXT(SUMIFS(Comparison_Lookup,site_level_range_board,$B53,date_range_board,H43,inputdata!$F:$F,"ED")/SUMIFS(All_Attendances,site_level_range_board,$B53,date_range_board,H43,inputdata!$F:$F,"ED"),"0.0%")),IF(LEFT($B$7,6)="Number",SUMIFS(Comparison_Lookup,site_level_range_board,$B53,date_range_board,H43),TEXT(SUMIFS(Comparison_Lookup,site_level_range_board,$B53,date_range_board,H43)/SUMIFS(All_Attendances,site_level_range_board,$B53,date_range_board,H43),"0.0%"))),"")</f>
        <v>89.8%</v>
      </c>
      <c r="I53" s="165" t="str">
        <f ca="1">IFERROR(IF(ISNUMBER(FIND("ED only",$B$4)),IF(LEFT($B$7,6)="Number",SUMIFS(Comparison_Lookup,site_level_range_board,$B53,date_range_board,I43,inputdata!$F:$F,"ED"),TEXT(SUMIFS(Comparison_Lookup,site_level_range_board,$B53,date_range_board,I43,inputdata!$F:$F,"ED")/SUMIFS(All_Attendances,site_level_range_board,$B53,date_range_board,I43,inputdata!$F:$F,"ED"),"0.0%")),IF(LEFT($B$7,6)="Number",SUMIFS(Comparison_Lookup,site_level_range_board,$B53,date_range_board,I43),TEXT(SUMIFS(Comparison_Lookup,site_level_range_board,$B53,date_range_board,I43)/SUMIFS(All_Attendances,site_level_range_board,$B53,date_range_board,I43),"0.0%"))),"")</f>
        <v>89.5%</v>
      </c>
      <c r="J53" s="165" t="str">
        <f ca="1">IFERROR(IF(ISNUMBER(FIND("ED only",$B$4)),IF(LEFT($B$7,6)="Number",SUMIFS(Comparison_Lookup,site_level_range_board,$B53,date_range_board,J43,inputdata!$F:$F,"ED"),TEXT(SUMIFS(Comparison_Lookup,site_level_range_board,$B53,date_range_board,J43,inputdata!$F:$F,"ED")/SUMIFS(All_Attendances,site_level_range_board,$B53,date_range_board,J43,inputdata!$F:$F,"ED"),"0.0%")),IF(LEFT($B$7,6)="Number",SUMIFS(Comparison_Lookup,site_level_range_board,$B53,date_range_board,J43),TEXT(SUMIFS(Comparison_Lookup,site_level_range_board,$B53,date_range_board,J43)/SUMIFS(All_Attendances,site_level_range_board,$B53,date_range_board,J43),"0.0%"))),"")</f>
        <v>87.9%</v>
      </c>
      <c r="K53" s="165" t="str">
        <f ca="1">IFERROR(IF(ISNUMBER(FIND("ED only",$B$4)),IF(LEFT($B$7,6)="Number",SUMIFS(Comparison_Lookup,site_level_range_board,$B53,date_range_board,K43,inputdata!$F:$F,"ED"),TEXT(SUMIFS(Comparison_Lookup,site_level_range_board,$B53,date_range_board,K43,inputdata!$F:$F,"ED")/SUMIFS(All_Attendances,site_level_range_board,$B53,date_range_board,K43,inputdata!$F:$F,"ED"),"0.0%")),IF(LEFT($B$7,6)="Number",SUMIFS(Comparison_Lookup,site_level_range_board,$B53,date_range_board,K43),TEXT(SUMIFS(Comparison_Lookup,site_level_range_board,$B53,date_range_board,K43)/SUMIFS(All_Attendances,site_level_range_board,$B53,date_range_board,K43),"0.0%"))),"")</f>
        <v>83.4%</v>
      </c>
      <c r="L53" s="165" t="str">
        <f ca="1">IFERROR(IF(ISNUMBER(FIND("ED only",$B$4)),IF(LEFT($B$7,6)="Number",SUMIFS(Comparison_Lookup,site_level_range_board,$B53,date_range_board,L43,inputdata!$F:$F,"ED"),TEXT(SUMIFS(Comparison_Lookup,site_level_range_board,$B53,date_range_board,L43,inputdata!$F:$F,"ED")/SUMIFS(All_Attendances,site_level_range_board,$B53,date_range_board,L43,inputdata!$F:$F,"ED"),"0.0%")),IF(LEFT($B$7,6)="Number",SUMIFS(Comparison_Lookup,site_level_range_board,$B53,date_range_board,L43),TEXT(SUMIFS(Comparison_Lookup,site_level_range_board,$B53,date_range_board,L43)/SUMIFS(All_Attendances,site_level_range_board,$B53,date_range_board,L43),"0.0%"))),"")</f>
        <v>84.5%</v>
      </c>
      <c r="M53" s="165" t="str">
        <f ca="1">IFERROR(IF(ISNUMBER(FIND("ED only",$B$4)),IF(LEFT($B$7,6)="Number",SUMIFS(Comparison_Lookup,site_level_range_board,$B53,date_range_board,M43,inputdata!$F:$F,"ED"),TEXT(SUMIFS(Comparison_Lookup,site_level_range_board,$B53,date_range_board,M43,inputdata!$F:$F,"ED")/SUMIFS(All_Attendances,site_level_range_board,$B53,date_range_board,M43,inputdata!$F:$F,"ED"),"0.0%")),IF(LEFT($B$7,6)="Number",SUMIFS(Comparison_Lookup,site_level_range_board,$B53,date_range_board,M43),TEXT(SUMIFS(Comparison_Lookup,site_level_range_board,$B53,date_range_board,M43)/SUMIFS(All_Attendances,site_level_range_board,$B53,date_range_board,M43),"0.0%"))),"")</f>
        <v>81.7%</v>
      </c>
      <c r="N53" s="171" t="str">
        <f ca="1">IFERROR(IF(ISNUMBER(FIND("ED only",$B$4)),IF(LEFT($B$7,6)="Number",SUMIFS(Comparison_Lookup,site_level_range_board,$B53,date_range_board,N43,inputdata!$F:$F,"ED"),TEXT(SUMIFS(Comparison_Lookup,site_level_range_board,$B53,date_range_board,N43,inputdata!$F:$F,"ED")/SUMIFS(All_Attendances,site_level_range_board,$B53,date_range_board,N43,inputdata!$F:$F,"ED"),"0.0%")),IF(LEFT($B$7,6)="Number",SUMIFS(Comparison_Lookup,site_level_range_board,$B53,date_range_board,N43),TEXT(SUMIFS(Comparison_Lookup,site_level_range_board,$B53,date_range_board,N43)/SUMIFS(All_Attendances,site_level_range_board,$B53,date_range_board,N43),"0.0%"))),"")</f>
        <v>85.0%</v>
      </c>
    </row>
    <row r="54" spans="1:16" ht="15" customHeight="1" x14ac:dyDescent="0.2">
      <c r="A54" s="132"/>
      <c r="B54" s="152" t="s">
        <v>571</v>
      </c>
      <c r="C54" s="165" t="str">
        <f ca="1">IFERROR(IF(ISNUMBER(FIND("ED only",$B$4)),IF(LEFT($B$7,6)="Number",SUMIFS(Comparison_Lookup,site_level_range_board,$B54,date_range_board,C43,inputdata!$F:$F,"ED"),TEXT(SUMIFS(Comparison_Lookup,site_level_range_board,$B54,date_range_board,C43,inputdata!$F:$F,"ED")/SUMIFS(All_Attendances,site_level_range_board,$B54,date_range_board,C43,inputdata!$F:$F,"ED"),"0.0%")),IF(LEFT($B$7,6)="Number",SUMIFS(Comparison_Lookup,site_level_range_board,$B54,date_range_board,C43),TEXT(SUMIFS(Comparison_Lookup,site_level_range_board,$B54,date_range_board,C43)/SUMIFS(All_Attendances,site_level_range_board,$B54,date_range_board,C43),"0.0%"))),"")</f>
        <v>98.7%</v>
      </c>
      <c r="D54" s="165" t="str">
        <f ca="1">IFERROR(IF(ISNUMBER(FIND("ED only",$B$4)),IF(LEFT($B$7,6)="Number",SUMIFS(Comparison_Lookup,site_level_range_board,$B54,date_range_board,D43,inputdata!$F:$F,"ED"),TEXT(SUMIFS(Comparison_Lookup,site_level_range_board,$B54,date_range_board,D43,inputdata!$F:$F,"ED")/SUMIFS(All_Attendances,site_level_range_board,$B54,date_range_board,D43,inputdata!$F:$F,"ED"),"0.0%")),IF(LEFT($B$7,6)="Number",SUMIFS(Comparison_Lookup,site_level_range_board,$B54,date_range_board,D43),TEXT(SUMIFS(Comparison_Lookup,site_level_range_board,$B54,date_range_board,D43)/SUMIFS(All_Attendances,site_level_range_board,$B54,date_range_board,D43),"0.0%"))),"")</f>
        <v>97.5%</v>
      </c>
      <c r="E54" s="165" t="str">
        <f ca="1">IFERROR(IF(ISNUMBER(FIND("ED only",$B$4)),IF(LEFT($B$7,6)="Number",SUMIFS(Comparison_Lookup,site_level_range_board,$B54,date_range_board,E43,inputdata!$F:$F,"ED"),TEXT(SUMIFS(Comparison_Lookup,site_level_range_board,$B54,date_range_board,E43,inputdata!$F:$F,"ED")/SUMIFS(All_Attendances,site_level_range_board,$B54,date_range_board,E43,inputdata!$F:$F,"ED"),"0.0%")),IF(LEFT($B$7,6)="Number",SUMIFS(Comparison_Lookup,site_level_range_board,$B54,date_range_board,E43),TEXT(SUMIFS(Comparison_Lookup,site_level_range_board,$B54,date_range_board,E43)/SUMIFS(All_Attendances,site_level_range_board,$B54,date_range_board,E43),"0.0%"))),"")</f>
        <v>98.7%</v>
      </c>
      <c r="F54" s="165" t="str">
        <f ca="1">IFERROR(IF(ISNUMBER(FIND("ED only",$B$4)),IF(LEFT($B$7,6)="Number",SUMIFS(Comparison_Lookup,site_level_range_board,$B54,date_range_board,F43,inputdata!$F:$F,"ED"),TEXT(SUMIFS(Comparison_Lookup,site_level_range_board,$B54,date_range_board,F43,inputdata!$F:$F,"ED")/SUMIFS(All_Attendances,site_level_range_board,$B54,date_range_board,F43,inputdata!$F:$F,"ED"),"0.0%")),IF(LEFT($B$7,6)="Number",SUMIFS(Comparison_Lookup,site_level_range_board,$B54,date_range_board,F43),TEXT(SUMIFS(Comparison_Lookup,site_level_range_board,$B54,date_range_board,F43)/SUMIFS(All_Attendances,site_level_range_board,$B54,date_range_board,F43),"0.0%"))),"")</f>
        <v>99.1%</v>
      </c>
      <c r="G54" s="165" t="str">
        <f ca="1">IFERROR(IF(ISNUMBER(FIND("ED only",$B$4)),IF(LEFT($B$7,6)="Number",SUMIFS(Comparison_Lookup,site_level_range_board,$B54,date_range_board,G43,inputdata!$F:$F,"ED"),TEXT(SUMIFS(Comparison_Lookup,site_level_range_board,$B54,date_range_board,G43,inputdata!$F:$F,"ED")/SUMIFS(All_Attendances,site_level_range_board,$B54,date_range_board,G43,inputdata!$F:$F,"ED"),"0.0%")),IF(LEFT($B$7,6)="Number",SUMIFS(Comparison_Lookup,site_level_range_board,$B54,date_range_board,G43),TEXT(SUMIFS(Comparison_Lookup,site_level_range_board,$B54,date_range_board,G43)/SUMIFS(All_Attendances,site_level_range_board,$B54,date_range_board,G43),"0.0%"))),"")</f>
        <v>98.7%</v>
      </c>
      <c r="H54" s="165" t="str">
        <f ca="1">IFERROR(IF(ISNUMBER(FIND("ED only",$B$4)),IF(LEFT($B$7,6)="Number",SUMIFS(Comparison_Lookup,site_level_range_board,$B54,date_range_board,H43,inputdata!$F:$F,"ED"),TEXT(SUMIFS(Comparison_Lookup,site_level_range_board,$B54,date_range_board,H43,inputdata!$F:$F,"ED")/SUMIFS(All_Attendances,site_level_range_board,$B54,date_range_board,H43,inputdata!$F:$F,"ED"),"0.0%")),IF(LEFT($B$7,6)="Number",SUMIFS(Comparison_Lookup,site_level_range_board,$B54,date_range_board,H43),TEXT(SUMIFS(Comparison_Lookup,site_level_range_board,$B54,date_range_board,H43)/SUMIFS(All_Attendances,site_level_range_board,$B54,date_range_board,H43),"0.0%"))),"")</f>
        <v>98.6%</v>
      </c>
      <c r="I54" s="165" t="str">
        <f ca="1">IFERROR(IF(ISNUMBER(FIND("ED only",$B$4)),IF(LEFT($B$7,6)="Number",SUMIFS(Comparison_Lookup,site_level_range_board,$B54,date_range_board,I43,inputdata!$F:$F,"ED"),TEXT(SUMIFS(Comparison_Lookup,site_level_range_board,$B54,date_range_board,I43,inputdata!$F:$F,"ED")/SUMIFS(All_Attendances,site_level_range_board,$B54,date_range_board,I43,inputdata!$F:$F,"ED"),"0.0%")),IF(LEFT($B$7,6)="Number",SUMIFS(Comparison_Lookup,site_level_range_board,$B54,date_range_board,I43),TEXT(SUMIFS(Comparison_Lookup,site_level_range_board,$B54,date_range_board,I43)/SUMIFS(All_Attendances,site_level_range_board,$B54,date_range_board,I43),"0.0%"))),"")</f>
        <v>93.6%</v>
      </c>
      <c r="J54" s="165" t="str">
        <f ca="1">IFERROR(IF(ISNUMBER(FIND("ED only",$B$4)),IF(LEFT($B$7,6)="Number",SUMIFS(Comparison_Lookup,site_level_range_board,$B54,date_range_board,J43,inputdata!$F:$F,"ED"),TEXT(SUMIFS(Comparison_Lookup,site_level_range_board,$B54,date_range_board,J43,inputdata!$F:$F,"ED")/SUMIFS(All_Attendances,site_level_range_board,$B54,date_range_board,J43,inputdata!$F:$F,"ED"),"0.0%")),IF(LEFT($B$7,6)="Number",SUMIFS(Comparison_Lookup,site_level_range_board,$B54,date_range_board,J43),TEXT(SUMIFS(Comparison_Lookup,site_level_range_board,$B54,date_range_board,J43)/SUMIFS(All_Attendances,site_level_range_board,$B54,date_range_board,J43),"0.0%"))),"")</f>
        <v>97.0%</v>
      </c>
      <c r="K54" s="165" t="str">
        <f ca="1">IFERROR(IF(ISNUMBER(FIND("ED only",$B$4)),IF(LEFT($B$7,6)="Number",SUMIFS(Comparison_Lookup,site_level_range_board,$B54,date_range_board,K43,inputdata!$F:$F,"ED"),TEXT(SUMIFS(Comparison_Lookup,site_level_range_board,$B54,date_range_board,K43,inputdata!$F:$F,"ED")/SUMIFS(All_Attendances,site_level_range_board,$B54,date_range_board,K43,inputdata!$F:$F,"ED"),"0.0%")),IF(LEFT($B$7,6)="Number",SUMIFS(Comparison_Lookup,site_level_range_board,$B54,date_range_board,K43),TEXT(SUMIFS(Comparison_Lookup,site_level_range_board,$B54,date_range_board,K43)/SUMIFS(All_Attendances,site_level_range_board,$B54,date_range_board,K43),"0.0%"))),"")</f>
        <v>95.8%</v>
      </c>
      <c r="L54" s="165" t="str">
        <f ca="1">IFERROR(IF(ISNUMBER(FIND("ED only",$B$4)),IF(LEFT($B$7,6)="Number",SUMIFS(Comparison_Lookup,site_level_range_board,$B54,date_range_board,L43,inputdata!$F:$F,"ED"),TEXT(SUMIFS(Comparison_Lookup,site_level_range_board,$B54,date_range_board,L43,inputdata!$F:$F,"ED")/SUMIFS(All_Attendances,site_level_range_board,$B54,date_range_board,L43,inputdata!$F:$F,"ED"),"0.0%")),IF(LEFT($B$7,6)="Number",SUMIFS(Comparison_Lookup,site_level_range_board,$B54,date_range_board,L43),TEXT(SUMIFS(Comparison_Lookup,site_level_range_board,$B54,date_range_board,L43)/SUMIFS(All_Attendances,site_level_range_board,$B54,date_range_board,L43),"0.0%"))),"")</f>
        <v>96.0%</v>
      </c>
      <c r="M54" s="165" t="str">
        <f ca="1">IFERROR(IF(ISNUMBER(FIND("ED only",$B$4)),IF(LEFT($B$7,6)="Number",SUMIFS(Comparison_Lookup,site_level_range_board,$B54,date_range_board,M43,inputdata!$F:$F,"ED"),TEXT(SUMIFS(Comparison_Lookup,site_level_range_board,$B54,date_range_board,M43,inputdata!$F:$F,"ED")/SUMIFS(All_Attendances,site_level_range_board,$B54,date_range_board,M43,inputdata!$F:$F,"ED"),"0.0%")),IF(LEFT($B$7,6)="Number",SUMIFS(Comparison_Lookup,site_level_range_board,$B54,date_range_board,M43),TEXT(SUMIFS(Comparison_Lookup,site_level_range_board,$B54,date_range_board,M43)/SUMIFS(All_Attendances,site_level_range_board,$B54,date_range_board,M43),"0.0%"))),"")</f>
        <v>93.0%</v>
      </c>
      <c r="N54" s="171" t="str">
        <f ca="1">IFERROR(IF(ISNUMBER(FIND("ED only",$B$4)),IF(LEFT($B$7,6)="Number",SUMIFS(Comparison_Lookup,site_level_range_board,$B54,date_range_board,N43,inputdata!$F:$F,"ED"),TEXT(SUMIFS(Comparison_Lookup,site_level_range_board,$B54,date_range_board,N43,inputdata!$F:$F,"ED")/SUMIFS(All_Attendances,site_level_range_board,$B54,date_range_board,N43,inputdata!$F:$F,"ED"),"0.0%")),IF(LEFT($B$7,6)="Number",SUMIFS(Comparison_Lookup,site_level_range_board,$B54,date_range_board,N43),TEXT(SUMIFS(Comparison_Lookup,site_level_range_board,$B54,date_range_board,N43)/SUMIFS(All_Attendances,site_level_range_board,$B54,date_range_board,N43),"0.0%"))),"")</f>
        <v>95.9%</v>
      </c>
    </row>
    <row r="55" spans="1:16" ht="15" customHeight="1" x14ac:dyDescent="0.2">
      <c r="A55" s="132"/>
      <c r="B55" s="152" t="s">
        <v>574</v>
      </c>
      <c r="C55" s="165" t="str">
        <f ca="1">IFERROR(IF(ISNUMBER(FIND("ED only",$B$4)),IF(LEFT($B$7,6)="Number",SUMIFS(Comparison_Lookup,site_level_range_board,$B55,date_range_board,C43,inputdata!$F:$F,"ED"),TEXT(SUMIFS(Comparison_Lookup,site_level_range_board,$B55,date_range_board,C43,inputdata!$F:$F,"ED")/SUMIFS(All_Attendances,site_level_range_board,$B55,date_range_board,C43,inputdata!$F:$F,"ED"),"0.0%")),IF(LEFT($B$7,6)="Number",SUMIFS(Comparison_Lookup,site_level_range_board,$B55,date_range_board,C43),TEXT(SUMIFS(Comparison_Lookup,site_level_range_board,$B55,date_range_board,C43)/SUMIFS(All_Attendances,site_level_range_board,$B55,date_range_board,C43),"0.0%"))),"")</f>
        <v>92.9%</v>
      </c>
      <c r="D55" s="165" t="str">
        <f ca="1">IFERROR(IF(ISNUMBER(FIND("ED only",$B$4)),IF(LEFT($B$7,6)="Number",SUMIFS(Comparison_Lookup,site_level_range_board,$B55,date_range_board,D43,inputdata!$F:$F,"ED"),TEXT(SUMIFS(Comparison_Lookup,site_level_range_board,$B55,date_range_board,D43,inputdata!$F:$F,"ED")/SUMIFS(All_Attendances,site_level_range_board,$B55,date_range_board,D43,inputdata!$F:$F,"ED"),"0.0%")),IF(LEFT($B$7,6)="Number",SUMIFS(Comparison_Lookup,site_level_range_board,$B55,date_range_board,D43),TEXT(SUMIFS(Comparison_Lookup,site_level_range_board,$B55,date_range_board,D43)/SUMIFS(All_Attendances,site_level_range_board,$B55,date_range_board,D43),"0.0%"))),"")</f>
        <v>98.9%</v>
      </c>
      <c r="E55" s="165" t="str">
        <f ca="1">IFERROR(IF(ISNUMBER(FIND("ED only",$B$4)),IF(LEFT($B$7,6)="Number",SUMIFS(Comparison_Lookup,site_level_range_board,$B55,date_range_board,E43,inputdata!$F:$F,"ED"),TEXT(SUMIFS(Comparison_Lookup,site_level_range_board,$B55,date_range_board,E43,inputdata!$F:$F,"ED")/SUMIFS(All_Attendances,site_level_range_board,$B55,date_range_board,E43,inputdata!$F:$F,"ED"),"0.0%")),IF(LEFT($B$7,6)="Number",SUMIFS(Comparison_Lookup,site_level_range_board,$B55,date_range_board,E43),TEXT(SUMIFS(Comparison_Lookup,site_level_range_board,$B55,date_range_board,E43)/SUMIFS(All_Attendances,site_level_range_board,$B55,date_range_board,E43),"0.0%"))),"")</f>
        <v>98.1%</v>
      </c>
      <c r="F55" s="165" t="str">
        <f ca="1">IFERROR(IF(ISNUMBER(FIND("ED only",$B$4)),IF(LEFT($B$7,6)="Number",SUMIFS(Comparison_Lookup,site_level_range_board,$B55,date_range_board,F43,inputdata!$F:$F,"ED"),TEXT(SUMIFS(Comparison_Lookup,site_level_range_board,$B55,date_range_board,F43,inputdata!$F:$F,"ED")/SUMIFS(All_Attendances,site_level_range_board,$B55,date_range_board,F43,inputdata!$F:$F,"ED"),"0.0%")),IF(LEFT($B$7,6)="Number",SUMIFS(Comparison_Lookup,site_level_range_board,$B55,date_range_board,F43),TEXT(SUMIFS(Comparison_Lookup,site_level_range_board,$B55,date_range_board,F43)/SUMIFS(All_Attendances,site_level_range_board,$B55,date_range_board,F43),"0.0%"))),"")</f>
        <v>99.6%</v>
      </c>
      <c r="G55" s="165" t="str">
        <f ca="1">IFERROR(IF(ISNUMBER(FIND("ED only",$B$4)),IF(LEFT($B$7,6)="Number",SUMIFS(Comparison_Lookup,site_level_range_board,$B55,date_range_board,G43,inputdata!$F:$F,"ED"),TEXT(SUMIFS(Comparison_Lookup,site_level_range_board,$B55,date_range_board,G43,inputdata!$F:$F,"ED")/SUMIFS(All_Attendances,site_level_range_board,$B55,date_range_board,G43,inputdata!$F:$F,"ED"),"0.0%")),IF(LEFT($B$7,6)="Number",SUMIFS(Comparison_Lookup,site_level_range_board,$B55,date_range_board,G43),TEXT(SUMIFS(Comparison_Lookup,site_level_range_board,$B55,date_range_board,G43)/SUMIFS(All_Attendances,site_level_range_board,$B55,date_range_board,G43),"0.0%"))),"")</f>
        <v>98.5%</v>
      </c>
      <c r="H55" s="165" t="str">
        <f ca="1">IFERROR(IF(ISNUMBER(FIND("ED only",$B$4)),IF(LEFT($B$7,6)="Number",SUMIFS(Comparison_Lookup,site_level_range_board,$B55,date_range_board,H43,inputdata!$F:$F,"ED"),TEXT(SUMIFS(Comparison_Lookup,site_level_range_board,$B55,date_range_board,H43,inputdata!$F:$F,"ED")/SUMIFS(All_Attendances,site_level_range_board,$B55,date_range_board,H43,inputdata!$F:$F,"ED"),"0.0%")),IF(LEFT($B$7,6)="Number",SUMIFS(Comparison_Lookup,site_level_range_board,$B55,date_range_board,H43),TEXT(SUMIFS(Comparison_Lookup,site_level_range_board,$B55,date_range_board,H43)/SUMIFS(All_Attendances,site_level_range_board,$B55,date_range_board,H43),"0.0%"))),"")</f>
        <v>98.5%</v>
      </c>
      <c r="I55" s="165" t="str">
        <f ca="1">IFERROR(IF(ISNUMBER(FIND("ED only",$B$4)),IF(LEFT($B$7,6)="Number",SUMIFS(Comparison_Lookup,site_level_range_board,$B55,date_range_board,I43,inputdata!$F:$F,"ED"),TEXT(SUMIFS(Comparison_Lookup,site_level_range_board,$B55,date_range_board,I43,inputdata!$F:$F,"ED")/SUMIFS(All_Attendances,site_level_range_board,$B55,date_range_board,I43,inputdata!$F:$F,"ED"),"0.0%")),IF(LEFT($B$7,6)="Number",SUMIFS(Comparison_Lookup,site_level_range_board,$B55,date_range_board,I43),TEXT(SUMIFS(Comparison_Lookup,site_level_range_board,$B55,date_range_board,I43)/SUMIFS(All_Attendances,site_level_range_board,$B55,date_range_board,I43),"0.0%"))),"")</f>
        <v>99.1%</v>
      </c>
      <c r="J55" s="165" t="str">
        <f ca="1">IFERROR(IF(ISNUMBER(FIND("ED only",$B$4)),IF(LEFT($B$7,6)="Number",SUMIFS(Comparison_Lookup,site_level_range_board,$B55,date_range_board,J43,inputdata!$F:$F,"ED"),TEXT(SUMIFS(Comparison_Lookup,site_level_range_board,$B55,date_range_board,J43,inputdata!$F:$F,"ED")/SUMIFS(All_Attendances,site_level_range_board,$B55,date_range_board,J43,inputdata!$F:$F,"ED"),"0.0%")),IF(LEFT($B$7,6)="Number",SUMIFS(Comparison_Lookup,site_level_range_board,$B55,date_range_board,J43),TEXT(SUMIFS(Comparison_Lookup,site_level_range_board,$B55,date_range_board,J43)/SUMIFS(All_Attendances,site_level_range_board,$B55,date_range_board,J43),"0.0%"))),"")</f>
        <v>97.7%</v>
      </c>
      <c r="K55" s="165" t="str">
        <f ca="1">IFERROR(IF(ISNUMBER(FIND("ED only",$B$4)),IF(LEFT($B$7,6)="Number",SUMIFS(Comparison_Lookup,site_level_range_board,$B55,date_range_board,K43,inputdata!$F:$F,"ED"),TEXT(SUMIFS(Comparison_Lookup,site_level_range_board,$B55,date_range_board,K43,inputdata!$F:$F,"ED")/SUMIFS(All_Attendances,site_level_range_board,$B55,date_range_board,K43,inputdata!$F:$F,"ED"),"0.0%")),IF(LEFT($B$7,6)="Number",SUMIFS(Comparison_Lookup,site_level_range_board,$B55,date_range_board,K43),TEXT(SUMIFS(Comparison_Lookup,site_level_range_board,$B55,date_range_board,K43)/SUMIFS(All_Attendances,site_level_range_board,$B55,date_range_board,K43),"0.0%"))),"")</f>
        <v>98.3%</v>
      </c>
      <c r="L55" s="165" t="str">
        <f ca="1">IFERROR(IF(ISNUMBER(FIND("ED only",$B$4)),IF(LEFT($B$7,6)="Number",SUMIFS(Comparison_Lookup,site_level_range_board,$B55,date_range_board,L43,inputdata!$F:$F,"ED"),TEXT(SUMIFS(Comparison_Lookup,site_level_range_board,$B55,date_range_board,L43,inputdata!$F:$F,"ED")/SUMIFS(All_Attendances,site_level_range_board,$B55,date_range_board,L43,inputdata!$F:$F,"ED"),"0.0%")),IF(LEFT($B$7,6)="Number",SUMIFS(Comparison_Lookup,site_level_range_board,$B55,date_range_board,L43),TEXT(SUMIFS(Comparison_Lookup,site_level_range_board,$B55,date_range_board,L43)/SUMIFS(All_Attendances,site_level_range_board,$B55,date_range_board,L43),"0.0%"))),"")</f>
        <v>98.9%</v>
      </c>
      <c r="M55" s="165" t="str">
        <f ca="1">IFERROR(IF(ISNUMBER(FIND("ED only",$B$4)),IF(LEFT($B$7,6)="Number",SUMIFS(Comparison_Lookup,site_level_range_board,$B55,date_range_board,M43,inputdata!$F:$F,"ED"),TEXT(SUMIFS(Comparison_Lookup,site_level_range_board,$B55,date_range_board,M43,inputdata!$F:$F,"ED")/SUMIFS(All_Attendances,site_level_range_board,$B55,date_range_board,M43,inputdata!$F:$F,"ED"),"0.0%")),IF(LEFT($B$7,6)="Number",SUMIFS(Comparison_Lookup,site_level_range_board,$B55,date_range_board,M43),TEXT(SUMIFS(Comparison_Lookup,site_level_range_board,$B55,date_range_board,M43)/SUMIFS(All_Attendances,site_level_range_board,$B55,date_range_board,M43),"0.0%"))),"")</f>
        <v>98.2%</v>
      </c>
      <c r="N55" s="171" t="str">
        <f ca="1">IFERROR(IF(ISNUMBER(FIND("ED only",$B$4)),IF(LEFT($B$7,6)="Number",SUMIFS(Comparison_Lookup,site_level_range_board,$B55,date_range_board,N43,inputdata!$F:$F,"ED"),TEXT(SUMIFS(Comparison_Lookup,site_level_range_board,$B55,date_range_board,N43,inputdata!$F:$F,"ED")/SUMIFS(All_Attendances,site_level_range_board,$B55,date_range_board,N43,inputdata!$F:$F,"ED"),"0.0%")),IF(LEFT($B$7,6)="Number",SUMIFS(Comparison_Lookup,site_level_range_board,$B55,date_range_board,N43),TEXT(SUMIFS(Comparison_Lookup,site_level_range_board,$B55,date_range_board,N43)/SUMIFS(All_Attendances,site_level_range_board,$B55,date_range_board,N43),"0.0%"))),"")</f>
        <v>98.4%</v>
      </c>
    </row>
    <row r="56" spans="1:16" ht="15" customHeight="1" x14ac:dyDescent="0.2">
      <c r="A56" s="132"/>
      <c r="B56" s="152" t="s">
        <v>577</v>
      </c>
      <c r="C56" s="165" t="str">
        <f ca="1">IFERROR(IF(ISNUMBER(FIND("ED only",$B$4)),IF(LEFT($B$7,6)="Number",SUMIFS(Comparison_Lookup,site_level_range_board,$B56,date_range_board,C43,inputdata!$F:$F,"ED"),TEXT(SUMIFS(Comparison_Lookup,site_level_range_board,$B56,date_range_board,C43,inputdata!$F:$F,"ED")/SUMIFS(All_Attendances,site_level_range_board,$B56,date_range_board,C43,inputdata!$F:$F,"ED"),"0.0%")),IF(LEFT($B$7,6)="Number",SUMIFS(Comparison_Lookup,site_level_range_board,$B56,date_range_board,C43),TEXT(SUMIFS(Comparison_Lookup,site_level_range_board,$B56,date_range_board,C43)/SUMIFS(All_Attendances,site_level_range_board,$B56,date_range_board,C43),"0.0%"))),"")</f>
        <v>98.1%</v>
      </c>
      <c r="D56" s="165" t="str">
        <f ca="1">IFERROR(IF(ISNUMBER(FIND("ED only",$B$4)),IF(LEFT($B$7,6)="Number",SUMIFS(Comparison_Lookup,site_level_range_board,$B56,date_range_board,D43,inputdata!$F:$F,"ED"),TEXT(SUMIFS(Comparison_Lookup,site_level_range_board,$B56,date_range_board,D43,inputdata!$F:$F,"ED")/SUMIFS(All_Attendances,site_level_range_board,$B56,date_range_board,D43,inputdata!$F:$F,"ED"),"0.0%")),IF(LEFT($B$7,6)="Number",SUMIFS(Comparison_Lookup,site_level_range_board,$B56,date_range_board,D43),TEXT(SUMIFS(Comparison_Lookup,site_level_range_board,$B56,date_range_board,D43)/SUMIFS(All_Attendances,site_level_range_board,$B56,date_range_board,D43),"0.0%"))),"")</f>
        <v>97.5%</v>
      </c>
      <c r="E56" s="165" t="str">
        <f ca="1">IFERROR(IF(ISNUMBER(FIND("ED only",$B$4)),IF(LEFT($B$7,6)="Number",SUMIFS(Comparison_Lookup,site_level_range_board,$B56,date_range_board,E43,inputdata!$F:$F,"ED"),TEXT(SUMIFS(Comparison_Lookup,site_level_range_board,$B56,date_range_board,E43,inputdata!$F:$F,"ED")/SUMIFS(All_Attendances,site_level_range_board,$B56,date_range_board,E43,inputdata!$F:$F,"ED"),"0.0%")),IF(LEFT($B$7,6)="Number",SUMIFS(Comparison_Lookup,site_level_range_board,$B56,date_range_board,E43),TEXT(SUMIFS(Comparison_Lookup,site_level_range_board,$B56,date_range_board,E43)/SUMIFS(All_Attendances,site_level_range_board,$B56,date_range_board,E43),"0.0%"))),"")</f>
        <v>98.1%</v>
      </c>
      <c r="F56" s="165" t="str">
        <f ca="1">IFERROR(IF(ISNUMBER(FIND("ED only",$B$4)),IF(LEFT($B$7,6)="Number",SUMIFS(Comparison_Lookup,site_level_range_board,$B56,date_range_board,F43,inputdata!$F:$F,"ED"),TEXT(SUMIFS(Comparison_Lookup,site_level_range_board,$B56,date_range_board,F43,inputdata!$F:$F,"ED")/SUMIFS(All_Attendances,site_level_range_board,$B56,date_range_board,F43,inputdata!$F:$F,"ED"),"0.0%")),IF(LEFT($B$7,6)="Number",SUMIFS(Comparison_Lookup,site_level_range_board,$B56,date_range_board,F43),TEXT(SUMIFS(Comparison_Lookup,site_level_range_board,$B56,date_range_board,F43)/SUMIFS(All_Attendances,site_level_range_board,$B56,date_range_board,F43),"0.0%"))),"")</f>
        <v>96.7%</v>
      </c>
      <c r="G56" s="165" t="str">
        <f ca="1">IFERROR(IF(ISNUMBER(FIND("ED only",$B$4)),IF(LEFT($B$7,6)="Number",SUMIFS(Comparison_Lookup,site_level_range_board,$B56,date_range_board,G43,inputdata!$F:$F,"ED"),TEXT(SUMIFS(Comparison_Lookup,site_level_range_board,$B56,date_range_board,G43,inputdata!$F:$F,"ED")/SUMIFS(All_Attendances,site_level_range_board,$B56,date_range_board,G43,inputdata!$F:$F,"ED"),"0.0%")),IF(LEFT($B$7,6)="Number",SUMIFS(Comparison_Lookup,site_level_range_board,$B56,date_range_board,G43),TEXT(SUMIFS(Comparison_Lookup,site_level_range_board,$B56,date_range_board,G43)/SUMIFS(All_Attendances,site_level_range_board,$B56,date_range_board,G43),"0.0%"))),"")</f>
        <v>95.3%</v>
      </c>
      <c r="H56" s="165" t="str">
        <f ca="1">IFERROR(IF(ISNUMBER(FIND("ED only",$B$4)),IF(LEFT($B$7,6)="Number",SUMIFS(Comparison_Lookup,site_level_range_board,$B56,date_range_board,H43,inputdata!$F:$F,"ED"),TEXT(SUMIFS(Comparison_Lookup,site_level_range_board,$B56,date_range_board,H43,inputdata!$F:$F,"ED")/SUMIFS(All_Attendances,site_level_range_board,$B56,date_range_board,H43,inputdata!$F:$F,"ED"),"0.0%")),IF(LEFT($B$7,6)="Number",SUMIFS(Comparison_Lookup,site_level_range_board,$B56,date_range_board,H43),TEXT(SUMIFS(Comparison_Lookup,site_level_range_board,$B56,date_range_board,H43)/SUMIFS(All_Attendances,site_level_range_board,$B56,date_range_board,H43),"0.0%"))),"")</f>
        <v>95.6%</v>
      </c>
      <c r="I56" s="165" t="str">
        <f ca="1">IFERROR(IF(ISNUMBER(FIND("ED only",$B$4)),IF(LEFT($B$7,6)="Number",SUMIFS(Comparison_Lookup,site_level_range_board,$B56,date_range_board,I43,inputdata!$F:$F,"ED"),TEXT(SUMIFS(Comparison_Lookup,site_level_range_board,$B56,date_range_board,I43,inputdata!$F:$F,"ED")/SUMIFS(All_Attendances,site_level_range_board,$B56,date_range_board,I43,inputdata!$F:$F,"ED"),"0.0%")),IF(LEFT($B$7,6)="Number",SUMIFS(Comparison_Lookup,site_level_range_board,$B56,date_range_board,I43),TEXT(SUMIFS(Comparison_Lookup,site_level_range_board,$B56,date_range_board,I43)/SUMIFS(All_Attendances,site_level_range_board,$B56,date_range_board,I43),"0.0%"))),"")</f>
        <v>97.5%</v>
      </c>
      <c r="J56" s="165" t="str">
        <f ca="1">IFERROR(IF(ISNUMBER(FIND("ED only",$B$4)),IF(LEFT($B$7,6)="Number",SUMIFS(Comparison_Lookup,site_level_range_board,$B56,date_range_board,J43,inputdata!$F:$F,"ED"),TEXT(SUMIFS(Comparison_Lookup,site_level_range_board,$B56,date_range_board,J43,inputdata!$F:$F,"ED")/SUMIFS(All_Attendances,site_level_range_board,$B56,date_range_board,J43,inputdata!$F:$F,"ED"),"0.0%")),IF(LEFT($B$7,6)="Number",SUMIFS(Comparison_Lookup,site_level_range_board,$B56,date_range_board,J43),TEXT(SUMIFS(Comparison_Lookup,site_level_range_board,$B56,date_range_board,J43)/SUMIFS(All_Attendances,site_level_range_board,$B56,date_range_board,J43),"0.0%"))),"")</f>
        <v>97.6%</v>
      </c>
      <c r="K56" s="165" t="str">
        <f ca="1">IFERROR(IF(ISNUMBER(FIND("ED only",$B$4)),IF(LEFT($B$7,6)="Number",SUMIFS(Comparison_Lookup,site_level_range_board,$B56,date_range_board,K43,inputdata!$F:$F,"ED"),TEXT(SUMIFS(Comparison_Lookup,site_level_range_board,$B56,date_range_board,K43,inputdata!$F:$F,"ED")/SUMIFS(All_Attendances,site_level_range_board,$B56,date_range_board,K43,inputdata!$F:$F,"ED"),"0.0%")),IF(LEFT($B$7,6)="Number",SUMIFS(Comparison_Lookup,site_level_range_board,$B56,date_range_board,K43),TEXT(SUMIFS(Comparison_Lookup,site_level_range_board,$B56,date_range_board,K43)/SUMIFS(All_Attendances,site_level_range_board,$B56,date_range_board,K43),"0.0%"))),"")</f>
        <v>95.4%</v>
      </c>
      <c r="L56" s="165" t="str">
        <f ca="1">IFERROR(IF(ISNUMBER(FIND("ED only",$B$4)),IF(LEFT($B$7,6)="Number",SUMIFS(Comparison_Lookup,site_level_range_board,$B56,date_range_board,L43,inputdata!$F:$F,"ED"),TEXT(SUMIFS(Comparison_Lookup,site_level_range_board,$B56,date_range_board,L43,inputdata!$F:$F,"ED")/SUMIFS(All_Attendances,site_level_range_board,$B56,date_range_board,L43,inputdata!$F:$F,"ED"),"0.0%")),IF(LEFT($B$7,6)="Number",SUMIFS(Comparison_Lookup,site_level_range_board,$B56,date_range_board,L43),TEXT(SUMIFS(Comparison_Lookup,site_level_range_board,$B56,date_range_board,L43)/SUMIFS(All_Attendances,site_level_range_board,$B56,date_range_board,L43),"0.0%"))),"")</f>
        <v>96.0%</v>
      </c>
      <c r="M56" s="165" t="str">
        <f ca="1">IFERROR(IF(ISNUMBER(FIND("ED only",$B$4)),IF(LEFT($B$7,6)="Number",SUMIFS(Comparison_Lookup,site_level_range_board,$B56,date_range_board,M43,inputdata!$F:$F,"ED"),TEXT(SUMIFS(Comparison_Lookup,site_level_range_board,$B56,date_range_board,M43,inputdata!$F:$F,"ED")/SUMIFS(All_Attendances,site_level_range_board,$B56,date_range_board,M43,inputdata!$F:$F,"ED"),"0.0%")),IF(LEFT($B$7,6)="Number",SUMIFS(Comparison_Lookup,site_level_range_board,$B56,date_range_board,M43),TEXT(SUMIFS(Comparison_Lookup,site_level_range_board,$B56,date_range_board,M43)/SUMIFS(All_Attendances,site_level_range_board,$B56,date_range_board,M43),"0.0%"))),"")</f>
        <v>96.7%</v>
      </c>
      <c r="N56" s="171" t="str">
        <f ca="1">IFERROR(IF(ISNUMBER(FIND("ED only",$B$4)),IF(LEFT($B$7,6)="Number",SUMIFS(Comparison_Lookup,site_level_range_board,$B56,date_range_board,N43,inputdata!$F:$F,"ED"),TEXT(SUMIFS(Comparison_Lookup,site_level_range_board,$B56,date_range_board,N43,inputdata!$F:$F,"ED")/SUMIFS(All_Attendances,site_level_range_board,$B56,date_range_board,N43,inputdata!$F:$F,"ED"),"0.0%")),IF(LEFT($B$7,6)="Number",SUMIFS(Comparison_Lookup,site_level_range_board,$B56,date_range_board,N43),TEXT(SUMIFS(Comparison_Lookup,site_level_range_board,$B56,date_range_board,N43)/SUMIFS(All_Attendances,site_level_range_board,$B56,date_range_board,N43),"0.0%"))),"")</f>
        <v>97.1%</v>
      </c>
    </row>
    <row r="57" spans="1:16" ht="15" customHeight="1" x14ac:dyDescent="0.2">
      <c r="A57" s="132"/>
      <c r="B57" s="154" t="s">
        <v>594</v>
      </c>
      <c r="C57" s="168" t="str">
        <f ca="1">IFERROR(IF(ISNUMBER(FIND("ED only",$B$4)),IF(LEFT($B$7,6)="Number",SUMIFS(Comparison_Lookup,site_level_range_board,$B57,date_range_board,C43,inputdata!$F:$F,"ED"),TEXT(SUMIFS(Comparison_Lookup,site_level_range_board,$B57,date_range_board,C43,inputdata!$F:$F,"ED")/SUMIFS(All_Attendances,site_level_range_board,$B57,date_range_board,C43,inputdata!$F:$F,"ED"),"0.0%")),IF(LEFT($B$7,6)="Number",SUMIFS(Comparison_Lookup,site_level_range_board,$B57,date_range_board,C43),TEXT(SUMIFS(Comparison_Lookup,site_level_range_board,$B57,date_range_board,C43)/SUMIFS(All_Attendances,site_level_range_board,$B57,date_range_board,C43),"0.0%"))),"")</f>
        <v>97.9%</v>
      </c>
      <c r="D57" s="168" t="str">
        <f ca="1">IFERROR(IF(ISNUMBER(FIND("ED only",$B$4)),IF(LEFT($B$7,6)="Number",SUMIFS(Comparison_Lookup,site_level_range_board,$B57,date_range_board,D43,inputdata!$F:$F,"ED"),TEXT(SUMIFS(Comparison_Lookup,site_level_range_board,$B57,date_range_board,D43,inputdata!$F:$F,"ED")/SUMIFS(All_Attendances,site_level_range_board,$B57,date_range_board,D43,inputdata!$F:$F,"ED"),"0.0%")),IF(LEFT($B$7,6)="Number",SUMIFS(Comparison_Lookup,site_level_range_board,$B57,date_range_board,D43),TEXT(SUMIFS(Comparison_Lookup,site_level_range_board,$B57,date_range_board,D43)/SUMIFS(All_Attendances,site_level_range_board,$B57,date_range_board,D43),"0.0%"))),"")</f>
        <v>97.9%</v>
      </c>
      <c r="E57" s="168" t="str">
        <f ca="1">IFERROR(IF(ISNUMBER(FIND("ED only",$B$4)),IF(LEFT($B$7,6)="Number",SUMIFS(Comparison_Lookup,site_level_range_board,$B57,date_range_board,E43,inputdata!$F:$F,"ED"),TEXT(SUMIFS(Comparison_Lookup,site_level_range_board,$B57,date_range_board,E43,inputdata!$F:$F,"ED")/SUMIFS(All_Attendances,site_level_range_board,$B57,date_range_board,E43,inputdata!$F:$F,"ED"),"0.0%")),IF(LEFT($B$7,6)="Number",SUMIFS(Comparison_Lookup,site_level_range_board,$B57,date_range_board,E43),TEXT(SUMIFS(Comparison_Lookup,site_level_range_board,$B57,date_range_board,E43)/SUMIFS(All_Attendances,site_level_range_board,$B57,date_range_board,E43),"0.0%"))),"")</f>
        <v>98.8%</v>
      </c>
      <c r="F57" s="168" t="str">
        <f ca="1">IFERROR(IF(ISNUMBER(FIND("ED only",$B$4)),IF(LEFT($B$7,6)="Number",SUMIFS(Comparison_Lookup,site_level_range_board,$B57,date_range_board,F43,inputdata!$F:$F,"ED"),TEXT(SUMIFS(Comparison_Lookup,site_level_range_board,$B57,date_range_board,F43,inputdata!$F:$F,"ED")/SUMIFS(All_Attendances,site_level_range_board,$B57,date_range_board,F43,inputdata!$F:$F,"ED"),"0.0%")),IF(LEFT($B$7,6)="Number",SUMIFS(Comparison_Lookup,site_level_range_board,$B57,date_range_board,F43),TEXT(SUMIFS(Comparison_Lookup,site_level_range_board,$B57,date_range_board,F43)/SUMIFS(All_Attendances,site_level_range_board,$B57,date_range_board,F43),"0.0%"))),"")</f>
        <v>99.0%</v>
      </c>
      <c r="G57" s="168" t="str">
        <f ca="1">IFERROR(IF(ISNUMBER(FIND("ED only",$B$4)),IF(LEFT($B$7,6)="Number",SUMIFS(Comparison_Lookup,site_level_range_board,$B57,date_range_board,G43,inputdata!$F:$F,"ED"),TEXT(SUMIFS(Comparison_Lookup,site_level_range_board,$B57,date_range_board,G43,inputdata!$F:$F,"ED")/SUMIFS(All_Attendances,site_level_range_board,$B57,date_range_board,G43,inputdata!$F:$F,"ED"),"0.0%")),IF(LEFT($B$7,6)="Number",SUMIFS(Comparison_Lookup,site_level_range_board,$B57,date_range_board,G43),TEXT(SUMIFS(Comparison_Lookup,site_level_range_board,$B57,date_range_board,G43)/SUMIFS(All_Attendances,site_level_range_board,$B57,date_range_board,G43),"0.0%"))),"")</f>
        <v>98.6%</v>
      </c>
      <c r="H57" s="168" t="str">
        <f ca="1">IFERROR(IF(ISNUMBER(FIND("ED only",$B$4)),IF(LEFT($B$7,6)="Number",SUMIFS(Comparison_Lookup,site_level_range_board,$B57,date_range_board,H43,inputdata!$F:$F,"ED"),TEXT(SUMIFS(Comparison_Lookup,site_level_range_board,$B57,date_range_board,H43,inputdata!$F:$F,"ED")/SUMIFS(All_Attendances,site_level_range_board,$B57,date_range_board,H43,inputdata!$F:$F,"ED"),"0.0%")),IF(LEFT($B$7,6)="Number",SUMIFS(Comparison_Lookup,site_level_range_board,$B57,date_range_board,H43),TEXT(SUMIFS(Comparison_Lookup,site_level_range_board,$B57,date_range_board,H43)/SUMIFS(All_Attendances,site_level_range_board,$B57,date_range_board,H43),"0.0%"))),"")</f>
        <v>97.8%</v>
      </c>
      <c r="I57" s="168" t="str">
        <f ca="1">IFERROR(IF(ISNUMBER(FIND("ED only",$B$4)),IF(LEFT($B$7,6)="Number",SUMIFS(Comparison_Lookup,site_level_range_board,$B57,date_range_board,I43,inputdata!$F:$F,"ED"),TEXT(SUMIFS(Comparison_Lookup,site_level_range_board,$B57,date_range_board,I43,inputdata!$F:$F,"ED")/SUMIFS(All_Attendances,site_level_range_board,$B57,date_range_board,I43,inputdata!$F:$F,"ED"),"0.0%")),IF(LEFT($B$7,6)="Number",SUMIFS(Comparison_Lookup,site_level_range_board,$B57,date_range_board,I43),TEXT(SUMIFS(Comparison_Lookup,site_level_range_board,$B57,date_range_board,I43)/SUMIFS(All_Attendances,site_level_range_board,$B57,date_range_board,I43),"0.0%"))),"")</f>
        <v>97.4%</v>
      </c>
      <c r="J57" s="168" t="str">
        <f ca="1">IFERROR(IF(ISNUMBER(FIND("ED only",$B$4)),IF(LEFT($B$7,6)="Number",SUMIFS(Comparison_Lookup,site_level_range_board,$B57,date_range_board,J43,inputdata!$F:$F,"ED"),TEXT(SUMIFS(Comparison_Lookup,site_level_range_board,$B57,date_range_board,J43,inputdata!$F:$F,"ED")/SUMIFS(All_Attendances,site_level_range_board,$B57,date_range_board,J43,inputdata!$F:$F,"ED"),"0.0%")),IF(LEFT($B$7,6)="Number",SUMIFS(Comparison_Lookup,site_level_range_board,$B57,date_range_board,J43),TEXT(SUMIFS(Comparison_Lookup,site_level_range_board,$B57,date_range_board,J43)/SUMIFS(All_Attendances,site_level_range_board,$B57,date_range_board,J43),"0.0%"))),"")</f>
        <v>97.7%</v>
      </c>
      <c r="K57" s="168" t="str">
        <f ca="1">IFERROR(IF(ISNUMBER(FIND("ED only",$B$4)),IF(LEFT($B$7,6)="Number",SUMIFS(Comparison_Lookup,site_level_range_board,$B57,date_range_board,K43,inputdata!$F:$F,"ED"),TEXT(SUMIFS(Comparison_Lookup,site_level_range_board,$B57,date_range_board,K43,inputdata!$F:$F,"ED")/SUMIFS(All_Attendances,site_level_range_board,$B57,date_range_board,K43,inputdata!$F:$F,"ED"),"0.0%")),IF(LEFT($B$7,6)="Number",SUMIFS(Comparison_Lookup,site_level_range_board,$B57,date_range_board,K43),TEXT(SUMIFS(Comparison_Lookup,site_level_range_board,$B57,date_range_board,K43)/SUMIFS(All_Attendances,site_level_range_board,$B57,date_range_board,K43),"0.0%"))),"")</f>
        <v>98.4%</v>
      </c>
      <c r="L57" s="168" t="str">
        <f ca="1">IFERROR(IF(ISNUMBER(FIND("ED only",$B$4)),IF(LEFT($B$7,6)="Number",SUMIFS(Comparison_Lookup,site_level_range_board,$B57,date_range_board,L43,inputdata!$F:$F,"ED"),TEXT(SUMIFS(Comparison_Lookup,site_level_range_board,$B57,date_range_board,L43,inputdata!$F:$F,"ED")/SUMIFS(All_Attendances,site_level_range_board,$B57,date_range_board,L43,inputdata!$F:$F,"ED"),"0.0%")),IF(LEFT($B$7,6)="Number",SUMIFS(Comparison_Lookup,site_level_range_board,$B57,date_range_board,L43),TEXT(SUMIFS(Comparison_Lookup,site_level_range_board,$B57,date_range_board,L43)/SUMIFS(All_Attendances,site_level_range_board,$B57,date_range_board,L43),"0.0%"))),"")</f>
        <v>97.9%</v>
      </c>
      <c r="M57" s="168" t="str">
        <f ca="1">IFERROR(IF(ISNUMBER(FIND("ED only",$B$4)),IF(LEFT($B$7,6)="Number",SUMIFS(Comparison_Lookup,site_level_range_board,$B57,date_range_board,M43,inputdata!$F:$F,"ED"),TEXT(SUMIFS(Comparison_Lookup,site_level_range_board,$B57,date_range_board,M43,inputdata!$F:$F,"ED")/SUMIFS(All_Attendances,site_level_range_board,$B57,date_range_board,M43,inputdata!$F:$F,"ED"),"0.0%")),IF(LEFT($B$7,6)="Number",SUMIFS(Comparison_Lookup,site_level_range_board,$B57,date_range_board,M43),TEXT(SUMIFS(Comparison_Lookup,site_level_range_board,$B57,date_range_board,M43)/SUMIFS(All_Attendances,site_level_range_board,$B57,date_range_board,M43),"0.0%"))),"")</f>
        <v>96.7%</v>
      </c>
      <c r="N57" s="172" t="str">
        <f ca="1">IFERROR(IF(ISNUMBER(FIND("ED only",$B$4)),IF(LEFT($B$7,6)="Number",SUMIFS(Comparison_Lookup,site_level_range_board,$B57,date_range_board,N43,inputdata!$F:$F,"ED"),TEXT(SUMIFS(Comparison_Lookup,site_level_range_board,$B57,date_range_board,N43,inputdata!$F:$F,"ED")/SUMIFS(All_Attendances,site_level_range_board,$B57,date_range_board,N43,inputdata!$F:$F,"ED"),"0.0%")),IF(LEFT($B$7,6)="Number",SUMIFS(Comparison_Lookup,site_level_range_board,$B57,date_range_board,N43),TEXT(SUMIFS(Comparison_Lookup,site_level_range_board,$B57,date_range_board,N43)/SUMIFS(All_Attendances,site_level_range_board,$B57,date_range_board,N43),"0.0%"))),"")</f>
        <v>96.5%</v>
      </c>
    </row>
    <row r="58" spans="1:16" ht="15" customHeight="1" x14ac:dyDescent="0.2">
      <c r="A58" s="132"/>
      <c r="B58" s="170" t="s">
        <v>406</v>
      </c>
      <c r="C58" s="169" t="str">
        <f ca="1">IFERROR(IF(ISNUMBER(FIND("ED only",$B$4)),IF(LEFT($B$7,6)="Number",SUMIFS(Comparison_Lookup,date_range_board,C43,inputdata!$F:$F,"ED"),TEXT(SUMIFS(Comparison_Lookup,date_range_board,C43,inputdata!$F:$F,"ED")/SUMIFS(All_Attendances,date_range_board,C43,inputdata!$F:$F,"ED"),"0.0%")),IF(LEFT($B$7,6)="Number",SUMIFS(Comparison_Lookup,date_range_board,C43),TEXT(SUMIFS(Comparison_Lookup,date_range_board,C43)/SUMIFS(All_Attendances,date_range_board,C43
        ),"0.0%"))),"")</f>
        <v>94.9%</v>
      </c>
      <c r="D58" s="169" t="str">
        <f ca="1">IFERROR(IF(ISNUMBER(FIND("ED only",$B$4)),IF(LEFT($B$7,6)="Number",SUMIFS(Comparison_Lookup,date_range_board,D43,inputdata!$F:$F,"ED"),TEXT(SUMIFS(Comparison_Lookup,date_range_board,D43,inputdata!$F:$F,"ED")/SUMIFS(All_Attendances,date_range_board,D43,inputdata!$F:$F,"ED"),"0.0%")),IF(LEFT($B$7,6)="Number",SUMIFS(Comparison_Lookup,date_range_board,D43),TEXT(SUMIFS(Comparison_Lookup,date_range_board,D43)/SUMIFS(All_Attendances,date_range_board,D43
        ),"0.0%"))),"")</f>
        <v>95.7%</v>
      </c>
      <c r="E58" s="169" t="str">
        <f ca="1">IFERROR(IF(ISNUMBER(FIND("ED only",$B$4)),IF(LEFT($B$7,6)="Number",SUMIFS(Comparison_Lookup,date_range_board,E43,inputdata!$F:$F,"ED"),TEXT(SUMIFS(Comparison_Lookup,date_range_board,E43,inputdata!$F:$F,"ED")/SUMIFS(All_Attendances,date_range_board,E43,inputdata!$F:$F,"ED"),"0.0%")),IF(LEFT($B$7,6)="Number",SUMIFS(Comparison_Lookup,date_range_board,E43),TEXT(SUMIFS(Comparison_Lookup,date_range_board,E43)/SUMIFS(All_Attendances,date_range_board,E43
        ),"0.0%"))),"")</f>
        <v>95.6%</v>
      </c>
      <c r="F58" s="169" t="str">
        <f ca="1">IFERROR(IF(ISNUMBER(FIND("ED only",$B$4)),IF(LEFT($B$7,6)="Number",SUMIFS(Comparison_Lookup,date_range_board,F43,inputdata!$F:$F,"ED"),TEXT(SUMIFS(Comparison_Lookup,date_range_board,F43,inputdata!$F:$F,"ED")/SUMIFS(All_Attendances,date_range_board,F43,inputdata!$F:$F,"ED"),"0.0%")),IF(LEFT($B$7,6)="Number",SUMIFS(Comparison_Lookup,date_range_board,F43),TEXT(SUMIFS(Comparison_Lookup,date_range_board,F43)/SUMIFS(All_Attendances,date_range_board,F43
        ),"0.0%"))),"")</f>
        <v>95.1%</v>
      </c>
      <c r="G58" s="169" t="str">
        <f ca="1">IFERROR(IF(ISNUMBER(FIND("ED only",$B$4)),IF(LEFT($B$7,6)="Number",SUMIFS(Comparison_Lookup,date_range_board,G43,inputdata!$F:$F,"ED"),TEXT(SUMIFS(Comparison_Lookup,date_range_board,G43,inputdata!$F:$F,"ED")/SUMIFS(All_Attendances,date_range_board,G43,inputdata!$F:$F,"ED"),"0.0%")),IF(LEFT($B$7,6)="Number",SUMIFS(Comparison_Lookup,date_range_board,G43),TEXT(SUMIFS(Comparison_Lookup,date_range_board,G43)/SUMIFS(All_Attendances,date_range_board,G43
        ),"0.0%"))),"")</f>
        <v>92.9%</v>
      </c>
      <c r="H58" s="169" t="str">
        <f ca="1">IFERROR(IF(ISNUMBER(FIND("ED only",$B$4)),IF(LEFT($B$7,6)="Number",SUMIFS(Comparison_Lookup,date_range_board,H43,inputdata!$F:$F,"ED"),TEXT(SUMIFS(Comparison_Lookup,date_range_board,H43,inputdata!$F:$F,"ED")/SUMIFS(All_Attendances,date_range_board,H43,inputdata!$F:$F,"ED"),"0.0%")),IF(LEFT($B$7,6)="Number",SUMIFS(Comparison_Lookup,date_range_board,H43),TEXT(SUMIFS(Comparison_Lookup,date_range_board,H43)/SUMIFS(All_Attendances,date_range_board,H43
        ),"0.0%"))),"")</f>
        <v>92.1%</v>
      </c>
      <c r="I58" s="169" t="str">
        <f ca="1">IFERROR(IF(ISNUMBER(FIND("ED only",$B$4)),IF(LEFT($B$7,6)="Number",SUMIFS(Comparison_Lookup,date_range_board,I43,inputdata!$F:$F,"ED"),TEXT(SUMIFS(Comparison_Lookup,date_range_board,I43,inputdata!$F:$F,"ED")/SUMIFS(All_Attendances,date_range_board,I43,inputdata!$F:$F,"ED"),"0.0%")),IF(LEFT($B$7,6)="Number",SUMIFS(Comparison_Lookup,date_range_board,I43),TEXT(SUMIFS(Comparison_Lookup,date_range_board,I43)/SUMIFS(All_Attendances,date_range_board,I43
        ),"0.0%"))),"")</f>
        <v>89.6%</v>
      </c>
      <c r="J58" s="169" t="str">
        <f ca="1">IFERROR(IF(ISNUMBER(FIND("ED only",$B$4)),IF(LEFT($B$7,6)="Number",SUMIFS(Comparison_Lookup,date_range_board,J43,inputdata!$F:$F,"ED"),TEXT(SUMIFS(Comparison_Lookup,date_range_board,J43,inputdata!$F:$F,"ED")/SUMIFS(All_Attendances,date_range_board,J43,inputdata!$F:$F,"ED"),"0.0%")),IF(LEFT($B$7,6)="Number",SUMIFS(Comparison_Lookup,date_range_board,J43),TEXT(SUMIFS(Comparison_Lookup,date_range_board,J43)/SUMIFS(All_Attendances,date_range_board,J43
        ),"0.0%"))),"")</f>
        <v>89.8%</v>
      </c>
      <c r="K58" s="169" t="str">
        <f ca="1">IFERROR(IF(ISNUMBER(FIND("ED only",$B$4)),IF(LEFT($B$7,6)="Number",SUMIFS(Comparison_Lookup,date_range_board,K43,inputdata!$F:$F,"ED"),TEXT(SUMIFS(Comparison_Lookup,date_range_board,K43,inputdata!$F:$F,"ED")/SUMIFS(All_Attendances,date_range_board,K43,inputdata!$F:$F,"ED"),"0.0%")),IF(LEFT($B$7,6)="Number",SUMIFS(Comparison_Lookup,date_range_board,K43),TEXT(SUMIFS(Comparison_Lookup,date_range_board,K43)/SUMIFS(All_Attendances,date_range_board,K43
        ),"0.0%"))),"")</f>
        <v>86.3%</v>
      </c>
      <c r="L58" s="169" t="str">
        <f ca="1">IFERROR(IF(ISNUMBER(FIND("ED only",$B$4)),IF(LEFT($B$7,6)="Number",SUMIFS(Comparison_Lookup,date_range_board,L43,inputdata!$F:$F,"ED"),TEXT(SUMIFS(Comparison_Lookup,date_range_board,L43,inputdata!$F:$F,"ED")/SUMIFS(All_Attendances,date_range_board,L43,inputdata!$F:$F,"ED"),"0.0%")),IF(LEFT($B$7,6)="Number",SUMIFS(Comparison_Lookup,date_range_board,L43),TEXT(SUMIFS(Comparison_Lookup,date_range_board,L43)/SUMIFS(All_Attendances,date_range_board,L43
        ),"0.0%"))),"")</f>
        <v>86.0%</v>
      </c>
      <c r="M58" s="169" t="str">
        <f ca="1">IFERROR(IF(ISNUMBER(FIND("ED only",$B$4)),IF(LEFT($B$7,6)="Number",SUMIFS(Comparison_Lookup,date_range_board,M43,inputdata!$F:$F,"ED"),TEXT(SUMIFS(Comparison_Lookup,date_range_board,M43,inputdata!$F:$F,"ED")/SUMIFS(All_Attendances,date_range_board,M43,inputdata!$F:$F,"ED"),"0.0%")),IF(LEFT($B$7,6)="Number",SUMIFS(Comparison_Lookup,date_range_board,M43),TEXT(SUMIFS(Comparison_Lookup,date_range_board,M43)/SUMIFS(All_Attendances,date_range_board,M43
        ),"0.0%"))),"")</f>
        <v>86.1%</v>
      </c>
      <c r="N58" s="173" t="str">
        <f ca="1">IFERROR(IF(ISNUMBER(FIND("ED only",$B$4)),IF(LEFT($B$7,6)="Number",SUMIFS(Comparison_Lookup,date_range_board,N43,inputdata!$F:$F,"ED"),TEXT(SUMIFS(Comparison_Lookup,date_range_board,N43,inputdata!$F:$F,"ED")/SUMIFS(All_Attendances,date_range_board,N43,inputdata!$F:$F,"ED"),"0.0%")),IF(LEFT($B$7,6)="Number",SUMIFS(Comparison_Lookup,date_range_board,N43),TEXT(SUMIFS(Comparison_Lookup,date_range_board,N43)/SUMIFS(All_Attendances,date_range_board,N43
        ),"0.0%"))),"")</f>
        <v>88.5%</v>
      </c>
    </row>
    <row r="59" spans="1:16" ht="15" customHeight="1" x14ac:dyDescent="0.2">
      <c r="B59" s="127"/>
      <c r="C59" s="127"/>
      <c r="D59" s="127"/>
      <c r="E59" s="127"/>
      <c r="F59" s="127"/>
      <c r="G59" s="127"/>
      <c r="H59" s="127"/>
      <c r="I59" s="127"/>
      <c r="J59" s="127"/>
      <c r="K59" s="127"/>
      <c r="L59" s="127"/>
      <c r="M59" s="127"/>
      <c r="N59" s="127"/>
    </row>
    <row r="60" spans="1:16" ht="15" customHeight="1" x14ac:dyDescent="0.25">
      <c r="A60" s="132"/>
      <c r="B60" s="153" t="str">
        <f>IF(ISNUMBER(FIND("ED only",$B$4)),"2019/2020 (ED Only)","2019/2020")</f>
        <v>2019/2020</v>
      </c>
      <c r="C60" s="149">
        <v>43585</v>
      </c>
      <c r="D60" s="149">
        <v>43616</v>
      </c>
      <c r="E60" s="149">
        <v>43646</v>
      </c>
      <c r="F60" s="149">
        <v>43677</v>
      </c>
      <c r="G60" s="149">
        <v>43708</v>
      </c>
      <c r="H60" s="149">
        <v>43738</v>
      </c>
      <c r="I60" s="149">
        <v>43769</v>
      </c>
      <c r="J60" s="149">
        <v>43799</v>
      </c>
      <c r="K60" s="149">
        <v>43830</v>
      </c>
      <c r="L60" s="149">
        <v>43861</v>
      </c>
      <c r="M60" s="149">
        <v>43890</v>
      </c>
      <c r="N60" s="158">
        <v>43921</v>
      </c>
    </row>
    <row r="61" spans="1:16" ht="15" customHeight="1" x14ac:dyDescent="0.2">
      <c r="A61" s="132"/>
      <c r="B61" s="152" t="s">
        <v>407</v>
      </c>
      <c r="C61" s="165" t="str">
        <f ca="1">IFERROR(IF(ISNUMBER(FIND("ED only",$B$4)),IF(LEFT($B$7,6)="Number",SUMIFS(Comparison_Lookup,site_level_range_board,$B61,date_range_board,C60,inputdata!$F:$F,"ED"),TEXT(SUMIFS(Comparison_Lookup,site_level_range_board,$B61,date_range_board,C60,inputdata!$F:$F,"ED")/SUMIFS(All_Attendances,site_level_range_board,$B61,date_range_board,C60,inputdata!$F:$F,"ED"),"0.0%")),IF(LEFT($B$7,6)="Number",SUMIFS(Comparison_Lookup,site_level_range_board,$B61,date_range_board,C60),TEXT(SUMIFS(Comparison_Lookup,site_level_range_board,$B61,date_range_board,C60)/SUMIFS(All_Attendances,site_level_range_board,$B61,date_range_board,C60),"0.0%"))),"")</f>
        <v>87.4%</v>
      </c>
      <c r="D61" s="165" t="str">
        <f ca="1">IFERROR(IF(ISNUMBER(FIND("ED only",$B$4)),IF(LEFT($B$7,6)="Number",SUMIFS(Comparison_Lookup,site_level_range_board,$B61,date_range_board,D60,inputdata!$F:$F,"ED"),TEXT(SUMIFS(Comparison_Lookup,site_level_range_board,$B61,date_range_board,D60,inputdata!$F:$F,"ED")/SUMIFS(All_Attendances,site_level_range_board,$B61,date_range_board,D60,inputdata!$F:$F,"ED"),"0.0%")),IF(LEFT($B$7,6)="Number",SUMIFS(Comparison_Lookup,site_level_range_board,$B61,date_range_board,D60),TEXT(SUMIFS(Comparison_Lookup,site_level_range_board,$B61,date_range_board,D60)/SUMIFS(All_Attendances,site_level_range_board,$B61,date_range_board,D60),"0.0%"))),"")</f>
        <v>91.2%</v>
      </c>
      <c r="E61" s="165" t="str">
        <f ca="1">IFERROR(IF(ISNUMBER(FIND("ED only",$B$4)),IF(LEFT($B$7,6)="Number",SUMIFS(Comparison_Lookup,site_level_range_board,$B61,date_range_board,E60,inputdata!$F:$F,"ED"),TEXT(SUMIFS(Comparison_Lookup,site_level_range_board,$B61,date_range_board,E60,inputdata!$F:$F,"ED")/SUMIFS(All_Attendances,site_level_range_board,$B61,date_range_board,E60,inputdata!$F:$F,"ED"),"0.0%")),IF(LEFT($B$7,6)="Number",SUMIFS(Comparison_Lookup,site_level_range_board,$B61,date_range_board,E60),TEXT(SUMIFS(Comparison_Lookup,site_level_range_board,$B61,date_range_board,E60)/SUMIFS(All_Attendances,site_level_range_board,$B61,date_range_board,E60),"0.0%"))),"")</f>
        <v>90.5%</v>
      </c>
      <c r="F61" s="165" t="str">
        <f ca="1">IFERROR(IF(ISNUMBER(FIND("ED only",$B$4)),IF(LEFT($B$7,6)="Number",SUMIFS(Comparison_Lookup,site_level_range_board,$B61,date_range_board,F60,inputdata!$F:$F,"ED"),TEXT(SUMIFS(Comparison_Lookup,site_level_range_board,$B61,date_range_board,F60,inputdata!$F:$F,"ED")/SUMIFS(All_Attendances,site_level_range_board,$B61,date_range_board,F60,inputdata!$F:$F,"ED"),"0.0%")),IF(LEFT($B$7,6)="Number",SUMIFS(Comparison_Lookup,site_level_range_board,$B61,date_range_board,F60),TEXT(SUMIFS(Comparison_Lookup,site_level_range_board,$B61,date_range_board,F60)/SUMIFS(All_Attendances,site_level_range_board,$B61,date_range_board,F60),"0.0%"))),"")</f>
        <v>88.6%</v>
      </c>
      <c r="G61" s="165" t="str">
        <f ca="1">IFERROR(IF(ISNUMBER(FIND("ED only",$B$4)),IF(LEFT($B$7,6)="Number",SUMIFS(Comparison_Lookup,site_level_range_board,$B61,date_range_board,G60,inputdata!$F:$F,"ED"),TEXT(SUMIFS(Comparison_Lookup,site_level_range_board,$B61,date_range_board,G60,inputdata!$F:$F,"ED")/SUMIFS(All_Attendances,site_level_range_board,$B61,date_range_board,G60,inputdata!$F:$F,"ED"),"0.0%")),IF(LEFT($B$7,6)="Number",SUMIFS(Comparison_Lookup,site_level_range_board,$B61,date_range_board,G60),TEXT(SUMIFS(Comparison_Lookup,site_level_range_board,$B61,date_range_board,G60)/SUMIFS(All_Attendances,site_level_range_board,$B61,date_range_board,G60),"0.0%"))),"")</f>
        <v>85.1%</v>
      </c>
      <c r="H61" s="165" t="str">
        <f ca="1">IFERROR(IF(ISNUMBER(FIND("ED only",$B$4)),IF(LEFT($B$7,6)="Number",SUMIFS(Comparison_Lookup,site_level_range_board,$B61,date_range_board,H60,inputdata!$F:$F,"ED"),TEXT(SUMIFS(Comparison_Lookup,site_level_range_board,$B61,date_range_board,H60,inputdata!$F:$F,"ED")/SUMIFS(All_Attendances,site_level_range_board,$B61,date_range_board,H60,inputdata!$F:$F,"ED"),"0.0%")),IF(LEFT($B$7,6)="Number",SUMIFS(Comparison_Lookup,site_level_range_board,$B61,date_range_board,H60),TEXT(SUMIFS(Comparison_Lookup,site_level_range_board,$B61,date_range_board,H60)/SUMIFS(All_Attendances,site_level_range_board,$B61,date_range_board,H60),"0.0%"))),"")</f>
        <v>91.2%</v>
      </c>
      <c r="I61" s="165" t="str">
        <f ca="1">IFERROR(IF(ISNUMBER(FIND("ED only",$B$4)),IF(LEFT($B$7,6)="Number",SUMIFS(Comparison_Lookup,site_level_range_board,$B61,date_range_board,I60,inputdata!$F:$F,"ED"),TEXT(SUMIFS(Comparison_Lookup,site_level_range_board,$B61,date_range_board,I60,inputdata!$F:$F,"ED")/SUMIFS(All_Attendances,site_level_range_board,$B61,date_range_board,I60,inputdata!$F:$F,"ED"),"0.0%")),IF(LEFT($B$7,6)="Number",SUMIFS(Comparison_Lookup,site_level_range_board,$B61,date_range_board,I60),TEXT(SUMIFS(Comparison_Lookup,site_level_range_board,$B61,date_range_board,I60)/SUMIFS(All_Attendances,site_level_range_board,$B61,date_range_board,I60),"0.0%"))),"")</f>
        <v>85.4%</v>
      </c>
      <c r="J61" s="165" t="str">
        <f ca="1">IFERROR(IF(ISNUMBER(FIND("ED only",$B$4)),IF(LEFT($B$7,6)="Number",SUMIFS(Comparison_Lookup,site_level_range_board,$B61,date_range_board,J60,inputdata!$F:$F,"ED"),TEXT(SUMIFS(Comparison_Lookup,site_level_range_board,$B61,date_range_board,J60,inputdata!$F:$F,"ED")/SUMIFS(All_Attendances,site_level_range_board,$B61,date_range_board,J60,inputdata!$F:$F,"ED"),"0.0%")),IF(LEFT($B$7,6)="Number",SUMIFS(Comparison_Lookup,site_level_range_board,$B61,date_range_board,J60),TEXT(SUMIFS(Comparison_Lookup,site_level_range_board,$B61,date_range_board,J60)/SUMIFS(All_Attendances,site_level_range_board,$B61,date_range_board,J60),"0.0%"))),"")</f>
        <v>82.2%</v>
      </c>
      <c r="K61" s="165" t="str">
        <f ca="1">IFERROR(IF(ISNUMBER(FIND("ED only",$B$4)),IF(LEFT($B$7,6)="Number",SUMIFS(Comparison_Lookup,site_level_range_board,$B61,date_range_board,K60,inputdata!$F:$F,"ED"),TEXT(SUMIFS(Comparison_Lookup,site_level_range_board,$B61,date_range_board,K60,inputdata!$F:$F,"ED")/SUMIFS(All_Attendances,site_level_range_board,$B61,date_range_board,K60,inputdata!$F:$F,"ED"),"0.0%")),IF(LEFT($B$7,6)="Number",SUMIFS(Comparison_Lookup,site_level_range_board,$B61,date_range_board,K60),TEXT(SUMIFS(Comparison_Lookup,site_level_range_board,$B61,date_range_board,K60)/SUMIFS(All_Attendances,site_level_range_board,$B61,date_range_board,K60),"0.0%"))),"")</f>
        <v>82.0%</v>
      </c>
      <c r="L61" s="165" t="str">
        <f ca="1">IFERROR(IF(ISNUMBER(FIND("ED only",$B$4)),IF(LEFT($B$7,6)="Number",SUMIFS(Comparison_Lookup,site_level_range_board,$B61,date_range_board,L60,inputdata!$F:$F,"ED"),TEXT(SUMIFS(Comparison_Lookup,site_level_range_board,$B61,date_range_board,L60,inputdata!$F:$F,"ED")/SUMIFS(All_Attendances,site_level_range_board,$B61,date_range_board,L60,inputdata!$F:$F,"ED"),"0.0%")),IF(LEFT($B$7,6)="Number",SUMIFS(Comparison_Lookup,site_level_range_board,$B61,date_range_board,L60),TEXT(SUMIFS(Comparison_Lookup,site_level_range_board,$B61,date_range_board,L60)/SUMIFS(All_Attendances,site_level_range_board,$B61,date_range_board,L60),"0.0%"))),"")</f>
        <v>78.3%</v>
      </c>
      <c r="M61" s="165" t="str">
        <f ca="1">IFERROR(IF(ISNUMBER(FIND("ED only",$B$4)),IF(LEFT($B$7,6)="Number",SUMIFS(Comparison_Lookup,site_level_range_board,$B61,date_range_board,M60,inputdata!$F:$F,"ED"),TEXT(SUMIFS(Comparison_Lookup,site_level_range_board,$B61,date_range_board,M60,inputdata!$F:$F,"ED")/SUMIFS(All_Attendances,site_level_range_board,$B61,date_range_board,M60,inputdata!$F:$F,"ED"),"0.0%")),IF(LEFT($B$7,6)="Number",SUMIFS(Comparison_Lookup,site_level_range_board,$B61,date_range_board,M60),TEXT(SUMIFS(Comparison_Lookup,site_level_range_board,$B61,date_range_board,M60)/SUMIFS(All_Attendances,site_level_range_board,$B61,date_range_board,M60),"0.0%"))),"")</f>
        <v>77.7%</v>
      </c>
      <c r="N61" s="171" t="str">
        <f ca="1">IFERROR(IF(ISNUMBER(FIND("ED only",$B$4)),IF(LEFT($B$7,6)="Number",SUMIFS(Comparison_Lookup,site_level_range_board,$B61,date_range_board,N60,inputdata!$F:$F,"ED"),TEXT(SUMIFS(Comparison_Lookup,site_level_range_board,$B61,date_range_board,N60,inputdata!$F:$F,"ED")/SUMIFS(All_Attendances,site_level_range_board,$B61,date_range_board,N60,inputdata!$F:$F,"ED"),"0.0%")),IF(LEFT($B$7,6)="Number",SUMIFS(Comparison_Lookup,site_level_range_board,$B61,date_range_board,N60),TEXT(SUMIFS(Comparison_Lookup,site_level_range_board,$B61,date_range_board,N60)/SUMIFS(All_Attendances,site_level_range_board,$B61,date_range_board,N60),"0.0%"))),"")</f>
        <v>87.0%</v>
      </c>
    </row>
    <row r="62" spans="1:16" ht="15" customHeight="1" x14ac:dyDescent="0.2">
      <c r="A62" s="132"/>
      <c r="B62" s="152" t="s">
        <v>418</v>
      </c>
      <c r="C62" s="165" t="str">
        <f ca="1">IFERROR(IF(ISNUMBER(FIND("ED only",$B$4)),IF(LEFT($B$7,6)="Number",SUMIFS(Comparison_Lookup,site_level_range_board,$B62,date_range_board,C60,inputdata!$F:$F,"ED"),TEXT(SUMIFS(Comparison_Lookup,site_level_range_board,$B62,date_range_board,C60,inputdata!$F:$F,"ED")/SUMIFS(All_Attendances,site_level_range_board,$B62,date_range_board,C60,inputdata!$F:$F,"ED"),"0.0%")),IF(LEFT($B$7,6)="Number",SUMIFS(Comparison_Lookup,site_level_range_board,$B62,date_range_board,C60),TEXT(SUMIFS(Comparison_Lookup,site_level_range_board,$B62,date_range_board,C60)/SUMIFS(All_Attendances,site_level_range_board,$B62,date_range_board,C60),"0.0%"))),"")</f>
        <v>94.7%</v>
      </c>
      <c r="D62" s="165" t="str">
        <f ca="1">IFERROR(IF(ISNUMBER(FIND("ED only",$B$4)),IF(LEFT($B$7,6)="Number",SUMIFS(Comparison_Lookup,site_level_range_board,$B62,date_range_board,D60,inputdata!$F:$F,"ED"),TEXT(SUMIFS(Comparison_Lookup,site_level_range_board,$B62,date_range_board,D60,inputdata!$F:$F,"ED")/SUMIFS(All_Attendances,site_level_range_board,$B62,date_range_board,D60,inputdata!$F:$F,"ED"),"0.0%")),IF(LEFT($B$7,6)="Number",SUMIFS(Comparison_Lookup,site_level_range_board,$B62,date_range_board,D60),TEXT(SUMIFS(Comparison_Lookup,site_level_range_board,$B62,date_range_board,D60)/SUMIFS(All_Attendances,site_level_range_board,$B62,date_range_board,D60),"0.0%"))),"")</f>
        <v>95.4%</v>
      </c>
      <c r="E62" s="165" t="str">
        <f ca="1">IFERROR(IF(ISNUMBER(FIND("ED only",$B$4)),IF(LEFT($B$7,6)="Number",SUMIFS(Comparison_Lookup,site_level_range_board,$B62,date_range_board,E60,inputdata!$F:$F,"ED"),TEXT(SUMIFS(Comparison_Lookup,site_level_range_board,$B62,date_range_board,E60,inputdata!$F:$F,"ED")/SUMIFS(All_Attendances,site_level_range_board,$B62,date_range_board,E60,inputdata!$F:$F,"ED"),"0.0%")),IF(LEFT($B$7,6)="Number",SUMIFS(Comparison_Lookup,site_level_range_board,$B62,date_range_board,E60),TEXT(SUMIFS(Comparison_Lookup,site_level_range_board,$B62,date_range_board,E60)/SUMIFS(All_Attendances,site_level_range_board,$B62,date_range_board,E60),"0.0%"))),"")</f>
        <v>93.7%</v>
      </c>
      <c r="F62" s="165" t="str">
        <f ca="1">IFERROR(IF(ISNUMBER(FIND("ED only",$B$4)),IF(LEFT($B$7,6)="Number",SUMIFS(Comparison_Lookup,site_level_range_board,$B62,date_range_board,F60,inputdata!$F:$F,"ED"),TEXT(SUMIFS(Comparison_Lookup,site_level_range_board,$B62,date_range_board,F60,inputdata!$F:$F,"ED")/SUMIFS(All_Attendances,site_level_range_board,$B62,date_range_board,F60,inputdata!$F:$F,"ED"),"0.0%")),IF(LEFT($B$7,6)="Number",SUMIFS(Comparison_Lookup,site_level_range_board,$B62,date_range_board,F60),TEXT(SUMIFS(Comparison_Lookup,site_level_range_board,$B62,date_range_board,F60)/SUMIFS(All_Attendances,site_level_range_board,$B62,date_range_board,F60),"0.0%"))),"")</f>
        <v>91.8%</v>
      </c>
      <c r="G62" s="165" t="str">
        <f ca="1">IFERROR(IF(ISNUMBER(FIND("ED only",$B$4)),IF(LEFT($B$7,6)="Number",SUMIFS(Comparison_Lookup,site_level_range_board,$B62,date_range_board,G60,inputdata!$F:$F,"ED"),TEXT(SUMIFS(Comparison_Lookup,site_level_range_board,$B62,date_range_board,G60,inputdata!$F:$F,"ED")/SUMIFS(All_Attendances,site_level_range_board,$B62,date_range_board,G60,inputdata!$F:$F,"ED"),"0.0%")),IF(LEFT($B$7,6)="Number",SUMIFS(Comparison_Lookup,site_level_range_board,$B62,date_range_board,G60),TEXT(SUMIFS(Comparison_Lookup,site_level_range_board,$B62,date_range_board,G60)/SUMIFS(All_Attendances,site_level_range_board,$B62,date_range_board,G60),"0.0%"))),"")</f>
        <v>92.6%</v>
      </c>
      <c r="H62" s="165" t="str">
        <f ca="1">IFERROR(IF(ISNUMBER(FIND("ED only",$B$4)),IF(LEFT($B$7,6)="Number",SUMIFS(Comparison_Lookup,site_level_range_board,$B62,date_range_board,H60,inputdata!$F:$F,"ED"),TEXT(SUMIFS(Comparison_Lookup,site_level_range_board,$B62,date_range_board,H60,inputdata!$F:$F,"ED")/SUMIFS(All_Attendances,site_level_range_board,$B62,date_range_board,H60,inputdata!$F:$F,"ED"),"0.0%")),IF(LEFT($B$7,6)="Number",SUMIFS(Comparison_Lookup,site_level_range_board,$B62,date_range_board,H60),TEXT(SUMIFS(Comparison_Lookup,site_level_range_board,$B62,date_range_board,H60)/SUMIFS(All_Attendances,site_level_range_board,$B62,date_range_board,H60),"0.0%"))),"")</f>
        <v>92.5%</v>
      </c>
      <c r="I62" s="165" t="str">
        <f ca="1">IFERROR(IF(ISNUMBER(FIND("ED only",$B$4)),IF(LEFT($B$7,6)="Number",SUMIFS(Comparison_Lookup,site_level_range_board,$B62,date_range_board,I60,inputdata!$F:$F,"ED"),TEXT(SUMIFS(Comparison_Lookup,site_level_range_board,$B62,date_range_board,I60,inputdata!$F:$F,"ED")/SUMIFS(All_Attendances,site_level_range_board,$B62,date_range_board,I60,inputdata!$F:$F,"ED"),"0.0%")),IF(LEFT($B$7,6)="Number",SUMIFS(Comparison_Lookup,site_level_range_board,$B62,date_range_board,I60),TEXT(SUMIFS(Comparison_Lookup,site_level_range_board,$B62,date_range_board,I60)/SUMIFS(All_Attendances,site_level_range_board,$B62,date_range_board,I60),"0.0%"))),"")</f>
        <v>91.5%</v>
      </c>
      <c r="J62" s="165" t="str">
        <f ca="1">IFERROR(IF(ISNUMBER(FIND("ED only",$B$4)),IF(LEFT($B$7,6)="Number",SUMIFS(Comparison_Lookup,site_level_range_board,$B62,date_range_board,J60,inputdata!$F:$F,"ED"),TEXT(SUMIFS(Comparison_Lookup,site_level_range_board,$B62,date_range_board,J60,inputdata!$F:$F,"ED")/SUMIFS(All_Attendances,site_level_range_board,$B62,date_range_board,J60,inputdata!$F:$F,"ED"),"0.0%")),IF(LEFT($B$7,6)="Number",SUMIFS(Comparison_Lookup,site_level_range_board,$B62,date_range_board,J60),TEXT(SUMIFS(Comparison_Lookup,site_level_range_board,$B62,date_range_board,J60)/SUMIFS(All_Attendances,site_level_range_board,$B62,date_range_board,J60),"0.0%"))),"")</f>
        <v>85.6%</v>
      </c>
      <c r="K62" s="165" t="str">
        <f ca="1">IFERROR(IF(ISNUMBER(FIND("ED only",$B$4)),IF(LEFT($B$7,6)="Number",SUMIFS(Comparison_Lookup,site_level_range_board,$B62,date_range_board,K60,inputdata!$F:$F,"ED"),TEXT(SUMIFS(Comparison_Lookup,site_level_range_board,$B62,date_range_board,K60,inputdata!$F:$F,"ED")/SUMIFS(All_Attendances,site_level_range_board,$B62,date_range_board,K60,inputdata!$F:$F,"ED"),"0.0%")),IF(LEFT($B$7,6)="Number",SUMIFS(Comparison_Lookup,site_level_range_board,$B62,date_range_board,K60),TEXT(SUMIFS(Comparison_Lookup,site_level_range_board,$B62,date_range_board,K60)/SUMIFS(All_Attendances,site_level_range_board,$B62,date_range_board,K60),"0.0%"))),"")</f>
        <v>85.1%</v>
      </c>
      <c r="L62" s="165" t="str">
        <f ca="1">IFERROR(IF(ISNUMBER(FIND("ED only",$B$4)),IF(LEFT($B$7,6)="Number",SUMIFS(Comparison_Lookup,site_level_range_board,$B62,date_range_board,L60,inputdata!$F:$F,"ED"),TEXT(SUMIFS(Comparison_Lookup,site_level_range_board,$B62,date_range_board,L60,inputdata!$F:$F,"ED")/SUMIFS(All_Attendances,site_level_range_board,$B62,date_range_board,L60,inputdata!$F:$F,"ED"),"0.0%")),IF(LEFT($B$7,6)="Number",SUMIFS(Comparison_Lookup,site_level_range_board,$B62,date_range_board,L60),TEXT(SUMIFS(Comparison_Lookup,site_level_range_board,$B62,date_range_board,L60)/SUMIFS(All_Attendances,site_level_range_board,$B62,date_range_board,L60),"0.0%"))),"")</f>
        <v>88.1%</v>
      </c>
      <c r="M62" s="165" t="str">
        <f ca="1">IFERROR(IF(ISNUMBER(FIND("ED only",$B$4)),IF(LEFT($B$7,6)="Number",SUMIFS(Comparison_Lookup,site_level_range_board,$B62,date_range_board,M60,inputdata!$F:$F,"ED"),TEXT(SUMIFS(Comparison_Lookup,site_level_range_board,$B62,date_range_board,M60,inputdata!$F:$F,"ED")/SUMIFS(All_Attendances,site_level_range_board,$B62,date_range_board,M60,inputdata!$F:$F,"ED"),"0.0%")),IF(LEFT($B$7,6)="Number",SUMIFS(Comparison_Lookup,site_level_range_board,$B62,date_range_board,M60),TEXT(SUMIFS(Comparison_Lookup,site_level_range_board,$B62,date_range_board,M60)/SUMIFS(All_Attendances,site_level_range_board,$B62,date_range_board,M60),"0.0%"))),"")</f>
        <v>87.3%</v>
      </c>
      <c r="N62" s="171" t="str">
        <f ca="1">IFERROR(IF(ISNUMBER(FIND("ED only",$B$4)),IF(LEFT($B$7,6)="Number",SUMIFS(Comparison_Lookup,site_level_range_board,$B62,date_range_board,N60,inputdata!$F:$F,"ED"),TEXT(SUMIFS(Comparison_Lookup,site_level_range_board,$B62,date_range_board,N60,inputdata!$F:$F,"ED")/SUMIFS(All_Attendances,site_level_range_board,$B62,date_range_board,N60,inputdata!$F:$F,"ED"),"0.0%")),IF(LEFT($B$7,6)="Number",SUMIFS(Comparison_Lookup,site_level_range_board,$B62,date_range_board,N60),TEXT(SUMIFS(Comparison_Lookup,site_level_range_board,$B62,date_range_board,N60)/SUMIFS(All_Attendances,site_level_range_board,$B62,date_range_board,N60),"0.0%"))),"")</f>
        <v>86.3%</v>
      </c>
    </row>
    <row r="63" spans="1:16" ht="15" customHeight="1" x14ac:dyDescent="0.2">
      <c r="A63" s="132"/>
      <c r="B63" s="152" t="s">
        <v>429</v>
      </c>
      <c r="C63" s="165" t="str">
        <f ca="1">IFERROR(IF(ISNUMBER(FIND("ED only",$B$4)),IF(LEFT($B$7,6)="Number",SUMIFS(Comparison_Lookup,site_level_range_board,$B63,date_range_board,C60,inputdata!$F:$F,"ED"),TEXT(SUMIFS(Comparison_Lookup,site_level_range_board,$B63,date_range_board,C60,inputdata!$F:$F,"ED")/SUMIFS(All_Attendances,site_level_range_board,$B63,date_range_board,C60,inputdata!$F:$F,"ED"),"0.0%")),IF(LEFT($B$7,6)="Number",SUMIFS(Comparison_Lookup,site_level_range_board,$B63,date_range_board,C60),TEXT(SUMIFS(Comparison_Lookup,site_level_range_board,$B63,date_range_board,C60)/SUMIFS(All_Attendances,site_level_range_board,$B63,date_range_board,C60),"0.0%"))),"")</f>
        <v>93.1%</v>
      </c>
      <c r="D63" s="165" t="str">
        <f ca="1">IFERROR(IF(ISNUMBER(FIND("ED only",$B$4)),IF(LEFT($B$7,6)="Number",SUMIFS(Comparison_Lookup,site_level_range_board,$B63,date_range_board,D60,inputdata!$F:$F,"ED"),TEXT(SUMIFS(Comparison_Lookup,site_level_range_board,$B63,date_range_board,D60,inputdata!$F:$F,"ED")/SUMIFS(All_Attendances,site_level_range_board,$B63,date_range_board,D60,inputdata!$F:$F,"ED"),"0.0%")),IF(LEFT($B$7,6)="Number",SUMIFS(Comparison_Lookup,site_level_range_board,$B63,date_range_board,D60),TEXT(SUMIFS(Comparison_Lookup,site_level_range_board,$B63,date_range_board,D60)/SUMIFS(All_Attendances,site_level_range_board,$B63,date_range_board,D60),"0.0%"))),"")</f>
        <v>92.6%</v>
      </c>
      <c r="E63" s="165" t="str">
        <f ca="1">IFERROR(IF(ISNUMBER(FIND("ED only",$B$4)),IF(LEFT($B$7,6)="Number",SUMIFS(Comparison_Lookup,site_level_range_board,$B63,date_range_board,E60,inputdata!$F:$F,"ED"),TEXT(SUMIFS(Comparison_Lookup,site_level_range_board,$B63,date_range_board,E60,inputdata!$F:$F,"ED")/SUMIFS(All_Attendances,site_level_range_board,$B63,date_range_board,E60,inputdata!$F:$F,"ED"),"0.0%")),IF(LEFT($B$7,6)="Number",SUMIFS(Comparison_Lookup,site_level_range_board,$B63,date_range_board,E60),TEXT(SUMIFS(Comparison_Lookup,site_level_range_board,$B63,date_range_board,E60)/SUMIFS(All_Attendances,site_level_range_board,$B63,date_range_board,E60),"0.0%"))),"")</f>
        <v>91.3%</v>
      </c>
      <c r="F63" s="165" t="str">
        <f ca="1">IFERROR(IF(ISNUMBER(FIND("ED only",$B$4)),IF(LEFT($B$7,6)="Number",SUMIFS(Comparison_Lookup,site_level_range_board,$B63,date_range_board,F60,inputdata!$F:$F,"ED"),TEXT(SUMIFS(Comparison_Lookup,site_level_range_board,$B63,date_range_board,F60,inputdata!$F:$F,"ED")/SUMIFS(All_Attendances,site_level_range_board,$B63,date_range_board,F60,inputdata!$F:$F,"ED"),"0.0%")),IF(LEFT($B$7,6)="Number",SUMIFS(Comparison_Lookup,site_level_range_board,$B63,date_range_board,F60),TEXT(SUMIFS(Comparison_Lookup,site_level_range_board,$B63,date_range_board,F60)/SUMIFS(All_Attendances,site_level_range_board,$B63,date_range_board,F60),"0.0%"))),"")</f>
        <v>90.2%</v>
      </c>
      <c r="G63" s="165" t="str">
        <f ca="1">IFERROR(IF(ISNUMBER(FIND("ED only",$B$4)),IF(LEFT($B$7,6)="Number",SUMIFS(Comparison_Lookup,site_level_range_board,$B63,date_range_board,G60,inputdata!$F:$F,"ED"),TEXT(SUMIFS(Comparison_Lookup,site_level_range_board,$B63,date_range_board,G60,inputdata!$F:$F,"ED")/SUMIFS(All_Attendances,site_level_range_board,$B63,date_range_board,G60,inputdata!$F:$F,"ED"),"0.0%")),IF(LEFT($B$7,6)="Number",SUMIFS(Comparison_Lookup,site_level_range_board,$B63,date_range_board,G60),TEXT(SUMIFS(Comparison_Lookup,site_level_range_board,$B63,date_range_board,G60)/SUMIFS(All_Attendances,site_level_range_board,$B63,date_range_board,G60),"0.0%"))),"")</f>
        <v>93.9%</v>
      </c>
      <c r="H63" s="165" t="str">
        <f ca="1">IFERROR(IF(ISNUMBER(FIND("ED only",$B$4)),IF(LEFT($B$7,6)="Number",SUMIFS(Comparison_Lookup,site_level_range_board,$B63,date_range_board,H60,inputdata!$F:$F,"ED"),TEXT(SUMIFS(Comparison_Lookup,site_level_range_board,$B63,date_range_board,H60,inputdata!$F:$F,"ED")/SUMIFS(All_Attendances,site_level_range_board,$B63,date_range_board,H60,inputdata!$F:$F,"ED"),"0.0%")),IF(LEFT($B$7,6)="Number",SUMIFS(Comparison_Lookup,site_level_range_board,$B63,date_range_board,H60),TEXT(SUMIFS(Comparison_Lookup,site_level_range_board,$B63,date_range_board,H60)/SUMIFS(All_Attendances,site_level_range_board,$B63,date_range_board,H60),"0.0%"))),"")</f>
        <v>92.0%</v>
      </c>
      <c r="I63" s="165" t="str">
        <f ca="1">IFERROR(IF(ISNUMBER(FIND("ED only",$B$4)),IF(LEFT($B$7,6)="Number",SUMIFS(Comparison_Lookup,site_level_range_board,$B63,date_range_board,I60,inputdata!$F:$F,"ED"),TEXT(SUMIFS(Comparison_Lookup,site_level_range_board,$B63,date_range_board,I60,inputdata!$F:$F,"ED")/SUMIFS(All_Attendances,site_level_range_board,$B63,date_range_board,I60,inputdata!$F:$F,"ED"),"0.0%")),IF(LEFT($B$7,6)="Number",SUMIFS(Comparison_Lookup,site_level_range_board,$B63,date_range_board,I60),TEXT(SUMIFS(Comparison_Lookup,site_level_range_board,$B63,date_range_board,I60)/SUMIFS(All_Attendances,site_level_range_board,$B63,date_range_board,I60),"0.0%"))),"")</f>
        <v>91.1%</v>
      </c>
      <c r="J63" s="165" t="str">
        <f ca="1">IFERROR(IF(ISNUMBER(FIND("ED only",$B$4)),IF(LEFT($B$7,6)="Number",SUMIFS(Comparison_Lookup,site_level_range_board,$B63,date_range_board,J60,inputdata!$F:$F,"ED"),TEXT(SUMIFS(Comparison_Lookup,site_level_range_board,$B63,date_range_board,J60,inputdata!$F:$F,"ED")/SUMIFS(All_Attendances,site_level_range_board,$B63,date_range_board,J60,inputdata!$F:$F,"ED"),"0.0%")),IF(LEFT($B$7,6)="Number",SUMIFS(Comparison_Lookup,site_level_range_board,$B63,date_range_board,J60),TEXT(SUMIFS(Comparison_Lookup,site_level_range_board,$B63,date_range_board,J60)/SUMIFS(All_Attendances,site_level_range_board,$B63,date_range_board,J60),"0.0%"))),"")</f>
        <v>88.4%</v>
      </c>
      <c r="K63" s="165" t="str">
        <f ca="1">IFERROR(IF(ISNUMBER(FIND("ED only",$B$4)),IF(LEFT($B$7,6)="Number",SUMIFS(Comparison_Lookup,site_level_range_board,$B63,date_range_board,K60,inputdata!$F:$F,"ED"),TEXT(SUMIFS(Comparison_Lookup,site_level_range_board,$B63,date_range_board,K60,inputdata!$F:$F,"ED")/SUMIFS(All_Attendances,site_level_range_board,$B63,date_range_board,K60,inputdata!$F:$F,"ED"),"0.0%")),IF(LEFT($B$7,6)="Number",SUMIFS(Comparison_Lookup,site_level_range_board,$B63,date_range_board,K60),TEXT(SUMIFS(Comparison_Lookup,site_level_range_board,$B63,date_range_board,K60)/SUMIFS(All_Attendances,site_level_range_board,$B63,date_range_board,K60),"0.0%"))),"")</f>
        <v>86.2%</v>
      </c>
      <c r="L63" s="165" t="str">
        <f ca="1">IFERROR(IF(ISNUMBER(FIND("ED only",$B$4)),IF(LEFT($B$7,6)="Number",SUMIFS(Comparison_Lookup,site_level_range_board,$B63,date_range_board,L60,inputdata!$F:$F,"ED"),TEXT(SUMIFS(Comparison_Lookup,site_level_range_board,$B63,date_range_board,L60,inputdata!$F:$F,"ED")/SUMIFS(All_Attendances,site_level_range_board,$B63,date_range_board,L60,inputdata!$F:$F,"ED"),"0.0%")),IF(LEFT($B$7,6)="Number",SUMIFS(Comparison_Lookup,site_level_range_board,$B63,date_range_board,L60),TEXT(SUMIFS(Comparison_Lookup,site_level_range_board,$B63,date_range_board,L60)/SUMIFS(All_Attendances,site_level_range_board,$B63,date_range_board,L60),"0.0%"))),"")</f>
        <v>87.4%</v>
      </c>
      <c r="M63" s="165" t="str">
        <f ca="1">IFERROR(IF(ISNUMBER(FIND("ED only",$B$4)),IF(LEFT($B$7,6)="Number",SUMIFS(Comparison_Lookup,site_level_range_board,$B63,date_range_board,M60,inputdata!$F:$F,"ED"),TEXT(SUMIFS(Comparison_Lookup,site_level_range_board,$B63,date_range_board,M60,inputdata!$F:$F,"ED")/SUMIFS(All_Attendances,site_level_range_board,$B63,date_range_board,M60,inputdata!$F:$F,"ED"),"0.0%")),IF(LEFT($B$7,6)="Number",SUMIFS(Comparison_Lookup,site_level_range_board,$B63,date_range_board,M60),TEXT(SUMIFS(Comparison_Lookup,site_level_range_board,$B63,date_range_board,M60)/SUMIFS(All_Attendances,site_level_range_board,$B63,date_range_board,M60),"0.0%"))),"")</f>
        <v>88.7%</v>
      </c>
      <c r="N63" s="171" t="str">
        <f ca="1">IFERROR(IF(ISNUMBER(FIND("ED only",$B$4)),IF(LEFT($B$7,6)="Number",SUMIFS(Comparison_Lookup,site_level_range_board,$B63,date_range_board,N60,inputdata!$F:$F,"ED"),TEXT(SUMIFS(Comparison_Lookup,site_level_range_board,$B63,date_range_board,N60,inputdata!$F:$F,"ED")/SUMIFS(All_Attendances,site_level_range_board,$B63,date_range_board,N60,inputdata!$F:$F,"ED"),"0.0%")),IF(LEFT($B$7,6)="Number",SUMIFS(Comparison_Lookup,site_level_range_board,$B63,date_range_board,N60),TEXT(SUMIFS(Comparison_Lookup,site_level_range_board,$B63,date_range_board,N60)/SUMIFS(All_Attendances,site_level_range_board,$B63,date_range_board,N60),"0.0%"))),"")</f>
        <v>88.7%</v>
      </c>
    </row>
    <row r="64" spans="1:16" ht="15" customHeight="1" x14ac:dyDescent="0.2">
      <c r="A64" s="132"/>
      <c r="B64" s="152" t="s">
        <v>442</v>
      </c>
      <c r="C64" s="165" t="str">
        <f ca="1">IFERROR(IF(ISNUMBER(FIND("ED only",$B$4)),IF(LEFT($B$7,6)="Number",SUMIFS(Comparison_Lookup,site_level_range_board,$B64,date_range_board,C60,inputdata!$F:$F,"ED"),TEXT(SUMIFS(Comparison_Lookup,site_level_range_board,$B64,date_range_board,C60,inputdata!$F:$F,"ED")/SUMIFS(All_Attendances,site_level_range_board,$B64,date_range_board,C60,inputdata!$F:$F,"ED"),"0.0%")),IF(LEFT($B$7,6)="Number",SUMIFS(Comparison_Lookup,site_level_range_board,$B64,date_range_board,C60),TEXT(SUMIFS(Comparison_Lookup,site_level_range_board,$B64,date_range_board,C60)/SUMIFS(All_Attendances,site_level_range_board,$B64,date_range_board,C60),"0.0%"))),"")</f>
        <v>94.7%</v>
      </c>
      <c r="D64" s="165" t="str">
        <f ca="1">IFERROR(IF(ISNUMBER(FIND("ED only",$B$4)),IF(LEFT($B$7,6)="Number",SUMIFS(Comparison_Lookup,site_level_range_board,$B64,date_range_board,D60,inputdata!$F:$F,"ED"),TEXT(SUMIFS(Comparison_Lookup,site_level_range_board,$B64,date_range_board,D60,inputdata!$F:$F,"ED")/SUMIFS(All_Attendances,site_level_range_board,$B64,date_range_board,D60,inputdata!$F:$F,"ED"),"0.0%")),IF(LEFT($B$7,6)="Number",SUMIFS(Comparison_Lookup,site_level_range_board,$B64,date_range_board,D60),TEXT(SUMIFS(Comparison_Lookup,site_level_range_board,$B64,date_range_board,D60)/SUMIFS(All_Attendances,site_level_range_board,$B64,date_range_board,D60),"0.0%"))),"")</f>
        <v>94.5%</v>
      </c>
      <c r="E64" s="165" t="str">
        <f ca="1">IFERROR(IF(ISNUMBER(FIND("ED only",$B$4)),IF(LEFT($B$7,6)="Number",SUMIFS(Comparison_Lookup,site_level_range_board,$B64,date_range_board,E60,inputdata!$F:$F,"ED"),TEXT(SUMIFS(Comparison_Lookup,site_level_range_board,$B64,date_range_board,E60,inputdata!$F:$F,"ED")/SUMIFS(All_Attendances,site_level_range_board,$B64,date_range_board,E60,inputdata!$F:$F,"ED"),"0.0%")),IF(LEFT($B$7,6)="Number",SUMIFS(Comparison_Lookup,site_level_range_board,$B64,date_range_board,E60),TEXT(SUMIFS(Comparison_Lookup,site_level_range_board,$B64,date_range_board,E60)/SUMIFS(All_Attendances,site_level_range_board,$B64,date_range_board,E60),"0.0%"))),"")</f>
        <v>94.9%</v>
      </c>
      <c r="F64" s="165" t="str">
        <f ca="1">IFERROR(IF(ISNUMBER(FIND("ED only",$B$4)),IF(LEFT($B$7,6)="Number",SUMIFS(Comparison_Lookup,site_level_range_board,$B64,date_range_board,F60,inputdata!$F:$F,"ED"),TEXT(SUMIFS(Comparison_Lookup,site_level_range_board,$B64,date_range_board,F60,inputdata!$F:$F,"ED")/SUMIFS(All_Attendances,site_level_range_board,$B64,date_range_board,F60,inputdata!$F:$F,"ED"),"0.0%")),IF(LEFT($B$7,6)="Number",SUMIFS(Comparison_Lookup,site_level_range_board,$B64,date_range_board,F60),TEXT(SUMIFS(Comparison_Lookup,site_level_range_board,$B64,date_range_board,F60)/SUMIFS(All_Attendances,site_level_range_board,$B64,date_range_board,F60),"0.0%"))),"")</f>
        <v>95.1%</v>
      </c>
      <c r="G64" s="165" t="str">
        <f ca="1">IFERROR(IF(ISNUMBER(FIND("ED only",$B$4)),IF(LEFT($B$7,6)="Number",SUMIFS(Comparison_Lookup,site_level_range_board,$B64,date_range_board,G60,inputdata!$F:$F,"ED"),TEXT(SUMIFS(Comparison_Lookup,site_level_range_board,$B64,date_range_board,G60,inputdata!$F:$F,"ED")/SUMIFS(All_Attendances,site_level_range_board,$B64,date_range_board,G60,inputdata!$F:$F,"ED"),"0.0%")),IF(LEFT($B$7,6)="Number",SUMIFS(Comparison_Lookup,site_level_range_board,$B64,date_range_board,G60),TEXT(SUMIFS(Comparison_Lookup,site_level_range_board,$B64,date_range_board,G60)/SUMIFS(All_Attendances,site_level_range_board,$B64,date_range_board,G60),"0.0%"))),"")</f>
        <v>93.6%</v>
      </c>
      <c r="H64" s="165" t="str">
        <f ca="1">IFERROR(IF(ISNUMBER(FIND("ED only",$B$4)),IF(LEFT($B$7,6)="Number",SUMIFS(Comparison_Lookup,site_level_range_board,$B64,date_range_board,H60,inputdata!$F:$F,"ED"),TEXT(SUMIFS(Comparison_Lookup,site_level_range_board,$B64,date_range_board,H60,inputdata!$F:$F,"ED")/SUMIFS(All_Attendances,site_level_range_board,$B64,date_range_board,H60,inputdata!$F:$F,"ED"),"0.0%")),IF(LEFT($B$7,6)="Number",SUMIFS(Comparison_Lookup,site_level_range_board,$B64,date_range_board,H60),TEXT(SUMIFS(Comparison_Lookup,site_level_range_board,$B64,date_range_board,H60)/SUMIFS(All_Attendances,site_level_range_board,$B64,date_range_board,H60),"0.0%"))),"")</f>
        <v>92.0%</v>
      </c>
      <c r="I64" s="165" t="str">
        <f ca="1">IFERROR(IF(ISNUMBER(FIND("ED only",$B$4)),IF(LEFT($B$7,6)="Number",SUMIFS(Comparison_Lookup,site_level_range_board,$B64,date_range_board,I60,inputdata!$F:$F,"ED"),TEXT(SUMIFS(Comparison_Lookup,site_level_range_board,$B64,date_range_board,I60,inputdata!$F:$F,"ED")/SUMIFS(All_Attendances,site_level_range_board,$B64,date_range_board,I60,inputdata!$F:$F,"ED"),"0.0%")),IF(LEFT($B$7,6)="Number",SUMIFS(Comparison_Lookup,site_level_range_board,$B64,date_range_board,I60),TEXT(SUMIFS(Comparison_Lookup,site_level_range_board,$B64,date_range_board,I60)/SUMIFS(All_Attendances,site_level_range_board,$B64,date_range_board,I60),"0.0%"))),"")</f>
        <v>92.7%</v>
      </c>
      <c r="J64" s="165" t="str">
        <f ca="1">IFERROR(IF(ISNUMBER(FIND("ED only",$B$4)),IF(LEFT($B$7,6)="Number",SUMIFS(Comparison_Lookup,site_level_range_board,$B64,date_range_board,J60,inputdata!$F:$F,"ED"),TEXT(SUMIFS(Comparison_Lookup,site_level_range_board,$B64,date_range_board,J60,inputdata!$F:$F,"ED")/SUMIFS(All_Attendances,site_level_range_board,$B64,date_range_board,J60,inputdata!$F:$F,"ED"),"0.0%")),IF(LEFT($B$7,6)="Number",SUMIFS(Comparison_Lookup,site_level_range_board,$B64,date_range_board,J60),TEXT(SUMIFS(Comparison_Lookup,site_level_range_board,$B64,date_range_board,J60)/SUMIFS(All_Attendances,site_level_range_board,$B64,date_range_board,J60),"0.0%"))),"")</f>
        <v>92.7%</v>
      </c>
      <c r="K64" s="165" t="str">
        <f ca="1">IFERROR(IF(ISNUMBER(FIND("ED only",$B$4)),IF(LEFT($B$7,6)="Number",SUMIFS(Comparison_Lookup,site_level_range_board,$B64,date_range_board,K60,inputdata!$F:$F,"ED"),TEXT(SUMIFS(Comparison_Lookup,site_level_range_board,$B64,date_range_board,K60,inputdata!$F:$F,"ED")/SUMIFS(All_Attendances,site_level_range_board,$B64,date_range_board,K60,inputdata!$F:$F,"ED"),"0.0%")),IF(LEFT($B$7,6)="Number",SUMIFS(Comparison_Lookup,site_level_range_board,$B64,date_range_board,K60),TEXT(SUMIFS(Comparison_Lookup,site_level_range_board,$B64,date_range_board,K60)/SUMIFS(All_Attendances,site_level_range_board,$B64,date_range_board,K60),"0.0%"))),"")</f>
        <v>88.0%</v>
      </c>
      <c r="L64" s="165" t="str">
        <f ca="1">IFERROR(IF(ISNUMBER(FIND("ED only",$B$4)),IF(LEFT($B$7,6)="Number",SUMIFS(Comparison_Lookup,site_level_range_board,$B64,date_range_board,L60,inputdata!$F:$F,"ED"),TEXT(SUMIFS(Comparison_Lookup,site_level_range_board,$B64,date_range_board,L60,inputdata!$F:$F,"ED")/SUMIFS(All_Attendances,site_level_range_board,$B64,date_range_board,L60,inputdata!$F:$F,"ED"),"0.0%")),IF(LEFT($B$7,6)="Number",SUMIFS(Comparison_Lookup,site_level_range_board,$B64,date_range_board,L60),TEXT(SUMIFS(Comparison_Lookup,site_level_range_board,$B64,date_range_board,L60)/SUMIFS(All_Attendances,site_level_range_board,$B64,date_range_board,L60),"0.0%"))),"")</f>
        <v>90.0%</v>
      </c>
      <c r="M64" s="165" t="str">
        <f ca="1">IFERROR(IF(ISNUMBER(FIND("ED only",$B$4)),IF(LEFT($B$7,6)="Number",SUMIFS(Comparison_Lookup,site_level_range_board,$B64,date_range_board,M60,inputdata!$F:$F,"ED"),TEXT(SUMIFS(Comparison_Lookup,site_level_range_board,$B64,date_range_board,M60,inputdata!$F:$F,"ED")/SUMIFS(All_Attendances,site_level_range_board,$B64,date_range_board,M60,inputdata!$F:$F,"ED"),"0.0%")),IF(LEFT($B$7,6)="Number",SUMIFS(Comparison_Lookup,site_level_range_board,$B64,date_range_board,M60),TEXT(SUMIFS(Comparison_Lookup,site_level_range_board,$B64,date_range_board,M60)/SUMIFS(All_Attendances,site_level_range_board,$B64,date_range_board,M60),"0.0%"))),"")</f>
        <v>90.1%</v>
      </c>
      <c r="N64" s="171" t="str">
        <f ca="1">IFERROR(IF(ISNUMBER(FIND("ED only",$B$4)),IF(LEFT($B$7,6)="Number",SUMIFS(Comparison_Lookup,site_level_range_board,$B64,date_range_board,N60,inputdata!$F:$F,"ED"),TEXT(SUMIFS(Comparison_Lookup,site_level_range_board,$B64,date_range_board,N60,inputdata!$F:$F,"ED")/SUMIFS(All_Attendances,site_level_range_board,$B64,date_range_board,N60,inputdata!$F:$F,"ED"),"0.0%")),IF(LEFT($B$7,6)="Number",SUMIFS(Comparison_Lookup,site_level_range_board,$B64,date_range_board,N60),TEXT(SUMIFS(Comparison_Lookup,site_level_range_board,$B64,date_range_board,N60)/SUMIFS(All_Attendances,site_level_range_board,$B64,date_range_board,N60),"0.0%"))),"")</f>
        <v>91.8%</v>
      </c>
    </row>
    <row r="65" spans="1:14" ht="15" customHeight="1" x14ac:dyDescent="0.2">
      <c r="A65" s="132"/>
      <c r="B65" s="152" t="s">
        <v>451</v>
      </c>
      <c r="C65" s="165" t="str">
        <f ca="1">IFERROR(IF(ISNUMBER(FIND("ED only",$B$4)),IF(LEFT($B$7,6)="Number",SUMIFS(Comparison_Lookup,site_level_range_board,$B65,date_range_board,C60,inputdata!$F:$F,"ED"),TEXT(SUMIFS(Comparison_Lookup,site_level_range_board,$B65,date_range_board,C60,inputdata!$F:$F,"ED")/SUMIFS(All_Attendances,site_level_range_board,$B65,date_range_board,C60,inputdata!$F:$F,"ED"),"0.0%")),IF(LEFT($B$7,6)="Number",SUMIFS(Comparison_Lookup,site_level_range_board,$B65,date_range_board,C60),TEXT(SUMIFS(Comparison_Lookup,site_level_range_board,$B65,date_range_board,C60)/SUMIFS(All_Attendances,site_level_range_board,$B65,date_range_board,C60),"0.0%"))),"")</f>
        <v>92.1%</v>
      </c>
      <c r="D65" s="165" t="str">
        <f ca="1">IFERROR(IF(ISNUMBER(FIND("ED only",$B$4)),IF(LEFT($B$7,6)="Number",SUMIFS(Comparison_Lookup,site_level_range_board,$B65,date_range_board,D60,inputdata!$F:$F,"ED"),TEXT(SUMIFS(Comparison_Lookup,site_level_range_board,$B65,date_range_board,D60,inputdata!$F:$F,"ED")/SUMIFS(All_Attendances,site_level_range_board,$B65,date_range_board,D60,inputdata!$F:$F,"ED"),"0.0%")),IF(LEFT($B$7,6)="Number",SUMIFS(Comparison_Lookup,site_level_range_board,$B65,date_range_board,D60),TEXT(SUMIFS(Comparison_Lookup,site_level_range_board,$B65,date_range_board,D60)/SUMIFS(All_Attendances,site_level_range_board,$B65,date_range_board,D60),"0.0%"))),"")</f>
        <v>89.9%</v>
      </c>
      <c r="E65" s="165" t="str">
        <f ca="1">IFERROR(IF(ISNUMBER(FIND("ED only",$B$4)),IF(LEFT($B$7,6)="Number",SUMIFS(Comparison_Lookup,site_level_range_board,$B65,date_range_board,E60,inputdata!$F:$F,"ED"),TEXT(SUMIFS(Comparison_Lookup,site_level_range_board,$B65,date_range_board,E60,inputdata!$F:$F,"ED")/SUMIFS(All_Attendances,site_level_range_board,$B65,date_range_board,E60,inputdata!$F:$F,"ED"),"0.0%")),IF(LEFT($B$7,6)="Number",SUMIFS(Comparison_Lookup,site_level_range_board,$B65,date_range_board,E60),TEXT(SUMIFS(Comparison_Lookup,site_level_range_board,$B65,date_range_board,E60)/SUMIFS(All_Attendances,site_level_range_board,$B65,date_range_board,E60),"0.0%"))),"")</f>
        <v>87.5%</v>
      </c>
      <c r="F65" s="165" t="str">
        <f ca="1">IFERROR(IF(ISNUMBER(FIND("ED only",$B$4)),IF(LEFT($B$7,6)="Number",SUMIFS(Comparison_Lookup,site_level_range_board,$B65,date_range_board,F60,inputdata!$F:$F,"ED"),TEXT(SUMIFS(Comparison_Lookup,site_level_range_board,$B65,date_range_board,F60,inputdata!$F:$F,"ED")/SUMIFS(All_Attendances,site_level_range_board,$B65,date_range_board,F60,inputdata!$F:$F,"ED"),"0.0%")),IF(LEFT($B$7,6)="Number",SUMIFS(Comparison_Lookup,site_level_range_board,$B65,date_range_board,F60),TEXT(SUMIFS(Comparison_Lookup,site_level_range_board,$B65,date_range_board,F60)/SUMIFS(All_Attendances,site_level_range_board,$B65,date_range_board,F60),"0.0%"))),"")</f>
        <v>90.3%</v>
      </c>
      <c r="G65" s="165" t="str">
        <f ca="1">IFERROR(IF(ISNUMBER(FIND("ED only",$B$4)),IF(LEFT($B$7,6)="Number",SUMIFS(Comparison_Lookup,site_level_range_board,$B65,date_range_board,G60,inputdata!$F:$F,"ED"),TEXT(SUMIFS(Comparison_Lookup,site_level_range_board,$B65,date_range_board,G60,inputdata!$F:$F,"ED")/SUMIFS(All_Attendances,site_level_range_board,$B65,date_range_board,G60,inputdata!$F:$F,"ED"),"0.0%")),IF(LEFT($B$7,6)="Number",SUMIFS(Comparison_Lookup,site_level_range_board,$B65,date_range_board,G60),TEXT(SUMIFS(Comparison_Lookup,site_level_range_board,$B65,date_range_board,G60)/SUMIFS(All_Attendances,site_level_range_board,$B65,date_range_board,G60),"0.0%"))),"")</f>
        <v>89.8%</v>
      </c>
      <c r="H65" s="165" t="str">
        <f ca="1">IFERROR(IF(ISNUMBER(FIND("ED only",$B$4)),IF(LEFT($B$7,6)="Number",SUMIFS(Comparison_Lookup,site_level_range_board,$B65,date_range_board,H60,inputdata!$F:$F,"ED"),TEXT(SUMIFS(Comparison_Lookup,site_level_range_board,$B65,date_range_board,H60,inputdata!$F:$F,"ED")/SUMIFS(All_Attendances,site_level_range_board,$B65,date_range_board,H60,inputdata!$F:$F,"ED"),"0.0%")),IF(LEFT($B$7,6)="Number",SUMIFS(Comparison_Lookup,site_level_range_board,$B65,date_range_board,H60),TEXT(SUMIFS(Comparison_Lookup,site_level_range_board,$B65,date_range_board,H60)/SUMIFS(All_Attendances,site_level_range_board,$B65,date_range_board,H60),"0.0%"))),"")</f>
        <v>87.4%</v>
      </c>
      <c r="I65" s="165" t="str">
        <f ca="1">IFERROR(IF(ISNUMBER(FIND("ED only",$B$4)),IF(LEFT($B$7,6)="Number",SUMIFS(Comparison_Lookup,site_level_range_board,$B65,date_range_board,I60,inputdata!$F:$F,"ED"),TEXT(SUMIFS(Comparison_Lookup,site_level_range_board,$B65,date_range_board,I60,inputdata!$F:$F,"ED")/SUMIFS(All_Attendances,site_level_range_board,$B65,date_range_board,I60,inputdata!$F:$F,"ED"),"0.0%")),IF(LEFT($B$7,6)="Number",SUMIFS(Comparison_Lookup,site_level_range_board,$B65,date_range_board,I60),TEXT(SUMIFS(Comparison_Lookup,site_level_range_board,$B65,date_range_board,I60)/SUMIFS(All_Attendances,site_level_range_board,$B65,date_range_board,I60),"0.0%"))),"")</f>
        <v>88.4%</v>
      </c>
      <c r="J65" s="165" t="str">
        <f ca="1">IFERROR(IF(ISNUMBER(FIND("ED only",$B$4)),IF(LEFT($B$7,6)="Number",SUMIFS(Comparison_Lookup,site_level_range_board,$B65,date_range_board,J60,inputdata!$F:$F,"ED"),TEXT(SUMIFS(Comparison_Lookup,site_level_range_board,$B65,date_range_board,J60,inputdata!$F:$F,"ED")/SUMIFS(All_Attendances,site_level_range_board,$B65,date_range_board,J60,inputdata!$F:$F,"ED"),"0.0%")),IF(LEFT($B$7,6)="Number",SUMIFS(Comparison_Lookup,site_level_range_board,$B65,date_range_board,J60),TEXT(SUMIFS(Comparison_Lookup,site_level_range_board,$B65,date_range_board,J60)/SUMIFS(All_Attendances,site_level_range_board,$B65,date_range_board,J60),"0.0%"))),"")</f>
        <v>87.1%</v>
      </c>
      <c r="K65" s="165" t="str">
        <f ca="1">IFERROR(IF(ISNUMBER(FIND("ED only",$B$4)),IF(LEFT($B$7,6)="Number",SUMIFS(Comparison_Lookup,site_level_range_board,$B65,date_range_board,K60,inputdata!$F:$F,"ED"),TEXT(SUMIFS(Comparison_Lookup,site_level_range_board,$B65,date_range_board,K60,inputdata!$F:$F,"ED")/SUMIFS(All_Attendances,site_level_range_board,$B65,date_range_board,K60,inputdata!$F:$F,"ED"),"0.0%")),IF(LEFT($B$7,6)="Number",SUMIFS(Comparison_Lookup,site_level_range_board,$B65,date_range_board,K60),TEXT(SUMIFS(Comparison_Lookup,site_level_range_board,$B65,date_range_board,K60)/SUMIFS(All_Attendances,site_level_range_board,$B65,date_range_board,K60),"0.0%"))),"")</f>
        <v>86.7%</v>
      </c>
      <c r="L65" s="165" t="str">
        <f ca="1">IFERROR(IF(ISNUMBER(FIND("ED only",$B$4)),IF(LEFT($B$7,6)="Number",SUMIFS(Comparison_Lookup,site_level_range_board,$B65,date_range_board,L60,inputdata!$F:$F,"ED"),TEXT(SUMIFS(Comparison_Lookup,site_level_range_board,$B65,date_range_board,L60,inputdata!$F:$F,"ED")/SUMIFS(All_Attendances,site_level_range_board,$B65,date_range_board,L60,inputdata!$F:$F,"ED"),"0.0%")),IF(LEFT($B$7,6)="Number",SUMIFS(Comparison_Lookup,site_level_range_board,$B65,date_range_board,L60),TEXT(SUMIFS(Comparison_Lookup,site_level_range_board,$B65,date_range_board,L60)/SUMIFS(All_Attendances,site_level_range_board,$B65,date_range_board,L60),"0.0%"))),"")</f>
        <v>88.1%</v>
      </c>
      <c r="M65" s="165" t="str">
        <f ca="1">IFERROR(IF(ISNUMBER(FIND("ED only",$B$4)),IF(LEFT($B$7,6)="Number",SUMIFS(Comparison_Lookup,site_level_range_board,$B65,date_range_board,M60,inputdata!$F:$F,"ED"),TEXT(SUMIFS(Comparison_Lookup,site_level_range_board,$B65,date_range_board,M60,inputdata!$F:$F,"ED")/SUMIFS(All_Attendances,site_level_range_board,$B65,date_range_board,M60,inputdata!$F:$F,"ED"),"0.0%")),IF(LEFT($B$7,6)="Number",SUMIFS(Comparison_Lookup,site_level_range_board,$B65,date_range_board,M60),TEXT(SUMIFS(Comparison_Lookup,site_level_range_board,$B65,date_range_board,M60)/SUMIFS(All_Attendances,site_level_range_board,$B65,date_range_board,M60),"0.0%"))),"")</f>
        <v>94.3%</v>
      </c>
      <c r="N65" s="171" t="str">
        <f ca="1">IFERROR(IF(ISNUMBER(FIND("ED only",$B$4)),IF(LEFT($B$7,6)="Number",SUMIFS(Comparison_Lookup,site_level_range_board,$B65,date_range_board,N60,inputdata!$F:$F,"ED"),TEXT(SUMIFS(Comparison_Lookup,site_level_range_board,$B65,date_range_board,N60,inputdata!$F:$F,"ED")/SUMIFS(All_Attendances,site_level_range_board,$B65,date_range_board,N60,inputdata!$F:$F,"ED"),"0.0%")),IF(LEFT($B$7,6)="Number",SUMIFS(Comparison_Lookup,site_level_range_board,$B65,date_range_board,N60),TEXT(SUMIFS(Comparison_Lookup,site_level_range_board,$B65,date_range_board,N60)/SUMIFS(All_Attendances,site_level_range_board,$B65,date_range_board,N60),"0.0%"))),"")</f>
        <v>93.2%</v>
      </c>
    </row>
    <row r="66" spans="1:14" ht="15" customHeight="1" x14ac:dyDescent="0.2">
      <c r="A66" s="132"/>
      <c r="B66" s="152" t="s">
        <v>456</v>
      </c>
      <c r="C66" s="165" t="str">
        <f ca="1">IFERROR(IF(ISNUMBER(FIND("ED only",$B$4)),IF(LEFT($B$7,6)="Number",SUMIFS(Comparison_Lookup,site_level_range_board,$B66,date_range_board,C60,inputdata!$F:$F,"ED"),TEXT(SUMIFS(Comparison_Lookup,site_level_range_board,$B66,date_range_board,C60,inputdata!$F:$F,"ED")/SUMIFS(All_Attendances,site_level_range_board,$B66,date_range_board,C60,inputdata!$F:$F,"ED"),"0.0%")),IF(LEFT($B$7,6)="Number",SUMIFS(Comparison_Lookup,site_level_range_board,$B66,date_range_board,C60),TEXT(SUMIFS(Comparison_Lookup,site_level_range_board,$B66,date_range_board,C60)/SUMIFS(All_Attendances,site_level_range_board,$B66,date_range_board,C60),"0.0%"))),"")</f>
        <v>93.7%</v>
      </c>
      <c r="D66" s="165" t="str">
        <f ca="1">IFERROR(IF(ISNUMBER(FIND("ED only",$B$4)),IF(LEFT($B$7,6)="Number",SUMIFS(Comparison_Lookup,site_level_range_board,$B66,date_range_board,D60,inputdata!$F:$F,"ED"),TEXT(SUMIFS(Comparison_Lookup,site_level_range_board,$B66,date_range_board,D60,inputdata!$F:$F,"ED")/SUMIFS(All_Attendances,site_level_range_board,$B66,date_range_board,D60,inputdata!$F:$F,"ED"),"0.0%")),IF(LEFT($B$7,6)="Number",SUMIFS(Comparison_Lookup,site_level_range_board,$B66,date_range_board,D60),TEXT(SUMIFS(Comparison_Lookup,site_level_range_board,$B66,date_range_board,D60)/SUMIFS(All_Attendances,site_level_range_board,$B66,date_range_board,D60),"0.0%"))),"")</f>
        <v>94.1%</v>
      </c>
      <c r="E66" s="165" t="str">
        <f ca="1">IFERROR(IF(ISNUMBER(FIND("ED only",$B$4)),IF(LEFT($B$7,6)="Number",SUMIFS(Comparison_Lookup,site_level_range_board,$B66,date_range_board,E60,inputdata!$F:$F,"ED"),TEXT(SUMIFS(Comparison_Lookup,site_level_range_board,$B66,date_range_board,E60,inputdata!$F:$F,"ED")/SUMIFS(All_Attendances,site_level_range_board,$B66,date_range_board,E60,inputdata!$F:$F,"ED"),"0.0%")),IF(LEFT($B$7,6)="Number",SUMIFS(Comparison_Lookup,site_level_range_board,$B66,date_range_board,E60),TEXT(SUMIFS(Comparison_Lookup,site_level_range_board,$B66,date_range_board,E60)/SUMIFS(All_Attendances,site_level_range_board,$B66,date_range_board,E60),"0.0%"))),"")</f>
        <v>93.2%</v>
      </c>
      <c r="F66" s="165" t="str">
        <f ca="1">IFERROR(IF(ISNUMBER(FIND("ED only",$B$4)),IF(LEFT($B$7,6)="Number",SUMIFS(Comparison_Lookup,site_level_range_board,$B66,date_range_board,F60,inputdata!$F:$F,"ED"),TEXT(SUMIFS(Comparison_Lookup,site_level_range_board,$B66,date_range_board,F60,inputdata!$F:$F,"ED")/SUMIFS(All_Attendances,site_level_range_board,$B66,date_range_board,F60,inputdata!$F:$F,"ED"),"0.0%")),IF(LEFT($B$7,6)="Number",SUMIFS(Comparison_Lookup,site_level_range_board,$B66,date_range_board,F60),TEXT(SUMIFS(Comparison_Lookup,site_level_range_board,$B66,date_range_board,F60)/SUMIFS(All_Attendances,site_level_range_board,$B66,date_range_board,F60),"0.0%"))),"")</f>
        <v>93.4%</v>
      </c>
      <c r="G66" s="165" t="str">
        <f ca="1">IFERROR(IF(ISNUMBER(FIND("ED only",$B$4)),IF(LEFT($B$7,6)="Number",SUMIFS(Comparison_Lookup,site_level_range_board,$B66,date_range_board,G60,inputdata!$F:$F,"ED"),TEXT(SUMIFS(Comparison_Lookup,site_level_range_board,$B66,date_range_board,G60,inputdata!$F:$F,"ED")/SUMIFS(All_Attendances,site_level_range_board,$B66,date_range_board,G60,inputdata!$F:$F,"ED"),"0.0%")),IF(LEFT($B$7,6)="Number",SUMIFS(Comparison_Lookup,site_level_range_board,$B66,date_range_board,G60),TEXT(SUMIFS(Comparison_Lookup,site_level_range_board,$B66,date_range_board,G60)/SUMIFS(All_Attendances,site_level_range_board,$B66,date_range_board,G60),"0.0%"))),"")</f>
        <v>93.8%</v>
      </c>
      <c r="H66" s="165" t="str">
        <f ca="1">IFERROR(IF(ISNUMBER(FIND("ED only",$B$4)),IF(LEFT($B$7,6)="Number",SUMIFS(Comparison_Lookup,site_level_range_board,$B66,date_range_board,H60,inputdata!$F:$F,"ED"),TEXT(SUMIFS(Comparison_Lookup,site_level_range_board,$B66,date_range_board,H60,inputdata!$F:$F,"ED")/SUMIFS(All_Attendances,site_level_range_board,$B66,date_range_board,H60,inputdata!$F:$F,"ED"),"0.0%")),IF(LEFT($B$7,6)="Number",SUMIFS(Comparison_Lookup,site_level_range_board,$B66,date_range_board,H60),TEXT(SUMIFS(Comparison_Lookup,site_level_range_board,$B66,date_range_board,H60)/SUMIFS(All_Attendances,site_level_range_board,$B66,date_range_board,H60),"0.0%"))),"")</f>
        <v>92.6%</v>
      </c>
      <c r="I66" s="165" t="str">
        <f ca="1">IFERROR(IF(ISNUMBER(FIND("ED only",$B$4)),IF(LEFT($B$7,6)="Number",SUMIFS(Comparison_Lookup,site_level_range_board,$B66,date_range_board,I60,inputdata!$F:$F,"ED"),TEXT(SUMIFS(Comparison_Lookup,site_level_range_board,$B66,date_range_board,I60,inputdata!$F:$F,"ED")/SUMIFS(All_Attendances,site_level_range_board,$B66,date_range_board,I60,inputdata!$F:$F,"ED"),"0.0%")),IF(LEFT($B$7,6)="Number",SUMIFS(Comparison_Lookup,site_level_range_board,$B66,date_range_board,I60),TEXT(SUMIFS(Comparison_Lookup,site_level_range_board,$B66,date_range_board,I60)/SUMIFS(All_Attendances,site_level_range_board,$B66,date_range_board,I60),"0.0%"))),"")</f>
        <v>92.3%</v>
      </c>
      <c r="J66" s="165" t="str">
        <f ca="1">IFERROR(IF(ISNUMBER(FIND("ED only",$B$4)),IF(LEFT($B$7,6)="Number",SUMIFS(Comparison_Lookup,site_level_range_board,$B66,date_range_board,J60,inputdata!$F:$F,"ED"),TEXT(SUMIFS(Comparison_Lookup,site_level_range_board,$B66,date_range_board,J60,inputdata!$F:$F,"ED")/SUMIFS(All_Attendances,site_level_range_board,$B66,date_range_board,J60,inputdata!$F:$F,"ED"),"0.0%")),IF(LEFT($B$7,6)="Number",SUMIFS(Comparison_Lookup,site_level_range_board,$B66,date_range_board,J60),TEXT(SUMIFS(Comparison_Lookup,site_level_range_board,$B66,date_range_board,J60)/SUMIFS(All_Attendances,site_level_range_board,$B66,date_range_board,J60),"0.0%"))),"")</f>
        <v>91.6%</v>
      </c>
      <c r="K66" s="165" t="str">
        <f ca="1">IFERROR(IF(ISNUMBER(FIND("ED only",$B$4)),IF(LEFT($B$7,6)="Number",SUMIFS(Comparison_Lookup,site_level_range_board,$B66,date_range_board,K60,inputdata!$F:$F,"ED"),TEXT(SUMIFS(Comparison_Lookup,site_level_range_board,$B66,date_range_board,K60,inputdata!$F:$F,"ED")/SUMIFS(All_Attendances,site_level_range_board,$B66,date_range_board,K60,inputdata!$F:$F,"ED"),"0.0%")),IF(LEFT($B$7,6)="Number",SUMIFS(Comparison_Lookup,site_level_range_board,$B66,date_range_board,K60),TEXT(SUMIFS(Comparison_Lookup,site_level_range_board,$B66,date_range_board,K60)/SUMIFS(All_Attendances,site_level_range_board,$B66,date_range_board,K60),"0.0%"))),"")</f>
        <v>90.2%</v>
      </c>
      <c r="L66" s="165" t="str">
        <f ca="1">IFERROR(IF(ISNUMBER(FIND("ED only",$B$4)),IF(LEFT($B$7,6)="Number",SUMIFS(Comparison_Lookup,site_level_range_board,$B66,date_range_board,L60,inputdata!$F:$F,"ED"),TEXT(SUMIFS(Comparison_Lookup,site_level_range_board,$B66,date_range_board,L60,inputdata!$F:$F,"ED")/SUMIFS(All_Attendances,site_level_range_board,$B66,date_range_board,L60,inputdata!$F:$F,"ED"),"0.0%")),IF(LEFT($B$7,6)="Number",SUMIFS(Comparison_Lookup,site_level_range_board,$B66,date_range_board,L60),TEXT(SUMIFS(Comparison_Lookup,site_level_range_board,$B66,date_range_board,L60)/SUMIFS(All_Attendances,site_level_range_board,$B66,date_range_board,L60),"0.0%"))),"")</f>
        <v>90.7%</v>
      </c>
      <c r="M66" s="165" t="str">
        <f ca="1">IFERROR(IF(ISNUMBER(FIND("ED only",$B$4)),IF(LEFT($B$7,6)="Number",SUMIFS(Comparison_Lookup,site_level_range_board,$B66,date_range_board,M60,inputdata!$F:$F,"ED"),TEXT(SUMIFS(Comparison_Lookup,site_level_range_board,$B66,date_range_board,M60,inputdata!$F:$F,"ED")/SUMIFS(All_Attendances,site_level_range_board,$B66,date_range_board,M60,inputdata!$F:$F,"ED"),"0.0%")),IF(LEFT($B$7,6)="Number",SUMIFS(Comparison_Lookup,site_level_range_board,$B66,date_range_board,M60),TEXT(SUMIFS(Comparison_Lookup,site_level_range_board,$B66,date_range_board,M60)/SUMIFS(All_Attendances,site_level_range_board,$B66,date_range_board,M60),"0.0%"))),"")</f>
        <v>92.5%</v>
      </c>
      <c r="N66" s="171" t="str">
        <f ca="1">IFERROR(IF(ISNUMBER(FIND("ED only",$B$4)),IF(LEFT($B$7,6)="Number",SUMIFS(Comparison_Lookup,site_level_range_board,$B66,date_range_board,N60,inputdata!$F:$F,"ED"),TEXT(SUMIFS(Comparison_Lookup,site_level_range_board,$B66,date_range_board,N60,inputdata!$F:$F,"ED")/SUMIFS(All_Attendances,site_level_range_board,$B66,date_range_board,N60,inputdata!$F:$F,"ED"),"0.0%")),IF(LEFT($B$7,6)="Number",SUMIFS(Comparison_Lookup,site_level_range_board,$B66,date_range_board,N60),TEXT(SUMIFS(Comparison_Lookup,site_level_range_board,$B66,date_range_board,N60)/SUMIFS(All_Attendances,site_level_range_board,$B66,date_range_board,N60),"0.0%"))),"")</f>
        <v>91.7%</v>
      </c>
    </row>
    <row r="67" spans="1:14" ht="15" customHeight="1" x14ac:dyDescent="0.2">
      <c r="A67" s="132"/>
      <c r="B67" s="152" t="s">
        <v>491</v>
      </c>
      <c r="C67" s="165" t="str">
        <f ca="1">IFERROR(IF(ISNUMBER(FIND("ED only",$B$4)),IF(LEFT($B$7,6)="Number",SUMIFS(Comparison_Lookup,site_level_range_board,$B67,date_range_board,C60,inputdata!$F:$F,"ED"),TEXT(SUMIFS(Comparison_Lookup,site_level_range_board,$B67,date_range_board,C60,inputdata!$F:$F,"ED")/SUMIFS(All_Attendances,site_level_range_board,$B67,date_range_board,C60,inputdata!$F:$F,"ED"),"0.0%")),IF(LEFT($B$7,6)="Number",SUMIFS(Comparison_Lookup,site_level_range_board,$B67,date_range_board,C60),TEXT(SUMIFS(Comparison_Lookup,site_level_range_board,$B67,date_range_board,C60)/SUMIFS(All_Attendances,site_level_range_board,$B67,date_range_board,C60),"0.0%"))),"")</f>
        <v>86.4%</v>
      </c>
      <c r="D67" s="165" t="str">
        <f ca="1">IFERROR(IF(ISNUMBER(FIND("ED only",$B$4)),IF(LEFT($B$7,6)="Number",SUMIFS(Comparison_Lookup,site_level_range_board,$B67,date_range_board,D60,inputdata!$F:$F,"ED"),TEXT(SUMIFS(Comparison_Lookup,site_level_range_board,$B67,date_range_board,D60,inputdata!$F:$F,"ED")/SUMIFS(All_Attendances,site_level_range_board,$B67,date_range_board,D60,inputdata!$F:$F,"ED"),"0.0%")),IF(LEFT($B$7,6)="Number",SUMIFS(Comparison_Lookup,site_level_range_board,$B67,date_range_board,D60),TEXT(SUMIFS(Comparison_Lookup,site_level_range_board,$B67,date_range_board,D60)/SUMIFS(All_Attendances,site_level_range_board,$B67,date_range_board,D60),"0.0%"))),"")</f>
        <v>87.9%</v>
      </c>
      <c r="E67" s="165" t="str">
        <f ca="1">IFERROR(IF(ISNUMBER(FIND("ED only",$B$4)),IF(LEFT($B$7,6)="Number",SUMIFS(Comparison_Lookup,site_level_range_board,$B67,date_range_board,E60,inputdata!$F:$F,"ED"),TEXT(SUMIFS(Comparison_Lookup,site_level_range_board,$B67,date_range_board,E60,inputdata!$F:$F,"ED")/SUMIFS(All_Attendances,site_level_range_board,$B67,date_range_board,E60,inputdata!$F:$F,"ED"),"0.0%")),IF(LEFT($B$7,6)="Number",SUMIFS(Comparison_Lookup,site_level_range_board,$B67,date_range_board,E60),TEXT(SUMIFS(Comparison_Lookup,site_level_range_board,$B67,date_range_board,E60)/SUMIFS(All_Attendances,site_level_range_board,$B67,date_range_board,E60),"0.0%"))),"")</f>
        <v>87.7%</v>
      </c>
      <c r="F67" s="165" t="str">
        <f ca="1">IFERROR(IF(ISNUMBER(FIND("ED only",$B$4)),IF(LEFT($B$7,6)="Number",SUMIFS(Comparison_Lookup,site_level_range_board,$B67,date_range_board,F60,inputdata!$F:$F,"ED"),TEXT(SUMIFS(Comparison_Lookup,site_level_range_board,$B67,date_range_board,F60,inputdata!$F:$F,"ED")/SUMIFS(All_Attendances,site_level_range_board,$B67,date_range_board,F60,inputdata!$F:$F,"ED"),"0.0%")),IF(LEFT($B$7,6)="Number",SUMIFS(Comparison_Lookup,site_level_range_board,$B67,date_range_board,F60),TEXT(SUMIFS(Comparison_Lookup,site_level_range_board,$B67,date_range_board,F60)/SUMIFS(All_Attendances,site_level_range_board,$B67,date_range_board,F60),"0.0%"))),"")</f>
        <v>88.4%</v>
      </c>
      <c r="G67" s="165" t="str">
        <f ca="1">IFERROR(IF(ISNUMBER(FIND("ED only",$B$4)),IF(LEFT($B$7,6)="Number",SUMIFS(Comparison_Lookup,site_level_range_board,$B67,date_range_board,G60,inputdata!$F:$F,"ED"),TEXT(SUMIFS(Comparison_Lookup,site_level_range_board,$B67,date_range_board,G60,inputdata!$F:$F,"ED")/SUMIFS(All_Attendances,site_level_range_board,$B67,date_range_board,G60,inputdata!$F:$F,"ED"),"0.0%")),IF(LEFT($B$7,6)="Number",SUMIFS(Comparison_Lookup,site_level_range_board,$B67,date_range_board,G60),TEXT(SUMIFS(Comparison_Lookup,site_level_range_board,$B67,date_range_board,G60)/SUMIFS(All_Attendances,site_level_range_board,$B67,date_range_board,G60),"0.0%"))),"")</f>
        <v>89.9%</v>
      </c>
      <c r="H67" s="165" t="str">
        <f ca="1">IFERROR(IF(ISNUMBER(FIND("ED only",$B$4)),IF(LEFT($B$7,6)="Number",SUMIFS(Comparison_Lookup,site_level_range_board,$B67,date_range_board,H60,inputdata!$F:$F,"ED"),TEXT(SUMIFS(Comparison_Lookup,site_level_range_board,$B67,date_range_board,H60,inputdata!$F:$F,"ED")/SUMIFS(All_Attendances,site_level_range_board,$B67,date_range_board,H60,inputdata!$F:$F,"ED"),"0.0%")),IF(LEFT($B$7,6)="Number",SUMIFS(Comparison_Lookup,site_level_range_board,$B67,date_range_board,H60),TEXT(SUMIFS(Comparison_Lookup,site_level_range_board,$B67,date_range_board,H60)/SUMIFS(All_Attendances,site_level_range_board,$B67,date_range_board,H60),"0.0%"))),"")</f>
        <v>87.0%</v>
      </c>
      <c r="I67" s="165" t="str">
        <f ca="1">IFERROR(IF(ISNUMBER(FIND("ED only",$B$4)),IF(LEFT($B$7,6)="Number",SUMIFS(Comparison_Lookup,site_level_range_board,$B67,date_range_board,I60,inputdata!$F:$F,"ED"),TEXT(SUMIFS(Comparison_Lookup,site_level_range_board,$B67,date_range_board,I60,inputdata!$F:$F,"ED")/SUMIFS(All_Attendances,site_level_range_board,$B67,date_range_board,I60,inputdata!$F:$F,"ED"),"0.0%")),IF(LEFT($B$7,6)="Number",SUMIFS(Comparison_Lookup,site_level_range_board,$B67,date_range_board,I60),TEXT(SUMIFS(Comparison_Lookup,site_level_range_board,$B67,date_range_board,I60)/SUMIFS(All_Attendances,site_level_range_board,$B67,date_range_board,I60),"0.0%"))),"")</f>
        <v>84.3%</v>
      </c>
      <c r="J67" s="165" t="str">
        <f ca="1">IFERROR(IF(ISNUMBER(FIND("ED only",$B$4)),IF(LEFT($B$7,6)="Number",SUMIFS(Comparison_Lookup,site_level_range_board,$B67,date_range_board,J60,inputdata!$F:$F,"ED"),TEXT(SUMIFS(Comparison_Lookup,site_level_range_board,$B67,date_range_board,J60,inputdata!$F:$F,"ED")/SUMIFS(All_Attendances,site_level_range_board,$B67,date_range_board,J60,inputdata!$F:$F,"ED"),"0.0%")),IF(LEFT($B$7,6)="Number",SUMIFS(Comparison_Lookup,site_level_range_board,$B67,date_range_board,J60),TEXT(SUMIFS(Comparison_Lookup,site_level_range_board,$B67,date_range_board,J60)/SUMIFS(All_Attendances,site_level_range_board,$B67,date_range_board,J60),"0.0%"))),"")</f>
        <v>81.8%</v>
      </c>
      <c r="K67" s="165" t="str">
        <f ca="1">IFERROR(IF(ISNUMBER(FIND("ED only",$B$4)),IF(LEFT($B$7,6)="Number",SUMIFS(Comparison_Lookup,site_level_range_board,$B67,date_range_board,K60,inputdata!$F:$F,"ED"),TEXT(SUMIFS(Comparison_Lookup,site_level_range_board,$B67,date_range_board,K60,inputdata!$F:$F,"ED")/SUMIFS(All_Attendances,site_level_range_board,$B67,date_range_board,K60,inputdata!$F:$F,"ED"),"0.0%")),IF(LEFT($B$7,6)="Number",SUMIFS(Comparison_Lookup,site_level_range_board,$B67,date_range_board,K60),TEXT(SUMIFS(Comparison_Lookup,site_level_range_board,$B67,date_range_board,K60)/SUMIFS(All_Attendances,site_level_range_board,$B67,date_range_board,K60),"0.0%"))),"")</f>
        <v>79.9%</v>
      </c>
      <c r="L67" s="165" t="str">
        <f ca="1">IFERROR(IF(ISNUMBER(FIND("ED only",$B$4)),IF(LEFT($B$7,6)="Number",SUMIFS(Comparison_Lookup,site_level_range_board,$B67,date_range_board,L60,inputdata!$F:$F,"ED"),TEXT(SUMIFS(Comparison_Lookup,site_level_range_board,$B67,date_range_board,L60,inputdata!$F:$F,"ED")/SUMIFS(All_Attendances,site_level_range_board,$B67,date_range_board,L60,inputdata!$F:$F,"ED"),"0.0%")),IF(LEFT($B$7,6)="Number",SUMIFS(Comparison_Lookup,site_level_range_board,$B67,date_range_board,L60),TEXT(SUMIFS(Comparison_Lookup,site_level_range_board,$B67,date_range_board,L60)/SUMIFS(All_Attendances,site_level_range_board,$B67,date_range_board,L60),"0.0%"))),"")</f>
        <v>83.0%</v>
      </c>
      <c r="M67" s="165" t="str">
        <f ca="1">IFERROR(IF(ISNUMBER(FIND("ED only",$B$4)),IF(LEFT($B$7,6)="Number",SUMIFS(Comparison_Lookup,site_level_range_board,$B67,date_range_board,M60,inputdata!$F:$F,"ED"),TEXT(SUMIFS(Comparison_Lookup,site_level_range_board,$B67,date_range_board,M60,inputdata!$F:$F,"ED")/SUMIFS(All_Attendances,site_level_range_board,$B67,date_range_board,M60,inputdata!$F:$F,"ED"),"0.0%")),IF(LEFT($B$7,6)="Number",SUMIFS(Comparison_Lookup,site_level_range_board,$B67,date_range_board,M60),TEXT(SUMIFS(Comparison_Lookup,site_level_range_board,$B67,date_range_board,M60)/SUMIFS(All_Attendances,site_level_range_board,$B67,date_range_board,M60),"0.0%"))),"")</f>
        <v>84.8%</v>
      </c>
      <c r="N67" s="171" t="str">
        <f ca="1">IFERROR(IF(ISNUMBER(FIND("ED only",$B$4)),IF(LEFT($B$7,6)="Number",SUMIFS(Comparison_Lookup,site_level_range_board,$B67,date_range_board,N60,inputdata!$F:$F,"ED"),TEXT(SUMIFS(Comparison_Lookup,site_level_range_board,$B67,date_range_board,N60,inputdata!$F:$F,"ED")/SUMIFS(All_Attendances,site_level_range_board,$B67,date_range_board,N60,inputdata!$F:$F,"ED"),"0.0%")),IF(LEFT($B$7,6)="Number",SUMIFS(Comparison_Lookup,site_level_range_board,$B67,date_range_board,N60),TEXT(SUMIFS(Comparison_Lookup,site_level_range_board,$B67,date_range_board,N60)/SUMIFS(All_Attendances,site_level_range_board,$B67,date_range_board,N60),"0.0%"))),"")</f>
        <v>87.7%</v>
      </c>
    </row>
    <row r="68" spans="1:14" ht="15" customHeight="1" x14ac:dyDescent="0.2">
      <c r="A68" s="132"/>
      <c r="B68" s="152" t="s">
        <v>510</v>
      </c>
      <c r="C68" s="165" t="str">
        <f ca="1">IFERROR(IF(ISNUMBER(FIND("ED only",$B$4)),IF(LEFT($B$7,6)="Number",SUMIFS(Comparison_Lookup,site_level_range_board,$B68,date_range_board,C60,inputdata!$F:$F,"ED"),TEXT(SUMIFS(Comparison_Lookup,site_level_range_board,$B68,date_range_board,C60,inputdata!$F:$F,"ED")/SUMIFS(All_Attendances,site_level_range_board,$B68,date_range_board,C60,inputdata!$F:$F,"ED"),"0.0%")),IF(LEFT($B$7,6)="Number",SUMIFS(Comparison_Lookup,site_level_range_board,$B68,date_range_board,C60),TEXT(SUMIFS(Comparison_Lookup,site_level_range_board,$B68,date_range_board,C60)/SUMIFS(All_Attendances,site_level_range_board,$B68,date_range_board,C60),"0.0%"))),"")</f>
        <v>95.0%</v>
      </c>
      <c r="D68" s="165" t="str">
        <f ca="1">IFERROR(IF(ISNUMBER(FIND("ED only",$B$4)),IF(LEFT($B$7,6)="Number",SUMIFS(Comparison_Lookup,site_level_range_board,$B68,date_range_board,D60,inputdata!$F:$F,"ED"),TEXT(SUMIFS(Comparison_Lookup,site_level_range_board,$B68,date_range_board,D60,inputdata!$F:$F,"ED")/SUMIFS(All_Attendances,site_level_range_board,$B68,date_range_board,D60,inputdata!$F:$F,"ED"),"0.0%")),IF(LEFT($B$7,6)="Number",SUMIFS(Comparison_Lookup,site_level_range_board,$B68,date_range_board,D60),TEXT(SUMIFS(Comparison_Lookup,site_level_range_board,$B68,date_range_board,D60)/SUMIFS(All_Attendances,site_level_range_board,$B68,date_range_board,D60),"0.0%"))),"")</f>
        <v>95.8%</v>
      </c>
      <c r="E68" s="165" t="str">
        <f ca="1">IFERROR(IF(ISNUMBER(FIND("ED only",$B$4)),IF(LEFT($B$7,6)="Number",SUMIFS(Comparison_Lookup,site_level_range_board,$B68,date_range_board,E60,inputdata!$F:$F,"ED"),TEXT(SUMIFS(Comparison_Lookup,site_level_range_board,$B68,date_range_board,E60,inputdata!$F:$F,"ED")/SUMIFS(All_Attendances,site_level_range_board,$B68,date_range_board,E60,inputdata!$F:$F,"ED"),"0.0%")),IF(LEFT($B$7,6)="Number",SUMIFS(Comparison_Lookup,site_level_range_board,$B68,date_range_board,E60),TEXT(SUMIFS(Comparison_Lookup,site_level_range_board,$B68,date_range_board,E60)/SUMIFS(All_Attendances,site_level_range_board,$B68,date_range_board,E60),"0.0%"))),"")</f>
        <v>96.0%</v>
      </c>
      <c r="F68" s="165" t="str">
        <f ca="1">IFERROR(IF(ISNUMBER(FIND("ED only",$B$4)),IF(LEFT($B$7,6)="Number",SUMIFS(Comparison_Lookup,site_level_range_board,$B68,date_range_board,F60,inputdata!$F:$F,"ED"),TEXT(SUMIFS(Comparison_Lookup,site_level_range_board,$B68,date_range_board,F60,inputdata!$F:$F,"ED")/SUMIFS(All_Attendances,site_level_range_board,$B68,date_range_board,F60,inputdata!$F:$F,"ED"),"0.0%")),IF(LEFT($B$7,6)="Number",SUMIFS(Comparison_Lookup,site_level_range_board,$B68,date_range_board,F60),TEXT(SUMIFS(Comparison_Lookup,site_level_range_board,$B68,date_range_board,F60)/SUMIFS(All_Attendances,site_level_range_board,$B68,date_range_board,F60),"0.0%"))),"")</f>
        <v>95.4%</v>
      </c>
      <c r="G68" s="165" t="str">
        <f ca="1">IFERROR(IF(ISNUMBER(FIND("ED only",$B$4)),IF(LEFT($B$7,6)="Number",SUMIFS(Comparison_Lookup,site_level_range_board,$B68,date_range_board,G60,inputdata!$F:$F,"ED"),TEXT(SUMIFS(Comparison_Lookup,site_level_range_board,$B68,date_range_board,G60,inputdata!$F:$F,"ED")/SUMIFS(All_Attendances,site_level_range_board,$B68,date_range_board,G60,inputdata!$F:$F,"ED"),"0.0%")),IF(LEFT($B$7,6)="Number",SUMIFS(Comparison_Lookup,site_level_range_board,$B68,date_range_board,G60),TEXT(SUMIFS(Comparison_Lookup,site_level_range_board,$B68,date_range_board,G60)/SUMIFS(All_Attendances,site_level_range_board,$B68,date_range_board,G60),"0.0%"))),"")</f>
        <v>95.8%</v>
      </c>
      <c r="H68" s="165" t="str">
        <f ca="1">IFERROR(IF(ISNUMBER(FIND("ED only",$B$4)),IF(LEFT($B$7,6)="Number",SUMIFS(Comparison_Lookup,site_level_range_board,$B68,date_range_board,H60,inputdata!$F:$F,"ED"),TEXT(SUMIFS(Comparison_Lookup,site_level_range_board,$B68,date_range_board,H60,inputdata!$F:$F,"ED")/SUMIFS(All_Attendances,site_level_range_board,$B68,date_range_board,H60,inputdata!$F:$F,"ED"),"0.0%")),IF(LEFT($B$7,6)="Number",SUMIFS(Comparison_Lookup,site_level_range_board,$B68,date_range_board,H60),TEXT(SUMIFS(Comparison_Lookup,site_level_range_board,$B68,date_range_board,H60)/SUMIFS(All_Attendances,site_level_range_board,$B68,date_range_board,H60),"0.0%"))),"")</f>
        <v>95.2%</v>
      </c>
      <c r="I68" s="165" t="str">
        <f ca="1">IFERROR(IF(ISNUMBER(FIND("ED only",$B$4)),IF(LEFT($B$7,6)="Number",SUMIFS(Comparison_Lookup,site_level_range_board,$B68,date_range_board,I60,inputdata!$F:$F,"ED"),TEXT(SUMIFS(Comparison_Lookup,site_level_range_board,$B68,date_range_board,I60,inputdata!$F:$F,"ED")/SUMIFS(All_Attendances,site_level_range_board,$B68,date_range_board,I60,inputdata!$F:$F,"ED"),"0.0%")),IF(LEFT($B$7,6)="Number",SUMIFS(Comparison_Lookup,site_level_range_board,$B68,date_range_board,I60),TEXT(SUMIFS(Comparison_Lookup,site_level_range_board,$B68,date_range_board,I60)/SUMIFS(All_Attendances,site_level_range_board,$B68,date_range_board,I60),"0.0%"))),"")</f>
        <v>94.6%</v>
      </c>
      <c r="J68" s="165" t="str">
        <f ca="1">IFERROR(IF(ISNUMBER(FIND("ED only",$B$4)),IF(LEFT($B$7,6)="Number",SUMIFS(Comparison_Lookup,site_level_range_board,$B68,date_range_board,J60,inputdata!$F:$F,"ED"),TEXT(SUMIFS(Comparison_Lookup,site_level_range_board,$B68,date_range_board,J60,inputdata!$F:$F,"ED")/SUMIFS(All_Attendances,site_level_range_board,$B68,date_range_board,J60,inputdata!$F:$F,"ED"),"0.0%")),IF(LEFT($B$7,6)="Number",SUMIFS(Comparison_Lookup,site_level_range_board,$B68,date_range_board,J60),TEXT(SUMIFS(Comparison_Lookup,site_level_range_board,$B68,date_range_board,J60)/SUMIFS(All_Attendances,site_level_range_board,$B68,date_range_board,J60),"0.0%"))),"")</f>
        <v>93.5%</v>
      </c>
      <c r="K68" s="165" t="str">
        <f ca="1">IFERROR(IF(ISNUMBER(FIND("ED only",$B$4)),IF(LEFT($B$7,6)="Number",SUMIFS(Comparison_Lookup,site_level_range_board,$B68,date_range_board,K60,inputdata!$F:$F,"ED"),TEXT(SUMIFS(Comparison_Lookup,site_level_range_board,$B68,date_range_board,K60,inputdata!$F:$F,"ED")/SUMIFS(All_Attendances,site_level_range_board,$B68,date_range_board,K60,inputdata!$F:$F,"ED"),"0.0%")),IF(LEFT($B$7,6)="Number",SUMIFS(Comparison_Lookup,site_level_range_board,$B68,date_range_board,K60),TEXT(SUMIFS(Comparison_Lookup,site_level_range_board,$B68,date_range_board,K60)/SUMIFS(All_Attendances,site_level_range_board,$B68,date_range_board,K60),"0.0%"))),"")</f>
        <v>92.8%</v>
      </c>
      <c r="L68" s="165" t="str">
        <f ca="1">IFERROR(IF(ISNUMBER(FIND("ED only",$B$4)),IF(LEFT($B$7,6)="Number",SUMIFS(Comparison_Lookup,site_level_range_board,$B68,date_range_board,L60,inputdata!$F:$F,"ED"),TEXT(SUMIFS(Comparison_Lookup,site_level_range_board,$B68,date_range_board,L60,inputdata!$F:$F,"ED")/SUMIFS(All_Attendances,site_level_range_board,$B68,date_range_board,L60,inputdata!$F:$F,"ED"),"0.0%")),IF(LEFT($B$7,6)="Number",SUMIFS(Comparison_Lookup,site_level_range_board,$B68,date_range_board,L60),TEXT(SUMIFS(Comparison_Lookup,site_level_range_board,$B68,date_range_board,L60)/SUMIFS(All_Attendances,site_level_range_board,$B68,date_range_board,L60),"0.0%"))),"")</f>
        <v>94.3%</v>
      </c>
      <c r="M68" s="165" t="str">
        <f ca="1">IFERROR(IF(ISNUMBER(FIND("ED only",$B$4)),IF(LEFT($B$7,6)="Number",SUMIFS(Comparison_Lookup,site_level_range_board,$B68,date_range_board,M60,inputdata!$F:$F,"ED"),TEXT(SUMIFS(Comparison_Lookup,site_level_range_board,$B68,date_range_board,M60,inputdata!$F:$F,"ED")/SUMIFS(All_Attendances,site_level_range_board,$B68,date_range_board,M60,inputdata!$F:$F,"ED"),"0.0%")),IF(LEFT($B$7,6)="Number",SUMIFS(Comparison_Lookup,site_level_range_board,$B68,date_range_board,M60),TEXT(SUMIFS(Comparison_Lookup,site_level_range_board,$B68,date_range_board,M60)/SUMIFS(All_Attendances,site_level_range_board,$B68,date_range_board,M60),"0.0%"))),"")</f>
        <v>94.2%</v>
      </c>
      <c r="N68" s="171" t="str">
        <f ca="1">IFERROR(IF(ISNUMBER(FIND("ED only",$B$4)),IF(LEFT($B$7,6)="Number",SUMIFS(Comparison_Lookup,site_level_range_board,$B68,date_range_board,N60,inputdata!$F:$F,"ED"),TEXT(SUMIFS(Comparison_Lookup,site_level_range_board,$B68,date_range_board,N60,inputdata!$F:$F,"ED")/SUMIFS(All_Attendances,site_level_range_board,$B68,date_range_board,N60,inputdata!$F:$F,"ED"),"0.0%")),IF(LEFT($B$7,6)="Number",SUMIFS(Comparison_Lookup,site_level_range_board,$B68,date_range_board,N60),TEXT(SUMIFS(Comparison_Lookup,site_level_range_board,$B68,date_range_board,N60)/SUMIFS(All_Attendances,site_level_range_board,$B68,date_range_board,N60),"0.0%"))),"")</f>
        <v>94.3%</v>
      </c>
    </row>
    <row r="69" spans="1:14" ht="15" customHeight="1" x14ac:dyDescent="0.2">
      <c r="A69" s="132"/>
      <c r="B69" s="152" t="s">
        <v>551</v>
      </c>
      <c r="C69" s="165" t="str">
        <f ca="1">IFERROR(IF(ISNUMBER(FIND("ED only",$B$4)),IF(LEFT($B$7,6)="Number",SUMIFS(Comparison_Lookup,site_level_range_board,$B69,date_range_board,C60,inputdata!$F:$F,"ED"),TEXT(SUMIFS(Comparison_Lookup,site_level_range_board,$B69,date_range_board,C60,inputdata!$F:$F,"ED")/SUMIFS(All_Attendances,site_level_range_board,$B69,date_range_board,C60,inputdata!$F:$F,"ED"),"0.0%")),IF(LEFT($B$7,6)="Number",SUMIFS(Comparison_Lookup,site_level_range_board,$B69,date_range_board,C60),TEXT(SUMIFS(Comparison_Lookup,site_level_range_board,$B69,date_range_board,C60)/SUMIFS(All_Attendances,site_level_range_board,$B69,date_range_board,C60),"0.0%"))),"")</f>
        <v>88.2%</v>
      </c>
      <c r="D69" s="165" t="str">
        <f ca="1">IFERROR(IF(ISNUMBER(FIND("ED only",$B$4)),IF(LEFT($B$7,6)="Number",SUMIFS(Comparison_Lookup,site_level_range_board,$B69,date_range_board,D60,inputdata!$F:$F,"ED"),TEXT(SUMIFS(Comparison_Lookup,site_level_range_board,$B69,date_range_board,D60,inputdata!$F:$F,"ED")/SUMIFS(All_Attendances,site_level_range_board,$B69,date_range_board,D60,inputdata!$F:$F,"ED"),"0.0%")),IF(LEFT($B$7,6)="Number",SUMIFS(Comparison_Lookup,site_level_range_board,$B69,date_range_board,D60),TEXT(SUMIFS(Comparison_Lookup,site_level_range_board,$B69,date_range_board,D60)/SUMIFS(All_Attendances,site_level_range_board,$B69,date_range_board,D60),"0.0%"))),"")</f>
        <v>87.9%</v>
      </c>
      <c r="E69" s="165" t="str">
        <f ca="1">IFERROR(IF(ISNUMBER(FIND("ED only",$B$4)),IF(LEFT($B$7,6)="Number",SUMIFS(Comparison_Lookup,site_level_range_board,$B69,date_range_board,E60,inputdata!$F:$F,"ED"),TEXT(SUMIFS(Comparison_Lookup,site_level_range_board,$B69,date_range_board,E60,inputdata!$F:$F,"ED")/SUMIFS(All_Attendances,site_level_range_board,$B69,date_range_board,E60,inputdata!$F:$F,"ED"),"0.0%")),IF(LEFT($B$7,6)="Number",SUMIFS(Comparison_Lookup,site_level_range_board,$B69,date_range_board,E60),TEXT(SUMIFS(Comparison_Lookup,site_level_range_board,$B69,date_range_board,E60)/SUMIFS(All_Attendances,site_level_range_board,$B69,date_range_board,E60),"0.0%"))),"")</f>
        <v>88.0%</v>
      </c>
      <c r="F69" s="165" t="str">
        <f ca="1">IFERROR(IF(ISNUMBER(FIND("ED only",$B$4)),IF(LEFT($B$7,6)="Number",SUMIFS(Comparison_Lookup,site_level_range_board,$B69,date_range_board,F60,inputdata!$F:$F,"ED"),TEXT(SUMIFS(Comparison_Lookup,site_level_range_board,$B69,date_range_board,F60,inputdata!$F:$F,"ED")/SUMIFS(All_Attendances,site_level_range_board,$B69,date_range_board,F60,inputdata!$F:$F,"ED"),"0.0%")),IF(LEFT($B$7,6)="Number",SUMIFS(Comparison_Lookup,site_level_range_board,$B69,date_range_board,F60),TEXT(SUMIFS(Comparison_Lookup,site_level_range_board,$B69,date_range_board,F60)/SUMIFS(All_Attendances,site_level_range_board,$B69,date_range_board,F60),"0.0%"))),"")</f>
        <v>88.3%</v>
      </c>
      <c r="G69" s="165" t="str">
        <f ca="1">IFERROR(IF(ISNUMBER(FIND("ED only",$B$4)),IF(LEFT($B$7,6)="Number",SUMIFS(Comparison_Lookup,site_level_range_board,$B69,date_range_board,G60,inputdata!$F:$F,"ED"),TEXT(SUMIFS(Comparison_Lookup,site_level_range_board,$B69,date_range_board,G60,inputdata!$F:$F,"ED")/SUMIFS(All_Attendances,site_level_range_board,$B69,date_range_board,G60,inputdata!$F:$F,"ED"),"0.0%")),IF(LEFT($B$7,6)="Number",SUMIFS(Comparison_Lookup,site_level_range_board,$B69,date_range_board,G60),TEXT(SUMIFS(Comparison_Lookup,site_level_range_board,$B69,date_range_board,G60)/SUMIFS(All_Attendances,site_level_range_board,$B69,date_range_board,G60),"0.0%"))),"")</f>
        <v>84.4%</v>
      </c>
      <c r="H69" s="165" t="str">
        <f ca="1">IFERROR(IF(ISNUMBER(FIND("ED only",$B$4)),IF(LEFT($B$7,6)="Number",SUMIFS(Comparison_Lookup,site_level_range_board,$B69,date_range_board,H60,inputdata!$F:$F,"ED"),TEXT(SUMIFS(Comparison_Lookup,site_level_range_board,$B69,date_range_board,H60,inputdata!$F:$F,"ED")/SUMIFS(All_Attendances,site_level_range_board,$B69,date_range_board,H60,inputdata!$F:$F,"ED"),"0.0%")),IF(LEFT($B$7,6)="Number",SUMIFS(Comparison_Lookup,site_level_range_board,$B69,date_range_board,H60),TEXT(SUMIFS(Comparison_Lookup,site_level_range_board,$B69,date_range_board,H60)/SUMIFS(All_Attendances,site_level_range_board,$B69,date_range_board,H60),"0.0%"))),"")</f>
        <v>83.0%</v>
      </c>
      <c r="I69" s="165" t="str">
        <f ca="1">IFERROR(IF(ISNUMBER(FIND("ED only",$B$4)),IF(LEFT($B$7,6)="Number",SUMIFS(Comparison_Lookup,site_level_range_board,$B69,date_range_board,I60,inputdata!$F:$F,"ED"),TEXT(SUMIFS(Comparison_Lookup,site_level_range_board,$B69,date_range_board,I60,inputdata!$F:$F,"ED")/SUMIFS(All_Attendances,site_level_range_board,$B69,date_range_board,I60,inputdata!$F:$F,"ED"),"0.0%")),IF(LEFT($B$7,6)="Number",SUMIFS(Comparison_Lookup,site_level_range_board,$B69,date_range_board,I60),TEXT(SUMIFS(Comparison_Lookup,site_level_range_board,$B69,date_range_board,I60)/SUMIFS(All_Attendances,site_level_range_board,$B69,date_range_board,I60),"0.0%"))),"")</f>
        <v>82.7%</v>
      </c>
      <c r="J69" s="165" t="str">
        <f ca="1">IFERROR(IF(ISNUMBER(FIND("ED only",$B$4)),IF(LEFT($B$7,6)="Number",SUMIFS(Comparison_Lookup,site_level_range_board,$B69,date_range_board,J60,inputdata!$F:$F,"ED"),TEXT(SUMIFS(Comparison_Lookup,site_level_range_board,$B69,date_range_board,J60,inputdata!$F:$F,"ED")/SUMIFS(All_Attendances,site_level_range_board,$B69,date_range_board,J60,inputdata!$F:$F,"ED"),"0.0%")),IF(LEFT($B$7,6)="Number",SUMIFS(Comparison_Lookup,site_level_range_board,$B69,date_range_board,J60),TEXT(SUMIFS(Comparison_Lookup,site_level_range_board,$B69,date_range_board,J60)/SUMIFS(All_Attendances,site_level_range_board,$B69,date_range_board,J60),"0.0%"))),"")</f>
        <v>82.4%</v>
      </c>
      <c r="K69" s="165" t="str">
        <f ca="1">IFERROR(IF(ISNUMBER(FIND("ED only",$B$4)),IF(LEFT($B$7,6)="Number",SUMIFS(Comparison_Lookup,site_level_range_board,$B69,date_range_board,K60,inputdata!$F:$F,"ED"),TEXT(SUMIFS(Comparison_Lookup,site_level_range_board,$B69,date_range_board,K60,inputdata!$F:$F,"ED")/SUMIFS(All_Attendances,site_level_range_board,$B69,date_range_board,K60,inputdata!$F:$F,"ED"),"0.0%")),IF(LEFT($B$7,6)="Number",SUMIFS(Comparison_Lookup,site_level_range_board,$B69,date_range_board,K60),TEXT(SUMIFS(Comparison_Lookup,site_level_range_board,$B69,date_range_board,K60)/SUMIFS(All_Attendances,site_level_range_board,$B69,date_range_board,K60),"0.0%"))),"")</f>
        <v>77.2%</v>
      </c>
      <c r="L69" s="165" t="str">
        <f ca="1">IFERROR(IF(ISNUMBER(FIND("ED only",$B$4)),IF(LEFT($B$7,6)="Number",SUMIFS(Comparison_Lookup,site_level_range_board,$B69,date_range_board,L60,inputdata!$F:$F,"ED"),TEXT(SUMIFS(Comparison_Lookup,site_level_range_board,$B69,date_range_board,L60,inputdata!$F:$F,"ED")/SUMIFS(All_Attendances,site_level_range_board,$B69,date_range_board,L60,inputdata!$F:$F,"ED"),"0.0%")),IF(LEFT($B$7,6)="Number",SUMIFS(Comparison_Lookup,site_level_range_board,$B69,date_range_board,L60),TEXT(SUMIFS(Comparison_Lookup,site_level_range_board,$B69,date_range_board,L60)/SUMIFS(All_Attendances,site_level_range_board,$B69,date_range_board,L60),"0.0%"))),"")</f>
        <v>84.6%</v>
      </c>
      <c r="M69" s="165" t="str">
        <f ca="1">IFERROR(IF(ISNUMBER(FIND("ED only",$B$4)),IF(LEFT($B$7,6)="Number",SUMIFS(Comparison_Lookup,site_level_range_board,$B69,date_range_board,M60,inputdata!$F:$F,"ED"),TEXT(SUMIFS(Comparison_Lookup,site_level_range_board,$B69,date_range_board,M60,inputdata!$F:$F,"ED")/SUMIFS(All_Attendances,site_level_range_board,$B69,date_range_board,M60,inputdata!$F:$F,"ED"),"0.0%")),IF(LEFT($B$7,6)="Number",SUMIFS(Comparison_Lookup,site_level_range_board,$B69,date_range_board,M60),TEXT(SUMIFS(Comparison_Lookup,site_level_range_board,$B69,date_range_board,M60)/SUMIFS(All_Attendances,site_level_range_board,$B69,date_range_board,M60),"0.0%"))),"")</f>
        <v>85.3%</v>
      </c>
      <c r="N69" s="171" t="str">
        <f ca="1">IFERROR(IF(ISNUMBER(FIND("ED only",$B$4)),IF(LEFT($B$7,6)="Number",SUMIFS(Comparison_Lookup,site_level_range_board,$B69,date_range_board,N60,inputdata!$F:$F,"ED"),TEXT(SUMIFS(Comparison_Lookup,site_level_range_board,$B69,date_range_board,N60,inputdata!$F:$F,"ED")/SUMIFS(All_Attendances,site_level_range_board,$B69,date_range_board,N60,inputdata!$F:$F,"ED"),"0.0%")),IF(LEFT($B$7,6)="Number",SUMIFS(Comparison_Lookup,site_level_range_board,$B69,date_range_board,N60),TEXT(SUMIFS(Comparison_Lookup,site_level_range_board,$B69,date_range_board,N60)/SUMIFS(All_Attendances,site_level_range_board,$B69,date_range_board,N60),"0.0%"))),"")</f>
        <v>86.3%</v>
      </c>
    </row>
    <row r="70" spans="1:14" ht="15" customHeight="1" x14ac:dyDescent="0.2">
      <c r="A70" s="132"/>
      <c r="B70" s="152" t="s">
        <v>562</v>
      </c>
      <c r="C70" s="165" t="str">
        <f ca="1">IFERROR(IF(ISNUMBER(FIND("ED only",$B$4)),IF(LEFT($B$7,6)="Number",SUMIFS(Comparison_Lookup,site_level_range_board,$B70,date_range_board,C60,inputdata!$F:$F,"ED"),TEXT(SUMIFS(Comparison_Lookup,site_level_range_board,$B70,date_range_board,C60,inputdata!$F:$F,"ED")/SUMIFS(All_Attendances,site_level_range_board,$B70,date_range_board,C60,inputdata!$F:$F,"ED"),"0.0%")),IF(LEFT($B$7,6)="Number",SUMIFS(Comparison_Lookup,site_level_range_board,$B70,date_range_board,C60),TEXT(SUMIFS(Comparison_Lookup,site_level_range_board,$B70,date_range_board,C60)/SUMIFS(All_Attendances,site_level_range_board,$B70,date_range_board,C60),"0.0%"))),"")</f>
        <v>87.5%</v>
      </c>
      <c r="D70" s="165" t="str">
        <f ca="1">IFERROR(IF(ISNUMBER(FIND("ED only",$B$4)),IF(LEFT($B$7,6)="Number",SUMIFS(Comparison_Lookup,site_level_range_board,$B70,date_range_board,D60,inputdata!$F:$F,"ED"),TEXT(SUMIFS(Comparison_Lookup,site_level_range_board,$B70,date_range_board,D60,inputdata!$F:$F,"ED")/SUMIFS(All_Attendances,site_level_range_board,$B70,date_range_board,D60,inputdata!$F:$F,"ED"),"0.0%")),IF(LEFT($B$7,6)="Number",SUMIFS(Comparison_Lookup,site_level_range_board,$B70,date_range_board,D60),TEXT(SUMIFS(Comparison_Lookup,site_level_range_board,$B70,date_range_board,D60)/SUMIFS(All_Attendances,site_level_range_board,$B70,date_range_board,D60),"0.0%"))),"")</f>
        <v>88.5%</v>
      </c>
      <c r="E70" s="165" t="str">
        <f ca="1">IFERROR(IF(ISNUMBER(FIND("ED only",$B$4)),IF(LEFT($B$7,6)="Number",SUMIFS(Comparison_Lookup,site_level_range_board,$B70,date_range_board,E60,inputdata!$F:$F,"ED"),TEXT(SUMIFS(Comparison_Lookup,site_level_range_board,$B70,date_range_board,E60,inputdata!$F:$F,"ED")/SUMIFS(All_Attendances,site_level_range_board,$B70,date_range_board,E60,inputdata!$F:$F,"ED"),"0.0%")),IF(LEFT($B$7,6)="Number",SUMIFS(Comparison_Lookup,site_level_range_board,$B70,date_range_board,E60),TEXT(SUMIFS(Comparison_Lookup,site_level_range_board,$B70,date_range_board,E60)/SUMIFS(All_Attendances,site_level_range_board,$B70,date_range_board,E60),"0.0%"))),"")</f>
        <v>88.5%</v>
      </c>
      <c r="F70" s="165" t="str">
        <f ca="1">IFERROR(IF(ISNUMBER(FIND("ED only",$B$4)),IF(LEFT($B$7,6)="Number",SUMIFS(Comparison_Lookup,site_level_range_board,$B70,date_range_board,F60,inputdata!$F:$F,"ED"),TEXT(SUMIFS(Comparison_Lookup,site_level_range_board,$B70,date_range_board,F60,inputdata!$F:$F,"ED")/SUMIFS(All_Attendances,site_level_range_board,$B70,date_range_board,F60,inputdata!$F:$F,"ED"),"0.0%")),IF(LEFT($B$7,6)="Number",SUMIFS(Comparison_Lookup,site_level_range_board,$B70,date_range_board,F60),TEXT(SUMIFS(Comparison_Lookup,site_level_range_board,$B70,date_range_board,F60)/SUMIFS(All_Attendances,site_level_range_board,$B70,date_range_board,F60),"0.0%"))),"")</f>
        <v>92.1%</v>
      </c>
      <c r="G70" s="165" t="str">
        <f ca="1">IFERROR(IF(ISNUMBER(FIND("ED only",$B$4)),IF(LEFT($B$7,6)="Number",SUMIFS(Comparison_Lookup,site_level_range_board,$B70,date_range_board,G60,inputdata!$F:$F,"ED"),TEXT(SUMIFS(Comparison_Lookup,site_level_range_board,$B70,date_range_board,G60,inputdata!$F:$F,"ED")/SUMIFS(All_Attendances,site_level_range_board,$B70,date_range_board,G60,inputdata!$F:$F,"ED"),"0.0%")),IF(LEFT($B$7,6)="Number",SUMIFS(Comparison_Lookup,site_level_range_board,$B70,date_range_board,G60),TEXT(SUMIFS(Comparison_Lookup,site_level_range_board,$B70,date_range_board,G60)/SUMIFS(All_Attendances,site_level_range_board,$B70,date_range_board,G60),"0.0%"))),"")</f>
        <v>90.3%</v>
      </c>
      <c r="H70" s="165" t="str">
        <f ca="1">IFERROR(IF(ISNUMBER(FIND("ED only",$B$4)),IF(LEFT($B$7,6)="Number",SUMIFS(Comparison_Lookup,site_level_range_board,$B70,date_range_board,H60,inputdata!$F:$F,"ED"),TEXT(SUMIFS(Comparison_Lookup,site_level_range_board,$B70,date_range_board,H60,inputdata!$F:$F,"ED")/SUMIFS(All_Attendances,site_level_range_board,$B70,date_range_board,H60,inputdata!$F:$F,"ED"),"0.0%")),IF(LEFT($B$7,6)="Number",SUMIFS(Comparison_Lookup,site_level_range_board,$B70,date_range_board,H60),TEXT(SUMIFS(Comparison_Lookup,site_level_range_board,$B70,date_range_board,H60)/SUMIFS(All_Attendances,site_level_range_board,$B70,date_range_board,H60),"0.0%"))),"")</f>
        <v>88.3%</v>
      </c>
      <c r="I70" s="165" t="str">
        <f ca="1">IFERROR(IF(ISNUMBER(FIND("ED only",$B$4)),IF(LEFT($B$7,6)="Number",SUMIFS(Comparison_Lookup,site_level_range_board,$B70,date_range_board,I60,inputdata!$F:$F,"ED"),TEXT(SUMIFS(Comparison_Lookup,site_level_range_board,$B70,date_range_board,I60,inputdata!$F:$F,"ED")/SUMIFS(All_Attendances,site_level_range_board,$B70,date_range_board,I60,inputdata!$F:$F,"ED"),"0.0%")),IF(LEFT($B$7,6)="Number",SUMIFS(Comparison_Lookup,site_level_range_board,$B70,date_range_board,I60),TEXT(SUMIFS(Comparison_Lookup,site_level_range_board,$B70,date_range_board,I60)/SUMIFS(All_Attendances,site_level_range_board,$B70,date_range_board,I60),"0.0%"))),"")</f>
        <v>86.5%</v>
      </c>
      <c r="J70" s="165" t="str">
        <f ca="1">IFERROR(IF(ISNUMBER(FIND("ED only",$B$4)),IF(LEFT($B$7,6)="Number",SUMIFS(Comparison_Lookup,site_level_range_board,$B70,date_range_board,J60,inputdata!$F:$F,"ED"),TEXT(SUMIFS(Comparison_Lookup,site_level_range_board,$B70,date_range_board,J60,inputdata!$F:$F,"ED")/SUMIFS(All_Attendances,site_level_range_board,$B70,date_range_board,J60,inputdata!$F:$F,"ED"),"0.0%")),IF(LEFT($B$7,6)="Number",SUMIFS(Comparison_Lookup,site_level_range_board,$B70,date_range_board,J60),TEXT(SUMIFS(Comparison_Lookup,site_level_range_board,$B70,date_range_board,J60)/SUMIFS(All_Attendances,site_level_range_board,$B70,date_range_board,J60),"0.0%"))),"")</f>
        <v>81.4%</v>
      </c>
      <c r="K70" s="165" t="str">
        <f ca="1">IFERROR(IF(ISNUMBER(FIND("ED only",$B$4)),IF(LEFT($B$7,6)="Number",SUMIFS(Comparison_Lookup,site_level_range_board,$B70,date_range_board,K60,inputdata!$F:$F,"ED"),TEXT(SUMIFS(Comparison_Lookup,site_level_range_board,$B70,date_range_board,K60,inputdata!$F:$F,"ED")/SUMIFS(All_Attendances,site_level_range_board,$B70,date_range_board,K60,inputdata!$F:$F,"ED"),"0.0%")),IF(LEFT($B$7,6)="Number",SUMIFS(Comparison_Lookup,site_level_range_board,$B70,date_range_board,K60),TEXT(SUMIFS(Comparison_Lookup,site_level_range_board,$B70,date_range_board,K60)/SUMIFS(All_Attendances,site_level_range_board,$B70,date_range_board,K60),"0.0%"))),"")</f>
        <v>80.4%</v>
      </c>
      <c r="L70" s="165" t="str">
        <f ca="1">IFERROR(IF(ISNUMBER(FIND("ED only",$B$4)),IF(LEFT($B$7,6)="Number",SUMIFS(Comparison_Lookup,site_level_range_board,$B70,date_range_board,L60,inputdata!$F:$F,"ED"),TEXT(SUMIFS(Comparison_Lookup,site_level_range_board,$B70,date_range_board,L60,inputdata!$F:$F,"ED")/SUMIFS(All_Attendances,site_level_range_board,$B70,date_range_board,L60,inputdata!$F:$F,"ED"),"0.0%")),IF(LEFT($B$7,6)="Number",SUMIFS(Comparison_Lookup,site_level_range_board,$B70,date_range_board,L60),TEXT(SUMIFS(Comparison_Lookup,site_level_range_board,$B70,date_range_board,L60)/SUMIFS(All_Attendances,site_level_range_board,$B70,date_range_board,L60),"0.0%"))),"")</f>
        <v>82.6%</v>
      </c>
      <c r="M70" s="165" t="str">
        <f ca="1">IFERROR(IF(ISNUMBER(FIND("ED only",$B$4)),IF(LEFT($B$7,6)="Number",SUMIFS(Comparison_Lookup,site_level_range_board,$B70,date_range_board,M60,inputdata!$F:$F,"ED"),TEXT(SUMIFS(Comparison_Lookup,site_level_range_board,$B70,date_range_board,M60,inputdata!$F:$F,"ED")/SUMIFS(All_Attendances,site_level_range_board,$B70,date_range_board,M60,inputdata!$F:$F,"ED"),"0.0%")),IF(LEFT($B$7,6)="Number",SUMIFS(Comparison_Lookup,site_level_range_board,$B70,date_range_board,M60),TEXT(SUMIFS(Comparison_Lookup,site_level_range_board,$B70,date_range_board,M60)/SUMIFS(All_Attendances,site_level_range_board,$B70,date_range_board,M60),"0.0%"))),"")</f>
        <v>82.2%</v>
      </c>
      <c r="N70" s="171" t="str">
        <f ca="1">IFERROR(IF(ISNUMBER(FIND("ED only",$B$4)),IF(LEFT($B$7,6)="Number",SUMIFS(Comparison_Lookup,site_level_range_board,$B70,date_range_board,N60,inputdata!$F:$F,"ED"),TEXT(SUMIFS(Comparison_Lookup,site_level_range_board,$B70,date_range_board,N60,inputdata!$F:$F,"ED")/SUMIFS(All_Attendances,site_level_range_board,$B70,date_range_board,N60,inputdata!$F:$F,"ED"),"0.0%")),IF(LEFT($B$7,6)="Number",SUMIFS(Comparison_Lookup,site_level_range_board,$B70,date_range_board,N60),TEXT(SUMIFS(Comparison_Lookup,site_level_range_board,$B70,date_range_board,N60)/SUMIFS(All_Attendances,site_level_range_board,$B70,date_range_board,N60),"0.0%"))),"")</f>
        <v>86.5%</v>
      </c>
    </row>
    <row r="71" spans="1:14" ht="15" customHeight="1" x14ac:dyDescent="0.2">
      <c r="A71" s="132"/>
      <c r="B71" s="152" t="s">
        <v>571</v>
      </c>
      <c r="C71" s="165" t="str">
        <f ca="1">IFERROR(IF(ISNUMBER(FIND("ED only",$B$4)),IF(LEFT($B$7,6)="Number",SUMIFS(Comparison_Lookup,site_level_range_board,$B71,date_range_board,C60,inputdata!$F:$F,"ED"),TEXT(SUMIFS(Comparison_Lookup,site_level_range_board,$B71,date_range_board,C60,inputdata!$F:$F,"ED")/SUMIFS(All_Attendances,site_level_range_board,$B71,date_range_board,C60,inputdata!$F:$F,"ED"),"0.0%")),IF(LEFT($B$7,6)="Number",SUMIFS(Comparison_Lookup,site_level_range_board,$B71,date_range_board,C60),TEXT(SUMIFS(Comparison_Lookup,site_level_range_board,$B71,date_range_board,C60)/SUMIFS(All_Attendances,site_level_range_board,$B71,date_range_board,C60),"0.0%"))),"")</f>
        <v>92.0%</v>
      </c>
      <c r="D71" s="165" t="str">
        <f ca="1">IFERROR(IF(ISNUMBER(FIND("ED only",$B$4)),IF(LEFT($B$7,6)="Number",SUMIFS(Comparison_Lookup,site_level_range_board,$B71,date_range_board,D60,inputdata!$F:$F,"ED"),TEXT(SUMIFS(Comparison_Lookup,site_level_range_board,$B71,date_range_board,D60,inputdata!$F:$F,"ED")/SUMIFS(All_Attendances,site_level_range_board,$B71,date_range_board,D60,inputdata!$F:$F,"ED"),"0.0%")),IF(LEFT($B$7,6)="Number",SUMIFS(Comparison_Lookup,site_level_range_board,$B71,date_range_board,D60),TEXT(SUMIFS(Comparison_Lookup,site_level_range_board,$B71,date_range_board,D60)/SUMIFS(All_Attendances,site_level_range_board,$B71,date_range_board,D60),"0.0%"))),"")</f>
        <v>94.9%</v>
      </c>
      <c r="E71" s="165" t="str">
        <f ca="1">IFERROR(IF(ISNUMBER(FIND("ED only",$B$4)),IF(LEFT($B$7,6)="Number",SUMIFS(Comparison_Lookup,site_level_range_board,$B71,date_range_board,E60,inputdata!$F:$F,"ED"),TEXT(SUMIFS(Comparison_Lookup,site_level_range_board,$B71,date_range_board,E60,inputdata!$F:$F,"ED")/SUMIFS(All_Attendances,site_level_range_board,$B71,date_range_board,E60,inputdata!$F:$F,"ED"),"0.0%")),IF(LEFT($B$7,6)="Number",SUMIFS(Comparison_Lookup,site_level_range_board,$B71,date_range_board,E60),TEXT(SUMIFS(Comparison_Lookup,site_level_range_board,$B71,date_range_board,E60)/SUMIFS(All_Attendances,site_level_range_board,$B71,date_range_board,E60),"0.0%"))),"")</f>
        <v>97.1%</v>
      </c>
      <c r="F71" s="165" t="str">
        <f ca="1">IFERROR(IF(ISNUMBER(FIND("ED only",$B$4)),IF(LEFT($B$7,6)="Number",SUMIFS(Comparison_Lookup,site_level_range_board,$B71,date_range_board,F60,inputdata!$F:$F,"ED"),TEXT(SUMIFS(Comparison_Lookup,site_level_range_board,$B71,date_range_board,F60,inputdata!$F:$F,"ED")/SUMIFS(All_Attendances,site_level_range_board,$B71,date_range_board,F60,inputdata!$F:$F,"ED"),"0.0%")),IF(LEFT($B$7,6)="Number",SUMIFS(Comparison_Lookup,site_level_range_board,$B71,date_range_board,F60),TEXT(SUMIFS(Comparison_Lookup,site_level_range_board,$B71,date_range_board,F60)/SUMIFS(All_Attendances,site_level_range_board,$B71,date_range_board,F60),"0.0%"))),"")</f>
        <v>95.6%</v>
      </c>
      <c r="G71" s="165" t="str">
        <f ca="1">IFERROR(IF(ISNUMBER(FIND("ED only",$B$4)),IF(LEFT($B$7,6)="Number",SUMIFS(Comparison_Lookup,site_level_range_board,$B71,date_range_board,G60,inputdata!$F:$F,"ED"),TEXT(SUMIFS(Comparison_Lookup,site_level_range_board,$B71,date_range_board,G60,inputdata!$F:$F,"ED")/SUMIFS(All_Attendances,site_level_range_board,$B71,date_range_board,G60,inputdata!$F:$F,"ED"),"0.0%")),IF(LEFT($B$7,6)="Number",SUMIFS(Comparison_Lookup,site_level_range_board,$B71,date_range_board,G60),TEXT(SUMIFS(Comparison_Lookup,site_level_range_board,$B71,date_range_board,G60)/SUMIFS(All_Attendances,site_level_range_board,$B71,date_range_board,G60),"0.0%"))),"")</f>
        <v>97.8%</v>
      </c>
      <c r="H71" s="165" t="str">
        <f ca="1">IFERROR(IF(ISNUMBER(FIND("ED only",$B$4)),IF(LEFT($B$7,6)="Number",SUMIFS(Comparison_Lookup,site_level_range_board,$B71,date_range_board,H60,inputdata!$F:$F,"ED"),TEXT(SUMIFS(Comparison_Lookup,site_level_range_board,$B71,date_range_board,H60,inputdata!$F:$F,"ED")/SUMIFS(All_Attendances,site_level_range_board,$B71,date_range_board,H60,inputdata!$F:$F,"ED"),"0.0%")),IF(LEFT($B$7,6)="Number",SUMIFS(Comparison_Lookup,site_level_range_board,$B71,date_range_board,H60),TEXT(SUMIFS(Comparison_Lookup,site_level_range_board,$B71,date_range_board,H60)/SUMIFS(All_Attendances,site_level_range_board,$B71,date_range_board,H60),"0.0%"))),"")</f>
        <v>98.7%</v>
      </c>
      <c r="I71" s="165" t="str">
        <f ca="1">IFERROR(IF(ISNUMBER(FIND("ED only",$B$4)),IF(LEFT($B$7,6)="Number",SUMIFS(Comparison_Lookup,site_level_range_board,$B71,date_range_board,I60,inputdata!$F:$F,"ED"),TEXT(SUMIFS(Comparison_Lookup,site_level_range_board,$B71,date_range_board,I60,inputdata!$F:$F,"ED")/SUMIFS(All_Attendances,site_level_range_board,$B71,date_range_board,I60,inputdata!$F:$F,"ED"),"0.0%")),IF(LEFT($B$7,6)="Number",SUMIFS(Comparison_Lookup,site_level_range_board,$B71,date_range_board,I60),TEXT(SUMIFS(Comparison_Lookup,site_level_range_board,$B71,date_range_board,I60)/SUMIFS(All_Attendances,site_level_range_board,$B71,date_range_board,I60),"0.0%"))),"")</f>
        <v>97.4%</v>
      </c>
      <c r="J71" s="165" t="str">
        <f ca="1">IFERROR(IF(ISNUMBER(FIND("ED only",$B$4)),IF(LEFT($B$7,6)="Number",SUMIFS(Comparison_Lookup,site_level_range_board,$B71,date_range_board,J60,inputdata!$F:$F,"ED"),TEXT(SUMIFS(Comparison_Lookup,site_level_range_board,$B71,date_range_board,J60,inputdata!$F:$F,"ED")/SUMIFS(All_Attendances,site_level_range_board,$B71,date_range_board,J60,inputdata!$F:$F,"ED"),"0.0%")),IF(LEFT($B$7,6)="Number",SUMIFS(Comparison_Lookup,site_level_range_board,$B71,date_range_board,J60),TEXT(SUMIFS(Comparison_Lookup,site_level_range_board,$B71,date_range_board,J60)/SUMIFS(All_Attendances,site_level_range_board,$B71,date_range_board,J60),"0.0%"))),"")</f>
        <v>98.2%</v>
      </c>
      <c r="K71" s="165" t="str">
        <f ca="1">IFERROR(IF(ISNUMBER(FIND("ED only",$B$4)),IF(LEFT($B$7,6)="Number",SUMIFS(Comparison_Lookup,site_level_range_board,$B71,date_range_board,K60,inputdata!$F:$F,"ED"),TEXT(SUMIFS(Comparison_Lookup,site_level_range_board,$B71,date_range_board,K60,inputdata!$F:$F,"ED")/SUMIFS(All_Attendances,site_level_range_board,$B71,date_range_board,K60,inputdata!$F:$F,"ED"),"0.0%")),IF(LEFT($B$7,6)="Number",SUMIFS(Comparison_Lookup,site_level_range_board,$B71,date_range_board,K60),TEXT(SUMIFS(Comparison_Lookup,site_level_range_board,$B71,date_range_board,K60)/SUMIFS(All_Attendances,site_level_range_board,$B71,date_range_board,K60),"0.0%"))),"")</f>
        <v>97.5%</v>
      </c>
      <c r="L71" s="165" t="str">
        <f ca="1">IFERROR(IF(ISNUMBER(FIND("ED only",$B$4)),IF(LEFT($B$7,6)="Number",SUMIFS(Comparison_Lookup,site_level_range_board,$B71,date_range_board,L60,inputdata!$F:$F,"ED"),TEXT(SUMIFS(Comparison_Lookup,site_level_range_board,$B71,date_range_board,L60,inputdata!$F:$F,"ED")/SUMIFS(All_Attendances,site_level_range_board,$B71,date_range_board,L60,inputdata!$F:$F,"ED"),"0.0%")),IF(LEFT($B$7,6)="Number",SUMIFS(Comparison_Lookup,site_level_range_board,$B71,date_range_board,L60),TEXT(SUMIFS(Comparison_Lookup,site_level_range_board,$B71,date_range_board,L60)/SUMIFS(All_Attendances,site_level_range_board,$B71,date_range_board,L60),"0.0%"))),"")</f>
        <v>95.6%</v>
      </c>
      <c r="M71" s="165" t="str">
        <f ca="1">IFERROR(IF(ISNUMBER(FIND("ED only",$B$4)),IF(LEFT($B$7,6)="Number",SUMIFS(Comparison_Lookup,site_level_range_board,$B71,date_range_board,M60,inputdata!$F:$F,"ED"),TEXT(SUMIFS(Comparison_Lookup,site_level_range_board,$B71,date_range_board,M60,inputdata!$F:$F,"ED")/SUMIFS(All_Attendances,site_level_range_board,$B71,date_range_board,M60,inputdata!$F:$F,"ED"),"0.0%")),IF(LEFT($B$7,6)="Number",SUMIFS(Comparison_Lookup,site_level_range_board,$B71,date_range_board,M60),TEXT(SUMIFS(Comparison_Lookup,site_level_range_board,$B71,date_range_board,M60)/SUMIFS(All_Attendances,site_level_range_board,$B71,date_range_board,M60),"0.0%"))),"")</f>
        <v>94.1%</v>
      </c>
      <c r="N71" s="171" t="str">
        <f ca="1">IFERROR(IF(ISNUMBER(FIND("ED only",$B$4)),IF(LEFT($B$7,6)="Number",SUMIFS(Comparison_Lookup,site_level_range_board,$B71,date_range_board,N60,inputdata!$F:$F,"ED"),TEXT(SUMIFS(Comparison_Lookup,site_level_range_board,$B71,date_range_board,N60,inputdata!$F:$F,"ED")/SUMIFS(All_Attendances,site_level_range_board,$B71,date_range_board,N60,inputdata!$F:$F,"ED"),"0.0%")),IF(LEFT($B$7,6)="Number",SUMIFS(Comparison_Lookup,site_level_range_board,$B71,date_range_board,N60),TEXT(SUMIFS(Comparison_Lookup,site_level_range_board,$B71,date_range_board,N60)/SUMIFS(All_Attendances,site_level_range_board,$B71,date_range_board,N60),"0.0%"))),"")</f>
        <v>94.9%</v>
      </c>
    </row>
    <row r="72" spans="1:14" ht="15" customHeight="1" x14ac:dyDescent="0.2">
      <c r="A72" s="132"/>
      <c r="B72" s="152" t="s">
        <v>574</v>
      </c>
      <c r="C72" s="165" t="str">
        <f ca="1">IFERROR(IF(ISNUMBER(FIND("ED only",$B$4)),IF(LEFT($B$7,6)="Number",SUMIFS(Comparison_Lookup,site_level_range_board,$B72,date_range_board,C60,inputdata!$F:$F,"ED"),TEXT(SUMIFS(Comparison_Lookup,site_level_range_board,$B72,date_range_board,C60,inputdata!$F:$F,"ED")/SUMIFS(All_Attendances,site_level_range_board,$B72,date_range_board,C60,inputdata!$F:$F,"ED"),"0.0%")),IF(LEFT($B$7,6)="Number",SUMIFS(Comparison_Lookup,site_level_range_board,$B72,date_range_board,C60),TEXT(SUMIFS(Comparison_Lookup,site_level_range_board,$B72,date_range_board,C60)/SUMIFS(All_Attendances,site_level_range_board,$B72,date_range_board,C60),"0.0%"))),"")</f>
        <v>95.7%</v>
      </c>
      <c r="D72" s="165" t="str">
        <f ca="1">IFERROR(IF(ISNUMBER(FIND("ED only",$B$4)),IF(LEFT($B$7,6)="Number",SUMIFS(Comparison_Lookup,site_level_range_board,$B72,date_range_board,D60,inputdata!$F:$F,"ED"),TEXT(SUMIFS(Comparison_Lookup,site_level_range_board,$B72,date_range_board,D60,inputdata!$F:$F,"ED")/SUMIFS(All_Attendances,site_level_range_board,$B72,date_range_board,D60,inputdata!$F:$F,"ED"),"0.0%")),IF(LEFT($B$7,6)="Number",SUMIFS(Comparison_Lookup,site_level_range_board,$B72,date_range_board,D60),TEXT(SUMIFS(Comparison_Lookup,site_level_range_board,$B72,date_range_board,D60)/SUMIFS(All_Attendances,site_level_range_board,$B72,date_range_board,D60),"0.0%"))),"")</f>
        <v>97.4%</v>
      </c>
      <c r="E72" s="165" t="str">
        <f ca="1">IFERROR(IF(ISNUMBER(FIND("ED only",$B$4)),IF(LEFT($B$7,6)="Number",SUMIFS(Comparison_Lookup,site_level_range_board,$B72,date_range_board,E60,inputdata!$F:$F,"ED"),TEXT(SUMIFS(Comparison_Lookup,site_level_range_board,$B72,date_range_board,E60,inputdata!$F:$F,"ED")/SUMIFS(All_Attendances,site_level_range_board,$B72,date_range_board,E60,inputdata!$F:$F,"ED"),"0.0%")),IF(LEFT($B$7,6)="Number",SUMIFS(Comparison_Lookup,site_level_range_board,$B72,date_range_board,E60),TEXT(SUMIFS(Comparison_Lookup,site_level_range_board,$B72,date_range_board,E60)/SUMIFS(All_Attendances,site_level_range_board,$B72,date_range_board,E60),"0.0%"))),"")</f>
        <v>98.7%</v>
      </c>
      <c r="F72" s="165" t="str">
        <f ca="1">IFERROR(IF(ISNUMBER(FIND("ED only",$B$4)),IF(LEFT($B$7,6)="Number",SUMIFS(Comparison_Lookup,site_level_range_board,$B72,date_range_board,F60,inputdata!$F:$F,"ED"),TEXT(SUMIFS(Comparison_Lookup,site_level_range_board,$B72,date_range_board,F60,inputdata!$F:$F,"ED")/SUMIFS(All_Attendances,site_level_range_board,$B72,date_range_board,F60,inputdata!$F:$F,"ED"),"0.0%")),IF(LEFT($B$7,6)="Number",SUMIFS(Comparison_Lookup,site_level_range_board,$B72,date_range_board,F60),TEXT(SUMIFS(Comparison_Lookup,site_level_range_board,$B72,date_range_board,F60)/SUMIFS(All_Attendances,site_level_range_board,$B72,date_range_board,F60),"0.0%"))),"")</f>
        <v>96.6%</v>
      </c>
      <c r="G72" s="165" t="str">
        <f ca="1">IFERROR(IF(ISNUMBER(FIND("ED only",$B$4)),IF(LEFT($B$7,6)="Number",SUMIFS(Comparison_Lookup,site_level_range_board,$B72,date_range_board,G60,inputdata!$F:$F,"ED"),TEXT(SUMIFS(Comparison_Lookup,site_level_range_board,$B72,date_range_board,G60,inputdata!$F:$F,"ED")/SUMIFS(All_Attendances,site_level_range_board,$B72,date_range_board,G60,inputdata!$F:$F,"ED"),"0.0%")),IF(LEFT($B$7,6)="Number",SUMIFS(Comparison_Lookup,site_level_range_board,$B72,date_range_board,G60),TEXT(SUMIFS(Comparison_Lookup,site_level_range_board,$B72,date_range_board,G60)/SUMIFS(All_Attendances,site_level_range_board,$B72,date_range_board,G60),"0.0%"))),"")</f>
        <v>95.5%</v>
      </c>
      <c r="H72" s="165" t="str">
        <f ca="1">IFERROR(IF(ISNUMBER(FIND("ED only",$B$4)),IF(LEFT($B$7,6)="Number",SUMIFS(Comparison_Lookup,site_level_range_board,$B72,date_range_board,H60,inputdata!$F:$F,"ED"),TEXT(SUMIFS(Comparison_Lookup,site_level_range_board,$B72,date_range_board,H60,inputdata!$F:$F,"ED")/SUMIFS(All_Attendances,site_level_range_board,$B72,date_range_board,H60,inputdata!$F:$F,"ED"),"0.0%")),IF(LEFT($B$7,6)="Number",SUMIFS(Comparison_Lookup,site_level_range_board,$B72,date_range_board,H60),TEXT(SUMIFS(Comparison_Lookup,site_level_range_board,$B72,date_range_board,H60)/SUMIFS(All_Attendances,site_level_range_board,$B72,date_range_board,H60),"0.0%"))),"")</f>
        <v>95.4%</v>
      </c>
      <c r="I72" s="165" t="str">
        <f ca="1">IFERROR(IF(ISNUMBER(FIND("ED only",$B$4)),IF(LEFT($B$7,6)="Number",SUMIFS(Comparison_Lookup,site_level_range_board,$B72,date_range_board,I60,inputdata!$F:$F,"ED"),TEXT(SUMIFS(Comparison_Lookup,site_level_range_board,$B72,date_range_board,I60,inputdata!$F:$F,"ED")/SUMIFS(All_Attendances,site_level_range_board,$B72,date_range_board,I60,inputdata!$F:$F,"ED"),"0.0%")),IF(LEFT($B$7,6)="Number",SUMIFS(Comparison_Lookup,site_level_range_board,$B72,date_range_board,I60),TEXT(SUMIFS(Comparison_Lookup,site_level_range_board,$B72,date_range_board,I60)/SUMIFS(All_Attendances,site_level_range_board,$B72,date_range_board,I60),"0.0%"))),"")</f>
        <v>92.2%</v>
      </c>
      <c r="J72" s="165" t="str">
        <f ca="1">IFERROR(IF(ISNUMBER(FIND("ED only",$B$4)),IF(LEFT($B$7,6)="Number",SUMIFS(Comparison_Lookup,site_level_range_board,$B72,date_range_board,J60,inputdata!$F:$F,"ED"),TEXT(SUMIFS(Comparison_Lookup,site_level_range_board,$B72,date_range_board,J60,inputdata!$F:$F,"ED")/SUMIFS(All_Attendances,site_level_range_board,$B72,date_range_board,J60,inputdata!$F:$F,"ED"),"0.0%")),IF(LEFT($B$7,6)="Number",SUMIFS(Comparison_Lookup,site_level_range_board,$B72,date_range_board,J60),TEXT(SUMIFS(Comparison_Lookup,site_level_range_board,$B72,date_range_board,J60)/SUMIFS(All_Attendances,site_level_range_board,$B72,date_range_board,J60),"0.0%"))),"")</f>
        <v>96.4%</v>
      </c>
      <c r="K72" s="165" t="str">
        <f ca="1">IFERROR(IF(ISNUMBER(FIND("ED only",$B$4)),IF(LEFT($B$7,6)="Number",SUMIFS(Comparison_Lookup,site_level_range_board,$B72,date_range_board,K60,inputdata!$F:$F,"ED"),TEXT(SUMIFS(Comparison_Lookup,site_level_range_board,$B72,date_range_board,K60,inputdata!$F:$F,"ED")/SUMIFS(All_Attendances,site_level_range_board,$B72,date_range_board,K60,inputdata!$F:$F,"ED"),"0.0%")),IF(LEFT($B$7,6)="Number",SUMIFS(Comparison_Lookup,site_level_range_board,$B72,date_range_board,K60),TEXT(SUMIFS(Comparison_Lookup,site_level_range_board,$B72,date_range_board,K60)/SUMIFS(All_Attendances,site_level_range_board,$B72,date_range_board,K60),"0.0%"))),"")</f>
        <v>94.6%</v>
      </c>
      <c r="L72" s="165" t="str">
        <f ca="1">IFERROR(IF(ISNUMBER(FIND("ED only",$B$4)),IF(LEFT($B$7,6)="Number",SUMIFS(Comparison_Lookup,site_level_range_board,$B72,date_range_board,L60,inputdata!$F:$F,"ED"),TEXT(SUMIFS(Comparison_Lookup,site_level_range_board,$B72,date_range_board,L60,inputdata!$F:$F,"ED")/SUMIFS(All_Attendances,site_level_range_board,$B72,date_range_board,L60,inputdata!$F:$F,"ED"),"0.0%")),IF(LEFT($B$7,6)="Number",SUMIFS(Comparison_Lookup,site_level_range_board,$B72,date_range_board,L60),TEXT(SUMIFS(Comparison_Lookup,site_level_range_board,$B72,date_range_board,L60)/SUMIFS(All_Attendances,site_level_range_board,$B72,date_range_board,L60),"0.0%"))),"")</f>
        <v>94.7%</v>
      </c>
      <c r="M72" s="165" t="str">
        <f ca="1">IFERROR(IF(ISNUMBER(FIND("ED only",$B$4)),IF(LEFT($B$7,6)="Number",SUMIFS(Comparison_Lookup,site_level_range_board,$B72,date_range_board,M60,inputdata!$F:$F,"ED"),TEXT(SUMIFS(Comparison_Lookup,site_level_range_board,$B72,date_range_board,M60,inputdata!$F:$F,"ED")/SUMIFS(All_Attendances,site_level_range_board,$B72,date_range_board,M60,inputdata!$F:$F,"ED"),"0.0%")),IF(LEFT($B$7,6)="Number",SUMIFS(Comparison_Lookup,site_level_range_board,$B72,date_range_board,M60),TEXT(SUMIFS(Comparison_Lookup,site_level_range_board,$B72,date_range_board,M60)/SUMIFS(All_Attendances,site_level_range_board,$B72,date_range_board,M60),"0.0%"))),"")</f>
        <v>92.4%</v>
      </c>
      <c r="N72" s="171" t="str">
        <f ca="1">IFERROR(IF(ISNUMBER(FIND("ED only",$B$4)),IF(LEFT($B$7,6)="Number",SUMIFS(Comparison_Lookup,site_level_range_board,$B72,date_range_board,N60,inputdata!$F:$F,"ED"),TEXT(SUMIFS(Comparison_Lookup,site_level_range_board,$B72,date_range_board,N60,inputdata!$F:$F,"ED")/SUMIFS(All_Attendances,site_level_range_board,$B72,date_range_board,N60,inputdata!$F:$F,"ED"),"0.0%")),IF(LEFT($B$7,6)="Number",SUMIFS(Comparison_Lookup,site_level_range_board,$B72,date_range_board,N60),TEXT(SUMIFS(Comparison_Lookup,site_level_range_board,$B72,date_range_board,N60)/SUMIFS(All_Attendances,site_level_range_board,$B72,date_range_board,N60),"0.0%"))),"")</f>
        <v>90.9%</v>
      </c>
    </row>
    <row r="73" spans="1:14" ht="15" customHeight="1" x14ac:dyDescent="0.2">
      <c r="A73" s="132"/>
      <c r="B73" s="152" t="s">
        <v>577</v>
      </c>
      <c r="C73" s="165" t="str">
        <f ca="1">IFERROR(IF(ISNUMBER(FIND("ED only",$B$4)),IF(LEFT($B$7,6)="Number",SUMIFS(Comparison_Lookup,site_level_range_board,$B73,date_range_board,C60,inputdata!$F:$F,"ED"),TEXT(SUMIFS(Comparison_Lookup,site_level_range_board,$B73,date_range_board,C60,inputdata!$F:$F,"ED")/SUMIFS(All_Attendances,site_level_range_board,$B73,date_range_board,C60,inputdata!$F:$F,"ED"),"0.0%")),IF(LEFT($B$7,6)="Number",SUMIFS(Comparison_Lookup,site_level_range_board,$B73,date_range_board,C60),TEXT(SUMIFS(Comparison_Lookup,site_level_range_board,$B73,date_range_board,C60)/SUMIFS(All_Attendances,site_level_range_board,$B73,date_range_board,C60),"0.0%"))),"")</f>
        <v>96.2%</v>
      </c>
      <c r="D73" s="165" t="str">
        <f ca="1">IFERROR(IF(ISNUMBER(FIND("ED only",$B$4)),IF(LEFT($B$7,6)="Number",SUMIFS(Comparison_Lookup,site_level_range_board,$B73,date_range_board,D60,inputdata!$F:$F,"ED"),TEXT(SUMIFS(Comparison_Lookup,site_level_range_board,$B73,date_range_board,D60,inputdata!$F:$F,"ED")/SUMIFS(All_Attendances,site_level_range_board,$B73,date_range_board,D60,inputdata!$F:$F,"ED"),"0.0%")),IF(LEFT($B$7,6)="Number",SUMIFS(Comparison_Lookup,site_level_range_board,$B73,date_range_board,D60),TEXT(SUMIFS(Comparison_Lookup,site_level_range_board,$B73,date_range_board,D60)/SUMIFS(All_Attendances,site_level_range_board,$B73,date_range_board,D60),"0.0%"))),"")</f>
        <v>96.8%</v>
      </c>
      <c r="E73" s="165" t="str">
        <f ca="1">IFERROR(IF(ISNUMBER(FIND("ED only",$B$4)),IF(LEFT($B$7,6)="Number",SUMIFS(Comparison_Lookup,site_level_range_board,$B73,date_range_board,E60,inputdata!$F:$F,"ED"),TEXT(SUMIFS(Comparison_Lookup,site_level_range_board,$B73,date_range_board,E60,inputdata!$F:$F,"ED")/SUMIFS(All_Attendances,site_level_range_board,$B73,date_range_board,E60,inputdata!$F:$F,"ED"),"0.0%")),IF(LEFT($B$7,6)="Number",SUMIFS(Comparison_Lookup,site_level_range_board,$B73,date_range_board,E60),TEXT(SUMIFS(Comparison_Lookup,site_level_range_board,$B73,date_range_board,E60)/SUMIFS(All_Attendances,site_level_range_board,$B73,date_range_board,E60),"0.0%"))),"")</f>
        <v>95.3%</v>
      </c>
      <c r="F73" s="165" t="str">
        <f ca="1">IFERROR(IF(ISNUMBER(FIND("ED only",$B$4)),IF(LEFT($B$7,6)="Number",SUMIFS(Comparison_Lookup,site_level_range_board,$B73,date_range_board,F60,inputdata!$F:$F,"ED"),TEXT(SUMIFS(Comparison_Lookup,site_level_range_board,$B73,date_range_board,F60,inputdata!$F:$F,"ED")/SUMIFS(All_Attendances,site_level_range_board,$B73,date_range_board,F60,inputdata!$F:$F,"ED"),"0.0%")),IF(LEFT($B$7,6)="Number",SUMIFS(Comparison_Lookup,site_level_range_board,$B73,date_range_board,F60),TEXT(SUMIFS(Comparison_Lookup,site_level_range_board,$B73,date_range_board,F60)/SUMIFS(All_Attendances,site_level_range_board,$B73,date_range_board,F60),"0.0%"))),"")</f>
        <v>96.9%</v>
      </c>
      <c r="G73" s="165" t="str">
        <f ca="1">IFERROR(IF(ISNUMBER(FIND("ED only",$B$4)),IF(LEFT($B$7,6)="Number",SUMIFS(Comparison_Lookup,site_level_range_board,$B73,date_range_board,G60,inputdata!$F:$F,"ED"),TEXT(SUMIFS(Comparison_Lookup,site_level_range_board,$B73,date_range_board,G60,inputdata!$F:$F,"ED")/SUMIFS(All_Attendances,site_level_range_board,$B73,date_range_board,G60,inputdata!$F:$F,"ED"),"0.0%")),IF(LEFT($B$7,6)="Number",SUMIFS(Comparison_Lookup,site_level_range_board,$B73,date_range_board,G60),TEXT(SUMIFS(Comparison_Lookup,site_level_range_board,$B73,date_range_board,G60)/SUMIFS(All_Attendances,site_level_range_board,$B73,date_range_board,G60),"0.0%"))),"")</f>
        <v>95.8%</v>
      </c>
      <c r="H73" s="165" t="str">
        <f ca="1">IFERROR(IF(ISNUMBER(FIND("ED only",$B$4)),IF(LEFT($B$7,6)="Number",SUMIFS(Comparison_Lookup,site_level_range_board,$B73,date_range_board,H60,inputdata!$F:$F,"ED"),TEXT(SUMIFS(Comparison_Lookup,site_level_range_board,$B73,date_range_board,H60,inputdata!$F:$F,"ED")/SUMIFS(All_Attendances,site_level_range_board,$B73,date_range_board,H60,inputdata!$F:$F,"ED"),"0.0%")),IF(LEFT($B$7,6)="Number",SUMIFS(Comparison_Lookup,site_level_range_board,$B73,date_range_board,H60),TEXT(SUMIFS(Comparison_Lookup,site_level_range_board,$B73,date_range_board,H60)/SUMIFS(All_Attendances,site_level_range_board,$B73,date_range_board,H60),"0.0%"))),"")</f>
        <v>95.8%</v>
      </c>
      <c r="I73" s="165" t="str">
        <f ca="1">IFERROR(IF(ISNUMBER(FIND("ED only",$B$4)),IF(LEFT($B$7,6)="Number",SUMIFS(Comparison_Lookup,site_level_range_board,$B73,date_range_board,I60,inputdata!$F:$F,"ED"),TEXT(SUMIFS(Comparison_Lookup,site_level_range_board,$B73,date_range_board,I60,inputdata!$F:$F,"ED")/SUMIFS(All_Attendances,site_level_range_board,$B73,date_range_board,I60,inputdata!$F:$F,"ED"),"0.0%")),IF(LEFT($B$7,6)="Number",SUMIFS(Comparison_Lookup,site_level_range_board,$B73,date_range_board,I60),TEXT(SUMIFS(Comparison_Lookup,site_level_range_board,$B73,date_range_board,I60)/SUMIFS(All_Attendances,site_level_range_board,$B73,date_range_board,I60),"0.0%"))),"")</f>
        <v>96.5%</v>
      </c>
      <c r="J73" s="165" t="str">
        <f ca="1">IFERROR(IF(ISNUMBER(FIND("ED only",$B$4)),IF(LEFT($B$7,6)="Number",SUMIFS(Comparison_Lookup,site_level_range_board,$B73,date_range_board,J60,inputdata!$F:$F,"ED"),TEXT(SUMIFS(Comparison_Lookup,site_level_range_board,$B73,date_range_board,J60,inputdata!$F:$F,"ED")/SUMIFS(All_Attendances,site_level_range_board,$B73,date_range_board,J60,inputdata!$F:$F,"ED"),"0.0%")),IF(LEFT($B$7,6)="Number",SUMIFS(Comparison_Lookup,site_level_range_board,$B73,date_range_board,J60),TEXT(SUMIFS(Comparison_Lookup,site_level_range_board,$B73,date_range_board,J60)/SUMIFS(All_Attendances,site_level_range_board,$B73,date_range_board,J60),"0.0%"))),"")</f>
        <v>96.8%</v>
      </c>
      <c r="K73" s="165" t="str">
        <f ca="1">IFERROR(IF(ISNUMBER(FIND("ED only",$B$4)),IF(LEFT($B$7,6)="Number",SUMIFS(Comparison_Lookup,site_level_range_board,$B73,date_range_board,K60,inputdata!$F:$F,"ED"),TEXT(SUMIFS(Comparison_Lookup,site_level_range_board,$B73,date_range_board,K60,inputdata!$F:$F,"ED")/SUMIFS(All_Attendances,site_level_range_board,$B73,date_range_board,K60,inputdata!$F:$F,"ED"),"0.0%")),IF(LEFT($B$7,6)="Number",SUMIFS(Comparison_Lookup,site_level_range_board,$B73,date_range_board,K60),TEXT(SUMIFS(Comparison_Lookup,site_level_range_board,$B73,date_range_board,K60)/SUMIFS(All_Attendances,site_level_range_board,$B73,date_range_board,K60),"0.0%"))),"")</f>
        <v>96.7%</v>
      </c>
      <c r="L73" s="165" t="str">
        <f ca="1">IFERROR(IF(ISNUMBER(FIND("ED only",$B$4)),IF(LEFT($B$7,6)="Number",SUMIFS(Comparison_Lookup,site_level_range_board,$B73,date_range_board,L60,inputdata!$F:$F,"ED"),TEXT(SUMIFS(Comparison_Lookup,site_level_range_board,$B73,date_range_board,L60,inputdata!$F:$F,"ED")/SUMIFS(All_Attendances,site_level_range_board,$B73,date_range_board,L60,inputdata!$F:$F,"ED"),"0.0%")),IF(LEFT($B$7,6)="Number",SUMIFS(Comparison_Lookup,site_level_range_board,$B73,date_range_board,L60),TEXT(SUMIFS(Comparison_Lookup,site_level_range_board,$B73,date_range_board,L60)/SUMIFS(All_Attendances,site_level_range_board,$B73,date_range_board,L60),"0.0%"))),"")</f>
        <v>98.0%</v>
      </c>
      <c r="M73" s="165" t="str">
        <f ca="1">IFERROR(IF(ISNUMBER(FIND("ED only",$B$4)),IF(LEFT($B$7,6)="Number",SUMIFS(Comparison_Lookup,site_level_range_board,$B73,date_range_board,M60,inputdata!$F:$F,"ED"),TEXT(SUMIFS(Comparison_Lookup,site_level_range_board,$B73,date_range_board,M60,inputdata!$F:$F,"ED")/SUMIFS(All_Attendances,site_level_range_board,$B73,date_range_board,M60,inputdata!$F:$F,"ED"),"0.0%")),IF(LEFT($B$7,6)="Number",SUMIFS(Comparison_Lookup,site_level_range_board,$B73,date_range_board,M60),TEXT(SUMIFS(Comparison_Lookup,site_level_range_board,$B73,date_range_board,M60)/SUMIFS(All_Attendances,site_level_range_board,$B73,date_range_board,M60),"0.0%"))),"")</f>
        <v>97.7%</v>
      </c>
      <c r="N73" s="171" t="str">
        <f ca="1">IFERROR(IF(ISNUMBER(FIND("ED only",$B$4)),IF(LEFT($B$7,6)="Number",SUMIFS(Comparison_Lookup,site_level_range_board,$B73,date_range_board,N60,inputdata!$F:$F,"ED"),TEXT(SUMIFS(Comparison_Lookup,site_level_range_board,$B73,date_range_board,N60,inputdata!$F:$F,"ED")/SUMIFS(All_Attendances,site_level_range_board,$B73,date_range_board,N60,inputdata!$F:$F,"ED"),"0.0%")),IF(LEFT($B$7,6)="Number",SUMIFS(Comparison_Lookup,site_level_range_board,$B73,date_range_board,N60),TEXT(SUMIFS(Comparison_Lookup,site_level_range_board,$B73,date_range_board,N60)/SUMIFS(All_Attendances,site_level_range_board,$B73,date_range_board,N60),"0.0%"))),"")</f>
        <v>97.3%</v>
      </c>
    </row>
    <row r="74" spans="1:14" ht="15" customHeight="1" x14ac:dyDescent="0.2">
      <c r="A74" s="132"/>
      <c r="B74" s="154" t="s">
        <v>594</v>
      </c>
      <c r="C74" s="168" t="str">
        <f ca="1">IFERROR(IF(ISNUMBER(FIND("ED only",$B$4)),IF(LEFT($B$7,6)="Number",SUMIFS(Comparison_Lookup,site_level_range_board,$B74,date_range_board,C60,inputdata!$F:$F,"ED"),TEXT(SUMIFS(Comparison_Lookup,site_level_range_board,$B74,date_range_board,C60,inputdata!$F:$F,"ED")/SUMIFS(All_Attendances,site_level_range_board,$B74,date_range_board,C60,inputdata!$F:$F,"ED"),"0.0%")),IF(LEFT($B$7,6)="Number",SUMIFS(Comparison_Lookup,site_level_range_board,$B74,date_range_board,C60),TEXT(SUMIFS(Comparison_Lookup,site_level_range_board,$B74,date_range_board,C60)/SUMIFS(All_Attendances,site_level_range_board,$B74,date_range_board,C60),"0.0%"))),"")</f>
        <v>99.1%</v>
      </c>
      <c r="D74" s="168" t="str">
        <f ca="1">IFERROR(IF(ISNUMBER(FIND("ED only",$B$4)),IF(LEFT($B$7,6)="Number",SUMIFS(Comparison_Lookup,site_level_range_board,$B74,date_range_board,D60,inputdata!$F:$F,"ED"),TEXT(SUMIFS(Comparison_Lookup,site_level_range_board,$B74,date_range_board,D60,inputdata!$F:$F,"ED")/SUMIFS(All_Attendances,site_level_range_board,$B74,date_range_board,D60,inputdata!$F:$F,"ED"),"0.0%")),IF(LEFT($B$7,6)="Number",SUMIFS(Comparison_Lookup,site_level_range_board,$B74,date_range_board,D60),TEXT(SUMIFS(Comparison_Lookup,site_level_range_board,$B74,date_range_board,D60)/SUMIFS(All_Attendances,site_level_range_board,$B74,date_range_board,D60),"0.0%"))),"")</f>
        <v>98.2%</v>
      </c>
      <c r="E74" s="168" t="str">
        <f ca="1">IFERROR(IF(ISNUMBER(FIND("ED only",$B$4)),IF(LEFT($B$7,6)="Number",SUMIFS(Comparison_Lookup,site_level_range_board,$B74,date_range_board,E60,inputdata!$F:$F,"ED"),TEXT(SUMIFS(Comparison_Lookup,site_level_range_board,$B74,date_range_board,E60,inputdata!$F:$F,"ED")/SUMIFS(All_Attendances,site_level_range_board,$B74,date_range_board,E60,inputdata!$F:$F,"ED"),"0.0%")),IF(LEFT($B$7,6)="Number",SUMIFS(Comparison_Lookup,site_level_range_board,$B74,date_range_board,E60),TEXT(SUMIFS(Comparison_Lookup,site_level_range_board,$B74,date_range_board,E60)/SUMIFS(All_Attendances,site_level_range_board,$B74,date_range_board,E60),"0.0%"))),"")</f>
        <v>98.0%</v>
      </c>
      <c r="F74" s="168" t="str">
        <f ca="1">IFERROR(IF(ISNUMBER(FIND("ED only",$B$4)),IF(LEFT($B$7,6)="Number",SUMIFS(Comparison_Lookup,site_level_range_board,$B74,date_range_board,F60,inputdata!$F:$F,"ED"),TEXT(SUMIFS(Comparison_Lookup,site_level_range_board,$B74,date_range_board,F60,inputdata!$F:$F,"ED")/SUMIFS(All_Attendances,site_level_range_board,$B74,date_range_board,F60,inputdata!$F:$F,"ED"),"0.0%")),IF(LEFT($B$7,6)="Number",SUMIFS(Comparison_Lookup,site_level_range_board,$B74,date_range_board,F60),TEXT(SUMIFS(Comparison_Lookup,site_level_range_board,$B74,date_range_board,F60)/SUMIFS(All_Attendances,site_level_range_board,$B74,date_range_board,F60),"0.0%"))),"")</f>
        <v>99.1%</v>
      </c>
      <c r="G74" s="168" t="str">
        <f ca="1">IFERROR(IF(ISNUMBER(FIND("ED only",$B$4)),IF(LEFT($B$7,6)="Number",SUMIFS(Comparison_Lookup,site_level_range_board,$B74,date_range_board,G60,inputdata!$F:$F,"ED"),TEXT(SUMIFS(Comparison_Lookup,site_level_range_board,$B74,date_range_board,G60,inputdata!$F:$F,"ED")/SUMIFS(All_Attendances,site_level_range_board,$B74,date_range_board,G60,inputdata!$F:$F,"ED"),"0.0%")),IF(LEFT($B$7,6)="Number",SUMIFS(Comparison_Lookup,site_level_range_board,$B74,date_range_board,G60),TEXT(SUMIFS(Comparison_Lookup,site_level_range_board,$B74,date_range_board,G60)/SUMIFS(All_Attendances,site_level_range_board,$B74,date_range_board,G60),"0.0%"))),"")</f>
        <v>99.4%</v>
      </c>
      <c r="H74" s="168" t="str">
        <f ca="1">IFERROR(IF(ISNUMBER(FIND("ED only",$B$4)),IF(LEFT($B$7,6)="Number",SUMIFS(Comparison_Lookup,site_level_range_board,$B74,date_range_board,H60,inputdata!$F:$F,"ED"),TEXT(SUMIFS(Comparison_Lookup,site_level_range_board,$B74,date_range_board,H60,inputdata!$F:$F,"ED")/SUMIFS(All_Attendances,site_level_range_board,$B74,date_range_board,H60,inputdata!$F:$F,"ED"),"0.0%")),IF(LEFT($B$7,6)="Number",SUMIFS(Comparison_Lookup,site_level_range_board,$B74,date_range_board,H60),TEXT(SUMIFS(Comparison_Lookup,site_level_range_board,$B74,date_range_board,H60)/SUMIFS(All_Attendances,site_level_range_board,$B74,date_range_board,H60),"0.0%"))),"")</f>
        <v>98.7%</v>
      </c>
      <c r="I74" s="168" t="str">
        <f ca="1">IFERROR(IF(ISNUMBER(FIND("ED only",$B$4)),IF(LEFT($B$7,6)="Number",SUMIFS(Comparison_Lookup,site_level_range_board,$B74,date_range_board,I60,inputdata!$F:$F,"ED"),TEXT(SUMIFS(Comparison_Lookup,site_level_range_board,$B74,date_range_board,I60,inputdata!$F:$F,"ED")/SUMIFS(All_Attendances,site_level_range_board,$B74,date_range_board,I60,inputdata!$F:$F,"ED"),"0.0%")),IF(LEFT($B$7,6)="Number",SUMIFS(Comparison_Lookup,site_level_range_board,$B74,date_range_board,I60),TEXT(SUMIFS(Comparison_Lookup,site_level_range_board,$B74,date_range_board,I60)/SUMIFS(All_Attendances,site_level_range_board,$B74,date_range_board,I60),"0.0%"))),"")</f>
        <v>99.2%</v>
      </c>
      <c r="J74" s="168" t="str">
        <f ca="1">IFERROR(IF(ISNUMBER(FIND("ED only",$B$4)),IF(LEFT($B$7,6)="Number",SUMIFS(Comparison_Lookup,site_level_range_board,$B74,date_range_board,J60,inputdata!$F:$F,"ED"),TEXT(SUMIFS(Comparison_Lookup,site_level_range_board,$B74,date_range_board,J60,inputdata!$F:$F,"ED")/SUMIFS(All_Attendances,site_level_range_board,$B74,date_range_board,J60,inputdata!$F:$F,"ED"),"0.0%")),IF(LEFT($B$7,6)="Number",SUMIFS(Comparison_Lookup,site_level_range_board,$B74,date_range_board,J60),TEXT(SUMIFS(Comparison_Lookup,site_level_range_board,$B74,date_range_board,J60)/SUMIFS(All_Attendances,site_level_range_board,$B74,date_range_board,J60),"0.0%"))),"")</f>
        <v>99.4%</v>
      </c>
      <c r="K74" s="168" t="str">
        <f ca="1">IFERROR(IF(ISNUMBER(FIND("ED only",$B$4)),IF(LEFT($B$7,6)="Number",SUMIFS(Comparison_Lookup,site_level_range_board,$B74,date_range_board,K60,inputdata!$F:$F,"ED"),TEXT(SUMIFS(Comparison_Lookup,site_level_range_board,$B74,date_range_board,K60,inputdata!$F:$F,"ED")/SUMIFS(All_Attendances,site_level_range_board,$B74,date_range_board,K60,inputdata!$F:$F,"ED"),"0.0%")),IF(LEFT($B$7,6)="Number",SUMIFS(Comparison_Lookup,site_level_range_board,$B74,date_range_board,K60),TEXT(SUMIFS(Comparison_Lookup,site_level_range_board,$B74,date_range_board,K60)/SUMIFS(All_Attendances,site_level_range_board,$B74,date_range_board,K60),"0.0%"))),"")</f>
        <v>96.3%</v>
      </c>
      <c r="L74" s="168" t="str">
        <f ca="1">IFERROR(IF(ISNUMBER(FIND("ED only",$B$4)),IF(LEFT($B$7,6)="Number",SUMIFS(Comparison_Lookup,site_level_range_board,$B74,date_range_board,L60,inputdata!$F:$F,"ED"),TEXT(SUMIFS(Comparison_Lookup,site_level_range_board,$B74,date_range_board,L60,inputdata!$F:$F,"ED")/SUMIFS(All_Attendances,site_level_range_board,$B74,date_range_board,L60,inputdata!$F:$F,"ED"),"0.0%")),IF(LEFT($B$7,6)="Number",SUMIFS(Comparison_Lookup,site_level_range_board,$B74,date_range_board,L60),TEXT(SUMIFS(Comparison_Lookup,site_level_range_board,$B74,date_range_board,L60)/SUMIFS(All_Attendances,site_level_range_board,$B74,date_range_board,L60),"0.0%"))),"")</f>
        <v>97.3%</v>
      </c>
      <c r="M74" s="168" t="str">
        <f ca="1">IFERROR(IF(ISNUMBER(FIND("ED only",$B$4)),IF(LEFT($B$7,6)="Number",SUMIFS(Comparison_Lookup,site_level_range_board,$B74,date_range_board,M60,inputdata!$F:$F,"ED"),TEXT(SUMIFS(Comparison_Lookup,site_level_range_board,$B74,date_range_board,M60,inputdata!$F:$F,"ED")/SUMIFS(All_Attendances,site_level_range_board,$B74,date_range_board,M60,inputdata!$F:$F,"ED"),"0.0%")),IF(LEFT($B$7,6)="Number",SUMIFS(Comparison_Lookup,site_level_range_board,$B74,date_range_board,M60),TEXT(SUMIFS(Comparison_Lookup,site_level_range_board,$B74,date_range_board,M60)/SUMIFS(All_Attendances,site_level_range_board,$B74,date_range_board,M60),"0.0%"))),"")</f>
        <v>98.5%</v>
      </c>
      <c r="N74" s="172" t="str">
        <f ca="1">IFERROR(IF(ISNUMBER(FIND("ED only",$B$4)),IF(LEFT($B$7,6)="Number",SUMIFS(Comparison_Lookup,site_level_range_board,$B74,date_range_board,N60,inputdata!$F:$F,"ED"),TEXT(SUMIFS(Comparison_Lookup,site_level_range_board,$B74,date_range_board,N60,inputdata!$F:$F,"ED")/SUMIFS(All_Attendances,site_level_range_board,$B74,date_range_board,N60,inputdata!$F:$F,"ED"),"0.0%")),IF(LEFT($B$7,6)="Number",SUMIFS(Comparison_Lookup,site_level_range_board,$B74,date_range_board,N60),TEXT(SUMIFS(Comparison_Lookup,site_level_range_board,$B74,date_range_board,N60)/SUMIFS(All_Attendances,site_level_range_board,$B74,date_range_board,N60),"0.0%"))),"")</f>
        <v>98.4%</v>
      </c>
    </row>
    <row r="75" spans="1:14" ht="15" customHeight="1" x14ac:dyDescent="0.2">
      <c r="A75" s="132"/>
      <c r="B75" s="170" t="s">
        <v>406</v>
      </c>
      <c r="C75" s="169" t="str">
        <f ca="1">IFERROR(IF(ISNUMBER(FIND("ED only",$B$4)),IF(LEFT($B$7,6)="Number",SUMIFS(Comparison_Lookup,date_range_board,C60,inputdata!$F:$F,"ED"),TEXT(SUMIFS(Comparison_Lookup,date_range_board,C60,inputdata!$F:$F,"ED")/SUMIFS(All_Attendances,date_range_board,C60,inputdata!$F:$F,"ED"),"0.0%")),IF(LEFT($B$7,6)="Number",SUMIFS(Comparison_Lookup,date_range_board,C60),TEXT(SUMIFS(Comparison_Lookup,date_range_board,C60)/SUMIFS(All_Attendances,date_range_board,C60
        ),"0.0%"))),"")</f>
        <v>89.9%</v>
      </c>
      <c r="D75" s="169" t="str">
        <f ca="1">IFERROR(IF(ISNUMBER(FIND("ED only",$B$4)),IF(LEFT($B$7,6)="Number",SUMIFS(Comparison_Lookup,date_range_board,D60,inputdata!$F:$F,"ED"),TEXT(SUMIFS(Comparison_Lookup,date_range_board,D60,inputdata!$F:$F,"ED")/SUMIFS(All_Attendances,date_range_board,D60,inputdata!$F:$F,"ED"),"0.0%")),IF(LEFT($B$7,6)="Number",SUMIFS(Comparison_Lookup,date_range_board,D60),TEXT(SUMIFS(Comparison_Lookup,date_range_board,D60)/SUMIFS(All_Attendances,date_range_board,D60
        ),"0.0%"))),"")</f>
        <v>90.7%</v>
      </c>
      <c r="E75" s="169" t="str">
        <f ca="1">IFERROR(IF(ISNUMBER(FIND("ED only",$B$4)),IF(LEFT($B$7,6)="Number",SUMIFS(Comparison_Lookup,date_range_board,E60,inputdata!$F:$F,"ED"),TEXT(SUMIFS(Comparison_Lookup,date_range_board,E60,inputdata!$F:$F,"ED")/SUMIFS(All_Attendances,date_range_board,E60,inputdata!$F:$F,"ED"),"0.0%")),IF(LEFT($B$7,6)="Number",SUMIFS(Comparison_Lookup,date_range_board,E60),TEXT(SUMIFS(Comparison_Lookup,date_range_board,E60)/SUMIFS(All_Attendances,date_range_board,E60
        ),"0.0%"))),"")</f>
        <v>90.3%</v>
      </c>
      <c r="F75" s="169" t="str">
        <f ca="1">IFERROR(IF(ISNUMBER(FIND("ED only",$B$4)),IF(LEFT($B$7,6)="Number",SUMIFS(Comparison_Lookup,date_range_board,F60,inputdata!$F:$F,"ED"),TEXT(SUMIFS(Comparison_Lookup,date_range_board,F60,inputdata!$F:$F,"ED")/SUMIFS(All_Attendances,date_range_board,F60,inputdata!$F:$F,"ED"),"0.0%")),IF(LEFT($B$7,6)="Number",SUMIFS(Comparison_Lookup,date_range_board,F60),TEXT(SUMIFS(Comparison_Lookup,date_range_board,F60)/SUMIFS(All_Attendances,date_range_board,F60
        ),"0.0%"))),"")</f>
        <v>91.2%</v>
      </c>
      <c r="G75" s="169" t="str">
        <f ca="1">IFERROR(IF(ISNUMBER(FIND("ED only",$B$4)),IF(LEFT($B$7,6)="Number",SUMIFS(Comparison_Lookup,date_range_board,G60,inputdata!$F:$F,"ED"),TEXT(SUMIFS(Comparison_Lookup,date_range_board,G60,inputdata!$F:$F,"ED")/SUMIFS(All_Attendances,date_range_board,G60,inputdata!$F:$F,"ED"),"0.0%")),IF(LEFT($B$7,6)="Number",SUMIFS(Comparison_Lookup,date_range_board,G60),TEXT(SUMIFS(Comparison_Lookup,date_range_board,G60)/SUMIFS(All_Attendances,date_range_board,G60
        ),"0.0%"))),"")</f>
        <v>90.6%</v>
      </c>
      <c r="H75" s="169" t="str">
        <f ca="1">IFERROR(IF(ISNUMBER(FIND("ED only",$B$4)),IF(LEFT($B$7,6)="Number",SUMIFS(Comparison_Lookup,date_range_board,H60,inputdata!$F:$F,"ED"),TEXT(SUMIFS(Comparison_Lookup,date_range_board,H60,inputdata!$F:$F,"ED")/SUMIFS(All_Attendances,date_range_board,H60,inputdata!$F:$F,"ED"),"0.0%")),IF(LEFT($B$7,6)="Number",SUMIFS(Comparison_Lookup,date_range_board,H60),TEXT(SUMIFS(Comparison_Lookup,date_range_board,H60)/SUMIFS(All_Attendances,date_range_board,H60
        ),"0.0%"))),"")</f>
        <v>89.3%</v>
      </c>
      <c r="I75" s="169" t="str">
        <f ca="1">IFERROR(IF(ISNUMBER(FIND("ED only",$B$4)),IF(LEFT($B$7,6)="Number",SUMIFS(Comparison_Lookup,date_range_board,I60,inputdata!$F:$F,"ED"),TEXT(SUMIFS(Comparison_Lookup,date_range_board,I60,inputdata!$F:$F,"ED")/SUMIFS(All_Attendances,date_range_board,I60,inputdata!$F:$F,"ED"),"0.0%")),IF(LEFT($B$7,6)="Number",SUMIFS(Comparison_Lookup,date_range_board,I60),TEXT(SUMIFS(Comparison_Lookup,date_range_board,I60)/SUMIFS(All_Attendances,date_range_board,I60
        ),"0.0%"))),"")</f>
        <v>87.7%</v>
      </c>
      <c r="J75" s="169" t="str">
        <f ca="1">IFERROR(IF(ISNUMBER(FIND("ED only",$B$4)),IF(LEFT($B$7,6)="Number",SUMIFS(Comparison_Lookup,date_range_board,J60,inputdata!$F:$F,"ED"),TEXT(SUMIFS(Comparison_Lookup,date_range_board,J60,inputdata!$F:$F,"ED")/SUMIFS(All_Attendances,date_range_board,J60,inputdata!$F:$F,"ED"),"0.0%")),IF(LEFT($B$7,6)="Number",SUMIFS(Comparison_Lookup,date_range_board,J60),TEXT(SUMIFS(Comparison_Lookup,date_range_board,J60)/SUMIFS(All_Attendances,date_range_board,J60
        ),"0.0%"))),"")</f>
        <v>85.5%</v>
      </c>
      <c r="K75" s="169" t="str">
        <f ca="1">IFERROR(IF(ISNUMBER(FIND("ED only",$B$4)),IF(LEFT($B$7,6)="Number",SUMIFS(Comparison_Lookup,date_range_board,K60,inputdata!$F:$F,"ED"),TEXT(SUMIFS(Comparison_Lookup,date_range_board,K60,inputdata!$F:$F,"ED")/SUMIFS(All_Attendances,date_range_board,K60,inputdata!$F:$F,"ED"),"0.0%")),IF(LEFT($B$7,6)="Number",SUMIFS(Comparison_Lookup,date_range_board,K60),TEXT(SUMIFS(Comparison_Lookup,date_range_board,K60)/SUMIFS(All_Attendances,date_range_board,K60
        ),"0.0%"))),"")</f>
        <v>83.8%</v>
      </c>
      <c r="L75" s="169" t="str">
        <f ca="1">IFERROR(IF(ISNUMBER(FIND("ED only",$B$4)),IF(LEFT($B$7,6)="Number",SUMIFS(Comparison_Lookup,date_range_board,L60,inputdata!$F:$F,"ED"),TEXT(SUMIFS(Comparison_Lookup,date_range_board,L60,inputdata!$F:$F,"ED")/SUMIFS(All_Attendances,date_range_board,L60,inputdata!$F:$F,"ED"),"0.0%")),IF(LEFT($B$7,6)="Number",SUMIFS(Comparison_Lookup,date_range_board,L60),TEXT(SUMIFS(Comparison_Lookup,date_range_board,L60)/SUMIFS(All_Attendances,date_range_board,L60
        ),"0.0%"))),"")</f>
        <v>86.1%</v>
      </c>
      <c r="M75" s="169" t="str">
        <f ca="1">IFERROR(IF(ISNUMBER(FIND("ED only",$B$4)),IF(LEFT($B$7,6)="Number",SUMIFS(Comparison_Lookup,date_range_board,M60,inputdata!$F:$F,"ED"),TEXT(SUMIFS(Comparison_Lookup,date_range_board,M60,inputdata!$F:$F,"ED")/SUMIFS(All_Attendances,date_range_board,M60,inputdata!$F:$F,"ED"),"0.0%")),IF(LEFT($B$7,6)="Number",SUMIFS(Comparison_Lookup,date_range_board,M60),TEXT(SUMIFS(Comparison_Lookup,date_range_board,M60)/SUMIFS(All_Attendances,date_range_board,M60
        ),"0.0%"))),"")</f>
        <v>87.1%</v>
      </c>
      <c r="N75" s="173" t="str">
        <f ca="1">IFERROR(IF(ISNUMBER(FIND("ED only",$B$4)),IF(LEFT($B$7,6)="Number",SUMIFS(Comparison_Lookup,date_range_board,N60,inputdata!$F:$F,"ED"),TEXT(SUMIFS(Comparison_Lookup,date_range_board,N60,inputdata!$F:$F,"ED")/SUMIFS(All_Attendances,date_range_board,N60,inputdata!$F:$F,"ED"),"0.0%")),IF(LEFT($B$7,6)="Number",SUMIFS(Comparison_Lookup,date_range_board,N60),TEXT(SUMIFS(Comparison_Lookup,date_range_board,N60)/SUMIFS(All_Attendances,date_range_board,N60
        ),"0.0%"))),"")</f>
        <v>89.2%</v>
      </c>
    </row>
    <row r="76" spans="1:14" ht="15" customHeight="1" x14ac:dyDescent="0.2">
      <c r="B76" s="127"/>
      <c r="C76" s="127"/>
      <c r="D76" s="127"/>
      <c r="E76" s="127"/>
      <c r="F76" s="127"/>
      <c r="G76" s="127"/>
      <c r="H76" s="127"/>
      <c r="I76" s="127"/>
      <c r="J76" s="127"/>
      <c r="K76" s="127"/>
      <c r="L76" s="127"/>
      <c r="M76" s="127"/>
      <c r="N76" s="127"/>
    </row>
    <row r="77" spans="1:14" ht="15" customHeight="1" x14ac:dyDescent="0.25">
      <c r="A77" s="132"/>
      <c r="B77" s="153" t="str">
        <f>IF(ISNUMBER(FIND("ED only",$B$4)),"2018/2019 (ED Only)","2018/2019")</f>
        <v>2018/2019</v>
      </c>
      <c r="C77" s="149">
        <v>43220</v>
      </c>
      <c r="D77" s="149">
        <v>43251</v>
      </c>
      <c r="E77" s="149">
        <v>43281</v>
      </c>
      <c r="F77" s="149">
        <v>43312</v>
      </c>
      <c r="G77" s="149">
        <v>43343</v>
      </c>
      <c r="H77" s="149">
        <v>43373</v>
      </c>
      <c r="I77" s="149">
        <v>43404</v>
      </c>
      <c r="J77" s="149">
        <v>43434</v>
      </c>
      <c r="K77" s="149">
        <v>43465</v>
      </c>
      <c r="L77" s="149">
        <v>43496</v>
      </c>
      <c r="M77" s="149">
        <v>43524</v>
      </c>
      <c r="N77" s="158">
        <v>43555</v>
      </c>
    </row>
    <row r="78" spans="1:14" ht="15" customHeight="1" x14ac:dyDescent="0.2">
      <c r="A78" s="132"/>
      <c r="B78" s="152" t="s">
        <v>407</v>
      </c>
      <c r="C78" s="165" t="str">
        <f ca="1">IFERROR(IF(ISNUMBER(FIND("ED only",$B$4)),IF(LEFT($B$7,6)="Number",SUMIFS(Comparison_Lookup,site_level_range_board,$B78,date_range_board,C77,inputdata!$F:$F,"ED"),TEXT(SUMIFS(Comparison_Lookup,site_level_range_board,$B78,date_range_board,C77,inputdata!$F:$F,"ED")/SUMIFS(All_Attendances,site_level_range_board,$B78,date_range_board,C77,inputdata!$F:$F,"ED"),"0.0%")),IF(LEFT($B$7,6)="Number",SUMIFS(Comparison_Lookup,site_level_range_board,$B78,date_range_board,C77),TEXT(SUMIFS(Comparison_Lookup,site_level_range_board,$B78,date_range_board,C77)/SUMIFS(All_Attendances,site_level_range_board,$B78,date_range_board,C77),"0.0%"))),"")</f>
        <v>92.0%</v>
      </c>
      <c r="D78" s="165" t="str">
        <f ca="1">IFERROR(IF(ISNUMBER(FIND("ED only",$B$4)),IF(LEFT($B$7,6)="Number",SUMIFS(Comparison_Lookup,site_level_range_board,$B78,date_range_board,D77,inputdata!$F:$F,"ED"),TEXT(SUMIFS(Comparison_Lookup,site_level_range_board,$B78,date_range_board,D77,inputdata!$F:$F,"ED")/SUMIFS(All_Attendances,site_level_range_board,$B78,date_range_board,D77,inputdata!$F:$F,"ED"),"0.0%")),IF(LEFT($B$7,6)="Number",SUMIFS(Comparison_Lookup,site_level_range_board,$B78,date_range_board,D77),TEXT(SUMIFS(Comparison_Lookup,site_level_range_board,$B78,date_range_board,D77)/SUMIFS(All_Attendances,site_level_range_board,$B78,date_range_board,D77),"0.0%"))),"")</f>
        <v>97.1%</v>
      </c>
      <c r="E78" s="165" t="str">
        <f ca="1">IFERROR(IF(ISNUMBER(FIND("ED only",$B$4)),IF(LEFT($B$7,6)="Number",SUMIFS(Comparison_Lookup,site_level_range_board,$B78,date_range_board,E77,inputdata!$F:$F,"ED"),TEXT(SUMIFS(Comparison_Lookup,site_level_range_board,$B78,date_range_board,E77,inputdata!$F:$F,"ED")/SUMIFS(All_Attendances,site_level_range_board,$B78,date_range_board,E77,inputdata!$F:$F,"ED"),"0.0%")),IF(LEFT($B$7,6)="Number",SUMIFS(Comparison_Lookup,site_level_range_board,$B78,date_range_board,E77),TEXT(SUMIFS(Comparison_Lookup,site_level_range_board,$B78,date_range_board,E77)/SUMIFS(All_Attendances,site_level_range_board,$B78,date_range_board,E77),"0.0%"))),"")</f>
        <v>96.3%</v>
      </c>
      <c r="F78" s="165" t="str">
        <f ca="1">IFERROR(IF(ISNUMBER(FIND("ED only",$B$4)),IF(LEFT($B$7,6)="Number",SUMIFS(Comparison_Lookup,site_level_range_board,$B78,date_range_board,F77,inputdata!$F:$F,"ED"),TEXT(SUMIFS(Comparison_Lookup,site_level_range_board,$B78,date_range_board,F77,inputdata!$F:$F,"ED")/SUMIFS(All_Attendances,site_level_range_board,$B78,date_range_board,F77,inputdata!$F:$F,"ED"),"0.0%")),IF(LEFT($B$7,6)="Number",SUMIFS(Comparison_Lookup,site_level_range_board,$B78,date_range_board,F77),TEXT(SUMIFS(Comparison_Lookup,site_level_range_board,$B78,date_range_board,F77)/SUMIFS(All_Attendances,site_level_range_board,$B78,date_range_board,F77),"0.0%"))),"")</f>
        <v>96.0%</v>
      </c>
      <c r="G78" s="165" t="str">
        <f ca="1">IFERROR(IF(ISNUMBER(FIND("ED only",$B$4)),IF(LEFT($B$7,6)="Number",SUMIFS(Comparison_Lookup,site_level_range_board,$B78,date_range_board,G77,inputdata!$F:$F,"ED"),TEXT(SUMIFS(Comparison_Lookup,site_level_range_board,$B78,date_range_board,G77,inputdata!$F:$F,"ED")/SUMIFS(All_Attendances,site_level_range_board,$B78,date_range_board,G77,inputdata!$F:$F,"ED"),"0.0%")),IF(LEFT($B$7,6)="Number",SUMIFS(Comparison_Lookup,site_level_range_board,$B78,date_range_board,G77),TEXT(SUMIFS(Comparison_Lookup,site_level_range_board,$B78,date_range_board,G77)/SUMIFS(All_Attendances,site_level_range_board,$B78,date_range_board,G77),"0.0%"))),"")</f>
        <v>94.5%</v>
      </c>
      <c r="H78" s="165" t="str">
        <f ca="1">IFERROR(IF(ISNUMBER(FIND("ED only",$B$4)),IF(LEFT($B$7,6)="Number",SUMIFS(Comparison_Lookup,site_level_range_board,$B78,date_range_board,H77,inputdata!$F:$F,"ED"),TEXT(SUMIFS(Comparison_Lookup,site_level_range_board,$B78,date_range_board,H77,inputdata!$F:$F,"ED")/SUMIFS(All_Attendances,site_level_range_board,$B78,date_range_board,H77,inputdata!$F:$F,"ED"),"0.0%")),IF(LEFT($B$7,6)="Number",SUMIFS(Comparison_Lookup,site_level_range_board,$B78,date_range_board,H77),TEXT(SUMIFS(Comparison_Lookup,site_level_range_board,$B78,date_range_board,H77)/SUMIFS(All_Attendances,site_level_range_board,$B78,date_range_board,H77),"0.0%"))),"")</f>
        <v>92.0%</v>
      </c>
      <c r="I78" s="165" t="str">
        <f ca="1">IFERROR(IF(ISNUMBER(FIND("ED only",$B$4)),IF(LEFT($B$7,6)="Number",SUMIFS(Comparison_Lookup,site_level_range_board,$B78,date_range_board,I77,inputdata!$F:$F,"ED"),TEXT(SUMIFS(Comparison_Lookup,site_level_range_board,$B78,date_range_board,I77,inputdata!$F:$F,"ED")/SUMIFS(All_Attendances,site_level_range_board,$B78,date_range_board,I77,inputdata!$F:$F,"ED"),"0.0%")),IF(LEFT($B$7,6)="Number",SUMIFS(Comparison_Lookup,site_level_range_board,$B78,date_range_board,I77),TEXT(SUMIFS(Comparison_Lookup,site_level_range_board,$B78,date_range_board,I77)/SUMIFS(All_Attendances,site_level_range_board,$B78,date_range_board,I77),"0.0%"))),"")</f>
        <v>93.8%</v>
      </c>
      <c r="J78" s="165" t="str">
        <f ca="1">IFERROR(IF(ISNUMBER(FIND("ED only",$B$4)),IF(LEFT($B$7,6)="Number",SUMIFS(Comparison_Lookup,site_level_range_board,$B78,date_range_board,J77,inputdata!$F:$F,"ED"),TEXT(SUMIFS(Comparison_Lookup,site_level_range_board,$B78,date_range_board,J77,inputdata!$F:$F,"ED")/SUMIFS(All_Attendances,site_level_range_board,$B78,date_range_board,J77,inputdata!$F:$F,"ED"),"0.0%")),IF(LEFT($B$7,6)="Number",SUMIFS(Comparison_Lookup,site_level_range_board,$B78,date_range_board,J77),TEXT(SUMIFS(Comparison_Lookup,site_level_range_board,$B78,date_range_board,J77)/SUMIFS(All_Attendances,site_level_range_board,$B78,date_range_board,J77),"0.0%"))),"")</f>
        <v>92.1%</v>
      </c>
      <c r="K78" s="165" t="str">
        <f ca="1">IFERROR(IF(ISNUMBER(FIND("ED only",$B$4)),IF(LEFT($B$7,6)="Number",SUMIFS(Comparison_Lookup,site_level_range_board,$B78,date_range_board,K77,inputdata!$F:$F,"ED"),TEXT(SUMIFS(Comparison_Lookup,site_level_range_board,$B78,date_range_board,K77,inputdata!$F:$F,"ED")/SUMIFS(All_Attendances,site_level_range_board,$B78,date_range_board,K77,inputdata!$F:$F,"ED"),"0.0%")),IF(LEFT($B$7,6)="Number",SUMIFS(Comparison_Lookup,site_level_range_board,$B78,date_range_board,K77),TEXT(SUMIFS(Comparison_Lookup,site_level_range_board,$B78,date_range_board,K77)/SUMIFS(All_Attendances,site_level_range_board,$B78,date_range_board,K77),"0.0%"))),"")</f>
        <v>90.8%</v>
      </c>
      <c r="L78" s="165" t="str">
        <f ca="1">IFERROR(IF(ISNUMBER(FIND("ED only",$B$4)),IF(LEFT($B$7,6)="Number",SUMIFS(Comparison_Lookup,site_level_range_board,$B78,date_range_board,L77,inputdata!$F:$F,"ED"),TEXT(SUMIFS(Comparison_Lookup,site_level_range_board,$B78,date_range_board,L77,inputdata!$F:$F,"ED")/SUMIFS(All_Attendances,site_level_range_board,$B78,date_range_board,L77,inputdata!$F:$F,"ED"),"0.0%")),IF(LEFT($B$7,6)="Number",SUMIFS(Comparison_Lookup,site_level_range_board,$B78,date_range_board,L77),TEXT(SUMIFS(Comparison_Lookup,site_level_range_board,$B78,date_range_board,L77)/SUMIFS(All_Attendances,site_level_range_board,$B78,date_range_board,L77),"0.0%"))),"")</f>
        <v>87.8%</v>
      </c>
      <c r="M78" s="165" t="str">
        <f ca="1">IFERROR(IF(ISNUMBER(FIND("ED only",$B$4)),IF(LEFT($B$7,6)="Number",SUMIFS(Comparison_Lookup,site_level_range_board,$B78,date_range_board,M77,inputdata!$F:$F,"ED"),TEXT(SUMIFS(Comparison_Lookup,site_level_range_board,$B78,date_range_board,M77,inputdata!$F:$F,"ED")/SUMIFS(All_Attendances,site_level_range_board,$B78,date_range_board,M77,inputdata!$F:$F,"ED"),"0.0%")),IF(LEFT($B$7,6)="Number",SUMIFS(Comparison_Lookup,site_level_range_board,$B78,date_range_board,M77),TEXT(SUMIFS(Comparison_Lookup,site_level_range_board,$B78,date_range_board,M77)/SUMIFS(All_Attendances,site_level_range_board,$B78,date_range_board,M77),"0.0%"))),"")</f>
        <v>86.4%</v>
      </c>
      <c r="N78" s="171" t="str">
        <f ca="1">IFERROR(IF(ISNUMBER(FIND("ED only",$B$4)),IF(LEFT($B$7,6)="Number",SUMIFS(Comparison_Lookup,site_level_range_board,$B78,date_range_board,N77,inputdata!$F:$F,"ED"),TEXT(SUMIFS(Comparison_Lookup,site_level_range_board,$B78,date_range_board,N77,inputdata!$F:$F,"ED")/SUMIFS(All_Attendances,site_level_range_board,$B78,date_range_board,N77,inputdata!$F:$F,"ED"),"0.0%")),IF(LEFT($B$7,6)="Number",SUMIFS(Comparison_Lookup,site_level_range_board,$B78,date_range_board,N77),TEXT(SUMIFS(Comparison_Lookup,site_level_range_board,$B78,date_range_board,N77)/SUMIFS(All_Attendances,site_level_range_board,$B78,date_range_board,N77),"0.0%"))),"")</f>
        <v>86.8%</v>
      </c>
    </row>
    <row r="79" spans="1:14" ht="15" customHeight="1" x14ac:dyDescent="0.2">
      <c r="A79" s="132"/>
      <c r="B79" s="152" t="s">
        <v>418</v>
      </c>
      <c r="C79" s="165" t="str">
        <f ca="1">IFERROR(IF(ISNUMBER(FIND("ED only",$B$4)),IF(LEFT($B$7,6)="Number",SUMIFS(Comparison_Lookup,site_level_range_board,$B79,date_range_board,C77,inputdata!$F:$F,"ED"),TEXT(SUMIFS(Comparison_Lookup,site_level_range_board,$B79,date_range_board,C77,inputdata!$F:$F,"ED")/SUMIFS(All_Attendances,site_level_range_board,$B79,date_range_board,C77,inputdata!$F:$F,"ED"),"0.0%")),IF(LEFT($B$7,6)="Number",SUMIFS(Comparison_Lookup,site_level_range_board,$B79,date_range_board,C77),TEXT(SUMIFS(Comparison_Lookup,site_level_range_board,$B79,date_range_board,C77)/SUMIFS(All_Attendances,site_level_range_board,$B79,date_range_board,C77),"0.0%"))),"")</f>
        <v>86.9%</v>
      </c>
      <c r="D79" s="165" t="str">
        <f ca="1">IFERROR(IF(ISNUMBER(FIND("ED only",$B$4)),IF(LEFT($B$7,6)="Number",SUMIFS(Comparison_Lookup,site_level_range_board,$B79,date_range_board,D77,inputdata!$F:$F,"ED"),TEXT(SUMIFS(Comparison_Lookup,site_level_range_board,$B79,date_range_board,D77,inputdata!$F:$F,"ED")/SUMIFS(All_Attendances,site_level_range_board,$B79,date_range_board,D77,inputdata!$F:$F,"ED"),"0.0%")),IF(LEFT($B$7,6)="Number",SUMIFS(Comparison_Lookup,site_level_range_board,$B79,date_range_board,D77),TEXT(SUMIFS(Comparison_Lookup,site_level_range_board,$B79,date_range_board,D77)/SUMIFS(All_Attendances,site_level_range_board,$B79,date_range_board,D77),"0.0%"))),"")</f>
        <v>93.2%</v>
      </c>
      <c r="E79" s="165" t="str">
        <f ca="1">IFERROR(IF(ISNUMBER(FIND("ED only",$B$4)),IF(LEFT($B$7,6)="Number",SUMIFS(Comparison_Lookup,site_level_range_board,$B79,date_range_board,E77,inputdata!$F:$F,"ED"),TEXT(SUMIFS(Comparison_Lookup,site_level_range_board,$B79,date_range_board,E77,inputdata!$F:$F,"ED")/SUMIFS(All_Attendances,site_level_range_board,$B79,date_range_board,E77,inputdata!$F:$F,"ED"),"0.0%")),IF(LEFT($B$7,6)="Number",SUMIFS(Comparison_Lookup,site_level_range_board,$B79,date_range_board,E77),TEXT(SUMIFS(Comparison_Lookup,site_level_range_board,$B79,date_range_board,E77)/SUMIFS(All_Attendances,site_level_range_board,$B79,date_range_board,E77),"0.0%"))),"")</f>
        <v>92.3%</v>
      </c>
      <c r="F79" s="165" t="str">
        <f ca="1">IFERROR(IF(ISNUMBER(FIND("ED only",$B$4)),IF(LEFT($B$7,6)="Number",SUMIFS(Comparison_Lookup,site_level_range_board,$B79,date_range_board,F77,inputdata!$F:$F,"ED"),TEXT(SUMIFS(Comparison_Lookup,site_level_range_board,$B79,date_range_board,F77,inputdata!$F:$F,"ED")/SUMIFS(All_Attendances,site_level_range_board,$B79,date_range_board,F77,inputdata!$F:$F,"ED"),"0.0%")),IF(LEFT($B$7,6)="Number",SUMIFS(Comparison_Lookup,site_level_range_board,$B79,date_range_board,F77),TEXT(SUMIFS(Comparison_Lookup,site_level_range_board,$B79,date_range_board,F77)/SUMIFS(All_Attendances,site_level_range_board,$B79,date_range_board,F77),"0.0%"))),"")</f>
        <v>91.3%</v>
      </c>
      <c r="G79" s="165" t="str">
        <f ca="1">IFERROR(IF(ISNUMBER(FIND("ED only",$B$4)),IF(LEFT($B$7,6)="Number",SUMIFS(Comparison_Lookup,site_level_range_board,$B79,date_range_board,G77,inputdata!$F:$F,"ED"),TEXT(SUMIFS(Comparison_Lookup,site_level_range_board,$B79,date_range_board,G77,inputdata!$F:$F,"ED")/SUMIFS(All_Attendances,site_level_range_board,$B79,date_range_board,G77,inputdata!$F:$F,"ED"),"0.0%")),IF(LEFT($B$7,6)="Number",SUMIFS(Comparison_Lookup,site_level_range_board,$B79,date_range_board,G77),TEXT(SUMIFS(Comparison_Lookup,site_level_range_board,$B79,date_range_board,G77)/SUMIFS(All_Attendances,site_level_range_board,$B79,date_range_board,G77),"0.0%"))),"")</f>
        <v>94.4%</v>
      </c>
      <c r="H79" s="165" t="str">
        <f ca="1">IFERROR(IF(ISNUMBER(FIND("ED only",$B$4)),IF(LEFT($B$7,6)="Number",SUMIFS(Comparison_Lookup,site_level_range_board,$B79,date_range_board,H77,inputdata!$F:$F,"ED"),TEXT(SUMIFS(Comparison_Lookup,site_level_range_board,$B79,date_range_board,H77,inputdata!$F:$F,"ED")/SUMIFS(All_Attendances,site_level_range_board,$B79,date_range_board,H77,inputdata!$F:$F,"ED"),"0.0%")),IF(LEFT($B$7,6)="Number",SUMIFS(Comparison_Lookup,site_level_range_board,$B79,date_range_board,H77),TEXT(SUMIFS(Comparison_Lookup,site_level_range_board,$B79,date_range_board,H77)/SUMIFS(All_Attendances,site_level_range_board,$B79,date_range_board,H77),"0.0%"))),"")</f>
        <v>96.3%</v>
      </c>
      <c r="I79" s="165" t="str">
        <f ca="1">IFERROR(IF(ISNUMBER(FIND("ED only",$B$4)),IF(LEFT($B$7,6)="Number",SUMIFS(Comparison_Lookup,site_level_range_board,$B79,date_range_board,I77,inputdata!$F:$F,"ED"),TEXT(SUMIFS(Comparison_Lookup,site_level_range_board,$B79,date_range_board,I77,inputdata!$F:$F,"ED")/SUMIFS(All_Attendances,site_level_range_board,$B79,date_range_board,I77,inputdata!$F:$F,"ED"),"0.0%")),IF(LEFT($B$7,6)="Number",SUMIFS(Comparison_Lookup,site_level_range_board,$B79,date_range_board,I77),TEXT(SUMIFS(Comparison_Lookup,site_level_range_board,$B79,date_range_board,I77)/SUMIFS(All_Attendances,site_level_range_board,$B79,date_range_board,I77),"0.0%"))),"")</f>
        <v>94.7%</v>
      </c>
      <c r="J79" s="165" t="str">
        <f ca="1">IFERROR(IF(ISNUMBER(FIND("ED only",$B$4)),IF(LEFT($B$7,6)="Number",SUMIFS(Comparison_Lookup,site_level_range_board,$B79,date_range_board,J77,inputdata!$F:$F,"ED"),TEXT(SUMIFS(Comparison_Lookup,site_level_range_board,$B79,date_range_board,J77,inputdata!$F:$F,"ED")/SUMIFS(All_Attendances,site_level_range_board,$B79,date_range_board,J77,inputdata!$F:$F,"ED"),"0.0%")),IF(LEFT($B$7,6)="Number",SUMIFS(Comparison_Lookup,site_level_range_board,$B79,date_range_board,J77),TEXT(SUMIFS(Comparison_Lookup,site_level_range_board,$B79,date_range_board,J77)/SUMIFS(All_Attendances,site_level_range_board,$B79,date_range_board,J77),"0.0%"))),"")</f>
        <v>96.5%</v>
      </c>
      <c r="K79" s="165" t="str">
        <f ca="1">IFERROR(IF(ISNUMBER(FIND("ED only",$B$4)),IF(LEFT($B$7,6)="Number",SUMIFS(Comparison_Lookup,site_level_range_board,$B79,date_range_board,K77,inputdata!$F:$F,"ED"),TEXT(SUMIFS(Comparison_Lookup,site_level_range_board,$B79,date_range_board,K77,inputdata!$F:$F,"ED")/SUMIFS(All_Attendances,site_level_range_board,$B79,date_range_board,K77,inputdata!$F:$F,"ED"),"0.0%")),IF(LEFT($B$7,6)="Number",SUMIFS(Comparison_Lookup,site_level_range_board,$B79,date_range_board,K77),TEXT(SUMIFS(Comparison_Lookup,site_level_range_board,$B79,date_range_board,K77)/SUMIFS(All_Attendances,site_level_range_board,$B79,date_range_board,K77),"0.0%"))),"")</f>
        <v>94.1%</v>
      </c>
      <c r="L79" s="165" t="str">
        <f ca="1">IFERROR(IF(ISNUMBER(FIND("ED only",$B$4)),IF(LEFT($B$7,6)="Number",SUMIFS(Comparison_Lookup,site_level_range_board,$B79,date_range_board,L77,inputdata!$F:$F,"ED"),TEXT(SUMIFS(Comparison_Lookup,site_level_range_board,$B79,date_range_board,L77,inputdata!$F:$F,"ED")/SUMIFS(All_Attendances,site_level_range_board,$B79,date_range_board,L77,inputdata!$F:$F,"ED"),"0.0%")),IF(LEFT($B$7,6)="Number",SUMIFS(Comparison_Lookup,site_level_range_board,$B79,date_range_board,L77),TEXT(SUMIFS(Comparison_Lookup,site_level_range_board,$B79,date_range_board,L77)/SUMIFS(All_Attendances,site_level_range_board,$B79,date_range_board,L77),"0.0%"))),"")</f>
        <v>93.3%</v>
      </c>
      <c r="M79" s="165" t="str">
        <f ca="1">IFERROR(IF(ISNUMBER(FIND("ED only",$B$4)),IF(LEFT($B$7,6)="Number",SUMIFS(Comparison_Lookup,site_level_range_board,$B79,date_range_board,M77,inputdata!$F:$F,"ED"),TEXT(SUMIFS(Comparison_Lookup,site_level_range_board,$B79,date_range_board,M77,inputdata!$F:$F,"ED")/SUMIFS(All_Attendances,site_level_range_board,$B79,date_range_board,M77,inputdata!$F:$F,"ED"),"0.0%")),IF(LEFT($B$7,6)="Number",SUMIFS(Comparison_Lookup,site_level_range_board,$B79,date_range_board,M77),TEXT(SUMIFS(Comparison_Lookup,site_level_range_board,$B79,date_range_board,M77)/SUMIFS(All_Attendances,site_level_range_board,$B79,date_range_board,M77),"0.0%"))),"")</f>
        <v>91.3%</v>
      </c>
      <c r="N79" s="171" t="str">
        <f ca="1">IFERROR(IF(ISNUMBER(FIND("ED only",$B$4)),IF(LEFT($B$7,6)="Number",SUMIFS(Comparison_Lookup,site_level_range_board,$B79,date_range_board,N77,inputdata!$F:$F,"ED"),TEXT(SUMIFS(Comparison_Lookup,site_level_range_board,$B79,date_range_board,N77,inputdata!$F:$F,"ED")/SUMIFS(All_Attendances,site_level_range_board,$B79,date_range_board,N77,inputdata!$F:$F,"ED"),"0.0%")),IF(LEFT($B$7,6)="Number",SUMIFS(Comparison_Lookup,site_level_range_board,$B79,date_range_board,N77),TEXT(SUMIFS(Comparison_Lookup,site_level_range_board,$B79,date_range_board,N77)/SUMIFS(All_Attendances,site_level_range_board,$B79,date_range_board,N77),"0.0%"))),"")</f>
        <v>96.7%</v>
      </c>
    </row>
    <row r="80" spans="1:14" ht="15" customHeight="1" x14ac:dyDescent="0.2">
      <c r="A80" s="132"/>
      <c r="B80" s="152" t="s">
        <v>429</v>
      </c>
      <c r="C80" s="165" t="str">
        <f ca="1">IFERROR(IF(ISNUMBER(FIND("ED only",$B$4)),IF(LEFT($B$7,6)="Number",SUMIFS(Comparison_Lookup,site_level_range_board,$B80,date_range_board,C77,inputdata!$F:$F,"ED"),TEXT(SUMIFS(Comparison_Lookup,site_level_range_board,$B80,date_range_board,C77,inputdata!$F:$F,"ED")/SUMIFS(All_Attendances,site_level_range_board,$B80,date_range_board,C77,inputdata!$F:$F,"ED"),"0.0%")),IF(LEFT($B$7,6)="Number",SUMIFS(Comparison_Lookup,site_level_range_board,$B80,date_range_board,C77),TEXT(SUMIFS(Comparison_Lookup,site_level_range_board,$B80,date_range_board,C77)/SUMIFS(All_Attendances,site_level_range_board,$B80,date_range_board,C77),"0.0%"))),"")</f>
        <v>91.2%</v>
      </c>
      <c r="D80" s="165" t="str">
        <f ca="1">IFERROR(IF(ISNUMBER(FIND("ED only",$B$4)),IF(LEFT($B$7,6)="Number",SUMIFS(Comparison_Lookup,site_level_range_board,$B80,date_range_board,D77,inputdata!$F:$F,"ED"),TEXT(SUMIFS(Comparison_Lookup,site_level_range_board,$B80,date_range_board,D77,inputdata!$F:$F,"ED")/SUMIFS(All_Attendances,site_level_range_board,$B80,date_range_board,D77,inputdata!$F:$F,"ED"),"0.0%")),IF(LEFT($B$7,6)="Number",SUMIFS(Comparison_Lookup,site_level_range_board,$B80,date_range_board,D77),TEXT(SUMIFS(Comparison_Lookup,site_level_range_board,$B80,date_range_board,D77)/SUMIFS(All_Attendances,site_level_range_board,$B80,date_range_board,D77),"0.0%"))),"")</f>
        <v>93.9%</v>
      </c>
      <c r="E80" s="165" t="str">
        <f ca="1">IFERROR(IF(ISNUMBER(FIND("ED only",$B$4)),IF(LEFT($B$7,6)="Number",SUMIFS(Comparison_Lookup,site_level_range_board,$B80,date_range_board,E77,inputdata!$F:$F,"ED"),TEXT(SUMIFS(Comparison_Lookup,site_level_range_board,$B80,date_range_board,E77,inputdata!$F:$F,"ED")/SUMIFS(All_Attendances,site_level_range_board,$B80,date_range_board,E77,inputdata!$F:$F,"ED"),"0.0%")),IF(LEFT($B$7,6)="Number",SUMIFS(Comparison_Lookup,site_level_range_board,$B80,date_range_board,E77),TEXT(SUMIFS(Comparison_Lookup,site_level_range_board,$B80,date_range_board,E77)/SUMIFS(All_Attendances,site_level_range_board,$B80,date_range_board,E77),"0.0%"))),"")</f>
        <v>94.1%</v>
      </c>
      <c r="F80" s="165" t="str">
        <f ca="1">IFERROR(IF(ISNUMBER(FIND("ED only",$B$4)),IF(LEFT($B$7,6)="Number",SUMIFS(Comparison_Lookup,site_level_range_board,$B80,date_range_board,F77,inputdata!$F:$F,"ED"),TEXT(SUMIFS(Comparison_Lookup,site_level_range_board,$B80,date_range_board,F77,inputdata!$F:$F,"ED")/SUMIFS(All_Attendances,site_level_range_board,$B80,date_range_board,F77,inputdata!$F:$F,"ED"),"0.0%")),IF(LEFT($B$7,6)="Number",SUMIFS(Comparison_Lookup,site_level_range_board,$B80,date_range_board,F77),TEXT(SUMIFS(Comparison_Lookup,site_level_range_board,$B80,date_range_board,F77)/SUMIFS(All_Attendances,site_level_range_board,$B80,date_range_board,F77),"0.0%"))),"")</f>
        <v>93.4%</v>
      </c>
      <c r="G80" s="165" t="str">
        <f ca="1">IFERROR(IF(ISNUMBER(FIND("ED only",$B$4)),IF(LEFT($B$7,6)="Number",SUMIFS(Comparison_Lookup,site_level_range_board,$B80,date_range_board,G77,inputdata!$F:$F,"ED"),TEXT(SUMIFS(Comparison_Lookup,site_level_range_board,$B80,date_range_board,G77,inputdata!$F:$F,"ED")/SUMIFS(All_Attendances,site_level_range_board,$B80,date_range_board,G77,inputdata!$F:$F,"ED"),"0.0%")),IF(LEFT($B$7,6)="Number",SUMIFS(Comparison_Lookup,site_level_range_board,$B80,date_range_board,G77),TEXT(SUMIFS(Comparison_Lookup,site_level_range_board,$B80,date_range_board,G77)/SUMIFS(All_Attendances,site_level_range_board,$B80,date_range_board,G77),"0.0%"))),"")</f>
        <v>93.6%</v>
      </c>
      <c r="H80" s="165" t="str">
        <f ca="1">IFERROR(IF(ISNUMBER(FIND("ED only",$B$4)),IF(LEFT($B$7,6)="Number",SUMIFS(Comparison_Lookup,site_level_range_board,$B80,date_range_board,H77,inputdata!$F:$F,"ED"),TEXT(SUMIFS(Comparison_Lookup,site_level_range_board,$B80,date_range_board,H77,inputdata!$F:$F,"ED")/SUMIFS(All_Attendances,site_level_range_board,$B80,date_range_board,H77,inputdata!$F:$F,"ED"),"0.0%")),IF(LEFT($B$7,6)="Number",SUMIFS(Comparison_Lookup,site_level_range_board,$B80,date_range_board,H77),TEXT(SUMIFS(Comparison_Lookup,site_level_range_board,$B80,date_range_board,H77)/SUMIFS(All_Attendances,site_level_range_board,$B80,date_range_board,H77),"0.0%"))),"")</f>
        <v>92.2%</v>
      </c>
      <c r="I80" s="165" t="str">
        <f ca="1">IFERROR(IF(ISNUMBER(FIND("ED only",$B$4)),IF(LEFT($B$7,6)="Number",SUMIFS(Comparison_Lookup,site_level_range_board,$B80,date_range_board,I77,inputdata!$F:$F,"ED"),TEXT(SUMIFS(Comparison_Lookup,site_level_range_board,$B80,date_range_board,I77,inputdata!$F:$F,"ED")/SUMIFS(All_Attendances,site_level_range_board,$B80,date_range_board,I77,inputdata!$F:$F,"ED"),"0.0%")),IF(LEFT($B$7,6)="Number",SUMIFS(Comparison_Lookup,site_level_range_board,$B80,date_range_board,I77),TEXT(SUMIFS(Comparison_Lookup,site_level_range_board,$B80,date_range_board,I77)/SUMIFS(All_Attendances,site_level_range_board,$B80,date_range_board,I77),"0.0%"))),"")</f>
        <v>94.8%</v>
      </c>
      <c r="J80" s="165" t="str">
        <f ca="1">IFERROR(IF(ISNUMBER(FIND("ED only",$B$4)),IF(LEFT($B$7,6)="Number",SUMIFS(Comparison_Lookup,site_level_range_board,$B80,date_range_board,J77,inputdata!$F:$F,"ED"),TEXT(SUMIFS(Comparison_Lookup,site_level_range_board,$B80,date_range_board,J77,inputdata!$F:$F,"ED")/SUMIFS(All_Attendances,site_level_range_board,$B80,date_range_board,J77,inputdata!$F:$F,"ED"),"0.0%")),IF(LEFT($B$7,6)="Number",SUMIFS(Comparison_Lookup,site_level_range_board,$B80,date_range_board,J77),TEXT(SUMIFS(Comparison_Lookup,site_level_range_board,$B80,date_range_board,J77)/SUMIFS(All_Attendances,site_level_range_board,$B80,date_range_board,J77),"0.0%"))),"")</f>
        <v>95.2%</v>
      </c>
      <c r="K80" s="165" t="str">
        <f ca="1">IFERROR(IF(ISNUMBER(FIND("ED only",$B$4)),IF(LEFT($B$7,6)="Number",SUMIFS(Comparison_Lookup,site_level_range_board,$B80,date_range_board,K77,inputdata!$F:$F,"ED"),TEXT(SUMIFS(Comparison_Lookup,site_level_range_board,$B80,date_range_board,K77,inputdata!$F:$F,"ED")/SUMIFS(All_Attendances,site_level_range_board,$B80,date_range_board,K77,inputdata!$F:$F,"ED"),"0.0%")),IF(LEFT($B$7,6)="Number",SUMIFS(Comparison_Lookup,site_level_range_board,$B80,date_range_board,K77),TEXT(SUMIFS(Comparison_Lookup,site_level_range_board,$B80,date_range_board,K77)/SUMIFS(All_Attendances,site_level_range_board,$B80,date_range_board,K77),"0.0%"))),"")</f>
        <v>89.8%</v>
      </c>
      <c r="L80" s="165" t="str">
        <f ca="1">IFERROR(IF(ISNUMBER(FIND("ED only",$B$4)),IF(LEFT($B$7,6)="Number",SUMIFS(Comparison_Lookup,site_level_range_board,$B80,date_range_board,L77,inputdata!$F:$F,"ED"),TEXT(SUMIFS(Comparison_Lookup,site_level_range_board,$B80,date_range_board,L77,inputdata!$F:$F,"ED")/SUMIFS(All_Attendances,site_level_range_board,$B80,date_range_board,L77,inputdata!$F:$F,"ED"),"0.0%")),IF(LEFT($B$7,6)="Number",SUMIFS(Comparison_Lookup,site_level_range_board,$B80,date_range_board,L77),TEXT(SUMIFS(Comparison_Lookup,site_level_range_board,$B80,date_range_board,L77)/SUMIFS(All_Attendances,site_level_range_board,$B80,date_range_board,L77),"0.0%"))),"")</f>
        <v>90.2%</v>
      </c>
      <c r="M80" s="165" t="str">
        <f ca="1">IFERROR(IF(ISNUMBER(FIND("ED only",$B$4)),IF(LEFT($B$7,6)="Number",SUMIFS(Comparison_Lookup,site_level_range_board,$B80,date_range_board,M77,inputdata!$F:$F,"ED"),TEXT(SUMIFS(Comparison_Lookup,site_level_range_board,$B80,date_range_board,M77,inputdata!$F:$F,"ED")/SUMIFS(All_Attendances,site_level_range_board,$B80,date_range_board,M77,inputdata!$F:$F,"ED"),"0.0%")),IF(LEFT($B$7,6)="Number",SUMIFS(Comparison_Lookup,site_level_range_board,$B80,date_range_board,M77),TEXT(SUMIFS(Comparison_Lookup,site_level_range_board,$B80,date_range_board,M77)/SUMIFS(All_Attendances,site_level_range_board,$B80,date_range_board,M77),"0.0%"))),"")</f>
        <v>88.4%</v>
      </c>
      <c r="N80" s="171" t="str">
        <f ca="1">IFERROR(IF(ISNUMBER(FIND("ED only",$B$4)),IF(LEFT($B$7,6)="Number",SUMIFS(Comparison_Lookup,site_level_range_board,$B80,date_range_board,N77,inputdata!$F:$F,"ED"),TEXT(SUMIFS(Comparison_Lookup,site_level_range_board,$B80,date_range_board,N77,inputdata!$F:$F,"ED")/SUMIFS(All_Attendances,site_level_range_board,$B80,date_range_board,N77,inputdata!$F:$F,"ED"),"0.0%")),IF(LEFT($B$7,6)="Number",SUMIFS(Comparison_Lookup,site_level_range_board,$B80,date_range_board,N77),TEXT(SUMIFS(Comparison_Lookup,site_level_range_board,$B80,date_range_board,N77)/SUMIFS(All_Attendances,site_level_range_board,$B80,date_range_board,N77),"0.0%"))),"")</f>
        <v>93.3%</v>
      </c>
    </row>
    <row r="81" spans="1:14" ht="15" customHeight="1" x14ac:dyDescent="0.2">
      <c r="A81" s="132"/>
      <c r="B81" s="152" t="s">
        <v>442</v>
      </c>
      <c r="C81" s="165" t="str">
        <f ca="1">IFERROR(IF(ISNUMBER(FIND("ED only",$B$4)),IF(LEFT($B$7,6)="Number",SUMIFS(Comparison_Lookup,site_level_range_board,$B81,date_range_board,C77,inputdata!$F:$F,"ED"),TEXT(SUMIFS(Comparison_Lookup,site_level_range_board,$B81,date_range_board,C77,inputdata!$F:$F,"ED")/SUMIFS(All_Attendances,site_level_range_board,$B81,date_range_board,C77,inputdata!$F:$F,"ED"),"0.0%")),IF(LEFT($B$7,6)="Number",SUMIFS(Comparison_Lookup,site_level_range_board,$B81,date_range_board,C77),TEXT(SUMIFS(Comparison_Lookup,site_level_range_board,$B81,date_range_board,C77)/SUMIFS(All_Attendances,site_level_range_board,$B81,date_range_board,C77),"0.0%"))),"")</f>
        <v>96.5%</v>
      </c>
      <c r="D81" s="165" t="str">
        <f ca="1">IFERROR(IF(ISNUMBER(FIND("ED only",$B$4)),IF(LEFT($B$7,6)="Number",SUMIFS(Comparison_Lookup,site_level_range_board,$B81,date_range_board,D77,inputdata!$F:$F,"ED"),TEXT(SUMIFS(Comparison_Lookup,site_level_range_board,$B81,date_range_board,D77,inputdata!$F:$F,"ED")/SUMIFS(All_Attendances,site_level_range_board,$B81,date_range_board,D77,inputdata!$F:$F,"ED"),"0.0%")),IF(LEFT($B$7,6)="Number",SUMIFS(Comparison_Lookup,site_level_range_board,$B81,date_range_board,D77),TEXT(SUMIFS(Comparison_Lookup,site_level_range_board,$B81,date_range_board,D77)/SUMIFS(All_Attendances,site_level_range_board,$B81,date_range_board,D77),"0.0%"))),"")</f>
        <v>97.1%</v>
      </c>
      <c r="E81" s="165" t="str">
        <f ca="1">IFERROR(IF(ISNUMBER(FIND("ED only",$B$4)),IF(LEFT($B$7,6)="Number",SUMIFS(Comparison_Lookup,site_level_range_board,$B81,date_range_board,E77,inputdata!$F:$F,"ED"),TEXT(SUMIFS(Comparison_Lookup,site_level_range_board,$B81,date_range_board,E77,inputdata!$F:$F,"ED")/SUMIFS(All_Attendances,site_level_range_board,$B81,date_range_board,E77,inputdata!$F:$F,"ED"),"0.0%")),IF(LEFT($B$7,6)="Number",SUMIFS(Comparison_Lookup,site_level_range_board,$B81,date_range_board,E77),TEXT(SUMIFS(Comparison_Lookup,site_level_range_board,$B81,date_range_board,E77)/SUMIFS(All_Attendances,site_level_range_board,$B81,date_range_board,E77),"0.0%"))),"")</f>
        <v>96.8%</v>
      </c>
      <c r="F81" s="165" t="str">
        <f ca="1">IFERROR(IF(ISNUMBER(FIND("ED only",$B$4)),IF(LEFT($B$7,6)="Number",SUMIFS(Comparison_Lookup,site_level_range_board,$B81,date_range_board,F77,inputdata!$F:$F,"ED"),TEXT(SUMIFS(Comparison_Lookup,site_level_range_board,$B81,date_range_board,F77,inputdata!$F:$F,"ED")/SUMIFS(All_Attendances,site_level_range_board,$B81,date_range_board,F77,inputdata!$F:$F,"ED"),"0.0%")),IF(LEFT($B$7,6)="Number",SUMIFS(Comparison_Lookup,site_level_range_board,$B81,date_range_board,F77),TEXT(SUMIFS(Comparison_Lookup,site_level_range_board,$B81,date_range_board,F77)/SUMIFS(All_Attendances,site_level_range_board,$B81,date_range_board,F77),"0.0%"))),"")</f>
        <v>96.1%</v>
      </c>
      <c r="G81" s="165" t="str">
        <f ca="1">IFERROR(IF(ISNUMBER(FIND("ED only",$B$4)),IF(LEFT($B$7,6)="Number",SUMIFS(Comparison_Lookup,site_level_range_board,$B81,date_range_board,G77,inputdata!$F:$F,"ED"),TEXT(SUMIFS(Comparison_Lookup,site_level_range_board,$B81,date_range_board,G77,inputdata!$F:$F,"ED")/SUMIFS(All_Attendances,site_level_range_board,$B81,date_range_board,G77,inputdata!$F:$F,"ED"),"0.0%")),IF(LEFT($B$7,6)="Number",SUMIFS(Comparison_Lookup,site_level_range_board,$B81,date_range_board,G77),TEXT(SUMIFS(Comparison_Lookup,site_level_range_board,$B81,date_range_board,G77)/SUMIFS(All_Attendances,site_level_range_board,$B81,date_range_board,G77),"0.0%"))),"")</f>
        <v>97.3%</v>
      </c>
      <c r="H81" s="165" t="str">
        <f ca="1">IFERROR(IF(ISNUMBER(FIND("ED only",$B$4)),IF(LEFT($B$7,6)="Number",SUMIFS(Comparison_Lookup,site_level_range_board,$B81,date_range_board,H77,inputdata!$F:$F,"ED"),TEXT(SUMIFS(Comparison_Lookup,site_level_range_board,$B81,date_range_board,H77,inputdata!$F:$F,"ED")/SUMIFS(All_Attendances,site_level_range_board,$B81,date_range_board,H77,inputdata!$F:$F,"ED"),"0.0%")),IF(LEFT($B$7,6)="Number",SUMIFS(Comparison_Lookup,site_level_range_board,$B81,date_range_board,H77),TEXT(SUMIFS(Comparison_Lookup,site_level_range_board,$B81,date_range_board,H77)/SUMIFS(All_Attendances,site_level_range_board,$B81,date_range_board,H77),"0.0%"))),"")</f>
        <v>95.6%</v>
      </c>
      <c r="I81" s="165" t="str">
        <f ca="1">IFERROR(IF(ISNUMBER(FIND("ED only",$B$4)),IF(LEFT($B$7,6)="Number",SUMIFS(Comparison_Lookup,site_level_range_board,$B81,date_range_board,I77,inputdata!$F:$F,"ED"),TEXT(SUMIFS(Comparison_Lookup,site_level_range_board,$B81,date_range_board,I77,inputdata!$F:$F,"ED")/SUMIFS(All_Attendances,site_level_range_board,$B81,date_range_board,I77,inputdata!$F:$F,"ED"),"0.0%")),IF(LEFT($B$7,6)="Number",SUMIFS(Comparison_Lookup,site_level_range_board,$B81,date_range_board,I77),TEXT(SUMIFS(Comparison_Lookup,site_level_range_board,$B81,date_range_board,I77)/SUMIFS(All_Attendances,site_level_range_board,$B81,date_range_board,I77),"0.0%"))),"")</f>
        <v>95.8%</v>
      </c>
      <c r="J81" s="165" t="str">
        <f ca="1">IFERROR(IF(ISNUMBER(FIND("ED only",$B$4)),IF(LEFT($B$7,6)="Number",SUMIFS(Comparison_Lookup,site_level_range_board,$B81,date_range_board,J77,inputdata!$F:$F,"ED"),TEXT(SUMIFS(Comparison_Lookup,site_level_range_board,$B81,date_range_board,J77,inputdata!$F:$F,"ED")/SUMIFS(All_Attendances,site_level_range_board,$B81,date_range_board,J77,inputdata!$F:$F,"ED"),"0.0%")),IF(LEFT($B$7,6)="Number",SUMIFS(Comparison_Lookup,site_level_range_board,$B81,date_range_board,J77),TEXT(SUMIFS(Comparison_Lookup,site_level_range_board,$B81,date_range_board,J77)/SUMIFS(All_Attendances,site_level_range_board,$B81,date_range_board,J77),"0.0%"))),"")</f>
        <v>95.6%</v>
      </c>
      <c r="K81" s="165" t="str">
        <f ca="1">IFERROR(IF(ISNUMBER(FIND("ED only",$B$4)),IF(LEFT($B$7,6)="Number",SUMIFS(Comparison_Lookup,site_level_range_board,$B81,date_range_board,K77,inputdata!$F:$F,"ED"),TEXT(SUMIFS(Comparison_Lookup,site_level_range_board,$B81,date_range_board,K77,inputdata!$F:$F,"ED")/SUMIFS(All_Attendances,site_level_range_board,$B81,date_range_board,K77,inputdata!$F:$F,"ED"),"0.0%")),IF(LEFT($B$7,6)="Number",SUMIFS(Comparison_Lookup,site_level_range_board,$B81,date_range_board,K77),TEXT(SUMIFS(Comparison_Lookup,site_level_range_board,$B81,date_range_board,K77)/SUMIFS(All_Attendances,site_level_range_board,$B81,date_range_board,K77),"0.0%"))),"")</f>
        <v>92.8%</v>
      </c>
      <c r="L81" s="165" t="str">
        <f ca="1">IFERROR(IF(ISNUMBER(FIND("ED only",$B$4)),IF(LEFT($B$7,6)="Number",SUMIFS(Comparison_Lookup,site_level_range_board,$B81,date_range_board,L77,inputdata!$F:$F,"ED"),TEXT(SUMIFS(Comparison_Lookup,site_level_range_board,$B81,date_range_board,L77,inputdata!$F:$F,"ED")/SUMIFS(All_Attendances,site_level_range_board,$B81,date_range_board,L77,inputdata!$F:$F,"ED"),"0.0%")),IF(LEFT($B$7,6)="Number",SUMIFS(Comparison_Lookup,site_level_range_board,$B81,date_range_board,L77),TEXT(SUMIFS(Comparison_Lookup,site_level_range_board,$B81,date_range_board,L77)/SUMIFS(All_Attendances,site_level_range_board,$B81,date_range_board,L77),"0.0%"))),"")</f>
        <v>91.7%</v>
      </c>
      <c r="M81" s="165" t="str">
        <f ca="1">IFERROR(IF(ISNUMBER(FIND("ED only",$B$4)),IF(LEFT($B$7,6)="Number",SUMIFS(Comparison_Lookup,site_level_range_board,$B81,date_range_board,M77,inputdata!$F:$F,"ED"),TEXT(SUMIFS(Comparison_Lookup,site_level_range_board,$B81,date_range_board,M77,inputdata!$F:$F,"ED")/SUMIFS(All_Attendances,site_level_range_board,$B81,date_range_board,M77,inputdata!$F:$F,"ED"),"0.0%")),IF(LEFT($B$7,6)="Number",SUMIFS(Comparison_Lookup,site_level_range_board,$B81,date_range_board,M77),TEXT(SUMIFS(Comparison_Lookup,site_level_range_board,$B81,date_range_board,M77)/SUMIFS(All_Attendances,site_level_range_board,$B81,date_range_board,M77),"0.0%"))),"")</f>
        <v>92.1%</v>
      </c>
      <c r="N81" s="171" t="str">
        <f ca="1">IFERROR(IF(ISNUMBER(FIND("ED only",$B$4)),IF(LEFT($B$7,6)="Number",SUMIFS(Comparison_Lookup,site_level_range_board,$B81,date_range_board,N77,inputdata!$F:$F,"ED"),TEXT(SUMIFS(Comparison_Lookup,site_level_range_board,$B81,date_range_board,N77,inputdata!$F:$F,"ED")/SUMIFS(All_Attendances,site_level_range_board,$B81,date_range_board,N77,inputdata!$F:$F,"ED"),"0.0%")),IF(LEFT($B$7,6)="Number",SUMIFS(Comparison_Lookup,site_level_range_board,$B81,date_range_board,N77),TEXT(SUMIFS(Comparison_Lookup,site_level_range_board,$B81,date_range_board,N77)/SUMIFS(All_Attendances,site_level_range_board,$B81,date_range_board,N77),"0.0%"))),"")</f>
        <v>94.5%</v>
      </c>
    </row>
    <row r="82" spans="1:14" ht="15" customHeight="1" x14ac:dyDescent="0.2">
      <c r="A82" s="132"/>
      <c r="B82" s="152" t="s">
        <v>451</v>
      </c>
      <c r="C82" s="165" t="str">
        <f ca="1">IFERROR(IF(ISNUMBER(FIND("ED only",$B$4)),IF(LEFT($B$7,6)="Number",SUMIFS(Comparison_Lookup,site_level_range_board,$B82,date_range_board,C77,inputdata!$F:$F,"ED"),TEXT(SUMIFS(Comparison_Lookup,site_level_range_board,$B82,date_range_board,C77,inputdata!$F:$F,"ED")/SUMIFS(All_Attendances,site_level_range_board,$B82,date_range_board,C77,inputdata!$F:$F,"ED"),"0.0%")),IF(LEFT($B$7,6)="Number",SUMIFS(Comparison_Lookup,site_level_range_board,$B82,date_range_board,C77),TEXT(SUMIFS(Comparison_Lookup,site_level_range_board,$B82,date_range_board,C77)/SUMIFS(All_Attendances,site_level_range_board,$B82,date_range_board,C77),"0.0%"))),"")</f>
        <v>85.8%</v>
      </c>
      <c r="D82" s="165" t="str">
        <f ca="1">IFERROR(IF(ISNUMBER(FIND("ED only",$B$4)),IF(LEFT($B$7,6)="Number",SUMIFS(Comparison_Lookup,site_level_range_board,$B82,date_range_board,D77,inputdata!$F:$F,"ED"),TEXT(SUMIFS(Comparison_Lookup,site_level_range_board,$B82,date_range_board,D77,inputdata!$F:$F,"ED")/SUMIFS(All_Attendances,site_level_range_board,$B82,date_range_board,D77,inputdata!$F:$F,"ED"),"0.0%")),IF(LEFT($B$7,6)="Number",SUMIFS(Comparison_Lookup,site_level_range_board,$B82,date_range_board,D77),TEXT(SUMIFS(Comparison_Lookup,site_level_range_board,$B82,date_range_board,D77)/SUMIFS(All_Attendances,site_level_range_board,$B82,date_range_board,D77),"0.0%"))),"")</f>
        <v>88.6%</v>
      </c>
      <c r="E82" s="165" t="str">
        <f ca="1">IFERROR(IF(ISNUMBER(FIND("ED only",$B$4)),IF(LEFT($B$7,6)="Number",SUMIFS(Comparison_Lookup,site_level_range_board,$B82,date_range_board,E77,inputdata!$F:$F,"ED"),TEXT(SUMIFS(Comparison_Lookup,site_level_range_board,$B82,date_range_board,E77,inputdata!$F:$F,"ED")/SUMIFS(All_Attendances,site_level_range_board,$B82,date_range_board,E77,inputdata!$F:$F,"ED"),"0.0%")),IF(LEFT($B$7,6)="Number",SUMIFS(Comparison_Lookup,site_level_range_board,$B82,date_range_board,E77),TEXT(SUMIFS(Comparison_Lookup,site_level_range_board,$B82,date_range_board,E77)/SUMIFS(All_Attendances,site_level_range_board,$B82,date_range_board,E77),"0.0%"))),"")</f>
        <v>89.5%</v>
      </c>
      <c r="F82" s="165" t="str">
        <f ca="1">IFERROR(IF(ISNUMBER(FIND("ED only",$B$4)),IF(LEFT($B$7,6)="Number",SUMIFS(Comparison_Lookup,site_level_range_board,$B82,date_range_board,F77,inputdata!$F:$F,"ED"),TEXT(SUMIFS(Comparison_Lookup,site_level_range_board,$B82,date_range_board,F77,inputdata!$F:$F,"ED")/SUMIFS(All_Attendances,site_level_range_board,$B82,date_range_board,F77,inputdata!$F:$F,"ED"),"0.0%")),IF(LEFT($B$7,6)="Number",SUMIFS(Comparison_Lookup,site_level_range_board,$B82,date_range_board,F77),TEXT(SUMIFS(Comparison_Lookup,site_level_range_board,$B82,date_range_board,F77)/SUMIFS(All_Attendances,site_level_range_board,$B82,date_range_board,F77),"0.0%"))),"")</f>
        <v>89.7%</v>
      </c>
      <c r="G82" s="165" t="str">
        <f ca="1">IFERROR(IF(ISNUMBER(FIND("ED only",$B$4)),IF(LEFT($B$7,6)="Number",SUMIFS(Comparison_Lookup,site_level_range_board,$B82,date_range_board,G77,inputdata!$F:$F,"ED"),TEXT(SUMIFS(Comparison_Lookup,site_level_range_board,$B82,date_range_board,G77,inputdata!$F:$F,"ED")/SUMIFS(All_Attendances,site_level_range_board,$B82,date_range_board,G77,inputdata!$F:$F,"ED"),"0.0%")),IF(LEFT($B$7,6)="Number",SUMIFS(Comparison_Lookup,site_level_range_board,$B82,date_range_board,G77),TEXT(SUMIFS(Comparison_Lookup,site_level_range_board,$B82,date_range_board,G77)/SUMIFS(All_Attendances,site_level_range_board,$B82,date_range_board,G77),"0.0%"))),"")</f>
        <v>84.5%</v>
      </c>
      <c r="H82" s="165" t="str">
        <f ca="1">IFERROR(IF(ISNUMBER(FIND("ED only",$B$4)),IF(LEFT($B$7,6)="Number",SUMIFS(Comparison_Lookup,site_level_range_board,$B82,date_range_board,H77,inputdata!$F:$F,"ED"),TEXT(SUMIFS(Comparison_Lookup,site_level_range_board,$B82,date_range_board,H77,inputdata!$F:$F,"ED")/SUMIFS(All_Attendances,site_level_range_board,$B82,date_range_board,H77,inputdata!$F:$F,"ED"),"0.0%")),IF(LEFT($B$7,6)="Number",SUMIFS(Comparison_Lookup,site_level_range_board,$B82,date_range_board,H77),TEXT(SUMIFS(Comparison_Lookup,site_level_range_board,$B82,date_range_board,H77)/SUMIFS(All_Attendances,site_level_range_board,$B82,date_range_board,H77),"0.0%"))),"")</f>
        <v>82.2%</v>
      </c>
      <c r="I82" s="165" t="str">
        <f ca="1">IFERROR(IF(ISNUMBER(FIND("ED only",$B$4)),IF(LEFT($B$7,6)="Number",SUMIFS(Comparison_Lookup,site_level_range_board,$B82,date_range_board,I77,inputdata!$F:$F,"ED"),TEXT(SUMIFS(Comparison_Lookup,site_level_range_board,$B82,date_range_board,I77,inputdata!$F:$F,"ED")/SUMIFS(All_Attendances,site_level_range_board,$B82,date_range_board,I77,inputdata!$F:$F,"ED"),"0.0%")),IF(LEFT($B$7,6)="Number",SUMIFS(Comparison_Lookup,site_level_range_board,$B82,date_range_board,I77),TEXT(SUMIFS(Comparison_Lookup,site_level_range_board,$B82,date_range_board,I77)/SUMIFS(All_Attendances,site_level_range_board,$B82,date_range_board,I77),"0.0%"))),"")</f>
        <v>83.1%</v>
      </c>
      <c r="J82" s="165" t="str">
        <f ca="1">IFERROR(IF(ISNUMBER(FIND("ED only",$B$4)),IF(LEFT($B$7,6)="Number",SUMIFS(Comparison_Lookup,site_level_range_board,$B82,date_range_board,J77,inputdata!$F:$F,"ED"),TEXT(SUMIFS(Comparison_Lookup,site_level_range_board,$B82,date_range_board,J77,inputdata!$F:$F,"ED")/SUMIFS(All_Attendances,site_level_range_board,$B82,date_range_board,J77,inputdata!$F:$F,"ED"),"0.0%")),IF(LEFT($B$7,6)="Number",SUMIFS(Comparison_Lookup,site_level_range_board,$B82,date_range_board,J77),TEXT(SUMIFS(Comparison_Lookup,site_level_range_board,$B82,date_range_board,J77)/SUMIFS(All_Attendances,site_level_range_board,$B82,date_range_board,J77),"0.0%"))),"")</f>
        <v>78.3%</v>
      </c>
      <c r="K82" s="165" t="str">
        <f ca="1">IFERROR(IF(ISNUMBER(FIND("ED only",$B$4)),IF(LEFT($B$7,6)="Number",SUMIFS(Comparison_Lookup,site_level_range_board,$B82,date_range_board,K77,inputdata!$F:$F,"ED"),TEXT(SUMIFS(Comparison_Lookup,site_level_range_board,$B82,date_range_board,K77,inputdata!$F:$F,"ED")/SUMIFS(All_Attendances,site_level_range_board,$B82,date_range_board,K77,inputdata!$F:$F,"ED"),"0.0%")),IF(LEFT($B$7,6)="Number",SUMIFS(Comparison_Lookup,site_level_range_board,$B82,date_range_board,K77),TEXT(SUMIFS(Comparison_Lookup,site_level_range_board,$B82,date_range_board,K77)/SUMIFS(All_Attendances,site_level_range_board,$B82,date_range_board,K77),"0.0%"))),"")</f>
        <v>78.4%</v>
      </c>
      <c r="L82" s="165" t="str">
        <f ca="1">IFERROR(IF(ISNUMBER(FIND("ED only",$B$4)),IF(LEFT($B$7,6)="Number",SUMIFS(Comparison_Lookup,site_level_range_board,$B82,date_range_board,L77,inputdata!$F:$F,"ED"),TEXT(SUMIFS(Comparison_Lookup,site_level_range_board,$B82,date_range_board,L77,inputdata!$F:$F,"ED")/SUMIFS(All_Attendances,site_level_range_board,$B82,date_range_board,L77,inputdata!$F:$F,"ED"),"0.0%")),IF(LEFT($B$7,6)="Number",SUMIFS(Comparison_Lookup,site_level_range_board,$B82,date_range_board,L77),TEXT(SUMIFS(Comparison_Lookup,site_level_range_board,$B82,date_range_board,L77)/SUMIFS(All_Attendances,site_level_range_board,$B82,date_range_board,L77),"0.0%"))),"")</f>
        <v>82.1%</v>
      </c>
      <c r="M82" s="165" t="str">
        <f ca="1">IFERROR(IF(ISNUMBER(FIND("ED only",$B$4)),IF(LEFT($B$7,6)="Number",SUMIFS(Comparison_Lookup,site_level_range_board,$B82,date_range_board,M77,inputdata!$F:$F,"ED"),TEXT(SUMIFS(Comparison_Lookup,site_level_range_board,$B82,date_range_board,M77,inputdata!$F:$F,"ED")/SUMIFS(All_Attendances,site_level_range_board,$B82,date_range_board,M77,inputdata!$F:$F,"ED"),"0.0%")),IF(LEFT($B$7,6)="Number",SUMIFS(Comparison_Lookup,site_level_range_board,$B82,date_range_board,M77),TEXT(SUMIFS(Comparison_Lookup,site_level_range_board,$B82,date_range_board,M77)/SUMIFS(All_Attendances,site_level_range_board,$B82,date_range_board,M77),"0.0%"))),"")</f>
        <v>95.0%</v>
      </c>
      <c r="N82" s="171" t="str">
        <f ca="1">IFERROR(IF(ISNUMBER(FIND("ED only",$B$4)),IF(LEFT($B$7,6)="Number",SUMIFS(Comparison_Lookup,site_level_range_board,$B82,date_range_board,N77,inputdata!$F:$F,"ED"),TEXT(SUMIFS(Comparison_Lookup,site_level_range_board,$B82,date_range_board,N77,inputdata!$F:$F,"ED")/SUMIFS(All_Attendances,site_level_range_board,$B82,date_range_board,N77,inputdata!$F:$F,"ED"),"0.0%")),IF(LEFT($B$7,6)="Number",SUMIFS(Comparison_Lookup,site_level_range_board,$B82,date_range_board,N77),TEXT(SUMIFS(Comparison_Lookup,site_level_range_board,$B82,date_range_board,N77)/SUMIFS(All_Attendances,site_level_range_board,$B82,date_range_board,N77),"0.0%"))),"")</f>
        <v>95.8%</v>
      </c>
    </row>
    <row r="83" spans="1:14" ht="15" customHeight="1" x14ac:dyDescent="0.2">
      <c r="A83" s="132"/>
      <c r="B83" s="152" t="s">
        <v>456</v>
      </c>
      <c r="C83" s="165" t="str">
        <f ca="1">IFERROR(IF(ISNUMBER(FIND("ED only",$B$4)),IF(LEFT($B$7,6)="Number",SUMIFS(Comparison_Lookup,site_level_range_board,$B83,date_range_board,C77,inputdata!$F:$F,"ED"),TEXT(SUMIFS(Comparison_Lookup,site_level_range_board,$B83,date_range_board,C77,inputdata!$F:$F,"ED")/SUMIFS(All_Attendances,site_level_range_board,$B83,date_range_board,C77,inputdata!$F:$F,"ED"),"0.0%")),IF(LEFT($B$7,6)="Number",SUMIFS(Comparison_Lookup,site_level_range_board,$B83,date_range_board,C77),TEXT(SUMIFS(Comparison_Lookup,site_level_range_board,$B83,date_range_board,C77)/SUMIFS(All_Attendances,site_level_range_board,$B83,date_range_board,C77),"0.0%"))),"")</f>
        <v>94.5%</v>
      </c>
      <c r="D83" s="165" t="str">
        <f ca="1">IFERROR(IF(ISNUMBER(FIND("ED only",$B$4)),IF(LEFT($B$7,6)="Number",SUMIFS(Comparison_Lookup,site_level_range_board,$B83,date_range_board,D77,inputdata!$F:$F,"ED"),TEXT(SUMIFS(Comparison_Lookup,site_level_range_board,$B83,date_range_board,D77,inputdata!$F:$F,"ED")/SUMIFS(All_Attendances,site_level_range_board,$B83,date_range_board,D77,inputdata!$F:$F,"ED"),"0.0%")),IF(LEFT($B$7,6)="Number",SUMIFS(Comparison_Lookup,site_level_range_board,$B83,date_range_board,D77),TEXT(SUMIFS(Comparison_Lookup,site_level_range_board,$B83,date_range_board,D77)/SUMIFS(All_Attendances,site_level_range_board,$B83,date_range_board,D77),"0.0%"))),"")</f>
        <v>95.5%</v>
      </c>
      <c r="E83" s="165" t="str">
        <f ca="1">IFERROR(IF(ISNUMBER(FIND("ED only",$B$4)),IF(LEFT($B$7,6)="Number",SUMIFS(Comparison_Lookup,site_level_range_board,$B83,date_range_board,E77,inputdata!$F:$F,"ED"),TEXT(SUMIFS(Comparison_Lookup,site_level_range_board,$B83,date_range_board,E77,inputdata!$F:$F,"ED")/SUMIFS(All_Attendances,site_level_range_board,$B83,date_range_board,E77,inputdata!$F:$F,"ED"),"0.0%")),IF(LEFT($B$7,6)="Number",SUMIFS(Comparison_Lookup,site_level_range_board,$B83,date_range_board,E77),TEXT(SUMIFS(Comparison_Lookup,site_level_range_board,$B83,date_range_board,E77)/SUMIFS(All_Attendances,site_level_range_board,$B83,date_range_board,E77),"0.0%"))),"")</f>
        <v>95.3%</v>
      </c>
      <c r="F83" s="165" t="str">
        <f ca="1">IFERROR(IF(ISNUMBER(FIND("ED only",$B$4)),IF(LEFT($B$7,6)="Number",SUMIFS(Comparison_Lookup,site_level_range_board,$B83,date_range_board,F77,inputdata!$F:$F,"ED"),TEXT(SUMIFS(Comparison_Lookup,site_level_range_board,$B83,date_range_board,F77,inputdata!$F:$F,"ED")/SUMIFS(All_Attendances,site_level_range_board,$B83,date_range_board,F77,inputdata!$F:$F,"ED"),"0.0%")),IF(LEFT($B$7,6)="Number",SUMIFS(Comparison_Lookup,site_level_range_board,$B83,date_range_board,F77),TEXT(SUMIFS(Comparison_Lookup,site_level_range_board,$B83,date_range_board,F77)/SUMIFS(All_Attendances,site_level_range_board,$B83,date_range_board,F77),"0.0%"))),"")</f>
        <v>95.8%</v>
      </c>
      <c r="G83" s="165" t="str">
        <f ca="1">IFERROR(IF(ISNUMBER(FIND("ED only",$B$4)),IF(LEFT($B$7,6)="Number",SUMIFS(Comparison_Lookup,site_level_range_board,$B83,date_range_board,G77,inputdata!$F:$F,"ED"),TEXT(SUMIFS(Comparison_Lookup,site_level_range_board,$B83,date_range_board,G77,inputdata!$F:$F,"ED")/SUMIFS(All_Attendances,site_level_range_board,$B83,date_range_board,G77,inputdata!$F:$F,"ED"),"0.0%")),IF(LEFT($B$7,6)="Number",SUMIFS(Comparison_Lookup,site_level_range_board,$B83,date_range_board,G77),TEXT(SUMIFS(Comparison_Lookup,site_level_range_board,$B83,date_range_board,G77)/SUMIFS(All_Attendances,site_level_range_board,$B83,date_range_board,G77),"0.0%"))),"")</f>
        <v>95.1%</v>
      </c>
      <c r="H83" s="165" t="str">
        <f ca="1">IFERROR(IF(ISNUMBER(FIND("ED only",$B$4)),IF(LEFT($B$7,6)="Number",SUMIFS(Comparison_Lookup,site_level_range_board,$B83,date_range_board,H77,inputdata!$F:$F,"ED"),TEXT(SUMIFS(Comparison_Lookup,site_level_range_board,$B83,date_range_board,H77,inputdata!$F:$F,"ED")/SUMIFS(All_Attendances,site_level_range_board,$B83,date_range_board,H77,inputdata!$F:$F,"ED"),"0.0%")),IF(LEFT($B$7,6)="Number",SUMIFS(Comparison_Lookup,site_level_range_board,$B83,date_range_board,H77),TEXT(SUMIFS(Comparison_Lookup,site_level_range_board,$B83,date_range_board,H77)/SUMIFS(All_Attendances,site_level_range_board,$B83,date_range_board,H77),"0.0%"))),"")</f>
        <v>94.7%</v>
      </c>
      <c r="I83" s="165" t="str">
        <f ca="1">IFERROR(IF(ISNUMBER(FIND("ED only",$B$4)),IF(LEFT($B$7,6)="Number",SUMIFS(Comparison_Lookup,site_level_range_board,$B83,date_range_board,I77,inputdata!$F:$F,"ED"),TEXT(SUMIFS(Comparison_Lookup,site_level_range_board,$B83,date_range_board,I77,inputdata!$F:$F,"ED")/SUMIFS(All_Attendances,site_level_range_board,$B83,date_range_board,I77,inputdata!$F:$F,"ED"),"0.0%")),IF(LEFT($B$7,6)="Number",SUMIFS(Comparison_Lookup,site_level_range_board,$B83,date_range_board,I77),TEXT(SUMIFS(Comparison_Lookup,site_level_range_board,$B83,date_range_board,I77)/SUMIFS(All_Attendances,site_level_range_board,$B83,date_range_board,I77),"0.0%"))),"")</f>
        <v>95.4%</v>
      </c>
      <c r="J83" s="165" t="str">
        <f ca="1">IFERROR(IF(ISNUMBER(FIND("ED only",$B$4)),IF(LEFT($B$7,6)="Number",SUMIFS(Comparison_Lookup,site_level_range_board,$B83,date_range_board,J77,inputdata!$F:$F,"ED"),TEXT(SUMIFS(Comparison_Lookup,site_level_range_board,$B83,date_range_board,J77,inputdata!$F:$F,"ED")/SUMIFS(All_Attendances,site_level_range_board,$B83,date_range_board,J77,inputdata!$F:$F,"ED"),"0.0%")),IF(LEFT($B$7,6)="Number",SUMIFS(Comparison_Lookup,site_level_range_board,$B83,date_range_board,J77),TEXT(SUMIFS(Comparison_Lookup,site_level_range_board,$B83,date_range_board,J77)/SUMIFS(All_Attendances,site_level_range_board,$B83,date_range_board,J77),"0.0%"))),"")</f>
        <v>94.4%</v>
      </c>
      <c r="K83" s="165" t="str">
        <f ca="1">IFERROR(IF(ISNUMBER(FIND("ED only",$B$4)),IF(LEFT($B$7,6)="Number",SUMIFS(Comparison_Lookup,site_level_range_board,$B83,date_range_board,K77,inputdata!$F:$F,"ED"),TEXT(SUMIFS(Comparison_Lookup,site_level_range_board,$B83,date_range_board,K77,inputdata!$F:$F,"ED")/SUMIFS(All_Attendances,site_level_range_board,$B83,date_range_board,K77,inputdata!$F:$F,"ED"),"0.0%")),IF(LEFT($B$7,6)="Number",SUMIFS(Comparison_Lookup,site_level_range_board,$B83,date_range_board,K77),TEXT(SUMIFS(Comparison_Lookup,site_level_range_board,$B83,date_range_board,K77)/SUMIFS(All_Attendances,site_level_range_board,$B83,date_range_board,K77),"0.0%"))),"")</f>
        <v>93.5%</v>
      </c>
      <c r="L83" s="165" t="str">
        <f ca="1">IFERROR(IF(ISNUMBER(FIND("ED only",$B$4)),IF(LEFT($B$7,6)="Number",SUMIFS(Comparison_Lookup,site_level_range_board,$B83,date_range_board,L77,inputdata!$F:$F,"ED"),TEXT(SUMIFS(Comparison_Lookup,site_level_range_board,$B83,date_range_board,L77,inputdata!$F:$F,"ED")/SUMIFS(All_Attendances,site_level_range_board,$B83,date_range_board,L77,inputdata!$F:$F,"ED"),"0.0%")),IF(LEFT($B$7,6)="Number",SUMIFS(Comparison_Lookup,site_level_range_board,$B83,date_range_board,L77),TEXT(SUMIFS(Comparison_Lookup,site_level_range_board,$B83,date_range_board,L77)/SUMIFS(All_Attendances,site_level_range_board,$B83,date_range_board,L77),"0.0%"))),"")</f>
        <v>92.8%</v>
      </c>
      <c r="M83" s="165" t="str">
        <f ca="1">IFERROR(IF(ISNUMBER(FIND("ED only",$B$4)),IF(LEFT($B$7,6)="Number",SUMIFS(Comparison_Lookup,site_level_range_board,$B83,date_range_board,M77,inputdata!$F:$F,"ED"),TEXT(SUMIFS(Comparison_Lookup,site_level_range_board,$B83,date_range_board,M77,inputdata!$F:$F,"ED")/SUMIFS(All_Attendances,site_level_range_board,$B83,date_range_board,M77,inputdata!$F:$F,"ED"),"0.0%")),IF(LEFT($B$7,6)="Number",SUMIFS(Comparison_Lookup,site_level_range_board,$B83,date_range_board,M77),TEXT(SUMIFS(Comparison_Lookup,site_level_range_board,$B83,date_range_board,M77)/SUMIFS(All_Attendances,site_level_range_board,$B83,date_range_board,M77),"0.0%"))),"")</f>
        <v>90.7%</v>
      </c>
      <c r="N83" s="171" t="str">
        <f ca="1">IFERROR(IF(ISNUMBER(FIND("ED only",$B$4)),IF(LEFT($B$7,6)="Number",SUMIFS(Comparison_Lookup,site_level_range_board,$B83,date_range_board,N77,inputdata!$F:$F,"ED"),TEXT(SUMIFS(Comparison_Lookup,site_level_range_board,$B83,date_range_board,N77,inputdata!$F:$F,"ED")/SUMIFS(All_Attendances,site_level_range_board,$B83,date_range_board,N77,inputdata!$F:$F,"ED"),"0.0%")),IF(LEFT($B$7,6)="Number",SUMIFS(Comparison_Lookup,site_level_range_board,$B83,date_range_board,N77),TEXT(SUMIFS(Comparison_Lookup,site_level_range_board,$B83,date_range_board,N77)/SUMIFS(All_Attendances,site_level_range_board,$B83,date_range_board,N77),"0.0%"))),"")</f>
        <v>94.8%</v>
      </c>
    </row>
    <row r="84" spans="1:14" ht="15" customHeight="1" x14ac:dyDescent="0.2">
      <c r="A84" s="132"/>
      <c r="B84" s="152" t="s">
        <v>491</v>
      </c>
      <c r="C84" s="165" t="str">
        <f ca="1">IFERROR(IF(ISNUMBER(FIND("ED only",$B$4)),IF(LEFT($B$7,6)="Number",SUMIFS(Comparison_Lookup,site_level_range_board,$B84,date_range_board,C77,inputdata!$F:$F,"ED"),TEXT(SUMIFS(Comparison_Lookup,site_level_range_board,$B84,date_range_board,C77,inputdata!$F:$F,"ED")/SUMIFS(All_Attendances,site_level_range_board,$B84,date_range_board,C77,inputdata!$F:$F,"ED"),"0.0%")),IF(LEFT($B$7,6)="Number",SUMIFS(Comparison_Lookup,site_level_range_board,$B84,date_range_board,C77),TEXT(SUMIFS(Comparison_Lookup,site_level_range_board,$B84,date_range_board,C77)/SUMIFS(All_Attendances,site_level_range_board,$B84,date_range_board,C77),"0.0%"))),"")</f>
        <v>88.1%</v>
      </c>
      <c r="D84" s="165" t="str">
        <f ca="1">IFERROR(IF(ISNUMBER(FIND("ED only",$B$4)),IF(LEFT($B$7,6)="Number",SUMIFS(Comparison_Lookup,site_level_range_board,$B84,date_range_board,D77,inputdata!$F:$F,"ED"),TEXT(SUMIFS(Comparison_Lookup,site_level_range_board,$B84,date_range_board,D77,inputdata!$F:$F,"ED")/SUMIFS(All_Attendances,site_level_range_board,$B84,date_range_board,D77,inputdata!$F:$F,"ED"),"0.0%")),IF(LEFT($B$7,6)="Number",SUMIFS(Comparison_Lookup,site_level_range_board,$B84,date_range_board,D77),TEXT(SUMIFS(Comparison_Lookup,site_level_range_board,$B84,date_range_board,D77)/SUMIFS(All_Attendances,site_level_range_board,$B84,date_range_board,D77),"0.0%"))),"")</f>
        <v>92.8%</v>
      </c>
      <c r="E84" s="165" t="str">
        <f ca="1">IFERROR(IF(ISNUMBER(FIND("ED only",$B$4)),IF(LEFT($B$7,6)="Number",SUMIFS(Comparison_Lookup,site_level_range_board,$B84,date_range_board,E77,inputdata!$F:$F,"ED"),TEXT(SUMIFS(Comparison_Lookup,site_level_range_board,$B84,date_range_board,E77,inputdata!$F:$F,"ED")/SUMIFS(All_Attendances,site_level_range_board,$B84,date_range_board,E77,inputdata!$F:$F,"ED"),"0.0%")),IF(LEFT($B$7,6)="Number",SUMIFS(Comparison_Lookup,site_level_range_board,$B84,date_range_board,E77),TEXT(SUMIFS(Comparison_Lookup,site_level_range_board,$B84,date_range_board,E77)/SUMIFS(All_Attendances,site_level_range_board,$B84,date_range_board,E77),"0.0%"))),"")</f>
        <v>93.6%</v>
      </c>
      <c r="F84" s="165" t="str">
        <f ca="1">IFERROR(IF(ISNUMBER(FIND("ED only",$B$4)),IF(LEFT($B$7,6)="Number",SUMIFS(Comparison_Lookup,site_level_range_board,$B84,date_range_board,F77,inputdata!$F:$F,"ED"),TEXT(SUMIFS(Comparison_Lookup,site_level_range_board,$B84,date_range_board,F77,inputdata!$F:$F,"ED")/SUMIFS(All_Attendances,site_level_range_board,$B84,date_range_board,F77,inputdata!$F:$F,"ED"),"0.0%")),IF(LEFT($B$7,6)="Number",SUMIFS(Comparison_Lookup,site_level_range_board,$B84,date_range_board,F77),TEXT(SUMIFS(Comparison_Lookup,site_level_range_board,$B84,date_range_board,F77)/SUMIFS(All_Attendances,site_level_range_board,$B84,date_range_board,F77),"0.0%"))),"")</f>
        <v>93.6%</v>
      </c>
      <c r="G84" s="165" t="str">
        <f ca="1">IFERROR(IF(ISNUMBER(FIND("ED only",$B$4)),IF(LEFT($B$7,6)="Number",SUMIFS(Comparison_Lookup,site_level_range_board,$B84,date_range_board,G77,inputdata!$F:$F,"ED"),TEXT(SUMIFS(Comparison_Lookup,site_level_range_board,$B84,date_range_board,G77,inputdata!$F:$F,"ED")/SUMIFS(All_Attendances,site_level_range_board,$B84,date_range_board,G77,inputdata!$F:$F,"ED"),"0.0%")),IF(LEFT($B$7,6)="Number",SUMIFS(Comparison_Lookup,site_level_range_board,$B84,date_range_board,G77),TEXT(SUMIFS(Comparison_Lookup,site_level_range_board,$B84,date_range_board,G77)/SUMIFS(All_Attendances,site_level_range_board,$B84,date_range_board,G77),"0.0%"))),"")</f>
        <v>91.6%</v>
      </c>
      <c r="H84" s="165" t="str">
        <f ca="1">IFERROR(IF(ISNUMBER(FIND("ED only",$B$4)),IF(LEFT($B$7,6)="Number",SUMIFS(Comparison_Lookup,site_level_range_board,$B84,date_range_board,H77,inputdata!$F:$F,"ED"),TEXT(SUMIFS(Comparison_Lookup,site_level_range_board,$B84,date_range_board,H77,inputdata!$F:$F,"ED")/SUMIFS(All_Attendances,site_level_range_board,$B84,date_range_board,H77,inputdata!$F:$F,"ED"),"0.0%")),IF(LEFT($B$7,6)="Number",SUMIFS(Comparison_Lookup,site_level_range_board,$B84,date_range_board,H77),TEXT(SUMIFS(Comparison_Lookup,site_level_range_board,$B84,date_range_board,H77)/SUMIFS(All_Attendances,site_level_range_board,$B84,date_range_board,H77),"0.0%"))),"")</f>
        <v>90.7%</v>
      </c>
      <c r="I84" s="165" t="str">
        <f ca="1">IFERROR(IF(ISNUMBER(FIND("ED only",$B$4)),IF(LEFT($B$7,6)="Number",SUMIFS(Comparison_Lookup,site_level_range_board,$B84,date_range_board,I77,inputdata!$F:$F,"ED"),TEXT(SUMIFS(Comparison_Lookup,site_level_range_board,$B84,date_range_board,I77,inputdata!$F:$F,"ED")/SUMIFS(All_Attendances,site_level_range_board,$B84,date_range_board,I77,inputdata!$F:$F,"ED"),"0.0%")),IF(LEFT($B$7,6)="Number",SUMIFS(Comparison_Lookup,site_level_range_board,$B84,date_range_board,I77),TEXT(SUMIFS(Comparison_Lookup,site_level_range_board,$B84,date_range_board,I77)/SUMIFS(All_Attendances,site_level_range_board,$B84,date_range_board,I77),"0.0%"))),"")</f>
        <v>91.1%</v>
      </c>
      <c r="J84" s="165" t="str">
        <f ca="1">IFERROR(IF(ISNUMBER(FIND("ED only",$B$4)),IF(LEFT($B$7,6)="Number",SUMIFS(Comparison_Lookup,site_level_range_board,$B84,date_range_board,J77,inputdata!$F:$F,"ED"),TEXT(SUMIFS(Comparison_Lookup,site_level_range_board,$B84,date_range_board,J77,inputdata!$F:$F,"ED")/SUMIFS(All_Attendances,site_level_range_board,$B84,date_range_board,J77,inputdata!$F:$F,"ED"),"0.0%")),IF(LEFT($B$7,6)="Number",SUMIFS(Comparison_Lookup,site_level_range_board,$B84,date_range_board,J77),TEXT(SUMIFS(Comparison_Lookup,site_level_range_board,$B84,date_range_board,J77)/SUMIFS(All_Attendances,site_level_range_board,$B84,date_range_board,J77),"0.0%"))),"")</f>
        <v>90.1%</v>
      </c>
      <c r="K84" s="165" t="str">
        <f ca="1">IFERROR(IF(ISNUMBER(FIND("ED only",$B$4)),IF(LEFT($B$7,6)="Number",SUMIFS(Comparison_Lookup,site_level_range_board,$B84,date_range_board,K77,inputdata!$F:$F,"ED"),TEXT(SUMIFS(Comparison_Lookup,site_level_range_board,$B84,date_range_board,K77,inputdata!$F:$F,"ED")/SUMIFS(All_Attendances,site_level_range_board,$B84,date_range_board,K77,inputdata!$F:$F,"ED"),"0.0%")),IF(LEFT($B$7,6)="Number",SUMIFS(Comparison_Lookup,site_level_range_board,$B84,date_range_board,K77),TEXT(SUMIFS(Comparison_Lookup,site_level_range_board,$B84,date_range_board,K77)/SUMIFS(All_Attendances,site_level_range_board,$B84,date_range_board,K77),"0.0%"))),"")</f>
        <v>87.4%</v>
      </c>
      <c r="L84" s="165" t="str">
        <f ca="1">IFERROR(IF(ISNUMBER(FIND("ED only",$B$4)),IF(LEFT($B$7,6)="Number",SUMIFS(Comparison_Lookup,site_level_range_board,$B84,date_range_board,L77,inputdata!$F:$F,"ED"),TEXT(SUMIFS(Comparison_Lookup,site_level_range_board,$B84,date_range_board,L77,inputdata!$F:$F,"ED")/SUMIFS(All_Attendances,site_level_range_board,$B84,date_range_board,L77,inputdata!$F:$F,"ED"),"0.0%")),IF(LEFT($B$7,6)="Number",SUMIFS(Comparison_Lookup,site_level_range_board,$B84,date_range_board,L77),TEXT(SUMIFS(Comparison_Lookup,site_level_range_board,$B84,date_range_board,L77)/SUMIFS(All_Attendances,site_level_range_board,$B84,date_range_board,L77),"0.0%"))),"")</f>
        <v>87.1%</v>
      </c>
      <c r="M84" s="165" t="str">
        <f ca="1">IFERROR(IF(ISNUMBER(FIND("ED only",$B$4)),IF(LEFT($B$7,6)="Number",SUMIFS(Comparison_Lookup,site_level_range_board,$B84,date_range_board,M77,inputdata!$F:$F,"ED"),TEXT(SUMIFS(Comparison_Lookup,site_level_range_board,$B84,date_range_board,M77,inputdata!$F:$F,"ED")/SUMIFS(All_Attendances,site_level_range_board,$B84,date_range_board,M77,inputdata!$F:$F,"ED"),"0.0%")),IF(LEFT($B$7,6)="Number",SUMIFS(Comparison_Lookup,site_level_range_board,$B84,date_range_board,M77),TEXT(SUMIFS(Comparison_Lookup,site_level_range_board,$B84,date_range_board,M77)/SUMIFS(All_Attendances,site_level_range_board,$B84,date_range_board,M77),"0.0%"))),"")</f>
        <v>87.4%</v>
      </c>
      <c r="N84" s="171" t="str">
        <f ca="1">IFERROR(IF(ISNUMBER(FIND("ED only",$B$4)),IF(LEFT($B$7,6)="Number",SUMIFS(Comparison_Lookup,site_level_range_board,$B84,date_range_board,N77,inputdata!$F:$F,"ED"),TEXT(SUMIFS(Comparison_Lookup,site_level_range_board,$B84,date_range_board,N77,inputdata!$F:$F,"ED")/SUMIFS(All_Attendances,site_level_range_board,$B84,date_range_board,N77,inputdata!$F:$F,"ED"),"0.0%")),IF(LEFT($B$7,6)="Number",SUMIFS(Comparison_Lookup,site_level_range_board,$B84,date_range_board,N77),TEXT(SUMIFS(Comparison_Lookup,site_level_range_board,$B84,date_range_board,N77)/SUMIFS(All_Attendances,site_level_range_board,$B84,date_range_board,N77),"0.0%"))),"")</f>
        <v>88.9%</v>
      </c>
    </row>
    <row r="85" spans="1:14" ht="15" customHeight="1" x14ac:dyDescent="0.2">
      <c r="A85" s="132"/>
      <c r="B85" s="152" t="s">
        <v>510</v>
      </c>
      <c r="C85" s="165" t="str">
        <f ca="1">IFERROR(IF(ISNUMBER(FIND("ED only",$B$4)),IF(LEFT($B$7,6)="Number",SUMIFS(Comparison_Lookup,site_level_range_board,$B85,date_range_board,C77,inputdata!$F:$F,"ED"),TEXT(SUMIFS(Comparison_Lookup,site_level_range_board,$B85,date_range_board,C77,inputdata!$F:$F,"ED")/SUMIFS(All_Attendances,site_level_range_board,$B85,date_range_board,C77,inputdata!$F:$F,"ED"),"0.0%")),IF(LEFT($B$7,6)="Number",SUMIFS(Comparison_Lookup,site_level_range_board,$B85,date_range_board,C77),TEXT(SUMIFS(Comparison_Lookup,site_level_range_board,$B85,date_range_board,C77)/SUMIFS(All_Attendances,site_level_range_board,$B85,date_range_board,C77),"0.0%"))),"")</f>
        <v>96.7%</v>
      </c>
      <c r="D85" s="165" t="str">
        <f ca="1">IFERROR(IF(ISNUMBER(FIND("ED only",$B$4)),IF(LEFT($B$7,6)="Number",SUMIFS(Comparison_Lookup,site_level_range_board,$B85,date_range_board,D77,inputdata!$F:$F,"ED"),TEXT(SUMIFS(Comparison_Lookup,site_level_range_board,$B85,date_range_board,D77,inputdata!$F:$F,"ED")/SUMIFS(All_Attendances,site_level_range_board,$B85,date_range_board,D77,inputdata!$F:$F,"ED"),"0.0%")),IF(LEFT($B$7,6)="Number",SUMIFS(Comparison_Lookup,site_level_range_board,$B85,date_range_board,D77),TEXT(SUMIFS(Comparison_Lookup,site_level_range_board,$B85,date_range_board,D77)/SUMIFS(All_Attendances,site_level_range_board,$B85,date_range_board,D77),"0.0%"))),"")</f>
        <v>97.0%</v>
      </c>
      <c r="E85" s="165" t="str">
        <f ca="1">IFERROR(IF(ISNUMBER(FIND("ED only",$B$4)),IF(LEFT($B$7,6)="Number",SUMIFS(Comparison_Lookup,site_level_range_board,$B85,date_range_board,E77,inputdata!$F:$F,"ED"),TEXT(SUMIFS(Comparison_Lookup,site_level_range_board,$B85,date_range_board,E77,inputdata!$F:$F,"ED")/SUMIFS(All_Attendances,site_level_range_board,$B85,date_range_board,E77,inputdata!$F:$F,"ED"),"0.0%")),IF(LEFT($B$7,6)="Number",SUMIFS(Comparison_Lookup,site_level_range_board,$B85,date_range_board,E77),TEXT(SUMIFS(Comparison_Lookup,site_level_range_board,$B85,date_range_board,E77)/SUMIFS(All_Attendances,site_level_range_board,$B85,date_range_board,E77),"0.0%"))),"")</f>
        <v>96.0%</v>
      </c>
      <c r="F85" s="165" t="str">
        <f ca="1">IFERROR(IF(ISNUMBER(FIND("ED only",$B$4)),IF(LEFT($B$7,6)="Number",SUMIFS(Comparison_Lookup,site_level_range_board,$B85,date_range_board,F77,inputdata!$F:$F,"ED"),TEXT(SUMIFS(Comparison_Lookup,site_level_range_board,$B85,date_range_board,F77,inputdata!$F:$F,"ED")/SUMIFS(All_Attendances,site_level_range_board,$B85,date_range_board,F77,inputdata!$F:$F,"ED"),"0.0%")),IF(LEFT($B$7,6)="Number",SUMIFS(Comparison_Lookup,site_level_range_board,$B85,date_range_board,F77),TEXT(SUMIFS(Comparison_Lookup,site_level_range_board,$B85,date_range_board,F77)/SUMIFS(All_Attendances,site_level_range_board,$B85,date_range_board,F77),"0.0%"))),"")</f>
        <v>97.5%</v>
      </c>
      <c r="G85" s="165" t="str">
        <f ca="1">IFERROR(IF(ISNUMBER(FIND("ED only",$B$4)),IF(LEFT($B$7,6)="Number",SUMIFS(Comparison_Lookup,site_level_range_board,$B85,date_range_board,G77,inputdata!$F:$F,"ED"),TEXT(SUMIFS(Comparison_Lookup,site_level_range_board,$B85,date_range_board,G77,inputdata!$F:$F,"ED")/SUMIFS(All_Attendances,site_level_range_board,$B85,date_range_board,G77,inputdata!$F:$F,"ED"),"0.0%")),IF(LEFT($B$7,6)="Number",SUMIFS(Comparison_Lookup,site_level_range_board,$B85,date_range_board,G77),TEXT(SUMIFS(Comparison_Lookup,site_level_range_board,$B85,date_range_board,G77)/SUMIFS(All_Attendances,site_level_range_board,$B85,date_range_board,G77),"0.0%"))),"")</f>
        <v>96.5%</v>
      </c>
      <c r="H85" s="165" t="str">
        <f ca="1">IFERROR(IF(ISNUMBER(FIND("ED only",$B$4)),IF(LEFT($B$7,6)="Number",SUMIFS(Comparison_Lookup,site_level_range_board,$B85,date_range_board,H77,inputdata!$F:$F,"ED"),TEXT(SUMIFS(Comparison_Lookup,site_level_range_board,$B85,date_range_board,H77,inputdata!$F:$F,"ED")/SUMIFS(All_Attendances,site_level_range_board,$B85,date_range_board,H77,inputdata!$F:$F,"ED"),"0.0%")),IF(LEFT($B$7,6)="Number",SUMIFS(Comparison_Lookup,site_level_range_board,$B85,date_range_board,H77),TEXT(SUMIFS(Comparison_Lookup,site_level_range_board,$B85,date_range_board,H77)/SUMIFS(All_Attendances,site_level_range_board,$B85,date_range_board,H77),"0.0%"))),"")</f>
        <v>96.4%</v>
      </c>
      <c r="I85" s="165" t="str">
        <f ca="1">IFERROR(IF(ISNUMBER(FIND("ED only",$B$4)),IF(LEFT($B$7,6)="Number",SUMIFS(Comparison_Lookup,site_level_range_board,$B85,date_range_board,I77,inputdata!$F:$F,"ED"),TEXT(SUMIFS(Comparison_Lookup,site_level_range_board,$B85,date_range_board,I77,inputdata!$F:$F,"ED")/SUMIFS(All_Attendances,site_level_range_board,$B85,date_range_board,I77,inputdata!$F:$F,"ED"),"0.0%")),IF(LEFT($B$7,6)="Number",SUMIFS(Comparison_Lookup,site_level_range_board,$B85,date_range_board,I77),TEXT(SUMIFS(Comparison_Lookup,site_level_range_board,$B85,date_range_board,I77)/SUMIFS(All_Attendances,site_level_range_board,$B85,date_range_board,I77),"0.0%"))),"")</f>
        <v>97.0%</v>
      </c>
      <c r="J85" s="165" t="str">
        <f ca="1">IFERROR(IF(ISNUMBER(FIND("ED only",$B$4)),IF(LEFT($B$7,6)="Number",SUMIFS(Comparison_Lookup,site_level_range_board,$B85,date_range_board,J77,inputdata!$F:$F,"ED"),TEXT(SUMIFS(Comparison_Lookup,site_level_range_board,$B85,date_range_board,J77,inputdata!$F:$F,"ED")/SUMIFS(All_Attendances,site_level_range_board,$B85,date_range_board,J77,inputdata!$F:$F,"ED"),"0.0%")),IF(LEFT($B$7,6)="Number",SUMIFS(Comparison_Lookup,site_level_range_board,$B85,date_range_board,J77),TEXT(SUMIFS(Comparison_Lookup,site_level_range_board,$B85,date_range_board,J77)/SUMIFS(All_Attendances,site_level_range_board,$B85,date_range_board,J77),"0.0%"))),"")</f>
        <v>97.3%</v>
      </c>
      <c r="K85" s="165" t="str">
        <f ca="1">IFERROR(IF(ISNUMBER(FIND("ED only",$B$4)),IF(LEFT($B$7,6)="Number",SUMIFS(Comparison_Lookup,site_level_range_board,$B85,date_range_board,K77,inputdata!$F:$F,"ED"),TEXT(SUMIFS(Comparison_Lookup,site_level_range_board,$B85,date_range_board,K77,inputdata!$F:$F,"ED")/SUMIFS(All_Attendances,site_level_range_board,$B85,date_range_board,K77,inputdata!$F:$F,"ED"),"0.0%")),IF(LEFT($B$7,6)="Number",SUMIFS(Comparison_Lookup,site_level_range_board,$B85,date_range_board,K77),TEXT(SUMIFS(Comparison_Lookup,site_level_range_board,$B85,date_range_board,K77)/SUMIFS(All_Attendances,site_level_range_board,$B85,date_range_board,K77),"0.0%"))),"")</f>
        <v>96.0%</v>
      </c>
      <c r="L85" s="165" t="str">
        <f ca="1">IFERROR(IF(ISNUMBER(FIND("ED only",$B$4)),IF(LEFT($B$7,6)="Number",SUMIFS(Comparison_Lookup,site_level_range_board,$B85,date_range_board,L77,inputdata!$F:$F,"ED"),TEXT(SUMIFS(Comparison_Lookup,site_level_range_board,$B85,date_range_board,L77,inputdata!$F:$F,"ED")/SUMIFS(All_Attendances,site_level_range_board,$B85,date_range_board,L77,inputdata!$F:$F,"ED"),"0.0%")),IF(LEFT($B$7,6)="Number",SUMIFS(Comparison_Lookup,site_level_range_board,$B85,date_range_board,L77),TEXT(SUMIFS(Comparison_Lookup,site_level_range_board,$B85,date_range_board,L77)/SUMIFS(All_Attendances,site_level_range_board,$B85,date_range_board,L77),"0.0%"))),"")</f>
        <v>95.1%</v>
      </c>
      <c r="M85" s="165" t="str">
        <f ca="1">IFERROR(IF(ISNUMBER(FIND("ED only",$B$4)),IF(LEFT($B$7,6)="Number",SUMIFS(Comparison_Lookup,site_level_range_board,$B85,date_range_board,M77,inputdata!$F:$F,"ED"),TEXT(SUMIFS(Comparison_Lookup,site_level_range_board,$B85,date_range_board,M77,inputdata!$F:$F,"ED")/SUMIFS(All_Attendances,site_level_range_board,$B85,date_range_board,M77,inputdata!$F:$F,"ED"),"0.0%")),IF(LEFT($B$7,6)="Number",SUMIFS(Comparison_Lookup,site_level_range_board,$B85,date_range_board,M77),TEXT(SUMIFS(Comparison_Lookup,site_level_range_board,$B85,date_range_board,M77)/SUMIFS(All_Attendances,site_level_range_board,$B85,date_range_board,M77),"0.0%"))),"")</f>
        <v>95.1%</v>
      </c>
      <c r="N85" s="171" t="str">
        <f ca="1">IFERROR(IF(ISNUMBER(FIND("ED only",$B$4)),IF(LEFT($B$7,6)="Number",SUMIFS(Comparison_Lookup,site_level_range_board,$B85,date_range_board,N77,inputdata!$F:$F,"ED"),TEXT(SUMIFS(Comparison_Lookup,site_level_range_board,$B85,date_range_board,N77,inputdata!$F:$F,"ED")/SUMIFS(All_Attendances,site_level_range_board,$B85,date_range_board,N77,inputdata!$F:$F,"ED"),"0.0%")),IF(LEFT($B$7,6)="Number",SUMIFS(Comparison_Lookup,site_level_range_board,$B85,date_range_board,N77),TEXT(SUMIFS(Comparison_Lookup,site_level_range_board,$B85,date_range_board,N77)/SUMIFS(All_Attendances,site_level_range_board,$B85,date_range_board,N77),"0.0%"))),"")</f>
        <v>96.4%</v>
      </c>
    </row>
    <row r="86" spans="1:14" ht="15" customHeight="1" x14ac:dyDescent="0.2">
      <c r="A86" s="132"/>
      <c r="B86" s="152" t="s">
        <v>551</v>
      </c>
      <c r="C86" s="165" t="str">
        <f ca="1">IFERROR(IF(ISNUMBER(FIND("ED only",$B$4)),IF(LEFT($B$7,6)="Number",SUMIFS(Comparison_Lookup,site_level_range_board,$B86,date_range_board,C77,inputdata!$F:$F,"ED"),TEXT(SUMIFS(Comparison_Lookup,site_level_range_board,$B86,date_range_board,C77,inputdata!$F:$F,"ED")/SUMIFS(All_Attendances,site_level_range_board,$B86,date_range_board,C77,inputdata!$F:$F,"ED"),"0.0%")),IF(LEFT($B$7,6)="Number",SUMIFS(Comparison_Lookup,site_level_range_board,$B86,date_range_board,C77),TEXT(SUMIFS(Comparison_Lookup,site_level_range_board,$B86,date_range_board,C77)/SUMIFS(All_Attendances,site_level_range_board,$B86,date_range_board,C77),"0.0%"))),"")</f>
        <v>89.8%</v>
      </c>
      <c r="D86" s="165" t="str">
        <f ca="1">IFERROR(IF(ISNUMBER(FIND("ED only",$B$4)),IF(LEFT($B$7,6)="Number",SUMIFS(Comparison_Lookup,site_level_range_board,$B86,date_range_board,D77,inputdata!$F:$F,"ED"),TEXT(SUMIFS(Comparison_Lookup,site_level_range_board,$B86,date_range_board,D77,inputdata!$F:$F,"ED")/SUMIFS(All_Attendances,site_level_range_board,$B86,date_range_board,D77,inputdata!$F:$F,"ED"),"0.0%")),IF(LEFT($B$7,6)="Number",SUMIFS(Comparison_Lookup,site_level_range_board,$B86,date_range_board,D77),TEXT(SUMIFS(Comparison_Lookup,site_level_range_board,$B86,date_range_board,D77)/SUMIFS(All_Attendances,site_level_range_board,$B86,date_range_board,D77),"0.0%"))),"")</f>
        <v>93.0%</v>
      </c>
      <c r="E86" s="165" t="str">
        <f ca="1">IFERROR(IF(ISNUMBER(FIND("ED only",$B$4)),IF(LEFT($B$7,6)="Number",SUMIFS(Comparison_Lookup,site_level_range_board,$B86,date_range_board,E77,inputdata!$F:$F,"ED"),TEXT(SUMIFS(Comparison_Lookup,site_level_range_board,$B86,date_range_board,E77,inputdata!$F:$F,"ED")/SUMIFS(All_Attendances,site_level_range_board,$B86,date_range_board,E77,inputdata!$F:$F,"ED"),"0.0%")),IF(LEFT($B$7,6)="Number",SUMIFS(Comparison_Lookup,site_level_range_board,$B86,date_range_board,E77),TEXT(SUMIFS(Comparison_Lookup,site_level_range_board,$B86,date_range_board,E77)/SUMIFS(All_Attendances,site_level_range_board,$B86,date_range_board,E77),"0.0%"))),"")</f>
        <v>90.6%</v>
      </c>
      <c r="F86" s="165" t="str">
        <f ca="1">IFERROR(IF(ISNUMBER(FIND("ED only",$B$4)),IF(LEFT($B$7,6)="Number",SUMIFS(Comparison_Lookup,site_level_range_board,$B86,date_range_board,F77,inputdata!$F:$F,"ED"),TEXT(SUMIFS(Comparison_Lookup,site_level_range_board,$B86,date_range_board,F77,inputdata!$F:$F,"ED")/SUMIFS(All_Attendances,site_level_range_board,$B86,date_range_board,F77,inputdata!$F:$F,"ED"),"0.0%")),IF(LEFT($B$7,6)="Number",SUMIFS(Comparison_Lookup,site_level_range_board,$B86,date_range_board,F77),TEXT(SUMIFS(Comparison_Lookup,site_level_range_board,$B86,date_range_board,F77)/SUMIFS(All_Attendances,site_level_range_board,$B86,date_range_board,F77),"0.0%"))),"")</f>
        <v>91.8%</v>
      </c>
      <c r="G86" s="165" t="str">
        <f ca="1">IFERROR(IF(ISNUMBER(FIND("ED only",$B$4)),IF(LEFT($B$7,6)="Number",SUMIFS(Comparison_Lookup,site_level_range_board,$B86,date_range_board,G77,inputdata!$F:$F,"ED"),TEXT(SUMIFS(Comparison_Lookup,site_level_range_board,$B86,date_range_board,G77,inputdata!$F:$F,"ED")/SUMIFS(All_Attendances,site_level_range_board,$B86,date_range_board,G77,inputdata!$F:$F,"ED"),"0.0%")),IF(LEFT($B$7,6)="Number",SUMIFS(Comparison_Lookup,site_level_range_board,$B86,date_range_board,G77),TEXT(SUMIFS(Comparison_Lookup,site_level_range_board,$B86,date_range_board,G77)/SUMIFS(All_Attendances,site_level_range_board,$B86,date_range_board,G77),"0.0%"))),"")</f>
        <v>93.2%</v>
      </c>
      <c r="H86" s="165" t="str">
        <f ca="1">IFERROR(IF(ISNUMBER(FIND("ED only",$B$4)),IF(LEFT($B$7,6)="Number",SUMIFS(Comparison_Lookup,site_level_range_board,$B86,date_range_board,H77,inputdata!$F:$F,"ED"),TEXT(SUMIFS(Comparison_Lookup,site_level_range_board,$B86,date_range_board,H77,inputdata!$F:$F,"ED")/SUMIFS(All_Attendances,site_level_range_board,$B86,date_range_board,H77,inputdata!$F:$F,"ED"),"0.0%")),IF(LEFT($B$7,6)="Number",SUMIFS(Comparison_Lookup,site_level_range_board,$B86,date_range_board,H77),TEXT(SUMIFS(Comparison_Lookup,site_level_range_board,$B86,date_range_board,H77)/SUMIFS(All_Attendances,site_level_range_board,$B86,date_range_board,H77),"0.0%"))),"")</f>
        <v>91.2%</v>
      </c>
      <c r="I86" s="165" t="str">
        <f ca="1">IFERROR(IF(ISNUMBER(FIND("ED only",$B$4)),IF(LEFT($B$7,6)="Number",SUMIFS(Comparison_Lookup,site_level_range_board,$B86,date_range_board,I77,inputdata!$F:$F,"ED"),TEXT(SUMIFS(Comparison_Lookup,site_level_range_board,$B86,date_range_board,I77,inputdata!$F:$F,"ED")/SUMIFS(All_Attendances,site_level_range_board,$B86,date_range_board,I77,inputdata!$F:$F,"ED"),"0.0%")),IF(LEFT($B$7,6)="Number",SUMIFS(Comparison_Lookup,site_level_range_board,$B86,date_range_board,I77),TEXT(SUMIFS(Comparison_Lookup,site_level_range_board,$B86,date_range_board,I77)/SUMIFS(All_Attendances,site_level_range_board,$B86,date_range_board,I77),"0.0%"))),"")</f>
        <v>91.1%</v>
      </c>
      <c r="J86" s="165" t="str">
        <f ca="1">IFERROR(IF(ISNUMBER(FIND("ED only",$B$4)),IF(LEFT($B$7,6)="Number",SUMIFS(Comparison_Lookup,site_level_range_board,$B86,date_range_board,J77,inputdata!$F:$F,"ED"),TEXT(SUMIFS(Comparison_Lookup,site_level_range_board,$B86,date_range_board,J77,inputdata!$F:$F,"ED")/SUMIFS(All_Attendances,site_level_range_board,$B86,date_range_board,J77,inputdata!$F:$F,"ED"),"0.0%")),IF(LEFT($B$7,6)="Number",SUMIFS(Comparison_Lookup,site_level_range_board,$B86,date_range_board,J77),TEXT(SUMIFS(Comparison_Lookup,site_level_range_board,$B86,date_range_board,J77)/SUMIFS(All_Attendances,site_level_range_board,$B86,date_range_board,J77),"0.0%"))),"")</f>
        <v>89.2%</v>
      </c>
      <c r="K86" s="165" t="str">
        <f ca="1">IFERROR(IF(ISNUMBER(FIND("ED only",$B$4)),IF(LEFT($B$7,6)="Number",SUMIFS(Comparison_Lookup,site_level_range_board,$B86,date_range_board,K77,inputdata!$F:$F,"ED"),TEXT(SUMIFS(Comparison_Lookup,site_level_range_board,$B86,date_range_board,K77,inputdata!$F:$F,"ED")/SUMIFS(All_Attendances,site_level_range_board,$B86,date_range_board,K77,inputdata!$F:$F,"ED"),"0.0%")),IF(LEFT($B$7,6)="Number",SUMIFS(Comparison_Lookup,site_level_range_board,$B86,date_range_board,K77),TEXT(SUMIFS(Comparison_Lookup,site_level_range_board,$B86,date_range_board,K77)/SUMIFS(All_Attendances,site_level_range_board,$B86,date_range_board,K77),"0.0%"))),"")</f>
        <v>90.5%</v>
      </c>
      <c r="L86" s="165" t="str">
        <f ca="1">IFERROR(IF(ISNUMBER(FIND("ED only",$B$4)),IF(LEFT($B$7,6)="Number",SUMIFS(Comparison_Lookup,site_level_range_board,$B86,date_range_board,L77,inputdata!$F:$F,"ED"),TEXT(SUMIFS(Comparison_Lookup,site_level_range_board,$B86,date_range_board,L77,inputdata!$F:$F,"ED")/SUMIFS(All_Attendances,site_level_range_board,$B86,date_range_board,L77,inputdata!$F:$F,"ED"),"0.0%")),IF(LEFT($B$7,6)="Number",SUMIFS(Comparison_Lookup,site_level_range_board,$B86,date_range_board,L77),TEXT(SUMIFS(Comparison_Lookup,site_level_range_board,$B86,date_range_board,L77)/SUMIFS(All_Attendances,site_level_range_board,$B86,date_range_board,L77),"0.0%"))),"")</f>
        <v>87.1%</v>
      </c>
      <c r="M86" s="165" t="str">
        <f ca="1">IFERROR(IF(ISNUMBER(FIND("ED only",$B$4)),IF(LEFT($B$7,6)="Number",SUMIFS(Comparison_Lookup,site_level_range_board,$B86,date_range_board,M77,inputdata!$F:$F,"ED"),TEXT(SUMIFS(Comparison_Lookup,site_level_range_board,$B86,date_range_board,M77,inputdata!$F:$F,"ED")/SUMIFS(All_Attendances,site_level_range_board,$B86,date_range_board,M77,inputdata!$F:$F,"ED"),"0.0%")),IF(LEFT($B$7,6)="Number",SUMIFS(Comparison_Lookup,site_level_range_board,$B86,date_range_board,M77),TEXT(SUMIFS(Comparison_Lookup,site_level_range_board,$B86,date_range_board,M77)/SUMIFS(All_Attendances,site_level_range_board,$B86,date_range_board,M77),"0.0%"))),"")</f>
        <v>89.5%</v>
      </c>
      <c r="N86" s="171" t="str">
        <f ca="1">IFERROR(IF(ISNUMBER(FIND("ED only",$B$4)),IF(LEFT($B$7,6)="Number",SUMIFS(Comparison_Lookup,site_level_range_board,$B86,date_range_board,N77,inputdata!$F:$F,"ED"),TEXT(SUMIFS(Comparison_Lookup,site_level_range_board,$B86,date_range_board,N77,inputdata!$F:$F,"ED")/SUMIFS(All_Attendances,site_level_range_board,$B86,date_range_board,N77,inputdata!$F:$F,"ED"),"0.0%")),IF(LEFT($B$7,6)="Number",SUMIFS(Comparison_Lookup,site_level_range_board,$B86,date_range_board,N77),TEXT(SUMIFS(Comparison_Lookup,site_level_range_board,$B86,date_range_board,N77)/SUMIFS(All_Attendances,site_level_range_board,$B86,date_range_board,N77),"0.0%"))),"")</f>
        <v>91.7%</v>
      </c>
    </row>
    <row r="87" spans="1:14" ht="15" customHeight="1" x14ac:dyDescent="0.2">
      <c r="A87" s="132"/>
      <c r="B87" s="152" t="s">
        <v>562</v>
      </c>
      <c r="C87" s="165" t="str">
        <f ca="1">IFERROR(IF(ISNUMBER(FIND("ED only",$B$4)),IF(LEFT($B$7,6)="Number",SUMIFS(Comparison_Lookup,site_level_range_board,$B87,date_range_board,C77,inputdata!$F:$F,"ED"),TEXT(SUMIFS(Comparison_Lookup,site_level_range_board,$B87,date_range_board,C77,inputdata!$F:$F,"ED")/SUMIFS(All_Attendances,site_level_range_board,$B87,date_range_board,C77,inputdata!$F:$F,"ED"),"0.0%")),IF(LEFT($B$7,6)="Number",SUMIFS(Comparison_Lookup,site_level_range_board,$B87,date_range_board,C77),TEXT(SUMIFS(Comparison_Lookup,site_level_range_board,$B87,date_range_board,C77)/SUMIFS(All_Attendances,site_level_range_board,$B87,date_range_board,C77),"0.0%"))),"")</f>
        <v>82.4%</v>
      </c>
      <c r="D87" s="165" t="str">
        <f ca="1">IFERROR(IF(ISNUMBER(FIND("ED only",$B$4)),IF(LEFT($B$7,6)="Number",SUMIFS(Comparison_Lookup,site_level_range_board,$B87,date_range_board,D77,inputdata!$F:$F,"ED"),TEXT(SUMIFS(Comparison_Lookup,site_level_range_board,$B87,date_range_board,D77,inputdata!$F:$F,"ED")/SUMIFS(All_Attendances,site_level_range_board,$B87,date_range_board,D77,inputdata!$F:$F,"ED"),"0.0%")),IF(LEFT($B$7,6)="Number",SUMIFS(Comparison_Lookup,site_level_range_board,$B87,date_range_board,D77),TEXT(SUMIFS(Comparison_Lookup,site_level_range_board,$B87,date_range_board,D77)/SUMIFS(All_Attendances,site_level_range_board,$B87,date_range_board,D77),"0.0%"))),"")</f>
        <v>86.2%</v>
      </c>
      <c r="E87" s="165" t="str">
        <f ca="1">IFERROR(IF(ISNUMBER(FIND("ED only",$B$4)),IF(LEFT($B$7,6)="Number",SUMIFS(Comparison_Lookup,site_level_range_board,$B87,date_range_board,E77,inputdata!$F:$F,"ED"),TEXT(SUMIFS(Comparison_Lookup,site_level_range_board,$B87,date_range_board,E77,inputdata!$F:$F,"ED")/SUMIFS(All_Attendances,site_level_range_board,$B87,date_range_board,E77,inputdata!$F:$F,"ED"),"0.0%")),IF(LEFT($B$7,6)="Number",SUMIFS(Comparison_Lookup,site_level_range_board,$B87,date_range_board,E77),TEXT(SUMIFS(Comparison_Lookup,site_level_range_board,$B87,date_range_board,E77)/SUMIFS(All_Attendances,site_level_range_board,$B87,date_range_board,E77),"0.0%"))),"")</f>
        <v>85.7%</v>
      </c>
      <c r="F87" s="165" t="str">
        <f ca="1">IFERROR(IF(ISNUMBER(FIND("ED only",$B$4)),IF(LEFT($B$7,6)="Number",SUMIFS(Comparison_Lookup,site_level_range_board,$B87,date_range_board,F77,inputdata!$F:$F,"ED"),TEXT(SUMIFS(Comparison_Lookup,site_level_range_board,$B87,date_range_board,F77,inputdata!$F:$F,"ED")/SUMIFS(All_Attendances,site_level_range_board,$B87,date_range_board,F77,inputdata!$F:$F,"ED"),"0.0%")),IF(LEFT($B$7,6)="Number",SUMIFS(Comparison_Lookup,site_level_range_board,$B87,date_range_board,F77),TEXT(SUMIFS(Comparison_Lookup,site_level_range_board,$B87,date_range_board,F77)/SUMIFS(All_Attendances,site_level_range_board,$B87,date_range_board,F77),"0.0%"))),"")</f>
        <v>85.6%</v>
      </c>
      <c r="G87" s="165" t="str">
        <f ca="1">IFERROR(IF(ISNUMBER(FIND("ED only",$B$4)),IF(LEFT($B$7,6)="Number",SUMIFS(Comparison_Lookup,site_level_range_board,$B87,date_range_board,G77,inputdata!$F:$F,"ED"),TEXT(SUMIFS(Comparison_Lookup,site_level_range_board,$B87,date_range_board,G77,inputdata!$F:$F,"ED")/SUMIFS(All_Attendances,site_level_range_board,$B87,date_range_board,G77,inputdata!$F:$F,"ED"),"0.0%")),IF(LEFT($B$7,6)="Number",SUMIFS(Comparison_Lookup,site_level_range_board,$B87,date_range_board,G77),TEXT(SUMIFS(Comparison_Lookup,site_level_range_board,$B87,date_range_board,G77)/SUMIFS(All_Attendances,site_level_range_board,$B87,date_range_board,G77),"0.0%"))),"")</f>
        <v>84.6%</v>
      </c>
      <c r="H87" s="165" t="str">
        <f ca="1">IFERROR(IF(ISNUMBER(FIND("ED only",$B$4)),IF(LEFT($B$7,6)="Number",SUMIFS(Comparison_Lookup,site_level_range_board,$B87,date_range_board,H77,inputdata!$F:$F,"ED"),TEXT(SUMIFS(Comparison_Lookup,site_level_range_board,$B87,date_range_board,H77,inputdata!$F:$F,"ED")/SUMIFS(All_Attendances,site_level_range_board,$B87,date_range_board,H77,inputdata!$F:$F,"ED"),"0.0%")),IF(LEFT($B$7,6)="Number",SUMIFS(Comparison_Lookup,site_level_range_board,$B87,date_range_board,H77),TEXT(SUMIFS(Comparison_Lookup,site_level_range_board,$B87,date_range_board,H77)/SUMIFS(All_Attendances,site_level_range_board,$B87,date_range_board,H77),"0.0%"))),"")</f>
        <v>83.5%</v>
      </c>
      <c r="I87" s="165" t="str">
        <f ca="1">IFERROR(IF(ISNUMBER(FIND("ED only",$B$4)),IF(LEFT($B$7,6)="Number",SUMIFS(Comparison_Lookup,site_level_range_board,$B87,date_range_board,I77,inputdata!$F:$F,"ED"),TEXT(SUMIFS(Comparison_Lookup,site_level_range_board,$B87,date_range_board,I77,inputdata!$F:$F,"ED")/SUMIFS(All_Attendances,site_level_range_board,$B87,date_range_board,I77,inputdata!$F:$F,"ED"),"0.0%")),IF(LEFT($B$7,6)="Number",SUMIFS(Comparison_Lookup,site_level_range_board,$B87,date_range_board,I77),TEXT(SUMIFS(Comparison_Lookup,site_level_range_board,$B87,date_range_board,I77)/SUMIFS(All_Attendances,site_level_range_board,$B87,date_range_board,I77),"0.0%"))),"")</f>
        <v>89.3%</v>
      </c>
      <c r="J87" s="165" t="str">
        <f ca="1">IFERROR(IF(ISNUMBER(FIND("ED only",$B$4)),IF(LEFT($B$7,6)="Number",SUMIFS(Comparison_Lookup,site_level_range_board,$B87,date_range_board,J77,inputdata!$F:$F,"ED"),TEXT(SUMIFS(Comparison_Lookup,site_level_range_board,$B87,date_range_board,J77,inputdata!$F:$F,"ED")/SUMIFS(All_Attendances,site_level_range_board,$B87,date_range_board,J77,inputdata!$F:$F,"ED"),"0.0%")),IF(LEFT($B$7,6)="Number",SUMIFS(Comparison_Lookup,site_level_range_board,$B87,date_range_board,J77),TEXT(SUMIFS(Comparison_Lookup,site_level_range_board,$B87,date_range_board,J77)/SUMIFS(All_Attendances,site_level_range_board,$B87,date_range_board,J77),"0.0%"))),"")</f>
        <v>89.2%</v>
      </c>
      <c r="K87" s="165" t="str">
        <f ca="1">IFERROR(IF(ISNUMBER(FIND("ED only",$B$4)),IF(LEFT($B$7,6)="Number",SUMIFS(Comparison_Lookup,site_level_range_board,$B87,date_range_board,K77,inputdata!$F:$F,"ED"),TEXT(SUMIFS(Comparison_Lookup,site_level_range_board,$B87,date_range_board,K77,inputdata!$F:$F,"ED")/SUMIFS(All_Attendances,site_level_range_board,$B87,date_range_board,K77,inputdata!$F:$F,"ED"),"0.0%")),IF(LEFT($B$7,6)="Number",SUMIFS(Comparison_Lookup,site_level_range_board,$B87,date_range_board,K77),TEXT(SUMIFS(Comparison_Lookup,site_level_range_board,$B87,date_range_board,K77)/SUMIFS(All_Attendances,site_level_range_board,$B87,date_range_board,K77),"0.0%"))),"")</f>
        <v>85.8%</v>
      </c>
      <c r="L87" s="165" t="str">
        <f ca="1">IFERROR(IF(ISNUMBER(FIND("ED only",$B$4)),IF(LEFT($B$7,6)="Number",SUMIFS(Comparison_Lookup,site_level_range_board,$B87,date_range_board,L77,inputdata!$F:$F,"ED"),TEXT(SUMIFS(Comparison_Lookup,site_level_range_board,$B87,date_range_board,L77,inputdata!$F:$F,"ED")/SUMIFS(All_Attendances,site_level_range_board,$B87,date_range_board,L77,inputdata!$F:$F,"ED"),"0.0%")),IF(LEFT($B$7,6)="Number",SUMIFS(Comparison_Lookup,site_level_range_board,$B87,date_range_board,L77),TEXT(SUMIFS(Comparison_Lookup,site_level_range_board,$B87,date_range_board,L77)/SUMIFS(All_Attendances,site_level_range_board,$B87,date_range_board,L77),"0.0%"))),"")</f>
        <v>85.7%</v>
      </c>
      <c r="M87" s="165" t="str">
        <f ca="1">IFERROR(IF(ISNUMBER(FIND("ED only",$B$4)),IF(LEFT($B$7,6)="Number",SUMIFS(Comparison_Lookup,site_level_range_board,$B87,date_range_board,M77,inputdata!$F:$F,"ED"),TEXT(SUMIFS(Comparison_Lookup,site_level_range_board,$B87,date_range_board,M77,inputdata!$F:$F,"ED")/SUMIFS(All_Attendances,site_level_range_board,$B87,date_range_board,M77,inputdata!$F:$F,"ED"),"0.0%")),IF(LEFT($B$7,6)="Number",SUMIFS(Comparison_Lookup,site_level_range_board,$B87,date_range_board,M77),TEXT(SUMIFS(Comparison_Lookup,site_level_range_board,$B87,date_range_board,M77)/SUMIFS(All_Attendances,site_level_range_board,$B87,date_range_board,M77),"0.0%"))),"")</f>
        <v>84.9%</v>
      </c>
      <c r="N87" s="171" t="str">
        <f ca="1">IFERROR(IF(ISNUMBER(FIND("ED only",$B$4)),IF(LEFT($B$7,6)="Number",SUMIFS(Comparison_Lookup,site_level_range_board,$B87,date_range_board,N77,inputdata!$F:$F,"ED"),TEXT(SUMIFS(Comparison_Lookup,site_level_range_board,$B87,date_range_board,N77,inputdata!$F:$F,"ED")/SUMIFS(All_Attendances,site_level_range_board,$B87,date_range_board,N77,inputdata!$F:$F,"ED"),"0.0%")),IF(LEFT($B$7,6)="Number",SUMIFS(Comparison_Lookup,site_level_range_board,$B87,date_range_board,N77),TEXT(SUMIFS(Comparison_Lookup,site_level_range_board,$B87,date_range_board,N77)/SUMIFS(All_Attendances,site_level_range_board,$B87,date_range_board,N77),"0.0%"))),"")</f>
        <v>87.7%</v>
      </c>
    </row>
    <row r="88" spans="1:14" ht="15" customHeight="1" x14ac:dyDescent="0.2">
      <c r="A88" s="132"/>
      <c r="B88" s="152" t="s">
        <v>571</v>
      </c>
      <c r="C88" s="165" t="str">
        <f ca="1">IFERROR(IF(ISNUMBER(FIND("ED only",$B$4)),IF(LEFT($B$7,6)="Number",SUMIFS(Comparison_Lookup,site_level_range_board,$B88,date_range_board,C77,inputdata!$F:$F,"ED"),TEXT(SUMIFS(Comparison_Lookup,site_level_range_board,$B88,date_range_board,C77,inputdata!$F:$F,"ED")/SUMIFS(All_Attendances,site_level_range_board,$B88,date_range_board,C77,inputdata!$F:$F,"ED"),"0.0%")),IF(LEFT($B$7,6)="Number",SUMIFS(Comparison_Lookup,site_level_range_board,$B88,date_range_board,C77),TEXT(SUMIFS(Comparison_Lookup,site_level_range_board,$B88,date_range_board,C77)/SUMIFS(All_Attendances,site_level_range_board,$B88,date_range_board,C77),"0.0%"))),"")</f>
        <v>95.5%</v>
      </c>
      <c r="D88" s="165" t="str">
        <f ca="1">IFERROR(IF(ISNUMBER(FIND("ED only",$B$4)),IF(LEFT($B$7,6)="Number",SUMIFS(Comparison_Lookup,site_level_range_board,$B88,date_range_board,D77,inputdata!$F:$F,"ED"),TEXT(SUMIFS(Comparison_Lookup,site_level_range_board,$B88,date_range_board,D77,inputdata!$F:$F,"ED")/SUMIFS(All_Attendances,site_level_range_board,$B88,date_range_board,D77,inputdata!$F:$F,"ED"),"0.0%")),IF(LEFT($B$7,6)="Number",SUMIFS(Comparison_Lookup,site_level_range_board,$B88,date_range_board,D77),TEXT(SUMIFS(Comparison_Lookup,site_level_range_board,$B88,date_range_board,D77)/SUMIFS(All_Attendances,site_level_range_board,$B88,date_range_board,D77),"0.0%"))),"")</f>
        <v>96.6%</v>
      </c>
      <c r="E88" s="165" t="str">
        <f ca="1">IFERROR(IF(ISNUMBER(FIND("ED only",$B$4)),IF(LEFT($B$7,6)="Number",SUMIFS(Comparison_Lookup,site_level_range_board,$B88,date_range_board,E77,inputdata!$F:$F,"ED"),TEXT(SUMIFS(Comparison_Lookup,site_level_range_board,$B88,date_range_board,E77,inputdata!$F:$F,"ED")/SUMIFS(All_Attendances,site_level_range_board,$B88,date_range_board,E77,inputdata!$F:$F,"ED"),"0.0%")),IF(LEFT($B$7,6)="Number",SUMIFS(Comparison_Lookup,site_level_range_board,$B88,date_range_board,E77),TEXT(SUMIFS(Comparison_Lookup,site_level_range_board,$B88,date_range_board,E77)/SUMIFS(All_Attendances,site_level_range_board,$B88,date_range_board,E77),"0.0%"))),"")</f>
        <v>97.7%</v>
      </c>
      <c r="F88" s="165" t="str">
        <f ca="1">IFERROR(IF(ISNUMBER(FIND("ED only",$B$4)),IF(LEFT($B$7,6)="Number",SUMIFS(Comparison_Lookup,site_level_range_board,$B88,date_range_board,F77,inputdata!$F:$F,"ED"),TEXT(SUMIFS(Comparison_Lookup,site_level_range_board,$B88,date_range_board,F77,inputdata!$F:$F,"ED")/SUMIFS(All_Attendances,site_level_range_board,$B88,date_range_board,F77,inputdata!$F:$F,"ED"),"0.0%")),IF(LEFT($B$7,6)="Number",SUMIFS(Comparison_Lookup,site_level_range_board,$B88,date_range_board,F77),TEXT(SUMIFS(Comparison_Lookup,site_level_range_board,$B88,date_range_board,F77)/SUMIFS(All_Attendances,site_level_range_board,$B88,date_range_board,F77),"0.0%"))),"")</f>
        <v>97.5%</v>
      </c>
      <c r="G88" s="165" t="str">
        <f ca="1">IFERROR(IF(ISNUMBER(FIND("ED only",$B$4)),IF(LEFT($B$7,6)="Number",SUMIFS(Comparison_Lookup,site_level_range_board,$B88,date_range_board,G77,inputdata!$F:$F,"ED"),TEXT(SUMIFS(Comparison_Lookup,site_level_range_board,$B88,date_range_board,G77,inputdata!$F:$F,"ED")/SUMIFS(All_Attendances,site_level_range_board,$B88,date_range_board,G77,inputdata!$F:$F,"ED"),"0.0%")),IF(LEFT($B$7,6)="Number",SUMIFS(Comparison_Lookup,site_level_range_board,$B88,date_range_board,G77),TEXT(SUMIFS(Comparison_Lookup,site_level_range_board,$B88,date_range_board,G77)/SUMIFS(All_Attendances,site_level_range_board,$B88,date_range_board,G77),"0.0%"))),"")</f>
        <v>96.6%</v>
      </c>
      <c r="H88" s="165" t="str">
        <f ca="1">IFERROR(IF(ISNUMBER(FIND("ED only",$B$4)),IF(LEFT($B$7,6)="Number",SUMIFS(Comparison_Lookup,site_level_range_board,$B88,date_range_board,H77,inputdata!$F:$F,"ED"),TEXT(SUMIFS(Comparison_Lookup,site_level_range_board,$B88,date_range_board,H77,inputdata!$F:$F,"ED")/SUMIFS(All_Attendances,site_level_range_board,$B88,date_range_board,H77,inputdata!$F:$F,"ED"),"0.0%")),IF(LEFT($B$7,6)="Number",SUMIFS(Comparison_Lookup,site_level_range_board,$B88,date_range_board,H77),TEXT(SUMIFS(Comparison_Lookup,site_level_range_board,$B88,date_range_board,H77)/SUMIFS(All_Attendances,site_level_range_board,$B88,date_range_board,H77),"0.0%"))),"")</f>
        <v>93.7%</v>
      </c>
      <c r="I88" s="165" t="str">
        <f ca="1">IFERROR(IF(ISNUMBER(FIND("ED only",$B$4)),IF(LEFT($B$7,6)="Number",SUMIFS(Comparison_Lookup,site_level_range_board,$B88,date_range_board,I77,inputdata!$F:$F,"ED"),TEXT(SUMIFS(Comparison_Lookup,site_level_range_board,$B88,date_range_board,I77,inputdata!$F:$F,"ED")/SUMIFS(All_Attendances,site_level_range_board,$B88,date_range_board,I77,inputdata!$F:$F,"ED"),"0.0%")),IF(LEFT($B$7,6)="Number",SUMIFS(Comparison_Lookup,site_level_range_board,$B88,date_range_board,I77),TEXT(SUMIFS(Comparison_Lookup,site_level_range_board,$B88,date_range_board,I77)/SUMIFS(All_Attendances,site_level_range_board,$B88,date_range_board,I77),"0.0%"))),"")</f>
        <v>95.3%</v>
      </c>
      <c r="J88" s="165" t="str">
        <f ca="1">IFERROR(IF(ISNUMBER(FIND("ED only",$B$4)),IF(LEFT($B$7,6)="Number",SUMIFS(Comparison_Lookup,site_level_range_board,$B88,date_range_board,J77,inputdata!$F:$F,"ED"),TEXT(SUMIFS(Comparison_Lookup,site_level_range_board,$B88,date_range_board,J77,inputdata!$F:$F,"ED")/SUMIFS(All_Attendances,site_level_range_board,$B88,date_range_board,J77,inputdata!$F:$F,"ED"),"0.0%")),IF(LEFT($B$7,6)="Number",SUMIFS(Comparison_Lookup,site_level_range_board,$B88,date_range_board,J77),TEXT(SUMIFS(Comparison_Lookup,site_level_range_board,$B88,date_range_board,J77)/SUMIFS(All_Attendances,site_level_range_board,$B88,date_range_board,J77),"0.0%"))),"")</f>
        <v>94.8%</v>
      </c>
      <c r="K88" s="165" t="str">
        <f ca="1">IFERROR(IF(ISNUMBER(FIND("ED only",$B$4)),IF(LEFT($B$7,6)="Number",SUMIFS(Comparison_Lookup,site_level_range_board,$B88,date_range_board,K77,inputdata!$F:$F,"ED"),TEXT(SUMIFS(Comparison_Lookup,site_level_range_board,$B88,date_range_board,K77,inputdata!$F:$F,"ED")/SUMIFS(All_Attendances,site_level_range_board,$B88,date_range_board,K77,inputdata!$F:$F,"ED"),"0.0%")),IF(LEFT($B$7,6)="Number",SUMIFS(Comparison_Lookup,site_level_range_board,$B88,date_range_board,K77),TEXT(SUMIFS(Comparison_Lookup,site_level_range_board,$B88,date_range_board,K77)/SUMIFS(All_Attendances,site_level_range_board,$B88,date_range_board,K77),"0.0%"))),"")</f>
        <v>94.6%</v>
      </c>
      <c r="L88" s="165" t="str">
        <f ca="1">IFERROR(IF(ISNUMBER(FIND("ED only",$B$4)),IF(LEFT($B$7,6)="Number",SUMIFS(Comparison_Lookup,site_level_range_board,$B88,date_range_board,L77,inputdata!$F:$F,"ED"),TEXT(SUMIFS(Comparison_Lookup,site_level_range_board,$B88,date_range_board,L77,inputdata!$F:$F,"ED")/SUMIFS(All_Attendances,site_level_range_board,$B88,date_range_board,L77,inputdata!$F:$F,"ED"),"0.0%")),IF(LEFT($B$7,6)="Number",SUMIFS(Comparison_Lookup,site_level_range_board,$B88,date_range_board,L77),TEXT(SUMIFS(Comparison_Lookup,site_level_range_board,$B88,date_range_board,L77)/SUMIFS(All_Attendances,site_level_range_board,$B88,date_range_board,L77),"0.0%"))),"")</f>
        <v>96.0%</v>
      </c>
      <c r="M88" s="165" t="str">
        <f ca="1">IFERROR(IF(ISNUMBER(FIND("ED only",$B$4)),IF(LEFT($B$7,6)="Number",SUMIFS(Comparison_Lookup,site_level_range_board,$B88,date_range_board,M77,inputdata!$F:$F,"ED"),TEXT(SUMIFS(Comparison_Lookup,site_level_range_board,$B88,date_range_board,M77,inputdata!$F:$F,"ED")/SUMIFS(All_Attendances,site_level_range_board,$B88,date_range_board,M77,inputdata!$F:$F,"ED"),"0.0%")),IF(LEFT($B$7,6)="Number",SUMIFS(Comparison_Lookup,site_level_range_board,$B88,date_range_board,M77),TEXT(SUMIFS(Comparison_Lookup,site_level_range_board,$B88,date_range_board,M77)/SUMIFS(All_Attendances,site_level_range_board,$B88,date_range_board,M77),"0.0%"))),"")</f>
        <v>95.6%</v>
      </c>
      <c r="N88" s="171" t="str">
        <f ca="1">IFERROR(IF(ISNUMBER(FIND("ED only",$B$4)),IF(LEFT($B$7,6)="Number",SUMIFS(Comparison_Lookup,site_level_range_board,$B88,date_range_board,N77,inputdata!$F:$F,"ED"),TEXT(SUMIFS(Comparison_Lookup,site_level_range_board,$B88,date_range_board,N77,inputdata!$F:$F,"ED")/SUMIFS(All_Attendances,site_level_range_board,$B88,date_range_board,N77,inputdata!$F:$F,"ED"),"0.0%")),IF(LEFT($B$7,6)="Number",SUMIFS(Comparison_Lookup,site_level_range_board,$B88,date_range_board,N77),TEXT(SUMIFS(Comparison_Lookup,site_level_range_board,$B88,date_range_board,N77)/SUMIFS(All_Attendances,site_level_range_board,$B88,date_range_board,N77),"0.0%"))),"")</f>
        <v>93.7%</v>
      </c>
    </row>
    <row r="89" spans="1:14" ht="15" customHeight="1" x14ac:dyDescent="0.2">
      <c r="A89" s="132"/>
      <c r="B89" s="152" t="s">
        <v>574</v>
      </c>
      <c r="C89" s="165" t="str">
        <f ca="1">IFERROR(IF(ISNUMBER(FIND("ED only",$B$4)),IF(LEFT($B$7,6)="Number",SUMIFS(Comparison_Lookup,site_level_range_board,$B89,date_range_board,C77,inputdata!$F:$F,"ED"),TEXT(SUMIFS(Comparison_Lookup,site_level_range_board,$B89,date_range_board,C77,inputdata!$F:$F,"ED")/SUMIFS(All_Attendances,site_level_range_board,$B89,date_range_board,C77,inputdata!$F:$F,"ED"),"0.0%")),IF(LEFT($B$7,6)="Number",SUMIFS(Comparison_Lookup,site_level_range_board,$B89,date_range_board,C77),TEXT(SUMIFS(Comparison_Lookup,site_level_range_board,$B89,date_range_board,C77)/SUMIFS(All_Attendances,site_level_range_board,$B89,date_range_board,C77),"0.0%"))),"")</f>
        <v>95.5%</v>
      </c>
      <c r="D89" s="165" t="str">
        <f ca="1">IFERROR(IF(ISNUMBER(FIND("ED only",$B$4)),IF(LEFT($B$7,6)="Number",SUMIFS(Comparison_Lookup,site_level_range_board,$B89,date_range_board,D77,inputdata!$F:$F,"ED"),TEXT(SUMIFS(Comparison_Lookup,site_level_range_board,$B89,date_range_board,D77,inputdata!$F:$F,"ED")/SUMIFS(All_Attendances,site_level_range_board,$B89,date_range_board,D77,inputdata!$F:$F,"ED"),"0.0%")),IF(LEFT($B$7,6)="Number",SUMIFS(Comparison_Lookup,site_level_range_board,$B89,date_range_board,D77),TEXT(SUMIFS(Comparison_Lookup,site_level_range_board,$B89,date_range_board,D77)/SUMIFS(All_Attendances,site_level_range_board,$B89,date_range_board,D77),"0.0%"))),"")</f>
        <v>96.5%</v>
      </c>
      <c r="E89" s="165" t="str">
        <f ca="1">IFERROR(IF(ISNUMBER(FIND("ED only",$B$4)),IF(LEFT($B$7,6)="Number",SUMIFS(Comparison_Lookup,site_level_range_board,$B89,date_range_board,E77,inputdata!$F:$F,"ED"),TEXT(SUMIFS(Comparison_Lookup,site_level_range_board,$B89,date_range_board,E77,inputdata!$F:$F,"ED")/SUMIFS(All_Attendances,site_level_range_board,$B89,date_range_board,E77,inputdata!$F:$F,"ED"),"0.0%")),IF(LEFT($B$7,6)="Number",SUMIFS(Comparison_Lookup,site_level_range_board,$B89,date_range_board,E77),TEXT(SUMIFS(Comparison_Lookup,site_level_range_board,$B89,date_range_board,E77)/SUMIFS(All_Attendances,site_level_range_board,$B89,date_range_board,E77),"0.0%"))),"")</f>
        <v>95.9%</v>
      </c>
      <c r="F89" s="165" t="str">
        <f ca="1">IFERROR(IF(ISNUMBER(FIND("ED only",$B$4)),IF(LEFT($B$7,6)="Number",SUMIFS(Comparison_Lookup,site_level_range_board,$B89,date_range_board,F77,inputdata!$F:$F,"ED"),TEXT(SUMIFS(Comparison_Lookup,site_level_range_board,$B89,date_range_board,F77,inputdata!$F:$F,"ED")/SUMIFS(All_Attendances,site_level_range_board,$B89,date_range_board,F77,inputdata!$F:$F,"ED"),"0.0%")),IF(LEFT($B$7,6)="Number",SUMIFS(Comparison_Lookup,site_level_range_board,$B89,date_range_board,F77),TEXT(SUMIFS(Comparison_Lookup,site_level_range_board,$B89,date_range_board,F77)/SUMIFS(All_Attendances,site_level_range_board,$B89,date_range_board,F77),"0.0%"))),"")</f>
        <v>94.8%</v>
      </c>
      <c r="G89" s="165" t="str">
        <f ca="1">IFERROR(IF(ISNUMBER(FIND("ED only",$B$4)),IF(LEFT($B$7,6)="Number",SUMIFS(Comparison_Lookup,site_level_range_board,$B89,date_range_board,G77,inputdata!$F:$F,"ED"),TEXT(SUMIFS(Comparison_Lookup,site_level_range_board,$B89,date_range_board,G77,inputdata!$F:$F,"ED")/SUMIFS(All_Attendances,site_level_range_board,$B89,date_range_board,G77,inputdata!$F:$F,"ED"),"0.0%")),IF(LEFT($B$7,6)="Number",SUMIFS(Comparison_Lookup,site_level_range_board,$B89,date_range_board,G77),TEXT(SUMIFS(Comparison_Lookup,site_level_range_board,$B89,date_range_board,G77)/SUMIFS(All_Attendances,site_level_range_board,$B89,date_range_board,G77),"0.0%"))),"")</f>
        <v>98.0%</v>
      </c>
      <c r="H89" s="165" t="str">
        <f ca="1">IFERROR(IF(ISNUMBER(FIND("ED only",$B$4)),IF(LEFT($B$7,6)="Number",SUMIFS(Comparison_Lookup,site_level_range_board,$B89,date_range_board,H77,inputdata!$F:$F,"ED"),TEXT(SUMIFS(Comparison_Lookup,site_level_range_board,$B89,date_range_board,H77,inputdata!$F:$F,"ED")/SUMIFS(All_Attendances,site_level_range_board,$B89,date_range_board,H77,inputdata!$F:$F,"ED"),"0.0%")),IF(LEFT($B$7,6)="Number",SUMIFS(Comparison_Lookup,site_level_range_board,$B89,date_range_board,H77),TEXT(SUMIFS(Comparison_Lookup,site_level_range_board,$B89,date_range_board,H77)/SUMIFS(All_Attendances,site_level_range_board,$B89,date_range_board,H77),"0.0%"))),"")</f>
        <v>96.6%</v>
      </c>
      <c r="I89" s="165" t="str">
        <f ca="1">IFERROR(IF(ISNUMBER(FIND("ED only",$B$4)),IF(LEFT($B$7,6)="Number",SUMIFS(Comparison_Lookup,site_level_range_board,$B89,date_range_board,I77,inputdata!$F:$F,"ED"),TEXT(SUMIFS(Comparison_Lookup,site_level_range_board,$B89,date_range_board,I77,inputdata!$F:$F,"ED")/SUMIFS(All_Attendances,site_level_range_board,$B89,date_range_board,I77,inputdata!$F:$F,"ED"),"0.0%")),IF(LEFT($B$7,6)="Number",SUMIFS(Comparison_Lookup,site_level_range_board,$B89,date_range_board,I77),TEXT(SUMIFS(Comparison_Lookup,site_level_range_board,$B89,date_range_board,I77)/SUMIFS(All_Attendances,site_level_range_board,$B89,date_range_board,I77),"0.0%"))),"")</f>
        <v>95.9%</v>
      </c>
      <c r="J89" s="165" t="str">
        <f ca="1">IFERROR(IF(ISNUMBER(FIND("ED only",$B$4)),IF(LEFT($B$7,6)="Number",SUMIFS(Comparison_Lookup,site_level_range_board,$B89,date_range_board,J77,inputdata!$F:$F,"ED"),TEXT(SUMIFS(Comparison_Lookup,site_level_range_board,$B89,date_range_board,J77,inputdata!$F:$F,"ED")/SUMIFS(All_Attendances,site_level_range_board,$B89,date_range_board,J77,inputdata!$F:$F,"ED"),"0.0%")),IF(LEFT($B$7,6)="Number",SUMIFS(Comparison_Lookup,site_level_range_board,$B89,date_range_board,J77),TEXT(SUMIFS(Comparison_Lookup,site_level_range_board,$B89,date_range_board,J77)/SUMIFS(All_Attendances,site_level_range_board,$B89,date_range_board,J77),"0.0%"))),"")</f>
        <v>97.2%</v>
      </c>
      <c r="K89" s="165" t="str">
        <f ca="1">IFERROR(IF(ISNUMBER(FIND("ED only",$B$4)),IF(LEFT($B$7,6)="Number",SUMIFS(Comparison_Lookup,site_level_range_board,$B89,date_range_board,K77,inputdata!$F:$F,"ED"),TEXT(SUMIFS(Comparison_Lookup,site_level_range_board,$B89,date_range_board,K77,inputdata!$F:$F,"ED")/SUMIFS(All_Attendances,site_level_range_board,$B89,date_range_board,K77,inputdata!$F:$F,"ED"),"0.0%")),IF(LEFT($B$7,6)="Number",SUMIFS(Comparison_Lookup,site_level_range_board,$B89,date_range_board,K77),TEXT(SUMIFS(Comparison_Lookup,site_level_range_board,$B89,date_range_board,K77)/SUMIFS(All_Attendances,site_level_range_board,$B89,date_range_board,K77),"0.0%"))),"")</f>
        <v>97.5%</v>
      </c>
      <c r="L89" s="165" t="str">
        <f ca="1">IFERROR(IF(ISNUMBER(FIND("ED only",$B$4)),IF(LEFT($B$7,6)="Number",SUMIFS(Comparison_Lookup,site_level_range_board,$B89,date_range_board,L77,inputdata!$F:$F,"ED"),TEXT(SUMIFS(Comparison_Lookup,site_level_range_board,$B89,date_range_board,L77,inputdata!$F:$F,"ED")/SUMIFS(All_Attendances,site_level_range_board,$B89,date_range_board,L77,inputdata!$F:$F,"ED"),"0.0%")),IF(LEFT($B$7,6)="Number",SUMIFS(Comparison_Lookup,site_level_range_board,$B89,date_range_board,L77),TEXT(SUMIFS(Comparison_Lookup,site_level_range_board,$B89,date_range_board,L77)/SUMIFS(All_Attendances,site_level_range_board,$B89,date_range_board,L77),"0.0%"))),"")</f>
        <v>95.8%</v>
      </c>
      <c r="M89" s="165" t="str">
        <f ca="1">IFERROR(IF(ISNUMBER(FIND("ED only",$B$4)),IF(LEFT($B$7,6)="Number",SUMIFS(Comparison_Lookup,site_level_range_board,$B89,date_range_board,M77,inputdata!$F:$F,"ED"),TEXT(SUMIFS(Comparison_Lookup,site_level_range_board,$B89,date_range_board,M77,inputdata!$F:$F,"ED")/SUMIFS(All_Attendances,site_level_range_board,$B89,date_range_board,M77,inputdata!$F:$F,"ED"),"0.0%")),IF(LEFT($B$7,6)="Number",SUMIFS(Comparison_Lookup,site_level_range_board,$B89,date_range_board,M77),TEXT(SUMIFS(Comparison_Lookup,site_level_range_board,$B89,date_range_board,M77)/SUMIFS(All_Attendances,site_level_range_board,$B89,date_range_board,M77),"0.0%"))),"")</f>
        <v>94.0%</v>
      </c>
      <c r="N89" s="171" t="str">
        <f ca="1">IFERROR(IF(ISNUMBER(FIND("ED only",$B$4)),IF(LEFT($B$7,6)="Number",SUMIFS(Comparison_Lookup,site_level_range_board,$B89,date_range_board,N77,inputdata!$F:$F,"ED"),TEXT(SUMIFS(Comparison_Lookup,site_level_range_board,$B89,date_range_board,N77,inputdata!$F:$F,"ED")/SUMIFS(All_Attendances,site_level_range_board,$B89,date_range_board,N77,inputdata!$F:$F,"ED"),"0.0%")),IF(LEFT($B$7,6)="Number",SUMIFS(Comparison_Lookup,site_level_range_board,$B89,date_range_board,N77),TEXT(SUMIFS(Comparison_Lookup,site_level_range_board,$B89,date_range_board,N77)/SUMIFS(All_Attendances,site_level_range_board,$B89,date_range_board,N77),"0.0%"))),"")</f>
        <v>97.0%</v>
      </c>
    </row>
    <row r="90" spans="1:14" ht="15" customHeight="1" x14ac:dyDescent="0.2">
      <c r="A90" s="132"/>
      <c r="B90" s="152" t="s">
        <v>577</v>
      </c>
      <c r="C90" s="165" t="str">
        <f ca="1">IFERROR(IF(ISNUMBER(FIND("ED only",$B$4)),IF(LEFT($B$7,6)="Number",SUMIFS(Comparison_Lookup,site_level_range_board,$B90,date_range_board,C77,inputdata!$F:$F,"ED"),TEXT(SUMIFS(Comparison_Lookup,site_level_range_board,$B90,date_range_board,C77,inputdata!$F:$F,"ED")/SUMIFS(All_Attendances,site_level_range_board,$B90,date_range_board,C77,inputdata!$F:$F,"ED"),"0.0%")),IF(LEFT($B$7,6)="Number",SUMIFS(Comparison_Lookup,site_level_range_board,$B90,date_range_board,C77),TEXT(SUMIFS(Comparison_Lookup,site_level_range_board,$B90,date_range_board,C77)/SUMIFS(All_Attendances,site_level_range_board,$B90,date_range_board,C77),"0.0%"))),"")</f>
        <v>98.7%</v>
      </c>
      <c r="D90" s="165" t="str">
        <f ca="1">IFERROR(IF(ISNUMBER(FIND("ED only",$B$4)),IF(LEFT($B$7,6)="Number",SUMIFS(Comparison_Lookup,site_level_range_board,$B90,date_range_board,D77,inputdata!$F:$F,"ED"),TEXT(SUMIFS(Comparison_Lookup,site_level_range_board,$B90,date_range_board,D77,inputdata!$F:$F,"ED")/SUMIFS(All_Attendances,site_level_range_board,$B90,date_range_board,D77,inputdata!$F:$F,"ED"),"0.0%")),IF(LEFT($B$7,6)="Number",SUMIFS(Comparison_Lookup,site_level_range_board,$B90,date_range_board,D77),TEXT(SUMIFS(Comparison_Lookup,site_level_range_board,$B90,date_range_board,D77)/SUMIFS(All_Attendances,site_level_range_board,$B90,date_range_board,D77),"0.0%"))),"")</f>
        <v>97.7%</v>
      </c>
      <c r="E90" s="165" t="str">
        <f ca="1">IFERROR(IF(ISNUMBER(FIND("ED only",$B$4)),IF(LEFT($B$7,6)="Number",SUMIFS(Comparison_Lookup,site_level_range_board,$B90,date_range_board,E77,inputdata!$F:$F,"ED"),TEXT(SUMIFS(Comparison_Lookup,site_level_range_board,$B90,date_range_board,E77,inputdata!$F:$F,"ED")/SUMIFS(All_Attendances,site_level_range_board,$B90,date_range_board,E77,inputdata!$F:$F,"ED"),"0.0%")),IF(LEFT($B$7,6)="Number",SUMIFS(Comparison_Lookup,site_level_range_board,$B90,date_range_board,E77),TEXT(SUMIFS(Comparison_Lookup,site_level_range_board,$B90,date_range_board,E77)/SUMIFS(All_Attendances,site_level_range_board,$B90,date_range_board,E77),"0.0%"))),"")</f>
        <v>98.1%</v>
      </c>
      <c r="F90" s="165" t="str">
        <f ca="1">IFERROR(IF(ISNUMBER(FIND("ED only",$B$4)),IF(LEFT($B$7,6)="Number",SUMIFS(Comparison_Lookup,site_level_range_board,$B90,date_range_board,F77,inputdata!$F:$F,"ED"),TEXT(SUMIFS(Comparison_Lookup,site_level_range_board,$B90,date_range_board,F77,inputdata!$F:$F,"ED")/SUMIFS(All_Attendances,site_level_range_board,$B90,date_range_board,F77,inputdata!$F:$F,"ED"),"0.0%")),IF(LEFT($B$7,6)="Number",SUMIFS(Comparison_Lookup,site_level_range_board,$B90,date_range_board,F77),TEXT(SUMIFS(Comparison_Lookup,site_level_range_board,$B90,date_range_board,F77)/SUMIFS(All_Attendances,site_level_range_board,$B90,date_range_board,F77),"0.0%"))),"")</f>
        <v>98.3%</v>
      </c>
      <c r="G90" s="165" t="str">
        <f ca="1">IFERROR(IF(ISNUMBER(FIND("ED only",$B$4)),IF(LEFT($B$7,6)="Number",SUMIFS(Comparison_Lookup,site_level_range_board,$B90,date_range_board,G77,inputdata!$F:$F,"ED"),TEXT(SUMIFS(Comparison_Lookup,site_level_range_board,$B90,date_range_board,G77,inputdata!$F:$F,"ED")/SUMIFS(All_Attendances,site_level_range_board,$B90,date_range_board,G77,inputdata!$F:$F,"ED"),"0.0%")),IF(LEFT($B$7,6)="Number",SUMIFS(Comparison_Lookup,site_level_range_board,$B90,date_range_board,G77),TEXT(SUMIFS(Comparison_Lookup,site_level_range_board,$B90,date_range_board,G77)/SUMIFS(All_Attendances,site_level_range_board,$B90,date_range_board,G77),"0.0%"))),"")</f>
        <v>97.0%</v>
      </c>
      <c r="H90" s="165" t="str">
        <f ca="1">IFERROR(IF(ISNUMBER(FIND("ED only",$B$4)),IF(LEFT($B$7,6)="Number",SUMIFS(Comparison_Lookup,site_level_range_board,$B90,date_range_board,H77,inputdata!$F:$F,"ED"),TEXT(SUMIFS(Comparison_Lookup,site_level_range_board,$B90,date_range_board,H77,inputdata!$F:$F,"ED")/SUMIFS(All_Attendances,site_level_range_board,$B90,date_range_board,H77,inputdata!$F:$F,"ED"),"0.0%")),IF(LEFT($B$7,6)="Number",SUMIFS(Comparison_Lookup,site_level_range_board,$B90,date_range_board,H77),TEXT(SUMIFS(Comparison_Lookup,site_level_range_board,$B90,date_range_board,H77)/SUMIFS(All_Attendances,site_level_range_board,$B90,date_range_board,H77),"0.0%"))),"")</f>
        <v>97.5%</v>
      </c>
      <c r="I90" s="165" t="str">
        <f ca="1">IFERROR(IF(ISNUMBER(FIND("ED only",$B$4)),IF(LEFT($B$7,6)="Number",SUMIFS(Comparison_Lookup,site_level_range_board,$B90,date_range_board,I77,inputdata!$F:$F,"ED"),TEXT(SUMIFS(Comparison_Lookup,site_level_range_board,$B90,date_range_board,I77,inputdata!$F:$F,"ED")/SUMIFS(All_Attendances,site_level_range_board,$B90,date_range_board,I77,inputdata!$F:$F,"ED"),"0.0%")),IF(LEFT($B$7,6)="Number",SUMIFS(Comparison_Lookup,site_level_range_board,$B90,date_range_board,I77),TEXT(SUMIFS(Comparison_Lookup,site_level_range_board,$B90,date_range_board,I77)/SUMIFS(All_Attendances,site_level_range_board,$B90,date_range_board,I77),"0.0%"))),"")</f>
        <v>98.6%</v>
      </c>
      <c r="J90" s="165" t="str">
        <f ca="1">IFERROR(IF(ISNUMBER(FIND("ED only",$B$4)),IF(LEFT($B$7,6)="Number",SUMIFS(Comparison_Lookup,site_level_range_board,$B90,date_range_board,J77,inputdata!$F:$F,"ED"),TEXT(SUMIFS(Comparison_Lookup,site_level_range_board,$B90,date_range_board,J77,inputdata!$F:$F,"ED")/SUMIFS(All_Attendances,site_level_range_board,$B90,date_range_board,J77,inputdata!$F:$F,"ED"),"0.0%")),IF(LEFT($B$7,6)="Number",SUMIFS(Comparison_Lookup,site_level_range_board,$B90,date_range_board,J77),TEXT(SUMIFS(Comparison_Lookup,site_level_range_board,$B90,date_range_board,J77)/SUMIFS(All_Attendances,site_level_range_board,$B90,date_range_board,J77),"0.0%"))),"")</f>
        <v>97.4%</v>
      </c>
      <c r="K90" s="165" t="str">
        <f ca="1">IFERROR(IF(ISNUMBER(FIND("ED only",$B$4)),IF(LEFT($B$7,6)="Number",SUMIFS(Comparison_Lookup,site_level_range_board,$B90,date_range_board,K77,inputdata!$F:$F,"ED"),TEXT(SUMIFS(Comparison_Lookup,site_level_range_board,$B90,date_range_board,K77,inputdata!$F:$F,"ED")/SUMIFS(All_Attendances,site_level_range_board,$B90,date_range_board,K77,inputdata!$F:$F,"ED"),"0.0%")),IF(LEFT($B$7,6)="Number",SUMIFS(Comparison_Lookup,site_level_range_board,$B90,date_range_board,K77),TEXT(SUMIFS(Comparison_Lookup,site_level_range_board,$B90,date_range_board,K77)/SUMIFS(All_Attendances,site_level_range_board,$B90,date_range_board,K77),"0.0%"))),"")</f>
        <v>97.4%</v>
      </c>
      <c r="L90" s="165" t="str">
        <f ca="1">IFERROR(IF(ISNUMBER(FIND("ED only",$B$4)),IF(LEFT($B$7,6)="Number",SUMIFS(Comparison_Lookup,site_level_range_board,$B90,date_range_board,L77,inputdata!$F:$F,"ED"),TEXT(SUMIFS(Comparison_Lookup,site_level_range_board,$B90,date_range_board,L77,inputdata!$F:$F,"ED")/SUMIFS(All_Attendances,site_level_range_board,$B90,date_range_board,L77,inputdata!$F:$F,"ED"),"0.0%")),IF(LEFT($B$7,6)="Number",SUMIFS(Comparison_Lookup,site_level_range_board,$B90,date_range_board,L77),TEXT(SUMIFS(Comparison_Lookup,site_level_range_board,$B90,date_range_board,L77)/SUMIFS(All_Attendances,site_level_range_board,$B90,date_range_board,L77),"0.0%"))),"")</f>
        <v>97.0%</v>
      </c>
      <c r="M90" s="165" t="str">
        <f ca="1">IFERROR(IF(ISNUMBER(FIND("ED only",$B$4)),IF(LEFT($B$7,6)="Number",SUMIFS(Comparison_Lookup,site_level_range_board,$B90,date_range_board,M77,inputdata!$F:$F,"ED"),TEXT(SUMIFS(Comparison_Lookup,site_level_range_board,$B90,date_range_board,M77,inputdata!$F:$F,"ED")/SUMIFS(All_Attendances,site_level_range_board,$B90,date_range_board,M77,inputdata!$F:$F,"ED"),"0.0%")),IF(LEFT($B$7,6)="Number",SUMIFS(Comparison_Lookup,site_level_range_board,$B90,date_range_board,M77),TEXT(SUMIFS(Comparison_Lookup,site_level_range_board,$B90,date_range_board,M77)/SUMIFS(All_Attendances,site_level_range_board,$B90,date_range_board,M77),"0.0%"))),"")</f>
        <v>96.3%</v>
      </c>
      <c r="N90" s="171" t="str">
        <f ca="1">IFERROR(IF(ISNUMBER(FIND("ED only",$B$4)),IF(LEFT($B$7,6)="Number",SUMIFS(Comparison_Lookup,site_level_range_board,$B90,date_range_board,N77,inputdata!$F:$F,"ED"),TEXT(SUMIFS(Comparison_Lookup,site_level_range_board,$B90,date_range_board,N77,inputdata!$F:$F,"ED")/SUMIFS(All_Attendances,site_level_range_board,$B90,date_range_board,N77,inputdata!$F:$F,"ED"),"0.0%")),IF(LEFT($B$7,6)="Number",SUMIFS(Comparison_Lookup,site_level_range_board,$B90,date_range_board,N77),TEXT(SUMIFS(Comparison_Lookup,site_level_range_board,$B90,date_range_board,N77)/SUMIFS(All_Attendances,site_level_range_board,$B90,date_range_board,N77),"0.0%"))),"")</f>
        <v>96.2%</v>
      </c>
    </row>
    <row r="91" spans="1:14" ht="15" customHeight="1" x14ac:dyDescent="0.2">
      <c r="A91" s="132"/>
      <c r="B91" s="154" t="s">
        <v>594</v>
      </c>
      <c r="C91" s="168" t="str">
        <f ca="1">IFERROR(IF(ISNUMBER(FIND("ED only",$B$4)),IF(LEFT($B$7,6)="Number",SUMIFS(Comparison_Lookup,site_level_range_board,$B91,date_range_board,C77,inputdata!$F:$F,"ED"),TEXT(SUMIFS(Comparison_Lookup,site_level_range_board,$B91,date_range_board,C77,inputdata!$F:$F,"ED")/SUMIFS(All_Attendances,site_level_range_board,$B91,date_range_board,C77,inputdata!$F:$F,"ED"),"0.0%")),IF(LEFT($B$7,6)="Number",SUMIFS(Comparison_Lookup,site_level_range_board,$B91,date_range_board,C77),TEXT(SUMIFS(Comparison_Lookup,site_level_range_board,$B91,date_range_board,C77)/SUMIFS(All_Attendances,site_level_range_board,$B91,date_range_board,C77),"0.0%"))),"")</f>
        <v>99.4%</v>
      </c>
      <c r="D91" s="168" t="str">
        <f ca="1">IFERROR(IF(ISNUMBER(FIND("ED only",$B$4)),IF(LEFT($B$7,6)="Number",SUMIFS(Comparison_Lookup,site_level_range_board,$B91,date_range_board,D77,inputdata!$F:$F,"ED"),TEXT(SUMIFS(Comparison_Lookup,site_level_range_board,$B91,date_range_board,D77,inputdata!$F:$F,"ED")/SUMIFS(All_Attendances,site_level_range_board,$B91,date_range_board,D77,inputdata!$F:$F,"ED"),"0.0%")),IF(LEFT($B$7,6)="Number",SUMIFS(Comparison_Lookup,site_level_range_board,$B91,date_range_board,D77),TEXT(SUMIFS(Comparison_Lookup,site_level_range_board,$B91,date_range_board,D77)/SUMIFS(All_Attendances,site_level_range_board,$B91,date_range_board,D77),"0.0%"))),"")</f>
        <v>98.8%</v>
      </c>
      <c r="E91" s="168" t="str">
        <f ca="1">IFERROR(IF(ISNUMBER(FIND("ED only",$B$4)),IF(LEFT($B$7,6)="Number",SUMIFS(Comparison_Lookup,site_level_range_board,$B91,date_range_board,E77,inputdata!$F:$F,"ED"),TEXT(SUMIFS(Comparison_Lookup,site_level_range_board,$B91,date_range_board,E77,inputdata!$F:$F,"ED")/SUMIFS(All_Attendances,site_level_range_board,$B91,date_range_board,E77,inputdata!$F:$F,"ED"),"0.0%")),IF(LEFT($B$7,6)="Number",SUMIFS(Comparison_Lookup,site_level_range_board,$B91,date_range_board,E77),TEXT(SUMIFS(Comparison_Lookup,site_level_range_board,$B91,date_range_board,E77)/SUMIFS(All_Attendances,site_level_range_board,$B91,date_range_board,E77),"0.0%"))),"")</f>
        <v>98.6%</v>
      </c>
      <c r="F91" s="168" t="str">
        <f ca="1">IFERROR(IF(ISNUMBER(FIND("ED only",$B$4)),IF(LEFT($B$7,6)="Number",SUMIFS(Comparison_Lookup,site_level_range_board,$B91,date_range_board,F77,inputdata!$F:$F,"ED"),TEXT(SUMIFS(Comparison_Lookup,site_level_range_board,$B91,date_range_board,F77,inputdata!$F:$F,"ED")/SUMIFS(All_Attendances,site_level_range_board,$B91,date_range_board,F77,inputdata!$F:$F,"ED"),"0.0%")),IF(LEFT($B$7,6)="Number",SUMIFS(Comparison_Lookup,site_level_range_board,$B91,date_range_board,F77),TEXT(SUMIFS(Comparison_Lookup,site_level_range_board,$B91,date_range_board,F77)/SUMIFS(All_Attendances,site_level_range_board,$B91,date_range_board,F77),"0.0%"))),"")</f>
        <v>99.0%</v>
      </c>
      <c r="G91" s="168" t="str">
        <f ca="1">IFERROR(IF(ISNUMBER(FIND("ED only",$B$4)),IF(LEFT($B$7,6)="Number",SUMIFS(Comparison_Lookup,site_level_range_board,$B91,date_range_board,G77,inputdata!$F:$F,"ED"),TEXT(SUMIFS(Comparison_Lookup,site_level_range_board,$B91,date_range_board,G77,inputdata!$F:$F,"ED")/SUMIFS(All_Attendances,site_level_range_board,$B91,date_range_board,G77,inputdata!$F:$F,"ED"),"0.0%")),IF(LEFT($B$7,6)="Number",SUMIFS(Comparison_Lookup,site_level_range_board,$B91,date_range_board,G77),TEXT(SUMIFS(Comparison_Lookup,site_level_range_board,$B91,date_range_board,G77)/SUMIFS(All_Attendances,site_level_range_board,$B91,date_range_board,G77),"0.0%"))),"")</f>
        <v>99.5%</v>
      </c>
      <c r="H91" s="168" t="str">
        <f ca="1">IFERROR(IF(ISNUMBER(FIND("ED only",$B$4)),IF(LEFT($B$7,6)="Number",SUMIFS(Comparison_Lookup,site_level_range_board,$B91,date_range_board,H77,inputdata!$F:$F,"ED"),TEXT(SUMIFS(Comparison_Lookup,site_level_range_board,$B91,date_range_board,H77,inputdata!$F:$F,"ED")/SUMIFS(All_Attendances,site_level_range_board,$B91,date_range_board,H77,inputdata!$F:$F,"ED"),"0.0%")),IF(LEFT($B$7,6)="Number",SUMIFS(Comparison_Lookup,site_level_range_board,$B91,date_range_board,H77),TEXT(SUMIFS(Comparison_Lookup,site_level_range_board,$B91,date_range_board,H77)/SUMIFS(All_Attendances,site_level_range_board,$B91,date_range_board,H77),"0.0%"))),"")</f>
        <v>98.4%</v>
      </c>
      <c r="I91" s="168" t="str">
        <f ca="1">IFERROR(IF(ISNUMBER(FIND("ED only",$B$4)),IF(LEFT($B$7,6)="Number",SUMIFS(Comparison_Lookup,site_level_range_board,$B91,date_range_board,I77,inputdata!$F:$F,"ED"),TEXT(SUMIFS(Comparison_Lookup,site_level_range_board,$B91,date_range_board,I77,inputdata!$F:$F,"ED")/SUMIFS(All_Attendances,site_level_range_board,$B91,date_range_board,I77,inputdata!$F:$F,"ED"),"0.0%")),IF(LEFT($B$7,6)="Number",SUMIFS(Comparison_Lookup,site_level_range_board,$B91,date_range_board,I77),TEXT(SUMIFS(Comparison_Lookup,site_level_range_board,$B91,date_range_board,I77)/SUMIFS(All_Attendances,site_level_range_board,$B91,date_range_board,I77),"0.0%"))),"")</f>
        <v>99.3%</v>
      </c>
      <c r="J91" s="168" t="str">
        <f ca="1">IFERROR(IF(ISNUMBER(FIND("ED only",$B$4)),IF(LEFT($B$7,6)="Number",SUMIFS(Comparison_Lookup,site_level_range_board,$B91,date_range_board,J77,inputdata!$F:$F,"ED"),TEXT(SUMIFS(Comparison_Lookup,site_level_range_board,$B91,date_range_board,J77,inputdata!$F:$F,"ED")/SUMIFS(All_Attendances,site_level_range_board,$B91,date_range_board,J77,inputdata!$F:$F,"ED"),"0.0%")),IF(LEFT($B$7,6)="Number",SUMIFS(Comparison_Lookup,site_level_range_board,$B91,date_range_board,J77),TEXT(SUMIFS(Comparison_Lookup,site_level_range_board,$B91,date_range_board,J77)/SUMIFS(All_Attendances,site_level_range_board,$B91,date_range_board,J77),"0.0%"))),"")</f>
        <v>98.8%</v>
      </c>
      <c r="K91" s="168" t="str">
        <f ca="1">IFERROR(IF(ISNUMBER(FIND("ED only",$B$4)),IF(LEFT($B$7,6)="Number",SUMIFS(Comparison_Lookup,site_level_range_board,$B91,date_range_board,K77,inputdata!$F:$F,"ED"),TEXT(SUMIFS(Comparison_Lookup,site_level_range_board,$B91,date_range_board,K77,inputdata!$F:$F,"ED")/SUMIFS(All_Attendances,site_level_range_board,$B91,date_range_board,K77,inputdata!$F:$F,"ED"),"0.0%")),IF(LEFT($B$7,6)="Number",SUMIFS(Comparison_Lookup,site_level_range_board,$B91,date_range_board,K77),TEXT(SUMIFS(Comparison_Lookup,site_level_range_board,$B91,date_range_board,K77)/SUMIFS(All_Attendances,site_level_range_board,$B91,date_range_board,K77),"0.0%"))),"")</f>
        <v>99.1%</v>
      </c>
      <c r="L91" s="168" t="str">
        <f ca="1">IFERROR(IF(ISNUMBER(FIND("ED only",$B$4)),IF(LEFT($B$7,6)="Number",SUMIFS(Comparison_Lookup,site_level_range_board,$B91,date_range_board,L77,inputdata!$F:$F,"ED"),TEXT(SUMIFS(Comparison_Lookup,site_level_range_board,$B91,date_range_board,L77,inputdata!$F:$F,"ED")/SUMIFS(All_Attendances,site_level_range_board,$B91,date_range_board,L77,inputdata!$F:$F,"ED"),"0.0%")),IF(LEFT($B$7,6)="Number",SUMIFS(Comparison_Lookup,site_level_range_board,$B91,date_range_board,L77),TEXT(SUMIFS(Comparison_Lookup,site_level_range_board,$B91,date_range_board,L77)/SUMIFS(All_Attendances,site_level_range_board,$B91,date_range_board,L77),"0.0%"))),"")</f>
        <v>98.5%</v>
      </c>
      <c r="M91" s="168" t="str">
        <f ca="1">IFERROR(IF(ISNUMBER(FIND("ED only",$B$4)),IF(LEFT($B$7,6)="Number",SUMIFS(Comparison_Lookup,site_level_range_board,$B91,date_range_board,M77,inputdata!$F:$F,"ED"),TEXT(SUMIFS(Comparison_Lookup,site_level_range_board,$B91,date_range_board,M77,inputdata!$F:$F,"ED")/SUMIFS(All_Attendances,site_level_range_board,$B91,date_range_board,M77,inputdata!$F:$F,"ED"),"0.0%")),IF(LEFT($B$7,6)="Number",SUMIFS(Comparison_Lookup,site_level_range_board,$B91,date_range_board,M77),TEXT(SUMIFS(Comparison_Lookup,site_level_range_board,$B91,date_range_board,M77)/SUMIFS(All_Attendances,site_level_range_board,$B91,date_range_board,M77),"0.0%"))),"")</f>
        <v>98.9%</v>
      </c>
      <c r="N91" s="172" t="str">
        <f ca="1">IFERROR(IF(ISNUMBER(FIND("ED only",$B$4)),IF(LEFT($B$7,6)="Number",SUMIFS(Comparison_Lookup,site_level_range_board,$B91,date_range_board,N77,inputdata!$F:$F,"ED"),TEXT(SUMIFS(Comparison_Lookup,site_level_range_board,$B91,date_range_board,N77,inputdata!$F:$F,"ED")/SUMIFS(All_Attendances,site_level_range_board,$B91,date_range_board,N77,inputdata!$F:$F,"ED"),"0.0%")),IF(LEFT($B$7,6)="Number",SUMIFS(Comparison_Lookup,site_level_range_board,$B91,date_range_board,N77),TEXT(SUMIFS(Comparison_Lookup,site_level_range_board,$B91,date_range_board,N77)/SUMIFS(All_Attendances,site_level_range_board,$B91,date_range_board,N77),"0.0%"))),"")</f>
        <v>98.7%</v>
      </c>
    </row>
    <row r="92" spans="1:14" ht="15" customHeight="1" x14ac:dyDescent="0.2">
      <c r="A92" s="132"/>
      <c r="B92" s="170" t="s">
        <v>406</v>
      </c>
      <c r="C92" s="169" t="str">
        <f ca="1">IFERROR(IF(ISNUMBER(FIND("ED only",$B$4)),IF(LEFT($B$7,6)="Number",SUMIFS(Comparison_Lookup,date_range_board,C77,inputdata!$F:$F,"ED"),TEXT(SUMIFS(Comparison_Lookup,date_range_board,C77,inputdata!$F:$F,"ED")/SUMIFS(All_Attendances,date_range_board,C77,inputdata!$F:$F,"ED"),"0.0%")),IF(LEFT($B$7,6)="Number",SUMIFS(Comparison_Lookup,date_range_board,C77),TEXT(SUMIFS(Comparison_Lookup,date_range_board,C77)/SUMIFS(All_Attendances,date_range_board,C77
        ),"0.0%"))),"")</f>
        <v>90.0%</v>
      </c>
      <c r="D92" s="169" t="str">
        <f ca="1">IFERROR(IF(ISNUMBER(FIND("ED only",$B$4)),IF(LEFT($B$7,6)="Number",SUMIFS(Comparison_Lookup,date_range_board,D77,inputdata!$F:$F,"ED"),TEXT(SUMIFS(Comparison_Lookup,date_range_board,D77,inputdata!$F:$F,"ED")/SUMIFS(All_Attendances,date_range_board,D77,inputdata!$F:$F,"ED"),"0.0%")),IF(LEFT($B$7,6)="Number",SUMIFS(Comparison_Lookup,date_range_board,D77),TEXT(SUMIFS(Comparison_Lookup,date_range_board,D77)/SUMIFS(All_Attendances,date_range_board,D77
        ),"0.0%"))),"")</f>
        <v>93.1%</v>
      </c>
      <c r="E92" s="169" t="str">
        <f ca="1">IFERROR(IF(ISNUMBER(FIND("ED only",$B$4)),IF(LEFT($B$7,6)="Number",SUMIFS(Comparison_Lookup,date_range_board,E77,inputdata!$F:$F,"ED"),TEXT(SUMIFS(Comparison_Lookup,date_range_board,E77,inputdata!$F:$F,"ED")/SUMIFS(All_Attendances,date_range_board,E77,inputdata!$F:$F,"ED"),"0.0%")),IF(LEFT($B$7,6)="Number",SUMIFS(Comparison_Lookup,date_range_board,E77),TEXT(SUMIFS(Comparison_Lookup,date_range_board,E77)/SUMIFS(All_Attendances,date_range_board,E77
        ),"0.0%"))),"")</f>
        <v>92.8%</v>
      </c>
      <c r="F92" s="169" t="str">
        <f ca="1">IFERROR(IF(ISNUMBER(FIND("ED only",$B$4)),IF(LEFT($B$7,6)="Number",SUMIFS(Comparison_Lookup,date_range_board,F77,inputdata!$F:$F,"ED"),TEXT(SUMIFS(Comparison_Lookup,date_range_board,F77,inputdata!$F:$F,"ED")/SUMIFS(All_Attendances,date_range_board,F77,inputdata!$F:$F,"ED"),"0.0%")),IF(LEFT($B$7,6)="Number",SUMIFS(Comparison_Lookup,date_range_board,F77),TEXT(SUMIFS(Comparison_Lookup,date_range_board,F77)/SUMIFS(All_Attendances,date_range_board,F77
        ),"0.0%"))),"")</f>
        <v>93.0%</v>
      </c>
      <c r="G92" s="169" t="str">
        <f ca="1">IFERROR(IF(ISNUMBER(FIND("ED only",$B$4)),IF(LEFT($B$7,6)="Number",SUMIFS(Comparison_Lookup,date_range_board,G77,inputdata!$F:$F,"ED"),TEXT(SUMIFS(Comparison_Lookup,date_range_board,G77,inputdata!$F:$F,"ED")/SUMIFS(All_Attendances,date_range_board,G77,inputdata!$F:$F,"ED"),"0.0%")),IF(LEFT($B$7,6)="Number",SUMIFS(Comparison_Lookup,date_range_board,G77),TEXT(SUMIFS(Comparison_Lookup,date_range_board,G77)/SUMIFS(All_Attendances,date_range_board,G77
        ),"0.0%"))),"")</f>
        <v>92.0%</v>
      </c>
      <c r="H92" s="169" t="str">
        <f ca="1">IFERROR(IF(ISNUMBER(FIND("ED only",$B$4)),IF(LEFT($B$7,6)="Number",SUMIFS(Comparison_Lookup,date_range_board,H77,inputdata!$F:$F,"ED"),TEXT(SUMIFS(Comparison_Lookup,date_range_board,H77,inputdata!$F:$F,"ED")/SUMIFS(All_Attendances,date_range_board,H77,inputdata!$F:$F,"ED"),"0.0%")),IF(LEFT($B$7,6)="Number",SUMIFS(Comparison_Lookup,date_range_board,H77),TEXT(SUMIFS(Comparison_Lookup,date_range_board,H77)/SUMIFS(All_Attendances,date_range_board,H77
        ),"0.0%"))),"")</f>
        <v>90.9%</v>
      </c>
      <c r="I92" s="169" t="str">
        <f ca="1">IFERROR(IF(ISNUMBER(FIND("ED only",$B$4)),IF(LEFT($B$7,6)="Number",SUMIFS(Comparison_Lookup,date_range_board,I77,inputdata!$F:$F,"ED"),TEXT(SUMIFS(Comparison_Lookup,date_range_board,I77,inputdata!$F:$F,"ED")/SUMIFS(All_Attendances,date_range_board,I77,inputdata!$F:$F,"ED"),"0.0%")),IF(LEFT($B$7,6)="Number",SUMIFS(Comparison_Lookup,date_range_board,I77),TEXT(SUMIFS(Comparison_Lookup,date_range_board,I77)/SUMIFS(All_Attendances,date_range_board,I77
        ),"0.0%"))),"")</f>
        <v>92.2%</v>
      </c>
      <c r="J92" s="169" t="str">
        <f ca="1">IFERROR(IF(ISNUMBER(FIND("ED only",$B$4)),IF(LEFT($B$7,6)="Number",SUMIFS(Comparison_Lookup,date_range_board,J77,inputdata!$F:$F,"ED"),TEXT(SUMIFS(Comparison_Lookup,date_range_board,J77,inputdata!$F:$F,"ED")/SUMIFS(All_Attendances,date_range_board,J77,inputdata!$F:$F,"ED"),"0.0%")),IF(LEFT($B$7,6)="Number",SUMIFS(Comparison_Lookup,date_range_board,J77),TEXT(SUMIFS(Comparison_Lookup,date_range_board,J77)/SUMIFS(All_Attendances,date_range_board,J77
        ),"0.0%"))),"")</f>
        <v>91.3%</v>
      </c>
      <c r="K92" s="169" t="str">
        <f ca="1">IFERROR(IF(ISNUMBER(FIND("ED only",$B$4)),IF(LEFT($B$7,6)="Number",SUMIFS(Comparison_Lookup,date_range_board,K77,inputdata!$F:$F,"ED"),TEXT(SUMIFS(Comparison_Lookup,date_range_board,K77,inputdata!$F:$F,"ED")/SUMIFS(All_Attendances,date_range_board,K77,inputdata!$F:$F,"ED"),"0.0%")),IF(LEFT($B$7,6)="Number",SUMIFS(Comparison_Lookup,date_range_board,K77),TEXT(SUMIFS(Comparison_Lookup,date_range_board,K77)/SUMIFS(All_Attendances,date_range_board,K77
        ),"0.0%"))),"")</f>
        <v>89.6%</v>
      </c>
      <c r="L92" s="169" t="str">
        <f ca="1">IFERROR(IF(ISNUMBER(FIND("ED only",$B$4)),IF(LEFT($B$7,6)="Number",SUMIFS(Comparison_Lookup,date_range_board,L77,inputdata!$F:$F,"ED"),TEXT(SUMIFS(Comparison_Lookup,date_range_board,L77,inputdata!$F:$F,"ED")/SUMIFS(All_Attendances,date_range_board,L77,inputdata!$F:$F,"ED"),"0.0%")),IF(LEFT($B$7,6)="Number",SUMIFS(Comparison_Lookup,date_range_board,L77),TEXT(SUMIFS(Comparison_Lookup,date_range_board,L77)/SUMIFS(All_Attendances,date_range_board,L77
        ),"0.0%"))),"")</f>
        <v>88.8%</v>
      </c>
      <c r="M92" s="169" t="str">
        <f ca="1">IFERROR(IF(ISNUMBER(FIND("ED only",$B$4)),IF(LEFT($B$7,6)="Number",SUMIFS(Comparison_Lookup,date_range_board,M77,inputdata!$F:$F,"ED"),TEXT(SUMIFS(Comparison_Lookup,date_range_board,M77,inputdata!$F:$F,"ED")/SUMIFS(All_Attendances,date_range_board,M77,inputdata!$F:$F,"ED"),"0.0%")),IF(LEFT($B$7,6)="Number",SUMIFS(Comparison_Lookup,date_range_board,M77),TEXT(SUMIFS(Comparison_Lookup,date_range_board,M77)/SUMIFS(All_Attendances,date_range_board,M77
        ),"0.0%"))),"")</f>
        <v>89.3%</v>
      </c>
      <c r="N92" s="173" t="str">
        <f ca="1">IFERROR(IF(ISNUMBER(FIND("ED only",$B$4)),IF(LEFT($B$7,6)="Number",SUMIFS(Comparison_Lookup,date_range_board,N77,inputdata!$F:$F,"ED"),TEXT(SUMIFS(Comparison_Lookup,date_range_board,N77,inputdata!$F:$F,"ED")/SUMIFS(All_Attendances,date_range_board,N77,inputdata!$F:$F,"ED"),"0.0%")),IF(LEFT($B$7,6)="Number",SUMIFS(Comparison_Lookup,date_range_board,N77),TEXT(SUMIFS(Comparison_Lookup,date_range_board,N77)/SUMIFS(All_Attendances,date_range_board,N77
        ),"0.0%"))),"")</f>
        <v>91.3%</v>
      </c>
    </row>
    <row r="93" spans="1:14" ht="15" customHeight="1" x14ac:dyDescent="0.2">
      <c r="B93" s="127"/>
      <c r="C93" s="127"/>
      <c r="D93" s="127"/>
      <c r="E93" s="127"/>
      <c r="F93" s="127"/>
      <c r="G93" s="127"/>
      <c r="H93" s="127"/>
      <c r="I93" s="127"/>
      <c r="J93" s="127"/>
      <c r="K93" s="127"/>
      <c r="L93" s="127"/>
      <c r="M93" s="127"/>
      <c r="N93" s="127"/>
    </row>
    <row r="94" spans="1:14" ht="15" customHeight="1" x14ac:dyDescent="0.25">
      <c r="A94" s="132"/>
      <c r="B94" s="153" t="str">
        <f>IF(ISNUMBER(FIND("ED only",$B$4)),"2017/2018 (ED Only)","2017/2018")</f>
        <v>2017/2018</v>
      </c>
      <c r="C94" s="149">
        <v>42855</v>
      </c>
      <c r="D94" s="149">
        <v>42886</v>
      </c>
      <c r="E94" s="149">
        <v>42916</v>
      </c>
      <c r="F94" s="149">
        <v>42947</v>
      </c>
      <c r="G94" s="149">
        <v>42978</v>
      </c>
      <c r="H94" s="149">
        <v>43008</v>
      </c>
      <c r="I94" s="149">
        <v>43039</v>
      </c>
      <c r="J94" s="149">
        <v>43069</v>
      </c>
      <c r="K94" s="149">
        <v>43100</v>
      </c>
      <c r="L94" s="149">
        <v>43131</v>
      </c>
      <c r="M94" s="149">
        <v>43159</v>
      </c>
      <c r="N94" s="158">
        <v>43190</v>
      </c>
    </row>
    <row r="95" spans="1:14" ht="15" customHeight="1" x14ac:dyDescent="0.2">
      <c r="A95" s="132"/>
      <c r="B95" s="152" t="s">
        <v>407</v>
      </c>
      <c r="C95" s="165" t="str">
        <f ca="1">IFERROR(IF(ISNUMBER(FIND("ED only",$B$4)),IF(LEFT($B$7,6)="Number",SUMIFS(Comparison_Lookup,site_level_range_board,$B95,date_range_board,C94,inputdata!$F:$F,"ED"),TEXT(SUMIFS(Comparison_Lookup,site_level_range_board,$B95,date_range_board,C94,inputdata!$F:$F,"ED")/SUMIFS(All_Attendances,site_level_range_board,$B95,date_range_board,C94,inputdata!$F:$F,"ED"),"0.0%")),IF(LEFT($B$7,6)="Number",SUMIFS(Comparison_Lookup,site_level_range_board,$B95,date_range_board,C94),TEXT(SUMIFS(Comparison_Lookup,site_level_range_board,$B95,date_range_board,C94)/SUMIFS(All_Attendances,site_level_range_board,$B95,date_range_board,C94),"0.0%"))),"")</f>
        <v>96.1%</v>
      </c>
      <c r="D95" s="165" t="str">
        <f ca="1">IFERROR(IF(ISNUMBER(FIND("ED only",$B$4)),IF(LEFT($B$7,6)="Number",SUMIFS(Comparison_Lookup,site_level_range_board,$B95,date_range_board,D94,inputdata!$F:$F,"ED"),TEXT(SUMIFS(Comparison_Lookup,site_level_range_board,$B95,date_range_board,D94,inputdata!$F:$F,"ED")/SUMIFS(All_Attendances,site_level_range_board,$B95,date_range_board,D94,inputdata!$F:$F,"ED"),"0.0%")),IF(LEFT($B$7,6)="Number",SUMIFS(Comparison_Lookup,site_level_range_board,$B95,date_range_board,D94),TEXT(SUMIFS(Comparison_Lookup,site_level_range_board,$B95,date_range_board,D94)/SUMIFS(All_Attendances,site_level_range_board,$B95,date_range_board,D94),"0.0%"))),"")</f>
        <v>95.3%</v>
      </c>
      <c r="E95" s="165" t="str">
        <f ca="1">IFERROR(IF(ISNUMBER(FIND("ED only",$B$4)),IF(LEFT($B$7,6)="Number",SUMIFS(Comparison_Lookup,site_level_range_board,$B95,date_range_board,E94,inputdata!$F:$F,"ED"),TEXT(SUMIFS(Comparison_Lookup,site_level_range_board,$B95,date_range_board,E94,inputdata!$F:$F,"ED")/SUMIFS(All_Attendances,site_level_range_board,$B95,date_range_board,E94,inputdata!$F:$F,"ED"),"0.0%")),IF(LEFT($B$7,6)="Number",SUMIFS(Comparison_Lookup,site_level_range_board,$B95,date_range_board,E94),TEXT(SUMIFS(Comparison_Lookup,site_level_range_board,$B95,date_range_board,E94)/SUMIFS(All_Attendances,site_level_range_board,$B95,date_range_board,E94),"0.0%"))),"")</f>
        <v>96.8%</v>
      </c>
      <c r="F95" s="165" t="str">
        <f ca="1">IFERROR(IF(ISNUMBER(FIND("ED only",$B$4)),IF(LEFT($B$7,6)="Number",SUMIFS(Comparison_Lookup,site_level_range_board,$B95,date_range_board,F94,inputdata!$F:$F,"ED"),TEXT(SUMIFS(Comparison_Lookup,site_level_range_board,$B95,date_range_board,F94,inputdata!$F:$F,"ED")/SUMIFS(All_Attendances,site_level_range_board,$B95,date_range_board,F94,inputdata!$F:$F,"ED"),"0.0%")),IF(LEFT($B$7,6)="Number",SUMIFS(Comparison_Lookup,site_level_range_board,$B95,date_range_board,F94),TEXT(SUMIFS(Comparison_Lookup,site_level_range_board,$B95,date_range_board,F94)/SUMIFS(All_Attendances,site_level_range_board,$B95,date_range_board,F94),"0.0%"))),"")</f>
        <v>96.7%</v>
      </c>
      <c r="G95" s="165" t="str">
        <f ca="1">IFERROR(IF(ISNUMBER(FIND("ED only",$B$4)),IF(LEFT($B$7,6)="Number",SUMIFS(Comparison_Lookup,site_level_range_board,$B95,date_range_board,G94,inputdata!$F:$F,"ED"),TEXT(SUMIFS(Comparison_Lookup,site_level_range_board,$B95,date_range_board,G94,inputdata!$F:$F,"ED")/SUMIFS(All_Attendances,site_level_range_board,$B95,date_range_board,G94,inputdata!$F:$F,"ED"),"0.0%")),IF(LEFT($B$7,6)="Number",SUMIFS(Comparison_Lookup,site_level_range_board,$B95,date_range_board,G94),TEXT(SUMIFS(Comparison_Lookup,site_level_range_board,$B95,date_range_board,G94)/SUMIFS(All_Attendances,site_level_range_board,$B95,date_range_board,G94),"0.0%"))),"")</f>
        <v>94.7%</v>
      </c>
      <c r="H95" s="165" t="str">
        <f ca="1">IFERROR(IF(ISNUMBER(FIND("ED only",$B$4)),IF(LEFT($B$7,6)="Number",SUMIFS(Comparison_Lookup,site_level_range_board,$B95,date_range_board,H94,inputdata!$F:$F,"ED"),TEXT(SUMIFS(Comparison_Lookup,site_level_range_board,$B95,date_range_board,H94,inputdata!$F:$F,"ED")/SUMIFS(All_Attendances,site_level_range_board,$B95,date_range_board,H94,inputdata!$F:$F,"ED"),"0.0%")),IF(LEFT($B$7,6)="Number",SUMIFS(Comparison_Lookup,site_level_range_board,$B95,date_range_board,H94),TEXT(SUMIFS(Comparison_Lookup,site_level_range_board,$B95,date_range_board,H94)/SUMIFS(All_Attendances,site_level_range_board,$B95,date_range_board,H94),"0.0%"))),"")</f>
        <v>91.0%</v>
      </c>
      <c r="I95" s="165" t="str">
        <f ca="1">IFERROR(IF(ISNUMBER(FIND("ED only",$B$4)),IF(LEFT($B$7,6)="Number",SUMIFS(Comparison_Lookup,site_level_range_board,$B95,date_range_board,I94,inputdata!$F:$F,"ED"),TEXT(SUMIFS(Comparison_Lookup,site_level_range_board,$B95,date_range_board,I94,inputdata!$F:$F,"ED")/SUMIFS(All_Attendances,site_level_range_board,$B95,date_range_board,I94,inputdata!$F:$F,"ED"),"0.0%")),IF(LEFT($B$7,6)="Number",SUMIFS(Comparison_Lookup,site_level_range_board,$B95,date_range_board,I94),TEXT(SUMIFS(Comparison_Lookup,site_level_range_board,$B95,date_range_board,I94)/SUMIFS(All_Attendances,site_level_range_board,$B95,date_range_board,I94),"0.0%"))),"")</f>
        <v>92.8%</v>
      </c>
      <c r="J95" s="165" t="str">
        <f ca="1">IFERROR(IF(ISNUMBER(FIND("ED only",$B$4)),IF(LEFT($B$7,6)="Number",SUMIFS(Comparison_Lookup,site_level_range_board,$B95,date_range_board,J94,inputdata!$F:$F,"ED"),TEXT(SUMIFS(Comparison_Lookup,site_level_range_board,$B95,date_range_board,J94,inputdata!$F:$F,"ED")/SUMIFS(All_Attendances,site_level_range_board,$B95,date_range_board,J94,inputdata!$F:$F,"ED"),"0.0%")),IF(LEFT($B$7,6)="Number",SUMIFS(Comparison_Lookup,site_level_range_board,$B95,date_range_board,J94),TEXT(SUMIFS(Comparison_Lookup,site_level_range_board,$B95,date_range_board,J94)/SUMIFS(All_Attendances,site_level_range_board,$B95,date_range_board,J94),"0.0%"))),"")</f>
        <v>95.6%</v>
      </c>
      <c r="K95" s="165" t="str">
        <f ca="1">IFERROR(IF(ISNUMBER(FIND("ED only",$B$4)),IF(LEFT($B$7,6)="Number",SUMIFS(Comparison_Lookup,site_level_range_board,$B95,date_range_board,K94,inputdata!$F:$F,"ED"),TEXT(SUMIFS(Comparison_Lookup,site_level_range_board,$B95,date_range_board,K94,inputdata!$F:$F,"ED")/SUMIFS(All_Attendances,site_level_range_board,$B95,date_range_board,K94,inputdata!$F:$F,"ED"),"0.0%")),IF(LEFT($B$7,6)="Number",SUMIFS(Comparison_Lookup,site_level_range_board,$B95,date_range_board,K94),TEXT(SUMIFS(Comparison_Lookup,site_level_range_board,$B95,date_range_board,K94)/SUMIFS(All_Attendances,site_level_range_board,$B95,date_range_board,K94),"0.0%"))),"")</f>
        <v>92.1%</v>
      </c>
      <c r="L95" s="165" t="str">
        <f ca="1">IFERROR(IF(ISNUMBER(FIND("ED only",$B$4)),IF(LEFT($B$7,6)="Number",SUMIFS(Comparison_Lookup,site_level_range_board,$B95,date_range_board,L94,inputdata!$F:$F,"ED"),TEXT(SUMIFS(Comparison_Lookup,site_level_range_board,$B95,date_range_board,L94,inputdata!$F:$F,"ED")/SUMIFS(All_Attendances,site_level_range_board,$B95,date_range_board,L94,inputdata!$F:$F,"ED"),"0.0%")),IF(LEFT($B$7,6)="Number",SUMIFS(Comparison_Lookup,site_level_range_board,$B95,date_range_board,L94),TEXT(SUMIFS(Comparison_Lookup,site_level_range_board,$B95,date_range_board,L94)/SUMIFS(All_Attendances,site_level_range_board,$B95,date_range_board,L94),"0.0%"))),"")</f>
        <v>88.1%</v>
      </c>
      <c r="M95" s="165" t="str">
        <f ca="1">IFERROR(IF(ISNUMBER(FIND("ED only",$B$4)),IF(LEFT($B$7,6)="Number",SUMIFS(Comparison_Lookup,site_level_range_board,$B95,date_range_board,M94,inputdata!$F:$F,"ED"),TEXT(SUMIFS(Comparison_Lookup,site_level_range_board,$B95,date_range_board,M94,inputdata!$F:$F,"ED")/SUMIFS(All_Attendances,site_level_range_board,$B95,date_range_board,M94,inputdata!$F:$F,"ED"),"0.0%")),IF(LEFT($B$7,6)="Number",SUMIFS(Comparison_Lookup,site_level_range_board,$B95,date_range_board,M94),TEXT(SUMIFS(Comparison_Lookup,site_level_range_board,$B95,date_range_board,M94)/SUMIFS(All_Attendances,site_level_range_board,$B95,date_range_board,M94),"0.0%"))),"")</f>
        <v>93.8%</v>
      </c>
      <c r="N95" s="171" t="str">
        <f ca="1">IFERROR(IF(ISNUMBER(FIND("ED only",$B$4)),IF(LEFT($B$7,6)="Number",SUMIFS(Comparison_Lookup,site_level_range_board,$B95,date_range_board,N94,inputdata!$F:$F,"ED"),TEXT(SUMIFS(Comparison_Lookup,site_level_range_board,$B95,date_range_board,N94,inputdata!$F:$F,"ED")/SUMIFS(All_Attendances,site_level_range_board,$B95,date_range_board,N94,inputdata!$F:$F,"ED"),"0.0%")),IF(LEFT($B$7,6)="Number",SUMIFS(Comparison_Lookup,site_level_range_board,$B95,date_range_board,N94),TEXT(SUMIFS(Comparison_Lookup,site_level_range_board,$B95,date_range_board,N94)/SUMIFS(All_Attendances,site_level_range_board,$B95,date_range_board,N94),"0.0%"))),"")</f>
        <v>90.8%</v>
      </c>
    </row>
    <row r="96" spans="1:14" ht="15" customHeight="1" x14ac:dyDescent="0.2">
      <c r="A96" s="132"/>
      <c r="B96" s="152" t="s">
        <v>418</v>
      </c>
      <c r="C96" s="165" t="str">
        <f ca="1">IFERROR(IF(ISNUMBER(FIND("ED only",$B$4)),IF(LEFT($B$7,6)="Number",SUMIFS(Comparison_Lookup,site_level_range_board,$B96,date_range_board,C94,inputdata!$F:$F,"ED"),TEXT(SUMIFS(Comparison_Lookup,site_level_range_board,$B96,date_range_board,C94,inputdata!$F:$F,"ED")/SUMIFS(All_Attendances,site_level_range_board,$B96,date_range_board,C94,inputdata!$F:$F,"ED"),"0.0%")),IF(LEFT($B$7,6)="Number",SUMIFS(Comparison_Lookup,site_level_range_board,$B96,date_range_board,C94),TEXT(SUMIFS(Comparison_Lookup,site_level_range_board,$B96,date_range_board,C94)/SUMIFS(All_Attendances,site_level_range_board,$B96,date_range_board,C94),"0.0%"))),"")</f>
        <v>93.6%</v>
      </c>
      <c r="D96" s="165" t="str">
        <f ca="1">IFERROR(IF(ISNUMBER(FIND("ED only",$B$4)),IF(LEFT($B$7,6)="Number",SUMIFS(Comparison_Lookup,site_level_range_board,$B96,date_range_board,D94,inputdata!$F:$F,"ED"),TEXT(SUMIFS(Comparison_Lookup,site_level_range_board,$B96,date_range_board,D94,inputdata!$F:$F,"ED")/SUMIFS(All_Attendances,site_level_range_board,$B96,date_range_board,D94,inputdata!$F:$F,"ED"),"0.0%")),IF(LEFT($B$7,6)="Number",SUMIFS(Comparison_Lookup,site_level_range_board,$B96,date_range_board,D94),TEXT(SUMIFS(Comparison_Lookup,site_level_range_board,$B96,date_range_board,D94)/SUMIFS(All_Attendances,site_level_range_board,$B96,date_range_board,D94),"0.0%"))),"")</f>
        <v>93.5%</v>
      </c>
      <c r="E96" s="165" t="str">
        <f ca="1">IFERROR(IF(ISNUMBER(FIND("ED only",$B$4)),IF(LEFT($B$7,6)="Number",SUMIFS(Comparison_Lookup,site_level_range_board,$B96,date_range_board,E94,inputdata!$F:$F,"ED"),TEXT(SUMIFS(Comparison_Lookup,site_level_range_board,$B96,date_range_board,E94,inputdata!$F:$F,"ED")/SUMIFS(All_Attendances,site_level_range_board,$B96,date_range_board,E94,inputdata!$F:$F,"ED"),"0.0%")),IF(LEFT($B$7,6)="Number",SUMIFS(Comparison_Lookup,site_level_range_board,$B96,date_range_board,E94),TEXT(SUMIFS(Comparison_Lookup,site_level_range_board,$B96,date_range_board,E94)/SUMIFS(All_Attendances,site_level_range_board,$B96,date_range_board,E94),"0.0%"))),"")</f>
        <v>97.2%</v>
      </c>
      <c r="F96" s="165" t="str">
        <f ca="1">IFERROR(IF(ISNUMBER(FIND("ED only",$B$4)),IF(LEFT($B$7,6)="Number",SUMIFS(Comparison_Lookup,site_level_range_board,$B96,date_range_board,F94,inputdata!$F:$F,"ED"),TEXT(SUMIFS(Comparison_Lookup,site_level_range_board,$B96,date_range_board,F94,inputdata!$F:$F,"ED")/SUMIFS(All_Attendances,site_level_range_board,$B96,date_range_board,F94,inputdata!$F:$F,"ED"),"0.0%")),IF(LEFT($B$7,6)="Number",SUMIFS(Comparison_Lookup,site_level_range_board,$B96,date_range_board,F94),TEXT(SUMIFS(Comparison_Lookup,site_level_range_board,$B96,date_range_board,F94)/SUMIFS(All_Attendances,site_level_range_board,$B96,date_range_board,F94),"0.0%"))),"")</f>
        <v>96.0%</v>
      </c>
      <c r="G96" s="165" t="str">
        <f ca="1">IFERROR(IF(ISNUMBER(FIND("ED only",$B$4)),IF(LEFT($B$7,6)="Number",SUMIFS(Comparison_Lookup,site_level_range_board,$B96,date_range_board,G94,inputdata!$F:$F,"ED"),TEXT(SUMIFS(Comparison_Lookup,site_level_range_board,$B96,date_range_board,G94,inputdata!$F:$F,"ED")/SUMIFS(All_Attendances,site_level_range_board,$B96,date_range_board,G94,inputdata!$F:$F,"ED"),"0.0%")),IF(LEFT($B$7,6)="Number",SUMIFS(Comparison_Lookup,site_level_range_board,$B96,date_range_board,G94),TEXT(SUMIFS(Comparison_Lookup,site_level_range_board,$B96,date_range_board,G94)/SUMIFS(All_Attendances,site_level_range_board,$B96,date_range_board,G94),"0.0%"))),"")</f>
        <v>96.8%</v>
      </c>
      <c r="H96" s="165" t="str">
        <f ca="1">IFERROR(IF(ISNUMBER(FIND("ED only",$B$4)),IF(LEFT($B$7,6)="Number",SUMIFS(Comparison_Lookup,site_level_range_board,$B96,date_range_board,H94,inputdata!$F:$F,"ED"),TEXT(SUMIFS(Comparison_Lookup,site_level_range_board,$B96,date_range_board,H94,inputdata!$F:$F,"ED")/SUMIFS(All_Attendances,site_level_range_board,$B96,date_range_board,H94,inputdata!$F:$F,"ED"),"0.0%")),IF(LEFT($B$7,6)="Number",SUMIFS(Comparison_Lookup,site_level_range_board,$B96,date_range_board,H94),TEXT(SUMIFS(Comparison_Lookup,site_level_range_board,$B96,date_range_board,H94)/SUMIFS(All_Attendances,site_level_range_board,$B96,date_range_board,H94),"0.0%"))),"")</f>
        <v>95.0%</v>
      </c>
      <c r="I96" s="165" t="str">
        <f ca="1">IFERROR(IF(ISNUMBER(FIND("ED only",$B$4)),IF(LEFT($B$7,6)="Number",SUMIFS(Comparison_Lookup,site_level_range_board,$B96,date_range_board,I94,inputdata!$F:$F,"ED"),TEXT(SUMIFS(Comparison_Lookup,site_level_range_board,$B96,date_range_board,I94,inputdata!$F:$F,"ED")/SUMIFS(All_Attendances,site_level_range_board,$B96,date_range_board,I94,inputdata!$F:$F,"ED"),"0.0%")),IF(LEFT($B$7,6)="Number",SUMIFS(Comparison_Lookup,site_level_range_board,$B96,date_range_board,I94),TEXT(SUMIFS(Comparison_Lookup,site_level_range_board,$B96,date_range_board,I94)/SUMIFS(All_Attendances,site_level_range_board,$B96,date_range_board,I94),"0.0%"))),"")</f>
        <v>95.4%</v>
      </c>
      <c r="J96" s="165" t="str">
        <f ca="1">IFERROR(IF(ISNUMBER(FIND("ED only",$B$4)),IF(LEFT($B$7,6)="Number",SUMIFS(Comparison_Lookup,site_level_range_board,$B96,date_range_board,J94,inputdata!$F:$F,"ED"),TEXT(SUMIFS(Comparison_Lookup,site_level_range_board,$B96,date_range_board,J94,inputdata!$F:$F,"ED")/SUMIFS(All_Attendances,site_level_range_board,$B96,date_range_board,J94,inputdata!$F:$F,"ED"),"0.0%")),IF(LEFT($B$7,6)="Number",SUMIFS(Comparison_Lookup,site_level_range_board,$B96,date_range_board,J94),TEXT(SUMIFS(Comparison_Lookup,site_level_range_board,$B96,date_range_board,J94)/SUMIFS(All_Attendances,site_level_range_board,$B96,date_range_board,J94),"0.0%"))),"")</f>
        <v>93.8%</v>
      </c>
      <c r="K96" s="165" t="str">
        <f ca="1">IFERROR(IF(ISNUMBER(FIND("ED only",$B$4)),IF(LEFT($B$7,6)="Number",SUMIFS(Comparison_Lookup,site_level_range_board,$B96,date_range_board,K94,inputdata!$F:$F,"ED"),TEXT(SUMIFS(Comparison_Lookup,site_level_range_board,$B96,date_range_board,K94,inputdata!$F:$F,"ED")/SUMIFS(All_Attendances,site_level_range_board,$B96,date_range_board,K94,inputdata!$F:$F,"ED"),"0.0%")),IF(LEFT($B$7,6)="Number",SUMIFS(Comparison_Lookup,site_level_range_board,$B96,date_range_board,K94),TEXT(SUMIFS(Comparison_Lookup,site_level_range_board,$B96,date_range_board,K94)/SUMIFS(All_Attendances,site_level_range_board,$B96,date_range_board,K94),"0.0%"))),"")</f>
        <v>88.9%</v>
      </c>
      <c r="L96" s="165" t="str">
        <f ca="1">IFERROR(IF(ISNUMBER(FIND("ED only",$B$4)),IF(LEFT($B$7,6)="Number",SUMIFS(Comparison_Lookup,site_level_range_board,$B96,date_range_board,L94,inputdata!$F:$F,"ED"),TEXT(SUMIFS(Comparison_Lookup,site_level_range_board,$B96,date_range_board,L94,inputdata!$F:$F,"ED")/SUMIFS(All_Attendances,site_level_range_board,$B96,date_range_board,L94,inputdata!$F:$F,"ED"),"0.0%")),IF(LEFT($B$7,6)="Number",SUMIFS(Comparison_Lookup,site_level_range_board,$B96,date_range_board,L94),TEXT(SUMIFS(Comparison_Lookup,site_level_range_board,$B96,date_range_board,L94)/SUMIFS(All_Attendances,site_level_range_board,$B96,date_range_board,L94),"0.0%"))),"")</f>
        <v>86.8%</v>
      </c>
      <c r="M96" s="165" t="str">
        <f ca="1">IFERROR(IF(ISNUMBER(FIND("ED only",$B$4)),IF(LEFT($B$7,6)="Number",SUMIFS(Comparison_Lookup,site_level_range_board,$B96,date_range_board,M94,inputdata!$F:$F,"ED"),TEXT(SUMIFS(Comparison_Lookup,site_level_range_board,$B96,date_range_board,M94,inputdata!$F:$F,"ED")/SUMIFS(All_Attendances,site_level_range_board,$B96,date_range_board,M94,inputdata!$F:$F,"ED"),"0.0%")),IF(LEFT($B$7,6)="Number",SUMIFS(Comparison_Lookup,site_level_range_board,$B96,date_range_board,M94),TEXT(SUMIFS(Comparison_Lookup,site_level_range_board,$B96,date_range_board,M94)/SUMIFS(All_Attendances,site_level_range_board,$B96,date_range_board,M94),"0.0%"))),"")</f>
        <v>91.8%</v>
      </c>
      <c r="N96" s="171" t="str">
        <f ca="1">IFERROR(IF(ISNUMBER(FIND("ED only",$B$4)),IF(LEFT($B$7,6)="Number",SUMIFS(Comparison_Lookup,site_level_range_board,$B96,date_range_board,N94,inputdata!$F:$F,"ED"),TEXT(SUMIFS(Comparison_Lookup,site_level_range_board,$B96,date_range_board,N94,inputdata!$F:$F,"ED")/SUMIFS(All_Attendances,site_level_range_board,$B96,date_range_board,N94,inputdata!$F:$F,"ED"),"0.0%")),IF(LEFT($B$7,6)="Number",SUMIFS(Comparison_Lookup,site_level_range_board,$B96,date_range_board,N94),TEXT(SUMIFS(Comparison_Lookup,site_level_range_board,$B96,date_range_board,N94)/SUMIFS(All_Attendances,site_level_range_board,$B96,date_range_board,N94),"0.0%"))),"")</f>
        <v>89.5%</v>
      </c>
    </row>
    <row r="97" spans="1:14" ht="15" customHeight="1" x14ac:dyDescent="0.2">
      <c r="A97" s="132"/>
      <c r="B97" s="152" t="s">
        <v>429</v>
      </c>
      <c r="C97" s="165" t="str">
        <f ca="1">IFERROR(IF(ISNUMBER(FIND("ED only",$B$4)),IF(LEFT($B$7,6)="Number",SUMIFS(Comparison_Lookup,site_level_range_board,$B97,date_range_board,C94,inputdata!$F:$F,"ED"),TEXT(SUMIFS(Comparison_Lookup,site_level_range_board,$B97,date_range_board,C94,inputdata!$F:$F,"ED")/SUMIFS(All_Attendances,site_level_range_board,$B97,date_range_board,C94,inputdata!$F:$F,"ED"),"0.0%")),IF(LEFT($B$7,6)="Number",SUMIFS(Comparison_Lookup,site_level_range_board,$B97,date_range_board,C94),TEXT(SUMIFS(Comparison_Lookup,site_level_range_board,$B97,date_range_board,C94)/SUMIFS(All_Attendances,site_level_range_board,$B97,date_range_board,C94),"0.0%"))),"")</f>
        <v>93.8%</v>
      </c>
      <c r="D97" s="165" t="str">
        <f ca="1">IFERROR(IF(ISNUMBER(FIND("ED only",$B$4)),IF(LEFT($B$7,6)="Number",SUMIFS(Comparison_Lookup,site_level_range_board,$B97,date_range_board,D94,inputdata!$F:$F,"ED"),TEXT(SUMIFS(Comparison_Lookup,site_level_range_board,$B97,date_range_board,D94,inputdata!$F:$F,"ED")/SUMIFS(All_Attendances,site_level_range_board,$B97,date_range_board,D94,inputdata!$F:$F,"ED"),"0.0%")),IF(LEFT($B$7,6)="Number",SUMIFS(Comparison_Lookup,site_level_range_board,$B97,date_range_board,D94),TEXT(SUMIFS(Comparison_Lookup,site_level_range_board,$B97,date_range_board,D94)/SUMIFS(All_Attendances,site_level_range_board,$B97,date_range_board,D94),"0.0%"))),"")</f>
        <v>95.4%</v>
      </c>
      <c r="E97" s="165" t="str">
        <f ca="1">IFERROR(IF(ISNUMBER(FIND("ED only",$B$4)),IF(LEFT($B$7,6)="Number",SUMIFS(Comparison_Lookup,site_level_range_board,$B97,date_range_board,E94,inputdata!$F:$F,"ED"),TEXT(SUMIFS(Comparison_Lookup,site_level_range_board,$B97,date_range_board,E94,inputdata!$F:$F,"ED")/SUMIFS(All_Attendances,site_level_range_board,$B97,date_range_board,E94,inputdata!$F:$F,"ED"),"0.0%")),IF(LEFT($B$7,6)="Number",SUMIFS(Comparison_Lookup,site_level_range_board,$B97,date_range_board,E94),TEXT(SUMIFS(Comparison_Lookup,site_level_range_board,$B97,date_range_board,E94)/SUMIFS(All_Attendances,site_level_range_board,$B97,date_range_board,E94),"0.0%"))),"")</f>
        <v>95.6%</v>
      </c>
      <c r="F97" s="165" t="str">
        <f ca="1">IFERROR(IF(ISNUMBER(FIND("ED only",$B$4)),IF(LEFT($B$7,6)="Number",SUMIFS(Comparison_Lookup,site_level_range_board,$B97,date_range_board,F94,inputdata!$F:$F,"ED"),TEXT(SUMIFS(Comparison_Lookup,site_level_range_board,$B97,date_range_board,F94,inputdata!$F:$F,"ED")/SUMIFS(All_Attendances,site_level_range_board,$B97,date_range_board,F94,inputdata!$F:$F,"ED"),"0.0%")),IF(LEFT($B$7,6)="Number",SUMIFS(Comparison_Lookup,site_level_range_board,$B97,date_range_board,F94),TEXT(SUMIFS(Comparison_Lookup,site_level_range_board,$B97,date_range_board,F94)/SUMIFS(All_Attendances,site_level_range_board,$B97,date_range_board,F94),"0.0%"))),"")</f>
        <v>94.8%</v>
      </c>
      <c r="G97" s="165" t="str">
        <f ca="1">IFERROR(IF(ISNUMBER(FIND("ED only",$B$4)),IF(LEFT($B$7,6)="Number",SUMIFS(Comparison_Lookup,site_level_range_board,$B97,date_range_board,G94,inputdata!$F:$F,"ED"),TEXT(SUMIFS(Comparison_Lookup,site_level_range_board,$B97,date_range_board,G94,inputdata!$F:$F,"ED")/SUMIFS(All_Attendances,site_level_range_board,$B97,date_range_board,G94,inputdata!$F:$F,"ED"),"0.0%")),IF(LEFT($B$7,6)="Number",SUMIFS(Comparison_Lookup,site_level_range_board,$B97,date_range_board,G94),TEXT(SUMIFS(Comparison_Lookup,site_level_range_board,$B97,date_range_board,G94)/SUMIFS(All_Attendances,site_level_range_board,$B97,date_range_board,G94),"0.0%"))),"")</f>
        <v>93.9%</v>
      </c>
      <c r="H97" s="165" t="str">
        <f ca="1">IFERROR(IF(ISNUMBER(FIND("ED only",$B$4)),IF(LEFT($B$7,6)="Number",SUMIFS(Comparison_Lookup,site_level_range_board,$B97,date_range_board,H94,inputdata!$F:$F,"ED"),TEXT(SUMIFS(Comparison_Lookup,site_level_range_board,$B97,date_range_board,H94,inputdata!$F:$F,"ED")/SUMIFS(All_Attendances,site_level_range_board,$B97,date_range_board,H94,inputdata!$F:$F,"ED"),"0.0%")),IF(LEFT($B$7,6)="Number",SUMIFS(Comparison_Lookup,site_level_range_board,$B97,date_range_board,H94),TEXT(SUMIFS(Comparison_Lookup,site_level_range_board,$B97,date_range_board,H94)/SUMIFS(All_Attendances,site_level_range_board,$B97,date_range_board,H94),"0.0%"))),"")</f>
        <v>92.4%</v>
      </c>
      <c r="I97" s="165" t="str">
        <f ca="1">IFERROR(IF(ISNUMBER(FIND("ED only",$B$4)),IF(LEFT($B$7,6)="Number",SUMIFS(Comparison_Lookup,site_level_range_board,$B97,date_range_board,I94,inputdata!$F:$F,"ED"),TEXT(SUMIFS(Comparison_Lookup,site_level_range_board,$B97,date_range_board,I94,inputdata!$F:$F,"ED")/SUMIFS(All_Attendances,site_level_range_board,$B97,date_range_board,I94,inputdata!$F:$F,"ED"),"0.0%")),IF(LEFT($B$7,6)="Number",SUMIFS(Comparison_Lookup,site_level_range_board,$B97,date_range_board,I94),TEXT(SUMIFS(Comparison_Lookup,site_level_range_board,$B97,date_range_board,I94)/SUMIFS(All_Attendances,site_level_range_board,$B97,date_range_board,I94),"0.0%"))),"")</f>
        <v>93.7%</v>
      </c>
      <c r="J97" s="165" t="str">
        <f ca="1">IFERROR(IF(ISNUMBER(FIND("ED only",$B$4)),IF(LEFT($B$7,6)="Number",SUMIFS(Comparison_Lookup,site_level_range_board,$B97,date_range_board,J94,inputdata!$F:$F,"ED"),TEXT(SUMIFS(Comparison_Lookup,site_level_range_board,$B97,date_range_board,J94,inputdata!$F:$F,"ED")/SUMIFS(All_Attendances,site_level_range_board,$B97,date_range_board,J94,inputdata!$F:$F,"ED"),"0.0%")),IF(LEFT($B$7,6)="Number",SUMIFS(Comparison_Lookup,site_level_range_board,$B97,date_range_board,J94),TEXT(SUMIFS(Comparison_Lookup,site_level_range_board,$B97,date_range_board,J94)/SUMIFS(All_Attendances,site_level_range_board,$B97,date_range_board,J94),"0.0%"))),"")</f>
        <v>92.2%</v>
      </c>
      <c r="K97" s="165" t="str">
        <f ca="1">IFERROR(IF(ISNUMBER(FIND("ED only",$B$4)),IF(LEFT($B$7,6)="Number",SUMIFS(Comparison_Lookup,site_level_range_board,$B97,date_range_board,K94,inputdata!$F:$F,"ED"),TEXT(SUMIFS(Comparison_Lookup,site_level_range_board,$B97,date_range_board,K94,inputdata!$F:$F,"ED")/SUMIFS(All_Attendances,site_level_range_board,$B97,date_range_board,K94,inputdata!$F:$F,"ED"),"0.0%")),IF(LEFT($B$7,6)="Number",SUMIFS(Comparison_Lookup,site_level_range_board,$B97,date_range_board,K94),TEXT(SUMIFS(Comparison_Lookup,site_level_range_board,$B97,date_range_board,K94)/SUMIFS(All_Attendances,site_level_range_board,$B97,date_range_board,K94),"0.0%"))),"")</f>
        <v>86.7%</v>
      </c>
      <c r="L97" s="165" t="str">
        <f ca="1">IFERROR(IF(ISNUMBER(FIND("ED only",$B$4)),IF(LEFT($B$7,6)="Number",SUMIFS(Comparison_Lookup,site_level_range_board,$B97,date_range_board,L94,inputdata!$F:$F,"ED"),TEXT(SUMIFS(Comparison_Lookup,site_level_range_board,$B97,date_range_board,L94,inputdata!$F:$F,"ED")/SUMIFS(All_Attendances,site_level_range_board,$B97,date_range_board,L94,inputdata!$F:$F,"ED"),"0.0%")),IF(LEFT($B$7,6)="Number",SUMIFS(Comparison_Lookup,site_level_range_board,$B97,date_range_board,L94),TEXT(SUMIFS(Comparison_Lookup,site_level_range_board,$B97,date_range_board,L94)/SUMIFS(All_Attendances,site_level_range_board,$B97,date_range_board,L94),"0.0%"))),"")</f>
        <v>86.0%</v>
      </c>
      <c r="M97" s="165" t="str">
        <f ca="1">IFERROR(IF(ISNUMBER(FIND("ED only",$B$4)),IF(LEFT($B$7,6)="Number",SUMIFS(Comparison_Lookup,site_level_range_board,$B97,date_range_board,M94,inputdata!$F:$F,"ED"),TEXT(SUMIFS(Comparison_Lookup,site_level_range_board,$B97,date_range_board,M94,inputdata!$F:$F,"ED")/SUMIFS(All_Attendances,site_level_range_board,$B97,date_range_board,M94,inputdata!$F:$F,"ED"),"0.0%")),IF(LEFT($B$7,6)="Number",SUMIFS(Comparison_Lookup,site_level_range_board,$B97,date_range_board,M94),TEXT(SUMIFS(Comparison_Lookup,site_level_range_board,$B97,date_range_board,M94)/SUMIFS(All_Attendances,site_level_range_board,$B97,date_range_board,M94),"0.0%"))),"")</f>
        <v>89.3%</v>
      </c>
      <c r="N97" s="171" t="str">
        <f ca="1">IFERROR(IF(ISNUMBER(FIND("ED only",$B$4)),IF(LEFT($B$7,6)="Number",SUMIFS(Comparison_Lookup,site_level_range_board,$B97,date_range_board,N94,inputdata!$F:$F,"ED"),TEXT(SUMIFS(Comparison_Lookup,site_level_range_board,$B97,date_range_board,N94,inputdata!$F:$F,"ED")/SUMIFS(All_Attendances,site_level_range_board,$B97,date_range_board,N94,inputdata!$F:$F,"ED"),"0.0%")),IF(LEFT($B$7,6)="Number",SUMIFS(Comparison_Lookup,site_level_range_board,$B97,date_range_board,N94),TEXT(SUMIFS(Comparison_Lookup,site_level_range_board,$B97,date_range_board,N94)/SUMIFS(All_Attendances,site_level_range_board,$B97,date_range_board,N94),"0.0%"))),"")</f>
        <v>90.3%</v>
      </c>
    </row>
    <row r="98" spans="1:14" ht="15" customHeight="1" x14ac:dyDescent="0.2">
      <c r="A98" s="132"/>
      <c r="B98" s="152" t="s">
        <v>442</v>
      </c>
      <c r="C98" s="165" t="str">
        <f ca="1">IFERROR(IF(ISNUMBER(FIND("ED only",$B$4)),IF(LEFT($B$7,6)="Number",SUMIFS(Comparison_Lookup,site_level_range_board,$B98,date_range_board,C94,inputdata!$F:$F,"ED"),TEXT(SUMIFS(Comparison_Lookup,site_level_range_board,$B98,date_range_board,C94,inputdata!$F:$F,"ED")/SUMIFS(All_Attendances,site_level_range_board,$B98,date_range_board,C94,inputdata!$F:$F,"ED"),"0.0%")),IF(LEFT($B$7,6)="Number",SUMIFS(Comparison_Lookup,site_level_range_board,$B98,date_range_board,C94),TEXT(SUMIFS(Comparison_Lookup,site_level_range_board,$B98,date_range_board,C94)/SUMIFS(All_Attendances,site_level_range_board,$B98,date_range_board,C94),"0.0%"))),"")</f>
        <v>93.1%</v>
      </c>
      <c r="D98" s="165" t="str">
        <f ca="1">IFERROR(IF(ISNUMBER(FIND("ED only",$B$4)),IF(LEFT($B$7,6)="Number",SUMIFS(Comparison_Lookup,site_level_range_board,$B98,date_range_board,D94,inputdata!$F:$F,"ED"),TEXT(SUMIFS(Comparison_Lookup,site_level_range_board,$B98,date_range_board,D94,inputdata!$F:$F,"ED")/SUMIFS(All_Attendances,site_level_range_board,$B98,date_range_board,D94,inputdata!$F:$F,"ED"),"0.0%")),IF(LEFT($B$7,6)="Number",SUMIFS(Comparison_Lookup,site_level_range_board,$B98,date_range_board,D94),TEXT(SUMIFS(Comparison_Lookup,site_level_range_board,$B98,date_range_board,D94)/SUMIFS(All_Attendances,site_level_range_board,$B98,date_range_board,D94),"0.0%"))),"")</f>
        <v>94.7%</v>
      </c>
      <c r="E98" s="165" t="str">
        <f ca="1">IFERROR(IF(ISNUMBER(FIND("ED only",$B$4)),IF(LEFT($B$7,6)="Number",SUMIFS(Comparison_Lookup,site_level_range_board,$B98,date_range_board,E94,inputdata!$F:$F,"ED"),TEXT(SUMIFS(Comparison_Lookup,site_level_range_board,$B98,date_range_board,E94,inputdata!$F:$F,"ED")/SUMIFS(All_Attendances,site_level_range_board,$B98,date_range_board,E94,inputdata!$F:$F,"ED"),"0.0%")),IF(LEFT($B$7,6)="Number",SUMIFS(Comparison_Lookup,site_level_range_board,$B98,date_range_board,E94),TEXT(SUMIFS(Comparison_Lookup,site_level_range_board,$B98,date_range_board,E94)/SUMIFS(All_Attendances,site_level_range_board,$B98,date_range_board,E94),"0.0%"))),"")</f>
        <v>96.2%</v>
      </c>
      <c r="F98" s="165" t="str">
        <f ca="1">IFERROR(IF(ISNUMBER(FIND("ED only",$B$4)),IF(LEFT($B$7,6)="Number",SUMIFS(Comparison_Lookup,site_level_range_board,$B98,date_range_board,F94,inputdata!$F:$F,"ED"),TEXT(SUMIFS(Comparison_Lookup,site_level_range_board,$B98,date_range_board,F94,inputdata!$F:$F,"ED")/SUMIFS(All_Attendances,site_level_range_board,$B98,date_range_board,F94,inputdata!$F:$F,"ED"),"0.0%")),IF(LEFT($B$7,6)="Number",SUMIFS(Comparison_Lookup,site_level_range_board,$B98,date_range_board,F94),TEXT(SUMIFS(Comparison_Lookup,site_level_range_board,$B98,date_range_board,F94)/SUMIFS(All_Attendances,site_level_range_board,$B98,date_range_board,F94),"0.0%"))),"")</f>
        <v>96.3%</v>
      </c>
      <c r="G98" s="165" t="str">
        <f ca="1">IFERROR(IF(ISNUMBER(FIND("ED only",$B$4)),IF(LEFT($B$7,6)="Number",SUMIFS(Comparison_Lookup,site_level_range_board,$B98,date_range_board,G94,inputdata!$F:$F,"ED"),TEXT(SUMIFS(Comparison_Lookup,site_level_range_board,$B98,date_range_board,G94,inputdata!$F:$F,"ED")/SUMIFS(All_Attendances,site_level_range_board,$B98,date_range_board,G94,inputdata!$F:$F,"ED"),"0.0%")),IF(LEFT($B$7,6)="Number",SUMIFS(Comparison_Lookup,site_level_range_board,$B98,date_range_board,G94),TEXT(SUMIFS(Comparison_Lookup,site_level_range_board,$B98,date_range_board,G94)/SUMIFS(All_Attendances,site_level_range_board,$B98,date_range_board,G94),"0.0%"))),"")</f>
        <v>96.8%</v>
      </c>
      <c r="H98" s="165" t="str">
        <f ca="1">IFERROR(IF(ISNUMBER(FIND("ED only",$B$4)),IF(LEFT($B$7,6)="Number",SUMIFS(Comparison_Lookup,site_level_range_board,$B98,date_range_board,H94,inputdata!$F:$F,"ED"),TEXT(SUMIFS(Comparison_Lookup,site_level_range_board,$B98,date_range_board,H94,inputdata!$F:$F,"ED")/SUMIFS(All_Attendances,site_level_range_board,$B98,date_range_board,H94,inputdata!$F:$F,"ED"),"0.0%")),IF(LEFT($B$7,6)="Number",SUMIFS(Comparison_Lookup,site_level_range_board,$B98,date_range_board,H94),TEXT(SUMIFS(Comparison_Lookup,site_level_range_board,$B98,date_range_board,H94)/SUMIFS(All_Attendances,site_level_range_board,$B98,date_range_board,H94),"0.0%"))),"")</f>
        <v>95.7%</v>
      </c>
      <c r="I98" s="165" t="str">
        <f ca="1">IFERROR(IF(ISNUMBER(FIND("ED only",$B$4)),IF(LEFT($B$7,6)="Number",SUMIFS(Comparison_Lookup,site_level_range_board,$B98,date_range_board,I94,inputdata!$F:$F,"ED"),TEXT(SUMIFS(Comparison_Lookup,site_level_range_board,$B98,date_range_board,I94,inputdata!$F:$F,"ED")/SUMIFS(All_Attendances,site_level_range_board,$B98,date_range_board,I94,inputdata!$F:$F,"ED"),"0.0%")),IF(LEFT($B$7,6)="Number",SUMIFS(Comparison_Lookup,site_level_range_board,$B98,date_range_board,I94),TEXT(SUMIFS(Comparison_Lookup,site_level_range_board,$B98,date_range_board,I94)/SUMIFS(All_Attendances,site_level_range_board,$B98,date_range_board,I94),"0.0%"))),"")</f>
        <v>97.6%</v>
      </c>
      <c r="J98" s="165" t="str">
        <f ca="1">IFERROR(IF(ISNUMBER(FIND("ED only",$B$4)),IF(LEFT($B$7,6)="Number",SUMIFS(Comparison_Lookup,site_level_range_board,$B98,date_range_board,J94,inputdata!$F:$F,"ED"),TEXT(SUMIFS(Comparison_Lookup,site_level_range_board,$B98,date_range_board,J94,inputdata!$F:$F,"ED")/SUMIFS(All_Attendances,site_level_range_board,$B98,date_range_board,J94,inputdata!$F:$F,"ED"),"0.0%")),IF(LEFT($B$7,6)="Number",SUMIFS(Comparison_Lookup,site_level_range_board,$B98,date_range_board,J94),TEXT(SUMIFS(Comparison_Lookup,site_level_range_board,$B98,date_range_board,J94)/SUMIFS(All_Attendances,site_level_range_board,$B98,date_range_board,J94),"0.0%"))),"")</f>
        <v>96.2%</v>
      </c>
      <c r="K98" s="165" t="str">
        <f ca="1">IFERROR(IF(ISNUMBER(FIND("ED only",$B$4)),IF(LEFT($B$7,6)="Number",SUMIFS(Comparison_Lookup,site_level_range_board,$B98,date_range_board,K94,inputdata!$F:$F,"ED"),TEXT(SUMIFS(Comparison_Lookup,site_level_range_board,$B98,date_range_board,K94,inputdata!$F:$F,"ED")/SUMIFS(All_Attendances,site_level_range_board,$B98,date_range_board,K94,inputdata!$F:$F,"ED"),"0.0%")),IF(LEFT($B$7,6)="Number",SUMIFS(Comparison_Lookup,site_level_range_board,$B98,date_range_board,K94),TEXT(SUMIFS(Comparison_Lookup,site_level_range_board,$B98,date_range_board,K94)/SUMIFS(All_Attendances,site_level_range_board,$B98,date_range_board,K94),"0.0%"))),"")</f>
        <v>90.8%</v>
      </c>
      <c r="L98" s="165" t="str">
        <f ca="1">IFERROR(IF(ISNUMBER(FIND("ED only",$B$4)),IF(LEFT($B$7,6)="Number",SUMIFS(Comparison_Lookup,site_level_range_board,$B98,date_range_board,L94,inputdata!$F:$F,"ED"),TEXT(SUMIFS(Comparison_Lookup,site_level_range_board,$B98,date_range_board,L94,inputdata!$F:$F,"ED")/SUMIFS(All_Attendances,site_level_range_board,$B98,date_range_board,L94,inputdata!$F:$F,"ED"),"0.0%")),IF(LEFT($B$7,6)="Number",SUMIFS(Comparison_Lookup,site_level_range_board,$B98,date_range_board,L94),TEXT(SUMIFS(Comparison_Lookup,site_level_range_board,$B98,date_range_board,L94)/SUMIFS(All_Attendances,site_level_range_board,$B98,date_range_board,L94),"0.0%"))),"")</f>
        <v>92.2%</v>
      </c>
      <c r="M98" s="165" t="str">
        <f ca="1">IFERROR(IF(ISNUMBER(FIND("ED only",$B$4)),IF(LEFT($B$7,6)="Number",SUMIFS(Comparison_Lookup,site_level_range_board,$B98,date_range_board,M94,inputdata!$F:$F,"ED"),TEXT(SUMIFS(Comparison_Lookup,site_level_range_board,$B98,date_range_board,M94,inputdata!$F:$F,"ED")/SUMIFS(All_Attendances,site_level_range_board,$B98,date_range_board,M94,inputdata!$F:$F,"ED"),"0.0%")),IF(LEFT($B$7,6)="Number",SUMIFS(Comparison_Lookup,site_level_range_board,$B98,date_range_board,M94),TEXT(SUMIFS(Comparison_Lookup,site_level_range_board,$B98,date_range_board,M94)/SUMIFS(All_Attendances,site_level_range_board,$B98,date_range_board,M94),"0.0%"))),"")</f>
        <v>97.5%</v>
      </c>
      <c r="N98" s="171" t="str">
        <f ca="1">IFERROR(IF(ISNUMBER(FIND("ED only",$B$4)),IF(LEFT($B$7,6)="Number",SUMIFS(Comparison_Lookup,site_level_range_board,$B98,date_range_board,N94,inputdata!$F:$F,"ED"),TEXT(SUMIFS(Comparison_Lookup,site_level_range_board,$B98,date_range_board,N94,inputdata!$F:$F,"ED")/SUMIFS(All_Attendances,site_level_range_board,$B98,date_range_board,N94,inputdata!$F:$F,"ED"),"0.0%")),IF(LEFT($B$7,6)="Number",SUMIFS(Comparison_Lookup,site_level_range_board,$B98,date_range_board,N94),TEXT(SUMIFS(Comparison_Lookup,site_level_range_board,$B98,date_range_board,N94)/SUMIFS(All_Attendances,site_level_range_board,$B98,date_range_board,N94),"0.0%"))),"")</f>
        <v>94.6%</v>
      </c>
    </row>
    <row r="99" spans="1:14" ht="15" customHeight="1" x14ac:dyDescent="0.2">
      <c r="A99" s="132"/>
      <c r="B99" s="152" t="s">
        <v>451</v>
      </c>
      <c r="C99" s="165" t="str">
        <f ca="1">IFERROR(IF(ISNUMBER(FIND("ED only",$B$4)),IF(LEFT($B$7,6)="Number",SUMIFS(Comparison_Lookup,site_level_range_board,$B99,date_range_board,C94,inputdata!$F:$F,"ED"),TEXT(SUMIFS(Comparison_Lookup,site_level_range_board,$B99,date_range_board,C94,inputdata!$F:$F,"ED")/SUMIFS(All_Attendances,site_level_range_board,$B99,date_range_board,C94,inputdata!$F:$F,"ED"),"0.0%")),IF(LEFT($B$7,6)="Number",SUMIFS(Comparison_Lookup,site_level_range_board,$B99,date_range_board,C94),TEXT(SUMIFS(Comparison_Lookup,site_level_range_board,$B99,date_range_board,C94)/SUMIFS(All_Attendances,site_level_range_board,$B99,date_range_board,C94),"0.0%"))),"")</f>
        <v>90.9%</v>
      </c>
      <c r="D99" s="165" t="str">
        <f ca="1">IFERROR(IF(ISNUMBER(FIND("ED only",$B$4)),IF(LEFT($B$7,6)="Number",SUMIFS(Comparison_Lookup,site_level_range_board,$B99,date_range_board,D94,inputdata!$F:$F,"ED"),TEXT(SUMIFS(Comparison_Lookup,site_level_range_board,$B99,date_range_board,D94,inputdata!$F:$F,"ED")/SUMIFS(All_Attendances,site_level_range_board,$B99,date_range_board,D94,inputdata!$F:$F,"ED"),"0.0%")),IF(LEFT($B$7,6)="Number",SUMIFS(Comparison_Lookup,site_level_range_board,$B99,date_range_board,D94),TEXT(SUMIFS(Comparison_Lookup,site_level_range_board,$B99,date_range_board,D94)/SUMIFS(All_Attendances,site_level_range_board,$B99,date_range_board,D94),"0.0%"))),"")</f>
        <v>91.8%</v>
      </c>
      <c r="E99" s="165" t="str">
        <f ca="1">IFERROR(IF(ISNUMBER(FIND("ED only",$B$4)),IF(LEFT($B$7,6)="Number",SUMIFS(Comparison_Lookup,site_level_range_board,$B99,date_range_board,E94,inputdata!$F:$F,"ED"),TEXT(SUMIFS(Comparison_Lookup,site_level_range_board,$B99,date_range_board,E94,inputdata!$F:$F,"ED")/SUMIFS(All_Attendances,site_level_range_board,$B99,date_range_board,E94,inputdata!$F:$F,"ED"),"0.0%")),IF(LEFT($B$7,6)="Number",SUMIFS(Comparison_Lookup,site_level_range_board,$B99,date_range_board,E94),TEXT(SUMIFS(Comparison_Lookup,site_level_range_board,$B99,date_range_board,E94)/SUMIFS(All_Attendances,site_level_range_board,$B99,date_range_board,E94),"0.0%"))),"")</f>
        <v>94.6%</v>
      </c>
      <c r="F99" s="165" t="str">
        <f ca="1">IFERROR(IF(ISNUMBER(FIND("ED only",$B$4)),IF(LEFT($B$7,6)="Number",SUMIFS(Comparison_Lookup,site_level_range_board,$B99,date_range_board,F94,inputdata!$F:$F,"ED"),TEXT(SUMIFS(Comparison_Lookup,site_level_range_board,$B99,date_range_board,F94,inputdata!$F:$F,"ED")/SUMIFS(All_Attendances,site_level_range_board,$B99,date_range_board,F94,inputdata!$F:$F,"ED"),"0.0%")),IF(LEFT($B$7,6)="Number",SUMIFS(Comparison_Lookup,site_level_range_board,$B99,date_range_board,F94),TEXT(SUMIFS(Comparison_Lookup,site_level_range_board,$B99,date_range_board,F94)/SUMIFS(All_Attendances,site_level_range_board,$B99,date_range_board,F94),"0.0%"))),"")</f>
        <v>93.2%</v>
      </c>
      <c r="G99" s="165" t="str">
        <f ca="1">IFERROR(IF(ISNUMBER(FIND("ED only",$B$4)),IF(LEFT($B$7,6)="Number",SUMIFS(Comparison_Lookup,site_level_range_board,$B99,date_range_board,G94,inputdata!$F:$F,"ED"),TEXT(SUMIFS(Comparison_Lookup,site_level_range_board,$B99,date_range_board,G94,inputdata!$F:$F,"ED")/SUMIFS(All_Attendances,site_level_range_board,$B99,date_range_board,G94,inputdata!$F:$F,"ED"),"0.0%")),IF(LEFT($B$7,6)="Number",SUMIFS(Comparison_Lookup,site_level_range_board,$B99,date_range_board,G94),TEXT(SUMIFS(Comparison_Lookup,site_level_range_board,$B99,date_range_board,G94)/SUMIFS(All_Attendances,site_level_range_board,$B99,date_range_board,G94),"0.0%"))),"")</f>
        <v>93.5%</v>
      </c>
      <c r="H99" s="165" t="str">
        <f ca="1">IFERROR(IF(ISNUMBER(FIND("ED only",$B$4)),IF(LEFT($B$7,6)="Number",SUMIFS(Comparison_Lookup,site_level_range_board,$B99,date_range_board,H94,inputdata!$F:$F,"ED"),TEXT(SUMIFS(Comparison_Lookup,site_level_range_board,$B99,date_range_board,H94,inputdata!$F:$F,"ED")/SUMIFS(All_Attendances,site_level_range_board,$B99,date_range_board,H94,inputdata!$F:$F,"ED"),"0.0%")),IF(LEFT($B$7,6)="Number",SUMIFS(Comparison_Lookup,site_level_range_board,$B99,date_range_board,H94),TEXT(SUMIFS(Comparison_Lookup,site_level_range_board,$B99,date_range_board,H94)/SUMIFS(All_Attendances,site_level_range_board,$B99,date_range_board,H94),"0.0%"))),"")</f>
        <v>92.9%</v>
      </c>
      <c r="I99" s="165" t="str">
        <f ca="1">IFERROR(IF(ISNUMBER(FIND("ED only",$B$4)),IF(LEFT($B$7,6)="Number",SUMIFS(Comparison_Lookup,site_level_range_board,$B99,date_range_board,I94,inputdata!$F:$F,"ED"),TEXT(SUMIFS(Comparison_Lookup,site_level_range_board,$B99,date_range_board,I94,inputdata!$F:$F,"ED")/SUMIFS(All_Attendances,site_level_range_board,$B99,date_range_board,I94,inputdata!$F:$F,"ED"),"0.0%")),IF(LEFT($B$7,6)="Number",SUMIFS(Comparison_Lookup,site_level_range_board,$B99,date_range_board,I94),TEXT(SUMIFS(Comparison_Lookup,site_level_range_board,$B99,date_range_board,I94)/SUMIFS(All_Attendances,site_level_range_board,$B99,date_range_board,I94),"0.0%"))),"")</f>
        <v>91.8%</v>
      </c>
      <c r="J99" s="165" t="str">
        <f ca="1">IFERROR(IF(ISNUMBER(FIND("ED only",$B$4)),IF(LEFT($B$7,6)="Number",SUMIFS(Comparison_Lookup,site_level_range_board,$B99,date_range_board,J94,inputdata!$F:$F,"ED"),TEXT(SUMIFS(Comparison_Lookup,site_level_range_board,$B99,date_range_board,J94,inputdata!$F:$F,"ED")/SUMIFS(All_Attendances,site_level_range_board,$B99,date_range_board,J94,inputdata!$F:$F,"ED"),"0.0%")),IF(LEFT($B$7,6)="Number",SUMIFS(Comparison_Lookup,site_level_range_board,$B99,date_range_board,J94),TEXT(SUMIFS(Comparison_Lookup,site_level_range_board,$B99,date_range_board,J94)/SUMIFS(All_Attendances,site_level_range_board,$B99,date_range_board,J94),"0.0%"))),"")</f>
        <v>94.9%</v>
      </c>
      <c r="K99" s="165" t="str">
        <f ca="1">IFERROR(IF(ISNUMBER(FIND("ED only",$B$4)),IF(LEFT($B$7,6)="Number",SUMIFS(Comparison_Lookup,site_level_range_board,$B99,date_range_board,K94,inputdata!$F:$F,"ED"),TEXT(SUMIFS(Comparison_Lookup,site_level_range_board,$B99,date_range_board,K94,inputdata!$F:$F,"ED")/SUMIFS(All_Attendances,site_level_range_board,$B99,date_range_board,K94,inputdata!$F:$F,"ED"),"0.0%")),IF(LEFT($B$7,6)="Number",SUMIFS(Comparison_Lookup,site_level_range_board,$B99,date_range_board,K94),TEXT(SUMIFS(Comparison_Lookup,site_level_range_board,$B99,date_range_board,K94)/SUMIFS(All_Attendances,site_level_range_board,$B99,date_range_board,K94),"0.0%"))),"")</f>
        <v>76.6%</v>
      </c>
      <c r="L99" s="165" t="str">
        <f ca="1">IFERROR(IF(ISNUMBER(FIND("ED only",$B$4)),IF(LEFT($B$7,6)="Number",SUMIFS(Comparison_Lookup,site_level_range_board,$B99,date_range_board,L94,inputdata!$F:$F,"ED"),TEXT(SUMIFS(Comparison_Lookup,site_level_range_board,$B99,date_range_board,L94,inputdata!$F:$F,"ED")/SUMIFS(All_Attendances,site_level_range_board,$B99,date_range_board,L94,inputdata!$F:$F,"ED"),"0.0%")),IF(LEFT($B$7,6)="Number",SUMIFS(Comparison_Lookup,site_level_range_board,$B99,date_range_board,L94),TEXT(SUMIFS(Comparison_Lookup,site_level_range_board,$B99,date_range_board,L94)/SUMIFS(All_Attendances,site_level_range_board,$B99,date_range_board,L94),"0.0%"))),"")</f>
        <v>83.1%</v>
      </c>
      <c r="M99" s="165" t="str">
        <f ca="1">IFERROR(IF(ISNUMBER(FIND("ED only",$B$4)),IF(LEFT($B$7,6)="Number",SUMIFS(Comparison_Lookup,site_level_range_board,$B99,date_range_board,M94,inputdata!$F:$F,"ED"),TEXT(SUMIFS(Comparison_Lookup,site_level_range_board,$B99,date_range_board,M94,inputdata!$F:$F,"ED")/SUMIFS(All_Attendances,site_level_range_board,$B99,date_range_board,M94,inputdata!$F:$F,"ED"),"0.0%")),IF(LEFT($B$7,6)="Number",SUMIFS(Comparison_Lookup,site_level_range_board,$B99,date_range_board,M94),TEXT(SUMIFS(Comparison_Lookup,site_level_range_board,$B99,date_range_board,M94)/SUMIFS(All_Attendances,site_level_range_board,$B99,date_range_board,M94),"0.0%"))),"")</f>
        <v>88.5%</v>
      </c>
      <c r="N99" s="171" t="str">
        <f ca="1">IFERROR(IF(ISNUMBER(FIND("ED only",$B$4)),IF(LEFT($B$7,6)="Number",SUMIFS(Comparison_Lookup,site_level_range_board,$B99,date_range_board,N94,inputdata!$F:$F,"ED"),TEXT(SUMIFS(Comparison_Lookup,site_level_range_board,$B99,date_range_board,N94,inputdata!$F:$F,"ED")/SUMIFS(All_Attendances,site_level_range_board,$B99,date_range_board,N94,inputdata!$F:$F,"ED"),"0.0%")),IF(LEFT($B$7,6)="Number",SUMIFS(Comparison_Lookup,site_level_range_board,$B99,date_range_board,N94),TEXT(SUMIFS(Comparison_Lookup,site_level_range_board,$B99,date_range_board,N94)/SUMIFS(All_Attendances,site_level_range_board,$B99,date_range_board,N94),"0.0%"))),"")</f>
        <v>83.4%</v>
      </c>
    </row>
    <row r="100" spans="1:14" ht="15" customHeight="1" x14ac:dyDescent="0.2">
      <c r="A100" s="132"/>
      <c r="B100" s="152" t="s">
        <v>456</v>
      </c>
      <c r="C100" s="165" t="str">
        <f ca="1">IFERROR(IF(ISNUMBER(FIND("ED only",$B$4)),IF(LEFT($B$7,6)="Number",SUMIFS(Comparison_Lookup,site_level_range_board,$B100,date_range_board,C94,inputdata!$F:$F,"ED"),TEXT(SUMIFS(Comparison_Lookup,site_level_range_board,$B100,date_range_board,C94,inputdata!$F:$F,"ED")/SUMIFS(All_Attendances,site_level_range_board,$B100,date_range_board,C94,inputdata!$F:$F,"ED"),"0.0%")),IF(LEFT($B$7,6)="Number",SUMIFS(Comparison_Lookup,site_level_range_board,$B100,date_range_board,C94),TEXT(SUMIFS(Comparison_Lookup,site_level_range_board,$B100,date_range_board,C94)/SUMIFS(All_Attendances,site_level_range_board,$B100,date_range_board,C94),"0.0%"))),"")</f>
        <v>96.1%</v>
      </c>
      <c r="D100" s="165" t="str">
        <f ca="1">IFERROR(IF(ISNUMBER(FIND("ED only",$B$4)),IF(LEFT($B$7,6)="Number",SUMIFS(Comparison_Lookup,site_level_range_board,$B100,date_range_board,D94,inputdata!$F:$F,"ED"),TEXT(SUMIFS(Comparison_Lookup,site_level_range_board,$B100,date_range_board,D94,inputdata!$F:$F,"ED")/SUMIFS(All_Attendances,site_level_range_board,$B100,date_range_board,D94,inputdata!$F:$F,"ED"),"0.0%")),IF(LEFT($B$7,6)="Number",SUMIFS(Comparison_Lookup,site_level_range_board,$B100,date_range_board,D94),TEXT(SUMIFS(Comparison_Lookup,site_level_range_board,$B100,date_range_board,D94)/SUMIFS(All_Attendances,site_level_range_board,$B100,date_range_board,D94),"0.0%"))),"")</f>
        <v>96.8%</v>
      </c>
      <c r="E100" s="165" t="str">
        <f ca="1">IFERROR(IF(ISNUMBER(FIND("ED only",$B$4)),IF(LEFT($B$7,6)="Number",SUMIFS(Comparison_Lookup,site_level_range_board,$B100,date_range_board,E94,inputdata!$F:$F,"ED"),TEXT(SUMIFS(Comparison_Lookup,site_level_range_board,$B100,date_range_board,E94,inputdata!$F:$F,"ED")/SUMIFS(All_Attendances,site_level_range_board,$B100,date_range_board,E94,inputdata!$F:$F,"ED"),"0.0%")),IF(LEFT($B$7,6)="Number",SUMIFS(Comparison_Lookup,site_level_range_board,$B100,date_range_board,E94),TEXT(SUMIFS(Comparison_Lookup,site_level_range_board,$B100,date_range_board,E94)/SUMIFS(All_Attendances,site_level_range_board,$B100,date_range_board,E94),"0.0%"))),"")</f>
        <v>97.1%</v>
      </c>
      <c r="F100" s="165" t="str">
        <f ca="1">IFERROR(IF(ISNUMBER(FIND("ED only",$B$4)),IF(LEFT($B$7,6)="Number",SUMIFS(Comparison_Lookup,site_level_range_board,$B100,date_range_board,F94,inputdata!$F:$F,"ED"),TEXT(SUMIFS(Comparison_Lookup,site_level_range_board,$B100,date_range_board,F94,inputdata!$F:$F,"ED")/SUMIFS(All_Attendances,site_level_range_board,$B100,date_range_board,F94,inputdata!$F:$F,"ED"),"0.0%")),IF(LEFT($B$7,6)="Number",SUMIFS(Comparison_Lookup,site_level_range_board,$B100,date_range_board,F94),TEXT(SUMIFS(Comparison_Lookup,site_level_range_board,$B100,date_range_board,F94)/SUMIFS(All_Attendances,site_level_range_board,$B100,date_range_board,F94),"0.0%"))),"")</f>
        <v>96.1%</v>
      </c>
      <c r="G100" s="165" t="str">
        <f ca="1">IFERROR(IF(ISNUMBER(FIND("ED only",$B$4)),IF(LEFT($B$7,6)="Number",SUMIFS(Comparison_Lookup,site_level_range_board,$B100,date_range_board,G94,inputdata!$F:$F,"ED"),TEXT(SUMIFS(Comparison_Lookup,site_level_range_board,$B100,date_range_board,G94,inputdata!$F:$F,"ED")/SUMIFS(All_Attendances,site_level_range_board,$B100,date_range_board,G94,inputdata!$F:$F,"ED"),"0.0%")),IF(LEFT($B$7,6)="Number",SUMIFS(Comparison_Lookup,site_level_range_board,$B100,date_range_board,G94),TEXT(SUMIFS(Comparison_Lookup,site_level_range_board,$B100,date_range_board,G94)/SUMIFS(All_Attendances,site_level_range_board,$B100,date_range_board,G94),"0.0%"))),"")</f>
        <v>95.6%</v>
      </c>
      <c r="H100" s="165" t="str">
        <f ca="1">IFERROR(IF(ISNUMBER(FIND("ED only",$B$4)),IF(LEFT($B$7,6)="Number",SUMIFS(Comparison_Lookup,site_level_range_board,$B100,date_range_board,H94,inputdata!$F:$F,"ED"),TEXT(SUMIFS(Comparison_Lookup,site_level_range_board,$B100,date_range_board,H94,inputdata!$F:$F,"ED")/SUMIFS(All_Attendances,site_level_range_board,$B100,date_range_board,H94,inputdata!$F:$F,"ED"),"0.0%")),IF(LEFT($B$7,6)="Number",SUMIFS(Comparison_Lookup,site_level_range_board,$B100,date_range_board,H94),TEXT(SUMIFS(Comparison_Lookup,site_level_range_board,$B100,date_range_board,H94)/SUMIFS(All_Attendances,site_level_range_board,$B100,date_range_board,H94),"0.0%"))),"")</f>
        <v>94.4%</v>
      </c>
      <c r="I100" s="165" t="str">
        <f ca="1">IFERROR(IF(ISNUMBER(FIND("ED only",$B$4)),IF(LEFT($B$7,6)="Number",SUMIFS(Comparison_Lookup,site_level_range_board,$B100,date_range_board,I94,inputdata!$F:$F,"ED"),TEXT(SUMIFS(Comparison_Lookup,site_level_range_board,$B100,date_range_board,I94,inputdata!$F:$F,"ED")/SUMIFS(All_Attendances,site_level_range_board,$B100,date_range_board,I94,inputdata!$F:$F,"ED"),"0.0%")),IF(LEFT($B$7,6)="Number",SUMIFS(Comparison_Lookup,site_level_range_board,$B100,date_range_board,I94),TEXT(SUMIFS(Comparison_Lookup,site_level_range_board,$B100,date_range_board,I94)/SUMIFS(All_Attendances,site_level_range_board,$B100,date_range_board,I94),"0.0%"))),"")</f>
        <v>96.4%</v>
      </c>
      <c r="J100" s="165" t="str">
        <f ca="1">IFERROR(IF(ISNUMBER(FIND("ED only",$B$4)),IF(LEFT($B$7,6)="Number",SUMIFS(Comparison_Lookup,site_level_range_board,$B100,date_range_board,J94,inputdata!$F:$F,"ED"),TEXT(SUMIFS(Comparison_Lookup,site_level_range_board,$B100,date_range_board,J94,inputdata!$F:$F,"ED")/SUMIFS(All_Attendances,site_level_range_board,$B100,date_range_board,J94,inputdata!$F:$F,"ED"),"0.0%")),IF(LEFT($B$7,6)="Number",SUMIFS(Comparison_Lookup,site_level_range_board,$B100,date_range_board,J94),TEXT(SUMIFS(Comparison_Lookup,site_level_range_board,$B100,date_range_board,J94)/SUMIFS(All_Attendances,site_level_range_board,$B100,date_range_board,J94),"0.0%"))),"")</f>
        <v>95.9%</v>
      </c>
      <c r="K100" s="165" t="str">
        <f ca="1">IFERROR(IF(ISNUMBER(FIND("ED only",$B$4)),IF(LEFT($B$7,6)="Number",SUMIFS(Comparison_Lookup,site_level_range_board,$B100,date_range_board,K94,inputdata!$F:$F,"ED"),TEXT(SUMIFS(Comparison_Lookup,site_level_range_board,$B100,date_range_board,K94,inputdata!$F:$F,"ED")/SUMIFS(All_Attendances,site_level_range_board,$B100,date_range_board,K94,inputdata!$F:$F,"ED"),"0.0%")),IF(LEFT($B$7,6)="Number",SUMIFS(Comparison_Lookup,site_level_range_board,$B100,date_range_board,K94),TEXT(SUMIFS(Comparison_Lookup,site_level_range_board,$B100,date_range_board,K94)/SUMIFS(All_Attendances,site_level_range_board,$B100,date_range_board,K94),"0.0%"))),"")</f>
        <v>93.0%</v>
      </c>
      <c r="L100" s="165" t="str">
        <f ca="1">IFERROR(IF(ISNUMBER(FIND("ED only",$B$4)),IF(LEFT($B$7,6)="Number",SUMIFS(Comparison_Lookup,site_level_range_board,$B100,date_range_board,L94,inputdata!$F:$F,"ED"),TEXT(SUMIFS(Comparison_Lookup,site_level_range_board,$B100,date_range_board,L94,inputdata!$F:$F,"ED")/SUMIFS(All_Attendances,site_level_range_board,$B100,date_range_board,L94,inputdata!$F:$F,"ED"),"0.0%")),IF(LEFT($B$7,6)="Number",SUMIFS(Comparison_Lookup,site_level_range_board,$B100,date_range_board,L94),TEXT(SUMIFS(Comparison_Lookup,site_level_range_board,$B100,date_range_board,L94)/SUMIFS(All_Attendances,site_level_range_board,$B100,date_range_board,L94),"0.0%"))),"")</f>
        <v>92.1%</v>
      </c>
      <c r="M100" s="165" t="str">
        <f ca="1">IFERROR(IF(ISNUMBER(FIND("ED only",$B$4)),IF(LEFT($B$7,6)="Number",SUMIFS(Comparison_Lookup,site_level_range_board,$B100,date_range_board,M94,inputdata!$F:$F,"ED"),TEXT(SUMIFS(Comparison_Lookup,site_level_range_board,$B100,date_range_board,M94,inputdata!$F:$F,"ED")/SUMIFS(All_Attendances,site_level_range_board,$B100,date_range_board,M94,inputdata!$F:$F,"ED"),"0.0%")),IF(LEFT($B$7,6)="Number",SUMIFS(Comparison_Lookup,site_level_range_board,$B100,date_range_board,M94),TEXT(SUMIFS(Comparison_Lookup,site_level_range_board,$B100,date_range_board,M94)/SUMIFS(All_Attendances,site_level_range_board,$B100,date_range_board,M94),"0.0%"))),"")</f>
        <v>93.5%</v>
      </c>
      <c r="N100" s="171" t="str">
        <f ca="1">IFERROR(IF(ISNUMBER(FIND("ED only",$B$4)),IF(LEFT($B$7,6)="Number",SUMIFS(Comparison_Lookup,site_level_range_board,$B100,date_range_board,N94,inputdata!$F:$F,"ED"),TEXT(SUMIFS(Comparison_Lookup,site_level_range_board,$B100,date_range_board,N94,inputdata!$F:$F,"ED")/SUMIFS(All_Attendances,site_level_range_board,$B100,date_range_board,N94,inputdata!$F:$F,"ED"),"0.0%")),IF(LEFT($B$7,6)="Number",SUMIFS(Comparison_Lookup,site_level_range_board,$B100,date_range_board,N94),TEXT(SUMIFS(Comparison_Lookup,site_level_range_board,$B100,date_range_board,N94)/SUMIFS(All_Attendances,site_level_range_board,$B100,date_range_board,N94),"0.0%"))),"")</f>
        <v>94.1%</v>
      </c>
    </row>
    <row r="101" spans="1:14" ht="15" customHeight="1" x14ac:dyDescent="0.2">
      <c r="A101" s="132"/>
      <c r="B101" s="152" t="s">
        <v>491</v>
      </c>
      <c r="C101" s="165" t="str">
        <f ca="1">IFERROR(IF(ISNUMBER(FIND("ED only",$B$4)),IF(LEFT($B$7,6)="Number",SUMIFS(Comparison_Lookup,site_level_range_board,$B101,date_range_board,C94,inputdata!$F:$F,"ED"),TEXT(SUMIFS(Comparison_Lookup,site_level_range_board,$B101,date_range_board,C94,inputdata!$F:$F,"ED")/SUMIFS(All_Attendances,site_level_range_board,$B101,date_range_board,C94,inputdata!$F:$F,"ED"),"0.0%")),IF(LEFT($B$7,6)="Number",SUMIFS(Comparison_Lookup,site_level_range_board,$B101,date_range_board,C94),TEXT(SUMIFS(Comparison_Lookup,site_level_range_board,$B101,date_range_board,C94)/SUMIFS(All_Attendances,site_level_range_board,$B101,date_range_board,C94),"0.0%"))),"")</f>
        <v>89.3%</v>
      </c>
      <c r="D101" s="165" t="str">
        <f ca="1">IFERROR(IF(ISNUMBER(FIND("ED only",$B$4)),IF(LEFT($B$7,6)="Number",SUMIFS(Comparison_Lookup,site_level_range_board,$B101,date_range_board,D94,inputdata!$F:$F,"ED"),TEXT(SUMIFS(Comparison_Lookup,site_level_range_board,$B101,date_range_board,D94,inputdata!$F:$F,"ED")/SUMIFS(All_Attendances,site_level_range_board,$B101,date_range_board,D94,inputdata!$F:$F,"ED"),"0.0%")),IF(LEFT($B$7,6)="Number",SUMIFS(Comparison_Lookup,site_level_range_board,$B101,date_range_board,D94),TEXT(SUMIFS(Comparison_Lookup,site_level_range_board,$B101,date_range_board,D94)/SUMIFS(All_Attendances,site_level_range_board,$B101,date_range_board,D94),"0.0%"))),"")</f>
        <v>90.7%</v>
      </c>
      <c r="E101" s="165" t="str">
        <f ca="1">IFERROR(IF(ISNUMBER(FIND("ED only",$B$4)),IF(LEFT($B$7,6)="Number",SUMIFS(Comparison_Lookup,site_level_range_board,$B101,date_range_board,E94,inputdata!$F:$F,"ED"),TEXT(SUMIFS(Comparison_Lookup,site_level_range_board,$B101,date_range_board,E94,inputdata!$F:$F,"ED")/SUMIFS(All_Attendances,site_level_range_board,$B101,date_range_board,E94,inputdata!$F:$F,"ED"),"0.0%")),IF(LEFT($B$7,6)="Number",SUMIFS(Comparison_Lookup,site_level_range_board,$B101,date_range_board,E94),TEXT(SUMIFS(Comparison_Lookup,site_level_range_board,$B101,date_range_board,E94)/SUMIFS(All_Attendances,site_level_range_board,$B101,date_range_board,E94),"0.0%"))),"")</f>
        <v>93.1%</v>
      </c>
      <c r="F101" s="165" t="str">
        <f ca="1">IFERROR(IF(ISNUMBER(FIND("ED only",$B$4)),IF(LEFT($B$7,6)="Number",SUMIFS(Comparison_Lookup,site_level_range_board,$B101,date_range_board,F94,inputdata!$F:$F,"ED"),TEXT(SUMIFS(Comparison_Lookup,site_level_range_board,$B101,date_range_board,F94,inputdata!$F:$F,"ED")/SUMIFS(All_Attendances,site_level_range_board,$B101,date_range_board,F94,inputdata!$F:$F,"ED"),"0.0%")),IF(LEFT($B$7,6)="Number",SUMIFS(Comparison_Lookup,site_level_range_board,$B101,date_range_board,F94),TEXT(SUMIFS(Comparison_Lookup,site_level_range_board,$B101,date_range_board,F94)/SUMIFS(All_Attendances,site_level_range_board,$B101,date_range_board,F94),"0.0%"))),"")</f>
        <v>94.4%</v>
      </c>
      <c r="G101" s="165" t="str">
        <f ca="1">IFERROR(IF(ISNUMBER(FIND("ED only",$B$4)),IF(LEFT($B$7,6)="Number",SUMIFS(Comparison_Lookup,site_level_range_board,$B101,date_range_board,G94,inputdata!$F:$F,"ED"),TEXT(SUMIFS(Comparison_Lookup,site_level_range_board,$B101,date_range_board,G94,inputdata!$F:$F,"ED")/SUMIFS(All_Attendances,site_level_range_board,$B101,date_range_board,G94,inputdata!$F:$F,"ED"),"0.0%")),IF(LEFT($B$7,6)="Number",SUMIFS(Comparison_Lookup,site_level_range_board,$B101,date_range_board,G94),TEXT(SUMIFS(Comparison_Lookup,site_level_range_board,$B101,date_range_board,G94)/SUMIFS(All_Attendances,site_level_range_board,$B101,date_range_board,G94),"0.0%"))),"")</f>
        <v>93.6%</v>
      </c>
      <c r="H101" s="165" t="str">
        <f ca="1">IFERROR(IF(ISNUMBER(FIND("ED only",$B$4)),IF(LEFT($B$7,6)="Number",SUMIFS(Comparison_Lookup,site_level_range_board,$B101,date_range_board,H94,inputdata!$F:$F,"ED"),TEXT(SUMIFS(Comparison_Lookup,site_level_range_board,$B101,date_range_board,H94,inputdata!$F:$F,"ED")/SUMIFS(All_Attendances,site_level_range_board,$B101,date_range_board,H94,inputdata!$F:$F,"ED"),"0.0%")),IF(LEFT($B$7,6)="Number",SUMIFS(Comparison_Lookup,site_level_range_board,$B101,date_range_board,H94),TEXT(SUMIFS(Comparison_Lookup,site_level_range_board,$B101,date_range_board,H94)/SUMIFS(All_Attendances,site_level_range_board,$B101,date_range_board,H94),"0.0%"))),"")</f>
        <v>91.5%</v>
      </c>
      <c r="I101" s="165" t="str">
        <f ca="1">IFERROR(IF(ISNUMBER(FIND("ED only",$B$4)),IF(LEFT($B$7,6)="Number",SUMIFS(Comparison_Lookup,site_level_range_board,$B101,date_range_board,I94,inputdata!$F:$F,"ED"),TEXT(SUMIFS(Comparison_Lookup,site_level_range_board,$B101,date_range_board,I94,inputdata!$F:$F,"ED")/SUMIFS(All_Attendances,site_level_range_board,$B101,date_range_board,I94,inputdata!$F:$F,"ED"),"0.0%")),IF(LEFT($B$7,6)="Number",SUMIFS(Comparison_Lookup,site_level_range_board,$B101,date_range_board,I94),TEXT(SUMIFS(Comparison_Lookup,site_level_range_board,$B101,date_range_board,I94)/SUMIFS(All_Attendances,site_level_range_board,$B101,date_range_board,I94),"0.0%"))),"")</f>
        <v>93.2%</v>
      </c>
      <c r="J101" s="165" t="str">
        <f ca="1">IFERROR(IF(ISNUMBER(FIND("ED only",$B$4)),IF(LEFT($B$7,6)="Number",SUMIFS(Comparison_Lookup,site_level_range_board,$B101,date_range_board,J94,inputdata!$F:$F,"ED"),TEXT(SUMIFS(Comparison_Lookup,site_level_range_board,$B101,date_range_board,J94,inputdata!$F:$F,"ED")/SUMIFS(All_Attendances,site_level_range_board,$B101,date_range_board,J94,inputdata!$F:$F,"ED"),"0.0%")),IF(LEFT($B$7,6)="Number",SUMIFS(Comparison_Lookup,site_level_range_board,$B101,date_range_board,J94),TEXT(SUMIFS(Comparison_Lookup,site_level_range_board,$B101,date_range_board,J94)/SUMIFS(All_Attendances,site_level_range_board,$B101,date_range_board,J94),"0.0%"))),"")</f>
        <v>92.0%</v>
      </c>
      <c r="K101" s="165" t="str">
        <f ca="1">IFERROR(IF(ISNUMBER(FIND("ED only",$B$4)),IF(LEFT($B$7,6)="Number",SUMIFS(Comparison_Lookup,site_level_range_board,$B101,date_range_board,K94,inputdata!$F:$F,"ED"),TEXT(SUMIFS(Comparison_Lookup,site_level_range_board,$B101,date_range_board,K94,inputdata!$F:$F,"ED")/SUMIFS(All_Attendances,site_level_range_board,$B101,date_range_board,K94,inputdata!$F:$F,"ED"),"0.0%")),IF(LEFT($B$7,6)="Number",SUMIFS(Comparison_Lookup,site_level_range_board,$B101,date_range_board,K94),TEXT(SUMIFS(Comparison_Lookup,site_level_range_board,$B101,date_range_board,K94)/SUMIFS(All_Attendances,site_level_range_board,$B101,date_range_board,K94),"0.0%"))),"")</f>
        <v>81.9%</v>
      </c>
      <c r="L101" s="165" t="str">
        <f ca="1">IFERROR(IF(ISNUMBER(FIND("ED only",$B$4)),IF(LEFT($B$7,6)="Number",SUMIFS(Comparison_Lookup,site_level_range_board,$B101,date_range_board,L94,inputdata!$F:$F,"ED"),TEXT(SUMIFS(Comparison_Lookup,site_level_range_board,$B101,date_range_board,L94,inputdata!$F:$F,"ED")/SUMIFS(All_Attendances,site_level_range_board,$B101,date_range_board,L94,inputdata!$F:$F,"ED"),"0.0%")),IF(LEFT($B$7,6)="Number",SUMIFS(Comparison_Lookup,site_level_range_board,$B101,date_range_board,L94),TEXT(SUMIFS(Comparison_Lookup,site_level_range_board,$B101,date_range_board,L94)/SUMIFS(All_Attendances,site_level_range_board,$B101,date_range_board,L94),"0.0%"))),"")</f>
        <v>85.5%</v>
      </c>
      <c r="M101" s="165" t="str">
        <f ca="1">IFERROR(IF(ISNUMBER(FIND("ED only",$B$4)),IF(LEFT($B$7,6)="Number",SUMIFS(Comparison_Lookup,site_level_range_board,$B101,date_range_board,M94,inputdata!$F:$F,"ED"),TEXT(SUMIFS(Comparison_Lookup,site_level_range_board,$B101,date_range_board,M94,inputdata!$F:$F,"ED")/SUMIFS(All_Attendances,site_level_range_board,$B101,date_range_board,M94,inputdata!$F:$F,"ED"),"0.0%")),IF(LEFT($B$7,6)="Number",SUMIFS(Comparison_Lookup,site_level_range_board,$B101,date_range_board,M94),TEXT(SUMIFS(Comparison_Lookup,site_level_range_board,$B101,date_range_board,M94)/SUMIFS(All_Attendances,site_level_range_board,$B101,date_range_board,M94),"0.0%"))),"")</f>
        <v>88.3%</v>
      </c>
      <c r="N101" s="171" t="str">
        <f ca="1">IFERROR(IF(ISNUMBER(FIND("ED only",$B$4)),IF(LEFT($B$7,6)="Number",SUMIFS(Comparison_Lookup,site_level_range_board,$B101,date_range_board,N94,inputdata!$F:$F,"ED"),TEXT(SUMIFS(Comparison_Lookup,site_level_range_board,$B101,date_range_board,N94,inputdata!$F:$F,"ED")/SUMIFS(All_Attendances,site_level_range_board,$B101,date_range_board,N94,inputdata!$F:$F,"ED"),"0.0%")),IF(LEFT($B$7,6)="Number",SUMIFS(Comparison_Lookup,site_level_range_board,$B101,date_range_board,N94),TEXT(SUMIFS(Comparison_Lookup,site_level_range_board,$B101,date_range_board,N94)/SUMIFS(All_Attendances,site_level_range_board,$B101,date_range_board,N94),"0.0%"))),"")</f>
        <v>86.7%</v>
      </c>
    </row>
    <row r="102" spans="1:14" ht="15" customHeight="1" x14ac:dyDescent="0.2">
      <c r="A102" s="132"/>
      <c r="B102" s="152" t="s">
        <v>510</v>
      </c>
      <c r="C102" s="165" t="str">
        <f ca="1">IFERROR(IF(ISNUMBER(FIND("ED only",$B$4)),IF(LEFT($B$7,6)="Number",SUMIFS(Comparison_Lookup,site_level_range_board,$B102,date_range_board,C94,inputdata!$F:$F,"ED"),TEXT(SUMIFS(Comparison_Lookup,site_level_range_board,$B102,date_range_board,C94,inputdata!$F:$F,"ED")/SUMIFS(All_Attendances,site_level_range_board,$B102,date_range_board,C94,inputdata!$F:$F,"ED"),"0.0%")),IF(LEFT($B$7,6)="Number",SUMIFS(Comparison_Lookup,site_level_range_board,$B102,date_range_board,C94),TEXT(SUMIFS(Comparison_Lookup,site_level_range_board,$B102,date_range_board,C94)/SUMIFS(All_Attendances,site_level_range_board,$B102,date_range_board,C94),"0.0%"))),"")</f>
        <v>96.8%</v>
      </c>
      <c r="D102" s="165" t="str">
        <f ca="1">IFERROR(IF(ISNUMBER(FIND("ED only",$B$4)),IF(LEFT($B$7,6)="Number",SUMIFS(Comparison_Lookup,site_level_range_board,$B102,date_range_board,D94,inputdata!$F:$F,"ED"),TEXT(SUMIFS(Comparison_Lookup,site_level_range_board,$B102,date_range_board,D94,inputdata!$F:$F,"ED")/SUMIFS(All_Attendances,site_level_range_board,$B102,date_range_board,D94,inputdata!$F:$F,"ED"),"0.0%")),IF(LEFT($B$7,6)="Number",SUMIFS(Comparison_Lookup,site_level_range_board,$B102,date_range_board,D94),TEXT(SUMIFS(Comparison_Lookup,site_level_range_board,$B102,date_range_board,D94)/SUMIFS(All_Attendances,site_level_range_board,$B102,date_range_board,D94),"0.0%"))),"")</f>
        <v>97.4%</v>
      </c>
      <c r="E102" s="165" t="str">
        <f ca="1">IFERROR(IF(ISNUMBER(FIND("ED only",$B$4)),IF(LEFT($B$7,6)="Number",SUMIFS(Comparison_Lookup,site_level_range_board,$B102,date_range_board,E94,inputdata!$F:$F,"ED"),TEXT(SUMIFS(Comparison_Lookup,site_level_range_board,$B102,date_range_board,E94,inputdata!$F:$F,"ED")/SUMIFS(All_Attendances,site_level_range_board,$B102,date_range_board,E94,inputdata!$F:$F,"ED"),"0.0%")),IF(LEFT($B$7,6)="Number",SUMIFS(Comparison_Lookup,site_level_range_board,$B102,date_range_board,E94),TEXT(SUMIFS(Comparison_Lookup,site_level_range_board,$B102,date_range_board,E94)/SUMIFS(All_Attendances,site_level_range_board,$B102,date_range_board,E94),"0.0%"))),"")</f>
        <v>97.4%</v>
      </c>
      <c r="F102" s="165" t="str">
        <f ca="1">IFERROR(IF(ISNUMBER(FIND("ED only",$B$4)),IF(LEFT($B$7,6)="Number",SUMIFS(Comparison_Lookup,site_level_range_board,$B102,date_range_board,F94,inputdata!$F:$F,"ED"),TEXT(SUMIFS(Comparison_Lookup,site_level_range_board,$B102,date_range_board,F94,inputdata!$F:$F,"ED")/SUMIFS(All_Attendances,site_level_range_board,$B102,date_range_board,F94,inputdata!$F:$F,"ED"),"0.0%")),IF(LEFT($B$7,6)="Number",SUMIFS(Comparison_Lookup,site_level_range_board,$B102,date_range_board,F94),TEXT(SUMIFS(Comparison_Lookup,site_level_range_board,$B102,date_range_board,F94)/SUMIFS(All_Attendances,site_level_range_board,$B102,date_range_board,F94),"0.0%"))),"")</f>
        <v>97.7%</v>
      </c>
      <c r="G102" s="165" t="str">
        <f ca="1">IFERROR(IF(ISNUMBER(FIND("ED only",$B$4)),IF(LEFT($B$7,6)="Number",SUMIFS(Comparison_Lookup,site_level_range_board,$B102,date_range_board,G94,inputdata!$F:$F,"ED"),TEXT(SUMIFS(Comparison_Lookup,site_level_range_board,$B102,date_range_board,G94,inputdata!$F:$F,"ED")/SUMIFS(All_Attendances,site_level_range_board,$B102,date_range_board,G94,inputdata!$F:$F,"ED"),"0.0%")),IF(LEFT($B$7,6)="Number",SUMIFS(Comparison_Lookup,site_level_range_board,$B102,date_range_board,G94),TEXT(SUMIFS(Comparison_Lookup,site_level_range_board,$B102,date_range_board,G94)/SUMIFS(All_Attendances,site_level_range_board,$B102,date_range_board,G94),"0.0%"))),"")</f>
        <v>96.7%</v>
      </c>
      <c r="H102" s="165" t="str">
        <f ca="1">IFERROR(IF(ISNUMBER(FIND("ED only",$B$4)),IF(LEFT($B$7,6)="Number",SUMIFS(Comparison_Lookup,site_level_range_board,$B102,date_range_board,H94,inputdata!$F:$F,"ED"),TEXT(SUMIFS(Comparison_Lookup,site_level_range_board,$B102,date_range_board,H94,inputdata!$F:$F,"ED")/SUMIFS(All_Attendances,site_level_range_board,$B102,date_range_board,H94,inputdata!$F:$F,"ED"),"0.0%")),IF(LEFT($B$7,6)="Number",SUMIFS(Comparison_Lookup,site_level_range_board,$B102,date_range_board,H94),TEXT(SUMIFS(Comparison_Lookup,site_level_range_board,$B102,date_range_board,H94)/SUMIFS(All_Attendances,site_level_range_board,$B102,date_range_board,H94),"0.0%"))),"")</f>
        <v>95.9%</v>
      </c>
      <c r="I102" s="165" t="str">
        <f ca="1">IFERROR(IF(ISNUMBER(FIND("ED only",$B$4)),IF(LEFT($B$7,6)="Number",SUMIFS(Comparison_Lookup,site_level_range_board,$B102,date_range_board,I94,inputdata!$F:$F,"ED"),TEXT(SUMIFS(Comparison_Lookup,site_level_range_board,$B102,date_range_board,I94,inputdata!$F:$F,"ED")/SUMIFS(All_Attendances,site_level_range_board,$B102,date_range_board,I94,inputdata!$F:$F,"ED"),"0.0%")),IF(LEFT($B$7,6)="Number",SUMIFS(Comparison_Lookup,site_level_range_board,$B102,date_range_board,I94),TEXT(SUMIFS(Comparison_Lookup,site_level_range_board,$B102,date_range_board,I94)/SUMIFS(All_Attendances,site_level_range_board,$B102,date_range_board,I94),"0.0%"))),"")</f>
        <v>97.5%</v>
      </c>
      <c r="J102" s="165" t="str">
        <f ca="1">IFERROR(IF(ISNUMBER(FIND("ED only",$B$4)),IF(LEFT($B$7,6)="Number",SUMIFS(Comparison_Lookup,site_level_range_board,$B102,date_range_board,J94,inputdata!$F:$F,"ED"),TEXT(SUMIFS(Comparison_Lookup,site_level_range_board,$B102,date_range_board,J94,inputdata!$F:$F,"ED")/SUMIFS(All_Attendances,site_level_range_board,$B102,date_range_board,J94,inputdata!$F:$F,"ED"),"0.0%")),IF(LEFT($B$7,6)="Number",SUMIFS(Comparison_Lookup,site_level_range_board,$B102,date_range_board,J94),TEXT(SUMIFS(Comparison_Lookup,site_level_range_board,$B102,date_range_board,J94)/SUMIFS(All_Attendances,site_level_range_board,$B102,date_range_board,J94),"0.0%"))),"")</f>
        <v>97.4%</v>
      </c>
      <c r="K102" s="165" t="str">
        <f ca="1">IFERROR(IF(ISNUMBER(FIND("ED only",$B$4)),IF(LEFT($B$7,6)="Number",SUMIFS(Comparison_Lookup,site_level_range_board,$B102,date_range_board,K94,inputdata!$F:$F,"ED"),TEXT(SUMIFS(Comparison_Lookup,site_level_range_board,$B102,date_range_board,K94,inputdata!$F:$F,"ED")/SUMIFS(All_Attendances,site_level_range_board,$B102,date_range_board,K94,inputdata!$F:$F,"ED"),"0.0%")),IF(LEFT($B$7,6)="Number",SUMIFS(Comparison_Lookup,site_level_range_board,$B102,date_range_board,K94),TEXT(SUMIFS(Comparison_Lookup,site_level_range_board,$B102,date_range_board,K94)/SUMIFS(All_Attendances,site_level_range_board,$B102,date_range_board,K94),"0.0%"))),"")</f>
        <v>95.9%</v>
      </c>
      <c r="L102" s="165" t="str">
        <f ca="1">IFERROR(IF(ISNUMBER(FIND("ED only",$B$4)),IF(LEFT($B$7,6)="Number",SUMIFS(Comparison_Lookup,site_level_range_board,$B102,date_range_board,L94,inputdata!$F:$F,"ED"),TEXT(SUMIFS(Comparison_Lookup,site_level_range_board,$B102,date_range_board,L94,inputdata!$F:$F,"ED")/SUMIFS(All_Attendances,site_level_range_board,$B102,date_range_board,L94,inputdata!$F:$F,"ED"),"0.0%")),IF(LEFT($B$7,6)="Number",SUMIFS(Comparison_Lookup,site_level_range_board,$B102,date_range_board,L94),TEXT(SUMIFS(Comparison_Lookup,site_level_range_board,$B102,date_range_board,L94)/SUMIFS(All_Attendances,site_level_range_board,$B102,date_range_board,L94),"0.0%"))),"")</f>
        <v>95.3%</v>
      </c>
      <c r="M102" s="165" t="str">
        <f ca="1">IFERROR(IF(ISNUMBER(FIND("ED only",$B$4)),IF(LEFT($B$7,6)="Number",SUMIFS(Comparison_Lookup,site_level_range_board,$B102,date_range_board,M94,inputdata!$F:$F,"ED"),TEXT(SUMIFS(Comparison_Lookup,site_level_range_board,$B102,date_range_board,M94,inputdata!$F:$F,"ED")/SUMIFS(All_Attendances,site_level_range_board,$B102,date_range_board,M94,inputdata!$F:$F,"ED"),"0.0%")),IF(LEFT($B$7,6)="Number",SUMIFS(Comparison_Lookup,site_level_range_board,$B102,date_range_board,M94),TEXT(SUMIFS(Comparison_Lookup,site_level_range_board,$B102,date_range_board,M94)/SUMIFS(All_Attendances,site_level_range_board,$B102,date_range_board,M94),"0.0%"))),"")</f>
        <v>94.4%</v>
      </c>
      <c r="N102" s="171" t="str">
        <f ca="1">IFERROR(IF(ISNUMBER(FIND("ED only",$B$4)),IF(LEFT($B$7,6)="Number",SUMIFS(Comparison_Lookup,site_level_range_board,$B102,date_range_board,N94,inputdata!$F:$F,"ED"),TEXT(SUMIFS(Comparison_Lookup,site_level_range_board,$B102,date_range_board,N94,inputdata!$F:$F,"ED")/SUMIFS(All_Attendances,site_level_range_board,$B102,date_range_board,N94,inputdata!$F:$F,"ED"),"0.0%")),IF(LEFT($B$7,6)="Number",SUMIFS(Comparison_Lookup,site_level_range_board,$B102,date_range_board,N94),TEXT(SUMIFS(Comparison_Lookup,site_level_range_board,$B102,date_range_board,N94)/SUMIFS(All_Attendances,site_level_range_board,$B102,date_range_board,N94),"0.0%"))),"")</f>
        <v>96.0%</v>
      </c>
    </row>
    <row r="103" spans="1:14" ht="15" customHeight="1" x14ac:dyDescent="0.2">
      <c r="A103" s="132"/>
      <c r="B103" s="152" t="s">
        <v>551</v>
      </c>
      <c r="C103" s="165" t="str">
        <f ca="1">IFERROR(IF(ISNUMBER(FIND("ED only",$B$4)),IF(LEFT($B$7,6)="Number",SUMIFS(Comparison_Lookup,site_level_range_board,$B103,date_range_board,C94,inputdata!$F:$F,"ED"),TEXT(SUMIFS(Comparison_Lookup,site_level_range_board,$B103,date_range_board,C94,inputdata!$F:$F,"ED")/SUMIFS(All_Attendances,site_level_range_board,$B103,date_range_board,C94,inputdata!$F:$F,"ED"),"0.0%")),IF(LEFT($B$7,6)="Number",SUMIFS(Comparison_Lookup,site_level_range_board,$B103,date_range_board,C94),TEXT(SUMIFS(Comparison_Lookup,site_level_range_board,$B103,date_range_board,C94)/SUMIFS(All_Attendances,site_level_range_board,$B103,date_range_board,C94),"0.0%"))),"")</f>
        <v>91.9%</v>
      </c>
      <c r="D103" s="165" t="str">
        <f ca="1">IFERROR(IF(ISNUMBER(FIND("ED only",$B$4)),IF(LEFT($B$7,6)="Number",SUMIFS(Comparison_Lookup,site_level_range_board,$B103,date_range_board,D94,inputdata!$F:$F,"ED"),TEXT(SUMIFS(Comparison_Lookup,site_level_range_board,$B103,date_range_board,D94,inputdata!$F:$F,"ED")/SUMIFS(All_Attendances,site_level_range_board,$B103,date_range_board,D94,inputdata!$F:$F,"ED"),"0.0%")),IF(LEFT($B$7,6)="Number",SUMIFS(Comparison_Lookup,site_level_range_board,$B103,date_range_board,D94),TEXT(SUMIFS(Comparison_Lookup,site_level_range_board,$B103,date_range_board,D94)/SUMIFS(All_Attendances,site_level_range_board,$B103,date_range_board,D94),"0.0%"))),"")</f>
        <v>92.4%</v>
      </c>
      <c r="E103" s="165" t="str">
        <f ca="1">IFERROR(IF(ISNUMBER(FIND("ED only",$B$4)),IF(LEFT($B$7,6)="Number",SUMIFS(Comparison_Lookup,site_level_range_board,$B103,date_range_board,E94,inputdata!$F:$F,"ED"),TEXT(SUMIFS(Comparison_Lookup,site_level_range_board,$B103,date_range_board,E94,inputdata!$F:$F,"ED")/SUMIFS(All_Attendances,site_level_range_board,$B103,date_range_board,E94,inputdata!$F:$F,"ED"),"0.0%")),IF(LEFT($B$7,6)="Number",SUMIFS(Comparison_Lookup,site_level_range_board,$B103,date_range_board,E94),TEXT(SUMIFS(Comparison_Lookup,site_level_range_board,$B103,date_range_board,E94)/SUMIFS(All_Attendances,site_level_range_board,$B103,date_range_board,E94),"0.0%"))),"")</f>
        <v>94.5%</v>
      </c>
      <c r="F103" s="165" t="str">
        <f ca="1">IFERROR(IF(ISNUMBER(FIND("ED only",$B$4)),IF(LEFT($B$7,6)="Number",SUMIFS(Comparison_Lookup,site_level_range_board,$B103,date_range_board,F94,inputdata!$F:$F,"ED"),TEXT(SUMIFS(Comparison_Lookup,site_level_range_board,$B103,date_range_board,F94,inputdata!$F:$F,"ED")/SUMIFS(All_Attendances,site_level_range_board,$B103,date_range_board,F94,inputdata!$F:$F,"ED"),"0.0%")),IF(LEFT($B$7,6)="Number",SUMIFS(Comparison_Lookup,site_level_range_board,$B103,date_range_board,F94),TEXT(SUMIFS(Comparison_Lookup,site_level_range_board,$B103,date_range_board,F94)/SUMIFS(All_Attendances,site_level_range_board,$B103,date_range_board,F94),"0.0%"))),"")</f>
        <v>95.4%</v>
      </c>
      <c r="G103" s="165" t="str">
        <f ca="1">IFERROR(IF(ISNUMBER(FIND("ED only",$B$4)),IF(LEFT($B$7,6)="Number",SUMIFS(Comparison_Lookup,site_level_range_board,$B103,date_range_board,G94,inputdata!$F:$F,"ED"),TEXT(SUMIFS(Comparison_Lookup,site_level_range_board,$B103,date_range_board,G94,inputdata!$F:$F,"ED")/SUMIFS(All_Attendances,site_level_range_board,$B103,date_range_board,G94,inputdata!$F:$F,"ED"),"0.0%")),IF(LEFT($B$7,6)="Number",SUMIFS(Comparison_Lookup,site_level_range_board,$B103,date_range_board,G94),TEXT(SUMIFS(Comparison_Lookup,site_level_range_board,$B103,date_range_board,G94)/SUMIFS(All_Attendances,site_level_range_board,$B103,date_range_board,G94),"0.0%"))),"")</f>
        <v>94.5%</v>
      </c>
      <c r="H103" s="165" t="str">
        <f ca="1">IFERROR(IF(ISNUMBER(FIND("ED only",$B$4)),IF(LEFT($B$7,6)="Number",SUMIFS(Comparison_Lookup,site_level_range_board,$B103,date_range_board,H94,inputdata!$F:$F,"ED"),TEXT(SUMIFS(Comparison_Lookup,site_level_range_board,$B103,date_range_board,H94,inputdata!$F:$F,"ED")/SUMIFS(All_Attendances,site_level_range_board,$B103,date_range_board,H94,inputdata!$F:$F,"ED"),"0.0%")),IF(LEFT($B$7,6)="Number",SUMIFS(Comparison_Lookup,site_level_range_board,$B103,date_range_board,H94),TEXT(SUMIFS(Comparison_Lookup,site_level_range_board,$B103,date_range_board,H94)/SUMIFS(All_Attendances,site_level_range_board,$B103,date_range_board,H94),"0.0%"))),"")</f>
        <v>92.7%</v>
      </c>
      <c r="I103" s="165" t="str">
        <f ca="1">IFERROR(IF(ISNUMBER(FIND("ED only",$B$4)),IF(LEFT($B$7,6)="Number",SUMIFS(Comparison_Lookup,site_level_range_board,$B103,date_range_board,I94,inputdata!$F:$F,"ED"),TEXT(SUMIFS(Comparison_Lookup,site_level_range_board,$B103,date_range_board,I94,inputdata!$F:$F,"ED")/SUMIFS(All_Attendances,site_level_range_board,$B103,date_range_board,I94,inputdata!$F:$F,"ED"),"0.0%")),IF(LEFT($B$7,6)="Number",SUMIFS(Comparison_Lookup,site_level_range_board,$B103,date_range_board,I94),TEXT(SUMIFS(Comparison_Lookup,site_level_range_board,$B103,date_range_board,I94)/SUMIFS(All_Attendances,site_level_range_board,$B103,date_range_board,I94),"0.0%"))),"")</f>
        <v>93.3%</v>
      </c>
      <c r="J103" s="165" t="str">
        <f ca="1">IFERROR(IF(ISNUMBER(FIND("ED only",$B$4)),IF(LEFT($B$7,6)="Number",SUMIFS(Comparison_Lookup,site_level_range_board,$B103,date_range_board,J94,inputdata!$F:$F,"ED"),TEXT(SUMIFS(Comparison_Lookup,site_level_range_board,$B103,date_range_board,J94,inputdata!$F:$F,"ED")/SUMIFS(All_Attendances,site_level_range_board,$B103,date_range_board,J94,inputdata!$F:$F,"ED"),"0.0%")),IF(LEFT($B$7,6)="Number",SUMIFS(Comparison_Lookup,site_level_range_board,$B103,date_range_board,J94),TEXT(SUMIFS(Comparison_Lookup,site_level_range_board,$B103,date_range_board,J94)/SUMIFS(All_Attendances,site_level_range_board,$B103,date_range_board,J94),"0.0%"))),"")</f>
        <v>92.0%</v>
      </c>
      <c r="K103" s="165" t="str">
        <f ca="1">IFERROR(IF(ISNUMBER(FIND("ED only",$B$4)),IF(LEFT($B$7,6)="Number",SUMIFS(Comparison_Lookup,site_level_range_board,$B103,date_range_board,K94,inputdata!$F:$F,"ED"),TEXT(SUMIFS(Comparison_Lookup,site_level_range_board,$B103,date_range_board,K94,inputdata!$F:$F,"ED")/SUMIFS(All_Attendances,site_level_range_board,$B103,date_range_board,K94,inputdata!$F:$F,"ED"),"0.0%")),IF(LEFT($B$7,6)="Number",SUMIFS(Comparison_Lookup,site_level_range_board,$B103,date_range_board,K94),TEXT(SUMIFS(Comparison_Lookup,site_level_range_board,$B103,date_range_board,K94)/SUMIFS(All_Attendances,site_level_range_board,$B103,date_range_board,K94),"0.0%"))),"")</f>
        <v>82.6%</v>
      </c>
      <c r="L103" s="165" t="str">
        <f ca="1">IFERROR(IF(ISNUMBER(FIND("ED only",$B$4)),IF(LEFT($B$7,6)="Number",SUMIFS(Comparison_Lookup,site_level_range_board,$B103,date_range_board,L94,inputdata!$F:$F,"ED"),TEXT(SUMIFS(Comparison_Lookup,site_level_range_board,$B103,date_range_board,L94,inputdata!$F:$F,"ED")/SUMIFS(All_Attendances,site_level_range_board,$B103,date_range_board,L94,inputdata!$F:$F,"ED"),"0.0%")),IF(LEFT($B$7,6)="Number",SUMIFS(Comparison_Lookup,site_level_range_board,$B103,date_range_board,L94),TEXT(SUMIFS(Comparison_Lookup,site_level_range_board,$B103,date_range_board,L94)/SUMIFS(All_Attendances,site_level_range_board,$B103,date_range_board,L94),"0.0%"))),"")</f>
        <v>87.2%</v>
      </c>
      <c r="M103" s="165" t="str">
        <f ca="1">IFERROR(IF(ISNUMBER(FIND("ED only",$B$4)),IF(LEFT($B$7,6)="Number",SUMIFS(Comparison_Lookup,site_level_range_board,$B103,date_range_board,M94,inputdata!$F:$F,"ED"),TEXT(SUMIFS(Comparison_Lookup,site_level_range_board,$B103,date_range_board,M94,inputdata!$F:$F,"ED")/SUMIFS(All_Attendances,site_level_range_board,$B103,date_range_board,M94,inputdata!$F:$F,"ED"),"0.0%")),IF(LEFT($B$7,6)="Number",SUMIFS(Comparison_Lookup,site_level_range_board,$B103,date_range_board,M94),TEXT(SUMIFS(Comparison_Lookup,site_level_range_board,$B103,date_range_board,M94)/SUMIFS(All_Attendances,site_level_range_board,$B103,date_range_board,M94),"0.0%"))),"")</f>
        <v>92.6%</v>
      </c>
      <c r="N103" s="171" t="str">
        <f ca="1">IFERROR(IF(ISNUMBER(FIND("ED only",$B$4)),IF(LEFT($B$7,6)="Number",SUMIFS(Comparison_Lookup,site_level_range_board,$B103,date_range_board,N94,inputdata!$F:$F,"ED"),TEXT(SUMIFS(Comparison_Lookup,site_level_range_board,$B103,date_range_board,N94,inputdata!$F:$F,"ED")/SUMIFS(All_Attendances,site_level_range_board,$B103,date_range_board,N94,inputdata!$F:$F,"ED"),"0.0%")),IF(LEFT($B$7,6)="Number",SUMIFS(Comparison_Lookup,site_level_range_board,$B103,date_range_board,N94),TEXT(SUMIFS(Comparison_Lookup,site_level_range_board,$B103,date_range_board,N94)/SUMIFS(All_Attendances,site_level_range_board,$B103,date_range_board,N94),"0.0%"))),"")</f>
        <v>90.0%</v>
      </c>
    </row>
    <row r="104" spans="1:14" ht="15" customHeight="1" x14ac:dyDescent="0.2">
      <c r="A104" s="132"/>
      <c r="B104" s="152" t="s">
        <v>562</v>
      </c>
      <c r="C104" s="165" t="str">
        <f ca="1">IFERROR(IF(ISNUMBER(FIND("ED only",$B$4)),IF(LEFT($B$7,6)="Number",SUMIFS(Comparison_Lookup,site_level_range_board,$B104,date_range_board,C94,inputdata!$F:$F,"ED"),TEXT(SUMIFS(Comparison_Lookup,site_level_range_board,$B104,date_range_board,C94,inputdata!$F:$F,"ED")/SUMIFS(All_Attendances,site_level_range_board,$B104,date_range_board,C94,inputdata!$F:$F,"ED"),"0.0%")),IF(LEFT($B$7,6)="Number",SUMIFS(Comparison_Lookup,site_level_range_board,$B104,date_range_board,C94),TEXT(SUMIFS(Comparison_Lookup,site_level_range_board,$B104,date_range_board,C94)/SUMIFS(All_Attendances,site_level_range_board,$B104,date_range_board,C94),"0.0%"))),"")</f>
        <v>95.3%</v>
      </c>
      <c r="D104" s="165" t="str">
        <f ca="1">IFERROR(IF(ISNUMBER(FIND("ED only",$B$4)),IF(LEFT($B$7,6)="Number",SUMIFS(Comparison_Lookup,site_level_range_board,$B104,date_range_board,D94,inputdata!$F:$F,"ED"),TEXT(SUMIFS(Comparison_Lookup,site_level_range_board,$B104,date_range_board,D94,inputdata!$F:$F,"ED")/SUMIFS(All_Attendances,site_level_range_board,$B104,date_range_board,D94,inputdata!$F:$F,"ED"),"0.0%")),IF(LEFT($B$7,6)="Number",SUMIFS(Comparison_Lookup,site_level_range_board,$B104,date_range_board,D94),TEXT(SUMIFS(Comparison_Lookup,site_level_range_board,$B104,date_range_board,D94)/SUMIFS(All_Attendances,site_level_range_board,$B104,date_range_board,D94),"0.0%"))),"")</f>
        <v>95.1%</v>
      </c>
      <c r="E104" s="165" t="str">
        <f ca="1">IFERROR(IF(ISNUMBER(FIND("ED only",$B$4)),IF(LEFT($B$7,6)="Number",SUMIFS(Comparison_Lookup,site_level_range_board,$B104,date_range_board,E94,inputdata!$F:$F,"ED"),TEXT(SUMIFS(Comparison_Lookup,site_level_range_board,$B104,date_range_board,E94,inputdata!$F:$F,"ED")/SUMIFS(All_Attendances,site_level_range_board,$B104,date_range_board,E94,inputdata!$F:$F,"ED"),"0.0%")),IF(LEFT($B$7,6)="Number",SUMIFS(Comparison_Lookup,site_level_range_board,$B104,date_range_board,E94),TEXT(SUMIFS(Comparison_Lookup,site_level_range_board,$B104,date_range_board,E94)/SUMIFS(All_Attendances,site_level_range_board,$B104,date_range_board,E94),"0.0%"))),"")</f>
        <v>95.7%</v>
      </c>
      <c r="F104" s="165" t="str">
        <f ca="1">IFERROR(IF(ISNUMBER(FIND("ED only",$B$4)),IF(LEFT($B$7,6)="Number",SUMIFS(Comparison_Lookup,site_level_range_board,$B104,date_range_board,F94,inputdata!$F:$F,"ED"),TEXT(SUMIFS(Comparison_Lookup,site_level_range_board,$B104,date_range_board,F94,inputdata!$F:$F,"ED")/SUMIFS(All_Attendances,site_level_range_board,$B104,date_range_board,F94,inputdata!$F:$F,"ED"),"0.0%")),IF(LEFT($B$7,6)="Number",SUMIFS(Comparison_Lookup,site_level_range_board,$B104,date_range_board,F94),TEXT(SUMIFS(Comparison_Lookup,site_level_range_board,$B104,date_range_board,F94)/SUMIFS(All_Attendances,site_level_range_board,$B104,date_range_board,F94),"0.0%"))),"")</f>
        <v>96.1%</v>
      </c>
      <c r="G104" s="165" t="str">
        <f ca="1">IFERROR(IF(ISNUMBER(FIND("ED only",$B$4)),IF(LEFT($B$7,6)="Number",SUMIFS(Comparison_Lookup,site_level_range_board,$B104,date_range_board,G94,inputdata!$F:$F,"ED"),TEXT(SUMIFS(Comparison_Lookup,site_level_range_board,$B104,date_range_board,G94,inputdata!$F:$F,"ED")/SUMIFS(All_Attendances,site_level_range_board,$B104,date_range_board,G94,inputdata!$F:$F,"ED"),"0.0%")),IF(LEFT($B$7,6)="Number",SUMIFS(Comparison_Lookup,site_level_range_board,$B104,date_range_board,G94),TEXT(SUMIFS(Comparison_Lookup,site_level_range_board,$B104,date_range_board,G94)/SUMIFS(All_Attendances,site_level_range_board,$B104,date_range_board,G94),"0.0%"))),"")</f>
        <v>95.2%</v>
      </c>
      <c r="H104" s="165" t="str">
        <f ca="1">IFERROR(IF(ISNUMBER(FIND("ED only",$B$4)),IF(LEFT($B$7,6)="Number",SUMIFS(Comparison_Lookup,site_level_range_board,$B104,date_range_board,H94,inputdata!$F:$F,"ED"),TEXT(SUMIFS(Comparison_Lookup,site_level_range_board,$B104,date_range_board,H94,inputdata!$F:$F,"ED")/SUMIFS(All_Attendances,site_level_range_board,$B104,date_range_board,H94,inputdata!$F:$F,"ED"),"0.0%")),IF(LEFT($B$7,6)="Number",SUMIFS(Comparison_Lookup,site_level_range_board,$B104,date_range_board,H94),TEXT(SUMIFS(Comparison_Lookup,site_level_range_board,$B104,date_range_board,H94)/SUMIFS(All_Attendances,site_level_range_board,$B104,date_range_board,H94),"0.0%"))),"")</f>
        <v>94.3%</v>
      </c>
      <c r="I104" s="165" t="str">
        <f ca="1">IFERROR(IF(ISNUMBER(FIND("ED only",$B$4)),IF(LEFT($B$7,6)="Number",SUMIFS(Comparison_Lookup,site_level_range_board,$B104,date_range_board,I94,inputdata!$F:$F,"ED"),TEXT(SUMIFS(Comparison_Lookup,site_level_range_board,$B104,date_range_board,I94,inputdata!$F:$F,"ED")/SUMIFS(All_Attendances,site_level_range_board,$B104,date_range_board,I94,inputdata!$F:$F,"ED"),"0.0%")),IF(LEFT($B$7,6)="Number",SUMIFS(Comparison_Lookup,site_level_range_board,$B104,date_range_board,I94),TEXT(SUMIFS(Comparison_Lookup,site_level_range_board,$B104,date_range_board,I94)/SUMIFS(All_Attendances,site_level_range_board,$B104,date_range_board,I94),"0.0%"))),"")</f>
        <v>93.8%</v>
      </c>
      <c r="J104" s="165" t="str">
        <f ca="1">IFERROR(IF(ISNUMBER(FIND("ED only",$B$4)),IF(LEFT($B$7,6)="Number",SUMIFS(Comparison_Lookup,site_level_range_board,$B104,date_range_board,J94,inputdata!$F:$F,"ED"),TEXT(SUMIFS(Comparison_Lookup,site_level_range_board,$B104,date_range_board,J94,inputdata!$F:$F,"ED")/SUMIFS(All_Attendances,site_level_range_board,$B104,date_range_board,J94,inputdata!$F:$F,"ED"),"0.0%")),IF(LEFT($B$7,6)="Number",SUMIFS(Comparison_Lookup,site_level_range_board,$B104,date_range_board,J94),TEXT(SUMIFS(Comparison_Lookup,site_level_range_board,$B104,date_range_board,J94)/SUMIFS(All_Attendances,site_level_range_board,$B104,date_range_board,J94),"0.0%"))),"")</f>
        <v>89.4%</v>
      </c>
      <c r="K104" s="165" t="str">
        <f ca="1">IFERROR(IF(ISNUMBER(FIND("ED only",$B$4)),IF(LEFT($B$7,6)="Number",SUMIFS(Comparison_Lookup,site_level_range_board,$B104,date_range_board,K94,inputdata!$F:$F,"ED"),TEXT(SUMIFS(Comparison_Lookup,site_level_range_board,$B104,date_range_board,K94,inputdata!$F:$F,"ED")/SUMIFS(All_Attendances,site_level_range_board,$B104,date_range_board,K94,inputdata!$F:$F,"ED"),"0.0%")),IF(LEFT($B$7,6)="Number",SUMIFS(Comparison_Lookup,site_level_range_board,$B104,date_range_board,K94),TEXT(SUMIFS(Comparison_Lookup,site_level_range_board,$B104,date_range_board,K94)/SUMIFS(All_Attendances,site_level_range_board,$B104,date_range_board,K94),"0.0%"))),"")</f>
        <v>76.1%</v>
      </c>
      <c r="L104" s="165" t="str">
        <f ca="1">IFERROR(IF(ISNUMBER(FIND("ED only",$B$4)),IF(LEFT($B$7,6)="Number",SUMIFS(Comparison_Lookup,site_level_range_board,$B104,date_range_board,L94,inputdata!$F:$F,"ED"),TEXT(SUMIFS(Comparison_Lookup,site_level_range_board,$B104,date_range_board,L94,inputdata!$F:$F,"ED")/SUMIFS(All_Attendances,site_level_range_board,$B104,date_range_board,L94,inputdata!$F:$F,"ED"),"0.0%")),IF(LEFT($B$7,6)="Number",SUMIFS(Comparison_Lookup,site_level_range_board,$B104,date_range_board,L94),TEXT(SUMIFS(Comparison_Lookup,site_level_range_board,$B104,date_range_board,L94)/SUMIFS(All_Attendances,site_level_range_board,$B104,date_range_board,L94),"0.0%"))),"")</f>
        <v>79.3%</v>
      </c>
      <c r="M104" s="165" t="str">
        <f ca="1">IFERROR(IF(ISNUMBER(FIND("ED only",$B$4)),IF(LEFT($B$7,6)="Number",SUMIFS(Comparison_Lookup,site_level_range_board,$B104,date_range_board,M94,inputdata!$F:$F,"ED"),TEXT(SUMIFS(Comparison_Lookup,site_level_range_board,$B104,date_range_board,M94,inputdata!$F:$F,"ED")/SUMIFS(All_Attendances,site_level_range_board,$B104,date_range_board,M94,inputdata!$F:$F,"ED"),"0.0%")),IF(LEFT($B$7,6)="Number",SUMIFS(Comparison_Lookup,site_level_range_board,$B104,date_range_board,M94),TEXT(SUMIFS(Comparison_Lookup,site_level_range_board,$B104,date_range_board,M94)/SUMIFS(All_Attendances,site_level_range_board,$B104,date_range_board,M94),"0.0%"))),"")</f>
        <v>82.3%</v>
      </c>
      <c r="N104" s="171" t="str">
        <f ca="1">IFERROR(IF(ISNUMBER(FIND("ED only",$B$4)),IF(LEFT($B$7,6)="Number",SUMIFS(Comparison_Lookup,site_level_range_board,$B104,date_range_board,N94,inputdata!$F:$F,"ED"),TEXT(SUMIFS(Comparison_Lookup,site_level_range_board,$B104,date_range_board,N94,inputdata!$F:$F,"ED")/SUMIFS(All_Attendances,site_level_range_board,$B104,date_range_board,N94,inputdata!$F:$F,"ED"),"0.0%")),IF(LEFT($B$7,6)="Number",SUMIFS(Comparison_Lookup,site_level_range_board,$B104,date_range_board,N94),TEXT(SUMIFS(Comparison_Lookup,site_level_range_board,$B104,date_range_board,N94)/SUMIFS(All_Attendances,site_level_range_board,$B104,date_range_board,N94),"0.0%"))),"")</f>
        <v>75.4%</v>
      </c>
    </row>
    <row r="105" spans="1:14" ht="15" customHeight="1" x14ac:dyDescent="0.2">
      <c r="A105" s="132"/>
      <c r="B105" s="152" t="s">
        <v>571</v>
      </c>
      <c r="C105" s="165" t="str">
        <f ca="1">IFERROR(IF(ISNUMBER(FIND("ED only",$B$4)),IF(LEFT($B$7,6)="Number",SUMIFS(Comparison_Lookup,site_level_range_board,$B105,date_range_board,C94,inputdata!$F:$F,"ED"),TEXT(SUMIFS(Comparison_Lookup,site_level_range_board,$B105,date_range_board,C94,inputdata!$F:$F,"ED")/SUMIFS(All_Attendances,site_level_range_board,$B105,date_range_board,C94,inputdata!$F:$F,"ED"),"0.0%")),IF(LEFT($B$7,6)="Number",SUMIFS(Comparison_Lookup,site_level_range_board,$B105,date_range_board,C94),TEXT(SUMIFS(Comparison_Lookup,site_level_range_board,$B105,date_range_board,C94)/SUMIFS(All_Attendances,site_level_range_board,$B105,date_range_board,C94),"0.0%"))),"")</f>
        <v>95.4%</v>
      </c>
      <c r="D105" s="165" t="str">
        <f ca="1">IFERROR(IF(ISNUMBER(FIND("ED only",$B$4)),IF(LEFT($B$7,6)="Number",SUMIFS(Comparison_Lookup,site_level_range_board,$B105,date_range_board,D94,inputdata!$F:$F,"ED"),TEXT(SUMIFS(Comparison_Lookup,site_level_range_board,$B105,date_range_board,D94,inputdata!$F:$F,"ED")/SUMIFS(All_Attendances,site_level_range_board,$B105,date_range_board,D94,inputdata!$F:$F,"ED"),"0.0%")),IF(LEFT($B$7,6)="Number",SUMIFS(Comparison_Lookup,site_level_range_board,$B105,date_range_board,D94),TEXT(SUMIFS(Comparison_Lookup,site_level_range_board,$B105,date_range_board,D94)/SUMIFS(All_Attendances,site_level_range_board,$B105,date_range_board,D94),"0.0%"))),"")</f>
        <v>96.4%</v>
      </c>
      <c r="E105" s="165" t="str">
        <f ca="1">IFERROR(IF(ISNUMBER(FIND("ED only",$B$4)),IF(LEFT($B$7,6)="Number",SUMIFS(Comparison_Lookup,site_level_range_board,$B105,date_range_board,E94,inputdata!$F:$F,"ED"),TEXT(SUMIFS(Comparison_Lookup,site_level_range_board,$B105,date_range_board,E94,inputdata!$F:$F,"ED")/SUMIFS(All_Attendances,site_level_range_board,$B105,date_range_board,E94,inputdata!$F:$F,"ED"),"0.0%")),IF(LEFT($B$7,6)="Number",SUMIFS(Comparison_Lookup,site_level_range_board,$B105,date_range_board,E94),TEXT(SUMIFS(Comparison_Lookup,site_level_range_board,$B105,date_range_board,E94)/SUMIFS(All_Attendances,site_level_range_board,$B105,date_range_board,E94),"0.0%"))),"")</f>
        <v>99.0%</v>
      </c>
      <c r="F105" s="165" t="str">
        <f ca="1">IFERROR(IF(ISNUMBER(FIND("ED only",$B$4)),IF(LEFT($B$7,6)="Number",SUMIFS(Comparison_Lookup,site_level_range_board,$B105,date_range_board,F94,inputdata!$F:$F,"ED"),TEXT(SUMIFS(Comparison_Lookup,site_level_range_board,$B105,date_range_board,F94,inputdata!$F:$F,"ED")/SUMIFS(All_Attendances,site_level_range_board,$B105,date_range_board,F94,inputdata!$F:$F,"ED"),"0.0%")),IF(LEFT($B$7,6)="Number",SUMIFS(Comparison_Lookup,site_level_range_board,$B105,date_range_board,F94),TEXT(SUMIFS(Comparison_Lookup,site_level_range_board,$B105,date_range_board,F94)/SUMIFS(All_Attendances,site_level_range_board,$B105,date_range_board,F94),"0.0%"))),"")</f>
        <v>95.0%</v>
      </c>
      <c r="G105" s="165" t="str">
        <f ca="1">IFERROR(IF(ISNUMBER(FIND("ED only",$B$4)),IF(LEFT($B$7,6)="Number",SUMIFS(Comparison_Lookup,site_level_range_board,$B105,date_range_board,G94,inputdata!$F:$F,"ED"),TEXT(SUMIFS(Comparison_Lookup,site_level_range_board,$B105,date_range_board,G94,inputdata!$F:$F,"ED")/SUMIFS(All_Attendances,site_level_range_board,$B105,date_range_board,G94,inputdata!$F:$F,"ED"),"0.0%")),IF(LEFT($B$7,6)="Number",SUMIFS(Comparison_Lookup,site_level_range_board,$B105,date_range_board,G94),TEXT(SUMIFS(Comparison_Lookup,site_level_range_board,$B105,date_range_board,G94)/SUMIFS(All_Attendances,site_level_range_board,$B105,date_range_board,G94),"0.0%"))),"")</f>
        <v>97.7%</v>
      </c>
      <c r="H105" s="165" t="str">
        <f ca="1">IFERROR(IF(ISNUMBER(FIND("ED only",$B$4)),IF(LEFT($B$7,6)="Number",SUMIFS(Comparison_Lookup,site_level_range_board,$B105,date_range_board,H94,inputdata!$F:$F,"ED"),TEXT(SUMIFS(Comparison_Lookup,site_level_range_board,$B105,date_range_board,H94,inputdata!$F:$F,"ED")/SUMIFS(All_Attendances,site_level_range_board,$B105,date_range_board,H94,inputdata!$F:$F,"ED"),"0.0%")),IF(LEFT($B$7,6)="Number",SUMIFS(Comparison_Lookup,site_level_range_board,$B105,date_range_board,H94),TEXT(SUMIFS(Comparison_Lookup,site_level_range_board,$B105,date_range_board,H94)/SUMIFS(All_Attendances,site_level_range_board,$B105,date_range_board,H94),"0.0%"))),"")</f>
        <v>96.6%</v>
      </c>
      <c r="I105" s="165" t="str">
        <f ca="1">IFERROR(IF(ISNUMBER(FIND("ED only",$B$4)),IF(LEFT($B$7,6)="Number",SUMIFS(Comparison_Lookup,site_level_range_board,$B105,date_range_board,I94,inputdata!$F:$F,"ED"),TEXT(SUMIFS(Comparison_Lookup,site_level_range_board,$B105,date_range_board,I94,inputdata!$F:$F,"ED")/SUMIFS(All_Attendances,site_level_range_board,$B105,date_range_board,I94,inputdata!$F:$F,"ED"),"0.0%")),IF(LEFT($B$7,6)="Number",SUMIFS(Comparison_Lookup,site_level_range_board,$B105,date_range_board,I94),TEXT(SUMIFS(Comparison_Lookup,site_level_range_board,$B105,date_range_board,I94)/SUMIFS(All_Attendances,site_level_range_board,$B105,date_range_board,I94),"0.0%"))),"")</f>
        <v>92.2%</v>
      </c>
      <c r="J105" s="165" t="str">
        <f ca="1">IFERROR(IF(ISNUMBER(FIND("ED only",$B$4)),IF(LEFT($B$7,6)="Number",SUMIFS(Comparison_Lookup,site_level_range_board,$B105,date_range_board,J94,inputdata!$F:$F,"ED"),TEXT(SUMIFS(Comparison_Lookup,site_level_range_board,$B105,date_range_board,J94,inputdata!$F:$F,"ED")/SUMIFS(All_Attendances,site_level_range_board,$B105,date_range_board,J94,inputdata!$F:$F,"ED"),"0.0%")),IF(LEFT($B$7,6)="Number",SUMIFS(Comparison_Lookup,site_level_range_board,$B105,date_range_board,J94),TEXT(SUMIFS(Comparison_Lookup,site_level_range_board,$B105,date_range_board,J94)/SUMIFS(All_Attendances,site_level_range_board,$B105,date_range_board,J94),"0.0%"))),"")</f>
        <v>96.0%</v>
      </c>
      <c r="K105" s="165" t="str">
        <f ca="1">IFERROR(IF(ISNUMBER(FIND("ED only",$B$4)),IF(LEFT($B$7,6)="Number",SUMIFS(Comparison_Lookup,site_level_range_board,$B105,date_range_board,K94,inputdata!$F:$F,"ED"),TEXT(SUMIFS(Comparison_Lookup,site_level_range_board,$B105,date_range_board,K94,inputdata!$F:$F,"ED")/SUMIFS(All_Attendances,site_level_range_board,$B105,date_range_board,K94,inputdata!$F:$F,"ED"),"0.0%")),IF(LEFT($B$7,6)="Number",SUMIFS(Comparison_Lookup,site_level_range_board,$B105,date_range_board,K94),TEXT(SUMIFS(Comparison_Lookup,site_level_range_board,$B105,date_range_board,K94)/SUMIFS(All_Attendances,site_level_range_board,$B105,date_range_board,K94),"0.0%"))),"")</f>
        <v>97.0%</v>
      </c>
      <c r="L105" s="165" t="str">
        <f ca="1">IFERROR(IF(ISNUMBER(FIND("ED only",$B$4)),IF(LEFT($B$7,6)="Number",SUMIFS(Comparison_Lookup,site_level_range_board,$B105,date_range_board,L94,inputdata!$F:$F,"ED"),TEXT(SUMIFS(Comparison_Lookup,site_level_range_board,$B105,date_range_board,L94,inputdata!$F:$F,"ED")/SUMIFS(All_Attendances,site_level_range_board,$B105,date_range_board,L94,inputdata!$F:$F,"ED"),"0.0%")),IF(LEFT($B$7,6)="Number",SUMIFS(Comparison_Lookup,site_level_range_board,$B105,date_range_board,L94),TEXT(SUMIFS(Comparison_Lookup,site_level_range_board,$B105,date_range_board,L94)/SUMIFS(All_Attendances,site_level_range_board,$B105,date_range_board,L94),"0.0%"))),"")</f>
        <v>98.0%</v>
      </c>
      <c r="M105" s="165" t="str">
        <f ca="1">IFERROR(IF(ISNUMBER(FIND("ED only",$B$4)),IF(LEFT($B$7,6)="Number",SUMIFS(Comparison_Lookup,site_level_range_board,$B105,date_range_board,M94,inputdata!$F:$F,"ED"),TEXT(SUMIFS(Comparison_Lookup,site_level_range_board,$B105,date_range_board,M94,inputdata!$F:$F,"ED")/SUMIFS(All_Attendances,site_level_range_board,$B105,date_range_board,M94,inputdata!$F:$F,"ED"),"0.0%")),IF(LEFT($B$7,6)="Number",SUMIFS(Comparison_Lookup,site_level_range_board,$B105,date_range_board,M94),TEXT(SUMIFS(Comparison_Lookup,site_level_range_board,$B105,date_range_board,M94)/SUMIFS(All_Attendances,site_level_range_board,$B105,date_range_board,M94),"0.0%"))),"")</f>
        <v>96.4%</v>
      </c>
      <c r="N105" s="171" t="str">
        <f ca="1">IFERROR(IF(ISNUMBER(FIND("ED only",$B$4)),IF(LEFT($B$7,6)="Number",SUMIFS(Comparison_Lookup,site_level_range_board,$B105,date_range_board,N94,inputdata!$F:$F,"ED"),TEXT(SUMIFS(Comparison_Lookup,site_level_range_board,$B105,date_range_board,N94,inputdata!$F:$F,"ED")/SUMIFS(All_Attendances,site_level_range_board,$B105,date_range_board,N94,inputdata!$F:$F,"ED"),"0.0%")),IF(LEFT($B$7,6)="Number",SUMIFS(Comparison_Lookup,site_level_range_board,$B105,date_range_board,N94),TEXT(SUMIFS(Comparison_Lookup,site_level_range_board,$B105,date_range_board,N94)/SUMIFS(All_Attendances,site_level_range_board,$B105,date_range_board,N94),"0.0%"))),"")</f>
        <v>95.9%</v>
      </c>
    </row>
    <row r="106" spans="1:14" ht="15" customHeight="1" x14ac:dyDescent="0.2">
      <c r="A106" s="132"/>
      <c r="B106" s="152" t="s">
        <v>574</v>
      </c>
      <c r="C106" s="165" t="str">
        <f ca="1">IFERROR(IF(ISNUMBER(FIND("ED only",$B$4)),IF(LEFT($B$7,6)="Number",SUMIFS(Comparison_Lookup,site_level_range_board,$B106,date_range_board,C94,inputdata!$F:$F,"ED"),TEXT(SUMIFS(Comparison_Lookup,site_level_range_board,$B106,date_range_board,C94,inputdata!$F:$F,"ED")/SUMIFS(All_Attendances,site_level_range_board,$B106,date_range_board,C94,inputdata!$F:$F,"ED"),"0.0%")),IF(LEFT($B$7,6)="Number",SUMIFS(Comparison_Lookup,site_level_range_board,$B106,date_range_board,C94),TEXT(SUMIFS(Comparison_Lookup,site_level_range_board,$B106,date_range_board,C94)/SUMIFS(All_Attendances,site_level_range_board,$B106,date_range_board,C94),"0.0%"))),"")</f>
        <v>97.4%</v>
      </c>
      <c r="D106" s="165" t="str">
        <f ca="1">IFERROR(IF(ISNUMBER(FIND("ED only",$B$4)),IF(LEFT($B$7,6)="Number",SUMIFS(Comparison_Lookup,site_level_range_board,$B106,date_range_board,D94,inputdata!$F:$F,"ED"),TEXT(SUMIFS(Comparison_Lookup,site_level_range_board,$B106,date_range_board,D94,inputdata!$F:$F,"ED")/SUMIFS(All_Attendances,site_level_range_board,$B106,date_range_board,D94,inputdata!$F:$F,"ED"),"0.0%")),IF(LEFT($B$7,6)="Number",SUMIFS(Comparison_Lookup,site_level_range_board,$B106,date_range_board,D94),TEXT(SUMIFS(Comparison_Lookup,site_level_range_board,$B106,date_range_board,D94)/SUMIFS(All_Attendances,site_level_range_board,$B106,date_range_board,D94),"0.0%"))),"")</f>
        <v>96.5%</v>
      </c>
      <c r="E106" s="165" t="str">
        <f ca="1">IFERROR(IF(ISNUMBER(FIND("ED only",$B$4)),IF(LEFT($B$7,6)="Number",SUMIFS(Comparison_Lookup,site_level_range_board,$B106,date_range_board,E94,inputdata!$F:$F,"ED"),TEXT(SUMIFS(Comparison_Lookup,site_level_range_board,$B106,date_range_board,E94,inputdata!$F:$F,"ED")/SUMIFS(All_Attendances,site_level_range_board,$B106,date_range_board,E94,inputdata!$F:$F,"ED"),"0.0%")),IF(LEFT($B$7,6)="Number",SUMIFS(Comparison_Lookup,site_level_range_board,$B106,date_range_board,E94),TEXT(SUMIFS(Comparison_Lookup,site_level_range_board,$B106,date_range_board,E94)/SUMIFS(All_Attendances,site_level_range_board,$B106,date_range_board,E94),"0.0%"))),"")</f>
        <v>98.0%</v>
      </c>
      <c r="F106" s="165" t="str">
        <f ca="1">IFERROR(IF(ISNUMBER(FIND("ED only",$B$4)),IF(LEFT($B$7,6)="Number",SUMIFS(Comparison_Lookup,site_level_range_board,$B106,date_range_board,F94,inputdata!$F:$F,"ED"),TEXT(SUMIFS(Comparison_Lookup,site_level_range_board,$B106,date_range_board,F94,inputdata!$F:$F,"ED")/SUMIFS(All_Attendances,site_level_range_board,$B106,date_range_board,F94,inputdata!$F:$F,"ED"),"0.0%")),IF(LEFT($B$7,6)="Number",SUMIFS(Comparison_Lookup,site_level_range_board,$B106,date_range_board,F94),TEXT(SUMIFS(Comparison_Lookup,site_level_range_board,$B106,date_range_board,F94)/SUMIFS(All_Attendances,site_level_range_board,$B106,date_range_board,F94),"0.0%"))),"")</f>
        <v>97.1%</v>
      </c>
      <c r="G106" s="165" t="str">
        <f ca="1">IFERROR(IF(ISNUMBER(FIND("ED only",$B$4)),IF(LEFT($B$7,6)="Number",SUMIFS(Comparison_Lookup,site_level_range_board,$B106,date_range_board,G94,inputdata!$F:$F,"ED"),TEXT(SUMIFS(Comparison_Lookup,site_level_range_board,$B106,date_range_board,G94,inputdata!$F:$F,"ED")/SUMIFS(All_Attendances,site_level_range_board,$B106,date_range_board,G94,inputdata!$F:$F,"ED"),"0.0%")),IF(LEFT($B$7,6)="Number",SUMIFS(Comparison_Lookup,site_level_range_board,$B106,date_range_board,G94),TEXT(SUMIFS(Comparison_Lookup,site_level_range_board,$B106,date_range_board,G94)/SUMIFS(All_Attendances,site_level_range_board,$B106,date_range_board,G94),"0.0%"))),"")</f>
        <v>93.8%</v>
      </c>
      <c r="H106" s="165" t="str">
        <f ca="1">IFERROR(IF(ISNUMBER(FIND("ED only",$B$4)),IF(LEFT($B$7,6)="Number",SUMIFS(Comparison_Lookup,site_level_range_board,$B106,date_range_board,H94,inputdata!$F:$F,"ED"),TEXT(SUMIFS(Comparison_Lookup,site_level_range_board,$B106,date_range_board,H94,inputdata!$F:$F,"ED")/SUMIFS(All_Attendances,site_level_range_board,$B106,date_range_board,H94,inputdata!$F:$F,"ED"),"0.0%")),IF(LEFT($B$7,6)="Number",SUMIFS(Comparison_Lookup,site_level_range_board,$B106,date_range_board,H94),TEXT(SUMIFS(Comparison_Lookup,site_level_range_board,$B106,date_range_board,H94)/SUMIFS(All_Attendances,site_level_range_board,$B106,date_range_board,H94),"0.0%"))),"")</f>
        <v>98.2%</v>
      </c>
      <c r="I106" s="165" t="str">
        <f ca="1">IFERROR(IF(ISNUMBER(FIND("ED only",$B$4)),IF(LEFT($B$7,6)="Number",SUMIFS(Comparison_Lookup,site_level_range_board,$B106,date_range_board,I94,inputdata!$F:$F,"ED"),TEXT(SUMIFS(Comparison_Lookup,site_level_range_board,$B106,date_range_board,I94,inputdata!$F:$F,"ED")/SUMIFS(All_Attendances,site_level_range_board,$B106,date_range_board,I94,inputdata!$F:$F,"ED"),"0.0%")),IF(LEFT($B$7,6)="Number",SUMIFS(Comparison_Lookup,site_level_range_board,$B106,date_range_board,I94),TEXT(SUMIFS(Comparison_Lookup,site_level_range_board,$B106,date_range_board,I94)/SUMIFS(All_Attendances,site_level_range_board,$B106,date_range_board,I94),"0.0%"))),"")</f>
        <v>97.6%</v>
      </c>
      <c r="J106" s="165" t="str">
        <f ca="1">IFERROR(IF(ISNUMBER(FIND("ED only",$B$4)),IF(LEFT($B$7,6)="Number",SUMIFS(Comparison_Lookup,site_level_range_board,$B106,date_range_board,J94,inputdata!$F:$F,"ED"),TEXT(SUMIFS(Comparison_Lookup,site_level_range_board,$B106,date_range_board,J94,inputdata!$F:$F,"ED")/SUMIFS(All_Attendances,site_level_range_board,$B106,date_range_board,J94,inputdata!$F:$F,"ED"),"0.0%")),IF(LEFT($B$7,6)="Number",SUMIFS(Comparison_Lookup,site_level_range_board,$B106,date_range_board,J94),TEXT(SUMIFS(Comparison_Lookup,site_level_range_board,$B106,date_range_board,J94)/SUMIFS(All_Attendances,site_level_range_board,$B106,date_range_board,J94),"0.0%"))),"")</f>
        <v>96.6%</v>
      </c>
      <c r="K106" s="165" t="str">
        <f ca="1">IFERROR(IF(ISNUMBER(FIND("ED only",$B$4)),IF(LEFT($B$7,6)="Number",SUMIFS(Comparison_Lookup,site_level_range_board,$B106,date_range_board,K94,inputdata!$F:$F,"ED"),TEXT(SUMIFS(Comparison_Lookup,site_level_range_board,$B106,date_range_board,K94,inputdata!$F:$F,"ED")/SUMIFS(All_Attendances,site_level_range_board,$B106,date_range_board,K94,inputdata!$F:$F,"ED"),"0.0%")),IF(LEFT($B$7,6)="Number",SUMIFS(Comparison_Lookup,site_level_range_board,$B106,date_range_board,K94),TEXT(SUMIFS(Comparison_Lookup,site_level_range_board,$B106,date_range_board,K94)/SUMIFS(All_Attendances,site_level_range_board,$B106,date_range_board,K94),"0.0%"))),"")</f>
        <v>94.9%</v>
      </c>
      <c r="L106" s="165" t="str">
        <f ca="1">IFERROR(IF(ISNUMBER(FIND("ED only",$B$4)),IF(LEFT($B$7,6)="Number",SUMIFS(Comparison_Lookup,site_level_range_board,$B106,date_range_board,L94,inputdata!$F:$F,"ED"),TEXT(SUMIFS(Comparison_Lookup,site_level_range_board,$B106,date_range_board,L94,inputdata!$F:$F,"ED")/SUMIFS(All_Attendances,site_level_range_board,$B106,date_range_board,L94,inputdata!$F:$F,"ED"),"0.0%")),IF(LEFT($B$7,6)="Number",SUMIFS(Comparison_Lookup,site_level_range_board,$B106,date_range_board,L94),TEXT(SUMIFS(Comparison_Lookup,site_level_range_board,$B106,date_range_board,L94)/SUMIFS(All_Attendances,site_level_range_board,$B106,date_range_board,L94),"0.0%"))),"")</f>
        <v>96.4%</v>
      </c>
      <c r="M106" s="165" t="str">
        <f ca="1">IFERROR(IF(ISNUMBER(FIND("ED only",$B$4)),IF(LEFT($B$7,6)="Number",SUMIFS(Comparison_Lookup,site_level_range_board,$B106,date_range_board,M94,inputdata!$F:$F,"ED"),TEXT(SUMIFS(Comparison_Lookup,site_level_range_board,$B106,date_range_board,M94,inputdata!$F:$F,"ED")/SUMIFS(All_Attendances,site_level_range_board,$B106,date_range_board,M94,inputdata!$F:$F,"ED"),"0.0%")),IF(LEFT($B$7,6)="Number",SUMIFS(Comparison_Lookup,site_level_range_board,$B106,date_range_board,M94),TEXT(SUMIFS(Comparison_Lookup,site_level_range_board,$B106,date_range_board,M94)/SUMIFS(All_Attendances,site_level_range_board,$B106,date_range_board,M94),"0.0%"))),"")</f>
        <v>98.0%</v>
      </c>
      <c r="N106" s="171" t="str">
        <f ca="1">IFERROR(IF(ISNUMBER(FIND("ED only",$B$4)),IF(LEFT($B$7,6)="Number",SUMIFS(Comparison_Lookup,site_level_range_board,$B106,date_range_board,N94,inputdata!$F:$F,"ED"),TEXT(SUMIFS(Comparison_Lookup,site_level_range_board,$B106,date_range_board,N94,inputdata!$F:$F,"ED")/SUMIFS(All_Attendances,site_level_range_board,$B106,date_range_board,N94,inputdata!$F:$F,"ED"),"0.0%")),IF(LEFT($B$7,6)="Number",SUMIFS(Comparison_Lookup,site_level_range_board,$B106,date_range_board,N94),TEXT(SUMIFS(Comparison_Lookup,site_level_range_board,$B106,date_range_board,N94)/SUMIFS(All_Attendances,site_level_range_board,$B106,date_range_board,N94),"0.0%"))),"")</f>
        <v>94.4%</v>
      </c>
    </row>
    <row r="107" spans="1:14" ht="15" customHeight="1" x14ac:dyDescent="0.2">
      <c r="A107" s="132"/>
      <c r="B107" s="152" t="s">
        <v>577</v>
      </c>
      <c r="C107" s="165" t="str">
        <f ca="1">IFERROR(IF(ISNUMBER(FIND("ED only",$B$4)),IF(LEFT($B$7,6)="Number",SUMIFS(Comparison_Lookup,site_level_range_board,$B107,date_range_board,C94,inputdata!$F:$F,"ED"),TEXT(SUMIFS(Comparison_Lookup,site_level_range_board,$B107,date_range_board,C94,inputdata!$F:$F,"ED")/SUMIFS(All_Attendances,site_level_range_board,$B107,date_range_board,C94,inputdata!$F:$F,"ED"),"0.0%")),IF(LEFT($B$7,6)="Number",SUMIFS(Comparison_Lookup,site_level_range_board,$B107,date_range_board,C94),TEXT(SUMIFS(Comparison_Lookup,site_level_range_board,$B107,date_range_board,C94)/SUMIFS(All_Attendances,site_level_range_board,$B107,date_range_board,C94),"0.0%"))),"")</f>
        <v>98.6%</v>
      </c>
      <c r="D107" s="165" t="str">
        <f ca="1">IFERROR(IF(ISNUMBER(FIND("ED only",$B$4)),IF(LEFT($B$7,6)="Number",SUMIFS(Comparison_Lookup,site_level_range_board,$B107,date_range_board,D94,inputdata!$F:$F,"ED"),TEXT(SUMIFS(Comparison_Lookup,site_level_range_board,$B107,date_range_board,D94,inputdata!$F:$F,"ED")/SUMIFS(All_Attendances,site_level_range_board,$B107,date_range_board,D94,inputdata!$F:$F,"ED"),"0.0%")),IF(LEFT($B$7,6)="Number",SUMIFS(Comparison_Lookup,site_level_range_board,$B107,date_range_board,D94),TEXT(SUMIFS(Comparison_Lookup,site_level_range_board,$B107,date_range_board,D94)/SUMIFS(All_Attendances,site_level_range_board,$B107,date_range_board,D94),"0.0%"))),"")</f>
        <v>97.8%</v>
      </c>
      <c r="E107" s="165" t="str">
        <f ca="1">IFERROR(IF(ISNUMBER(FIND("ED only",$B$4)),IF(LEFT($B$7,6)="Number",SUMIFS(Comparison_Lookup,site_level_range_board,$B107,date_range_board,E94,inputdata!$F:$F,"ED"),TEXT(SUMIFS(Comparison_Lookup,site_level_range_board,$B107,date_range_board,E94,inputdata!$F:$F,"ED")/SUMIFS(All_Attendances,site_level_range_board,$B107,date_range_board,E94,inputdata!$F:$F,"ED"),"0.0%")),IF(LEFT($B$7,6)="Number",SUMIFS(Comparison_Lookup,site_level_range_board,$B107,date_range_board,E94),TEXT(SUMIFS(Comparison_Lookup,site_level_range_board,$B107,date_range_board,E94)/SUMIFS(All_Attendances,site_level_range_board,$B107,date_range_board,E94),"0.0%"))),"")</f>
        <v>98.7%</v>
      </c>
      <c r="F107" s="165" t="str">
        <f ca="1">IFERROR(IF(ISNUMBER(FIND("ED only",$B$4)),IF(LEFT($B$7,6)="Number",SUMIFS(Comparison_Lookup,site_level_range_board,$B107,date_range_board,F94,inputdata!$F:$F,"ED"),TEXT(SUMIFS(Comparison_Lookup,site_level_range_board,$B107,date_range_board,F94,inputdata!$F:$F,"ED")/SUMIFS(All_Attendances,site_level_range_board,$B107,date_range_board,F94,inputdata!$F:$F,"ED"),"0.0%")),IF(LEFT($B$7,6)="Number",SUMIFS(Comparison_Lookup,site_level_range_board,$B107,date_range_board,F94),TEXT(SUMIFS(Comparison_Lookup,site_level_range_board,$B107,date_range_board,F94)/SUMIFS(All_Attendances,site_level_range_board,$B107,date_range_board,F94),"0.0%"))),"")</f>
        <v>98.4%</v>
      </c>
      <c r="G107" s="165" t="str">
        <f ca="1">IFERROR(IF(ISNUMBER(FIND("ED only",$B$4)),IF(LEFT($B$7,6)="Number",SUMIFS(Comparison_Lookup,site_level_range_board,$B107,date_range_board,G94,inputdata!$F:$F,"ED"),TEXT(SUMIFS(Comparison_Lookup,site_level_range_board,$B107,date_range_board,G94,inputdata!$F:$F,"ED")/SUMIFS(All_Attendances,site_level_range_board,$B107,date_range_board,G94,inputdata!$F:$F,"ED"),"0.0%")),IF(LEFT($B$7,6)="Number",SUMIFS(Comparison_Lookup,site_level_range_board,$B107,date_range_board,G94),TEXT(SUMIFS(Comparison_Lookup,site_level_range_board,$B107,date_range_board,G94)/SUMIFS(All_Attendances,site_level_range_board,$B107,date_range_board,G94),"0.0%"))),"")</f>
        <v>98.3%</v>
      </c>
      <c r="H107" s="165" t="str">
        <f ca="1">IFERROR(IF(ISNUMBER(FIND("ED only",$B$4)),IF(LEFT($B$7,6)="Number",SUMIFS(Comparison_Lookup,site_level_range_board,$B107,date_range_board,H94,inputdata!$F:$F,"ED"),TEXT(SUMIFS(Comparison_Lookup,site_level_range_board,$B107,date_range_board,H94,inputdata!$F:$F,"ED")/SUMIFS(All_Attendances,site_level_range_board,$B107,date_range_board,H94,inputdata!$F:$F,"ED"),"0.0%")),IF(LEFT($B$7,6)="Number",SUMIFS(Comparison_Lookup,site_level_range_board,$B107,date_range_board,H94),TEXT(SUMIFS(Comparison_Lookup,site_level_range_board,$B107,date_range_board,H94)/SUMIFS(All_Attendances,site_level_range_board,$B107,date_range_board,H94),"0.0%"))),"")</f>
        <v>97.4%</v>
      </c>
      <c r="I107" s="165" t="str">
        <f ca="1">IFERROR(IF(ISNUMBER(FIND("ED only",$B$4)),IF(LEFT($B$7,6)="Number",SUMIFS(Comparison_Lookup,site_level_range_board,$B107,date_range_board,I94,inputdata!$F:$F,"ED"),TEXT(SUMIFS(Comparison_Lookup,site_level_range_board,$B107,date_range_board,I94,inputdata!$F:$F,"ED")/SUMIFS(All_Attendances,site_level_range_board,$B107,date_range_board,I94,inputdata!$F:$F,"ED"),"0.0%")),IF(LEFT($B$7,6)="Number",SUMIFS(Comparison_Lookup,site_level_range_board,$B107,date_range_board,I94),TEXT(SUMIFS(Comparison_Lookup,site_level_range_board,$B107,date_range_board,I94)/SUMIFS(All_Attendances,site_level_range_board,$B107,date_range_board,I94),"0.0%"))),"")</f>
        <v>98.6%</v>
      </c>
      <c r="J107" s="165" t="str">
        <f ca="1">IFERROR(IF(ISNUMBER(FIND("ED only",$B$4)),IF(LEFT($B$7,6)="Number",SUMIFS(Comparison_Lookup,site_level_range_board,$B107,date_range_board,J94,inputdata!$F:$F,"ED"),TEXT(SUMIFS(Comparison_Lookup,site_level_range_board,$B107,date_range_board,J94,inputdata!$F:$F,"ED")/SUMIFS(All_Attendances,site_level_range_board,$B107,date_range_board,J94,inputdata!$F:$F,"ED"),"0.0%")),IF(LEFT($B$7,6)="Number",SUMIFS(Comparison_Lookup,site_level_range_board,$B107,date_range_board,J94),TEXT(SUMIFS(Comparison_Lookup,site_level_range_board,$B107,date_range_board,J94)/SUMIFS(All_Attendances,site_level_range_board,$B107,date_range_board,J94),"0.0%"))),"")</f>
        <v>98.2%</v>
      </c>
      <c r="K107" s="165" t="str">
        <f ca="1">IFERROR(IF(ISNUMBER(FIND("ED only",$B$4)),IF(LEFT($B$7,6)="Number",SUMIFS(Comparison_Lookup,site_level_range_board,$B107,date_range_board,K94,inputdata!$F:$F,"ED"),TEXT(SUMIFS(Comparison_Lookup,site_level_range_board,$B107,date_range_board,K94,inputdata!$F:$F,"ED")/SUMIFS(All_Attendances,site_level_range_board,$B107,date_range_board,K94,inputdata!$F:$F,"ED"),"0.0%")),IF(LEFT($B$7,6)="Number",SUMIFS(Comparison_Lookup,site_level_range_board,$B107,date_range_board,K94),TEXT(SUMIFS(Comparison_Lookup,site_level_range_board,$B107,date_range_board,K94)/SUMIFS(All_Attendances,site_level_range_board,$B107,date_range_board,K94),"0.0%"))),"")</f>
        <v>94.9%</v>
      </c>
      <c r="L107" s="165" t="str">
        <f ca="1">IFERROR(IF(ISNUMBER(FIND("ED only",$B$4)),IF(LEFT($B$7,6)="Number",SUMIFS(Comparison_Lookup,site_level_range_board,$B107,date_range_board,L94,inputdata!$F:$F,"ED"),TEXT(SUMIFS(Comparison_Lookup,site_level_range_board,$B107,date_range_board,L94,inputdata!$F:$F,"ED")/SUMIFS(All_Attendances,site_level_range_board,$B107,date_range_board,L94,inputdata!$F:$F,"ED"),"0.0%")),IF(LEFT($B$7,6)="Number",SUMIFS(Comparison_Lookup,site_level_range_board,$B107,date_range_board,L94),TEXT(SUMIFS(Comparison_Lookup,site_level_range_board,$B107,date_range_board,L94)/SUMIFS(All_Attendances,site_level_range_board,$B107,date_range_board,L94),"0.0%"))),"")</f>
        <v>96.8%</v>
      </c>
      <c r="M107" s="165" t="str">
        <f ca="1">IFERROR(IF(ISNUMBER(FIND("ED only",$B$4)),IF(LEFT($B$7,6)="Number",SUMIFS(Comparison_Lookup,site_level_range_board,$B107,date_range_board,M94,inputdata!$F:$F,"ED"),TEXT(SUMIFS(Comparison_Lookup,site_level_range_board,$B107,date_range_board,M94,inputdata!$F:$F,"ED")/SUMIFS(All_Attendances,site_level_range_board,$B107,date_range_board,M94,inputdata!$F:$F,"ED"),"0.0%")),IF(LEFT($B$7,6)="Number",SUMIFS(Comparison_Lookup,site_level_range_board,$B107,date_range_board,M94),TEXT(SUMIFS(Comparison_Lookup,site_level_range_board,$B107,date_range_board,M94)/SUMIFS(All_Attendances,site_level_range_board,$B107,date_range_board,M94),"0.0%"))),"")</f>
        <v>97.7%</v>
      </c>
      <c r="N107" s="171" t="str">
        <f ca="1">IFERROR(IF(ISNUMBER(FIND("ED only",$B$4)),IF(LEFT($B$7,6)="Number",SUMIFS(Comparison_Lookup,site_level_range_board,$B107,date_range_board,N94,inputdata!$F:$F,"ED"),TEXT(SUMIFS(Comparison_Lookup,site_level_range_board,$B107,date_range_board,N94,inputdata!$F:$F,"ED")/SUMIFS(All_Attendances,site_level_range_board,$B107,date_range_board,N94,inputdata!$F:$F,"ED"),"0.0%")),IF(LEFT($B$7,6)="Number",SUMIFS(Comparison_Lookup,site_level_range_board,$B107,date_range_board,N94),TEXT(SUMIFS(Comparison_Lookup,site_level_range_board,$B107,date_range_board,N94)/SUMIFS(All_Attendances,site_level_range_board,$B107,date_range_board,N94),"0.0%"))),"")</f>
        <v>98.0%</v>
      </c>
    </row>
    <row r="108" spans="1:14" ht="15" customHeight="1" x14ac:dyDescent="0.2">
      <c r="A108" s="132"/>
      <c r="B108" s="154" t="s">
        <v>594</v>
      </c>
      <c r="C108" s="168" t="str">
        <f ca="1">IFERROR(IF(ISNUMBER(FIND("ED only",$B$4)),IF(LEFT($B$7,6)="Number",SUMIFS(Comparison_Lookup,site_level_range_board,$B108,date_range_board,C94,inputdata!$F:$F,"ED"),TEXT(SUMIFS(Comparison_Lookup,site_level_range_board,$B108,date_range_board,C94,inputdata!$F:$F,"ED")/SUMIFS(All_Attendances,site_level_range_board,$B108,date_range_board,C94,inputdata!$F:$F,"ED"),"0.0%")),IF(LEFT($B$7,6)="Number",SUMIFS(Comparison_Lookup,site_level_range_board,$B108,date_range_board,C94),TEXT(SUMIFS(Comparison_Lookup,site_level_range_board,$B108,date_range_board,C94)/SUMIFS(All_Attendances,site_level_range_board,$B108,date_range_board,C94),"0.0%"))),"")</f>
        <v>99.6%</v>
      </c>
      <c r="D108" s="168" t="str">
        <f ca="1">IFERROR(IF(ISNUMBER(FIND("ED only",$B$4)),IF(LEFT($B$7,6)="Number",SUMIFS(Comparison_Lookup,site_level_range_board,$B108,date_range_board,D94,inputdata!$F:$F,"ED"),TEXT(SUMIFS(Comparison_Lookup,site_level_range_board,$B108,date_range_board,D94,inputdata!$F:$F,"ED")/SUMIFS(All_Attendances,site_level_range_board,$B108,date_range_board,D94,inputdata!$F:$F,"ED"),"0.0%")),IF(LEFT($B$7,6)="Number",SUMIFS(Comparison_Lookup,site_level_range_board,$B108,date_range_board,D94),TEXT(SUMIFS(Comparison_Lookup,site_level_range_board,$B108,date_range_board,D94)/SUMIFS(All_Attendances,site_level_range_board,$B108,date_range_board,D94),"0.0%"))),"")</f>
        <v>99.3%</v>
      </c>
      <c r="E108" s="168" t="str">
        <f ca="1">IFERROR(IF(ISNUMBER(FIND("ED only",$B$4)),IF(LEFT($B$7,6)="Number",SUMIFS(Comparison_Lookup,site_level_range_board,$B108,date_range_board,E94,inputdata!$F:$F,"ED"),TEXT(SUMIFS(Comparison_Lookup,site_level_range_board,$B108,date_range_board,E94,inputdata!$F:$F,"ED")/SUMIFS(All_Attendances,site_level_range_board,$B108,date_range_board,E94,inputdata!$F:$F,"ED"),"0.0%")),IF(LEFT($B$7,6)="Number",SUMIFS(Comparison_Lookup,site_level_range_board,$B108,date_range_board,E94),TEXT(SUMIFS(Comparison_Lookup,site_level_range_board,$B108,date_range_board,E94)/SUMIFS(All_Attendances,site_level_range_board,$B108,date_range_board,E94),"0.0%"))),"")</f>
        <v>99.6%</v>
      </c>
      <c r="F108" s="168" t="str">
        <f ca="1">IFERROR(IF(ISNUMBER(FIND("ED only",$B$4)),IF(LEFT($B$7,6)="Number",SUMIFS(Comparison_Lookup,site_level_range_board,$B108,date_range_board,F94,inputdata!$F:$F,"ED"),TEXT(SUMIFS(Comparison_Lookup,site_level_range_board,$B108,date_range_board,F94,inputdata!$F:$F,"ED")/SUMIFS(All_Attendances,site_level_range_board,$B108,date_range_board,F94,inputdata!$F:$F,"ED"),"0.0%")),IF(LEFT($B$7,6)="Number",SUMIFS(Comparison_Lookup,site_level_range_board,$B108,date_range_board,F94),TEXT(SUMIFS(Comparison_Lookup,site_level_range_board,$B108,date_range_board,F94)/SUMIFS(All_Attendances,site_level_range_board,$B108,date_range_board,F94),"0.0%"))),"")</f>
        <v>99.5%</v>
      </c>
      <c r="G108" s="168" t="str">
        <f ca="1">IFERROR(IF(ISNUMBER(FIND("ED only",$B$4)),IF(LEFT($B$7,6)="Number",SUMIFS(Comparison_Lookup,site_level_range_board,$B108,date_range_board,G94,inputdata!$F:$F,"ED"),TEXT(SUMIFS(Comparison_Lookup,site_level_range_board,$B108,date_range_board,G94,inputdata!$F:$F,"ED")/SUMIFS(All_Attendances,site_level_range_board,$B108,date_range_board,G94,inputdata!$F:$F,"ED"),"0.0%")),IF(LEFT($B$7,6)="Number",SUMIFS(Comparison_Lookup,site_level_range_board,$B108,date_range_board,G94),TEXT(SUMIFS(Comparison_Lookup,site_level_range_board,$B108,date_range_board,G94)/SUMIFS(All_Attendances,site_level_range_board,$B108,date_range_board,G94),"0.0%"))),"")</f>
        <v>99.3%</v>
      </c>
      <c r="H108" s="168" t="str">
        <f ca="1">IFERROR(IF(ISNUMBER(FIND("ED only",$B$4)),IF(LEFT($B$7,6)="Number",SUMIFS(Comparison_Lookup,site_level_range_board,$B108,date_range_board,H94,inputdata!$F:$F,"ED"),TEXT(SUMIFS(Comparison_Lookup,site_level_range_board,$B108,date_range_board,H94,inputdata!$F:$F,"ED")/SUMIFS(All_Attendances,site_level_range_board,$B108,date_range_board,H94,inputdata!$F:$F,"ED"),"0.0%")),IF(LEFT($B$7,6)="Number",SUMIFS(Comparison_Lookup,site_level_range_board,$B108,date_range_board,H94),TEXT(SUMIFS(Comparison_Lookup,site_level_range_board,$B108,date_range_board,H94)/SUMIFS(All_Attendances,site_level_range_board,$B108,date_range_board,H94),"0.0%"))),"")</f>
        <v>99.3%</v>
      </c>
      <c r="I108" s="168" t="str">
        <f ca="1">IFERROR(IF(ISNUMBER(FIND("ED only",$B$4)),IF(LEFT($B$7,6)="Number",SUMIFS(Comparison_Lookup,site_level_range_board,$B108,date_range_board,I94,inputdata!$F:$F,"ED"),TEXT(SUMIFS(Comparison_Lookup,site_level_range_board,$B108,date_range_board,I94,inputdata!$F:$F,"ED")/SUMIFS(All_Attendances,site_level_range_board,$B108,date_range_board,I94,inputdata!$F:$F,"ED"),"0.0%")),IF(LEFT($B$7,6)="Number",SUMIFS(Comparison_Lookup,site_level_range_board,$B108,date_range_board,I94),TEXT(SUMIFS(Comparison_Lookup,site_level_range_board,$B108,date_range_board,I94)/SUMIFS(All_Attendances,site_level_range_board,$B108,date_range_board,I94),"0.0%"))),"")</f>
        <v>100.0%</v>
      </c>
      <c r="J108" s="168" t="str">
        <f ca="1">IFERROR(IF(ISNUMBER(FIND("ED only",$B$4)),IF(LEFT($B$7,6)="Number",SUMIFS(Comparison_Lookup,site_level_range_board,$B108,date_range_board,J94,inputdata!$F:$F,"ED"),TEXT(SUMIFS(Comparison_Lookup,site_level_range_board,$B108,date_range_board,J94,inputdata!$F:$F,"ED")/SUMIFS(All_Attendances,site_level_range_board,$B108,date_range_board,J94,inputdata!$F:$F,"ED"),"0.0%")),IF(LEFT($B$7,6)="Number",SUMIFS(Comparison_Lookup,site_level_range_board,$B108,date_range_board,J94),TEXT(SUMIFS(Comparison_Lookup,site_level_range_board,$B108,date_range_board,J94)/SUMIFS(All_Attendances,site_level_range_board,$B108,date_range_board,J94),"0.0%"))),"")</f>
        <v>98.9%</v>
      </c>
      <c r="K108" s="168" t="str">
        <f ca="1">IFERROR(IF(ISNUMBER(FIND("ED only",$B$4)),IF(LEFT($B$7,6)="Number",SUMIFS(Comparison_Lookup,site_level_range_board,$B108,date_range_board,K94,inputdata!$F:$F,"ED"),TEXT(SUMIFS(Comparison_Lookup,site_level_range_board,$B108,date_range_board,K94,inputdata!$F:$F,"ED")/SUMIFS(All_Attendances,site_level_range_board,$B108,date_range_board,K94,inputdata!$F:$F,"ED"),"0.0%")),IF(LEFT($B$7,6)="Number",SUMIFS(Comparison_Lookup,site_level_range_board,$B108,date_range_board,K94),TEXT(SUMIFS(Comparison_Lookup,site_level_range_board,$B108,date_range_board,K94)/SUMIFS(All_Attendances,site_level_range_board,$B108,date_range_board,K94),"0.0%"))),"")</f>
        <v>98.5%</v>
      </c>
      <c r="L108" s="168" t="str">
        <f ca="1">IFERROR(IF(ISNUMBER(FIND("ED only",$B$4)),IF(LEFT($B$7,6)="Number",SUMIFS(Comparison_Lookup,site_level_range_board,$B108,date_range_board,L94,inputdata!$F:$F,"ED"),TEXT(SUMIFS(Comparison_Lookup,site_level_range_board,$B108,date_range_board,L94,inputdata!$F:$F,"ED")/SUMIFS(All_Attendances,site_level_range_board,$B108,date_range_board,L94,inputdata!$F:$F,"ED"),"0.0%")),IF(LEFT($B$7,6)="Number",SUMIFS(Comparison_Lookup,site_level_range_board,$B108,date_range_board,L94),TEXT(SUMIFS(Comparison_Lookup,site_level_range_board,$B108,date_range_board,L94)/SUMIFS(All_Attendances,site_level_range_board,$B108,date_range_board,L94),"0.0%"))),"")</f>
        <v>98.9%</v>
      </c>
      <c r="M108" s="168" t="str">
        <f ca="1">IFERROR(IF(ISNUMBER(FIND("ED only",$B$4)),IF(LEFT($B$7,6)="Number",SUMIFS(Comparison_Lookup,site_level_range_board,$B108,date_range_board,M94,inputdata!$F:$F,"ED"),TEXT(SUMIFS(Comparison_Lookup,site_level_range_board,$B108,date_range_board,M94,inputdata!$F:$F,"ED")/SUMIFS(All_Attendances,site_level_range_board,$B108,date_range_board,M94,inputdata!$F:$F,"ED"),"0.0%")),IF(LEFT($B$7,6)="Number",SUMIFS(Comparison_Lookup,site_level_range_board,$B108,date_range_board,M94),TEXT(SUMIFS(Comparison_Lookup,site_level_range_board,$B108,date_range_board,M94)/SUMIFS(All_Attendances,site_level_range_board,$B108,date_range_board,M94),"0.0%"))),"")</f>
        <v>98.7%</v>
      </c>
      <c r="N108" s="172" t="str">
        <f ca="1">IFERROR(IF(ISNUMBER(FIND("ED only",$B$4)),IF(LEFT($B$7,6)="Number",SUMIFS(Comparison_Lookup,site_level_range_board,$B108,date_range_board,N94,inputdata!$F:$F,"ED"),TEXT(SUMIFS(Comparison_Lookup,site_level_range_board,$B108,date_range_board,N94,inputdata!$F:$F,"ED")/SUMIFS(All_Attendances,site_level_range_board,$B108,date_range_board,N94,inputdata!$F:$F,"ED"),"0.0%")),IF(LEFT($B$7,6)="Number",SUMIFS(Comparison_Lookup,site_level_range_board,$B108,date_range_board,N94),TEXT(SUMIFS(Comparison_Lookup,site_level_range_board,$B108,date_range_board,N94)/SUMIFS(All_Attendances,site_level_range_board,$B108,date_range_board,N94),"0.0%"))),"")</f>
        <v>97.7%</v>
      </c>
    </row>
    <row r="109" spans="1:14" ht="15" customHeight="1" x14ac:dyDescent="0.2">
      <c r="A109" s="132"/>
      <c r="B109" s="170" t="s">
        <v>406</v>
      </c>
      <c r="C109" s="169" t="str">
        <f ca="1">IFERROR(IF(ISNUMBER(FIND("ED only",$B$4)),IF(LEFT($B$7,6)="Number",SUMIFS(Comparison_Lookup,date_range_board,C94,inputdata!$F:$F,"ED"),TEXT(SUMIFS(Comparison_Lookup,date_range_board,C94,inputdata!$F:$F,"ED")/SUMIFS(All_Attendances,date_range_board,C94,inputdata!$F:$F,"ED"),"0.0%")),IF(LEFT($B$7,6)="Number",SUMIFS(Comparison_Lookup,date_range_board,C94),TEXT(SUMIFS(Comparison_Lookup,date_range_board,C94)/SUMIFS(All_Attendances,date_range_board,C94
        ),"0.0%"))),"")</f>
        <v>93.4%</v>
      </c>
      <c r="D109" s="169" t="str">
        <f ca="1">IFERROR(IF(ISNUMBER(FIND("ED only",$B$4)),IF(LEFT($B$7,6)="Number",SUMIFS(Comparison_Lookup,date_range_board,D94,inputdata!$F:$F,"ED"),TEXT(SUMIFS(Comparison_Lookup,date_range_board,D94,inputdata!$F:$F,"ED")/SUMIFS(All_Attendances,date_range_board,D94,inputdata!$F:$F,"ED"),"0.0%")),IF(LEFT($B$7,6)="Number",SUMIFS(Comparison_Lookup,date_range_board,D94),TEXT(SUMIFS(Comparison_Lookup,date_range_board,D94)/SUMIFS(All_Attendances,date_range_board,D94
        ),"0.0%"))),"")</f>
        <v>94.0%</v>
      </c>
      <c r="E109" s="169" t="str">
        <f ca="1">IFERROR(IF(ISNUMBER(FIND("ED only",$B$4)),IF(LEFT($B$7,6)="Number",SUMIFS(Comparison_Lookup,date_range_board,E94,inputdata!$F:$F,"ED"),TEXT(SUMIFS(Comparison_Lookup,date_range_board,E94,inputdata!$F:$F,"ED")/SUMIFS(All_Attendances,date_range_board,E94,inputdata!$F:$F,"ED"),"0.0%")),IF(LEFT($B$7,6)="Number",SUMIFS(Comparison_Lookup,date_range_board,E94),TEXT(SUMIFS(Comparison_Lookup,date_range_board,E94)/SUMIFS(All_Attendances,date_range_board,E94
        ),"0.0%"))),"")</f>
        <v>95.5%</v>
      </c>
      <c r="F109" s="169" t="str">
        <f ca="1">IFERROR(IF(ISNUMBER(FIND("ED only",$B$4)),IF(LEFT($B$7,6)="Number",SUMIFS(Comparison_Lookup,date_range_board,F94,inputdata!$F:$F,"ED"),TEXT(SUMIFS(Comparison_Lookup,date_range_board,F94,inputdata!$F:$F,"ED")/SUMIFS(All_Attendances,date_range_board,F94,inputdata!$F:$F,"ED"),"0.0%")),IF(LEFT($B$7,6)="Number",SUMIFS(Comparison_Lookup,date_range_board,F94),TEXT(SUMIFS(Comparison_Lookup,date_range_board,F94)/SUMIFS(All_Attendances,date_range_board,F94
        ),"0.0%"))),"")</f>
        <v>95.7%</v>
      </c>
      <c r="G109" s="169" t="str">
        <f ca="1">IFERROR(IF(ISNUMBER(FIND("ED only",$B$4)),IF(LEFT($B$7,6)="Number",SUMIFS(Comparison_Lookup,date_range_board,G94,inputdata!$F:$F,"ED"),TEXT(SUMIFS(Comparison_Lookup,date_range_board,G94,inputdata!$F:$F,"ED")/SUMIFS(All_Attendances,date_range_board,G94,inputdata!$F:$F,"ED"),"0.0%")),IF(LEFT($B$7,6)="Number",SUMIFS(Comparison_Lookup,date_range_board,G94),TEXT(SUMIFS(Comparison_Lookup,date_range_board,G94)/SUMIFS(All_Attendances,date_range_board,G94
        ),"0.0%"))),"")</f>
        <v>95.0%</v>
      </c>
      <c r="H109" s="169" t="str">
        <f ca="1">IFERROR(IF(ISNUMBER(FIND("ED only",$B$4)),IF(LEFT($B$7,6)="Number",SUMIFS(Comparison_Lookup,date_range_board,H94,inputdata!$F:$F,"ED"),TEXT(SUMIFS(Comparison_Lookup,date_range_board,H94,inputdata!$F:$F,"ED")/SUMIFS(All_Attendances,date_range_board,H94,inputdata!$F:$F,"ED"),"0.0%")),IF(LEFT($B$7,6)="Number",SUMIFS(Comparison_Lookup,date_range_board,H94),TEXT(SUMIFS(Comparison_Lookup,date_range_board,H94)/SUMIFS(All_Attendances,date_range_board,H94
        ),"0.0%"))),"")</f>
        <v>93.5%</v>
      </c>
      <c r="I109" s="169" t="str">
        <f ca="1">IFERROR(IF(ISNUMBER(FIND("ED only",$B$4)),IF(LEFT($B$7,6)="Number",SUMIFS(Comparison_Lookup,date_range_board,I94,inputdata!$F:$F,"ED"),TEXT(SUMIFS(Comparison_Lookup,date_range_board,I94,inputdata!$F:$F,"ED")/SUMIFS(All_Attendances,date_range_board,I94,inputdata!$F:$F,"ED"),"0.0%")),IF(LEFT($B$7,6)="Number",SUMIFS(Comparison_Lookup,date_range_board,I94),TEXT(SUMIFS(Comparison_Lookup,date_range_board,I94)/SUMIFS(All_Attendances,date_range_board,I94
        ),"0.0%"))),"")</f>
        <v>94.4%</v>
      </c>
      <c r="J109" s="169" t="str">
        <f ca="1">IFERROR(IF(ISNUMBER(FIND("ED only",$B$4)),IF(LEFT($B$7,6)="Number",SUMIFS(Comparison_Lookup,date_range_board,J94,inputdata!$F:$F,"ED"),TEXT(SUMIFS(Comparison_Lookup,date_range_board,J94,inputdata!$F:$F,"ED")/SUMIFS(All_Attendances,date_range_board,J94,inputdata!$F:$F,"ED"),"0.0%")),IF(LEFT($B$7,6)="Number",SUMIFS(Comparison_Lookup,date_range_board,J94),TEXT(SUMIFS(Comparison_Lookup,date_range_board,J94)/SUMIFS(All_Attendances,date_range_board,J94
        ),"0.0%"))),"")</f>
        <v>93.3%</v>
      </c>
      <c r="K109" s="169" t="str">
        <f ca="1">IFERROR(IF(ISNUMBER(FIND("ED only",$B$4)),IF(LEFT($B$7,6)="Number",SUMIFS(Comparison_Lookup,date_range_board,K94,inputdata!$F:$F,"ED"),TEXT(SUMIFS(Comparison_Lookup,date_range_board,K94,inputdata!$F:$F,"ED")/SUMIFS(All_Attendances,date_range_board,K94,inputdata!$F:$F,"ED"),"0.0%")),IF(LEFT($B$7,6)="Number",SUMIFS(Comparison_Lookup,date_range_board,K94),TEXT(SUMIFS(Comparison_Lookup,date_range_board,K94)/SUMIFS(All_Attendances,date_range_board,K94
        ),"0.0%"))),"")</f>
        <v>85.1%</v>
      </c>
      <c r="L109" s="169" t="str">
        <f ca="1">IFERROR(IF(ISNUMBER(FIND("ED only",$B$4)),IF(LEFT($B$7,6)="Number",SUMIFS(Comparison_Lookup,date_range_board,L94,inputdata!$F:$F,"ED"),TEXT(SUMIFS(Comparison_Lookup,date_range_board,L94,inputdata!$F:$F,"ED")/SUMIFS(All_Attendances,date_range_board,L94,inputdata!$F:$F,"ED"),"0.0%")),IF(LEFT($B$7,6)="Number",SUMIFS(Comparison_Lookup,date_range_board,L94),TEXT(SUMIFS(Comparison_Lookup,date_range_board,L94)/SUMIFS(All_Attendances,date_range_board,L94
        ),"0.0%"))),"")</f>
        <v>87.2%</v>
      </c>
      <c r="M109" s="169" t="str">
        <f ca="1">IFERROR(IF(ISNUMBER(FIND("ED only",$B$4)),IF(LEFT($B$7,6)="Number",SUMIFS(Comparison_Lookup,date_range_board,M94,inputdata!$F:$F,"ED"),TEXT(SUMIFS(Comparison_Lookup,date_range_board,M94,inputdata!$F:$F,"ED")/SUMIFS(All_Attendances,date_range_board,M94,inputdata!$F:$F,"ED"),"0.0%")),IF(LEFT($B$7,6)="Number",SUMIFS(Comparison_Lookup,date_range_board,M94),TEXT(SUMIFS(Comparison_Lookup,date_range_board,M94)/SUMIFS(All_Attendances,date_range_board,M94
        ),"0.0%"))),"")</f>
        <v>90.3%</v>
      </c>
      <c r="N109" s="173" t="str">
        <f ca="1">IFERROR(IF(ISNUMBER(FIND("ED only",$B$4)),IF(LEFT($B$7,6)="Number",SUMIFS(Comparison_Lookup,date_range_board,N94,inputdata!$F:$F,"ED"),TEXT(SUMIFS(Comparison_Lookup,date_range_board,N94,inputdata!$F:$F,"ED")/SUMIFS(All_Attendances,date_range_board,N94,inputdata!$F:$F,"ED"),"0.0%")),IF(LEFT($B$7,6)="Number",SUMIFS(Comparison_Lookup,date_range_board,N94),TEXT(SUMIFS(Comparison_Lookup,date_range_board,N94)/SUMIFS(All_Attendances,date_range_board,N94
        ),"0.0%"))),"")</f>
        <v>87.9%</v>
      </c>
    </row>
    <row r="110" spans="1:14" ht="15" customHeight="1" x14ac:dyDescent="0.2">
      <c r="B110" s="127"/>
      <c r="C110" s="127"/>
      <c r="D110" s="127"/>
      <c r="E110" s="127"/>
      <c r="F110" s="127"/>
      <c r="G110" s="127"/>
      <c r="H110" s="127"/>
      <c r="I110" s="127"/>
      <c r="J110" s="127"/>
      <c r="K110" s="127"/>
      <c r="L110" s="127"/>
      <c r="M110" s="127"/>
      <c r="N110" s="127"/>
    </row>
    <row r="111" spans="1:14" ht="15" customHeight="1" x14ac:dyDescent="0.25">
      <c r="A111" s="132"/>
      <c r="B111" s="153" t="str">
        <f>IF(ISNUMBER(FIND("ED only",$B$4)),"2016/2017 (ED Only)","2016/2017")</f>
        <v>2016/2017</v>
      </c>
      <c r="C111" s="149">
        <v>42490</v>
      </c>
      <c r="D111" s="149">
        <v>42521</v>
      </c>
      <c r="E111" s="149">
        <v>42551</v>
      </c>
      <c r="F111" s="149">
        <v>42582</v>
      </c>
      <c r="G111" s="149">
        <v>42613</v>
      </c>
      <c r="H111" s="149">
        <v>42643</v>
      </c>
      <c r="I111" s="149">
        <v>42674</v>
      </c>
      <c r="J111" s="149">
        <v>42704</v>
      </c>
      <c r="K111" s="149">
        <v>42735</v>
      </c>
      <c r="L111" s="149">
        <v>42766</v>
      </c>
      <c r="M111" s="149">
        <v>42794</v>
      </c>
      <c r="N111" s="158">
        <v>42825</v>
      </c>
    </row>
    <row r="112" spans="1:14" ht="15" customHeight="1" x14ac:dyDescent="0.2">
      <c r="A112" s="132"/>
      <c r="B112" s="152" t="s">
        <v>407</v>
      </c>
      <c r="C112" s="165" t="str">
        <f ca="1">IFERROR(IF(ISNUMBER(FIND("ED only",$B$4)),IF(LEFT($B$7,6)="Number",SUMIFS(Comparison_Lookup,site_level_range_board,$B112,date_range_board,C111,inputdata!$F:$F,"ED"),TEXT(SUMIFS(Comparison_Lookup,site_level_range_board,$B112,date_range_board,C111,inputdata!$F:$F,"ED")/SUMIFS(All_Attendances,site_level_range_board,$B112,date_range_board,C111,inputdata!$F:$F,"ED"),"0.0%")),IF(LEFT($B$7,6)="Number",SUMIFS(Comparison_Lookup,site_level_range_board,$B112,date_range_board,C111),TEXT(SUMIFS(Comparison_Lookup,site_level_range_board,$B112,date_range_board,C111)/SUMIFS(All_Attendances,site_level_range_board,$B112,date_range_board,C111),"0.0%"))),"")</f>
        <v>93.7%</v>
      </c>
      <c r="D112" s="165" t="str">
        <f ca="1">IFERROR(IF(ISNUMBER(FIND("ED only",$B$4)),IF(LEFT($B$7,6)="Number",SUMIFS(Comparison_Lookup,site_level_range_board,$B112,date_range_board,D111,inputdata!$F:$F,"ED"),TEXT(SUMIFS(Comparison_Lookup,site_level_range_board,$B112,date_range_board,D111,inputdata!$F:$F,"ED")/SUMIFS(All_Attendances,site_level_range_board,$B112,date_range_board,D111,inputdata!$F:$F,"ED"),"0.0%")),IF(LEFT($B$7,6)="Number",SUMIFS(Comparison_Lookup,site_level_range_board,$B112,date_range_board,D111),TEXT(SUMIFS(Comparison_Lookup,site_level_range_board,$B112,date_range_board,D111)/SUMIFS(All_Attendances,site_level_range_board,$B112,date_range_board,D111),"0.0%"))),"")</f>
        <v>95.2%</v>
      </c>
      <c r="E112" s="165" t="str">
        <f ca="1">IFERROR(IF(ISNUMBER(FIND("ED only",$B$4)),IF(LEFT($B$7,6)="Number",SUMIFS(Comparison_Lookup,site_level_range_board,$B112,date_range_board,E111,inputdata!$F:$F,"ED"),TEXT(SUMIFS(Comparison_Lookup,site_level_range_board,$B112,date_range_board,E111,inputdata!$F:$F,"ED")/SUMIFS(All_Attendances,site_level_range_board,$B112,date_range_board,E111,inputdata!$F:$F,"ED"),"0.0%")),IF(LEFT($B$7,6)="Number",SUMIFS(Comparison_Lookup,site_level_range_board,$B112,date_range_board,E111),TEXT(SUMIFS(Comparison_Lookup,site_level_range_board,$B112,date_range_board,E111)/SUMIFS(All_Attendances,site_level_range_board,$B112,date_range_board,E111),"0.0%"))),"")</f>
        <v>94.0%</v>
      </c>
      <c r="F112" s="165" t="str">
        <f ca="1">IFERROR(IF(ISNUMBER(FIND("ED only",$B$4)),IF(LEFT($B$7,6)="Number",SUMIFS(Comparison_Lookup,site_level_range_board,$B112,date_range_board,F111,inputdata!$F:$F,"ED"),TEXT(SUMIFS(Comparison_Lookup,site_level_range_board,$B112,date_range_board,F111,inputdata!$F:$F,"ED")/SUMIFS(All_Attendances,site_level_range_board,$B112,date_range_board,F111,inputdata!$F:$F,"ED"),"0.0%")),IF(LEFT($B$7,6)="Number",SUMIFS(Comparison_Lookup,site_level_range_board,$B112,date_range_board,F111),TEXT(SUMIFS(Comparison_Lookup,site_level_range_board,$B112,date_range_board,F111)/SUMIFS(All_Attendances,site_level_range_board,$B112,date_range_board,F111),"0.0%"))),"")</f>
        <v>94.3%</v>
      </c>
      <c r="G112" s="165" t="str">
        <f ca="1">IFERROR(IF(ISNUMBER(FIND("ED only",$B$4)),IF(LEFT($B$7,6)="Number",SUMIFS(Comparison_Lookup,site_level_range_board,$B112,date_range_board,G111,inputdata!$F:$F,"ED"),TEXT(SUMIFS(Comparison_Lookup,site_level_range_board,$B112,date_range_board,G111,inputdata!$F:$F,"ED")/SUMIFS(All_Attendances,site_level_range_board,$B112,date_range_board,G111,inputdata!$F:$F,"ED"),"0.0%")),IF(LEFT($B$7,6)="Number",SUMIFS(Comparison_Lookup,site_level_range_board,$B112,date_range_board,G111),TEXT(SUMIFS(Comparison_Lookup,site_level_range_board,$B112,date_range_board,G111)/SUMIFS(All_Attendances,site_level_range_board,$B112,date_range_board,G111),"0.0%"))),"")</f>
        <v>93.9%</v>
      </c>
      <c r="H112" s="165" t="str">
        <f ca="1">IFERROR(IF(ISNUMBER(FIND("ED only",$B$4)),IF(LEFT($B$7,6)="Number",SUMIFS(Comparison_Lookup,site_level_range_board,$B112,date_range_board,H111,inputdata!$F:$F,"ED"),TEXT(SUMIFS(Comparison_Lookup,site_level_range_board,$B112,date_range_board,H111,inputdata!$F:$F,"ED")/SUMIFS(All_Attendances,site_level_range_board,$B112,date_range_board,H111,inputdata!$F:$F,"ED"),"0.0%")),IF(LEFT($B$7,6)="Number",SUMIFS(Comparison_Lookup,site_level_range_board,$B112,date_range_board,H111),TEXT(SUMIFS(Comparison_Lookup,site_level_range_board,$B112,date_range_board,H111)/SUMIFS(All_Attendances,site_level_range_board,$B112,date_range_board,H111),"0.0%"))),"")</f>
        <v>93.7%</v>
      </c>
      <c r="I112" s="165" t="str">
        <f ca="1">IFERROR(IF(ISNUMBER(FIND("ED only",$B$4)),IF(LEFT($B$7,6)="Number",SUMIFS(Comparison_Lookup,site_level_range_board,$B112,date_range_board,I111,inputdata!$F:$F,"ED"),TEXT(SUMIFS(Comparison_Lookup,site_level_range_board,$B112,date_range_board,I111,inputdata!$F:$F,"ED")/SUMIFS(All_Attendances,site_level_range_board,$B112,date_range_board,I111,inputdata!$F:$F,"ED"),"0.0%")),IF(LEFT($B$7,6)="Number",SUMIFS(Comparison_Lookup,site_level_range_board,$B112,date_range_board,I111),TEXT(SUMIFS(Comparison_Lookup,site_level_range_board,$B112,date_range_board,I111)/SUMIFS(All_Attendances,site_level_range_board,$B112,date_range_board,I111),"0.0%"))),"")</f>
        <v>91.7%</v>
      </c>
      <c r="J112" s="165" t="str">
        <f ca="1">IFERROR(IF(ISNUMBER(FIND("ED only",$B$4)),IF(LEFT($B$7,6)="Number",SUMIFS(Comparison_Lookup,site_level_range_board,$B112,date_range_board,J111,inputdata!$F:$F,"ED"),TEXT(SUMIFS(Comparison_Lookup,site_level_range_board,$B112,date_range_board,J111,inputdata!$F:$F,"ED")/SUMIFS(All_Attendances,site_level_range_board,$B112,date_range_board,J111,inputdata!$F:$F,"ED"),"0.0%")),IF(LEFT($B$7,6)="Number",SUMIFS(Comparison_Lookup,site_level_range_board,$B112,date_range_board,J111),TEXT(SUMIFS(Comparison_Lookup,site_level_range_board,$B112,date_range_board,J111)/SUMIFS(All_Attendances,site_level_range_board,$B112,date_range_board,J111),"0.0%"))),"")</f>
        <v>91.3%</v>
      </c>
      <c r="K112" s="165" t="str">
        <f ca="1">IFERROR(IF(ISNUMBER(FIND("ED only",$B$4)),IF(LEFT($B$7,6)="Number",SUMIFS(Comparison_Lookup,site_level_range_board,$B112,date_range_board,K111,inputdata!$F:$F,"ED"),TEXT(SUMIFS(Comparison_Lookup,site_level_range_board,$B112,date_range_board,K111,inputdata!$F:$F,"ED")/SUMIFS(All_Attendances,site_level_range_board,$B112,date_range_board,K111,inputdata!$F:$F,"ED"),"0.0%")),IF(LEFT($B$7,6)="Number",SUMIFS(Comparison_Lookup,site_level_range_board,$B112,date_range_board,K111),TEXT(SUMIFS(Comparison_Lookup,site_level_range_board,$B112,date_range_board,K111)/SUMIFS(All_Attendances,site_level_range_board,$B112,date_range_board,K111),"0.0%"))),"")</f>
        <v>93.5%</v>
      </c>
      <c r="L112" s="165" t="str">
        <f ca="1">IFERROR(IF(ISNUMBER(FIND("ED only",$B$4)),IF(LEFT($B$7,6)="Number",SUMIFS(Comparison_Lookup,site_level_range_board,$B112,date_range_board,L111,inputdata!$F:$F,"ED"),TEXT(SUMIFS(Comparison_Lookup,site_level_range_board,$B112,date_range_board,L111,inputdata!$F:$F,"ED")/SUMIFS(All_Attendances,site_level_range_board,$B112,date_range_board,L111,inputdata!$F:$F,"ED"),"0.0%")),IF(LEFT($B$7,6)="Number",SUMIFS(Comparison_Lookup,site_level_range_board,$B112,date_range_board,L111),TEXT(SUMIFS(Comparison_Lookup,site_level_range_board,$B112,date_range_board,L111)/SUMIFS(All_Attendances,site_level_range_board,$B112,date_range_board,L111),"0.0%"))),"")</f>
        <v>89.8%</v>
      </c>
      <c r="M112" s="165" t="str">
        <f ca="1">IFERROR(IF(ISNUMBER(FIND("ED only",$B$4)),IF(LEFT($B$7,6)="Number",SUMIFS(Comparison_Lookup,site_level_range_board,$B112,date_range_board,M111,inputdata!$F:$F,"ED"),TEXT(SUMIFS(Comparison_Lookup,site_level_range_board,$B112,date_range_board,M111,inputdata!$F:$F,"ED")/SUMIFS(All_Attendances,site_level_range_board,$B112,date_range_board,M111,inputdata!$F:$F,"ED"),"0.0%")),IF(LEFT($B$7,6)="Number",SUMIFS(Comparison_Lookup,site_level_range_board,$B112,date_range_board,M111),TEXT(SUMIFS(Comparison_Lookup,site_level_range_board,$B112,date_range_board,M111)/SUMIFS(All_Attendances,site_level_range_board,$B112,date_range_board,M111),"0.0%"))),"")</f>
        <v>91.1%</v>
      </c>
      <c r="N112" s="171" t="str">
        <f ca="1">IFERROR(IF(ISNUMBER(FIND("ED only",$B$4)),IF(LEFT($B$7,6)="Number",SUMIFS(Comparison_Lookup,site_level_range_board,$B112,date_range_board,N111,inputdata!$F:$F,"ED"),TEXT(SUMIFS(Comparison_Lookup,site_level_range_board,$B112,date_range_board,N111,inputdata!$F:$F,"ED")/SUMIFS(All_Attendances,site_level_range_board,$B112,date_range_board,N111,inputdata!$F:$F,"ED"),"0.0%")),IF(LEFT($B$7,6)="Number",SUMIFS(Comparison_Lookup,site_level_range_board,$B112,date_range_board,N111),TEXT(SUMIFS(Comparison_Lookup,site_level_range_board,$B112,date_range_board,N111)/SUMIFS(All_Attendances,site_level_range_board,$B112,date_range_board,N111),"0.0%"))),"")</f>
        <v>93.7%</v>
      </c>
    </row>
    <row r="113" spans="1:14" ht="15" customHeight="1" x14ac:dyDescent="0.2">
      <c r="A113" s="132"/>
      <c r="B113" s="152" t="s">
        <v>418</v>
      </c>
      <c r="C113" s="165" t="str">
        <f ca="1">IFERROR(IF(ISNUMBER(FIND("ED only",$B$4)),IF(LEFT($B$7,6)="Number",SUMIFS(Comparison_Lookup,site_level_range_board,$B113,date_range_board,C111,inputdata!$F:$F,"ED"),TEXT(SUMIFS(Comparison_Lookup,site_level_range_board,$B113,date_range_board,C111,inputdata!$F:$F,"ED")/SUMIFS(All_Attendances,site_level_range_board,$B113,date_range_board,C111,inputdata!$F:$F,"ED"),"0.0%")),IF(LEFT($B$7,6)="Number",SUMIFS(Comparison_Lookup,site_level_range_board,$B113,date_range_board,C111),TEXT(SUMIFS(Comparison_Lookup,site_level_range_board,$B113,date_range_board,C111)/SUMIFS(All_Attendances,site_level_range_board,$B113,date_range_board,C111),"0.0%"))),"")</f>
        <v>94.9%</v>
      </c>
      <c r="D113" s="165" t="str">
        <f ca="1">IFERROR(IF(ISNUMBER(FIND("ED only",$B$4)),IF(LEFT($B$7,6)="Number",SUMIFS(Comparison_Lookup,site_level_range_board,$B113,date_range_board,D111,inputdata!$F:$F,"ED"),TEXT(SUMIFS(Comparison_Lookup,site_level_range_board,$B113,date_range_board,D111,inputdata!$F:$F,"ED")/SUMIFS(All_Attendances,site_level_range_board,$B113,date_range_board,D111,inputdata!$F:$F,"ED"),"0.0%")),IF(LEFT($B$7,6)="Number",SUMIFS(Comparison_Lookup,site_level_range_board,$B113,date_range_board,D111),TEXT(SUMIFS(Comparison_Lookup,site_level_range_board,$B113,date_range_board,D111)/SUMIFS(All_Attendances,site_level_range_board,$B113,date_range_board,D111),"0.0%"))),"")</f>
        <v>93.2%</v>
      </c>
      <c r="E113" s="165" t="str">
        <f ca="1">IFERROR(IF(ISNUMBER(FIND("ED only",$B$4)),IF(LEFT($B$7,6)="Number",SUMIFS(Comparison_Lookup,site_level_range_board,$B113,date_range_board,E111,inputdata!$F:$F,"ED"),TEXT(SUMIFS(Comparison_Lookup,site_level_range_board,$B113,date_range_board,E111,inputdata!$F:$F,"ED")/SUMIFS(All_Attendances,site_level_range_board,$B113,date_range_board,E111,inputdata!$F:$F,"ED"),"0.0%")),IF(LEFT($B$7,6)="Number",SUMIFS(Comparison_Lookup,site_level_range_board,$B113,date_range_board,E111),TEXT(SUMIFS(Comparison_Lookup,site_level_range_board,$B113,date_range_board,E111)/SUMIFS(All_Attendances,site_level_range_board,$B113,date_range_board,E111),"0.0%"))),"")</f>
        <v>97.2%</v>
      </c>
      <c r="F113" s="165" t="str">
        <f ca="1">IFERROR(IF(ISNUMBER(FIND("ED only",$B$4)),IF(LEFT($B$7,6)="Number",SUMIFS(Comparison_Lookup,site_level_range_board,$B113,date_range_board,F111,inputdata!$F:$F,"ED"),TEXT(SUMIFS(Comparison_Lookup,site_level_range_board,$B113,date_range_board,F111,inputdata!$F:$F,"ED")/SUMIFS(All_Attendances,site_level_range_board,$B113,date_range_board,F111,inputdata!$F:$F,"ED"),"0.0%")),IF(LEFT($B$7,6)="Number",SUMIFS(Comparison_Lookup,site_level_range_board,$B113,date_range_board,F111),TEXT(SUMIFS(Comparison_Lookup,site_level_range_board,$B113,date_range_board,F111)/SUMIFS(All_Attendances,site_level_range_board,$B113,date_range_board,F111),"0.0%"))),"")</f>
        <v>96.7%</v>
      </c>
      <c r="G113" s="165" t="str">
        <f ca="1">IFERROR(IF(ISNUMBER(FIND("ED only",$B$4)),IF(LEFT($B$7,6)="Number",SUMIFS(Comparison_Lookup,site_level_range_board,$B113,date_range_board,G111,inputdata!$F:$F,"ED"),TEXT(SUMIFS(Comparison_Lookup,site_level_range_board,$B113,date_range_board,G111,inputdata!$F:$F,"ED")/SUMIFS(All_Attendances,site_level_range_board,$B113,date_range_board,G111,inputdata!$F:$F,"ED"),"0.0%")),IF(LEFT($B$7,6)="Number",SUMIFS(Comparison_Lookup,site_level_range_board,$B113,date_range_board,G111),TEXT(SUMIFS(Comparison_Lookup,site_level_range_board,$B113,date_range_board,G111)/SUMIFS(All_Attendances,site_level_range_board,$B113,date_range_board,G111),"0.0%"))),"")</f>
        <v>94.3%</v>
      </c>
      <c r="H113" s="165" t="str">
        <f ca="1">IFERROR(IF(ISNUMBER(FIND("ED only",$B$4)),IF(LEFT($B$7,6)="Number",SUMIFS(Comparison_Lookup,site_level_range_board,$B113,date_range_board,H111,inputdata!$F:$F,"ED"),TEXT(SUMIFS(Comparison_Lookup,site_level_range_board,$B113,date_range_board,H111,inputdata!$F:$F,"ED")/SUMIFS(All_Attendances,site_level_range_board,$B113,date_range_board,H111,inputdata!$F:$F,"ED"),"0.0%")),IF(LEFT($B$7,6)="Number",SUMIFS(Comparison_Lookup,site_level_range_board,$B113,date_range_board,H111),TEXT(SUMIFS(Comparison_Lookup,site_level_range_board,$B113,date_range_board,H111)/SUMIFS(All_Attendances,site_level_range_board,$B113,date_range_board,H111),"0.0%"))),"")</f>
        <v>95.1%</v>
      </c>
      <c r="I113" s="165" t="str">
        <f ca="1">IFERROR(IF(ISNUMBER(FIND("ED only",$B$4)),IF(LEFT($B$7,6)="Number",SUMIFS(Comparison_Lookup,site_level_range_board,$B113,date_range_board,I111,inputdata!$F:$F,"ED"),TEXT(SUMIFS(Comparison_Lookup,site_level_range_board,$B113,date_range_board,I111,inputdata!$F:$F,"ED")/SUMIFS(All_Attendances,site_level_range_board,$B113,date_range_board,I111,inputdata!$F:$F,"ED"),"0.0%")),IF(LEFT($B$7,6)="Number",SUMIFS(Comparison_Lookup,site_level_range_board,$B113,date_range_board,I111),TEXT(SUMIFS(Comparison_Lookup,site_level_range_board,$B113,date_range_board,I111)/SUMIFS(All_Attendances,site_level_range_board,$B113,date_range_board,I111),"0.0%"))),"")</f>
        <v>95.4%</v>
      </c>
      <c r="J113" s="165" t="str">
        <f ca="1">IFERROR(IF(ISNUMBER(FIND("ED only",$B$4)),IF(LEFT($B$7,6)="Number",SUMIFS(Comparison_Lookup,site_level_range_board,$B113,date_range_board,J111,inputdata!$F:$F,"ED"),TEXT(SUMIFS(Comparison_Lookup,site_level_range_board,$B113,date_range_board,J111,inputdata!$F:$F,"ED")/SUMIFS(All_Attendances,site_level_range_board,$B113,date_range_board,J111,inputdata!$F:$F,"ED"),"0.0%")),IF(LEFT($B$7,6)="Number",SUMIFS(Comparison_Lookup,site_level_range_board,$B113,date_range_board,J111),TEXT(SUMIFS(Comparison_Lookup,site_level_range_board,$B113,date_range_board,J111)/SUMIFS(All_Attendances,site_level_range_board,$B113,date_range_board,J111),"0.0%"))),"")</f>
        <v>95.2%</v>
      </c>
      <c r="K113" s="165" t="str">
        <f ca="1">IFERROR(IF(ISNUMBER(FIND("ED only",$B$4)),IF(LEFT($B$7,6)="Number",SUMIFS(Comparison_Lookup,site_level_range_board,$B113,date_range_board,K111,inputdata!$F:$F,"ED"),TEXT(SUMIFS(Comparison_Lookup,site_level_range_board,$B113,date_range_board,K111,inputdata!$F:$F,"ED")/SUMIFS(All_Attendances,site_level_range_board,$B113,date_range_board,K111,inputdata!$F:$F,"ED"),"0.0%")),IF(LEFT($B$7,6)="Number",SUMIFS(Comparison_Lookup,site_level_range_board,$B113,date_range_board,K111),TEXT(SUMIFS(Comparison_Lookup,site_level_range_board,$B113,date_range_board,K111)/SUMIFS(All_Attendances,site_level_range_board,$B113,date_range_board,K111),"0.0%"))),"")</f>
        <v>96.6%</v>
      </c>
      <c r="L113" s="165" t="str">
        <f ca="1">IFERROR(IF(ISNUMBER(FIND("ED only",$B$4)),IF(LEFT($B$7,6)="Number",SUMIFS(Comparison_Lookup,site_level_range_board,$B113,date_range_board,L111,inputdata!$F:$F,"ED"),TEXT(SUMIFS(Comparison_Lookup,site_level_range_board,$B113,date_range_board,L111,inputdata!$F:$F,"ED")/SUMIFS(All_Attendances,site_level_range_board,$B113,date_range_board,L111,inputdata!$F:$F,"ED"),"0.0%")),IF(LEFT($B$7,6)="Number",SUMIFS(Comparison_Lookup,site_level_range_board,$B113,date_range_board,L111),TEXT(SUMIFS(Comparison_Lookup,site_level_range_board,$B113,date_range_board,L111)/SUMIFS(All_Attendances,site_level_range_board,$B113,date_range_board,L111),"0.0%"))),"")</f>
        <v>90.7%</v>
      </c>
      <c r="M113" s="165" t="str">
        <f ca="1">IFERROR(IF(ISNUMBER(FIND("ED only",$B$4)),IF(LEFT($B$7,6)="Number",SUMIFS(Comparison_Lookup,site_level_range_board,$B113,date_range_board,M111,inputdata!$F:$F,"ED"),TEXT(SUMIFS(Comparison_Lookup,site_level_range_board,$B113,date_range_board,M111,inputdata!$F:$F,"ED")/SUMIFS(All_Attendances,site_level_range_board,$B113,date_range_board,M111,inputdata!$F:$F,"ED"),"0.0%")),IF(LEFT($B$7,6)="Number",SUMIFS(Comparison_Lookup,site_level_range_board,$B113,date_range_board,M111),TEXT(SUMIFS(Comparison_Lookup,site_level_range_board,$B113,date_range_board,M111)/SUMIFS(All_Attendances,site_level_range_board,$B113,date_range_board,M111),"0.0%"))),"")</f>
        <v>95.9%</v>
      </c>
      <c r="N113" s="171" t="str">
        <f ca="1">IFERROR(IF(ISNUMBER(FIND("ED only",$B$4)),IF(LEFT($B$7,6)="Number",SUMIFS(Comparison_Lookup,site_level_range_board,$B113,date_range_board,N111,inputdata!$F:$F,"ED"),TEXT(SUMIFS(Comparison_Lookup,site_level_range_board,$B113,date_range_board,N111,inputdata!$F:$F,"ED")/SUMIFS(All_Attendances,site_level_range_board,$B113,date_range_board,N111,inputdata!$F:$F,"ED"),"0.0%")),IF(LEFT($B$7,6)="Number",SUMIFS(Comparison_Lookup,site_level_range_board,$B113,date_range_board,N111),TEXT(SUMIFS(Comparison_Lookup,site_level_range_board,$B113,date_range_board,N111)/SUMIFS(All_Attendances,site_level_range_board,$B113,date_range_board,N111),"0.0%"))),"")</f>
        <v>93.2%</v>
      </c>
    </row>
    <row r="114" spans="1:14" ht="15" customHeight="1" x14ac:dyDescent="0.2">
      <c r="A114" s="132"/>
      <c r="B114" s="152" t="s">
        <v>429</v>
      </c>
      <c r="C114" s="165" t="str">
        <f ca="1">IFERROR(IF(ISNUMBER(FIND("ED only",$B$4)),IF(LEFT($B$7,6)="Number",SUMIFS(Comparison_Lookup,site_level_range_board,$B114,date_range_board,C111,inputdata!$F:$F,"ED"),TEXT(SUMIFS(Comparison_Lookup,site_level_range_board,$B114,date_range_board,C111,inputdata!$F:$F,"ED")/SUMIFS(All_Attendances,site_level_range_board,$B114,date_range_board,C111,inputdata!$F:$F,"ED"),"0.0%")),IF(LEFT($B$7,6)="Number",SUMIFS(Comparison_Lookup,site_level_range_board,$B114,date_range_board,C111),TEXT(SUMIFS(Comparison_Lookup,site_level_range_board,$B114,date_range_board,C111)/SUMIFS(All_Attendances,site_level_range_board,$B114,date_range_board,C111),"0.0%"))),"")</f>
        <v>95.7%</v>
      </c>
      <c r="D114" s="165" t="str">
        <f ca="1">IFERROR(IF(ISNUMBER(FIND("ED only",$B$4)),IF(LEFT($B$7,6)="Number",SUMIFS(Comparison_Lookup,site_level_range_board,$B114,date_range_board,D111,inputdata!$F:$F,"ED"),TEXT(SUMIFS(Comparison_Lookup,site_level_range_board,$B114,date_range_board,D111,inputdata!$F:$F,"ED")/SUMIFS(All_Attendances,site_level_range_board,$B114,date_range_board,D111,inputdata!$F:$F,"ED"),"0.0%")),IF(LEFT($B$7,6)="Number",SUMIFS(Comparison_Lookup,site_level_range_board,$B114,date_range_board,D111),TEXT(SUMIFS(Comparison_Lookup,site_level_range_board,$B114,date_range_board,D111)/SUMIFS(All_Attendances,site_level_range_board,$B114,date_range_board,D111),"0.0%"))),"")</f>
        <v>96.7%</v>
      </c>
      <c r="E114" s="165" t="str">
        <f ca="1">IFERROR(IF(ISNUMBER(FIND("ED only",$B$4)),IF(LEFT($B$7,6)="Number",SUMIFS(Comparison_Lookup,site_level_range_board,$B114,date_range_board,E111,inputdata!$F:$F,"ED"),TEXT(SUMIFS(Comparison_Lookup,site_level_range_board,$B114,date_range_board,E111,inputdata!$F:$F,"ED")/SUMIFS(All_Attendances,site_level_range_board,$B114,date_range_board,E111,inputdata!$F:$F,"ED"),"0.0%")),IF(LEFT($B$7,6)="Number",SUMIFS(Comparison_Lookup,site_level_range_board,$B114,date_range_board,E111),TEXT(SUMIFS(Comparison_Lookup,site_level_range_board,$B114,date_range_board,E111)/SUMIFS(All_Attendances,site_level_range_board,$B114,date_range_board,E111),"0.0%"))),"")</f>
        <v>96.8%</v>
      </c>
      <c r="F114" s="165" t="str">
        <f ca="1">IFERROR(IF(ISNUMBER(FIND("ED only",$B$4)),IF(LEFT($B$7,6)="Number",SUMIFS(Comparison_Lookup,site_level_range_board,$B114,date_range_board,F111,inputdata!$F:$F,"ED"),TEXT(SUMIFS(Comparison_Lookup,site_level_range_board,$B114,date_range_board,F111,inputdata!$F:$F,"ED")/SUMIFS(All_Attendances,site_level_range_board,$B114,date_range_board,F111,inputdata!$F:$F,"ED"),"0.0%")),IF(LEFT($B$7,6)="Number",SUMIFS(Comparison_Lookup,site_level_range_board,$B114,date_range_board,F111),TEXT(SUMIFS(Comparison_Lookup,site_level_range_board,$B114,date_range_board,F111)/SUMIFS(All_Attendances,site_level_range_board,$B114,date_range_board,F111),"0.0%"))),"")</f>
        <v>97.8%</v>
      </c>
      <c r="G114" s="165" t="str">
        <f ca="1">IFERROR(IF(ISNUMBER(FIND("ED only",$B$4)),IF(LEFT($B$7,6)="Number",SUMIFS(Comparison_Lookup,site_level_range_board,$B114,date_range_board,G111,inputdata!$F:$F,"ED"),TEXT(SUMIFS(Comparison_Lookup,site_level_range_board,$B114,date_range_board,G111,inputdata!$F:$F,"ED")/SUMIFS(All_Attendances,site_level_range_board,$B114,date_range_board,G111,inputdata!$F:$F,"ED"),"0.0%")),IF(LEFT($B$7,6)="Number",SUMIFS(Comparison_Lookup,site_level_range_board,$B114,date_range_board,G111),TEXT(SUMIFS(Comparison_Lookup,site_level_range_board,$B114,date_range_board,G111)/SUMIFS(All_Attendances,site_level_range_board,$B114,date_range_board,G111),"0.0%"))),"")</f>
        <v>95.2%</v>
      </c>
      <c r="H114" s="165" t="str">
        <f ca="1">IFERROR(IF(ISNUMBER(FIND("ED only",$B$4)),IF(LEFT($B$7,6)="Number",SUMIFS(Comparison_Lookup,site_level_range_board,$B114,date_range_board,H111,inputdata!$F:$F,"ED"),TEXT(SUMIFS(Comparison_Lookup,site_level_range_board,$B114,date_range_board,H111,inputdata!$F:$F,"ED")/SUMIFS(All_Attendances,site_level_range_board,$B114,date_range_board,H111,inputdata!$F:$F,"ED"),"0.0%")),IF(LEFT($B$7,6)="Number",SUMIFS(Comparison_Lookup,site_level_range_board,$B114,date_range_board,H111),TEXT(SUMIFS(Comparison_Lookup,site_level_range_board,$B114,date_range_board,H111)/SUMIFS(All_Attendances,site_level_range_board,$B114,date_range_board,H111),"0.0%"))),"")</f>
        <v>95.5%</v>
      </c>
      <c r="I114" s="165" t="str">
        <f ca="1">IFERROR(IF(ISNUMBER(FIND("ED only",$B$4)),IF(LEFT($B$7,6)="Number",SUMIFS(Comparison_Lookup,site_level_range_board,$B114,date_range_board,I111,inputdata!$F:$F,"ED"),TEXT(SUMIFS(Comparison_Lookup,site_level_range_board,$B114,date_range_board,I111,inputdata!$F:$F,"ED")/SUMIFS(All_Attendances,site_level_range_board,$B114,date_range_board,I111,inputdata!$F:$F,"ED"),"0.0%")),IF(LEFT($B$7,6)="Number",SUMIFS(Comparison_Lookup,site_level_range_board,$B114,date_range_board,I111),TEXT(SUMIFS(Comparison_Lookup,site_level_range_board,$B114,date_range_board,I111)/SUMIFS(All_Attendances,site_level_range_board,$B114,date_range_board,I111),"0.0%"))),"")</f>
        <v>95.3%</v>
      </c>
      <c r="J114" s="165" t="str">
        <f ca="1">IFERROR(IF(ISNUMBER(FIND("ED only",$B$4)),IF(LEFT($B$7,6)="Number",SUMIFS(Comparison_Lookup,site_level_range_board,$B114,date_range_board,J111,inputdata!$F:$F,"ED"),TEXT(SUMIFS(Comparison_Lookup,site_level_range_board,$B114,date_range_board,J111,inputdata!$F:$F,"ED")/SUMIFS(All_Attendances,site_level_range_board,$B114,date_range_board,J111,inputdata!$F:$F,"ED"),"0.0%")),IF(LEFT($B$7,6)="Number",SUMIFS(Comparison_Lookup,site_level_range_board,$B114,date_range_board,J111),TEXT(SUMIFS(Comparison_Lookup,site_level_range_board,$B114,date_range_board,J111)/SUMIFS(All_Attendances,site_level_range_board,$B114,date_range_board,J111),"0.0%"))),"")</f>
        <v>94.3%</v>
      </c>
      <c r="K114" s="165" t="str">
        <f ca="1">IFERROR(IF(ISNUMBER(FIND("ED only",$B$4)),IF(LEFT($B$7,6)="Number",SUMIFS(Comparison_Lookup,site_level_range_board,$B114,date_range_board,K111,inputdata!$F:$F,"ED"),TEXT(SUMIFS(Comparison_Lookup,site_level_range_board,$B114,date_range_board,K111,inputdata!$F:$F,"ED")/SUMIFS(All_Attendances,site_level_range_board,$B114,date_range_board,K111,inputdata!$F:$F,"ED"),"0.0%")),IF(LEFT($B$7,6)="Number",SUMIFS(Comparison_Lookup,site_level_range_board,$B114,date_range_board,K111),TEXT(SUMIFS(Comparison_Lookup,site_level_range_board,$B114,date_range_board,K111)/SUMIFS(All_Attendances,site_level_range_board,$B114,date_range_board,K111),"0.0%"))),"")</f>
        <v>93.3%</v>
      </c>
      <c r="L114" s="165" t="str">
        <f ca="1">IFERROR(IF(ISNUMBER(FIND("ED only",$B$4)),IF(LEFT($B$7,6)="Number",SUMIFS(Comparison_Lookup,site_level_range_board,$B114,date_range_board,L111,inputdata!$F:$F,"ED"),TEXT(SUMIFS(Comparison_Lookup,site_level_range_board,$B114,date_range_board,L111,inputdata!$F:$F,"ED")/SUMIFS(All_Attendances,site_level_range_board,$B114,date_range_board,L111,inputdata!$F:$F,"ED"),"0.0%")),IF(LEFT($B$7,6)="Number",SUMIFS(Comparison_Lookup,site_level_range_board,$B114,date_range_board,L111),TEXT(SUMIFS(Comparison_Lookup,site_level_range_board,$B114,date_range_board,L111)/SUMIFS(All_Attendances,site_level_range_board,$B114,date_range_board,L111),"0.0%"))),"")</f>
        <v>91.1%</v>
      </c>
      <c r="M114" s="165" t="str">
        <f ca="1">IFERROR(IF(ISNUMBER(FIND("ED only",$B$4)),IF(LEFT($B$7,6)="Number",SUMIFS(Comparison_Lookup,site_level_range_board,$B114,date_range_board,M111,inputdata!$F:$F,"ED"),TEXT(SUMIFS(Comparison_Lookup,site_level_range_board,$B114,date_range_board,M111,inputdata!$F:$F,"ED")/SUMIFS(All_Attendances,site_level_range_board,$B114,date_range_board,M111,inputdata!$F:$F,"ED"),"0.0%")),IF(LEFT($B$7,6)="Number",SUMIFS(Comparison_Lookup,site_level_range_board,$B114,date_range_board,M111),TEXT(SUMIFS(Comparison_Lookup,site_level_range_board,$B114,date_range_board,M111)/SUMIFS(All_Attendances,site_level_range_board,$B114,date_range_board,M111),"0.0%"))),"")</f>
        <v>91.6%</v>
      </c>
      <c r="N114" s="171" t="str">
        <f ca="1">IFERROR(IF(ISNUMBER(FIND("ED only",$B$4)),IF(LEFT($B$7,6)="Number",SUMIFS(Comparison_Lookup,site_level_range_board,$B114,date_range_board,N111,inputdata!$F:$F,"ED"),TEXT(SUMIFS(Comparison_Lookup,site_level_range_board,$B114,date_range_board,N111,inputdata!$F:$F,"ED")/SUMIFS(All_Attendances,site_level_range_board,$B114,date_range_board,N111,inputdata!$F:$F,"ED"),"0.0%")),IF(LEFT($B$7,6)="Number",SUMIFS(Comparison_Lookup,site_level_range_board,$B114,date_range_board,N111),TEXT(SUMIFS(Comparison_Lookup,site_level_range_board,$B114,date_range_board,N111)/SUMIFS(All_Attendances,site_level_range_board,$B114,date_range_board,N111),"0.0%"))),"")</f>
        <v>93.7%</v>
      </c>
    </row>
    <row r="115" spans="1:14" ht="15" customHeight="1" x14ac:dyDescent="0.2">
      <c r="A115" s="132"/>
      <c r="B115" s="152" t="s">
        <v>442</v>
      </c>
      <c r="C115" s="165" t="str">
        <f ca="1">IFERROR(IF(ISNUMBER(FIND("ED only",$B$4)),IF(LEFT($B$7,6)="Number",SUMIFS(Comparison_Lookup,site_level_range_board,$B115,date_range_board,C111,inputdata!$F:$F,"ED"),TEXT(SUMIFS(Comparison_Lookup,site_level_range_board,$B115,date_range_board,C111,inputdata!$F:$F,"ED")/SUMIFS(All_Attendances,site_level_range_board,$B115,date_range_board,C111,inputdata!$F:$F,"ED"),"0.0%")),IF(LEFT($B$7,6)="Number",SUMIFS(Comparison_Lookup,site_level_range_board,$B115,date_range_board,C111),TEXT(SUMIFS(Comparison_Lookup,site_level_range_board,$B115,date_range_board,C111)/SUMIFS(All_Attendances,site_level_range_board,$B115,date_range_board,C111),"0.0%"))),"")</f>
        <v>96.2%</v>
      </c>
      <c r="D115" s="165" t="str">
        <f ca="1">IFERROR(IF(ISNUMBER(FIND("ED only",$B$4)),IF(LEFT($B$7,6)="Number",SUMIFS(Comparison_Lookup,site_level_range_board,$B115,date_range_board,D111,inputdata!$F:$F,"ED"),TEXT(SUMIFS(Comparison_Lookup,site_level_range_board,$B115,date_range_board,D111,inputdata!$F:$F,"ED")/SUMIFS(All_Attendances,site_level_range_board,$B115,date_range_board,D111,inputdata!$F:$F,"ED"),"0.0%")),IF(LEFT($B$7,6)="Number",SUMIFS(Comparison_Lookup,site_level_range_board,$B115,date_range_board,D111),TEXT(SUMIFS(Comparison_Lookup,site_level_range_board,$B115,date_range_board,D111)/SUMIFS(All_Attendances,site_level_range_board,$B115,date_range_board,D111),"0.0%"))),"")</f>
        <v>95.6%</v>
      </c>
      <c r="E115" s="165" t="str">
        <f ca="1">IFERROR(IF(ISNUMBER(FIND("ED only",$B$4)),IF(LEFT($B$7,6)="Number",SUMIFS(Comparison_Lookup,site_level_range_board,$B115,date_range_board,E111,inputdata!$F:$F,"ED"),TEXT(SUMIFS(Comparison_Lookup,site_level_range_board,$B115,date_range_board,E111,inputdata!$F:$F,"ED")/SUMIFS(All_Attendances,site_level_range_board,$B115,date_range_board,E111,inputdata!$F:$F,"ED"),"0.0%")),IF(LEFT($B$7,6)="Number",SUMIFS(Comparison_Lookup,site_level_range_board,$B115,date_range_board,E111),TEXT(SUMIFS(Comparison_Lookup,site_level_range_board,$B115,date_range_board,E111)/SUMIFS(All_Attendances,site_level_range_board,$B115,date_range_board,E111),"0.0%"))),"")</f>
        <v>97.2%</v>
      </c>
      <c r="F115" s="165" t="str">
        <f ca="1">IFERROR(IF(ISNUMBER(FIND("ED only",$B$4)),IF(LEFT($B$7,6)="Number",SUMIFS(Comparison_Lookup,site_level_range_board,$B115,date_range_board,F111,inputdata!$F:$F,"ED"),TEXT(SUMIFS(Comparison_Lookup,site_level_range_board,$B115,date_range_board,F111,inputdata!$F:$F,"ED")/SUMIFS(All_Attendances,site_level_range_board,$B115,date_range_board,F111,inputdata!$F:$F,"ED"),"0.0%")),IF(LEFT($B$7,6)="Number",SUMIFS(Comparison_Lookup,site_level_range_board,$B115,date_range_board,F111),TEXT(SUMIFS(Comparison_Lookup,site_level_range_board,$B115,date_range_board,F111)/SUMIFS(All_Attendances,site_level_range_board,$B115,date_range_board,F111),"0.0%"))),"")</f>
        <v>97.5%</v>
      </c>
      <c r="G115" s="165" t="str">
        <f ca="1">IFERROR(IF(ISNUMBER(FIND("ED only",$B$4)),IF(LEFT($B$7,6)="Number",SUMIFS(Comparison_Lookup,site_level_range_board,$B115,date_range_board,G111,inputdata!$F:$F,"ED"),TEXT(SUMIFS(Comparison_Lookup,site_level_range_board,$B115,date_range_board,G111,inputdata!$F:$F,"ED")/SUMIFS(All_Attendances,site_level_range_board,$B115,date_range_board,G111,inputdata!$F:$F,"ED"),"0.0%")),IF(LEFT($B$7,6)="Number",SUMIFS(Comparison_Lookup,site_level_range_board,$B115,date_range_board,G111),TEXT(SUMIFS(Comparison_Lookup,site_level_range_board,$B115,date_range_board,G111)/SUMIFS(All_Attendances,site_level_range_board,$B115,date_range_board,G111),"0.0%"))),"")</f>
        <v>96.5%</v>
      </c>
      <c r="H115" s="165" t="str">
        <f ca="1">IFERROR(IF(ISNUMBER(FIND("ED only",$B$4)),IF(LEFT($B$7,6)="Number",SUMIFS(Comparison_Lookup,site_level_range_board,$B115,date_range_board,H111,inputdata!$F:$F,"ED"),TEXT(SUMIFS(Comparison_Lookup,site_level_range_board,$B115,date_range_board,H111,inputdata!$F:$F,"ED")/SUMIFS(All_Attendances,site_level_range_board,$B115,date_range_board,H111,inputdata!$F:$F,"ED"),"0.0%")),IF(LEFT($B$7,6)="Number",SUMIFS(Comparison_Lookup,site_level_range_board,$B115,date_range_board,H111),TEXT(SUMIFS(Comparison_Lookup,site_level_range_board,$B115,date_range_board,H111)/SUMIFS(All_Attendances,site_level_range_board,$B115,date_range_board,H111),"0.0%"))),"")</f>
        <v>95.6%</v>
      </c>
      <c r="I115" s="165" t="str">
        <f ca="1">IFERROR(IF(ISNUMBER(FIND("ED only",$B$4)),IF(LEFT($B$7,6)="Number",SUMIFS(Comparison_Lookup,site_level_range_board,$B115,date_range_board,I111,inputdata!$F:$F,"ED"),TEXT(SUMIFS(Comparison_Lookup,site_level_range_board,$B115,date_range_board,I111,inputdata!$F:$F,"ED")/SUMIFS(All_Attendances,site_level_range_board,$B115,date_range_board,I111,inputdata!$F:$F,"ED"),"0.0%")),IF(LEFT($B$7,6)="Number",SUMIFS(Comparison_Lookup,site_level_range_board,$B115,date_range_board,I111),TEXT(SUMIFS(Comparison_Lookup,site_level_range_board,$B115,date_range_board,I111)/SUMIFS(All_Attendances,site_level_range_board,$B115,date_range_board,I111),"0.0%"))),"")</f>
        <v>94.9%</v>
      </c>
      <c r="J115" s="165" t="str">
        <f ca="1">IFERROR(IF(ISNUMBER(FIND("ED only",$B$4)),IF(LEFT($B$7,6)="Number",SUMIFS(Comparison_Lookup,site_level_range_board,$B115,date_range_board,J111,inputdata!$F:$F,"ED"),TEXT(SUMIFS(Comparison_Lookup,site_level_range_board,$B115,date_range_board,J111,inputdata!$F:$F,"ED")/SUMIFS(All_Attendances,site_level_range_board,$B115,date_range_board,J111,inputdata!$F:$F,"ED"),"0.0%")),IF(LEFT($B$7,6)="Number",SUMIFS(Comparison_Lookup,site_level_range_board,$B115,date_range_board,J111),TEXT(SUMIFS(Comparison_Lookup,site_level_range_board,$B115,date_range_board,J111)/SUMIFS(All_Attendances,site_level_range_board,$B115,date_range_board,J111),"0.0%"))),"")</f>
        <v>93.2%</v>
      </c>
      <c r="K115" s="165" t="str">
        <f ca="1">IFERROR(IF(ISNUMBER(FIND("ED only",$B$4)),IF(LEFT($B$7,6)="Number",SUMIFS(Comparison_Lookup,site_level_range_board,$B115,date_range_board,K111,inputdata!$F:$F,"ED"),TEXT(SUMIFS(Comparison_Lookup,site_level_range_board,$B115,date_range_board,K111,inputdata!$F:$F,"ED")/SUMIFS(All_Attendances,site_level_range_board,$B115,date_range_board,K111,inputdata!$F:$F,"ED"),"0.0%")),IF(LEFT($B$7,6)="Number",SUMIFS(Comparison_Lookup,site_level_range_board,$B115,date_range_board,K111),TEXT(SUMIFS(Comparison_Lookup,site_level_range_board,$B115,date_range_board,K111)/SUMIFS(All_Attendances,site_level_range_board,$B115,date_range_board,K111),"0.0%"))),"")</f>
        <v>93.7%</v>
      </c>
      <c r="L115" s="165" t="str">
        <f ca="1">IFERROR(IF(ISNUMBER(FIND("ED only",$B$4)),IF(LEFT($B$7,6)="Number",SUMIFS(Comparison_Lookup,site_level_range_board,$B115,date_range_board,L111,inputdata!$F:$F,"ED"),TEXT(SUMIFS(Comparison_Lookup,site_level_range_board,$B115,date_range_board,L111,inputdata!$F:$F,"ED")/SUMIFS(All_Attendances,site_level_range_board,$B115,date_range_board,L111,inputdata!$F:$F,"ED"),"0.0%")),IF(LEFT($B$7,6)="Number",SUMIFS(Comparison_Lookup,site_level_range_board,$B115,date_range_board,L111),TEXT(SUMIFS(Comparison_Lookup,site_level_range_board,$B115,date_range_board,L111)/SUMIFS(All_Attendances,site_level_range_board,$B115,date_range_board,L111),"0.0%"))),"")</f>
        <v>93.5%</v>
      </c>
      <c r="M115" s="165" t="str">
        <f ca="1">IFERROR(IF(ISNUMBER(FIND("ED only",$B$4)),IF(LEFT($B$7,6)="Number",SUMIFS(Comparison_Lookup,site_level_range_board,$B115,date_range_board,M111,inputdata!$F:$F,"ED"),TEXT(SUMIFS(Comparison_Lookup,site_level_range_board,$B115,date_range_board,M111,inputdata!$F:$F,"ED")/SUMIFS(All_Attendances,site_level_range_board,$B115,date_range_board,M111,inputdata!$F:$F,"ED"),"0.0%")),IF(LEFT($B$7,6)="Number",SUMIFS(Comparison_Lookup,site_level_range_board,$B115,date_range_board,M111),TEXT(SUMIFS(Comparison_Lookup,site_level_range_board,$B115,date_range_board,M111)/SUMIFS(All_Attendances,site_level_range_board,$B115,date_range_board,M111),"0.0%"))),"")</f>
        <v>94.7%</v>
      </c>
      <c r="N115" s="171" t="str">
        <f ca="1">IFERROR(IF(ISNUMBER(FIND("ED only",$B$4)),IF(LEFT($B$7,6)="Number",SUMIFS(Comparison_Lookup,site_level_range_board,$B115,date_range_board,N111,inputdata!$F:$F,"ED"),TEXT(SUMIFS(Comparison_Lookup,site_level_range_board,$B115,date_range_board,N111,inputdata!$F:$F,"ED")/SUMIFS(All_Attendances,site_level_range_board,$B115,date_range_board,N111,inputdata!$F:$F,"ED"),"0.0%")),IF(LEFT($B$7,6)="Number",SUMIFS(Comparison_Lookup,site_level_range_board,$B115,date_range_board,N111),TEXT(SUMIFS(Comparison_Lookup,site_level_range_board,$B115,date_range_board,N111)/SUMIFS(All_Attendances,site_level_range_board,$B115,date_range_board,N111),"0.0%"))),"")</f>
        <v>95.2%</v>
      </c>
    </row>
    <row r="116" spans="1:14" ht="15" customHeight="1" x14ac:dyDescent="0.2">
      <c r="A116" s="132"/>
      <c r="B116" s="152" t="s">
        <v>451</v>
      </c>
      <c r="C116" s="165" t="str">
        <f ca="1">IFERROR(IF(ISNUMBER(FIND("ED only",$B$4)),IF(LEFT($B$7,6)="Number",SUMIFS(Comparison_Lookup,site_level_range_board,$B116,date_range_board,C111,inputdata!$F:$F,"ED"),TEXT(SUMIFS(Comparison_Lookup,site_level_range_board,$B116,date_range_board,C111,inputdata!$F:$F,"ED")/SUMIFS(All_Attendances,site_level_range_board,$B116,date_range_board,C111,inputdata!$F:$F,"ED"),"0.0%")),IF(LEFT($B$7,6)="Number",SUMIFS(Comparison_Lookup,site_level_range_board,$B116,date_range_board,C111),TEXT(SUMIFS(Comparison_Lookup,site_level_range_board,$B116,date_range_board,C111)/SUMIFS(All_Attendances,site_level_range_board,$B116,date_range_board,C111),"0.0%"))),"")</f>
        <v>95.6%</v>
      </c>
      <c r="D116" s="165" t="str">
        <f ca="1">IFERROR(IF(ISNUMBER(FIND("ED only",$B$4)),IF(LEFT($B$7,6)="Number",SUMIFS(Comparison_Lookup,site_level_range_board,$B116,date_range_board,D111,inputdata!$F:$F,"ED"),TEXT(SUMIFS(Comparison_Lookup,site_level_range_board,$B116,date_range_board,D111,inputdata!$F:$F,"ED")/SUMIFS(All_Attendances,site_level_range_board,$B116,date_range_board,D111,inputdata!$F:$F,"ED"),"0.0%")),IF(LEFT($B$7,6)="Number",SUMIFS(Comparison_Lookup,site_level_range_board,$B116,date_range_board,D111),TEXT(SUMIFS(Comparison_Lookup,site_level_range_board,$B116,date_range_board,D111)/SUMIFS(All_Attendances,site_level_range_board,$B116,date_range_board,D111),"0.0%"))),"")</f>
        <v>92.5%</v>
      </c>
      <c r="E116" s="165" t="str">
        <f ca="1">IFERROR(IF(ISNUMBER(FIND("ED only",$B$4)),IF(LEFT($B$7,6)="Number",SUMIFS(Comparison_Lookup,site_level_range_board,$B116,date_range_board,E111,inputdata!$F:$F,"ED"),TEXT(SUMIFS(Comparison_Lookup,site_level_range_board,$B116,date_range_board,E111,inputdata!$F:$F,"ED")/SUMIFS(All_Attendances,site_level_range_board,$B116,date_range_board,E111,inputdata!$F:$F,"ED"),"0.0%")),IF(LEFT($B$7,6)="Number",SUMIFS(Comparison_Lookup,site_level_range_board,$B116,date_range_board,E111),TEXT(SUMIFS(Comparison_Lookup,site_level_range_board,$B116,date_range_board,E111)/SUMIFS(All_Attendances,site_level_range_board,$B116,date_range_board,E111),"0.0%"))),"")</f>
        <v>95.9%</v>
      </c>
      <c r="F116" s="165" t="str">
        <f ca="1">IFERROR(IF(ISNUMBER(FIND("ED only",$B$4)),IF(LEFT($B$7,6)="Number",SUMIFS(Comparison_Lookup,site_level_range_board,$B116,date_range_board,F111,inputdata!$F:$F,"ED"),TEXT(SUMIFS(Comparison_Lookup,site_level_range_board,$B116,date_range_board,F111,inputdata!$F:$F,"ED")/SUMIFS(All_Attendances,site_level_range_board,$B116,date_range_board,F111,inputdata!$F:$F,"ED"),"0.0%")),IF(LEFT($B$7,6)="Number",SUMIFS(Comparison_Lookup,site_level_range_board,$B116,date_range_board,F111),TEXT(SUMIFS(Comparison_Lookup,site_level_range_board,$B116,date_range_board,F111)/SUMIFS(All_Attendances,site_level_range_board,$B116,date_range_board,F111),"0.0%"))),"")</f>
        <v>97.3%</v>
      </c>
      <c r="G116" s="165" t="str">
        <f ca="1">IFERROR(IF(ISNUMBER(FIND("ED only",$B$4)),IF(LEFT($B$7,6)="Number",SUMIFS(Comparison_Lookup,site_level_range_board,$B116,date_range_board,G111,inputdata!$F:$F,"ED"),TEXT(SUMIFS(Comparison_Lookup,site_level_range_board,$B116,date_range_board,G111,inputdata!$F:$F,"ED")/SUMIFS(All_Attendances,site_level_range_board,$B116,date_range_board,G111,inputdata!$F:$F,"ED"),"0.0%")),IF(LEFT($B$7,6)="Number",SUMIFS(Comparison_Lookup,site_level_range_board,$B116,date_range_board,G111),TEXT(SUMIFS(Comparison_Lookup,site_level_range_board,$B116,date_range_board,G111)/SUMIFS(All_Attendances,site_level_range_board,$B116,date_range_board,G111),"0.0%"))),"")</f>
        <v>95.2%</v>
      </c>
      <c r="H116" s="165" t="str">
        <f ca="1">IFERROR(IF(ISNUMBER(FIND("ED only",$B$4)),IF(LEFT($B$7,6)="Number",SUMIFS(Comparison_Lookup,site_level_range_board,$B116,date_range_board,H111,inputdata!$F:$F,"ED"),TEXT(SUMIFS(Comparison_Lookup,site_level_range_board,$B116,date_range_board,H111,inputdata!$F:$F,"ED")/SUMIFS(All_Attendances,site_level_range_board,$B116,date_range_board,H111,inputdata!$F:$F,"ED"),"0.0%")),IF(LEFT($B$7,6)="Number",SUMIFS(Comparison_Lookup,site_level_range_board,$B116,date_range_board,H111),TEXT(SUMIFS(Comparison_Lookup,site_level_range_board,$B116,date_range_board,H111)/SUMIFS(All_Attendances,site_level_range_board,$B116,date_range_board,H111),"0.0%"))),"")</f>
        <v>95.9%</v>
      </c>
      <c r="I116" s="165" t="str">
        <f ca="1">IFERROR(IF(ISNUMBER(FIND("ED only",$B$4)),IF(LEFT($B$7,6)="Number",SUMIFS(Comparison_Lookup,site_level_range_board,$B116,date_range_board,I111,inputdata!$F:$F,"ED"),TEXT(SUMIFS(Comparison_Lookup,site_level_range_board,$B116,date_range_board,I111,inputdata!$F:$F,"ED")/SUMIFS(All_Attendances,site_level_range_board,$B116,date_range_board,I111,inputdata!$F:$F,"ED"),"0.0%")),IF(LEFT($B$7,6)="Number",SUMIFS(Comparison_Lookup,site_level_range_board,$B116,date_range_board,I111),TEXT(SUMIFS(Comparison_Lookup,site_level_range_board,$B116,date_range_board,I111)/SUMIFS(All_Attendances,site_level_range_board,$B116,date_range_board,I111),"0.0%"))),"")</f>
        <v>93.7%</v>
      </c>
      <c r="J116" s="165" t="str">
        <f ca="1">IFERROR(IF(ISNUMBER(FIND("ED only",$B$4)),IF(LEFT($B$7,6)="Number",SUMIFS(Comparison_Lookup,site_level_range_board,$B116,date_range_board,J111,inputdata!$F:$F,"ED"),TEXT(SUMIFS(Comparison_Lookup,site_level_range_board,$B116,date_range_board,J111,inputdata!$F:$F,"ED")/SUMIFS(All_Attendances,site_level_range_board,$B116,date_range_board,J111,inputdata!$F:$F,"ED"),"0.0%")),IF(LEFT($B$7,6)="Number",SUMIFS(Comparison_Lookup,site_level_range_board,$B116,date_range_board,J111),TEXT(SUMIFS(Comparison_Lookup,site_level_range_board,$B116,date_range_board,J111)/SUMIFS(All_Attendances,site_level_range_board,$B116,date_range_board,J111),"0.0%"))),"")</f>
        <v>90.9%</v>
      </c>
      <c r="K116" s="165" t="str">
        <f ca="1">IFERROR(IF(ISNUMBER(FIND("ED only",$B$4)),IF(LEFT($B$7,6)="Number",SUMIFS(Comparison_Lookup,site_level_range_board,$B116,date_range_board,K111,inputdata!$F:$F,"ED"),TEXT(SUMIFS(Comparison_Lookup,site_level_range_board,$B116,date_range_board,K111,inputdata!$F:$F,"ED")/SUMIFS(All_Attendances,site_level_range_board,$B116,date_range_board,K111,inputdata!$F:$F,"ED"),"0.0%")),IF(LEFT($B$7,6)="Number",SUMIFS(Comparison_Lookup,site_level_range_board,$B116,date_range_board,K111),TEXT(SUMIFS(Comparison_Lookup,site_level_range_board,$B116,date_range_board,K111)/SUMIFS(All_Attendances,site_level_range_board,$B116,date_range_board,K111),"0.0%"))),"")</f>
        <v>94.2%</v>
      </c>
      <c r="L116" s="165" t="str">
        <f ca="1">IFERROR(IF(ISNUMBER(FIND("ED only",$B$4)),IF(LEFT($B$7,6)="Number",SUMIFS(Comparison_Lookup,site_level_range_board,$B116,date_range_board,L111,inputdata!$F:$F,"ED"),TEXT(SUMIFS(Comparison_Lookup,site_level_range_board,$B116,date_range_board,L111,inputdata!$F:$F,"ED")/SUMIFS(All_Attendances,site_level_range_board,$B116,date_range_board,L111,inputdata!$F:$F,"ED"),"0.0%")),IF(LEFT($B$7,6)="Number",SUMIFS(Comparison_Lookup,site_level_range_board,$B116,date_range_board,L111),TEXT(SUMIFS(Comparison_Lookup,site_level_range_board,$B116,date_range_board,L111)/SUMIFS(All_Attendances,site_level_range_board,$B116,date_range_board,L111),"0.0%"))),"")</f>
        <v>90.8%</v>
      </c>
      <c r="M116" s="165" t="str">
        <f ca="1">IFERROR(IF(ISNUMBER(FIND("ED only",$B$4)),IF(LEFT($B$7,6)="Number",SUMIFS(Comparison_Lookup,site_level_range_board,$B116,date_range_board,M111,inputdata!$F:$F,"ED"),TEXT(SUMIFS(Comparison_Lookup,site_level_range_board,$B116,date_range_board,M111,inputdata!$F:$F,"ED")/SUMIFS(All_Attendances,site_level_range_board,$B116,date_range_board,M111,inputdata!$F:$F,"ED"),"0.0%")),IF(LEFT($B$7,6)="Number",SUMIFS(Comparison_Lookup,site_level_range_board,$B116,date_range_board,M111),TEXT(SUMIFS(Comparison_Lookup,site_level_range_board,$B116,date_range_board,M111)/SUMIFS(All_Attendances,site_level_range_board,$B116,date_range_board,M111),"0.0%"))),"")</f>
        <v>92.9%</v>
      </c>
      <c r="N116" s="171" t="str">
        <f ca="1">IFERROR(IF(ISNUMBER(FIND("ED only",$B$4)),IF(LEFT($B$7,6)="Number",SUMIFS(Comparison_Lookup,site_level_range_board,$B116,date_range_board,N111,inputdata!$F:$F,"ED"),TEXT(SUMIFS(Comparison_Lookup,site_level_range_board,$B116,date_range_board,N111,inputdata!$F:$F,"ED")/SUMIFS(All_Attendances,site_level_range_board,$B116,date_range_board,N111,inputdata!$F:$F,"ED"),"0.0%")),IF(LEFT($B$7,6)="Number",SUMIFS(Comparison_Lookup,site_level_range_board,$B116,date_range_board,N111),TEXT(SUMIFS(Comparison_Lookup,site_level_range_board,$B116,date_range_board,N111)/SUMIFS(All_Attendances,site_level_range_board,$B116,date_range_board,N111),"0.0%"))),"")</f>
        <v>97.2%</v>
      </c>
    </row>
    <row r="117" spans="1:14" ht="15" customHeight="1" x14ac:dyDescent="0.2">
      <c r="A117" s="132"/>
      <c r="B117" s="152" t="s">
        <v>456</v>
      </c>
      <c r="C117" s="165" t="str">
        <f ca="1">IFERROR(IF(ISNUMBER(FIND("ED only",$B$4)),IF(LEFT($B$7,6)="Number",SUMIFS(Comparison_Lookup,site_level_range_board,$B117,date_range_board,C111,inputdata!$F:$F,"ED"),TEXT(SUMIFS(Comparison_Lookup,site_level_range_board,$B117,date_range_board,C111,inputdata!$F:$F,"ED")/SUMIFS(All_Attendances,site_level_range_board,$B117,date_range_board,C111,inputdata!$F:$F,"ED"),"0.0%")),IF(LEFT($B$7,6)="Number",SUMIFS(Comparison_Lookup,site_level_range_board,$B117,date_range_board,C111),TEXT(SUMIFS(Comparison_Lookup,site_level_range_board,$B117,date_range_board,C111)/SUMIFS(All_Attendances,site_level_range_board,$B117,date_range_board,C111),"0.0%"))),"")</f>
        <v>96.7%</v>
      </c>
      <c r="D117" s="165" t="str">
        <f ca="1">IFERROR(IF(ISNUMBER(FIND("ED only",$B$4)),IF(LEFT($B$7,6)="Number",SUMIFS(Comparison_Lookup,site_level_range_board,$B117,date_range_board,D111,inputdata!$F:$F,"ED"),TEXT(SUMIFS(Comparison_Lookup,site_level_range_board,$B117,date_range_board,D111,inputdata!$F:$F,"ED")/SUMIFS(All_Attendances,site_level_range_board,$B117,date_range_board,D111,inputdata!$F:$F,"ED"),"0.0%")),IF(LEFT($B$7,6)="Number",SUMIFS(Comparison_Lookup,site_level_range_board,$B117,date_range_board,D111),TEXT(SUMIFS(Comparison_Lookup,site_level_range_board,$B117,date_range_board,D111)/SUMIFS(All_Attendances,site_level_range_board,$B117,date_range_board,D111),"0.0%"))),"")</f>
        <v>96.8%</v>
      </c>
      <c r="E117" s="165" t="str">
        <f ca="1">IFERROR(IF(ISNUMBER(FIND("ED only",$B$4)),IF(LEFT($B$7,6)="Number",SUMIFS(Comparison_Lookup,site_level_range_board,$B117,date_range_board,E111,inputdata!$F:$F,"ED"),TEXT(SUMIFS(Comparison_Lookup,site_level_range_board,$B117,date_range_board,E111,inputdata!$F:$F,"ED")/SUMIFS(All_Attendances,site_level_range_board,$B117,date_range_board,E111,inputdata!$F:$F,"ED"),"0.0%")),IF(LEFT($B$7,6)="Number",SUMIFS(Comparison_Lookup,site_level_range_board,$B117,date_range_board,E111),TEXT(SUMIFS(Comparison_Lookup,site_level_range_board,$B117,date_range_board,E111)/SUMIFS(All_Attendances,site_level_range_board,$B117,date_range_board,E111),"0.0%"))),"")</f>
        <v>97.2%</v>
      </c>
      <c r="F117" s="165" t="str">
        <f ca="1">IFERROR(IF(ISNUMBER(FIND("ED only",$B$4)),IF(LEFT($B$7,6)="Number",SUMIFS(Comparison_Lookup,site_level_range_board,$B117,date_range_board,F111,inputdata!$F:$F,"ED"),TEXT(SUMIFS(Comparison_Lookup,site_level_range_board,$B117,date_range_board,F111,inputdata!$F:$F,"ED")/SUMIFS(All_Attendances,site_level_range_board,$B117,date_range_board,F111,inputdata!$F:$F,"ED"),"0.0%")),IF(LEFT($B$7,6)="Number",SUMIFS(Comparison_Lookup,site_level_range_board,$B117,date_range_board,F111),TEXT(SUMIFS(Comparison_Lookup,site_level_range_board,$B117,date_range_board,F111)/SUMIFS(All_Attendances,site_level_range_board,$B117,date_range_board,F111),"0.0%"))),"")</f>
        <v>96.8%</v>
      </c>
      <c r="G117" s="165" t="str">
        <f ca="1">IFERROR(IF(ISNUMBER(FIND("ED only",$B$4)),IF(LEFT($B$7,6)="Number",SUMIFS(Comparison_Lookup,site_level_range_board,$B117,date_range_board,G111,inputdata!$F:$F,"ED"),TEXT(SUMIFS(Comparison_Lookup,site_level_range_board,$B117,date_range_board,G111,inputdata!$F:$F,"ED")/SUMIFS(All_Attendances,site_level_range_board,$B117,date_range_board,G111,inputdata!$F:$F,"ED"),"0.0%")),IF(LEFT($B$7,6)="Number",SUMIFS(Comparison_Lookup,site_level_range_board,$B117,date_range_board,G111),TEXT(SUMIFS(Comparison_Lookup,site_level_range_board,$B117,date_range_board,G111)/SUMIFS(All_Attendances,site_level_range_board,$B117,date_range_board,G111),"0.0%"))),"")</f>
        <v>96.8%</v>
      </c>
      <c r="H117" s="165" t="str">
        <f ca="1">IFERROR(IF(ISNUMBER(FIND("ED only",$B$4)),IF(LEFT($B$7,6)="Number",SUMIFS(Comparison_Lookup,site_level_range_board,$B117,date_range_board,H111,inputdata!$F:$F,"ED"),TEXT(SUMIFS(Comparison_Lookup,site_level_range_board,$B117,date_range_board,H111,inputdata!$F:$F,"ED")/SUMIFS(All_Attendances,site_level_range_board,$B117,date_range_board,H111,inputdata!$F:$F,"ED"),"0.0%")),IF(LEFT($B$7,6)="Number",SUMIFS(Comparison_Lookup,site_level_range_board,$B117,date_range_board,H111),TEXT(SUMIFS(Comparison_Lookup,site_level_range_board,$B117,date_range_board,H111)/SUMIFS(All_Attendances,site_level_range_board,$B117,date_range_board,H111),"0.0%"))),"")</f>
        <v>95.7%</v>
      </c>
      <c r="I117" s="165" t="str">
        <f ca="1">IFERROR(IF(ISNUMBER(FIND("ED only",$B$4)),IF(LEFT($B$7,6)="Number",SUMIFS(Comparison_Lookup,site_level_range_board,$B117,date_range_board,I111,inputdata!$F:$F,"ED"),TEXT(SUMIFS(Comparison_Lookup,site_level_range_board,$B117,date_range_board,I111,inputdata!$F:$F,"ED")/SUMIFS(All_Attendances,site_level_range_board,$B117,date_range_board,I111,inputdata!$F:$F,"ED"),"0.0%")),IF(LEFT($B$7,6)="Number",SUMIFS(Comparison_Lookup,site_level_range_board,$B117,date_range_board,I111),TEXT(SUMIFS(Comparison_Lookup,site_level_range_board,$B117,date_range_board,I111)/SUMIFS(All_Attendances,site_level_range_board,$B117,date_range_board,I111),"0.0%"))),"")</f>
        <v>95.2%</v>
      </c>
      <c r="J117" s="165" t="str">
        <f ca="1">IFERROR(IF(ISNUMBER(FIND("ED only",$B$4)),IF(LEFT($B$7,6)="Number",SUMIFS(Comparison_Lookup,site_level_range_board,$B117,date_range_board,J111,inputdata!$F:$F,"ED"),TEXT(SUMIFS(Comparison_Lookup,site_level_range_board,$B117,date_range_board,J111,inputdata!$F:$F,"ED")/SUMIFS(All_Attendances,site_level_range_board,$B117,date_range_board,J111,inputdata!$F:$F,"ED"),"0.0%")),IF(LEFT($B$7,6)="Number",SUMIFS(Comparison_Lookup,site_level_range_board,$B117,date_range_board,J111),TEXT(SUMIFS(Comparison_Lookup,site_level_range_board,$B117,date_range_board,J111)/SUMIFS(All_Attendances,site_level_range_board,$B117,date_range_board,J111),"0.0%"))),"")</f>
        <v>96.7%</v>
      </c>
      <c r="K117" s="165" t="str">
        <f ca="1">IFERROR(IF(ISNUMBER(FIND("ED only",$B$4)),IF(LEFT($B$7,6)="Number",SUMIFS(Comparison_Lookup,site_level_range_board,$B117,date_range_board,K111,inputdata!$F:$F,"ED"),TEXT(SUMIFS(Comparison_Lookup,site_level_range_board,$B117,date_range_board,K111,inputdata!$F:$F,"ED")/SUMIFS(All_Attendances,site_level_range_board,$B117,date_range_board,K111,inputdata!$F:$F,"ED"),"0.0%")),IF(LEFT($B$7,6)="Number",SUMIFS(Comparison_Lookup,site_level_range_board,$B117,date_range_board,K111),TEXT(SUMIFS(Comparison_Lookup,site_level_range_board,$B117,date_range_board,K111)/SUMIFS(All_Attendances,site_level_range_board,$B117,date_range_board,K111),"0.0%"))),"")</f>
        <v>94.0%</v>
      </c>
      <c r="L117" s="165" t="str">
        <f ca="1">IFERROR(IF(ISNUMBER(FIND("ED only",$B$4)),IF(LEFT($B$7,6)="Number",SUMIFS(Comparison_Lookup,site_level_range_board,$B117,date_range_board,L111,inputdata!$F:$F,"ED"),TEXT(SUMIFS(Comparison_Lookup,site_level_range_board,$B117,date_range_board,L111,inputdata!$F:$F,"ED")/SUMIFS(All_Attendances,site_level_range_board,$B117,date_range_board,L111,inputdata!$F:$F,"ED"),"0.0%")),IF(LEFT($B$7,6)="Number",SUMIFS(Comparison_Lookup,site_level_range_board,$B117,date_range_board,L111),TEXT(SUMIFS(Comparison_Lookup,site_level_range_board,$B117,date_range_board,L111)/SUMIFS(All_Attendances,site_level_range_board,$B117,date_range_board,L111),"0.0%"))),"")</f>
        <v>94.9%</v>
      </c>
      <c r="M117" s="165" t="str">
        <f ca="1">IFERROR(IF(ISNUMBER(FIND("ED only",$B$4)),IF(LEFT($B$7,6)="Number",SUMIFS(Comparison_Lookup,site_level_range_board,$B117,date_range_board,M111,inputdata!$F:$F,"ED"),TEXT(SUMIFS(Comparison_Lookup,site_level_range_board,$B117,date_range_board,M111,inputdata!$F:$F,"ED")/SUMIFS(All_Attendances,site_level_range_board,$B117,date_range_board,M111,inputdata!$F:$F,"ED"),"0.0%")),IF(LEFT($B$7,6)="Number",SUMIFS(Comparison_Lookup,site_level_range_board,$B117,date_range_board,M111),TEXT(SUMIFS(Comparison_Lookup,site_level_range_board,$B117,date_range_board,M111)/SUMIFS(All_Attendances,site_level_range_board,$B117,date_range_board,M111),"0.0%"))),"")</f>
        <v>95.3%</v>
      </c>
      <c r="N117" s="171" t="str">
        <f ca="1">IFERROR(IF(ISNUMBER(FIND("ED only",$B$4)),IF(LEFT($B$7,6)="Number",SUMIFS(Comparison_Lookup,site_level_range_board,$B117,date_range_board,N111,inputdata!$F:$F,"ED"),TEXT(SUMIFS(Comparison_Lookup,site_level_range_board,$B117,date_range_board,N111,inputdata!$F:$F,"ED")/SUMIFS(All_Attendances,site_level_range_board,$B117,date_range_board,N111,inputdata!$F:$F,"ED"),"0.0%")),IF(LEFT($B$7,6)="Number",SUMIFS(Comparison_Lookup,site_level_range_board,$B117,date_range_board,N111),TEXT(SUMIFS(Comparison_Lookup,site_level_range_board,$B117,date_range_board,N111)/SUMIFS(All_Attendances,site_level_range_board,$B117,date_range_board,N111),"0.0%"))),"")</f>
        <v>96.1%</v>
      </c>
    </row>
    <row r="118" spans="1:14" ht="15" customHeight="1" x14ac:dyDescent="0.2">
      <c r="A118" s="132"/>
      <c r="B118" s="152" t="s">
        <v>491</v>
      </c>
      <c r="C118" s="165" t="str">
        <f ca="1">IFERROR(IF(ISNUMBER(FIND("ED only",$B$4)),IF(LEFT($B$7,6)="Number",SUMIFS(Comparison_Lookup,site_level_range_board,$B118,date_range_board,C111,inputdata!$F:$F,"ED"),TEXT(SUMIFS(Comparison_Lookup,site_level_range_board,$B118,date_range_board,C111,inputdata!$F:$F,"ED")/SUMIFS(All_Attendances,site_level_range_board,$B118,date_range_board,C111,inputdata!$F:$F,"ED"),"0.0%")),IF(LEFT($B$7,6)="Number",SUMIFS(Comparison_Lookup,site_level_range_board,$B118,date_range_board,C111),TEXT(SUMIFS(Comparison_Lookup,site_level_range_board,$B118,date_range_board,C111)/SUMIFS(All_Attendances,site_level_range_board,$B118,date_range_board,C111),"0.0%"))),"")</f>
        <v>93.9%</v>
      </c>
      <c r="D118" s="165" t="str">
        <f ca="1">IFERROR(IF(ISNUMBER(FIND("ED only",$B$4)),IF(LEFT($B$7,6)="Number",SUMIFS(Comparison_Lookup,site_level_range_board,$B118,date_range_board,D111,inputdata!$F:$F,"ED"),TEXT(SUMIFS(Comparison_Lookup,site_level_range_board,$B118,date_range_board,D111,inputdata!$F:$F,"ED")/SUMIFS(All_Attendances,site_level_range_board,$B118,date_range_board,D111,inputdata!$F:$F,"ED"),"0.0%")),IF(LEFT($B$7,6)="Number",SUMIFS(Comparison_Lookup,site_level_range_board,$B118,date_range_board,D111),TEXT(SUMIFS(Comparison_Lookup,site_level_range_board,$B118,date_range_board,D111)/SUMIFS(All_Attendances,site_level_range_board,$B118,date_range_board,D111),"0.0%"))),"")</f>
        <v>92.3%</v>
      </c>
      <c r="E118" s="165" t="str">
        <f ca="1">IFERROR(IF(ISNUMBER(FIND("ED only",$B$4)),IF(LEFT($B$7,6)="Number",SUMIFS(Comparison_Lookup,site_level_range_board,$B118,date_range_board,E111,inputdata!$F:$F,"ED"),TEXT(SUMIFS(Comparison_Lookup,site_level_range_board,$B118,date_range_board,E111,inputdata!$F:$F,"ED")/SUMIFS(All_Attendances,site_level_range_board,$B118,date_range_board,E111,inputdata!$F:$F,"ED"),"0.0%")),IF(LEFT($B$7,6)="Number",SUMIFS(Comparison_Lookup,site_level_range_board,$B118,date_range_board,E111),TEXT(SUMIFS(Comparison_Lookup,site_level_range_board,$B118,date_range_board,E111)/SUMIFS(All_Attendances,site_level_range_board,$B118,date_range_board,E111),"0.0%"))),"")</f>
        <v>94.3%</v>
      </c>
      <c r="F118" s="165" t="str">
        <f ca="1">IFERROR(IF(ISNUMBER(FIND("ED only",$B$4)),IF(LEFT($B$7,6)="Number",SUMIFS(Comparison_Lookup,site_level_range_board,$B118,date_range_board,F111,inputdata!$F:$F,"ED"),TEXT(SUMIFS(Comparison_Lookup,site_level_range_board,$B118,date_range_board,F111,inputdata!$F:$F,"ED")/SUMIFS(All_Attendances,site_level_range_board,$B118,date_range_board,F111,inputdata!$F:$F,"ED"),"0.0%")),IF(LEFT($B$7,6)="Number",SUMIFS(Comparison_Lookup,site_level_range_board,$B118,date_range_board,F111),TEXT(SUMIFS(Comparison_Lookup,site_level_range_board,$B118,date_range_board,F111)/SUMIFS(All_Attendances,site_level_range_board,$B118,date_range_board,F111),"0.0%"))),"")</f>
        <v>93.0%</v>
      </c>
      <c r="G118" s="165" t="str">
        <f ca="1">IFERROR(IF(ISNUMBER(FIND("ED only",$B$4)),IF(LEFT($B$7,6)="Number",SUMIFS(Comparison_Lookup,site_level_range_board,$B118,date_range_board,G111,inputdata!$F:$F,"ED"),TEXT(SUMIFS(Comparison_Lookup,site_level_range_board,$B118,date_range_board,G111,inputdata!$F:$F,"ED")/SUMIFS(All_Attendances,site_level_range_board,$B118,date_range_board,G111,inputdata!$F:$F,"ED"),"0.0%")),IF(LEFT($B$7,6)="Number",SUMIFS(Comparison_Lookup,site_level_range_board,$B118,date_range_board,G111),TEXT(SUMIFS(Comparison_Lookup,site_level_range_board,$B118,date_range_board,G111)/SUMIFS(All_Attendances,site_level_range_board,$B118,date_range_board,G111),"0.0%"))),"")</f>
        <v>92.8%</v>
      </c>
      <c r="H118" s="165" t="str">
        <f ca="1">IFERROR(IF(ISNUMBER(FIND("ED only",$B$4)),IF(LEFT($B$7,6)="Number",SUMIFS(Comparison_Lookup,site_level_range_board,$B118,date_range_board,H111,inputdata!$F:$F,"ED"),TEXT(SUMIFS(Comparison_Lookup,site_level_range_board,$B118,date_range_board,H111,inputdata!$F:$F,"ED")/SUMIFS(All_Attendances,site_level_range_board,$B118,date_range_board,H111,inputdata!$F:$F,"ED"),"0.0%")),IF(LEFT($B$7,6)="Number",SUMIFS(Comparison_Lookup,site_level_range_board,$B118,date_range_board,H111),TEXT(SUMIFS(Comparison_Lookup,site_level_range_board,$B118,date_range_board,H111)/SUMIFS(All_Attendances,site_level_range_board,$B118,date_range_board,H111),"0.0%"))),"")</f>
        <v>94.3%</v>
      </c>
      <c r="I118" s="165" t="str">
        <f ca="1">IFERROR(IF(ISNUMBER(FIND("ED only",$B$4)),IF(LEFT($B$7,6)="Number",SUMIFS(Comparison_Lookup,site_level_range_board,$B118,date_range_board,I111,inputdata!$F:$F,"ED"),TEXT(SUMIFS(Comparison_Lookup,site_level_range_board,$B118,date_range_board,I111,inputdata!$F:$F,"ED")/SUMIFS(All_Attendances,site_level_range_board,$B118,date_range_board,I111,inputdata!$F:$F,"ED"),"0.0%")),IF(LEFT($B$7,6)="Number",SUMIFS(Comparison_Lookup,site_level_range_board,$B118,date_range_board,I111),TEXT(SUMIFS(Comparison_Lookup,site_level_range_board,$B118,date_range_board,I111)/SUMIFS(All_Attendances,site_level_range_board,$B118,date_range_board,I111),"0.0%"))),"")</f>
        <v>93.1%</v>
      </c>
      <c r="J118" s="165" t="str">
        <f ca="1">IFERROR(IF(ISNUMBER(FIND("ED only",$B$4)),IF(LEFT($B$7,6)="Number",SUMIFS(Comparison_Lookup,site_level_range_board,$B118,date_range_board,J111,inputdata!$F:$F,"ED"),TEXT(SUMIFS(Comparison_Lookup,site_level_range_board,$B118,date_range_board,J111,inputdata!$F:$F,"ED")/SUMIFS(All_Attendances,site_level_range_board,$B118,date_range_board,J111,inputdata!$F:$F,"ED"),"0.0%")),IF(LEFT($B$7,6)="Number",SUMIFS(Comparison_Lookup,site_level_range_board,$B118,date_range_board,J111),TEXT(SUMIFS(Comparison_Lookup,site_level_range_board,$B118,date_range_board,J111)/SUMIFS(All_Attendances,site_level_range_board,$B118,date_range_board,J111),"0.0%"))),"")</f>
        <v>91.5%</v>
      </c>
      <c r="K118" s="165" t="str">
        <f ca="1">IFERROR(IF(ISNUMBER(FIND("ED only",$B$4)),IF(LEFT($B$7,6)="Number",SUMIFS(Comparison_Lookup,site_level_range_board,$B118,date_range_board,K111,inputdata!$F:$F,"ED"),TEXT(SUMIFS(Comparison_Lookup,site_level_range_board,$B118,date_range_board,K111,inputdata!$F:$F,"ED")/SUMIFS(All_Attendances,site_level_range_board,$B118,date_range_board,K111,inputdata!$F:$F,"ED"),"0.0%")),IF(LEFT($B$7,6)="Number",SUMIFS(Comparison_Lookup,site_level_range_board,$B118,date_range_board,K111),TEXT(SUMIFS(Comparison_Lookup,site_level_range_board,$B118,date_range_board,K111)/SUMIFS(All_Attendances,site_level_range_board,$B118,date_range_board,K111),"0.0%"))),"")</f>
        <v>88.8%</v>
      </c>
      <c r="L118" s="165" t="str">
        <f ca="1">IFERROR(IF(ISNUMBER(FIND("ED only",$B$4)),IF(LEFT($B$7,6)="Number",SUMIFS(Comparison_Lookup,site_level_range_board,$B118,date_range_board,L111,inputdata!$F:$F,"ED"),TEXT(SUMIFS(Comparison_Lookup,site_level_range_board,$B118,date_range_board,L111,inputdata!$F:$F,"ED")/SUMIFS(All_Attendances,site_level_range_board,$B118,date_range_board,L111,inputdata!$F:$F,"ED"),"0.0%")),IF(LEFT($B$7,6)="Number",SUMIFS(Comparison_Lookup,site_level_range_board,$B118,date_range_board,L111),TEXT(SUMIFS(Comparison_Lookup,site_level_range_board,$B118,date_range_board,L111)/SUMIFS(All_Attendances,site_level_range_board,$B118,date_range_board,L111),"0.0%"))),"")</f>
        <v>89.3%</v>
      </c>
      <c r="M118" s="165" t="str">
        <f ca="1">IFERROR(IF(ISNUMBER(FIND("ED only",$B$4)),IF(LEFT($B$7,6)="Number",SUMIFS(Comparison_Lookup,site_level_range_board,$B118,date_range_board,M111,inputdata!$F:$F,"ED"),TEXT(SUMIFS(Comparison_Lookup,site_level_range_board,$B118,date_range_board,M111,inputdata!$F:$F,"ED")/SUMIFS(All_Attendances,site_level_range_board,$B118,date_range_board,M111,inputdata!$F:$F,"ED"),"0.0%")),IF(LEFT($B$7,6)="Number",SUMIFS(Comparison_Lookup,site_level_range_board,$B118,date_range_board,M111),TEXT(SUMIFS(Comparison_Lookup,site_level_range_board,$B118,date_range_board,M111)/SUMIFS(All_Attendances,site_level_range_board,$B118,date_range_board,M111),"0.0%"))),"")</f>
        <v>90.3%</v>
      </c>
      <c r="N118" s="171" t="str">
        <f ca="1">IFERROR(IF(ISNUMBER(FIND("ED only",$B$4)),IF(LEFT($B$7,6)="Number",SUMIFS(Comparison_Lookup,site_level_range_board,$B118,date_range_board,N111,inputdata!$F:$F,"ED"),TEXT(SUMIFS(Comparison_Lookup,site_level_range_board,$B118,date_range_board,N111,inputdata!$F:$F,"ED")/SUMIFS(All_Attendances,site_level_range_board,$B118,date_range_board,N111,inputdata!$F:$F,"ED"),"0.0%")),IF(LEFT($B$7,6)="Number",SUMIFS(Comparison_Lookup,site_level_range_board,$B118,date_range_board,N111),TEXT(SUMIFS(Comparison_Lookup,site_level_range_board,$B118,date_range_board,N111)/SUMIFS(All_Attendances,site_level_range_board,$B118,date_range_board,N111),"0.0%"))),"")</f>
        <v>90.7%</v>
      </c>
    </row>
    <row r="119" spans="1:14" ht="15" customHeight="1" x14ac:dyDescent="0.2">
      <c r="A119" s="132"/>
      <c r="B119" s="152" t="s">
        <v>510</v>
      </c>
      <c r="C119" s="165" t="str">
        <f ca="1">IFERROR(IF(ISNUMBER(FIND("ED only",$B$4)),IF(LEFT($B$7,6)="Number",SUMIFS(Comparison_Lookup,site_level_range_board,$B119,date_range_board,C111,inputdata!$F:$F,"ED"),TEXT(SUMIFS(Comparison_Lookup,site_level_range_board,$B119,date_range_board,C111,inputdata!$F:$F,"ED")/SUMIFS(All_Attendances,site_level_range_board,$B119,date_range_board,C111,inputdata!$F:$F,"ED"),"0.0%")),IF(LEFT($B$7,6)="Number",SUMIFS(Comparison_Lookup,site_level_range_board,$B119,date_range_board,C111),TEXT(SUMIFS(Comparison_Lookup,site_level_range_board,$B119,date_range_board,C111)/SUMIFS(All_Attendances,site_level_range_board,$B119,date_range_board,C111),"0.0%"))),"")</f>
        <v>97.5%</v>
      </c>
      <c r="D119" s="165" t="str">
        <f ca="1">IFERROR(IF(ISNUMBER(FIND("ED only",$B$4)),IF(LEFT($B$7,6)="Number",SUMIFS(Comparison_Lookup,site_level_range_board,$B119,date_range_board,D111,inputdata!$F:$F,"ED"),TEXT(SUMIFS(Comparison_Lookup,site_level_range_board,$B119,date_range_board,D111,inputdata!$F:$F,"ED")/SUMIFS(All_Attendances,site_level_range_board,$B119,date_range_board,D111,inputdata!$F:$F,"ED"),"0.0%")),IF(LEFT($B$7,6)="Number",SUMIFS(Comparison_Lookup,site_level_range_board,$B119,date_range_board,D111),TEXT(SUMIFS(Comparison_Lookup,site_level_range_board,$B119,date_range_board,D111)/SUMIFS(All_Attendances,site_level_range_board,$B119,date_range_board,D111),"0.0%"))),"")</f>
        <v>97.4%</v>
      </c>
      <c r="E119" s="165" t="str">
        <f ca="1">IFERROR(IF(ISNUMBER(FIND("ED only",$B$4)),IF(LEFT($B$7,6)="Number",SUMIFS(Comparison_Lookup,site_level_range_board,$B119,date_range_board,E111,inputdata!$F:$F,"ED"),TEXT(SUMIFS(Comparison_Lookup,site_level_range_board,$B119,date_range_board,E111,inputdata!$F:$F,"ED")/SUMIFS(All_Attendances,site_level_range_board,$B119,date_range_board,E111,inputdata!$F:$F,"ED"),"0.0%")),IF(LEFT($B$7,6)="Number",SUMIFS(Comparison_Lookup,site_level_range_board,$B119,date_range_board,E111),TEXT(SUMIFS(Comparison_Lookup,site_level_range_board,$B119,date_range_board,E111)/SUMIFS(All_Attendances,site_level_range_board,$B119,date_range_board,E111),"0.0%"))),"")</f>
        <v>97.8%</v>
      </c>
      <c r="F119" s="165" t="str">
        <f ca="1">IFERROR(IF(ISNUMBER(FIND("ED only",$B$4)),IF(LEFT($B$7,6)="Number",SUMIFS(Comparison_Lookup,site_level_range_board,$B119,date_range_board,F111,inputdata!$F:$F,"ED"),TEXT(SUMIFS(Comparison_Lookup,site_level_range_board,$B119,date_range_board,F111,inputdata!$F:$F,"ED")/SUMIFS(All_Attendances,site_level_range_board,$B119,date_range_board,F111,inputdata!$F:$F,"ED"),"0.0%")),IF(LEFT($B$7,6)="Number",SUMIFS(Comparison_Lookup,site_level_range_board,$B119,date_range_board,F111),TEXT(SUMIFS(Comparison_Lookup,site_level_range_board,$B119,date_range_board,F111)/SUMIFS(All_Attendances,site_level_range_board,$B119,date_range_board,F111),"0.0%"))),"")</f>
        <v>97.6%</v>
      </c>
      <c r="G119" s="165" t="str">
        <f ca="1">IFERROR(IF(ISNUMBER(FIND("ED only",$B$4)),IF(LEFT($B$7,6)="Number",SUMIFS(Comparison_Lookup,site_level_range_board,$B119,date_range_board,G111,inputdata!$F:$F,"ED"),TEXT(SUMIFS(Comparison_Lookup,site_level_range_board,$B119,date_range_board,G111,inputdata!$F:$F,"ED")/SUMIFS(All_Attendances,site_level_range_board,$B119,date_range_board,G111,inputdata!$F:$F,"ED"),"0.0%")),IF(LEFT($B$7,6)="Number",SUMIFS(Comparison_Lookup,site_level_range_board,$B119,date_range_board,G111),TEXT(SUMIFS(Comparison_Lookup,site_level_range_board,$B119,date_range_board,G111)/SUMIFS(All_Attendances,site_level_range_board,$B119,date_range_board,G111),"0.0%"))),"")</f>
        <v>96.2%</v>
      </c>
      <c r="H119" s="165" t="str">
        <f ca="1">IFERROR(IF(ISNUMBER(FIND("ED only",$B$4)),IF(LEFT($B$7,6)="Number",SUMIFS(Comparison_Lookup,site_level_range_board,$B119,date_range_board,H111,inputdata!$F:$F,"ED"),TEXT(SUMIFS(Comparison_Lookup,site_level_range_board,$B119,date_range_board,H111,inputdata!$F:$F,"ED")/SUMIFS(All_Attendances,site_level_range_board,$B119,date_range_board,H111,inputdata!$F:$F,"ED"),"0.0%")),IF(LEFT($B$7,6)="Number",SUMIFS(Comparison_Lookup,site_level_range_board,$B119,date_range_board,H111),TEXT(SUMIFS(Comparison_Lookup,site_level_range_board,$B119,date_range_board,H111)/SUMIFS(All_Attendances,site_level_range_board,$B119,date_range_board,H111),"0.0%"))),"")</f>
        <v>97.4%</v>
      </c>
      <c r="I119" s="165" t="str">
        <f ca="1">IFERROR(IF(ISNUMBER(FIND("ED only",$B$4)),IF(LEFT($B$7,6)="Number",SUMIFS(Comparison_Lookup,site_level_range_board,$B119,date_range_board,I111,inputdata!$F:$F,"ED"),TEXT(SUMIFS(Comparison_Lookup,site_level_range_board,$B119,date_range_board,I111,inputdata!$F:$F,"ED")/SUMIFS(All_Attendances,site_level_range_board,$B119,date_range_board,I111,inputdata!$F:$F,"ED"),"0.0%")),IF(LEFT($B$7,6)="Number",SUMIFS(Comparison_Lookup,site_level_range_board,$B119,date_range_board,I111),TEXT(SUMIFS(Comparison_Lookup,site_level_range_board,$B119,date_range_board,I111)/SUMIFS(All_Attendances,site_level_range_board,$B119,date_range_board,I111),"0.0%"))),"")</f>
        <v>97.4%</v>
      </c>
      <c r="J119" s="165" t="str">
        <f ca="1">IFERROR(IF(ISNUMBER(FIND("ED only",$B$4)),IF(LEFT($B$7,6)="Number",SUMIFS(Comparison_Lookup,site_level_range_board,$B119,date_range_board,J111,inputdata!$F:$F,"ED"),TEXT(SUMIFS(Comparison_Lookup,site_level_range_board,$B119,date_range_board,J111,inputdata!$F:$F,"ED")/SUMIFS(All_Attendances,site_level_range_board,$B119,date_range_board,J111,inputdata!$F:$F,"ED"),"0.0%")),IF(LEFT($B$7,6)="Number",SUMIFS(Comparison_Lookup,site_level_range_board,$B119,date_range_board,J111),TEXT(SUMIFS(Comparison_Lookup,site_level_range_board,$B119,date_range_board,J111)/SUMIFS(All_Attendances,site_level_range_board,$B119,date_range_board,J111),"0.0%"))),"")</f>
        <v>97.1%</v>
      </c>
      <c r="K119" s="165" t="str">
        <f ca="1">IFERROR(IF(ISNUMBER(FIND("ED only",$B$4)),IF(LEFT($B$7,6)="Number",SUMIFS(Comparison_Lookup,site_level_range_board,$B119,date_range_board,K111,inputdata!$F:$F,"ED"),TEXT(SUMIFS(Comparison_Lookup,site_level_range_board,$B119,date_range_board,K111,inputdata!$F:$F,"ED")/SUMIFS(All_Attendances,site_level_range_board,$B119,date_range_board,K111,inputdata!$F:$F,"ED"),"0.0%")),IF(LEFT($B$7,6)="Number",SUMIFS(Comparison_Lookup,site_level_range_board,$B119,date_range_board,K111),TEXT(SUMIFS(Comparison_Lookup,site_level_range_board,$B119,date_range_board,K111)/SUMIFS(All_Attendances,site_level_range_board,$B119,date_range_board,K111),"0.0%"))),"")</f>
        <v>96.0%</v>
      </c>
      <c r="L119" s="165" t="str">
        <f ca="1">IFERROR(IF(ISNUMBER(FIND("ED only",$B$4)),IF(LEFT($B$7,6)="Number",SUMIFS(Comparison_Lookup,site_level_range_board,$B119,date_range_board,L111,inputdata!$F:$F,"ED"),TEXT(SUMIFS(Comparison_Lookup,site_level_range_board,$B119,date_range_board,L111,inputdata!$F:$F,"ED")/SUMIFS(All_Attendances,site_level_range_board,$B119,date_range_board,L111,inputdata!$F:$F,"ED"),"0.0%")),IF(LEFT($B$7,6)="Number",SUMIFS(Comparison_Lookup,site_level_range_board,$B119,date_range_board,L111),TEXT(SUMIFS(Comparison_Lookup,site_level_range_board,$B119,date_range_board,L111)/SUMIFS(All_Attendances,site_level_range_board,$B119,date_range_board,L111),"0.0%"))),"")</f>
        <v>95.7%</v>
      </c>
      <c r="M119" s="165" t="str">
        <f ca="1">IFERROR(IF(ISNUMBER(FIND("ED only",$B$4)),IF(LEFT($B$7,6)="Number",SUMIFS(Comparison_Lookup,site_level_range_board,$B119,date_range_board,M111,inputdata!$F:$F,"ED"),TEXT(SUMIFS(Comparison_Lookup,site_level_range_board,$B119,date_range_board,M111,inputdata!$F:$F,"ED")/SUMIFS(All_Attendances,site_level_range_board,$B119,date_range_board,M111,inputdata!$F:$F,"ED"),"0.0%")),IF(LEFT($B$7,6)="Number",SUMIFS(Comparison_Lookup,site_level_range_board,$B119,date_range_board,M111),TEXT(SUMIFS(Comparison_Lookup,site_level_range_board,$B119,date_range_board,M111)/SUMIFS(All_Attendances,site_level_range_board,$B119,date_range_board,M111),"0.0%"))),"")</f>
        <v>94.6%</v>
      </c>
      <c r="N119" s="171" t="str">
        <f ca="1">IFERROR(IF(ISNUMBER(FIND("ED only",$B$4)),IF(LEFT($B$7,6)="Number",SUMIFS(Comparison_Lookup,site_level_range_board,$B119,date_range_board,N111,inputdata!$F:$F,"ED"),TEXT(SUMIFS(Comparison_Lookup,site_level_range_board,$B119,date_range_board,N111,inputdata!$F:$F,"ED")/SUMIFS(All_Attendances,site_level_range_board,$B119,date_range_board,N111,inputdata!$F:$F,"ED"),"0.0%")),IF(LEFT($B$7,6)="Number",SUMIFS(Comparison_Lookup,site_level_range_board,$B119,date_range_board,N111),TEXT(SUMIFS(Comparison_Lookup,site_level_range_board,$B119,date_range_board,N111)/SUMIFS(All_Attendances,site_level_range_board,$B119,date_range_board,N111),"0.0%"))),"")</f>
        <v>96.8%</v>
      </c>
    </row>
    <row r="120" spans="1:14" ht="15" customHeight="1" x14ac:dyDescent="0.2">
      <c r="A120" s="132"/>
      <c r="B120" s="152" t="s">
        <v>551</v>
      </c>
      <c r="C120" s="165" t="str">
        <f ca="1">IFERROR(IF(ISNUMBER(FIND("ED only",$B$4)),IF(LEFT($B$7,6)="Number",SUMIFS(Comparison_Lookup,site_level_range_board,$B120,date_range_board,C111,inputdata!$F:$F,"ED"),TEXT(SUMIFS(Comparison_Lookup,site_level_range_board,$B120,date_range_board,C111,inputdata!$F:$F,"ED")/SUMIFS(All_Attendances,site_level_range_board,$B120,date_range_board,C111,inputdata!$F:$F,"ED"),"0.0%")),IF(LEFT($B$7,6)="Number",SUMIFS(Comparison_Lookup,site_level_range_board,$B120,date_range_board,C111),TEXT(SUMIFS(Comparison_Lookup,site_level_range_board,$B120,date_range_board,C111)/SUMIFS(All_Attendances,site_level_range_board,$B120,date_range_board,C111),"0.0%"))),"")</f>
        <v>95.3%</v>
      </c>
      <c r="D120" s="165" t="str">
        <f ca="1">IFERROR(IF(ISNUMBER(FIND("ED only",$B$4)),IF(LEFT($B$7,6)="Number",SUMIFS(Comparison_Lookup,site_level_range_board,$B120,date_range_board,D111,inputdata!$F:$F,"ED"),TEXT(SUMIFS(Comparison_Lookup,site_level_range_board,$B120,date_range_board,D111,inputdata!$F:$F,"ED")/SUMIFS(All_Attendances,site_level_range_board,$B120,date_range_board,D111,inputdata!$F:$F,"ED"),"0.0%")),IF(LEFT($B$7,6)="Number",SUMIFS(Comparison_Lookup,site_level_range_board,$B120,date_range_board,D111),TEXT(SUMIFS(Comparison_Lookup,site_level_range_board,$B120,date_range_board,D111)/SUMIFS(All_Attendances,site_level_range_board,$B120,date_range_board,D111),"0.0%"))),"")</f>
        <v>94.1%</v>
      </c>
      <c r="E120" s="165" t="str">
        <f ca="1">IFERROR(IF(ISNUMBER(FIND("ED only",$B$4)),IF(LEFT($B$7,6)="Number",SUMIFS(Comparison_Lookup,site_level_range_board,$B120,date_range_board,E111,inputdata!$F:$F,"ED"),TEXT(SUMIFS(Comparison_Lookup,site_level_range_board,$B120,date_range_board,E111,inputdata!$F:$F,"ED")/SUMIFS(All_Attendances,site_level_range_board,$B120,date_range_board,E111,inputdata!$F:$F,"ED"),"0.0%")),IF(LEFT($B$7,6)="Number",SUMIFS(Comparison_Lookup,site_level_range_board,$B120,date_range_board,E111),TEXT(SUMIFS(Comparison_Lookup,site_level_range_board,$B120,date_range_board,E111)/SUMIFS(All_Attendances,site_level_range_board,$B120,date_range_board,E111),"0.0%"))),"")</f>
        <v>94.2%</v>
      </c>
      <c r="F120" s="165" t="str">
        <f ca="1">IFERROR(IF(ISNUMBER(FIND("ED only",$B$4)),IF(LEFT($B$7,6)="Number",SUMIFS(Comparison_Lookup,site_level_range_board,$B120,date_range_board,F111,inputdata!$F:$F,"ED"),TEXT(SUMIFS(Comparison_Lookup,site_level_range_board,$B120,date_range_board,F111,inputdata!$F:$F,"ED")/SUMIFS(All_Attendances,site_level_range_board,$B120,date_range_board,F111,inputdata!$F:$F,"ED"),"0.0%")),IF(LEFT($B$7,6)="Number",SUMIFS(Comparison_Lookup,site_level_range_board,$B120,date_range_board,F111),TEXT(SUMIFS(Comparison_Lookup,site_level_range_board,$B120,date_range_board,F111)/SUMIFS(All_Attendances,site_level_range_board,$B120,date_range_board,F111),"0.0%"))),"")</f>
        <v>94.2%</v>
      </c>
      <c r="G120" s="165" t="str">
        <f ca="1">IFERROR(IF(ISNUMBER(FIND("ED only",$B$4)),IF(LEFT($B$7,6)="Number",SUMIFS(Comparison_Lookup,site_level_range_board,$B120,date_range_board,G111,inputdata!$F:$F,"ED"),TEXT(SUMIFS(Comparison_Lookup,site_level_range_board,$B120,date_range_board,G111,inputdata!$F:$F,"ED")/SUMIFS(All_Attendances,site_level_range_board,$B120,date_range_board,G111,inputdata!$F:$F,"ED"),"0.0%")),IF(LEFT($B$7,6)="Number",SUMIFS(Comparison_Lookup,site_level_range_board,$B120,date_range_board,G111),TEXT(SUMIFS(Comparison_Lookup,site_level_range_board,$B120,date_range_board,G111)/SUMIFS(All_Attendances,site_level_range_board,$B120,date_range_board,G111),"0.0%"))),"")</f>
        <v>94.0%</v>
      </c>
      <c r="H120" s="165" t="str">
        <f ca="1">IFERROR(IF(ISNUMBER(FIND("ED only",$B$4)),IF(LEFT($B$7,6)="Number",SUMIFS(Comparison_Lookup,site_level_range_board,$B120,date_range_board,H111,inputdata!$F:$F,"ED"),TEXT(SUMIFS(Comparison_Lookup,site_level_range_board,$B120,date_range_board,H111,inputdata!$F:$F,"ED")/SUMIFS(All_Attendances,site_level_range_board,$B120,date_range_board,H111,inputdata!$F:$F,"ED"),"0.0%")),IF(LEFT($B$7,6)="Number",SUMIFS(Comparison_Lookup,site_level_range_board,$B120,date_range_board,H111),TEXT(SUMIFS(Comparison_Lookup,site_level_range_board,$B120,date_range_board,H111)/SUMIFS(All_Attendances,site_level_range_board,$B120,date_range_board,H111),"0.0%"))),"")</f>
        <v>93.3%</v>
      </c>
      <c r="I120" s="165" t="str">
        <f ca="1">IFERROR(IF(ISNUMBER(FIND("ED only",$B$4)),IF(LEFT($B$7,6)="Number",SUMIFS(Comparison_Lookup,site_level_range_board,$B120,date_range_board,I111,inputdata!$F:$F,"ED"),TEXT(SUMIFS(Comparison_Lookup,site_level_range_board,$B120,date_range_board,I111,inputdata!$F:$F,"ED")/SUMIFS(All_Attendances,site_level_range_board,$B120,date_range_board,I111,inputdata!$F:$F,"ED"),"0.0%")),IF(LEFT($B$7,6)="Number",SUMIFS(Comparison_Lookup,site_level_range_board,$B120,date_range_board,I111),TEXT(SUMIFS(Comparison_Lookup,site_level_range_board,$B120,date_range_board,I111)/SUMIFS(All_Attendances,site_level_range_board,$B120,date_range_board,I111),"0.0%"))),"")</f>
        <v>91.8%</v>
      </c>
      <c r="J120" s="165" t="str">
        <f ca="1">IFERROR(IF(ISNUMBER(FIND("ED only",$B$4)),IF(LEFT($B$7,6)="Number",SUMIFS(Comparison_Lookup,site_level_range_board,$B120,date_range_board,J111,inputdata!$F:$F,"ED"),TEXT(SUMIFS(Comparison_Lookup,site_level_range_board,$B120,date_range_board,J111,inputdata!$F:$F,"ED")/SUMIFS(All_Attendances,site_level_range_board,$B120,date_range_board,J111,inputdata!$F:$F,"ED"),"0.0%")),IF(LEFT($B$7,6)="Number",SUMIFS(Comparison_Lookup,site_level_range_board,$B120,date_range_board,J111),TEXT(SUMIFS(Comparison_Lookup,site_level_range_board,$B120,date_range_board,J111)/SUMIFS(All_Attendances,site_level_range_board,$B120,date_range_board,J111),"0.0%"))),"")</f>
        <v>91.8%</v>
      </c>
      <c r="K120" s="165" t="str">
        <f ca="1">IFERROR(IF(ISNUMBER(FIND("ED only",$B$4)),IF(LEFT($B$7,6)="Number",SUMIFS(Comparison_Lookup,site_level_range_board,$B120,date_range_board,K111,inputdata!$F:$F,"ED"),TEXT(SUMIFS(Comparison_Lookup,site_level_range_board,$B120,date_range_board,K111,inputdata!$F:$F,"ED")/SUMIFS(All_Attendances,site_level_range_board,$B120,date_range_board,K111,inputdata!$F:$F,"ED"),"0.0%")),IF(LEFT($B$7,6)="Number",SUMIFS(Comparison_Lookup,site_level_range_board,$B120,date_range_board,K111),TEXT(SUMIFS(Comparison_Lookup,site_level_range_board,$B120,date_range_board,K111)/SUMIFS(All_Attendances,site_level_range_board,$B120,date_range_board,K111),"0.0%"))),"")</f>
        <v>92.2%</v>
      </c>
      <c r="L120" s="165" t="str">
        <f ca="1">IFERROR(IF(ISNUMBER(FIND("ED only",$B$4)),IF(LEFT($B$7,6)="Number",SUMIFS(Comparison_Lookup,site_level_range_board,$B120,date_range_board,L111,inputdata!$F:$F,"ED"),TEXT(SUMIFS(Comparison_Lookup,site_level_range_board,$B120,date_range_board,L111,inputdata!$F:$F,"ED")/SUMIFS(All_Attendances,site_level_range_board,$B120,date_range_board,L111,inputdata!$F:$F,"ED"),"0.0%")),IF(LEFT($B$7,6)="Number",SUMIFS(Comparison_Lookup,site_level_range_board,$B120,date_range_board,L111),TEXT(SUMIFS(Comparison_Lookup,site_level_range_board,$B120,date_range_board,L111)/SUMIFS(All_Attendances,site_level_range_board,$B120,date_range_board,L111),"0.0%"))),"")</f>
        <v>89.2%</v>
      </c>
      <c r="M120" s="165" t="str">
        <f ca="1">IFERROR(IF(ISNUMBER(FIND("ED only",$B$4)),IF(LEFT($B$7,6)="Number",SUMIFS(Comparison_Lookup,site_level_range_board,$B120,date_range_board,M111,inputdata!$F:$F,"ED"),TEXT(SUMIFS(Comparison_Lookup,site_level_range_board,$B120,date_range_board,M111,inputdata!$F:$F,"ED")/SUMIFS(All_Attendances,site_level_range_board,$B120,date_range_board,M111,inputdata!$F:$F,"ED"),"0.0%")),IF(LEFT($B$7,6)="Number",SUMIFS(Comparison_Lookup,site_level_range_board,$B120,date_range_board,M111),TEXT(SUMIFS(Comparison_Lookup,site_level_range_board,$B120,date_range_board,M111)/SUMIFS(All_Attendances,site_level_range_board,$B120,date_range_board,M111),"0.0%"))),"")</f>
        <v>89.3%</v>
      </c>
      <c r="N120" s="171" t="str">
        <f ca="1">IFERROR(IF(ISNUMBER(FIND("ED only",$B$4)),IF(LEFT($B$7,6)="Number",SUMIFS(Comparison_Lookup,site_level_range_board,$B120,date_range_board,N111,inputdata!$F:$F,"ED"),TEXT(SUMIFS(Comparison_Lookup,site_level_range_board,$B120,date_range_board,N111,inputdata!$F:$F,"ED")/SUMIFS(All_Attendances,site_level_range_board,$B120,date_range_board,N111,inputdata!$F:$F,"ED"),"0.0%")),IF(LEFT($B$7,6)="Number",SUMIFS(Comparison_Lookup,site_level_range_board,$B120,date_range_board,N111),TEXT(SUMIFS(Comparison_Lookup,site_level_range_board,$B120,date_range_board,N111)/SUMIFS(All_Attendances,site_level_range_board,$B120,date_range_board,N111),"0.0%"))),"")</f>
        <v>90.0%</v>
      </c>
    </row>
    <row r="121" spans="1:14" ht="15" customHeight="1" x14ac:dyDescent="0.2">
      <c r="A121" s="132"/>
      <c r="B121" s="152" t="s">
        <v>562</v>
      </c>
      <c r="C121" s="165" t="str">
        <f ca="1">IFERROR(IF(ISNUMBER(FIND("ED only",$B$4)),IF(LEFT($B$7,6)="Number",SUMIFS(Comparison_Lookup,site_level_range_board,$B121,date_range_board,C111,inputdata!$F:$F,"ED"),TEXT(SUMIFS(Comparison_Lookup,site_level_range_board,$B121,date_range_board,C111,inputdata!$F:$F,"ED")/SUMIFS(All_Attendances,site_level_range_board,$B121,date_range_board,C111,inputdata!$F:$F,"ED"),"0.0%")),IF(LEFT($B$7,6)="Number",SUMIFS(Comparison_Lookup,site_level_range_board,$B121,date_range_board,C111),TEXT(SUMIFS(Comparison_Lookup,site_level_range_board,$B121,date_range_board,C111)/SUMIFS(All_Attendances,site_level_range_board,$B121,date_range_board,C111),"0.0%"))),"")</f>
        <v>93.5%</v>
      </c>
      <c r="D121" s="165" t="str">
        <f ca="1">IFERROR(IF(ISNUMBER(FIND("ED only",$B$4)),IF(LEFT($B$7,6)="Number",SUMIFS(Comparison_Lookup,site_level_range_board,$B121,date_range_board,D111,inputdata!$F:$F,"ED"),TEXT(SUMIFS(Comparison_Lookup,site_level_range_board,$B121,date_range_board,D111,inputdata!$F:$F,"ED")/SUMIFS(All_Attendances,site_level_range_board,$B121,date_range_board,D111,inputdata!$F:$F,"ED"),"0.0%")),IF(LEFT($B$7,6)="Number",SUMIFS(Comparison_Lookup,site_level_range_board,$B121,date_range_board,D111),TEXT(SUMIFS(Comparison_Lookup,site_level_range_board,$B121,date_range_board,D111)/SUMIFS(All_Attendances,site_level_range_board,$B121,date_range_board,D111),"0.0%"))),"")</f>
        <v>93.4%</v>
      </c>
      <c r="E121" s="165" t="str">
        <f ca="1">IFERROR(IF(ISNUMBER(FIND("ED only",$B$4)),IF(LEFT($B$7,6)="Number",SUMIFS(Comparison_Lookup,site_level_range_board,$B121,date_range_board,E111,inputdata!$F:$F,"ED"),TEXT(SUMIFS(Comparison_Lookup,site_level_range_board,$B121,date_range_board,E111,inputdata!$F:$F,"ED")/SUMIFS(All_Attendances,site_level_range_board,$B121,date_range_board,E111,inputdata!$F:$F,"ED"),"0.0%")),IF(LEFT($B$7,6)="Number",SUMIFS(Comparison_Lookup,site_level_range_board,$B121,date_range_board,E111),TEXT(SUMIFS(Comparison_Lookup,site_level_range_board,$B121,date_range_board,E111)/SUMIFS(All_Attendances,site_level_range_board,$B121,date_range_board,E111),"0.0%"))),"")</f>
        <v>95.5%</v>
      </c>
      <c r="F121" s="165" t="str">
        <f ca="1">IFERROR(IF(ISNUMBER(FIND("ED only",$B$4)),IF(LEFT($B$7,6)="Number",SUMIFS(Comparison_Lookup,site_level_range_board,$B121,date_range_board,F111,inputdata!$F:$F,"ED"),TEXT(SUMIFS(Comparison_Lookup,site_level_range_board,$B121,date_range_board,F111,inputdata!$F:$F,"ED")/SUMIFS(All_Attendances,site_level_range_board,$B121,date_range_board,F111,inputdata!$F:$F,"ED"),"0.0%")),IF(LEFT($B$7,6)="Number",SUMIFS(Comparison_Lookup,site_level_range_board,$B121,date_range_board,F111),TEXT(SUMIFS(Comparison_Lookup,site_level_range_board,$B121,date_range_board,F111)/SUMIFS(All_Attendances,site_level_range_board,$B121,date_range_board,F111),"0.0%"))),"")</f>
        <v>97.1%</v>
      </c>
      <c r="G121" s="165" t="str">
        <f ca="1">IFERROR(IF(ISNUMBER(FIND("ED only",$B$4)),IF(LEFT($B$7,6)="Number",SUMIFS(Comparison_Lookup,site_level_range_board,$B121,date_range_board,G111,inputdata!$F:$F,"ED"),TEXT(SUMIFS(Comparison_Lookup,site_level_range_board,$B121,date_range_board,G111,inputdata!$F:$F,"ED")/SUMIFS(All_Attendances,site_level_range_board,$B121,date_range_board,G111,inputdata!$F:$F,"ED"),"0.0%")),IF(LEFT($B$7,6)="Number",SUMIFS(Comparison_Lookup,site_level_range_board,$B121,date_range_board,G111),TEXT(SUMIFS(Comparison_Lookup,site_level_range_board,$B121,date_range_board,G111)/SUMIFS(All_Attendances,site_level_range_board,$B121,date_range_board,G111),"0.0%"))),"")</f>
        <v>94.5%</v>
      </c>
      <c r="H121" s="165" t="str">
        <f ca="1">IFERROR(IF(ISNUMBER(FIND("ED only",$B$4)),IF(LEFT($B$7,6)="Number",SUMIFS(Comparison_Lookup,site_level_range_board,$B121,date_range_board,H111,inputdata!$F:$F,"ED"),TEXT(SUMIFS(Comparison_Lookup,site_level_range_board,$B121,date_range_board,H111,inputdata!$F:$F,"ED")/SUMIFS(All_Attendances,site_level_range_board,$B121,date_range_board,H111,inputdata!$F:$F,"ED"),"0.0%")),IF(LEFT($B$7,6)="Number",SUMIFS(Comparison_Lookup,site_level_range_board,$B121,date_range_board,H111),TEXT(SUMIFS(Comparison_Lookup,site_level_range_board,$B121,date_range_board,H111)/SUMIFS(All_Attendances,site_level_range_board,$B121,date_range_board,H111),"0.0%"))),"")</f>
        <v>93.3%</v>
      </c>
      <c r="I121" s="165" t="str">
        <f ca="1">IFERROR(IF(ISNUMBER(FIND("ED only",$B$4)),IF(LEFT($B$7,6)="Number",SUMIFS(Comparison_Lookup,site_level_range_board,$B121,date_range_board,I111,inputdata!$F:$F,"ED"),TEXT(SUMIFS(Comparison_Lookup,site_level_range_board,$B121,date_range_board,I111,inputdata!$F:$F,"ED")/SUMIFS(All_Attendances,site_level_range_board,$B121,date_range_board,I111,inputdata!$F:$F,"ED"),"0.0%")),IF(LEFT($B$7,6)="Number",SUMIFS(Comparison_Lookup,site_level_range_board,$B121,date_range_board,I111),TEXT(SUMIFS(Comparison_Lookup,site_level_range_board,$B121,date_range_board,I111)/SUMIFS(All_Attendances,site_level_range_board,$B121,date_range_board,I111),"0.0%"))),"")</f>
        <v>93.2%</v>
      </c>
      <c r="J121" s="165" t="str">
        <f ca="1">IFERROR(IF(ISNUMBER(FIND("ED only",$B$4)),IF(LEFT($B$7,6)="Number",SUMIFS(Comparison_Lookup,site_level_range_board,$B121,date_range_board,J111,inputdata!$F:$F,"ED"),TEXT(SUMIFS(Comparison_Lookup,site_level_range_board,$B121,date_range_board,J111,inputdata!$F:$F,"ED")/SUMIFS(All_Attendances,site_level_range_board,$B121,date_range_board,J111,inputdata!$F:$F,"ED"),"0.0%")),IF(LEFT($B$7,6)="Number",SUMIFS(Comparison_Lookup,site_level_range_board,$B121,date_range_board,J111),TEXT(SUMIFS(Comparison_Lookup,site_level_range_board,$B121,date_range_board,J111)/SUMIFS(All_Attendances,site_level_range_board,$B121,date_range_board,J111),"0.0%"))),"")</f>
        <v>94.5%</v>
      </c>
      <c r="K121" s="165" t="str">
        <f ca="1">IFERROR(IF(ISNUMBER(FIND("ED only",$B$4)),IF(LEFT($B$7,6)="Number",SUMIFS(Comparison_Lookup,site_level_range_board,$B121,date_range_board,K111,inputdata!$F:$F,"ED"),TEXT(SUMIFS(Comparison_Lookup,site_level_range_board,$B121,date_range_board,K111,inputdata!$F:$F,"ED")/SUMIFS(All_Attendances,site_level_range_board,$B121,date_range_board,K111,inputdata!$F:$F,"ED"),"0.0%")),IF(LEFT($B$7,6)="Number",SUMIFS(Comparison_Lookup,site_level_range_board,$B121,date_range_board,K111),TEXT(SUMIFS(Comparison_Lookup,site_level_range_board,$B121,date_range_board,K111)/SUMIFS(All_Attendances,site_level_range_board,$B121,date_range_board,K111),"0.0%"))),"")</f>
        <v>92.5%</v>
      </c>
      <c r="L121" s="165" t="str">
        <f ca="1">IFERROR(IF(ISNUMBER(FIND("ED only",$B$4)),IF(LEFT($B$7,6)="Number",SUMIFS(Comparison_Lookup,site_level_range_board,$B121,date_range_board,L111,inputdata!$F:$F,"ED"),TEXT(SUMIFS(Comparison_Lookup,site_level_range_board,$B121,date_range_board,L111,inputdata!$F:$F,"ED")/SUMIFS(All_Attendances,site_level_range_board,$B121,date_range_board,L111,inputdata!$F:$F,"ED"),"0.0%")),IF(LEFT($B$7,6)="Number",SUMIFS(Comparison_Lookup,site_level_range_board,$B121,date_range_board,L111),TEXT(SUMIFS(Comparison_Lookup,site_level_range_board,$B121,date_range_board,L111)/SUMIFS(All_Attendances,site_level_range_board,$B121,date_range_board,L111),"0.0%"))),"")</f>
        <v>92.8%</v>
      </c>
      <c r="M121" s="165" t="str">
        <f ca="1">IFERROR(IF(ISNUMBER(FIND("ED only",$B$4)),IF(LEFT($B$7,6)="Number",SUMIFS(Comparison_Lookup,site_level_range_board,$B121,date_range_board,M111,inputdata!$F:$F,"ED"),TEXT(SUMIFS(Comparison_Lookup,site_level_range_board,$B121,date_range_board,M111,inputdata!$F:$F,"ED")/SUMIFS(All_Attendances,site_level_range_board,$B121,date_range_board,M111,inputdata!$F:$F,"ED"),"0.0%")),IF(LEFT($B$7,6)="Number",SUMIFS(Comparison_Lookup,site_level_range_board,$B121,date_range_board,M111),TEXT(SUMIFS(Comparison_Lookup,site_level_range_board,$B121,date_range_board,M111)/SUMIFS(All_Attendances,site_level_range_board,$B121,date_range_board,M111),"0.0%"))),"")</f>
        <v>93.2%</v>
      </c>
      <c r="N121" s="171" t="str">
        <f ca="1">IFERROR(IF(ISNUMBER(FIND("ED only",$B$4)),IF(LEFT($B$7,6)="Number",SUMIFS(Comparison_Lookup,site_level_range_board,$B121,date_range_board,N111,inputdata!$F:$F,"ED"),TEXT(SUMIFS(Comparison_Lookup,site_level_range_board,$B121,date_range_board,N111,inputdata!$F:$F,"ED")/SUMIFS(All_Attendances,site_level_range_board,$B121,date_range_board,N111,inputdata!$F:$F,"ED"),"0.0%")),IF(LEFT($B$7,6)="Number",SUMIFS(Comparison_Lookup,site_level_range_board,$B121,date_range_board,N111),TEXT(SUMIFS(Comparison_Lookup,site_level_range_board,$B121,date_range_board,N111)/SUMIFS(All_Attendances,site_level_range_board,$B121,date_range_board,N111),"0.0%"))),"")</f>
        <v>95.7%</v>
      </c>
    </row>
    <row r="122" spans="1:14" ht="15" customHeight="1" x14ac:dyDescent="0.2">
      <c r="A122" s="132"/>
      <c r="B122" s="152" t="s">
        <v>571</v>
      </c>
      <c r="C122" s="165" t="str">
        <f ca="1">IFERROR(IF(ISNUMBER(FIND("ED only",$B$4)),IF(LEFT($B$7,6)="Number",SUMIFS(Comparison_Lookup,site_level_range_board,$B122,date_range_board,C111,inputdata!$F:$F,"ED"),TEXT(SUMIFS(Comparison_Lookup,site_level_range_board,$B122,date_range_board,C111,inputdata!$F:$F,"ED")/SUMIFS(All_Attendances,site_level_range_board,$B122,date_range_board,C111,inputdata!$F:$F,"ED"),"0.0%")),IF(LEFT($B$7,6)="Number",SUMIFS(Comparison_Lookup,site_level_range_board,$B122,date_range_board,C111),TEXT(SUMIFS(Comparison_Lookup,site_level_range_board,$B122,date_range_board,C111)/SUMIFS(All_Attendances,site_level_range_board,$B122,date_range_board,C111),"0.0%"))),"")</f>
        <v>99.4%</v>
      </c>
      <c r="D122" s="165" t="str">
        <f ca="1">IFERROR(IF(ISNUMBER(FIND("ED only",$B$4)),IF(LEFT($B$7,6)="Number",SUMIFS(Comparison_Lookup,site_level_range_board,$B122,date_range_board,D111,inputdata!$F:$F,"ED"),TEXT(SUMIFS(Comparison_Lookup,site_level_range_board,$B122,date_range_board,D111,inputdata!$F:$F,"ED")/SUMIFS(All_Attendances,site_level_range_board,$B122,date_range_board,D111,inputdata!$F:$F,"ED"),"0.0%")),IF(LEFT($B$7,6)="Number",SUMIFS(Comparison_Lookup,site_level_range_board,$B122,date_range_board,D111),TEXT(SUMIFS(Comparison_Lookup,site_level_range_board,$B122,date_range_board,D111)/SUMIFS(All_Attendances,site_level_range_board,$B122,date_range_board,D111),"0.0%"))),"")</f>
        <v>97.5%</v>
      </c>
      <c r="E122" s="165" t="str">
        <f ca="1">IFERROR(IF(ISNUMBER(FIND("ED only",$B$4)),IF(LEFT($B$7,6)="Number",SUMIFS(Comparison_Lookup,site_level_range_board,$B122,date_range_board,E111,inputdata!$F:$F,"ED"),TEXT(SUMIFS(Comparison_Lookup,site_level_range_board,$B122,date_range_board,E111,inputdata!$F:$F,"ED")/SUMIFS(All_Attendances,site_level_range_board,$B122,date_range_board,E111,inputdata!$F:$F,"ED"),"0.0%")),IF(LEFT($B$7,6)="Number",SUMIFS(Comparison_Lookup,site_level_range_board,$B122,date_range_board,E111),TEXT(SUMIFS(Comparison_Lookup,site_level_range_board,$B122,date_range_board,E111)/SUMIFS(All_Attendances,site_level_range_board,$B122,date_range_board,E111),"0.0%"))),"")</f>
        <v>97.7%</v>
      </c>
      <c r="F122" s="165" t="str">
        <f ca="1">IFERROR(IF(ISNUMBER(FIND("ED only",$B$4)),IF(LEFT($B$7,6)="Number",SUMIFS(Comparison_Lookup,site_level_range_board,$B122,date_range_board,F111,inputdata!$F:$F,"ED"),TEXT(SUMIFS(Comparison_Lookup,site_level_range_board,$B122,date_range_board,F111,inputdata!$F:$F,"ED")/SUMIFS(All_Attendances,site_level_range_board,$B122,date_range_board,F111,inputdata!$F:$F,"ED"),"0.0%")),IF(LEFT($B$7,6)="Number",SUMIFS(Comparison_Lookup,site_level_range_board,$B122,date_range_board,F111),TEXT(SUMIFS(Comparison_Lookup,site_level_range_board,$B122,date_range_board,F111)/SUMIFS(All_Attendances,site_level_range_board,$B122,date_range_board,F111),"0.0%"))),"")</f>
        <v>98.0%</v>
      </c>
      <c r="G122" s="165" t="str">
        <f ca="1">IFERROR(IF(ISNUMBER(FIND("ED only",$B$4)),IF(LEFT($B$7,6)="Number",SUMIFS(Comparison_Lookup,site_level_range_board,$B122,date_range_board,G111,inputdata!$F:$F,"ED"),TEXT(SUMIFS(Comparison_Lookup,site_level_range_board,$B122,date_range_board,G111,inputdata!$F:$F,"ED")/SUMIFS(All_Attendances,site_level_range_board,$B122,date_range_board,G111,inputdata!$F:$F,"ED"),"0.0%")),IF(LEFT($B$7,6)="Number",SUMIFS(Comparison_Lookup,site_level_range_board,$B122,date_range_board,G111),TEXT(SUMIFS(Comparison_Lookup,site_level_range_board,$B122,date_range_board,G111)/SUMIFS(All_Attendances,site_level_range_board,$B122,date_range_board,G111),"0.0%"))),"")</f>
        <v>97.7%</v>
      </c>
      <c r="H122" s="165" t="str">
        <f ca="1">IFERROR(IF(ISNUMBER(FIND("ED only",$B$4)),IF(LEFT($B$7,6)="Number",SUMIFS(Comparison_Lookup,site_level_range_board,$B122,date_range_board,H111,inputdata!$F:$F,"ED"),TEXT(SUMIFS(Comparison_Lookup,site_level_range_board,$B122,date_range_board,H111,inputdata!$F:$F,"ED")/SUMIFS(All_Attendances,site_level_range_board,$B122,date_range_board,H111,inputdata!$F:$F,"ED"),"0.0%")),IF(LEFT($B$7,6)="Number",SUMIFS(Comparison_Lookup,site_level_range_board,$B122,date_range_board,H111),TEXT(SUMIFS(Comparison_Lookup,site_level_range_board,$B122,date_range_board,H111)/SUMIFS(All_Attendances,site_level_range_board,$B122,date_range_board,H111),"0.0%"))),"")</f>
        <v>98.8%</v>
      </c>
      <c r="I122" s="165" t="str">
        <f ca="1">IFERROR(IF(ISNUMBER(FIND("ED only",$B$4)),IF(LEFT($B$7,6)="Number",SUMIFS(Comparison_Lookup,site_level_range_board,$B122,date_range_board,I111,inputdata!$F:$F,"ED"),TEXT(SUMIFS(Comparison_Lookup,site_level_range_board,$B122,date_range_board,I111,inputdata!$F:$F,"ED")/SUMIFS(All_Attendances,site_level_range_board,$B122,date_range_board,I111,inputdata!$F:$F,"ED"),"0.0%")),IF(LEFT($B$7,6)="Number",SUMIFS(Comparison_Lookup,site_level_range_board,$B122,date_range_board,I111),TEXT(SUMIFS(Comparison_Lookup,site_level_range_board,$B122,date_range_board,I111)/SUMIFS(All_Attendances,site_level_range_board,$B122,date_range_board,I111),"0.0%"))),"")</f>
        <v>98.1%</v>
      </c>
      <c r="J122" s="165" t="str">
        <f ca="1">IFERROR(IF(ISNUMBER(FIND("ED only",$B$4)),IF(LEFT($B$7,6)="Number",SUMIFS(Comparison_Lookup,site_level_range_board,$B122,date_range_board,J111,inputdata!$F:$F,"ED"),TEXT(SUMIFS(Comparison_Lookup,site_level_range_board,$B122,date_range_board,J111,inputdata!$F:$F,"ED")/SUMIFS(All_Attendances,site_level_range_board,$B122,date_range_board,J111,inputdata!$F:$F,"ED"),"0.0%")),IF(LEFT($B$7,6)="Number",SUMIFS(Comparison_Lookup,site_level_range_board,$B122,date_range_board,J111),TEXT(SUMIFS(Comparison_Lookup,site_level_range_board,$B122,date_range_board,J111)/SUMIFS(All_Attendances,site_level_range_board,$B122,date_range_board,J111),"0.0%"))),"")</f>
        <v>98.8%</v>
      </c>
      <c r="K122" s="165" t="str">
        <f ca="1">IFERROR(IF(ISNUMBER(FIND("ED only",$B$4)),IF(LEFT($B$7,6)="Number",SUMIFS(Comparison_Lookup,site_level_range_board,$B122,date_range_board,K111,inputdata!$F:$F,"ED"),TEXT(SUMIFS(Comparison_Lookup,site_level_range_board,$B122,date_range_board,K111,inputdata!$F:$F,"ED")/SUMIFS(All_Attendances,site_level_range_board,$B122,date_range_board,K111,inputdata!$F:$F,"ED"),"0.0%")),IF(LEFT($B$7,6)="Number",SUMIFS(Comparison_Lookup,site_level_range_board,$B122,date_range_board,K111),TEXT(SUMIFS(Comparison_Lookup,site_level_range_board,$B122,date_range_board,K111)/SUMIFS(All_Attendances,site_level_range_board,$B122,date_range_board,K111),"0.0%"))),"")</f>
        <v>97.6%</v>
      </c>
      <c r="L122" s="165" t="str">
        <f ca="1">IFERROR(IF(ISNUMBER(FIND("ED only",$B$4)),IF(LEFT($B$7,6)="Number",SUMIFS(Comparison_Lookup,site_level_range_board,$B122,date_range_board,L111,inputdata!$F:$F,"ED"),TEXT(SUMIFS(Comparison_Lookup,site_level_range_board,$B122,date_range_board,L111,inputdata!$F:$F,"ED")/SUMIFS(All_Attendances,site_level_range_board,$B122,date_range_board,L111,inputdata!$F:$F,"ED"),"0.0%")),IF(LEFT($B$7,6)="Number",SUMIFS(Comparison_Lookup,site_level_range_board,$B122,date_range_board,L111),TEXT(SUMIFS(Comparison_Lookup,site_level_range_board,$B122,date_range_board,L111)/SUMIFS(All_Attendances,site_level_range_board,$B122,date_range_board,L111),"0.0%"))),"")</f>
        <v>97.9%</v>
      </c>
      <c r="M122" s="165" t="str">
        <f ca="1">IFERROR(IF(ISNUMBER(FIND("ED only",$B$4)),IF(LEFT($B$7,6)="Number",SUMIFS(Comparison_Lookup,site_level_range_board,$B122,date_range_board,M111,inputdata!$F:$F,"ED"),TEXT(SUMIFS(Comparison_Lookup,site_level_range_board,$B122,date_range_board,M111,inputdata!$F:$F,"ED")/SUMIFS(All_Attendances,site_level_range_board,$B122,date_range_board,M111,inputdata!$F:$F,"ED"),"0.0%")),IF(LEFT($B$7,6)="Number",SUMIFS(Comparison_Lookup,site_level_range_board,$B122,date_range_board,M111),TEXT(SUMIFS(Comparison_Lookup,site_level_range_board,$B122,date_range_board,M111)/SUMIFS(All_Attendances,site_level_range_board,$B122,date_range_board,M111),"0.0%"))),"")</f>
        <v>93.9%</v>
      </c>
      <c r="N122" s="171" t="str">
        <f ca="1">IFERROR(IF(ISNUMBER(FIND("ED only",$B$4)),IF(LEFT($B$7,6)="Number",SUMIFS(Comparison_Lookup,site_level_range_board,$B122,date_range_board,N111,inputdata!$F:$F,"ED"),TEXT(SUMIFS(Comparison_Lookup,site_level_range_board,$B122,date_range_board,N111,inputdata!$F:$F,"ED")/SUMIFS(All_Attendances,site_level_range_board,$B122,date_range_board,N111,inputdata!$F:$F,"ED"),"0.0%")),IF(LEFT($B$7,6)="Number",SUMIFS(Comparison_Lookup,site_level_range_board,$B122,date_range_board,N111),TEXT(SUMIFS(Comparison_Lookup,site_level_range_board,$B122,date_range_board,N111)/SUMIFS(All_Attendances,site_level_range_board,$B122,date_range_board,N111),"0.0%"))),"")</f>
        <v>97.5%</v>
      </c>
    </row>
    <row r="123" spans="1:14" ht="15" customHeight="1" x14ac:dyDescent="0.2">
      <c r="A123" s="132"/>
      <c r="B123" s="152" t="s">
        <v>574</v>
      </c>
      <c r="C123" s="165" t="str">
        <f ca="1">IFERROR(IF(ISNUMBER(FIND("ED only",$B$4)),IF(LEFT($B$7,6)="Number",SUMIFS(Comparison_Lookup,site_level_range_board,$B123,date_range_board,C111,inputdata!$F:$F,"ED"),TEXT(SUMIFS(Comparison_Lookup,site_level_range_board,$B123,date_range_board,C111,inputdata!$F:$F,"ED")/SUMIFS(All_Attendances,site_level_range_board,$B123,date_range_board,C111,inputdata!$F:$F,"ED"),"0.0%")),IF(LEFT($B$7,6)="Number",SUMIFS(Comparison_Lookup,site_level_range_board,$B123,date_range_board,C111),TEXT(SUMIFS(Comparison_Lookup,site_level_range_board,$B123,date_range_board,C111)/SUMIFS(All_Attendances,site_level_range_board,$B123,date_range_board,C111),"0.0%"))),"")</f>
        <v>92.0%</v>
      </c>
      <c r="D123" s="165" t="str">
        <f ca="1">IFERROR(IF(ISNUMBER(FIND("ED only",$B$4)),IF(LEFT($B$7,6)="Number",SUMIFS(Comparison_Lookup,site_level_range_board,$B123,date_range_board,D111,inputdata!$F:$F,"ED"),TEXT(SUMIFS(Comparison_Lookup,site_level_range_board,$B123,date_range_board,D111,inputdata!$F:$F,"ED")/SUMIFS(All_Attendances,site_level_range_board,$B123,date_range_board,D111,inputdata!$F:$F,"ED"),"0.0%")),IF(LEFT($B$7,6)="Number",SUMIFS(Comparison_Lookup,site_level_range_board,$B123,date_range_board,D111),TEXT(SUMIFS(Comparison_Lookup,site_level_range_board,$B123,date_range_board,D111)/SUMIFS(All_Attendances,site_level_range_board,$B123,date_range_board,D111),"0.0%"))),"")</f>
        <v>96.0%</v>
      </c>
      <c r="E123" s="165" t="str">
        <f ca="1">IFERROR(IF(ISNUMBER(FIND("ED only",$B$4)),IF(LEFT($B$7,6)="Number",SUMIFS(Comparison_Lookup,site_level_range_board,$B123,date_range_board,E111,inputdata!$F:$F,"ED"),TEXT(SUMIFS(Comparison_Lookup,site_level_range_board,$B123,date_range_board,E111,inputdata!$F:$F,"ED")/SUMIFS(All_Attendances,site_level_range_board,$B123,date_range_board,E111,inputdata!$F:$F,"ED"),"0.0%")),IF(LEFT($B$7,6)="Number",SUMIFS(Comparison_Lookup,site_level_range_board,$B123,date_range_board,E111),TEXT(SUMIFS(Comparison_Lookup,site_level_range_board,$B123,date_range_board,E111)/SUMIFS(All_Attendances,site_level_range_board,$B123,date_range_board,E111),"0.0%"))),"")</f>
        <v>94.4%</v>
      </c>
      <c r="F123" s="165" t="str">
        <f ca="1">IFERROR(IF(ISNUMBER(FIND("ED only",$B$4)),IF(LEFT($B$7,6)="Number",SUMIFS(Comparison_Lookup,site_level_range_board,$B123,date_range_board,F111,inputdata!$F:$F,"ED"),TEXT(SUMIFS(Comparison_Lookup,site_level_range_board,$B123,date_range_board,F111,inputdata!$F:$F,"ED")/SUMIFS(All_Attendances,site_level_range_board,$B123,date_range_board,F111,inputdata!$F:$F,"ED"),"0.0%")),IF(LEFT($B$7,6)="Number",SUMIFS(Comparison_Lookup,site_level_range_board,$B123,date_range_board,F111),TEXT(SUMIFS(Comparison_Lookup,site_level_range_board,$B123,date_range_board,F111)/SUMIFS(All_Attendances,site_level_range_board,$B123,date_range_board,F111),"0.0%"))),"")</f>
        <v>95.6%</v>
      </c>
      <c r="G123" s="165" t="str">
        <f ca="1">IFERROR(IF(ISNUMBER(FIND("ED only",$B$4)),IF(LEFT($B$7,6)="Number",SUMIFS(Comparison_Lookup,site_level_range_board,$B123,date_range_board,G111,inputdata!$F:$F,"ED"),TEXT(SUMIFS(Comparison_Lookup,site_level_range_board,$B123,date_range_board,G111,inputdata!$F:$F,"ED")/SUMIFS(All_Attendances,site_level_range_board,$B123,date_range_board,G111,inputdata!$F:$F,"ED"),"0.0%")),IF(LEFT($B$7,6)="Number",SUMIFS(Comparison_Lookup,site_level_range_board,$B123,date_range_board,G111),TEXT(SUMIFS(Comparison_Lookup,site_level_range_board,$B123,date_range_board,G111)/SUMIFS(All_Attendances,site_level_range_board,$B123,date_range_board,G111),"0.0%"))),"")</f>
        <v>95.7%</v>
      </c>
      <c r="H123" s="165" t="str">
        <f ca="1">IFERROR(IF(ISNUMBER(FIND("ED only",$B$4)),IF(LEFT($B$7,6)="Number",SUMIFS(Comparison_Lookup,site_level_range_board,$B123,date_range_board,H111,inputdata!$F:$F,"ED"),TEXT(SUMIFS(Comparison_Lookup,site_level_range_board,$B123,date_range_board,H111,inputdata!$F:$F,"ED")/SUMIFS(All_Attendances,site_level_range_board,$B123,date_range_board,H111,inputdata!$F:$F,"ED"),"0.0%")),IF(LEFT($B$7,6)="Number",SUMIFS(Comparison_Lookup,site_level_range_board,$B123,date_range_board,H111),TEXT(SUMIFS(Comparison_Lookup,site_level_range_board,$B123,date_range_board,H111)/SUMIFS(All_Attendances,site_level_range_board,$B123,date_range_board,H111),"0.0%"))),"")</f>
        <v>95.0%</v>
      </c>
      <c r="I123" s="165" t="str">
        <f ca="1">IFERROR(IF(ISNUMBER(FIND("ED only",$B$4)),IF(LEFT($B$7,6)="Number",SUMIFS(Comparison_Lookup,site_level_range_board,$B123,date_range_board,I111,inputdata!$F:$F,"ED"),TEXT(SUMIFS(Comparison_Lookup,site_level_range_board,$B123,date_range_board,I111,inputdata!$F:$F,"ED")/SUMIFS(All_Attendances,site_level_range_board,$B123,date_range_board,I111,inputdata!$F:$F,"ED"),"0.0%")),IF(LEFT($B$7,6)="Number",SUMIFS(Comparison_Lookup,site_level_range_board,$B123,date_range_board,I111),TEXT(SUMIFS(Comparison_Lookup,site_level_range_board,$B123,date_range_board,I111)/SUMIFS(All_Attendances,site_level_range_board,$B123,date_range_board,I111),"0.0%"))),"")</f>
        <v>96.7%</v>
      </c>
      <c r="J123" s="165" t="str">
        <f ca="1">IFERROR(IF(ISNUMBER(FIND("ED only",$B$4)),IF(LEFT($B$7,6)="Number",SUMIFS(Comparison_Lookup,site_level_range_board,$B123,date_range_board,J111,inputdata!$F:$F,"ED"),TEXT(SUMIFS(Comparison_Lookup,site_level_range_board,$B123,date_range_board,J111,inputdata!$F:$F,"ED")/SUMIFS(All_Attendances,site_level_range_board,$B123,date_range_board,J111,inputdata!$F:$F,"ED"),"0.0%")),IF(LEFT($B$7,6)="Number",SUMIFS(Comparison_Lookup,site_level_range_board,$B123,date_range_board,J111),TEXT(SUMIFS(Comparison_Lookup,site_level_range_board,$B123,date_range_board,J111)/SUMIFS(All_Attendances,site_level_range_board,$B123,date_range_board,J111),"0.0%"))),"")</f>
        <v>98.0%</v>
      </c>
      <c r="K123" s="165" t="str">
        <f ca="1">IFERROR(IF(ISNUMBER(FIND("ED only",$B$4)),IF(LEFT($B$7,6)="Number",SUMIFS(Comparison_Lookup,site_level_range_board,$B123,date_range_board,K111,inputdata!$F:$F,"ED"),TEXT(SUMIFS(Comparison_Lookup,site_level_range_board,$B123,date_range_board,K111,inputdata!$F:$F,"ED")/SUMIFS(All_Attendances,site_level_range_board,$B123,date_range_board,K111,inputdata!$F:$F,"ED"),"0.0%")),IF(LEFT($B$7,6)="Number",SUMIFS(Comparison_Lookup,site_level_range_board,$B123,date_range_board,K111),TEXT(SUMIFS(Comparison_Lookup,site_level_range_board,$B123,date_range_board,K111)/SUMIFS(All_Attendances,site_level_range_board,$B123,date_range_board,K111),"0.0%"))),"")</f>
        <v>97.7%</v>
      </c>
      <c r="L123" s="165" t="str">
        <f ca="1">IFERROR(IF(ISNUMBER(FIND("ED only",$B$4)),IF(LEFT($B$7,6)="Number",SUMIFS(Comparison_Lookup,site_level_range_board,$B123,date_range_board,L111,inputdata!$F:$F,"ED"),TEXT(SUMIFS(Comparison_Lookup,site_level_range_board,$B123,date_range_board,L111,inputdata!$F:$F,"ED")/SUMIFS(All_Attendances,site_level_range_board,$B123,date_range_board,L111,inputdata!$F:$F,"ED"),"0.0%")),IF(LEFT($B$7,6)="Number",SUMIFS(Comparison_Lookup,site_level_range_board,$B123,date_range_board,L111),TEXT(SUMIFS(Comparison_Lookup,site_level_range_board,$B123,date_range_board,L111)/SUMIFS(All_Attendances,site_level_range_board,$B123,date_range_board,L111),"0.0%"))),"")</f>
        <v>96.6%</v>
      </c>
      <c r="M123" s="165" t="str">
        <f ca="1">IFERROR(IF(ISNUMBER(FIND("ED only",$B$4)),IF(LEFT($B$7,6)="Number",SUMIFS(Comparison_Lookup,site_level_range_board,$B123,date_range_board,M111,inputdata!$F:$F,"ED"),TEXT(SUMIFS(Comparison_Lookup,site_level_range_board,$B123,date_range_board,M111,inputdata!$F:$F,"ED")/SUMIFS(All_Attendances,site_level_range_board,$B123,date_range_board,M111,inputdata!$F:$F,"ED"),"0.0%")),IF(LEFT($B$7,6)="Number",SUMIFS(Comparison_Lookup,site_level_range_board,$B123,date_range_board,M111),TEXT(SUMIFS(Comparison_Lookup,site_level_range_board,$B123,date_range_board,M111)/SUMIFS(All_Attendances,site_level_range_board,$B123,date_range_board,M111),"0.0%"))),"")</f>
        <v>98.6%</v>
      </c>
      <c r="N123" s="171" t="str">
        <f ca="1">IFERROR(IF(ISNUMBER(FIND("ED only",$B$4)),IF(LEFT($B$7,6)="Number",SUMIFS(Comparison_Lookup,site_level_range_board,$B123,date_range_board,N111,inputdata!$F:$F,"ED"),TEXT(SUMIFS(Comparison_Lookup,site_level_range_board,$B123,date_range_board,N111,inputdata!$F:$F,"ED")/SUMIFS(All_Attendances,site_level_range_board,$B123,date_range_board,N111,inputdata!$F:$F,"ED"),"0.0%")),IF(LEFT($B$7,6)="Number",SUMIFS(Comparison_Lookup,site_level_range_board,$B123,date_range_board,N111),TEXT(SUMIFS(Comparison_Lookup,site_level_range_board,$B123,date_range_board,N111)/SUMIFS(All_Attendances,site_level_range_board,$B123,date_range_board,N111),"0.0%"))),"")</f>
        <v>97.1%</v>
      </c>
    </row>
    <row r="124" spans="1:14" ht="15" customHeight="1" x14ac:dyDescent="0.2">
      <c r="A124" s="132"/>
      <c r="B124" s="152" t="s">
        <v>577</v>
      </c>
      <c r="C124" s="165" t="str">
        <f ca="1">IFERROR(IF(ISNUMBER(FIND("ED only",$B$4)),IF(LEFT($B$7,6)="Number",SUMIFS(Comparison_Lookup,site_level_range_board,$B124,date_range_board,C111,inputdata!$F:$F,"ED"),TEXT(SUMIFS(Comparison_Lookup,site_level_range_board,$B124,date_range_board,C111,inputdata!$F:$F,"ED")/SUMIFS(All_Attendances,site_level_range_board,$B124,date_range_board,C111,inputdata!$F:$F,"ED"),"0.0%")),IF(LEFT($B$7,6)="Number",SUMIFS(Comparison_Lookup,site_level_range_board,$B124,date_range_board,C111),TEXT(SUMIFS(Comparison_Lookup,site_level_range_board,$B124,date_range_board,C111)/SUMIFS(All_Attendances,site_level_range_board,$B124,date_range_board,C111),"0.0%"))),"")</f>
        <v>99.2%</v>
      </c>
      <c r="D124" s="165" t="str">
        <f ca="1">IFERROR(IF(ISNUMBER(FIND("ED only",$B$4)),IF(LEFT($B$7,6)="Number",SUMIFS(Comparison_Lookup,site_level_range_board,$B124,date_range_board,D111,inputdata!$F:$F,"ED"),TEXT(SUMIFS(Comparison_Lookup,site_level_range_board,$B124,date_range_board,D111,inputdata!$F:$F,"ED")/SUMIFS(All_Attendances,site_level_range_board,$B124,date_range_board,D111,inputdata!$F:$F,"ED"),"0.0%")),IF(LEFT($B$7,6)="Number",SUMIFS(Comparison_Lookup,site_level_range_board,$B124,date_range_board,D111),TEXT(SUMIFS(Comparison_Lookup,site_level_range_board,$B124,date_range_board,D111)/SUMIFS(All_Attendances,site_level_range_board,$B124,date_range_board,D111),"0.0%"))),"")</f>
        <v>98.9%</v>
      </c>
      <c r="E124" s="165" t="str">
        <f ca="1">IFERROR(IF(ISNUMBER(FIND("ED only",$B$4)),IF(LEFT($B$7,6)="Number",SUMIFS(Comparison_Lookup,site_level_range_board,$B124,date_range_board,E111,inputdata!$F:$F,"ED"),TEXT(SUMIFS(Comparison_Lookup,site_level_range_board,$B124,date_range_board,E111,inputdata!$F:$F,"ED")/SUMIFS(All_Attendances,site_level_range_board,$B124,date_range_board,E111,inputdata!$F:$F,"ED"),"0.0%")),IF(LEFT($B$7,6)="Number",SUMIFS(Comparison_Lookup,site_level_range_board,$B124,date_range_board,E111),TEXT(SUMIFS(Comparison_Lookup,site_level_range_board,$B124,date_range_board,E111)/SUMIFS(All_Attendances,site_level_range_board,$B124,date_range_board,E111),"0.0%"))),"")</f>
        <v>99.3%</v>
      </c>
      <c r="F124" s="165" t="str">
        <f ca="1">IFERROR(IF(ISNUMBER(FIND("ED only",$B$4)),IF(LEFT($B$7,6)="Number",SUMIFS(Comparison_Lookup,site_level_range_board,$B124,date_range_board,F111,inputdata!$F:$F,"ED"),TEXT(SUMIFS(Comparison_Lookup,site_level_range_board,$B124,date_range_board,F111,inputdata!$F:$F,"ED")/SUMIFS(All_Attendances,site_level_range_board,$B124,date_range_board,F111,inputdata!$F:$F,"ED"),"0.0%")),IF(LEFT($B$7,6)="Number",SUMIFS(Comparison_Lookup,site_level_range_board,$B124,date_range_board,F111),TEXT(SUMIFS(Comparison_Lookup,site_level_range_board,$B124,date_range_board,F111)/SUMIFS(All_Attendances,site_level_range_board,$B124,date_range_board,F111),"0.0%"))),"")</f>
        <v>99.5%</v>
      </c>
      <c r="G124" s="165" t="str">
        <f ca="1">IFERROR(IF(ISNUMBER(FIND("ED only",$B$4)),IF(LEFT($B$7,6)="Number",SUMIFS(Comparison_Lookup,site_level_range_board,$B124,date_range_board,G111,inputdata!$F:$F,"ED"),TEXT(SUMIFS(Comparison_Lookup,site_level_range_board,$B124,date_range_board,G111,inputdata!$F:$F,"ED")/SUMIFS(All_Attendances,site_level_range_board,$B124,date_range_board,G111,inputdata!$F:$F,"ED"),"0.0%")),IF(LEFT($B$7,6)="Number",SUMIFS(Comparison_Lookup,site_level_range_board,$B124,date_range_board,G111),TEXT(SUMIFS(Comparison_Lookup,site_level_range_board,$B124,date_range_board,G111)/SUMIFS(All_Attendances,site_level_range_board,$B124,date_range_board,G111),"0.0%"))),"")</f>
        <v>98.6%</v>
      </c>
      <c r="H124" s="165" t="str">
        <f ca="1">IFERROR(IF(ISNUMBER(FIND("ED only",$B$4)),IF(LEFT($B$7,6)="Number",SUMIFS(Comparison_Lookup,site_level_range_board,$B124,date_range_board,H111,inputdata!$F:$F,"ED"),TEXT(SUMIFS(Comparison_Lookup,site_level_range_board,$B124,date_range_board,H111,inputdata!$F:$F,"ED")/SUMIFS(All_Attendances,site_level_range_board,$B124,date_range_board,H111,inputdata!$F:$F,"ED"),"0.0%")),IF(LEFT($B$7,6)="Number",SUMIFS(Comparison_Lookup,site_level_range_board,$B124,date_range_board,H111),TEXT(SUMIFS(Comparison_Lookup,site_level_range_board,$B124,date_range_board,H111)/SUMIFS(All_Attendances,site_level_range_board,$B124,date_range_board,H111),"0.0%"))),"")</f>
        <v>98.9%</v>
      </c>
      <c r="I124" s="165" t="str">
        <f ca="1">IFERROR(IF(ISNUMBER(FIND("ED only",$B$4)),IF(LEFT($B$7,6)="Number",SUMIFS(Comparison_Lookup,site_level_range_board,$B124,date_range_board,I111,inputdata!$F:$F,"ED"),TEXT(SUMIFS(Comparison_Lookup,site_level_range_board,$B124,date_range_board,I111,inputdata!$F:$F,"ED")/SUMIFS(All_Attendances,site_level_range_board,$B124,date_range_board,I111,inputdata!$F:$F,"ED"),"0.0%")),IF(LEFT($B$7,6)="Number",SUMIFS(Comparison_Lookup,site_level_range_board,$B124,date_range_board,I111),TEXT(SUMIFS(Comparison_Lookup,site_level_range_board,$B124,date_range_board,I111)/SUMIFS(All_Attendances,site_level_range_board,$B124,date_range_board,I111),"0.0%"))),"")</f>
        <v>98.6%</v>
      </c>
      <c r="J124" s="165" t="str">
        <f ca="1">IFERROR(IF(ISNUMBER(FIND("ED only",$B$4)),IF(LEFT($B$7,6)="Number",SUMIFS(Comparison_Lookup,site_level_range_board,$B124,date_range_board,J111,inputdata!$F:$F,"ED"),TEXT(SUMIFS(Comparison_Lookup,site_level_range_board,$B124,date_range_board,J111,inputdata!$F:$F,"ED")/SUMIFS(All_Attendances,site_level_range_board,$B124,date_range_board,J111,inputdata!$F:$F,"ED"),"0.0%")),IF(LEFT($B$7,6)="Number",SUMIFS(Comparison_Lookup,site_level_range_board,$B124,date_range_board,J111),TEXT(SUMIFS(Comparison_Lookup,site_level_range_board,$B124,date_range_board,J111)/SUMIFS(All_Attendances,site_level_range_board,$B124,date_range_board,J111),"0.0%"))),"")</f>
        <v>98.7%</v>
      </c>
      <c r="K124" s="165" t="str">
        <f ca="1">IFERROR(IF(ISNUMBER(FIND("ED only",$B$4)),IF(LEFT($B$7,6)="Number",SUMIFS(Comparison_Lookup,site_level_range_board,$B124,date_range_board,K111,inputdata!$F:$F,"ED"),TEXT(SUMIFS(Comparison_Lookup,site_level_range_board,$B124,date_range_board,K111,inputdata!$F:$F,"ED")/SUMIFS(All_Attendances,site_level_range_board,$B124,date_range_board,K111,inputdata!$F:$F,"ED"),"0.0%")),IF(LEFT($B$7,6)="Number",SUMIFS(Comparison_Lookup,site_level_range_board,$B124,date_range_board,K111),TEXT(SUMIFS(Comparison_Lookup,site_level_range_board,$B124,date_range_board,K111)/SUMIFS(All_Attendances,site_level_range_board,$B124,date_range_board,K111),"0.0%"))),"")</f>
        <v>98.0%</v>
      </c>
      <c r="L124" s="165" t="str">
        <f ca="1">IFERROR(IF(ISNUMBER(FIND("ED only",$B$4)),IF(LEFT($B$7,6)="Number",SUMIFS(Comparison_Lookup,site_level_range_board,$B124,date_range_board,L111,inputdata!$F:$F,"ED"),TEXT(SUMIFS(Comparison_Lookup,site_level_range_board,$B124,date_range_board,L111,inputdata!$F:$F,"ED")/SUMIFS(All_Attendances,site_level_range_board,$B124,date_range_board,L111,inputdata!$F:$F,"ED"),"0.0%")),IF(LEFT($B$7,6)="Number",SUMIFS(Comparison_Lookup,site_level_range_board,$B124,date_range_board,L111),TEXT(SUMIFS(Comparison_Lookup,site_level_range_board,$B124,date_range_board,L111)/SUMIFS(All_Attendances,site_level_range_board,$B124,date_range_board,L111),"0.0%"))),"")</f>
        <v>98.4%</v>
      </c>
      <c r="M124" s="165" t="str">
        <f ca="1">IFERROR(IF(ISNUMBER(FIND("ED only",$B$4)),IF(LEFT($B$7,6)="Number",SUMIFS(Comparison_Lookup,site_level_range_board,$B124,date_range_board,M111,inputdata!$F:$F,"ED"),TEXT(SUMIFS(Comparison_Lookup,site_level_range_board,$B124,date_range_board,M111,inputdata!$F:$F,"ED")/SUMIFS(All_Attendances,site_level_range_board,$B124,date_range_board,M111,inputdata!$F:$F,"ED"),"0.0%")),IF(LEFT($B$7,6)="Number",SUMIFS(Comparison_Lookup,site_level_range_board,$B124,date_range_board,M111),TEXT(SUMIFS(Comparison_Lookup,site_level_range_board,$B124,date_range_board,M111)/SUMIFS(All_Attendances,site_level_range_board,$B124,date_range_board,M111),"0.0%"))),"")</f>
        <v>98.7%</v>
      </c>
      <c r="N124" s="171" t="str">
        <f ca="1">IFERROR(IF(ISNUMBER(FIND("ED only",$B$4)),IF(LEFT($B$7,6)="Number",SUMIFS(Comparison_Lookup,site_level_range_board,$B124,date_range_board,N111,inputdata!$F:$F,"ED"),TEXT(SUMIFS(Comparison_Lookup,site_level_range_board,$B124,date_range_board,N111,inputdata!$F:$F,"ED")/SUMIFS(All_Attendances,site_level_range_board,$B124,date_range_board,N111,inputdata!$F:$F,"ED"),"0.0%")),IF(LEFT($B$7,6)="Number",SUMIFS(Comparison_Lookup,site_level_range_board,$B124,date_range_board,N111),TEXT(SUMIFS(Comparison_Lookup,site_level_range_board,$B124,date_range_board,N111)/SUMIFS(All_Attendances,site_level_range_board,$B124,date_range_board,N111),"0.0%"))),"")</f>
        <v>98.6%</v>
      </c>
    </row>
    <row r="125" spans="1:14" ht="15" customHeight="1" x14ac:dyDescent="0.2">
      <c r="A125" s="132"/>
      <c r="B125" s="154" t="s">
        <v>594</v>
      </c>
      <c r="C125" s="168" t="str">
        <f ca="1">IFERROR(IF(ISNUMBER(FIND("ED only",$B$4)),IF(LEFT($B$7,6)="Number",SUMIFS(Comparison_Lookup,site_level_range_board,$B125,date_range_board,C111,inputdata!$F:$F,"ED"),TEXT(SUMIFS(Comparison_Lookup,site_level_range_board,$B125,date_range_board,C111,inputdata!$F:$F,"ED")/SUMIFS(All_Attendances,site_level_range_board,$B125,date_range_board,C111,inputdata!$F:$F,"ED"),"0.0%")),IF(LEFT($B$7,6)="Number",SUMIFS(Comparison_Lookup,site_level_range_board,$B125,date_range_board,C111),TEXT(SUMIFS(Comparison_Lookup,site_level_range_board,$B125,date_range_board,C111)/SUMIFS(All_Attendances,site_level_range_board,$B125,date_range_board,C111),"0.0%"))),"")</f>
        <v>99.7%</v>
      </c>
      <c r="D125" s="168" t="str">
        <f ca="1">IFERROR(IF(ISNUMBER(FIND("ED only",$B$4)),IF(LEFT($B$7,6)="Number",SUMIFS(Comparison_Lookup,site_level_range_board,$B125,date_range_board,D111,inputdata!$F:$F,"ED"),TEXT(SUMIFS(Comparison_Lookup,site_level_range_board,$B125,date_range_board,D111,inputdata!$F:$F,"ED")/SUMIFS(All_Attendances,site_level_range_board,$B125,date_range_board,D111,inputdata!$F:$F,"ED"),"0.0%")),IF(LEFT($B$7,6)="Number",SUMIFS(Comparison_Lookup,site_level_range_board,$B125,date_range_board,D111),TEXT(SUMIFS(Comparison_Lookup,site_level_range_board,$B125,date_range_board,D111)/SUMIFS(All_Attendances,site_level_range_board,$B125,date_range_board,D111),"0.0%"))),"")</f>
        <v>99.9%</v>
      </c>
      <c r="E125" s="168" t="str">
        <f ca="1">IFERROR(IF(ISNUMBER(FIND("ED only",$B$4)),IF(LEFT($B$7,6)="Number",SUMIFS(Comparison_Lookup,site_level_range_board,$B125,date_range_board,E111,inputdata!$F:$F,"ED"),TEXT(SUMIFS(Comparison_Lookup,site_level_range_board,$B125,date_range_board,E111,inputdata!$F:$F,"ED")/SUMIFS(All_Attendances,site_level_range_board,$B125,date_range_board,E111,inputdata!$F:$F,"ED"),"0.0%")),IF(LEFT($B$7,6)="Number",SUMIFS(Comparison_Lookup,site_level_range_board,$B125,date_range_board,E111),TEXT(SUMIFS(Comparison_Lookup,site_level_range_board,$B125,date_range_board,E111)/SUMIFS(All_Attendances,site_level_range_board,$B125,date_range_board,E111),"0.0%"))),"")</f>
        <v>99.4%</v>
      </c>
      <c r="F125" s="168" t="str">
        <f ca="1">IFERROR(IF(ISNUMBER(FIND("ED only",$B$4)),IF(LEFT($B$7,6)="Number",SUMIFS(Comparison_Lookup,site_level_range_board,$B125,date_range_board,F111,inputdata!$F:$F,"ED"),TEXT(SUMIFS(Comparison_Lookup,site_level_range_board,$B125,date_range_board,F111,inputdata!$F:$F,"ED")/SUMIFS(All_Attendances,site_level_range_board,$B125,date_range_board,F111,inputdata!$F:$F,"ED"),"0.0%")),IF(LEFT($B$7,6)="Number",SUMIFS(Comparison_Lookup,site_level_range_board,$B125,date_range_board,F111),TEXT(SUMIFS(Comparison_Lookup,site_level_range_board,$B125,date_range_board,F111)/SUMIFS(All_Attendances,site_level_range_board,$B125,date_range_board,F111),"0.0%"))),"")</f>
        <v>99.7%</v>
      </c>
      <c r="G125" s="168" t="str">
        <f ca="1">IFERROR(IF(ISNUMBER(FIND("ED only",$B$4)),IF(LEFT($B$7,6)="Number",SUMIFS(Comparison_Lookup,site_level_range_board,$B125,date_range_board,G111,inputdata!$F:$F,"ED"),TEXT(SUMIFS(Comparison_Lookup,site_level_range_board,$B125,date_range_board,G111,inputdata!$F:$F,"ED")/SUMIFS(All_Attendances,site_level_range_board,$B125,date_range_board,G111,inputdata!$F:$F,"ED"),"0.0%")),IF(LEFT($B$7,6)="Number",SUMIFS(Comparison_Lookup,site_level_range_board,$B125,date_range_board,G111),TEXT(SUMIFS(Comparison_Lookup,site_level_range_board,$B125,date_range_board,G111)/SUMIFS(All_Attendances,site_level_range_board,$B125,date_range_board,G111),"0.0%"))),"")</f>
        <v>99.6%</v>
      </c>
      <c r="H125" s="168" t="str">
        <f ca="1">IFERROR(IF(ISNUMBER(FIND("ED only",$B$4)),IF(LEFT($B$7,6)="Number",SUMIFS(Comparison_Lookup,site_level_range_board,$B125,date_range_board,H111,inputdata!$F:$F,"ED"),TEXT(SUMIFS(Comparison_Lookup,site_level_range_board,$B125,date_range_board,H111,inputdata!$F:$F,"ED")/SUMIFS(All_Attendances,site_level_range_board,$B125,date_range_board,H111,inputdata!$F:$F,"ED"),"0.0%")),IF(LEFT($B$7,6)="Number",SUMIFS(Comparison_Lookup,site_level_range_board,$B125,date_range_board,H111),TEXT(SUMIFS(Comparison_Lookup,site_level_range_board,$B125,date_range_board,H111)/SUMIFS(All_Attendances,site_level_range_board,$B125,date_range_board,H111),"0.0%"))),"")</f>
        <v>98.9%</v>
      </c>
      <c r="I125" s="168" t="str">
        <f ca="1">IFERROR(IF(ISNUMBER(FIND("ED only",$B$4)),IF(LEFT($B$7,6)="Number",SUMIFS(Comparison_Lookup,site_level_range_board,$B125,date_range_board,I111,inputdata!$F:$F,"ED"),TEXT(SUMIFS(Comparison_Lookup,site_level_range_board,$B125,date_range_board,I111,inputdata!$F:$F,"ED")/SUMIFS(All_Attendances,site_level_range_board,$B125,date_range_board,I111,inputdata!$F:$F,"ED"),"0.0%")),IF(LEFT($B$7,6)="Number",SUMIFS(Comparison_Lookup,site_level_range_board,$B125,date_range_board,I111),TEXT(SUMIFS(Comparison_Lookup,site_level_range_board,$B125,date_range_board,I111)/SUMIFS(All_Attendances,site_level_range_board,$B125,date_range_board,I111),"0.0%"))),"")</f>
        <v>98.5%</v>
      </c>
      <c r="J125" s="168" t="str">
        <f ca="1">IFERROR(IF(ISNUMBER(FIND("ED only",$B$4)),IF(LEFT($B$7,6)="Number",SUMIFS(Comparison_Lookup,site_level_range_board,$B125,date_range_board,J111,inputdata!$F:$F,"ED"),TEXT(SUMIFS(Comparison_Lookup,site_level_range_board,$B125,date_range_board,J111,inputdata!$F:$F,"ED")/SUMIFS(All_Attendances,site_level_range_board,$B125,date_range_board,J111,inputdata!$F:$F,"ED"),"0.0%")),IF(LEFT($B$7,6)="Number",SUMIFS(Comparison_Lookup,site_level_range_board,$B125,date_range_board,J111),TEXT(SUMIFS(Comparison_Lookup,site_level_range_board,$B125,date_range_board,J111)/SUMIFS(All_Attendances,site_level_range_board,$B125,date_range_board,J111),"0.0%"))),"")</f>
        <v>98.9%</v>
      </c>
      <c r="K125" s="168" t="str">
        <f ca="1">IFERROR(IF(ISNUMBER(FIND("ED only",$B$4)),IF(LEFT($B$7,6)="Number",SUMIFS(Comparison_Lookup,site_level_range_board,$B125,date_range_board,K111,inputdata!$F:$F,"ED"),TEXT(SUMIFS(Comparison_Lookup,site_level_range_board,$B125,date_range_board,K111,inputdata!$F:$F,"ED")/SUMIFS(All_Attendances,site_level_range_board,$B125,date_range_board,K111,inputdata!$F:$F,"ED"),"0.0%")),IF(LEFT($B$7,6)="Number",SUMIFS(Comparison_Lookup,site_level_range_board,$B125,date_range_board,K111),TEXT(SUMIFS(Comparison_Lookup,site_level_range_board,$B125,date_range_board,K111)/SUMIFS(All_Attendances,site_level_range_board,$B125,date_range_board,K111),"0.0%"))),"")</f>
        <v>99.6%</v>
      </c>
      <c r="L125" s="168" t="str">
        <f ca="1">IFERROR(IF(ISNUMBER(FIND("ED only",$B$4)),IF(LEFT($B$7,6)="Number",SUMIFS(Comparison_Lookup,site_level_range_board,$B125,date_range_board,L111,inputdata!$F:$F,"ED"),TEXT(SUMIFS(Comparison_Lookup,site_level_range_board,$B125,date_range_board,L111,inputdata!$F:$F,"ED")/SUMIFS(All_Attendances,site_level_range_board,$B125,date_range_board,L111,inputdata!$F:$F,"ED"),"0.0%")),IF(LEFT($B$7,6)="Number",SUMIFS(Comparison_Lookup,site_level_range_board,$B125,date_range_board,L111),TEXT(SUMIFS(Comparison_Lookup,site_level_range_board,$B125,date_range_board,L111)/SUMIFS(All_Attendances,site_level_range_board,$B125,date_range_board,L111),"0.0%"))),"")</f>
        <v>98.9%</v>
      </c>
      <c r="M125" s="168" t="str">
        <f ca="1">IFERROR(IF(ISNUMBER(FIND("ED only",$B$4)),IF(LEFT($B$7,6)="Number",SUMIFS(Comparison_Lookup,site_level_range_board,$B125,date_range_board,M111,inputdata!$F:$F,"ED"),TEXT(SUMIFS(Comparison_Lookup,site_level_range_board,$B125,date_range_board,M111,inputdata!$F:$F,"ED")/SUMIFS(All_Attendances,site_level_range_board,$B125,date_range_board,M111,inputdata!$F:$F,"ED"),"0.0%")),IF(LEFT($B$7,6)="Number",SUMIFS(Comparison_Lookup,site_level_range_board,$B125,date_range_board,M111),TEXT(SUMIFS(Comparison_Lookup,site_level_range_board,$B125,date_range_board,M111)/SUMIFS(All_Attendances,site_level_range_board,$B125,date_range_board,M111),"0.0%"))),"")</f>
        <v>100.0%</v>
      </c>
      <c r="N125" s="172" t="str">
        <f ca="1">IFERROR(IF(ISNUMBER(FIND("ED only",$B$4)),IF(LEFT($B$7,6)="Number",SUMIFS(Comparison_Lookup,site_level_range_board,$B125,date_range_board,N111,inputdata!$F:$F,"ED"),TEXT(SUMIFS(Comparison_Lookup,site_level_range_board,$B125,date_range_board,N111,inputdata!$F:$F,"ED")/SUMIFS(All_Attendances,site_level_range_board,$B125,date_range_board,N111,inputdata!$F:$F,"ED"),"0.0%")),IF(LEFT($B$7,6)="Number",SUMIFS(Comparison_Lookup,site_level_range_board,$B125,date_range_board,N111),TEXT(SUMIFS(Comparison_Lookup,site_level_range_board,$B125,date_range_board,N111)/SUMIFS(All_Attendances,site_level_range_board,$B125,date_range_board,N111),"0.0%"))),"")</f>
        <v>99.3%</v>
      </c>
    </row>
    <row r="126" spans="1:14" ht="15" customHeight="1" x14ac:dyDescent="0.2">
      <c r="A126" s="132"/>
      <c r="B126" s="170" t="s">
        <v>406</v>
      </c>
      <c r="C126" s="169" t="str">
        <f ca="1">IFERROR(IF(ISNUMBER(FIND("ED only",$B$4)),IF(LEFT($B$7,6)="Number",SUMIFS(Comparison_Lookup,date_range_board,C111,inputdata!$F:$F,"ED"),TEXT(SUMIFS(Comparison_Lookup,date_range_board,C111,inputdata!$F:$F,"ED")/SUMIFS(All_Attendances,date_range_board,C111,inputdata!$F:$F,"ED"),"0.0%")),IF(LEFT($B$7,6)="Number",SUMIFS(Comparison_Lookup,date_range_board,C111),TEXT(SUMIFS(Comparison_Lookup,date_range_board,C111)/SUMIFS(All_Attendances,date_range_board,C111
        ),"0.0%"))),"")</f>
        <v>95.1%</v>
      </c>
      <c r="D126" s="169" t="str">
        <f ca="1">IFERROR(IF(ISNUMBER(FIND("ED only",$B$4)),IF(LEFT($B$7,6)="Number",SUMIFS(Comparison_Lookup,date_range_board,D111,inputdata!$F:$F,"ED"),TEXT(SUMIFS(Comparison_Lookup,date_range_board,D111,inputdata!$F:$F,"ED")/SUMIFS(All_Attendances,date_range_board,D111,inputdata!$F:$F,"ED"),"0.0%")),IF(LEFT($B$7,6)="Number",SUMIFS(Comparison_Lookup,date_range_board,D111),TEXT(SUMIFS(Comparison_Lookup,date_range_board,D111)/SUMIFS(All_Attendances,date_range_board,D111
        ),"0.0%"))),"")</f>
        <v>94.5%</v>
      </c>
      <c r="E126" s="169" t="str">
        <f ca="1">IFERROR(IF(ISNUMBER(FIND("ED only",$B$4)),IF(LEFT($B$7,6)="Number",SUMIFS(Comparison_Lookup,date_range_board,E111,inputdata!$F:$F,"ED"),TEXT(SUMIFS(Comparison_Lookup,date_range_board,E111,inputdata!$F:$F,"ED")/SUMIFS(All_Attendances,date_range_board,E111,inputdata!$F:$F,"ED"),"0.0%")),IF(LEFT($B$7,6)="Number",SUMIFS(Comparison_Lookup,date_range_board,E111),TEXT(SUMIFS(Comparison_Lookup,date_range_board,E111)/SUMIFS(All_Attendances,date_range_board,E111
        ),"0.0%"))),"")</f>
        <v>95.7%</v>
      </c>
      <c r="F126" s="169" t="str">
        <f ca="1">IFERROR(IF(ISNUMBER(FIND("ED only",$B$4)),IF(LEFT($B$7,6)="Number",SUMIFS(Comparison_Lookup,date_range_board,F111,inputdata!$F:$F,"ED"),TEXT(SUMIFS(Comparison_Lookup,date_range_board,F111,inputdata!$F:$F,"ED")/SUMIFS(All_Attendances,date_range_board,F111,inputdata!$F:$F,"ED"),"0.0%")),IF(LEFT($B$7,6)="Number",SUMIFS(Comparison_Lookup,date_range_board,F111),TEXT(SUMIFS(Comparison_Lookup,date_range_board,F111)/SUMIFS(All_Attendances,date_range_board,F111
        ),"0.0%"))),"")</f>
        <v>95.8%</v>
      </c>
      <c r="G126" s="169" t="str">
        <f ca="1">IFERROR(IF(ISNUMBER(FIND("ED only",$B$4)),IF(LEFT($B$7,6)="Number",SUMIFS(Comparison_Lookup,date_range_board,G111,inputdata!$F:$F,"ED"),TEXT(SUMIFS(Comparison_Lookup,date_range_board,G111,inputdata!$F:$F,"ED")/SUMIFS(All_Attendances,date_range_board,G111,inputdata!$F:$F,"ED"),"0.0%")),IF(LEFT($B$7,6)="Number",SUMIFS(Comparison_Lookup,date_range_board,G111),TEXT(SUMIFS(Comparison_Lookup,date_range_board,G111)/SUMIFS(All_Attendances,date_range_board,G111
        ),"0.0%"))),"")</f>
        <v>94.8%</v>
      </c>
      <c r="H126" s="169" t="str">
        <f ca="1">IFERROR(IF(ISNUMBER(FIND("ED only",$B$4)),IF(LEFT($B$7,6)="Number",SUMIFS(Comparison_Lookup,date_range_board,H111,inputdata!$F:$F,"ED"),TEXT(SUMIFS(Comparison_Lookup,date_range_board,H111,inputdata!$F:$F,"ED")/SUMIFS(All_Attendances,date_range_board,H111,inputdata!$F:$F,"ED"),"0.0%")),IF(LEFT($B$7,6)="Number",SUMIFS(Comparison_Lookup,date_range_board,H111),TEXT(SUMIFS(Comparison_Lookup,date_range_board,H111)/SUMIFS(All_Attendances,date_range_board,H111
        ),"0.0%"))),"")</f>
        <v>94.9%</v>
      </c>
      <c r="I126" s="169" t="str">
        <f ca="1">IFERROR(IF(ISNUMBER(FIND("ED only",$B$4)),IF(LEFT($B$7,6)="Number",SUMIFS(Comparison_Lookup,date_range_board,I111,inputdata!$F:$F,"ED"),TEXT(SUMIFS(Comparison_Lookup,date_range_board,I111,inputdata!$F:$F,"ED")/SUMIFS(All_Attendances,date_range_board,I111,inputdata!$F:$F,"ED"),"0.0%")),IF(LEFT($B$7,6)="Number",SUMIFS(Comparison_Lookup,date_range_board,I111),TEXT(SUMIFS(Comparison_Lookup,date_range_board,I111)/SUMIFS(All_Attendances,date_range_board,I111
        ),"0.0%"))),"")</f>
        <v>93.9%</v>
      </c>
      <c r="J126" s="169" t="str">
        <f ca="1">IFERROR(IF(ISNUMBER(FIND("ED only",$B$4)),IF(LEFT($B$7,6)="Number",SUMIFS(Comparison_Lookup,date_range_board,J111,inputdata!$F:$F,"ED"),TEXT(SUMIFS(Comparison_Lookup,date_range_board,J111,inputdata!$F:$F,"ED")/SUMIFS(All_Attendances,date_range_board,J111,inputdata!$F:$F,"ED"),"0.0%")),IF(LEFT($B$7,6)="Number",SUMIFS(Comparison_Lookup,date_range_board,J111),TEXT(SUMIFS(Comparison_Lookup,date_range_board,J111)/SUMIFS(All_Attendances,date_range_board,J111
        ),"0.0%"))),"")</f>
        <v>93.6%</v>
      </c>
      <c r="K126" s="169" t="str">
        <f ca="1">IFERROR(IF(ISNUMBER(FIND("ED only",$B$4)),IF(LEFT($B$7,6)="Number",SUMIFS(Comparison_Lookup,date_range_board,K111,inputdata!$F:$F,"ED"),TEXT(SUMIFS(Comparison_Lookup,date_range_board,K111,inputdata!$F:$F,"ED")/SUMIFS(All_Attendances,date_range_board,K111,inputdata!$F:$F,"ED"),"0.0%")),IF(LEFT($B$7,6)="Number",SUMIFS(Comparison_Lookup,date_range_board,K111),TEXT(SUMIFS(Comparison_Lookup,date_range_board,K111)/SUMIFS(All_Attendances,date_range_board,K111
        ),"0.0%"))),"")</f>
        <v>92.6%</v>
      </c>
      <c r="L126" s="169" t="str">
        <f ca="1">IFERROR(IF(ISNUMBER(FIND("ED only",$B$4)),IF(LEFT($B$7,6)="Number",SUMIFS(Comparison_Lookup,date_range_board,L111,inputdata!$F:$F,"ED"),TEXT(SUMIFS(Comparison_Lookup,date_range_board,L111,inputdata!$F:$F,"ED")/SUMIFS(All_Attendances,date_range_board,L111,inputdata!$F:$F,"ED"),"0.0%")),IF(LEFT($B$7,6)="Number",SUMIFS(Comparison_Lookup,date_range_board,L111),TEXT(SUMIFS(Comparison_Lookup,date_range_board,L111)/SUMIFS(All_Attendances,date_range_board,L111
        ),"0.0%"))),"")</f>
        <v>91.9%</v>
      </c>
      <c r="M126" s="169" t="str">
        <f ca="1">IFERROR(IF(ISNUMBER(FIND("ED only",$B$4)),IF(LEFT($B$7,6)="Number",SUMIFS(Comparison_Lookup,date_range_board,M111,inputdata!$F:$F,"ED"),TEXT(SUMIFS(Comparison_Lookup,date_range_board,M111,inputdata!$F:$F,"ED")/SUMIFS(All_Attendances,date_range_board,M111,inputdata!$F:$F,"ED"),"0.0%")),IF(LEFT($B$7,6)="Number",SUMIFS(Comparison_Lookup,date_range_board,M111),TEXT(SUMIFS(Comparison_Lookup,date_range_board,M111)/SUMIFS(All_Attendances,date_range_board,M111
        ),"0.0%"))),"")</f>
        <v>92.5%</v>
      </c>
      <c r="N126" s="173" t="str">
        <f ca="1">IFERROR(IF(ISNUMBER(FIND("ED only",$B$4)),IF(LEFT($B$7,6)="Number",SUMIFS(Comparison_Lookup,date_range_board,N111,inputdata!$F:$F,"ED"),TEXT(SUMIFS(Comparison_Lookup,date_range_board,N111,inputdata!$F:$F,"ED")/SUMIFS(All_Attendances,date_range_board,N111,inputdata!$F:$F,"ED"),"0.0%")),IF(LEFT($B$7,6)="Number",SUMIFS(Comparison_Lookup,date_range_board,N111),TEXT(SUMIFS(Comparison_Lookup,date_range_board,N111)/SUMIFS(All_Attendances,date_range_board,N111
        ),"0.0%"))),"")</f>
        <v>93.8%</v>
      </c>
    </row>
    <row r="127" spans="1:14" ht="15" customHeight="1" x14ac:dyDescent="0.2">
      <c r="B127" s="127"/>
      <c r="C127" s="127"/>
      <c r="D127" s="127"/>
      <c r="E127" s="127"/>
      <c r="F127" s="127"/>
      <c r="G127" s="127"/>
      <c r="H127" s="127"/>
      <c r="I127" s="127"/>
      <c r="J127" s="127"/>
      <c r="K127" s="127"/>
      <c r="L127" s="127"/>
      <c r="M127" s="127"/>
      <c r="N127" s="127"/>
    </row>
    <row r="128" spans="1:14" ht="15" customHeight="1" x14ac:dyDescent="0.25">
      <c r="A128" s="132"/>
      <c r="B128" s="153" t="str">
        <f>IF(ISNUMBER(FIND("ED only",$B$4)),"2015/2016 (ED Only)","2015/2016")</f>
        <v>2015/2016</v>
      </c>
      <c r="C128" s="149">
        <v>42124</v>
      </c>
      <c r="D128" s="149">
        <v>42155</v>
      </c>
      <c r="E128" s="149">
        <v>42185</v>
      </c>
      <c r="F128" s="149">
        <v>42216</v>
      </c>
      <c r="G128" s="149">
        <v>42247</v>
      </c>
      <c r="H128" s="149">
        <v>42277</v>
      </c>
      <c r="I128" s="149">
        <v>42308</v>
      </c>
      <c r="J128" s="149">
        <v>42338</v>
      </c>
      <c r="K128" s="149">
        <v>42369</v>
      </c>
      <c r="L128" s="149">
        <v>42400</v>
      </c>
      <c r="M128" s="149">
        <v>42429</v>
      </c>
      <c r="N128" s="158">
        <v>42460</v>
      </c>
    </row>
    <row r="129" spans="1:14" ht="15" customHeight="1" x14ac:dyDescent="0.2">
      <c r="A129" s="132"/>
      <c r="B129" s="152" t="s">
        <v>407</v>
      </c>
      <c r="C129" s="165" t="str">
        <f ca="1">IFERROR(IF(ISNUMBER(FIND("ED only",$B$4)),IF(LEFT($B$7,6)="Number",SUMIFS(Comparison_Lookup,site_level_range_board,$B129,date_range_board,C128,inputdata!$F:$F,"ED"),TEXT(SUMIFS(Comparison_Lookup,site_level_range_board,$B129,date_range_board,C128,inputdata!$F:$F,"ED")/SUMIFS(All_Attendances,site_level_range_board,$B129,date_range_board,C128,inputdata!$F:$F,"ED"),"0.0%")),IF(LEFT($B$7,6)="Number",SUMIFS(Comparison_Lookup,site_level_range_board,$B129,date_range_board,C128),TEXT(SUMIFS(Comparison_Lookup,site_level_range_board,$B129,date_range_board,C128)/SUMIFS(All_Attendances,site_level_range_board,$B129,date_range_board,C128),"0.0%"))),"")</f>
        <v>88.3%</v>
      </c>
      <c r="D129" s="165" t="str">
        <f ca="1">IFERROR(IF(ISNUMBER(FIND("ED only",$B$4)),IF(LEFT($B$7,6)="Number",SUMIFS(Comparison_Lookup,site_level_range_board,$B129,date_range_board,D128,inputdata!$F:$F,"ED"),TEXT(SUMIFS(Comparison_Lookup,site_level_range_board,$B129,date_range_board,D128,inputdata!$F:$F,"ED")/SUMIFS(All_Attendances,site_level_range_board,$B129,date_range_board,D128,inputdata!$F:$F,"ED"),"0.0%")),IF(LEFT($B$7,6)="Number",SUMIFS(Comparison_Lookup,site_level_range_board,$B129,date_range_board,D128),TEXT(SUMIFS(Comparison_Lookup,site_level_range_board,$B129,date_range_board,D128)/SUMIFS(All_Attendances,site_level_range_board,$B129,date_range_board,D128),"0.0%"))),"")</f>
        <v>88.8%</v>
      </c>
      <c r="E129" s="165" t="str">
        <f ca="1">IFERROR(IF(ISNUMBER(FIND("ED only",$B$4)),IF(LEFT($B$7,6)="Number",SUMIFS(Comparison_Lookup,site_level_range_board,$B129,date_range_board,E128,inputdata!$F:$F,"ED"),TEXT(SUMIFS(Comparison_Lookup,site_level_range_board,$B129,date_range_board,E128,inputdata!$F:$F,"ED")/SUMIFS(All_Attendances,site_level_range_board,$B129,date_range_board,E128,inputdata!$F:$F,"ED"),"0.0%")),IF(LEFT($B$7,6)="Number",SUMIFS(Comparison_Lookup,site_level_range_board,$B129,date_range_board,E128),TEXT(SUMIFS(Comparison_Lookup,site_level_range_board,$B129,date_range_board,E128)/SUMIFS(All_Attendances,site_level_range_board,$B129,date_range_board,E128),"0.0%"))),"")</f>
        <v>92.0%</v>
      </c>
      <c r="F129" s="165" t="str">
        <f ca="1">IFERROR(IF(ISNUMBER(FIND("ED only",$B$4)),IF(LEFT($B$7,6)="Number",SUMIFS(Comparison_Lookup,site_level_range_board,$B129,date_range_board,F128,inputdata!$F:$F,"ED"),TEXT(SUMIFS(Comparison_Lookup,site_level_range_board,$B129,date_range_board,F128,inputdata!$F:$F,"ED")/SUMIFS(All_Attendances,site_level_range_board,$B129,date_range_board,F128,inputdata!$F:$F,"ED"),"0.0%")),IF(LEFT($B$7,6)="Number",SUMIFS(Comparison_Lookup,site_level_range_board,$B129,date_range_board,F128),TEXT(SUMIFS(Comparison_Lookup,site_level_range_board,$B129,date_range_board,F128)/SUMIFS(All_Attendances,site_level_range_board,$B129,date_range_board,F128),"0.0%"))),"")</f>
        <v>95.5%</v>
      </c>
      <c r="G129" s="165" t="str">
        <f ca="1">IFERROR(IF(ISNUMBER(FIND("ED only",$B$4)),IF(LEFT($B$7,6)="Number",SUMIFS(Comparison_Lookup,site_level_range_board,$B129,date_range_board,G128,inputdata!$F:$F,"ED"),TEXT(SUMIFS(Comparison_Lookup,site_level_range_board,$B129,date_range_board,G128,inputdata!$F:$F,"ED")/SUMIFS(All_Attendances,site_level_range_board,$B129,date_range_board,G128,inputdata!$F:$F,"ED"),"0.0%")),IF(LEFT($B$7,6)="Number",SUMIFS(Comparison_Lookup,site_level_range_board,$B129,date_range_board,G128),TEXT(SUMIFS(Comparison_Lookup,site_level_range_board,$B129,date_range_board,G128)/SUMIFS(All_Attendances,site_level_range_board,$B129,date_range_board,G128),"0.0%"))),"")</f>
        <v>95.2%</v>
      </c>
      <c r="H129" s="165" t="str">
        <f ca="1">IFERROR(IF(ISNUMBER(FIND("ED only",$B$4)),IF(LEFT($B$7,6)="Number",SUMIFS(Comparison_Lookup,site_level_range_board,$B129,date_range_board,H128,inputdata!$F:$F,"ED"),TEXT(SUMIFS(Comparison_Lookup,site_level_range_board,$B129,date_range_board,H128,inputdata!$F:$F,"ED")/SUMIFS(All_Attendances,site_level_range_board,$B129,date_range_board,H128,inputdata!$F:$F,"ED"),"0.0%")),IF(LEFT($B$7,6)="Number",SUMIFS(Comparison_Lookup,site_level_range_board,$B129,date_range_board,H128),TEXT(SUMIFS(Comparison_Lookup,site_level_range_board,$B129,date_range_board,H128)/SUMIFS(All_Attendances,site_level_range_board,$B129,date_range_board,H128),"0.0%"))),"")</f>
        <v>92.5%</v>
      </c>
      <c r="I129" s="165" t="str">
        <f ca="1">IFERROR(IF(ISNUMBER(FIND("ED only",$B$4)),IF(LEFT($B$7,6)="Number",SUMIFS(Comparison_Lookup,site_level_range_board,$B129,date_range_board,I128,inputdata!$F:$F,"ED"),TEXT(SUMIFS(Comparison_Lookup,site_level_range_board,$B129,date_range_board,I128,inputdata!$F:$F,"ED")/SUMIFS(All_Attendances,site_level_range_board,$B129,date_range_board,I128,inputdata!$F:$F,"ED"),"0.0%")),IF(LEFT($B$7,6)="Number",SUMIFS(Comparison_Lookup,site_level_range_board,$B129,date_range_board,I128),TEXT(SUMIFS(Comparison_Lookup,site_level_range_board,$B129,date_range_board,I128)/SUMIFS(All_Attendances,site_level_range_board,$B129,date_range_board,I128),"0.0%"))),"")</f>
        <v>89.7%</v>
      </c>
      <c r="J129" s="165" t="str">
        <f ca="1">IFERROR(IF(ISNUMBER(FIND("ED only",$B$4)),IF(LEFT($B$7,6)="Number",SUMIFS(Comparison_Lookup,site_level_range_board,$B129,date_range_board,J128,inputdata!$F:$F,"ED"),TEXT(SUMIFS(Comparison_Lookup,site_level_range_board,$B129,date_range_board,J128,inputdata!$F:$F,"ED")/SUMIFS(All_Attendances,site_level_range_board,$B129,date_range_board,J128,inputdata!$F:$F,"ED"),"0.0%")),IF(LEFT($B$7,6)="Number",SUMIFS(Comparison_Lookup,site_level_range_board,$B129,date_range_board,J128),TEXT(SUMIFS(Comparison_Lookup,site_level_range_board,$B129,date_range_board,J128)/SUMIFS(All_Attendances,site_level_range_board,$B129,date_range_board,J128),"0.0%"))),"")</f>
        <v>91.9%</v>
      </c>
      <c r="K129" s="165" t="str">
        <f ca="1">IFERROR(IF(ISNUMBER(FIND("ED only",$B$4)),IF(LEFT($B$7,6)="Number",SUMIFS(Comparison_Lookup,site_level_range_board,$B129,date_range_board,K128,inputdata!$F:$F,"ED"),TEXT(SUMIFS(Comparison_Lookup,site_level_range_board,$B129,date_range_board,K128,inputdata!$F:$F,"ED")/SUMIFS(All_Attendances,site_level_range_board,$B129,date_range_board,K128,inputdata!$F:$F,"ED"),"0.0%")),IF(LEFT($B$7,6)="Number",SUMIFS(Comparison_Lookup,site_level_range_board,$B129,date_range_board,K128),TEXT(SUMIFS(Comparison_Lookup,site_level_range_board,$B129,date_range_board,K128)/SUMIFS(All_Attendances,site_level_range_board,$B129,date_range_board,K128),"0.0%"))),"")</f>
        <v>97.4%</v>
      </c>
      <c r="L129" s="165" t="str">
        <f ca="1">IFERROR(IF(ISNUMBER(FIND("ED only",$B$4)),IF(LEFT($B$7,6)="Number",SUMIFS(Comparison_Lookup,site_level_range_board,$B129,date_range_board,L128,inputdata!$F:$F,"ED"),TEXT(SUMIFS(Comparison_Lookup,site_level_range_board,$B129,date_range_board,L128,inputdata!$F:$F,"ED")/SUMIFS(All_Attendances,site_level_range_board,$B129,date_range_board,L128,inputdata!$F:$F,"ED"),"0.0%")),IF(LEFT($B$7,6)="Number",SUMIFS(Comparison_Lookup,site_level_range_board,$B129,date_range_board,L128),TEXT(SUMIFS(Comparison_Lookup,site_level_range_board,$B129,date_range_board,L128)/SUMIFS(All_Attendances,site_level_range_board,$B129,date_range_board,L128),"0.0%"))),"")</f>
        <v>90.9%</v>
      </c>
      <c r="M129" s="165" t="str">
        <f ca="1">IFERROR(IF(ISNUMBER(FIND("ED only",$B$4)),IF(LEFT($B$7,6)="Number",SUMIFS(Comparison_Lookup,site_level_range_board,$B129,date_range_board,M128,inputdata!$F:$F,"ED"),TEXT(SUMIFS(Comparison_Lookup,site_level_range_board,$B129,date_range_board,M128,inputdata!$F:$F,"ED")/SUMIFS(All_Attendances,site_level_range_board,$B129,date_range_board,M128,inputdata!$F:$F,"ED"),"0.0%")),IF(LEFT($B$7,6)="Number",SUMIFS(Comparison_Lookup,site_level_range_board,$B129,date_range_board,M128),TEXT(SUMIFS(Comparison_Lookup,site_level_range_board,$B129,date_range_board,M128)/SUMIFS(All_Attendances,site_level_range_board,$B129,date_range_board,M128),"0.0%"))),"")</f>
        <v>90.4%</v>
      </c>
      <c r="N129" s="171" t="str">
        <f ca="1">IFERROR(IF(ISNUMBER(FIND("ED only",$B$4)),IF(LEFT($B$7,6)="Number",SUMIFS(Comparison_Lookup,site_level_range_board,$B129,date_range_board,N128,inputdata!$F:$F,"ED"),TEXT(SUMIFS(Comparison_Lookup,site_level_range_board,$B129,date_range_board,N128,inputdata!$F:$F,"ED")/SUMIFS(All_Attendances,site_level_range_board,$B129,date_range_board,N128,inputdata!$F:$F,"ED"),"0.0%")),IF(LEFT($B$7,6)="Number",SUMIFS(Comparison_Lookup,site_level_range_board,$B129,date_range_board,N128),TEXT(SUMIFS(Comparison_Lookup,site_level_range_board,$B129,date_range_board,N128)/SUMIFS(All_Attendances,site_level_range_board,$B129,date_range_board,N128),"0.0%"))),"")</f>
        <v>91.2%</v>
      </c>
    </row>
    <row r="130" spans="1:14" ht="15" customHeight="1" x14ac:dyDescent="0.2">
      <c r="A130" s="132"/>
      <c r="B130" s="152" t="s">
        <v>418</v>
      </c>
      <c r="C130" s="165" t="str">
        <f ca="1">IFERROR(IF(ISNUMBER(FIND("ED only",$B$4)),IF(LEFT($B$7,6)="Number",SUMIFS(Comparison_Lookup,site_level_range_board,$B130,date_range_board,C128,inputdata!$F:$F,"ED"),TEXT(SUMIFS(Comparison_Lookup,site_level_range_board,$B130,date_range_board,C128,inputdata!$F:$F,"ED")/SUMIFS(All_Attendances,site_level_range_board,$B130,date_range_board,C128,inputdata!$F:$F,"ED"),"0.0%")),IF(LEFT($B$7,6)="Number",SUMIFS(Comparison_Lookup,site_level_range_board,$B130,date_range_board,C128),TEXT(SUMIFS(Comparison_Lookup,site_level_range_board,$B130,date_range_board,C128)/SUMIFS(All_Attendances,site_level_range_board,$B130,date_range_board,C128),"0.0%"))),"")</f>
        <v>95.1%</v>
      </c>
      <c r="D130" s="165" t="str">
        <f ca="1">IFERROR(IF(ISNUMBER(FIND("ED only",$B$4)),IF(LEFT($B$7,6)="Number",SUMIFS(Comparison_Lookup,site_level_range_board,$B130,date_range_board,D128,inputdata!$F:$F,"ED"),TEXT(SUMIFS(Comparison_Lookup,site_level_range_board,$B130,date_range_board,D128,inputdata!$F:$F,"ED")/SUMIFS(All_Attendances,site_level_range_board,$B130,date_range_board,D128,inputdata!$F:$F,"ED"),"0.0%")),IF(LEFT($B$7,6)="Number",SUMIFS(Comparison_Lookup,site_level_range_board,$B130,date_range_board,D128),TEXT(SUMIFS(Comparison_Lookup,site_level_range_board,$B130,date_range_board,D128)/SUMIFS(All_Attendances,site_level_range_board,$B130,date_range_board,D128),"0.0%"))),"")</f>
        <v>96.7%</v>
      </c>
      <c r="E130" s="165" t="str">
        <f ca="1">IFERROR(IF(ISNUMBER(FIND("ED only",$B$4)),IF(LEFT($B$7,6)="Number",SUMIFS(Comparison_Lookup,site_level_range_board,$B130,date_range_board,E128,inputdata!$F:$F,"ED"),TEXT(SUMIFS(Comparison_Lookup,site_level_range_board,$B130,date_range_board,E128,inputdata!$F:$F,"ED")/SUMIFS(All_Attendances,site_level_range_board,$B130,date_range_board,E128,inputdata!$F:$F,"ED"),"0.0%")),IF(LEFT($B$7,6)="Number",SUMIFS(Comparison_Lookup,site_level_range_board,$B130,date_range_board,E128),TEXT(SUMIFS(Comparison_Lookup,site_level_range_board,$B130,date_range_board,E128)/SUMIFS(All_Attendances,site_level_range_board,$B130,date_range_board,E128),"0.0%"))),"")</f>
        <v>96.6%</v>
      </c>
      <c r="F130" s="165" t="str">
        <f ca="1">IFERROR(IF(ISNUMBER(FIND("ED only",$B$4)),IF(LEFT($B$7,6)="Number",SUMIFS(Comparison_Lookup,site_level_range_board,$B130,date_range_board,F128,inputdata!$F:$F,"ED"),TEXT(SUMIFS(Comparison_Lookup,site_level_range_board,$B130,date_range_board,F128,inputdata!$F:$F,"ED")/SUMIFS(All_Attendances,site_level_range_board,$B130,date_range_board,F128,inputdata!$F:$F,"ED"),"0.0%")),IF(LEFT($B$7,6)="Number",SUMIFS(Comparison_Lookup,site_level_range_board,$B130,date_range_board,F128),TEXT(SUMIFS(Comparison_Lookup,site_level_range_board,$B130,date_range_board,F128)/SUMIFS(All_Attendances,site_level_range_board,$B130,date_range_board,F128),"0.0%"))),"")</f>
        <v>97.3%</v>
      </c>
      <c r="G130" s="165" t="str">
        <f ca="1">IFERROR(IF(ISNUMBER(FIND("ED only",$B$4)),IF(LEFT($B$7,6)="Number",SUMIFS(Comparison_Lookup,site_level_range_board,$B130,date_range_board,G128,inputdata!$F:$F,"ED"),TEXT(SUMIFS(Comparison_Lookup,site_level_range_board,$B130,date_range_board,G128,inputdata!$F:$F,"ED")/SUMIFS(All_Attendances,site_level_range_board,$B130,date_range_board,G128,inputdata!$F:$F,"ED"),"0.0%")),IF(LEFT($B$7,6)="Number",SUMIFS(Comparison_Lookup,site_level_range_board,$B130,date_range_board,G128),TEXT(SUMIFS(Comparison_Lookup,site_level_range_board,$B130,date_range_board,G128)/SUMIFS(All_Attendances,site_level_range_board,$B130,date_range_board,G128),"0.0%"))),"")</f>
        <v>96.8%</v>
      </c>
      <c r="H130" s="165" t="str">
        <f ca="1">IFERROR(IF(ISNUMBER(FIND("ED only",$B$4)),IF(LEFT($B$7,6)="Number",SUMIFS(Comparison_Lookup,site_level_range_board,$B130,date_range_board,H128,inputdata!$F:$F,"ED"),TEXT(SUMIFS(Comparison_Lookup,site_level_range_board,$B130,date_range_board,H128,inputdata!$F:$F,"ED")/SUMIFS(All_Attendances,site_level_range_board,$B130,date_range_board,H128,inputdata!$F:$F,"ED"),"0.0%")),IF(LEFT($B$7,6)="Number",SUMIFS(Comparison_Lookup,site_level_range_board,$B130,date_range_board,H128),TEXT(SUMIFS(Comparison_Lookup,site_level_range_board,$B130,date_range_board,H128)/SUMIFS(All_Attendances,site_level_range_board,$B130,date_range_board,H128),"0.0%"))),"")</f>
        <v>96.8%</v>
      </c>
      <c r="I130" s="165" t="str">
        <f ca="1">IFERROR(IF(ISNUMBER(FIND("ED only",$B$4)),IF(LEFT($B$7,6)="Number",SUMIFS(Comparison_Lookup,site_level_range_board,$B130,date_range_board,I128,inputdata!$F:$F,"ED"),TEXT(SUMIFS(Comparison_Lookup,site_level_range_board,$B130,date_range_board,I128,inputdata!$F:$F,"ED")/SUMIFS(All_Attendances,site_level_range_board,$B130,date_range_board,I128,inputdata!$F:$F,"ED"),"0.0%")),IF(LEFT($B$7,6)="Number",SUMIFS(Comparison_Lookup,site_level_range_board,$B130,date_range_board,I128),TEXT(SUMIFS(Comparison_Lookup,site_level_range_board,$B130,date_range_board,I128)/SUMIFS(All_Attendances,site_level_range_board,$B130,date_range_board,I128),"0.0%"))),"")</f>
        <v>96.2%</v>
      </c>
      <c r="J130" s="165" t="str">
        <f ca="1">IFERROR(IF(ISNUMBER(FIND("ED only",$B$4)),IF(LEFT($B$7,6)="Number",SUMIFS(Comparison_Lookup,site_level_range_board,$B130,date_range_board,J128,inputdata!$F:$F,"ED"),TEXT(SUMIFS(Comparison_Lookup,site_level_range_board,$B130,date_range_board,J128,inputdata!$F:$F,"ED")/SUMIFS(All_Attendances,site_level_range_board,$B130,date_range_board,J128,inputdata!$F:$F,"ED"),"0.0%")),IF(LEFT($B$7,6)="Number",SUMIFS(Comparison_Lookup,site_level_range_board,$B130,date_range_board,J128),TEXT(SUMIFS(Comparison_Lookup,site_level_range_board,$B130,date_range_board,J128)/SUMIFS(All_Attendances,site_level_range_board,$B130,date_range_board,J128),"0.0%"))),"")</f>
        <v>97.4%</v>
      </c>
      <c r="K130" s="165" t="str">
        <f ca="1">IFERROR(IF(ISNUMBER(FIND("ED only",$B$4)),IF(LEFT($B$7,6)="Number",SUMIFS(Comparison_Lookup,site_level_range_board,$B130,date_range_board,K128,inputdata!$F:$F,"ED"),TEXT(SUMIFS(Comparison_Lookup,site_level_range_board,$B130,date_range_board,K128,inputdata!$F:$F,"ED")/SUMIFS(All_Attendances,site_level_range_board,$B130,date_range_board,K128,inputdata!$F:$F,"ED"),"0.0%")),IF(LEFT($B$7,6)="Number",SUMIFS(Comparison_Lookup,site_level_range_board,$B130,date_range_board,K128),TEXT(SUMIFS(Comparison_Lookup,site_level_range_board,$B130,date_range_board,K128)/SUMIFS(All_Attendances,site_level_range_board,$B130,date_range_board,K128),"0.0%"))),"")</f>
        <v>97.1%</v>
      </c>
      <c r="L130" s="165" t="str">
        <f ca="1">IFERROR(IF(ISNUMBER(FIND("ED only",$B$4)),IF(LEFT($B$7,6)="Number",SUMIFS(Comparison_Lookup,site_level_range_board,$B130,date_range_board,L128,inputdata!$F:$F,"ED"),TEXT(SUMIFS(Comparison_Lookup,site_level_range_board,$B130,date_range_board,L128,inputdata!$F:$F,"ED")/SUMIFS(All_Attendances,site_level_range_board,$B130,date_range_board,L128,inputdata!$F:$F,"ED"),"0.0%")),IF(LEFT($B$7,6)="Number",SUMIFS(Comparison_Lookup,site_level_range_board,$B130,date_range_board,L128),TEXT(SUMIFS(Comparison_Lookup,site_level_range_board,$B130,date_range_board,L128)/SUMIFS(All_Attendances,site_level_range_board,$B130,date_range_board,L128),"0.0%"))),"")</f>
        <v>96.9%</v>
      </c>
      <c r="M130" s="165" t="str">
        <f ca="1">IFERROR(IF(ISNUMBER(FIND("ED only",$B$4)),IF(LEFT($B$7,6)="Number",SUMIFS(Comparison_Lookup,site_level_range_board,$B130,date_range_board,M128,inputdata!$F:$F,"ED"),TEXT(SUMIFS(Comparison_Lookup,site_level_range_board,$B130,date_range_board,M128,inputdata!$F:$F,"ED")/SUMIFS(All_Attendances,site_level_range_board,$B130,date_range_board,M128,inputdata!$F:$F,"ED"),"0.0%")),IF(LEFT($B$7,6)="Number",SUMIFS(Comparison_Lookup,site_level_range_board,$B130,date_range_board,M128),TEXT(SUMIFS(Comparison_Lookup,site_level_range_board,$B130,date_range_board,M128)/SUMIFS(All_Attendances,site_level_range_board,$B130,date_range_board,M128),"0.0%"))),"")</f>
        <v>95.3%</v>
      </c>
      <c r="N130" s="171" t="str">
        <f ca="1">IFERROR(IF(ISNUMBER(FIND("ED only",$B$4)),IF(LEFT($B$7,6)="Number",SUMIFS(Comparison_Lookup,site_level_range_board,$B130,date_range_board,N128,inputdata!$F:$F,"ED"),TEXT(SUMIFS(Comparison_Lookup,site_level_range_board,$B130,date_range_board,N128,inputdata!$F:$F,"ED")/SUMIFS(All_Attendances,site_level_range_board,$B130,date_range_board,N128,inputdata!$F:$F,"ED"),"0.0%")),IF(LEFT($B$7,6)="Number",SUMIFS(Comparison_Lookup,site_level_range_board,$B130,date_range_board,N128),TEXT(SUMIFS(Comparison_Lookup,site_level_range_board,$B130,date_range_board,N128)/SUMIFS(All_Attendances,site_level_range_board,$B130,date_range_board,N128),"0.0%"))),"")</f>
        <v>94.9%</v>
      </c>
    </row>
    <row r="131" spans="1:14" ht="15" customHeight="1" x14ac:dyDescent="0.2">
      <c r="A131" s="132"/>
      <c r="B131" s="152" t="s">
        <v>429</v>
      </c>
      <c r="C131" s="165" t="str">
        <f ca="1">IFERROR(IF(ISNUMBER(FIND("ED only",$B$4)),IF(LEFT($B$7,6)="Number",SUMIFS(Comparison_Lookup,site_level_range_board,$B131,date_range_board,C128,inputdata!$F:$F,"ED"),TEXT(SUMIFS(Comparison_Lookup,site_level_range_board,$B131,date_range_board,C128,inputdata!$F:$F,"ED")/SUMIFS(All_Attendances,site_level_range_board,$B131,date_range_board,C128,inputdata!$F:$F,"ED"),"0.0%")),IF(LEFT($B$7,6)="Number",SUMIFS(Comparison_Lookup,site_level_range_board,$B131,date_range_board,C128),TEXT(SUMIFS(Comparison_Lookup,site_level_range_board,$B131,date_range_board,C128)/SUMIFS(All_Attendances,site_level_range_board,$B131,date_range_board,C128),"0.0%"))),"")</f>
        <v>96.2%</v>
      </c>
      <c r="D131" s="165" t="str">
        <f ca="1">IFERROR(IF(ISNUMBER(FIND("ED only",$B$4)),IF(LEFT($B$7,6)="Number",SUMIFS(Comparison_Lookup,site_level_range_board,$B131,date_range_board,D128,inputdata!$F:$F,"ED"),TEXT(SUMIFS(Comparison_Lookup,site_level_range_board,$B131,date_range_board,D128,inputdata!$F:$F,"ED")/SUMIFS(All_Attendances,site_level_range_board,$B131,date_range_board,D128,inputdata!$F:$F,"ED"),"0.0%")),IF(LEFT($B$7,6)="Number",SUMIFS(Comparison_Lookup,site_level_range_board,$B131,date_range_board,D128),TEXT(SUMIFS(Comparison_Lookup,site_level_range_board,$B131,date_range_board,D128)/SUMIFS(All_Attendances,site_level_range_board,$B131,date_range_board,D128),"0.0%"))),"")</f>
        <v>97.3%</v>
      </c>
      <c r="E131" s="165" t="str">
        <f ca="1">IFERROR(IF(ISNUMBER(FIND("ED only",$B$4)),IF(LEFT($B$7,6)="Number",SUMIFS(Comparison_Lookup,site_level_range_board,$B131,date_range_board,E128,inputdata!$F:$F,"ED"),TEXT(SUMIFS(Comparison_Lookup,site_level_range_board,$B131,date_range_board,E128,inputdata!$F:$F,"ED")/SUMIFS(All_Attendances,site_level_range_board,$B131,date_range_board,E128,inputdata!$F:$F,"ED"),"0.0%")),IF(LEFT($B$7,6)="Number",SUMIFS(Comparison_Lookup,site_level_range_board,$B131,date_range_board,E128),TEXT(SUMIFS(Comparison_Lookup,site_level_range_board,$B131,date_range_board,E128)/SUMIFS(All_Attendances,site_level_range_board,$B131,date_range_board,E128),"0.0%"))),"")</f>
        <v>97.5%</v>
      </c>
      <c r="F131" s="165" t="str">
        <f ca="1">IFERROR(IF(ISNUMBER(FIND("ED only",$B$4)),IF(LEFT($B$7,6)="Number",SUMIFS(Comparison_Lookup,site_level_range_board,$B131,date_range_board,F128,inputdata!$F:$F,"ED"),TEXT(SUMIFS(Comparison_Lookup,site_level_range_board,$B131,date_range_board,F128,inputdata!$F:$F,"ED")/SUMIFS(All_Attendances,site_level_range_board,$B131,date_range_board,F128,inputdata!$F:$F,"ED"),"0.0%")),IF(LEFT($B$7,6)="Number",SUMIFS(Comparison_Lookup,site_level_range_board,$B131,date_range_board,F128),TEXT(SUMIFS(Comparison_Lookup,site_level_range_board,$B131,date_range_board,F128)/SUMIFS(All_Attendances,site_level_range_board,$B131,date_range_board,F128),"0.0%"))),"")</f>
        <v>97.5%</v>
      </c>
      <c r="G131" s="165" t="str">
        <f ca="1">IFERROR(IF(ISNUMBER(FIND("ED only",$B$4)),IF(LEFT($B$7,6)="Number",SUMIFS(Comparison_Lookup,site_level_range_board,$B131,date_range_board,G128,inputdata!$F:$F,"ED"),TEXT(SUMIFS(Comparison_Lookup,site_level_range_board,$B131,date_range_board,G128,inputdata!$F:$F,"ED")/SUMIFS(All_Attendances,site_level_range_board,$B131,date_range_board,G128,inputdata!$F:$F,"ED"),"0.0%")),IF(LEFT($B$7,6)="Number",SUMIFS(Comparison_Lookup,site_level_range_board,$B131,date_range_board,G128),TEXT(SUMIFS(Comparison_Lookup,site_level_range_board,$B131,date_range_board,G128)/SUMIFS(All_Attendances,site_level_range_board,$B131,date_range_board,G128),"0.0%"))),"")</f>
        <v>98.0%</v>
      </c>
      <c r="H131" s="165" t="str">
        <f ca="1">IFERROR(IF(ISNUMBER(FIND("ED only",$B$4)),IF(LEFT($B$7,6)="Number",SUMIFS(Comparison_Lookup,site_level_range_board,$B131,date_range_board,H128,inputdata!$F:$F,"ED"),TEXT(SUMIFS(Comparison_Lookup,site_level_range_board,$B131,date_range_board,H128,inputdata!$F:$F,"ED")/SUMIFS(All_Attendances,site_level_range_board,$B131,date_range_board,H128,inputdata!$F:$F,"ED"),"0.0%")),IF(LEFT($B$7,6)="Number",SUMIFS(Comparison_Lookup,site_level_range_board,$B131,date_range_board,H128),TEXT(SUMIFS(Comparison_Lookup,site_level_range_board,$B131,date_range_board,H128)/SUMIFS(All_Attendances,site_level_range_board,$B131,date_range_board,H128),"0.0%"))),"")</f>
        <v>97.6%</v>
      </c>
      <c r="I131" s="165" t="str">
        <f ca="1">IFERROR(IF(ISNUMBER(FIND("ED only",$B$4)),IF(LEFT($B$7,6)="Number",SUMIFS(Comparison_Lookup,site_level_range_board,$B131,date_range_board,I128,inputdata!$F:$F,"ED"),TEXT(SUMIFS(Comparison_Lookup,site_level_range_board,$B131,date_range_board,I128,inputdata!$F:$F,"ED")/SUMIFS(All_Attendances,site_level_range_board,$B131,date_range_board,I128,inputdata!$F:$F,"ED"),"0.0%")),IF(LEFT($B$7,6)="Number",SUMIFS(Comparison_Lookup,site_level_range_board,$B131,date_range_board,I128),TEXT(SUMIFS(Comparison_Lookup,site_level_range_board,$B131,date_range_board,I128)/SUMIFS(All_Attendances,site_level_range_board,$B131,date_range_board,I128),"0.0%"))),"")</f>
        <v>97.5%</v>
      </c>
      <c r="J131" s="165" t="str">
        <f ca="1">IFERROR(IF(ISNUMBER(FIND("ED only",$B$4)),IF(LEFT($B$7,6)="Number",SUMIFS(Comparison_Lookup,site_level_range_board,$B131,date_range_board,J128,inputdata!$F:$F,"ED"),TEXT(SUMIFS(Comparison_Lookup,site_level_range_board,$B131,date_range_board,J128,inputdata!$F:$F,"ED")/SUMIFS(All_Attendances,site_level_range_board,$B131,date_range_board,J128,inputdata!$F:$F,"ED"),"0.0%")),IF(LEFT($B$7,6)="Number",SUMIFS(Comparison_Lookup,site_level_range_board,$B131,date_range_board,J128),TEXT(SUMIFS(Comparison_Lookup,site_level_range_board,$B131,date_range_board,J128)/SUMIFS(All_Attendances,site_level_range_board,$B131,date_range_board,J128),"0.0%"))),"")</f>
        <v>97.4%</v>
      </c>
      <c r="K131" s="165" t="str">
        <f ca="1">IFERROR(IF(ISNUMBER(FIND("ED only",$B$4)),IF(LEFT($B$7,6)="Number",SUMIFS(Comparison_Lookup,site_level_range_board,$B131,date_range_board,K128,inputdata!$F:$F,"ED"),TEXT(SUMIFS(Comparison_Lookup,site_level_range_board,$B131,date_range_board,K128,inputdata!$F:$F,"ED")/SUMIFS(All_Attendances,site_level_range_board,$B131,date_range_board,K128,inputdata!$F:$F,"ED"),"0.0%")),IF(LEFT($B$7,6)="Number",SUMIFS(Comparison_Lookup,site_level_range_board,$B131,date_range_board,K128),TEXT(SUMIFS(Comparison_Lookup,site_level_range_board,$B131,date_range_board,K128)/SUMIFS(All_Attendances,site_level_range_board,$B131,date_range_board,K128),"0.0%"))),"")</f>
        <v>96.2%</v>
      </c>
      <c r="L131" s="165" t="str">
        <f ca="1">IFERROR(IF(ISNUMBER(FIND("ED only",$B$4)),IF(LEFT($B$7,6)="Number",SUMIFS(Comparison_Lookup,site_level_range_board,$B131,date_range_board,L128,inputdata!$F:$F,"ED"),TEXT(SUMIFS(Comparison_Lookup,site_level_range_board,$B131,date_range_board,L128,inputdata!$F:$F,"ED")/SUMIFS(All_Attendances,site_level_range_board,$B131,date_range_board,L128,inputdata!$F:$F,"ED"),"0.0%")),IF(LEFT($B$7,6)="Number",SUMIFS(Comparison_Lookup,site_level_range_board,$B131,date_range_board,L128),TEXT(SUMIFS(Comparison_Lookup,site_level_range_board,$B131,date_range_board,L128)/SUMIFS(All_Attendances,site_level_range_board,$B131,date_range_board,L128),"0.0%"))),"")</f>
        <v>94.1%</v>
      </c>
      <c r="M131" s="165" t="str">
        <f ca="1">IFERROR(IF(ISNUMBER(FIND("ED only",$B$4)),IF(LEFT($B$7,6)="Number",SUMIFS(Comparison_Lookup,site_level_range_board,$B131,date_range_board,M128,inputdata!$F:$F,"ED"),TEXT(SUMIFS(Comparison_Lookup,site_level_range_board,$B131,date_range_board,M128,inputdata!$F:$F,"ED")/SUMIFS(All_Attendances,site_level_range_board,$B131,date_range_board,M128,inputdata!$F:$F,"ED"),"0.0%")),IF(LEFT($B$7,6)="Number",SUMIFS(Comparison_Lookup,site_level_range_board,$B131,date_range_board,M128),TEXT(SUMIFS(Comparison_Lookup,site_level_range_board,$B131,date_range_board,M128)/SUMIFS(All_Attendances,site_level_range_board,$B131,date_range_board,M128),"0.0%"))),"")</f>
        <v>95.1%</v>
      </c>
      <c r="N131" s="171" t="str">
        <f ca="1">IFERROR(IF(ISNUMBER(FIND("ED only",$B$4)),IF(LEFT($B$7,6)="Number",SUMIFS(Comparison_Lookup,site_level_range_board,$B131,date_range_board,N128,inputdata!$F:$F,"ED"),TEXT(SUMIFS(Comparison_Lookup,site_level_range_board,$B131,date_range_board,N128,inputdata!$F:$F,"ED")/SUMIFS(All_Attendances,site_level_range_board,$B131,date_range_board,N128,inputdata!$F:$F,"ED"),"0.0%")),IF(LEFT($B$7,6)="Number",SUMIFS(Comparison_Lookup,site_level_range_board,$B131,date_range_board,N128),TEXT(SUMIFS(Comparison_Lookup,site_level_range_board,$B131,date_range_board,N128)/SUMIFS(All_Attendances,site_level_range_board,$B131,date_range_board,N128),"0.0%"))),"")</f>
        <v>94.3%</v>
      </c>
    </row>
    <row r="132" spans="1:14" ht="15" customHeight="1" x14ac:dyDescent="0.2">
      <c r="A132" s="132"/>
      <c r="B132" s="152" t="s">
        <v>442</v>
      </c>
      <c r="C132" s="165" t="str">
        <f ca="1">IFERROR(IF(ISNUMBER(FIND("ED only",$B$4)),IF(LEFT($B$7,6)="Number",SUMIFS(Comparison_Lookup,site_level_range_board,$B132,date_range_board,C128,inputdata!$F:$F,"ED"),TEXT(SUMIFS(Comparison_Lookup,site_level_range_board,$B132,date_range_board,C128,inputdata!$F:$F,"ED")/SUMIFS(All_Attendances,site_level_range_board,$B132,date_range_board,C128,inputdata!$F:$F,"ED"),"0.0%")),IF(LEFT($B$7,6)="Number",SUMIFS(Comparison_Lookup,site_level_range_board,$B132,date_range_board,C128),TEXT(SUMIFS(Comparison_Lookup,site_level_range_board,$B132,date_range_board,C128)/SUMIFS(All_Attendances,site_level_range_board,$B132,date_range_board,C128),"0.0%"))),"")</f>
        <v>95.1%</v>
      </c>
      <c r="D132" s="165" t="str">
        <f ca="1">IFERROR(IF(ISNUMBER(FIND("ED only",$B$4)),IF(LEFT($B$7,6)="Number",SUMIFS(Comparison_Lookup,site_level_range_board,$B132,date_range_board,D128,inputdata!$F:$F,"ED"),TEXT(SUMIFS(Comparison_Lookup,site_level_range_board,$B132,date_range_board,D128,inputdata!$F:$F,"ED")/SUMIFS(All_Attendances,site_level_range_board,$B132,date_range_board,D128,inputdata!$F:$F,"ED"),"0.0%")),IF(LEFT($B$7,6)="Number",SUMIFS(Comparison_Lookup,site_level_range_board,$B132,date_range_board,D128),TEXT(SUMIFS(Comparison_Lookup,site_level_range_board,$B132,date_range_board,D128)/SUMIFS(All_Attendances,site_level_range_board,$B132,date_range_board,D128),"0.0%"))),"")</f>
        <v>97.8%</v>
      </c>
      <c r="E132" s="165" t="str">
        <f ca="1">IFERROR(IF(ISNUMBER(FIND("ED only",$B$4)),IF(LEFT($B$7,6)="Number",SUMIFS(Comparison_Lookup,site_level_range_board,$B132,date_range_board,E128,inputdata!$F:$F,"ED"),TEXT(SUMIFS(Comparison_Lookup,site_level_range_board,$B132,date_range_board,E128,inputdata!$F:$F,"ED")/SUMIFS(All_Attendances,site_level_range_board,$B132,date_range_board,E128,inputdata!$F:$F,"ED"),"0.0%")),IF(LEFT($B$7,6)="Number",SUMIFS(Comparison_Lookup,site_level_range_board,$B132,date_range_board,E128),TEXT(SUMIFS(Comparison_Lookup,site_level_range_board,$B132,date_range_board,E128)/SUMIFS(All_Attendances,site_level_range_board,$B132,date_range_board,E128),"0.0%"))),"")</f>
        <v>97.2%</v>
      </c>
      <c r="F132" s="165" t="str">
        <f ca="1">IFERROR(IF(ISNUMBER(FIND("ED only",$B$4)),IF(LEFT($B$7,6)="Number",SUMIFS(Comparison_Lookup,site_level_range_board,$B132,date_range_board,F128,inputdata!$F:$F,"ED"),TEXT(SUMIFS(Comparison_Lookup,site_level_range_board,$B132,date_range_board,F128,inputdata!$F:$F,"ED")/SUMIFS(All_Attendances,site_level_range_board,$B132,date_range_board,F128,inputdata!$F:$F,"ED"),"0.0%")),IF(LEFT($B$7,6)="Number",SUMIFS(Comparison_Lookup,site_level_range_board,$B132,date_range_board,F128),TEXT(SUMIFS(Comparison_Lookup,site_level_range_board,$B132,date_range_board,F128)/SUMIFS(All_Attendances,site_level_range_board,$B132,date_range_board,F128),"0.0%"))),"")</f>
        <v>98.4%</v>
      </c>
      <c r="G132" s="165" t="str">
        <f ca="1">IFERROR(IF(ISNUMBER(FIND("ED only",$B$4)),IF(LEFT($B$7,6)="Number",SUMIFS(Comparison_Lookup,site_level_range_board,$B132,date_range_board,G128,inputdata!$F:$F,"ED"),TEXT(SUMIFS(Comparison_Lookup,site_level_range_board,$B132,date_range_board,G128,inputdata!$F:$F,"ED")/SUMIFS(All_Attendances,site_level_range_board,$B132,date_range_board,G128,inputdata!$F:$F,"ED"),"0.0%")),IF(LEFT($B$7,6)="Number",SUMIFS(Comparison_Lookup,site_level_range_board,$B132,date_range_board,G128),TEXT(SUMIFS(Comparison_Lookup,site_level_range_board,$B132,date_range_board,G128)/SUMIFS(All_Attendances,site_level_range_board,$B132,date_range_board,G128),"0.0%"))),"")</f>
        <v>97.3%</v>
      </c>
      <c r="H132" s="165" t="str">
        <f ca="1">IFERROR(IF(ISNUMBER(FIND("ED only",$B$4)),IF(LEFT($B$7,6)="Number",SUMIFS(Comparison_Lookup,site_level_range_board,$B132,date_range_board,H128,inputdata!$F:$F,"ED"),TEXT(SUMIFS(Comparison_Lookup,site_level_range_board,$B132,date_range_board,H128,inputdata!$F:$F,"ED")/SUMIFS(All_Attendances,site_level_range_board,$B132,date_range_board,H128,inputdata!$F:$F,"ED"),"0.0%")),IF(LEFT($B$7,6)="Number",SUMIFS(Comparison_Lookup,site_level_range_board,$B132,date_range_board,H128),TEXT(SUMIFS(Comparison_Lookup,site_level_range_board,$B132,date_range_board,H128)/SUMIFS(All_Attendances,site_level_range_board,$B132,date_range_board,H128),"0.0%"))),"")</f>
        <v>97.2%</v>
      </c>
      <c r="I132" s="165" t="str">
        <f ca="1">IFERROR(IF(ISNUMBER(FIND("ED only",$B$4)),IF(LEFT($B$7,6)="Number",SUMIFS(Comparison_Lookup,site_level_range_board,$B132,date_range_board,I128,inputdata!$F:$F,"ED"),TEXT(SUMIFS(Comparison_Lookup,site_level_range_board,$B132,date_range_board,I128,inputdata!$F:$F,"ED")/SUMIFS(All_Attendances,site_level_range_board,$B132,date_range_board,I128,inputdata!$F:$F,"ED"),"0.0%")),IF(LEFT($B$7,6)="Number",SUMIFS(Comparison_Lookup,site_level_range_board,$B132,date_range_board,I128),TEXT(SUMIFS(Comparison_Lookup,site_level_range_board,$B132,date_range_board,I128)/SUMIFS(All_Attendances,site_level_range_board,$B132,date_range_board,I128),"0.0%"))),"")</f>
        <v>97.3%</v>
      </c>
      <c r="J132" s="165" t="str">
        <f ca="1">IFERROR(IF(ISNUMBER(FIND("ED only",$B$4)),IF(LEFT($B$7,6)="Number",SUMIFS(Comparison_Lookup,site_level_range_board,$B132,date_range_board,J128,inputdata!$F:$F,"ED"),TEXT(SUMIFS(Comparison_Lookup,site_level_range_board,$B132,date_range_board,J128,inputdata!$F:$F,"ED")/SUMIFS(All_Attendances,site_level_range_board,$B132,date_range_board,J128,inputdata!$F:$F,"ED"),"0.0%")),IF(LEFT($B$7,6)="Number",SUMIFS(Comparison_Lookup,site_level_range_board,$B132,date_range_board,J128),TEXT(SUMIFS(Comparison_Lookup,site_level_range_board,$B132,date_range_board,J128)/SUMIFS(All_Attendances,site_level_range_board,$B132,date_range_board,J128),"0.0%"))),"")</f>
        <v>96.0%</v>
      </c>
      <c r="K132" s="165" t="str">
        <f ca="1">IFERROR(IF(ISNUMBER(FIND("ED only",$B$4)),IF(LEFT($B$7,6)="Number",SUMIFS(Comparison_Lookup,site_level_range_board,$B132,date_range_board,K128,inputdata!$F:$F,"ED"),TEXT(SUMIFS(Comparison_Lookup,site_level_range_board,$B132,date_range_board,K128,inputdata!$F:$F,"ED")/SUMIFS(All_Attendances,site_level_range_board,$B132,date_range_board,K128,inputdata!$F:$F,"ED"),"0.0%")),IF(LEFT($B$7,6)="Number",SUMIFS(Comparison_Lookup,site_level_range_board,$B132,date_range_board,K128),TEXT(SUMIFS(Comparison_Lookup,site_level_range_board,$B132,date_range_board,K128)/SUMIFS(All_Attendances,site_level_range_board,$B132,date_range_board,K128),"0.0%"))),"")</f>
        <v>96.8%</v>
      </c>
      <c r="L132" s="165" t="str">
        <f ca="1">IFERROR(IF(ISNUMBER(FIND("ED only",$B$4)),IF(LEFT($B$7,6)="Number",SUMIFS(Comparison_Lookup,site_level_range_board,$B132,date_range_board,L128,inputdata!$F:$F,"ED"),TEXT(SUMIFS(Comparison_Lookup,site_level_range_board,$B132,date_range_board,L128,inputdata!$F:$F,"ED")/SUMIFS(All_Attendances,site_level_range_board,$B132,date_range_board,L128,inputdata!$F:$F,"ED"),"0.0%")),IF(LEFT($B$7,6)="Number",SUMIFS(Comparison_Lookup,site_level_range_board,$B132,date_range_board,L128),TEXT(SUMIFS(Comparison_Lookup,site_level_range_board,$B132,date_range_board,L128)/SUMIFS(All_Attendances,site_level_range_board,$B132,date_range_board,L128),"0.0%"))),"")</f>
        <v>94.1%</v>
      </c>
      <c r="M132" s="165" t="str">
        <f ca="1">IFERROR(IF(ISNUMBER(FIND("ED only",$B$4)),IF(LEFT($B$7,6)="Number",SUMIFS(Comparison_Lookup,site_level_range_board,$B132,date_range_board,M128,inputdata!$F:$F,"ED"),TEXT(SUMIFS(Comparison_Lookup,site_level_range_board,$B132,date_range_board,M128,inputdata!$F:$F,"ED")/SUMIFS(All_Attendances,site_level_range_board,$B132,date_range_board,M128,inputdata!$F:$F,"ED"),"0.0%")),IF(LEFT($B$7,6)="Number",SUMIFS(Comparison_Lookup,site_level_range_board,$B132,date_range_board,M128),TEXT(SUMIFS(Comparison_Lookup,site_level_range_board,$B132,date_range_board,M128)/SUMIFS(All_Attendances,site_level_range_board,$B132,date_range_board,M128),"0.0%"))),"")</f>
        <v>95.9%</v>
      </c>
      <c r="N132" s="171" t="str">
        <f ca="1">IFERROR(IF(ISNUMBER(FIND("ED only",$B$4)),IF(LEFT($B$7,6)="Number",SUMIFS(Comparison_Lookup,site_level_range_board,$B132,date_range_board,N128,inputdata!$F:$F,"ED"),TEXT(SUMIFS(Comparison_Lookup,site_level_range_board,$B132,date_range_board,N128,inputdata!$F:$F,"ED")/SUMIFS(All_Attendances,site_level_range_board,$B132,date_range_board,N128,inputdata!$F:$F,"ED"),"0.0%")),IF(LEFT($B$7,6)="Number",SUMIFS(Comparison_Lookup,site_level_range_board,$B132,date_range_board,N128),TEXT(SUMIFS(Comparison_Lookup,site_level_range_board,$B132,date_range_board,N128)/SUMIFS(All_Attendances,site_level_range_board,$B132,date_range_board,N128),"0.0%"))),"")</f>
        <v>95.5%</v>
      </c>
    </row>
    <row r="133" spans="1:14" ht="15" customHeight="1" x14ac:dyDescent="0.2">
      <c r="A133" s="132"/>
      <c r="B133" s="152" t="s">
        <v>451</v>
      </c>
      <c r="C133" s="165" t="str">
        <f ca="1">IFERROR(IF(ISNUMBER(FIND("ED only",$B$4)),IF(LEFT($B$7,6)="Number",SUMIFS(Comparison_Lookup,site_level_range_board,$B133,date_range_board,C128,inputdata!$F:$F,"ED"),TEXT(SUMIFS(Comparison_Lookup,site_level_range_board,$B133,date_range_board,C128,inputdata!$F:$F,"ED")/SUMIFS(All_Attendances,site_level_range_board,$B133,date_range_board,C128,inputdata!$F:$F,"ED"),"0.0%")),IF(LEFT($B$7,6)="Number",SUMIFS(Comparison_Lookup,site_level_range_board,$B133,date_range_board,C128),TEXT(SUMIFS(Comparison_Lookup,site_level_range_board,$B133,date_range_board,C128)/SUMIFS(All_Attendances,site_level_range_board,$B133,date_range_board,C128),"0.0%"))),"")</f>
        <v>93.8%</v>
      </c>
      <c r="D133" s="165" t="str">
        <f ca="1">IFERROR(IF(ISNUMBER(FIND("ED only",$B$4)),IF(LEFT($B$7,6)="Number",SUMIFS(Comparison_Lookup,site_level_range_board,$B133,date_range_board,D128,inputdata!$F:$F,"ED"),TEXT(SUMIFS(Comparison_Lookup,site_level_range_board,$B133,date_range_board,D128,inputdata!$F:$F,"ED")/SUMIFS(All_Attendances,site_level_range_board,$B133,date_range_board,D128,inputdata!$F:$F,"ED"),"0.0%")),IF(LEFT($B$7,6)="Number",SUMIFS(Comparison_Lookup,site_level_range_board,$B133,date_range_board,D128),TEXT(SUMIFS(Comparison_Lookup,site_level_range_board,$B133,date_range_board,D128)/SUMIFS(All_Attendances,site_level_range_board,$B133,date_range_board,D128),"0.0%"))),"")</f>
        <v>92.7%</v>
      </c>
      <c r="E133" s="165" t="str">
        <f ca="1">IFERROR(IF(ISNUMBER(FIND("ED only",$B$4)),IF(LEFT($B$7,6)="Number",SUMIFS(Comparison_Lookup,site_level_range_board,$B133,date_range_board,E128,inputdata!$F:$F,"ED"),TEXT(SUMIFS(Comparison_Lookup,site_level_range_board,$B133,date_range_board,E128,inputdata!$F:$F,"ED")/SUMIFS(All_Attendances,site_level_range_board,$B133,date_range_board,E128,inputdata!$F:$F,"ED"),"0.0%")),IF(LEFT($B$7,6)="Number",SUMIFS(Comparison_Lookup,site_level_range_board,$B133,date_range_board,E128),TEXT(SUMIFS(Comparison_Lookup,site_level_range_board,$B133,date_range_board,E128)/SUMIFS(All_Attendances,site_level_range_board,$B133,date_range_board,E128),"0.0%"))),"")</f>
        <v>93.3%</v>
      </c>
      <c r="F133" s="165" t="str">
        <f ca="1">IFERROR(IF(ISNUMBER(FIND("ED only",$B$4)),IF(LEFT($B$7,6)="Number",SUMIFS(Comparison_Lookup,site_level_range_board,$B133,date_range_board,F128,inputdata!$F:$F,"ED"),TEXT(SUMIFS(Comparison_Lookup,site_level_range_board,$B133,date_range_board,F128,inputdata!$F:$F,"ED")/SUMIFS(All_Attendances,site_level_range_board,$B133,date_range_board,F128,inputdata!$F:$F,"ED"),"0.0%")),IF(LEFT($B$7,6)="Number",SUMIFS(Comparison_Lookup,site_level_range_board,$B133,date_range_board,F128),TEXT(SUMIFS(Comparison_Lookup,site_level_range_board,$B133,date_range_board,F128)/SUMIFS(All_Attendances,site_level_range_board,$B133,date_range_board,F128),"0.0%"))),"")</f>
        <v>93.7%</v>
      </c>
      <c r="G133" s="165" t="str">
        <f ca="1">IFERROR(IF(ISNUMBER(FIND("ED only",$B$4)),IF(LEFT($B$7,6)="Number",SUMIFS(Comparison_Lookup,site_level_range_board,$B133,date_range_board,G128,inputdata!$F:$F,"ED"),TEXT(SUMIFS(Comparison_Lookup,site_level_range_board,$B133,date_range_board,G128,inputdata!$F:$F,"ED")/SUMIFS(All_Attendances,site_level_range_board,$B133,date_range_board,G128,inputdata!$F:$F,"ED"),"0.0%")),IF(LEFT($B$7,6)="Number",SUMIFS(Comparison_Lookup,site_level_range_board,$B133,date_range_board,G128),TEXT(SUMIFS(Comparison_Lookup,site_level_range_board,$B133,date_range_board,G128)/SUMIFS(All_Attendances,site_level_range_board,$B133,date_range_board,G128),"0.0%"))),"")</f>
        <v>96.3%</v>
      </c>
      <c r="H133" s="165" t="str">
        <f ca="1">IFERROR(IF(ISNUMBER(FIND("ED only",$B$4)),IF(LEFT($B$7,6)="Number",SUMIFS(Comparison_Lookup,site_level_range_board,$B133,date_range_board,H128,inputdata!$F:$F,"ED"),TEXT(SUMIFS(Comparison_Lookup,site_level_range_board,$B133,date_range_board,H128,inputdata!$F:$F,"ED")/SUMIFS(All_Attendances,site_level_range_board,$B133,date_range_board,H128,inputdata!$F:$F,"ED"),"0.0%")),IF(LEFT($B$7,6)="Number",SUMIFS(Comparison_Lookup,site_level_range_board,$B133,date_range_board,H128),TEXT(SUMIFS(Comparison_Lookup,site_level_range_board,$B133,date_range_board,H128)/SUMIFS(All_Attendances,site_level_range_board,$B133,date_range_board,H128),"0.0%"))),"")</f>
        <v>95.0%</v>
      </c>
      <c r="I133" s="165" t="str">
        <f ca="1">IFERROR(IF(ISNUMBER(FIND("ED only",$B$4)),IF(LEFT($B$7,6)="Number",SUMIFS(Comparison_Lookup,site_level_range_board,$B133,date_range_board,I128,inputdata!$F:$F,"ED"),TEXT(SUMIFS(Comparison_Lookup,site_level_range_board,$B133,date_range_board,I128,inputdata!$F:$F,"ED")/SUMIFS(All_Attendances,site_level_range_board,$B133,date_range_board,I128,inputdata!$F:$F,"ED"),"0.0%")),IF(LEFT($B$7,6)="Number",SUMIFS(Comparison_Lookup,site_level_range_board,$B133,date_range_board,I128),TEXT(SUMIFS(Comparison_Lookup,site_level_range_board,$B133,date_range_board,I128)/SUMIFS(All_Attendances,site_level_range_board,$B133,date_range_board,I128),"0.0%"))),"")</f>
        <v>95.6%</v>
      </c>
      <c r="J133" s="165" t="str">
        <f ca="1">IFERROR(IF(ISNUMBER(FIND("ED only",$B$4)),IF(LEFT($B$7,6)="Number",SUMIFS(Comparison_Lookup,site_level_range_board,$B133,date_range_board,J128,inputdata!$F:$F,"ED"),TEXT(SUMIFS(Comparison_Lookup,site_level_range_board,$B133,date_range_board,J128,inputdata!$F:$F,"ED")/SUMIFS(All_Attendances,site_level_range_board,$B133,date_range_board,J128,inputdata!$F:$F,"ED"),"0.0%")),IF(LEFT($B$7,6)="Number",SUMIFS(Comparison_Lookup,site_level_range_board,$B133,date_range_board,J128),TEXT(SUMIFS(Comparison_Lookup,site_level_range_board,$B133,date_range_board,J128)/SUMIFS(All_Attendances,site_level_range_board,$B133,date_range_board,J128),"0.0%"))),"")</f>
        <v>95.7%</v>
      </c>
      <c r="K133" s="165" t="str">
        <f ca="1">IFERROR(IF(ISNUMBER(FIND("ED only",$B$4)),IF(LEFT($B$7,6)="Number",SUMIFS(Comparison_Lookup,site_level_range_board,$B133,date_range_board,K128,inputdata!$F:$F,"ED"),TEXT(SUMIFS(Comparison_Lookup,site_level_range_board,$B133,date_range_board,K128,inputdata!$F:$F,"ED")/SUMIFS(All_Attendances,site_level_range_board,$B133,date_range_board,K128,inputdata!$F:$F,"ED"),"0.0%")),IF(LEFT($B$7,6)="Number",SUMIFS(Comparison_Lookup,site_level_range_board,$B133,date_range_board,K128),TEXT(SUMIFS(Comparison_Lookup,site_level_range_board,$B133,date_range_board,K128)/SUMIFS(All_Attendances,site_level_range_board,$B133,date_range_board,K128),"0.0%"))),"")</f>
        <v>97.8%</v>
      </c>
      <c r="L133" s="165" t="str">
        <f ca="1">IFERROR(IF(ISNUMBER(FIND("ED only",$B$4)),IF(LEFT($B$7,6)="Number",SUMIFS(Comparison_Lookup,site_level_range_board,$B133,date_range_board,L128,inputdata!$F:$F,"ED"),TEXT(SUMIFS(Comparison_Lookup,site_level_range_board,$B133,date_range_board,L128,inputdata!$F:$F,"ED")/SUMIFS(All_Attendances,site_level_range_board,$B133,date_range_board,L128,inputdata!$F:$F,"ED"),"0.0%")),IF(LEFT($B$7,6)="Number",SUMIFS(Comparison_Lookup,site_level_range_board,$B133,date_range_board,L128),TEXT(SUMIFS(Comparison_Lookup,site_level_range_board,$B133,date_range_board,L128)/SUMIFS(All_Attendances,site_level_range_board,$B133,date_range_board,L128),"0.0%"))),"")</f>
        <v>93.4%</v>
      </c>
      <c r="M133" s="165" t="str">
        <f ca="1">IFERROR(IF(ISNUMBER(FIND("ED only",$B$4)),IF(LEFT($B$7,6)="Number",SUMIFS(Comparison_Lookup,site_level_range_board,$B133,date_range_board,M128,inputdata!$F:$F,"ED"),TEXT(SUMIFS(Comparison_Lookup,site_level_range_board,$B133,date_range_board,M128,inputdata!$F:$F,"ED")/SUMIFS(All_Attendances,site_level_range_board,$B133,date_range_board,M128,inputdata!$F:$F,"ED"),"0.0%")),IF(LEFT($B$7,6)="Number",SUMIFS(Comparison_Lookup,site_level_range_board,$B133,date_range_board,M128),TEXT(SUMIFS(Comparison_Lookup,site_level_range_board,$B133,date_range_board,M128)/SUMIFS(All_Attendances,site_level_range_board,$B133,date_range_board,M128),"0.0%"))),"")</f>
        <v>94.1%</v>
      </c>
      <c r="N133" s="171" t="str">
        <f ca="1">IFERROR(IF(ISNUMBER(FIND("ED only",$B$4)),IF(LEFT($B$7,6)="Number",SUMIFS(Comparison_Lookup,site_level_range_board,$B133,date_range_board,N128,inputdata!$F:$F,"ED"),TEXT(SUMIFS(Comparison_Lookup,site_level_range_board,$B133,date_range_board,N128,inputdata!$F:$F,"ED")/SUMIFS(All_Attendances,site_level_range_board,$B133,date_range_board,N128,inputdata!$F:$F,"ED"),"0.0%")),IF(LEFT($B$7,6)="Number",SUMIFS(Comparison_Lookup,site_level_range_board,$B133,date_range_board,N128),TEXT(SUMIFS(Comparison_Lookup,site_level_range_board,$B133,date_range_board,N128)/SUMIFS(All_Attendances,site_level_range_board,$B133,date_range_board,N128),"0.0%"))),"")</f>
        <v>92.0%</v>
      </c>
    </row>
    <row r="134" spans="1:14" ht="15" customHeight="1" x14ac:dyDescent="0.2">
      <c r="A134" s="132"/>
      <c r="B134" s="152" t="s">
        <v>456</v>
      </c>
      <c r="C134" s="165" t="str">
        <f ca="1">IFERROR(IF(ISNUMBER(FIND("ED only",$B$4)),IF(LEFT($B$7,6)="Number",SUMIFS(Comparison_Lookup,site_level_range_board,$B134,date_range_board,C128,inputdata!$F:$F,"ED"),TEXT(SUMIFS(Comparison_Lookup,site_level_range_board,$B134,date_range_board,C128,inputdata!$F:$F,"ED")/SUMIFS(All_Attendances,site_level_range_board,$B134,date_range_board,C128,inputdata!$F:$F,"ED"),"0.0%")),IF(LEFT($B$7,6)="Number",SUMIFS(Comparison_Lookup,site_level_range_board,$B134,date_range_board,C128),TEXT(SUMIFS(Comparison_Lookup,site_level_range_board,$B134,date_range_board,C128)/SUMIFS(All_Attendances,site_level_range_board,$B134,date_range_board,C128),"0.0%"))),"")</f>
        <v>95.5%</v>
      </c>
      <c r="D134" s="165" t="str">
        <f ca="1">IFERROR(IF(ISNUMBER(FIND("ED only",$B$4)),IF(LEFT($B$7,6)="Number",SUMIFS(Comparison_Lookup,site_level_range_board,$B134,date_range_board,D128,inputdata!$F:$F,"ED"),TEXT(SUMIFS(Comparison_Lookup,site_level_range_board,$B134,date_range_board,D128,inputdata!$F:$F,"ED")/SUMIFS(All_Attendances,site_level_range_board,$B134,date_range_board,D128,inputdata!$F:$F,"ED"),"0.0%")),IF(LEFT($B$7,6)="Number",SUMIFS(Comparison_Lookup,site_level_range_board,$B134,date_range_board,D128),TEXT(SUMIFS(Comparison_Lookup,site_level_range_board,$B134,date_range_board,D128)/SUMIFS(All_Attendances,site_level_range_board,$B134,date_range_board,D128),"0.0%"))),"")</f>
        <v>96.3%</v>
      </c>
      <c r="E134" s="165" t="str">
        <f ca="1">IFERROR(IF(ISNUMBER(FIND("ED only",$B$4)),IF(LEFT($B$7,6)="Number",SUMIFS(Comparison_Lookup,site_level_range_board,$B134,date_range_board,E128,inputdata!$F:$F,"ED"),TEXT(SUMIFS(Comparison_Lookup,site_level_range_board,$B134,date_range_board,E128,inputdata!$F:$F,"ED")/SUMIFS(All_Attendances,site_level_range_board,$B134,date_range_board,E128,inputdata!$F:$F,"ED"),"0.0%")),IF(LEFT($B$7,6)="Number",SUMIFS(Comparison_Lookup,site_level_range_board,$B134,date_range_board,E128),TEXT(SUMIFS(Comparison_Lookup,site_level_range_board,$B134,date_range_board,E128)/SUMIFS(All_Attendances,site_level_range_board,$B134,date_range_board,E128),"0.0%"))),"")</f>
        <v>95.7%</v>
      </c>
      <c r="F134" s="165" t="str">
        <f ca="1">IFERROR(IF(ISNUMBER(FIND("ED only",$B$4)),IF(LEFT($B$7,6)="Number",SUMIFS(Comparison_Lookup,site_level_range_board,$B134,date_range_board,F128,inputdata!$F:$F,"ED"),TEXT(SUMIFS(Comparison_Lookup,site_level_range_board,$B134,date_range_board,F128,inputdata!$F:$F,"ED")/SUMIFS(All_Attendances,site_level_range_board,$B134,date_range_board,F128,inputdata!$F:$F,"ED"),"0.0%")),IF(LEFT($B$7,6)="Number",SUMIFS(Comparison_Lookup,site_level_range_board,$B134,date_range_board,F128),TEXT(SUMIFS(Comparison_Lookup,site_level_range_board,$B134,date_range_board,F128)/SUMIFS(All_Attendances,site_level_range_board,$B134,date_range_board,F128),"0.0%"))),"")</f>
        <v>97.1%</v>
      </c>
      <c r="G134" s="165" t="str">
        <f ca="1">IFERROR(IF(ISNUMBER(FIND("ED only",$B$4)),IF(LEFT($B$7,6)="Number",SUMIFS(Comparison_Lookup,site_level_range_board,$B134,date_range_board,G128,inputdata!$F:$F,"ED"),TEXT(SUMIFS(Comparison_Lookup,site_level_range_board,$B134,date_range_board,G128,inputdata!$F:$F,"ED")/SUMIFS(All_Attendances,site_level_range_board,$B134,date_range_board,G128,inputdata!$F:$F,"ED"),"0.0%")),IF(LEFT($B$7,6)="Number",SUMIFS(Comparison_Lookup,site_level_range_board,$B134,date_range_board,G128),TEXT(SUMIFS(Comparison_Lookup,site_level_range_board,$B134,date_range_board,G128)/SUMIFS(All_Attendances,site_level_range_board,$B134,date_range_board,G128),"0.0%"))),"")</f>
        <v>95.9%</v>
      </c>
      <c r="H134" s="165" t="str">
        <f ca="1">IFERROR(IF(ISNUMBER(FIND("ED only",$B$4)),IF(LEFT($B$7,6)="Number",SUMIFS(Comparison_Lookup,site_level_range_board,$B134,date_range_board,H128,inputdata!$F:$F,"ED"),TEXT(SUMIFS(Comparison_Lookup,site_level_range_board,$B134,date_range_board,H128,inputdata!$F:$F,"ED")/SUMIFS(All_Attendances,site_level_range_board,$B134,date_range_board,H128,inputdata!$F:$F,"ED"),"0.0%")),IF(LEFT($B$7,6)="Number",SUMIFS(Comparison_Lookup,site_level_range_board,$B134,date_range_board,H128),TEXT(SUMIFS(Comparison_Lookup,site_level_range_board,$B134,date_range_board,H128)/SUMIFS(All_Attendances,site_level_range_board,$B134,date_range_board,H128),"0.0%"))),"")</f>
        <v>97.4%</v>
      </c>
      <c r="I134" s="165" t="str">
        <f ca="1">IFERROR(IF(ISNUMBER(FIND("ED only",$B$4)),IF(LEFT($B$7,6)="Number",SUMIFS(Comparison_Lookup,site_level_range_board,$B134,date_range_board,I128,inputdata!$F:$F,"ED"),TEXT(SUMIFS(Comparison_Lookup,site_level_range_board,$B134,date_range_board,I128,inputdata!$F:$F,"ED")/SUMIFS(All_Attendances,site_level_range_board,$B134,date_range_board,I128,inputdata!$F:$F,"ED"),"0.0%")),IF(LEFT($B$7,6)="Number",SUMIFS(Comparison_Lookup,site_level_range_board,$B134,date_range_board,I128),TEXT(SUMIFS(Comparison_Lookup,site_level_range_board,$B134,date_range_board,I128)/SUMIFS(All_Attendances,site_level_range_board,$B134,date_range_board,I128),"0.0%"))),"")</f>
        <v>97.0%</v>
      </c>
      <c r="J134" s="165" t="str">
        <f ca="1">IFERROR(IF(ISNUMBER(FIND("ED only",$B$4)),IF(LEFT($B$7,6)="Number",SUMIFS(Comparison_Lookup,site_level_range_board,$B134,date_range_board,J128,inputdata!$F:$F,"ED"),TEXT(SUMIFS(Comparison_Lookup,site_level_range_board,$B134,date_range_board,J128,inputdata!$F:$F,"ED")/SUMIFS(All_Attendances,site_level_range_board,$B134,date_range_board,J128,inputdata!$F:$F,"ED"),"0.0%")),IF(LEFT($B$7,6)="Number",SUMIFS(Comparison_Lookup,site_level_range_board,$B134,date_range_board,J128),TEXT(SUMIFS(Comparison_Lookup,site_level_range_board,$B134,date_range_board,J128)/SUMIFS(All_Attendances,site_level_range_board,$B134,date_range_board,J128),"0.0%"))),"")</f>
        <v>97.0%</v>
      </c>
      <c r="K134" s="165" t="str">
        <f ca="1">IFERROR(IF(ISNUMBER(FIND("ED only",$B$4)),IF(LEFT($B$7,6)="Number",SUMIFS(Comparison_Lookup,site_level_range_board,$B134,date_range_board,K128,inputdata!$F:$F,"ED"),TEXT(SUMIFS(Comparison_Lookup,site_level_range_board,$B134,date_range_board,K128,inputdata!$F:$F,"ED")/SUMIFS(All_Attendances,site_level_range_board,$B134,date_range_board,K128,inputdata!$F:$F,"ED"),"0.0%")),IF(LEFT($B$7,6)="Number",SUMIFS(Comparison_Lookup,site_level_range_board,$B134,date_range_board,K128),TEXT(SUMIFS(Comparison_Lookup,site_level_range_board,$B134,date_range_board,K128)/SUMIFS(All_Attendances,site_level_range_board,$B134,date_range_board,K128),"0.0%"))),"")</f>
        <v>96.7%</v>
      </c>
      <c r="L134" s="165" t="str">
        <f ca="1">IFERROR(IF(ISNUMBER(FIND("ED only",$B$4)),IF(LEFT($B$7,6)="Number",SUMIFS(Comparison_Lookup,site_level_range_board,$B134,date_range_board,L128,inputdata!$F:$F,"ED"),TEXT(SUMIFS(Comparison_Lookup,site_level_range_board,$B134,date_range_board,L128,inputdata!$F:$F,"ED")/SUMIFS(All_Attendances,site_level_range_board,$B134,date_range_board,L128,inputdata!$F:$F,"ED"),"0.0%")),IF(LEFT($B$7,6)="Number",SUMIFS(Comparison_Lookup,site_level_range_board,$B134,date_range_board,L128),TEXT(SUMIFS(Comparison_Lookup,site_level_range_board,$B134,date_range_board,L128)/SUMIFS(All_Attendances,site_level_range_board,$B134,date_range_board,L128),"0.0%"))),"")</f>
        <v>96.3%</v>
      </c>
      <c r="M134" s="165" t="str">
        <f ca="1">IFERROR(IF(ISNUMBER(FIND("ED only",$B$4)),IF(LEFT($B$7,6)="Number",SUMIFS(Comparison_Lookup,site_level_range_board,$B134,date_range_board,M128,inputdata!$F:$F,"ED"),TEXT(SUMIFS(Comparison_Lookup,site_level_range_board,$B134,date_range_board,M128,inputdata!$F:$F,"ED")/SUMIFS(All_Attendances,site_level_range_board,$B134,date_range_board,M128,inputdata!$F:$F,"ED"),"0.0%")),IF(LEFT($B$7,6)="Number",SUMIFS(Comparison_Lookup,site_level_range_board,$B134,date_range_board,M128),TEXT(SUMIFS(Comparison_Lookup,site_level_range_board,$B134,date_range_board,M128)/SUMIFS(All_Attendances,site_level_range_board,$B134,date_range_board,M128),"0.0%"))),"")</f>
        <v>96.3%</v>
      </c>
      <c r="N134" s="171" t="str">
        <f ca="1">IFERROR(IF(ISNUMBER(FIND("ED only",$B$4)),IF(LEFT($B$7,6)="Number",SUMIFS(Comparison_Lookup,site_level_range_board,$B134,date_range_board,N128,inputdata!$F:$F,"ED"),TEXT(SUMIFS(Comparison_Lookup,site_level_range_board,$B134,date_range_board,N128,inputdata!$F:$F,"ED")/SUMIFS(All_Attendances,site_level_range_board,$B134,date_range_board,N128,inputdata!$F:$F,"ED"),"0.0%")),IF(LEFT($B$7,6)="Number",SUMIFS(Comparison_Lookup,site_level_range_board,$B134,date_range_board,N128),TEXT(SUMIFS(Comparison_Lookup,site_level_range_board,$B134,date_range_board,N128)/SUMIFS(All_Attendances,site_level_range_board,$B134,date_range_board,N128),"0.0%"))),"")</f>
        <v>96.1%</v>
      </c>
    </row>
    <row r="135" spans="1:14" ht="15" customHeight="1" x14ac:dyDescent="0.2">
      <c r="A135" s="132"/>
      <c r="B135" s="152" t="s">
        <v>491</v>
      </c>
      <c r="C135" s="165" t="str">
        <f ca="1">IFERROR(IF(ISNUMBER(FIND("ED only",$B$4)),IF(LEFT($B$7,6)="Number",SUMIFS(Comparison_Lookup,site_level_range_board,$B135,date_range_board,C128,inputdata!$F:$F,"ED"),TEXT(SUMIFS(Comparison_Lookup,site_level_range_board,$B135,date_range_board,C128,inputdata!$F:$F,"ED")/SUMIFS(All_Attendances,site_level_range_board,$B135,date_range_board,C128,inputdata!$F:$F,"ED"),"0.0%")),IF(LEFT($B$7,6)="Number",SUMIFS(Comparison_Lookup,site_level_range_board,$B135,date_range_board,C128),TEXT(SUMIFS(Comparison_Lookup,site_level_range_board,$B135,date_range_board,C128)/SUMIFS(All_Attendances,site_level_range_board,$B135,date_range_board,C128),"0.0%"))),"")</f>
        <v>89.9%</v>
      </c>
      <c r="D135" s="165" t="str">
        <f ca="1">IFERROR(IF(ISNUMBER(FIND("ED only",$B$4)),IF(LEFT($B$7,6)="Number",SUMIFS(Comparison_Lookup,site_level_range_board,$B135,date_range_board,D128,inputdata!$F:$F,"ED"),TEXT(SUMIFS(Comparison_Lookup,site_level_range_board,$B135,date_range_board,D128,inputdata!$F:$F,"ED")/SUMIFS(All_Attendances,site_level_range_board,$B135,date_range_board,D128,inputdata!$F:$F,"ED"),"0.0%")),IF(LEFT($B$7,6)="Number",SUMIFS(Comparison_Lookup,site_level_range_board,$B135,date_range_board,D128),TEXT(SUMIFS(Comparison_Lookup,site_level_range_board,$B135,date_range_board,D128)/SUMIFS(All_Attendances,site_level_range_board,$B135,date_range_board,D128),"0.0%"))),"")</f>
        <v>90.6%</v>
      </c>
      <c r="E135" s="165" t="str">
        <f ca="1">IFERROR(IF(ISNUMBER(FIND("ED only",$B$4)),IF(LEFT($B$7,6)="Number",SUMIFS(Comparison_Lookup,site_level_range_board,$B135,date_range_board,E128,inputdata!$F:$F,"ED"),TEXT(SUMIFS(Comparison_Lookup,site_level_range_board,$B135,date_range_board,E128,inputdata!$F:$F,"ED")/SUMIFS(All_Attendances,site_level_range_board,$B135,date_range_board,E128,inputdata!$F:$F,"ED"),"0.0%")),IF(LEFT($B$7,6)="Number",SUMIFS(Comparison_Lookup,site_level_range_board,$B135,date_range_board,E128),TEXT(SUMIFS(Comparison_Lookup,site_level_range_board,$B135,date_range_board,E128)/SUMIFS(All_Attendances,site_level_range_board,$B135,date_range_board,E128),"0.0%"))),"")</f>
        <v>91.8%</v>
      </c>
      <c r="F135" s="165" t="str">
        <f ca="1">IFERROR(IF(ISNUMBER(FIND("ED only",$B$4)),IF(LEFT($B$7,6)="Number",SUMIFS(Comparison_Lookup,site_level_range_board,$B135,date_range_board,F128,inputdata!$F:$F,"ED"),TEXT(SUMIFS(Comparison_Lookup,site_level_range_board,$B135,date_range_board,F128,inputdata!$F:$F,"ED")/SUMIFS(All_Attendances,site_level_range_board,$B135,date_range_board,F128,inputdata!$F:$F,"ED"),"0.0%")),IF(LEFT($B$7,6)="Number",SUMIFS(Comparison_Lookup,site_level_range_board,$B135,date_range_board,F128),TEXT(SUMIFS(Comparison_Lookup,site_level_range_board,$B135,date_range_board,F128)/SUMIFS(All_Attendances,site_level_range_board,$B135,date_range_board,F128),"0.0%"))),"")</f>
        <v>95.2%</v>
      </c>
      <c r="G135" s="165" t="str">
        <f ca="1">IFERROR(IF(ISNUMBER(FIND("ED only",$B$4)),IF(LEFT($B$7,6)="Number",SUMIFS(Comparison_Lookup,site_level_range_board,$B135,date_range_board,G128,inputdata!$F:$F,"ED"),TEXT(SUMIFS(Comparison_Lookup,site_level_range_board,$B135,date_range_board,G128,inputdata!$F:$F,"ED")/SUMIFS(All_Attendances,site_level_range_board,$B135,date_range_board,G128,inputdata!$F:$F,"ED"),"0.0%")),IF(LEFT($B$7,6)="Number",SUMIFS(Comparison_Lookup,site_level_range_board,$B135,date_range_board,G128),TEXT(SUMIFS(Comparison_Lookup,site_level_range_board,$B135,date_range_board,G128)/SUMIFS(All_Attendances,site_level_range_board,$B135,date_range_board,G128),"0.0%"))),"")</f>
        <v>94.1%</v>
      </c>
      <c r="H135" s="165" t="str">
        <f ca="1">IFERROR(IF(ISNUMBER(FIND("ED only",$B$4)),IF(LEFT($B$7,6)="Number",SUMIFS(Comparison_Lookup,site_level_range_board,$B135,date_range_board,H128,inputdata!$F:$F,"ED"),TEXT(SUMIFS(Comparison_Lookup,site_level_range_board,$B135,date_range_board,H128,inputdata!$F:$F,"ED")/SUMIFS(All_Attendances,site_level_range_board,$B135,date_range_board,H128,inputdata!$F:$F,"ED"),"0.0%")),IF(LEFT($B$7,6)="Number",SUMIFS(Comparison_Lookup,site_level_range_board,$B135,date_range_board,H128),TEXT(SUMIFS(Comparison_Lookup,site_level_range_board,$B135,date_range_board,H128)/SUMIFS(All_Attendances,site_level_range_board,$B135,date_range_board,H128),"0.0%"))),"")</f>
        <v>94.6%</v>
      </c>
      <c r="I135" s="165" t="str">
        <f ca="1">IFERROR(IF(ISNUMBER(FIND("ED only",$B$4)),IF(LEFT($B$7,6)="Number",SUMIFS(Comparison_Lookup,site_level_range_board,$B135,date_range_board,I128,inputdata!$F:$F,"ED"),TEXT(SUMIFS(Comparison_Lookup,site_level_range_board,$B135,date_range_board,I128,inputdata!$F:$F,"ED")/SUMIFS(All_Attendances,site_level_range_board,$B135,date_range_board,I128,inputdata!$F:$F,"ED"),"0.0%")),IF(LEFT($B$7,6)="Number",SUMIFS(Comparison_Lookup,site_level_range_board,$B135,date_range_board,I128),TEXT(SUMIFS(Comparison_Lookup,site_level_range_board,$B135,date_range_board,I128)/SUMIFS(All_Attendances,site_level_range_board,$B135,date_range_board,I128),"0.0%"))),"")</f>
        <v>92.4%</v>
      </c>
      <c r="J135" s="165" t="str">
        <f ca="1">IFERROR(IF(ISNUMBER(FIND("ED only",$B$4)),IF(LEFT($B$7,6)="Number",SUMIFS(Comparison_Lookup,site_level_range_board,$B135,date_range_board,J128,inputdata!$F:$F,"ED"),TEXT(SUMIFS(Comparison_Lookup,site_level_range_board,$B135,date_range_board,J128,inputdata!$F:$F,"ED")/SUMIFS(All_Attendances,site_level_range_board,$B135,date_range_board,J128,inputdata!$F:$F,"ED"),"0.0%")),IF(LEFT($B$7,6)="Number",SUMIFS(Comparison_Lookup,site_level_range_board,$B135,date_range_board,J128),TEXT(SUMIFS(Comparison_Lookup,site_level_range_board,$B135,date_range_board,J128)/SUMIFS(All_Attendances,site_level_range_board,$B135,date_range_board,J128),"0.0%"))),"")</f>
        <v>94.3%</v>
      </c>
      <c r="K135" s="165" t="str">
        <f ca="1">IFERROR(IF(ISNUMBER(FIND("ED only",$B$4)),IF(LEFT($B$7,6)="Number",SUMIFS(Comparison_Lookup,site_level_range_board,$B135,date_range_board,K128,inputdata!$F:$F,"ED"),TEXT(SUMIFS(Comparison_Lookup,site_level_range_board,$B135,date_range_board,K128,inputdata!$F:$F,"ED")/SUMIFS(All_Attendances,site_level_range_board,$B135,date_range_board,K128,inputdata!$F:$F,"ED"),"0.0%")),IF(LEFT($B$7,6)="Number",SUMIFS(Comparison_Lookup,site_level_range_board,$B135,date_range_board,K128),TEXT(SUMIFS(Comparison_Lookup,site_level_range_board,$B135,date_range_board,K128)/SUMIFS(All_Attendances,site_level_range_board,$B135,date_range_board,K128),"0.0%"))),"")</f>
        <v>94.0%</v>
      </c>
      <c r="L135" s="165" t="str">
        <f ca="1">IFERROR(IF(ISNUMBER(FIND("ED only",$B$4)),IF(LEFT($B$7,6)="Number",SUMIFS(Comparison_Lookup,site_level_range_board,$B135,date_range_board,L128,inputdata!$F:$F,"ED"),TEXT(SUMIFS(Comparison_Lookup,site_level_range_board,$B135,date_range_board,L128,inputdata!$F:$F,"ED")/SUMIFS(All_Attendances,site_level_range_board,$B135,date_range_board,L128,inputdata!$F:$F,"ED"),"0.0%")),IF(LEFT($B$7,6)="Number",SUMIFS(Comparison_Lookup,site_level_range_board,$B135,date_range_board,L128),TEXT(SUMIFS(Comparison_Lookup,site_level_range_board,$B135,date_range_board,L128)/SUMIFS(All_Attendances,site_level_range_board,$B135,date_range_board,L128),"0.0%"))),"")</f>
        <v>89.8%</v>
      </c>
      <c r="M135" s="165" t="str">
        <f ca="1">IFERROR(IF(ISNUMBER(FIND("ED only",$B$4)),IF(LEFT($B$7,6)="Number",SUMIFS(Comparison_Lookup,site_level_range_board,$B135,date_range_board,M128,inputdata!$F:$F,"ED"),TEXT(SUMIFS(Comparison_Lookup,site_level_range_board,$B135,date_range_board,M128,inputdata!$F:$F,"ED")/SUMIFS(All_Attendances,site_level_range_board,$B135,date_range_board,M128,inputdata!$F:$F,"ED"),"0.0%")),IF(LEFT($B$7,6)="Number",SUMIFS(Comparison_Lookup,site_level_range_board,$B135,date_range_board,M128),TEXT(SUMIFS(Comparison_Lookup,site_level_range_board,$B135,date_range_board,M128)/SUMIFS(All_Attendances,site_level_range_board,$B135,date_range_board,M128),"0.0%"))),"")</f>
        <v>92.6%</v>
      </c>
      <c r="N135" s="171" t="str">
        <f ca="1">IFERROR(IF(ISNUMBER(FIND("ED only",$B$4)),IF(LEFT($B$7,6)="Number",SUMIFS(Comparison_Lookup,site_level_range_board,$B135,date_range_board,N128,inputdata!$F:$F,"ED"),TEXT(SUMIFS(Comparison_Lookup,site_level_range_board,$B135,date_range_board,N128,inputdata!$F:$F,"ED")/SUMIFS(All_Attendances,site_level_range_board,$B135,date_range_board,N128,inputdata!$F:$F,"ED"),"0.0%")),IF(LEFT($B$7,6)="Number",SUMIFS(Comparison_Lookup,site_level_range_board,$B135,date_range_board,N128),TEXT(SUMIFS(Comparison_Lookup,site_level_range_board,$B135,date_range_board,N128)/SUMIFS(All_Attendances,site_level_range_board,$B135,date_range_board,N128),"0.0%"))),"")</f>
        <v>90.5%</v>
      </c>
    </row>
    <row r="136" spans="1:14" ht="15" customHeight="1" x14ac:dyDescent="0.2">
      <c r="A136" s="132"/>
      <c r="B136" s="152" t="s">
        <v>510</v>
      </c>
      <c r="C136" s="165" t="str">
        <f ca="1">IFERROR(IF(ISNUMBER(FIND("ED only",$B$4)),IF(LEFT($B$7,6)="Number",SUMIFS(Comparison_Lookup,site_level_range_board,$B136,date_range_board,C128,inputdata!$F:$F,"ED"),TEXT(SUMIFS(Comparison_Lookup,site_level_range_board,$B136,date_range_board,C128,inputdata!$F:$F,"ED")/SUMIFS(All_Attendances,site_level_range_board,$B136,date_range_board,C128,inputdata!$F:$F,"ED"),"0.0%")),IF(LEFT($B$7,6)="Number",SUMIFS(Comparison_Lookup,site_level_range_board,$B136,date_range_board,C128),TEXT(SUMIFS(Comparison_Lookup,site_level_range_board,$B136,date_range_board,C128)/SUMIFS(All_Attendances,site_level_range_board,$B136,date_range_board,C128),"0.0%"))),"")</f>
        <v>97.4%</v>
      </c>
      <c r="D136" s="165" t="str">
        <f ca="1">IFERROR(IF(ISNUMBER(FIND("ED only",$B$4)),IF(LEFT($B$7,6)="Number",SUMIFS(Comparison_Lookup,site_level_range_board,$B136,date_range_board,D128,inputdata!$F:$F,"ED"),TEXT(SUMIFS(Comparison_Lookup,site_level_range_board,$B136,date_range_board,D128,inputdata!$F:$F,"ED")/SUMIFS(All_Attendances,site_level_range_board,$B136,date_range_board,D128,inputdata!$F:$F,"ED"),"0.0%")),IF(LEFT($B$7,6)="Number",SUMIFS(Comparison_Lookup,site_level_range_board,$B136,date_range_board,D128),TEXT(SUMIFS(Comparison_Lookup,site_level_range_board,$B136,date_range_board,D128)/SUMIFS(All_Attendances,site_level_range_board,$B136,date_range_board,D128),"0.0%"))),"")</f>
        <v>96.5%</v>
      </c>
      <c r="E136" s="165" t="str">
        <f ca="1">IFERROR(IF(ISNUMBER(FIND("ED only",$B$4)),IF(LEFT($B$7,6)="Number",SUMIFS(Comparison_Lookup,site_level_range_board,$B136,date_range_board,E128,inputdata!$F:$F,"ED"),TEXT(SUMIFS(Comparison_Lookup,site_level_range_board,$B136,date_range_board,E128,inputdata!$F:$F,"ED")/SUMIFS(All_Attendances,site_level_range_board,$B136,date_range_board,E128,inputdata!$F:$F,"ED"),"0.0%")),IF(LEFT($B$7,6)="Number",SUMIFS(Comparison_Lookup,site_level_range_board,$B136,date_range_board,E128),TEXT(SUMIFS(Comparison_Lookup,site_level_range_board,$B136,date_range_board,E128)/SUMIFS(All_Attendances,site_level_range_board,$B136,date_range_board,E128),"0.0%"))),"")</f>
        <v>97.7%</v>
      </c>
      <c r="F136" s="165" t="str">
        <f ca="1">IFERROR(IF(ISNUMBER(FIND("ED only",$B$4)),IF(LEFT($B$7,6)="Number",SUMIFS(Comparison_Lookup,site_level_range_board,$B136,date_range_board,F128,inputdata!$F:$F,"ED"),TEXT(SUMIFS(Comparison_Lookup,site_level_range_board,$B136,date_range_board,F128,inputdata!$F:$F,"ED")/SUMIFS(All_Attendances,site_level_range_board,$B136,date_range_board,F128,inputdata!$F:$F,"ED"),"0.0%")),IF(LEFT($B$7,6)="Number",SUMIFS(Comparison_Lookup,site_level_range_board,$B136,date_range_board,F128),TEXT(SUMIFS(Comparison_Lookup,site_level_range_board,$B136,date_range_board,F128)/SUMIFS(All_Attendances,site_level_range_board,$B136,date_range_board,F128),"0.0%"))),"")</f>
        <v>97.8%</v>
      </c>
      <c r="G136" s="165" t="str">
        <f ca="1">IFERROR(IF(ISNUMBER(FIND("ED only",$B$4)),IF(LEFT($B$7,6)="Number",SUMIFS(Comparison_Lookup,site_level_range_board,$B136,date_range_board,G128,inputdata!$F:$F,"ED"),TEXT(SUMIFS(Comparison_Lookup,site_level_range_board,$B136,date_range_board,G128,inputdata!$F:$F,"ED")/SUMIFS(All_Attendances,site_level_range_board,$B136,date_range_board,G128,inputdata!$F:$F,"ED"),"0.0%")),IF(LEFT($B$7,6)="Number",SUMIFS(Comparison_Lookup,site_level_range_board,$B136,date_range_board,G128),TEXT(SUMIFS(Comparison_Lookup,site_level_range_board,$B136,date_range_board,G128)/SUMIFS(All_Attendances,site_level_range_board,$B136,date_range_board,G128),"0.0%"))),"")</f>
        <v>97.2%</v>
      </c>
      <c r="H136" s="165" t="str">
        <f ca="1">IFERROR(IF(ISNUMBER(FIND("ED only",$B$4)),IF(LEFT($B$7,6)="Number",SUMIFS(Comparison_Lookup,site_level_range_board,$B136,date_range_board,H128,inputdata!$F:$F,"ED"),TEXT(SUMIFS(Comparison_Lookup,site_level_range_board,$B136,date_range_board,H128,inputdata!$F:$F,"ED")/SUMIFS(All_Attendances,site_level_range_board,$B136,date_range_board,H128,inputdata!$F:$F,"ED"),"0.0%")),IF(LEFT($B$7,6)="Number",SUMIFS(Comparison_Lookup,site_level_range_board,$B136,date_range_board,H128),TEXT(SUMIFS(Comparison_Lookup,site_level_range_board,$B136,date_range_board,H128)/SUMIFS(All_Attendances,site_level_range_board,$B136,date_range_board,H128),"0.0%"))),"")</f>
        <v>98.0%</v>
      </c>
      <c r="I136" s="165" t="str">
        <f ca="1">IFERROR(IF(ISNUMBER(FIND("ED only",$B$4)),IF(LEFT($B$7,6)="Number",SUMIFS(Comparison_Lookup,site_level_range_board,$B136,date_range_board,I128,inputdata!$F:$F,"ED"),TEXT(SUMIFS(Comparison_Lookup,site_level_range_board,$B136,date_range_board,I128,inputdata!$F:$F,"ED")/SUMIFS(All_Attendances,site_level_range_board,$B136,date_range_board,I128,inputdata!$F:$F,"ED"),"0.0%")),IF(LEFT($B$7,6)="Number",SUMIFS(Comparison_Lookup,site_level_range_board,$B136,date_range_board,I128),TEXT(SUMIFS(Comparison_Lookup,site_level_range_board,$B136,date_range_board,I128)/SUMIFS(All_Attendances,site_level_range_board,$B136,date_range_board,I128),"0.0%"))),"")</f>
        <v>98.1%</v>
      </c>
      <c r="J136" s="165" t="str">
        <f ca="1">IFERROR(IF(ISNUMBER(FIND("ED only",$B$4)),IF(LEFT($B$7,6)="Number",SUMIFS(Comparison_Lookup,site_level_range_board,$B136,date_range_board,J128,inputdata!$F:$F,"ED"),TEXT(SUMIFS(Comparison_Lookup,site_level_range_board,$B136,date_range_board,J128,inputdata!$F:$F,"ED")/SUMIFS(All_Attendances,site_level_range_board,$B136,date_range_board,J128,inputdata!$F:$F,"ED"),"0.0%")),IF(LEFT($B$7,6)="Number",SUMIFS(Comparison_Lookup,site_level_range_board,$B136,date_range_board,J128),TEXT(SUMIFS(Comparison_Lookup,site_level_range_board,$B136,date_range_board,J128)/SUMIFS(All_Attendances,site_level_range_board,$B136,date_range_board,J128),"0.0%"))),"")</f>
        <v>96.3%</v>
      </c>
      <c r="K136" s="165" t="str">
        <f ca="1">IFERROR(IF(ISNUMBER(FIND("ED only",$B$4)),IF(LEFT($B$7,6)="Number",SUMIFS(Comparison_Lookup,site_level_range_board,$B136,date_range_board,K128,inputdata!$F:$F,"ED"),TEXT(SUMIFS(Comparison_Lookup,site_level_range_board,$B136,date_range_board,K128,inputdata!$F:$F,"ED")/SUMIFS(All_Attendances,site_level_range_board,$B136,date_range_board,K128,inputdata!$F:$F,"ED"),"0.0%")),IF(LEFT($B$7,6)="Number",SUMIFS(Comparison_Lookup,site_level_range_board,$B136,date_range_board,K128),TEXT(SUMIFS(Comparison_Lookup,site_level_range_board,$B136,date_range_board,K128)/SUMIFS(All_Attendances,site_level_range_board,$B136,date_range_board,K128),"0.0%"))),"")</f>
        <v>97.1%</v>
      </c>
      <c r="L136" s="165" t="str">
        <f ca="1">IFERROR(IF(ISNUMBER(FIND("ED only",$B$4)),IF(LEFT($B$7,6)="Number",SUMIFS(Comparison_Lookup,site_level_range_board,$B136,date_range_board,L128,inputdata!$F:$F,"ED"),TEXT(SUMIFS(Comparison_Lookup,site_level_range_board,$B136,date_range_board,L128,inputdata!$F:$F,"ED")/SUMIFS(All_Attendances,site_level_range_board,$B136,date_range_board,L128,inputdata!$F:$F,"ED"),"0.0%")),IF(LEFT($B$7,6)="Number",SUMIFS(Comparison_Lookup,site_level_range_board,$B136,date_range_board,L128),TEXT(SUMIFS(Comparison_Lookup,site_level_range_board,$B136,date_range_board,L128)/SUMIFS(All_Attendances,site_level_range_board,$B136,date_range_board,L128),"0.0%"))),"")</f>
        <v>96.2%</v>
      </c>
      <c r="M136" s="165" t="str">
        <f ca="1">IFERROR(IF(ISNUMBER(FIND("ED only",$B$4)),IF(LEFT($B$7,6)="Number",SUMIFS(Comparison_Lookup,site_level_range_board,$B136,date_range_board,M128,inputdata!$F:$F,"ED"),TEXT(SUMIFS(Comparison_Lookup,site_level_range_board,$B136,date_range_board,M128,inputdata!$F:$F,"ED")/SUMIFS(All_Attendances,site_level_range_board,$B136,date_range_board,M128,inputdata!$F:$F,"ED"),"0.0%")),IF(LEFT($B$7,6)="Number",SUMIFS(Comparison_Lookup,site_level_range_board,$B136,date_range_board,M128),TEXT(SUMIFS(Comparison_Lookup,site_level_range_board,$B136,date_range_board,M128)/SUMIFS(All_Attendances,site_level_range_board,$B136,date_range_board,M128),"0.0%"))),"")</f>
        <v>95.4%</v>
      </c>
      <c r="N136" s="171" t="str">
        <f ca="1">IFERROR(IF(ISNUMBER(FIND("ED only",$B$4)),IF(LEFT($B$7,6)="Number",SUMIFS(Comparison_Lookup,site_level_range_board,$B136,date_range_board,N128,inputdata!$F:$F,"ED"),TEXT(SUMIFS(Comparison_Lookup,site_level_range_board,$B136,date_range_board,N128,inputdata!$F:$F,"ED")/SUMIFS(All_Attendances,site_level_range_board,$B136,date_range_board,N128,inputdata!$F:$F,"ED"),"0.0%")),IF(LEFT($B$7,6)="Number",SUMIFS(Comparison_Lookup,site_level_range_board,$B136,date_range_board,N128),TEXT(SUMIFS(Comparison_Lookup,site_level_range_board,$B136,date_range_board,N128)/SUMIFS(All_Attendances,site_level_range_board,$B136,date_range_board,N128),"0.0%"))),"")</f>
        <v>97.0%</v>
      </c>
    </row>
    <row r="137" spans="1:14" ht="15" customHeight="1" x14ac:dyDescent="0.2">
      <c r="A137" s="132"/>
      <c r="B137" s="152" t="s">
        <v>551</v>
      </c>
      <c r="C137" s="165" t="str">
        <f ca="1">IFERROR(IF(ISNUMBER(FIND("ED only",$B$4)),IF(LEFT($B$7,6)="Number",SUMIFS(Comparison_Lookup,site_level_range_board,$B137,date_range_board,C128,inputdata!$F:$F,"ED"),TEXT(SUMIFS(Comparison_Lookup,site_level_range_board,$B137,date_range_board,C128,inputdata!$F:$F,"ED")/SUMIFS(All_Attendances,site_level_range_board,$B137,date_range_board,C128,inputdata!$F:$F,"ED"),"0.0%")),IF(LEFT($B$7,6)="Number",SUMIFS(Comparison_Lookup,site_level_range_board,$B137,date_range_board,C128),TEXT(SUMIFS(Comparison_Lookup,site_level_range_board,$B137,date_range_board,C128)/SUMIFS(All_Attendances,site_level_range_board,$B137,date_range_board,C128),"0.0%"))),"")</f>
        <v>90.3%</v>
      </c>
      <c r="D137" s="165" t="str">
        <f ca="1">IFERROR(IF(ISNUMBER(FIND("ED only",$B$4)),IF(LEFT($B$7,6)="Number",SUMIFS(Comparison_Lookup,site_level_range_board,$B137,date_range_board,D128,inputdata!$F:$F,"ED"),TEXT(SUMIFS(Comparison_Lookup,site_level_range_board,$B137,date_range_board,D128,inputdata!$F:$F,"ED")/SUMIFS(All_Attendances,site_level_range_board,$B137,date_range_board,D128,inputdata!$F:$F,"ED"),"0.0%")),IF(LEFT($B$7,6)="Number",SUMIFS(Comparison_Lookup,site_level_range_board,$B137,date_range_board,D128),TEXT(SUMIFS(Comparison_Lookup,site_level_range_board,$B137,date_range_board,D128)/SUMIFS(All_Attendances,site_level_range_board,$B137,date_range_board,D128),"0.0%"))),"")</f>
        <v>91.4%</v>
      </c>
      <c r="E137" s="165" t="str">
        <f ca="1">IFERROR(IF(ISNUMBER(FIND("ED only",$B$4)),IF(LEFT($B$7,6)="Number",SUMIFS(Comparison_Lookup,site_level_range_board,$B137,date_range_board,E128,inputdata!$F:$F,"ED"),TEXT(SUMIFS(Comparison_Lookup,site_level_range_board,$B137,date_range_board,E128,inputdata!$F:$F,"ED")/SUMIFS(All_Attendances,site_level_range_board,$B137,date_range_board,E128,inputdata!$F:$F,"ED"),"0.0%")),IF(LEFT($B$7,6)="Number",SUMIFS(Comparison_Lookup,site_level_range_board,$B137,date_range_board,E128),TEXT(SUMIFS(Comparison_Lookup,site_level_range_board,$B137,date_range_board,E128)/SUMIFS(All_Attendances,site_level_range_board,$B137,date_range_board,E128),"0.0%"))),"")</f>
        <v>92.7%</v>
      </c>
      <c r="F137" s="165" t="str">
        <f ca="1">IFERROR(IF(ISNUMBER(FIND("ED only",$B$4)),IF(LEFT($B$7,6)="Number",SUMIFS(Comparison_Lookup,site_level_range_board,$B137,date_range_board,F128,inputdata!$F:$F,"ED"),TEXT(SUMIFS(Comparison_Lookup,site_level_range_board,$B137,date_range_board,F128,inputdata!$F:$F,"ED")/SUMIFS(All_Attendances,site_level_range_board,$B137,date_range_board,F128,inputdata!$F:$F,"ED"),"0.0%")),IF(LEFT($B$7,6)="Number",SUMIFS(Comparison_Lookup,site_level_range_board,$B137,date_range_board,F128),TEXT(SUMIFS(Comparison_Lookup,site_level_range_board,$B137,date_range_board,F128)/SUMIFS(All_Attendances,site_level_range_board,$B137,date_range_board,F128),"0.0%"))),"")</f>
        <v>94.6%</v>
      </c>
      <c r="G137" s="165" t="str">
        <f ca="1">IFERROR(IF(ISNUMBER(FIND("ED only",$B$4)),IF(LEFT($B$7,6)="Number",SUMIFS(Comparison_Lookup,site_level_range_board,$B137,date_range_board,G128,inputdata!$F:$F,"ED"),TEXT(SUMIFS(Comparison_Lookup,site_level_range_board,$B137,date_range_board,G128,inputdata!$F:$F,"ED")/SUMIFS(All_Attendances,site_level_range_board,$B137,date_range_board,G128,inputdata!$F:$F,"ED"),"0.0%")),IF(LEFT($B$7,6)="Number",SUMIFS(Comparison_Lookup,site_level_range_board,$B137,date_range_board,G128),TEXT(SUMIFS(Comparison_Lookup,site_level_range_board,$B137,date_range_board,G128)/SUMIFS(All_Attendances,site_level_range_board,$B137,date_range_board,G128),"0.0%"))),"")</f>
        <v>92.2%</v>
      </c>
      <c r="H137" s="165" t="str">
        <f ca="1">IFERROR(IF(ISNUMBER(FIND("ED only",$B$4)),IF(LEFT($B$7,6)="Number",SUMIFS(Comparison_Lookup,site_level_range_board,$B137,date_range_board,H128,inputdata!$F:$F,"ED"),TEXT(SUMIFS(Comparison_Lookup,site_level_range_board,$B137,date_range_board,H128,inputdata!$F:$F,"ED")/SUMIFS(All_Attendances,site_level_range_board,$B137,date_range_board,H128,inputdata!$F:$F,"ED"),"0.0%")),IF(LEFT($B$7,6)="Number",SUMIFS(Comparison_Lookup,site_level_range_board,$B137,date_range_board,H128),TEXT(SUMIFS(Comparison_Lookup,site_level_range_board,$B137,date_range_board,H128)/SUMIFS(All_Attendances,site_level_range_board,$B137,date_range_board,H128),"0.0%"))),"")</f>
        <v>94.7%</v>
      </c>
      <c r="I137" s="165" t="str">
        <f ca="1">IFERROR(IF(ISNUMBER(FIND("ED only",$B$4)),IF(LEFT($B$7,6)="Number",SUMIFS(Comparison_Lookup,site_level_range_board,$B137,date_range_board,I128,inputdata!$F:$F,"ED"),TEXT(SUMIFS(Comparison_Lookup,site_level_range_board,$B137,date_range_board,I128,inputdata!$F:$F,"ED")/SUMIFS(All_Attendances,site_level_range_board,$B137,date_range_board,I128,inputdata!$F:$F,"ED"),"0.0%")),IF(LEFT($B$7,6)="Number",SUMIFS(Comparison_Lookup,site_level_range_board,$B137,date_range_board,I128),TEXT(SUMIFS(Comparison_Lookup,site_level_range_board,$B137,date_range_board,I128)/SUMIFS(All_Attendances,site_level_range_board,$B137,date_range_board,I128),"0.0%"))),"")</f>
        <v>94.1%</v>
      </c>
      <c r="J137" s="165" t="str">
        <f ca="1">IFERROR(IF(ISNUMBER(FIND("ED only",$B$4)),IF(LEFT($B$7,6)="Number",SUMIFS(Comparison_Lookup,site_level_range_board,$B137,date_range_board,J128,inputdata!$F:$F,"ED"),TEXT(SUMIFS(Comparison_Lookup,site_level_range_board,$B137,date_range_board,J128,inputdata!$F:$F,"ED")/SUMIFS(All_Attendances,site_level_range_board,$B137,date_range_board,J128,inputdata!$F:$F,"ED"),"0.0%")),IF(LEFT($B$7,6)="Number",SUMIFS(Comparison_Lookup,site_level_range_board,$B137,date_range_board,J128),TEXT(SUMIFS(Comparison_Lookup,site_level_range_board,$B137,date_range_board,J128)/SUMIFS(All_Attendances,site_level_range_board,$B137,date_range_board,J128),"0.0%"))),"")</f>
        <v>93.6%</v>
      </c>
      <c r="K137" s="165" t="str">
        <f ca="1">IFERROR(IF(ISNUMBER(FIND("ED only",$B$4)),IF(LEFT($B$7,6)="Number",SUMIFS(Comparison_Lookup,site_level_range_board,$B137,date_range_board,K128,inputdata!$F:$F,"ED"),TEXT(SUMIFS(Comparison_Lookup,site_level_range_board,$B137,date_range_board,K128,inputdata!$F:$F,"ED")/SUMIFS(All_Attendances,site_level_range_board,$B137,date_range_board,K128,inputdata!$F:$F,"ED"),"0.0%")),IF(LEFT($B$7,6)="Number",SUMIFS(Comparison_Lookup,site_level_range_board,$B137,date_range_board,K128),TEXT(SUMIFS(Comparison_Lookup,site_level_range_board,$B137,date_range_board,K128)/SUMIFS(All_Attendances,site_level_range_board,$B137,date_range_board,K128),"0.0%"))),"")</f>
        <v>91.8%</v>
      </c>
      <c r="L137" s="165" t="str">
        <f ca="1">IFERROR(IF(ISNUMBER(FIND("ED only",$B$4)),IF(LEFT($B$7,6)="Number",SUMIFS(Comparison_Lookup,site_level_range_board,$B137,date_range_board,L128,inputdata!$F:$F,"ED"),TEXT(SUMIFS(Comparison_Lookup,site_level_range_board,$B137,date_range_board,L128,inputdata!$F:$F,"ED")/SUMIFS(All_Attendances,site_level_range_board,$B137,date_range_board,L128,inputdata!$F:$F,"ED"),"0.0%")),IF(LEFT($B$7,6)="Number",SUMIFS(Comparison_Lookup,site_level_range_board,$B137,date_range_board,L128),TEXT(SUMIFS(Comparison_Lookup,site_level_range_board,$B137,date_range_board,L128)/SUMIFS(All_Attendances,site_level_range_board,$B137,date_range_board,L128),"0.0%"))),"")</f>
        <v>88.6%</v>
      </c>
      <c r="M137" s="165" t="str">
        <f ca="1">IFERROR(IF(ISNUMBER(FIND("ED only",$B$4)),IF(LEFT($B$7,6)="Number",SUMIFS(Comparison_Lookup,site_level_range_board,$B137,date_range_board,M128,inputdata!$F:$F,"ED"),TEXT(SUMIFS(Comparison_Lookup,site_level_range_board,$B137,date_range_board,M128,inputdata!$F:$F,"ED")/SUMIFS(All_Attendances,site_level_range_board,$B137,date_range_board,M128,inputdata!$F:$F,"ED"),"0.0%")),IF(LEFT($B$7,6)="Number",SUMIFS(Comparison_Lookup,site_level_range_board,$B137,date_range_board,M128),TEXT(SUMIFS(Comparison_Lookup,site_level_range_board,$B137,date_range_board,M128)/SUMIFS(All_Attendances,site_level_range_board,$B137,date_range_board,M128),"0.0%"))),"")</f>
        <v>92.2%</v>
      </c>
      <c r="N137" s="171" t="str">
        <f ca="1">IFERROR(IF(ISNUMBER(FIND("ED only",$B$4)),IF(LEFT($B$7,6)="Number",SUMIFS(Comparison_Lookup,site_level_range_board,$B137,date_range_board,N128,inputdata!$F:$F,"ED"),TEXT(SUMIFS(Comparison_Lookup,site_level_range_board,$B137,date_range_board,N128,inputdata!$F:$F,"ED")/SUMIFS(All_Attendances,site_level_range_board,$B137,date_range_board,N128,inputdata!$F:$F,"ED"),"0.0%")),IF(LEFT($B$7,6)="Number",SUMIFS(Comparison_Lookup,site_level_range_board,$B137,date_range_board,N128),TEXT(SUMIFS(Comparison_Lookup,site_level_range_board,$B137,date_range_board,N128)/SUMIFS(All_Attendances,site_level_range_board,$B137,date_range_board,N128),"0.0%"))),"")</f>
        <v>91.9%</v>
      </c>
    </row>
    <row r="138" spans="1:14" ht="15" customHeight="1" x14ac:dyDescent="0.2">
      <c r="A138" s="132"/>
      <c r="B138" s="152" t="s">
        <v>562</v>
      </c>
      <c r="C138" s="165" t="str">
        <f ca="1">IFERROR(IF(ISNUMBER(FIND("ED only",$B$4)),IF(LEFT($B$7,6)="Number",SUMIFS(Comparison_Lookup,site_level_range_board,$B138,date_range_board,C128,inputdata!$F:$F,"ED"),TEXT(SUMIFS(Comparison_Lookup,site_level_range_board,$B138,date_range_board,C128,inputdata!$F:$F,"ED")/SUMIFS(All_Attendances,site_level_range_board,$B138,date_range_board,C128,inputdata!$F:$F,"ED"),"0.0%")),IF(LEFT($B$7,6)="Number",SUMIFS(Comparison_Lookup,site_level_range_board,$B138,date_range_board,C128),TEXT(SUMIFS(Comparison_Lookup,site_level_range_board,$B138,date_range_board,C128)/SUMIFS(All_Attendances,site_level_range_board,$B138,date_range_board,C128),"0.0%"))),"")</f>
        <v>93.6%</v>
      </c>
      <c r="D138" s="165" t="str">
        <f ca="1">IFERROR(IF(ISNUMBER(FIND("ED only",$B$4)),IF(LEFT($B$7,6)="Number",SUMIFS(Comparison_Lookup,site_level_range_board,$B138,date_range_board,D128,inputdata!$F:$F,"ED"),TEXT(SUMIFS(Comparison_Lookup,site_level_range_board,$B138,date_range_board,D128,inputdata!$F:$F,"ED")/SUMIFS(All_Attendances,site_level_range_board,$B138,date_range_board,D128,inputdata!$F:$F,"ED"),"0.0%")),IF(LEFT($B$7,6)="Number",SUMIFS(Comparison_Lookup,site_level_range_board,$B138,date_range_board,D128),TEXT(SUMIFS(Comparison_Lookup,site_level_range_board,$B138,date_range_board,D128)/SUMIFS(All_Attendances,site_level_range_board,$B138,date_range_board,D128),"0.0%"))),"")</f>
        <v>94.1%</v>
      </c>
      <c r="E138" s="165" t="str">
        <f ca="1">IFERROR(IF(ISNUMBER(FIND("ED only",$B$4)),IF(LEFT($B$7,6)="Number",SUMIFS(Comparison_Lookup,site_level_range_board,$B138,date_range_board,E128,inputdata!$F:$F,"ED"),TEXT(SUMIFS(Comparison_Lookup,site_level_range_board,$B138,date_range_board,E128,inputdata!$F:$F,"ED")/SUMIFS(All_Attendances,site_level_range_board,$B138,date_range_board,E128,inputdata!$F:$F,"ED"),"0.0%")),IF(LEFT($B$7,6)="Number",SUMIFS(Comparison_Lookup,site_level_range_board,$B138,date_range_board,E128),TEXT(SUMIFS(Comparison_Lookup,site_level_range_board,$B138,date_range_board,E128)/SUMIFS(All_Attendances,site_level_range_board,$B138,date_range_board,E128),"0.0%"))),"")</f>
        <v>94.7%</v>
      </c>
      <c r="F138" s="165" t="str">
        <f ca="1">IFERROR(IF(ISNUMBER(FIND("ED only",$B$4)),IF(LEFT($B$7,6)="Number",SUMIFS(Comparison_Lookup,site_level_range_board,$B138,date_range_board,F128,inputdata!$F:$F,"ED"),TEXT(SUMIFS(Comparison_Lookup,site_level_range_board,$B138,date_range_board,F128,inputdata!$F:$F,"ED")/SUMIFS(All_Attendances,site_level_range_board,$B138,date_range_board,F128,inputdata!$F:$F,"ED"),"0.0%")),IF(LEFT($B$7,6)="Number",SUMIFS(Comparison_Lookup,site_level_range_board,$B138,date_range_board,F128),TEXT(SUMIFS(Comparison_Lookup,site_level_range_board,$B138,date_range_board,F128)/SUMIFS(All_Attendances,site_level_range_board,$B138,date_range_board,F128),"0.0%"))),"")</f>
        <v>93.9%</v>
      </c>
      <c r="G138" s="165" t="str">
        <f ca="1">IFERROR(IF(ISNUMBER(FIND("ED only",$B$4)),IF(LEFT($B$7,6)="Number",SUMIFS(Comparison_Lookup,site_level_range_board,$B138,date_range_board,G128,inputdata!$F:$F,"ED"),TEXT(SUMIFS(Comparison_Lookup,site_level_range_board,$B138,date_range_board,G128,inputdata!$F:$F,"ED")/SUMIFS(All_Attendances,site_level_range_board,$B138,date_range_board,G128,inputdata!$F:$F,"ED"),"0.0%")),IF(LEFT($B$7,6)="Number",SUMIFS(Comparison_Lookup,site_level_range_board,$B138,date_range_board,G128),TEXT(SUMIFS(Comparison_Lookup,site_level_range_board,$B138,date_range_board,G128)/SUMIFS(All_Attendances,site_level_range_board,$B138,date_range_board,G128),"0.0%"))),"")</f>
        <v>94.5%</v>
      </c>
      <c r="H138" s="165" t="str">
        <f ca="1">IFERROR(IF(ISNUMBER(FIND("ED only",$B$4)),IF(LEFT($B$7,6)="Number",SUMIFS(Comparison_Lookup,site_level_range_board,$B138,date_range_board,H128,inputdata!$F:$F,"ED"),TEXT(SUMIFS(Comparison_Lookup,site_level_range_board,$B138,date_range_board,H128,inputdata!$F:$F,"ED")/SUMIFS(All_Attendances,site_level_range_board,$B138,date_range_board,H128,inputdata!$F:$F,"ED"),"0.0%")),IF(LEFT($B$7,6)="Number",SUMIFS(Comparison_Lookup,site_level_range_board,$B138,date_range_board,H128),TEXT(SUMIFS(Comparison_Lookup,site_level_range_board,$B138,date_range_board,H128)/SUMIFS(All_Attendances,site_level_range_board,$B138,date_range_board,H128),"0.0%"))),"")</f>
        <v>94.0%</v>
      </c>
      <c r="I138" s="165" t="str">
        <f ca="1">IFERROR(IF(ISNUMBER(FIND("ED only",$B$4)),IF(LEFT($B$7,6)="Number",SUMIFS(Comparison_Lookup,site_level_range_board,$B138,date_range_board,I128,inputdata!$F:$F,"ED"),TEXT(SUMIFS(Comparison_Lookup,site_level_range_board,$B138,date_range_board,I128,inputdata!$F:$F,"ED")/SUMIFS(All_Attendances,site_level_range_board,$B138,date_range_board,I128,inputdata!$F:$F,"ED"),"0.0%")),IF(LEFT($B$7,6)="Number",SUMIFS(Comparison_Lookup,site_level_range_board,$B138,date_range_board,I128),TEXT(SUMIFS(Comparison_Lookup,site_level_range_board,$B138,date_range_board,I128)/SUMIFS(All_Attendances,site_level_range_board,$B138,date_range_board,I128),"0.0%"))),"")</f>
        <v>94.4%</v>
      </c>
      <c r="J138" s="165" t="str">
        <f ca="1">IFERROR(IF(ISNUMBER(FIND("ED only",$B$4)),IF(LEFT($B$7,6)="Number",SUMIFS(Comparison_Lookup,site_level_range_board,$B138,date_range_board,J128,inputdata!$F:$F,"ED"),TEXT(SUMIFS(Comparison_Lookup,site_level_range_board,$B138,date_range_board,J128,inputdata!$F:$F,"ED")/SUMIFS(All_Attendances,site_level_range_board,$B138,date_range_board,J128,inputdata!$F:$F,"ED"),"0.0%")),IF(LEFT($B$7,6)="Number",SUMIFS(Comparison_Lookup,site_level_range_board,$B138,date_range_board,J128),TEXT(SUMIFS(Comparison_Lookup,site_level_range_board,$B138,date_range_board,J128)/SUMIFS(All_Attendances,site_level_range_board,$B138,date_range_board,J128),"0.0%"))),"")</f>
        <v>93.5%</v>
      </c>
      <c r="K138" s="165" t="str">
        <f ca="1">IFERROR(IF(ISNUMBER(FIND("ED only",$B$4)),IF(LEFT($B$7,6)="Number",SUMIFS(Comparison_Lookup,site_level_range_board,$B138,date_range_board,K128,inputdata!$F:$F,"ED"),TEXT(SUMIFS(Comparison_Lookup,site_level_range_board,$B138,date_range_board,K128,inputdata!$F:$F,"ED")/SUMIFS(All_Attendances,site_level_range_board,$B138,date_range_board,K128,inputdata!$F:$F,"ED"),"0.0%")),IF(LEFT($B$7,6)="Number",SUMIFS(Comparison_Lookup,site_level_range_board,$B138,date_range_board,K128),TEXT(SUMIFS(Comparison_Lookup,site_level_range_board,$B138,date_range_board,K128)/SUMIFS(All_Attendances,site_level_range_board,$B138,date_range_board,K128),"0.0%"))),"")</f>
        <v>92.2%</v>
      </c>
      <c r="L138" s="165" t="str">
        <f ca="1">IFERROR(IF(ISNUMBER(FIND("ED only",$B$4)),IF(LEFT($B$7,6)="Number",SUMIFS(Comparison_Lookup,site_level_range_board,$B138,date_range_board,L128,inputdata!$F:$F,"ED"),TEXT(SUMIFS(Comparison_Lookup,site_level_range_board,$B138,date_range_board,L128,inputdata!$F:$F,"ED")/SUMIFS(All_Attendances,site_level_range_board,$B138,date_range_board,L128,inputdata!$F:$F,"ED"),"0.0%")),IF(LEFT($B$7,6)="Number",SUMIFS(Comparison_Lookup,site_level_range_board,$B138,date_range_board,L128),TEXT(SUMIFS(Comparison_Lookup,site_level_range_board,$B138,date_range_board,L128)/SUMIFS(All_Attendances,site_level_range_board,$B138,date_range_board,L128),"0.0%"))),"")</f>
        <v>88.5%</v>
      </c>
      <c r="M138" s="165" t="str">
        <f ca="1">IFERROR(IF(ISNUMBER(FIND("ED only",$B$4)),IF(LEFT($B$7,6)="Number",SUMIFS(Comparison_Lookup,site_level_range_board,$B138,date_range_board,M128,inputdata!$F:$F,"ED"),TEXT(SUMIFS(Comparison_Lookup,site_level_range_board,$B138,date_range_board,M128,inputdata!$F:$F,"ED")/SUMIFS(All_Attendances,site_level_range_board,$B138,date_range_board,M128,inputdata!$F:$F,"ED"),"0.0%")),IF(LEFT($B$7,6)="Number",SUMIFS(Comparison_Lookup,site_level_range_board,$B138,date_range_board,M128),TEXT(SUMIFS(Comparison_Lookup,site_level_range_board,$B138,date_range_board,M128)/SUMIFS(All_Attendances,site_level_range_board,$B138,date_range_board,M128),"0.0%"))),"")</f>
        <v>88.0%</v>
      </c>
      <c r="N138" s="171" t="str">
        <f ca="1">IFERROR(IF(ISNUMBER(FIND("ED only",$B$4)),IF(LEFT($B$7,6)="Number",SUMIFS(Comparison_Lookup,site_level_range_board,$B138,date_range_board,N128,inputdata!$F:$F,"ED"),TEXT(SUMIFS(Comparison_Lookup,site_level_range_board,$B138,date_range_board,N128,inputdata!$F:$F,"ED")/SUMIFS(All_Attendances,site_level_range_board,$B138,date_range_board,N128,inputdata!$F:$F,"ED"),"0.0%")),IF(LEFT($B$7,6)="Number",SUMIFS(Comparison_Lookup,site_level_range_board,$B138,date_range_board,N128),TEXT(SUMIFS(Comparison_Lookup,site_level_range_board,$B138,date_range_board,N128)/SUMIFS(All_Attendances,site_level_range_board,$B138,date_range_board,N128),"0.0%"))),"")</f>
        <v>92.1%</v>
      </c>
    </row>
    <row r="139" spans="1:14" ht="15" customHeight="1" x14ac:dyDescent="0.2">
      <c r="A139" s="132"/>
      <c r="B139" s="152" t="s">
        <v>571</v>
      </c>
      <c r="C139" s="165" t="str">
        <f ca="1">IFERROR(IF(ISNUMBER(FIND("ED only",$B$4)),IF(LEFT($B$7,6)="Number",SUMIFS(Comparison_Lookup,site_level_range_board,$B139,date_range_board,C128,inputdata!$F:$F,"ED"),TEXT(SUMIFS(Comparison_Lookup,site_level_range_board,$B139,date_range_board,C128,inputdata!$F:$F,"ED")/SUMIFS(All_Attendances,site_level_range_board,$B139,date_range_board,C128,inputdata!$F:$F,"ED"),"0.0%")),IF(LEFT($B$7,6)="Number",SUMIFS(Comparison_Lookup,site_level_range_board,$B139,date_range_board,C128),TEXT(SUMIFS(Comparison_Lookup,site_level_range_board,$B139,date_range_board,C128)/SUMIFS(All_Attendances,site_level_range_board,$B139,date_range_board,C128),"0.0%"))),"")</f>
        <v>97.8%</v>
      </c>
      <c r="D139" s="165" t="str">
        <f ca="1">IFERROR(IF(ISNUMBER(FIND("ED only",$B$4)),IF(LEFT($B$7,6)="Number",SUMIFS(Comparison_Lookup,site_level_range_board,$B139,date_range_board,D128,inputdata!$F:$F,"ED"),TEXT(SUMIFS(Comparison_Lookup,site_level_range_board,$B139,date_range_board,D128,inputdata!$F:$F,"ED")/SUMIFS(All_Attendances,site_level_range_board,$B139,date_range_board,D128,inputdata!$F:$F,"ED"),"0.0%")),IF(LEFT($B$7,6)="Number",SUMIFS(Comparison_Lookup,site_level_range_board,$B139,date_range_board,D128),TEXT(SUMIFS(Comparison_Lookup,site_level_range_board,$B139,date_range_board,D128)/SUMIFS(All_Attendances,site_level_range_board,$B139,date_range_board,D128),"0.0%"))),"")</f>
        <v>98.1%</v>
      </c>
      <c r="E139" s="165" t="str">
        <f ca="1">IFERROR(IF(ISNUMBER(FIND("ED only",$B$4)),IF(LEFT($B$7,6)="Number",SUMIFS(Comparison_Lookup,site_level_range_board,$B139,date_range_board,E128,inputdata!$F:$F,"ED"),TEXT(SUMIFS(Comparison_Lookup,site_level_range_board,$B139,date_range_board,E128,inputdata!$F:$F,"ED")/SUMIFS(All_Attendances,site_level_range_board,$B139,date_range_board,E128,inputdata!$F:$F,"ED"),"0.0%")),IF(LEFT($B$7,6)="Number",SUMIFS(Comparison_Lookup,site_level_range_board,$B139,date_range_board,E128),TEXT(SUMIFS(Comparison_Lookup,site_level_range_board,$B139,date_range_board,E128)/SUMIFS(All_Attendances,site_level_range_board,$B139,date_range_board,E128),"0.0%"))),"")</f>
        <v>99.2%</v>
      </c>
      <c r="F139" s="165" t="str">
        <f ca="1">IFERROR(IF(ISNUMBER(FIND("ED only",$B$4)),IF(LEFT($B$7,6)="Number",SUMIFS(Comparison_Lookup,site_level_range_board,$B139,date_range_board,F128,inputdata!$F:$F,"ED"),TEXT(SUMIFS(Comparison_Lookup,site_level_range_board,$B139,date_range_board,F128,inputdata!$F:$F,"ED")/SUMIFS(All_Attendances,site_level_range_board,$B139,date_range_board,F128,inputdata!$F:$F,"ED"),"0.0%")),IF(LEFT($B$7,6)="Number",SUMIFS(Comparison_Lookup,site_level_range_board,$B139,date_range_board,F128),TEXT(SUMIFS(Comparison_Lookup,site_level_range_board,$B139,date_range_board,F128)/SUMIFS(All_Attendances,site_level_range_board,$B139,date_range_board,F128),"0.0%"))),"")</f>
        <v>97.0%</v>
      </c>
      <c r="G139" s="165" t="str">
        <f ca="1">IFERROR(IF(ISNUMBER(FIND("ED only",$B$4)),IF(LEFT($B$7,6)="Number",SUMIFS(Comparison_Lookup,site_level_range_board,$B139,date_range_board,G128,inputdata!$F:$F,"ED"),TEXT(SUMIFS(Comparison_Lookup,site_level_range_board,$B139,date_range_board,G128,inputdata!$F:$F,"ED")/SUMIFS(All_Attendances,site_level_range_board,$B139,date_range_board,G128,inputdata!$F:$F,"ED"),"0.0%")),IF(LEFT($B$7,6)="Number",SUMIFS(Comparison_Lookup,site_level_range_board,$B139,date_range_board,G128),TEXT(SUMIFS(Comparison_Lookup,site_level_range_board,$B139,date_range_board,G128)/SUMIFS(All_Attendances,site_level_range_board,$B139,date_range_board,G128),"0.0%"))),"")</f>
        <v>98.6%</v>
      </c>
      <c r="H139" s="165" t="str">
        <f ca="1">IFERROR(IF(ISNUMBER(FIND("ED only",$B$4)),IF(LEFT($B$7,6)="Number",SUMIFS(Comparison_Lookup,site_level_range_board,$B139,date_range_board,H128,inputdata!$F:$F,"ED"),TEXT(SUMIFS(Comparison_Lookup,site_level_range_board,$B139,date_range_board,H128,inputdata!$F:$F,"ED")/SUMIFS(All_Attendances,site_level_range_board,$B139,date_range_board,H128,inputdata!$F:$F,"ED"),"0.0%")),IF(LEFT($B$7,6)="Number",SUMIFS(Comparison_Lookup,site_level_range_board,$B139,date_range_board,H128),TEXT(SUMIFS(Comparison_Lookup,site_level_range_board,$B139,date_range_board,H128)/SUMIFS(All_Attendances,site_level_range_board,$B139,date_range_board,H128),"0.0%"))),"")</f>
        <v>97.2%</v>
      </c>
      <c r="I139" s="165" t="str">
        <f ca="1">IFERROR(IF(ISNUMBER(FIND("ED only",$B$4)),IF(LEFT($B$7,6)="Number",SUMIFS(Comparison_Lookup,site_level_range_board,$B139,date_range_board,I128,inputdata!$F:$F,"ED"),TEXT(SUMIFS(Comparison_Lookup,site_level_range_board,$B139,date_range_board,I128,inputdata!$F:$F,"ED")/SUMIFS(All_Attendances,site_level_range_board,$B139,date_range_board,I128,inputdata!$F:$F,"ED"),"0.0%")),IF(LEFT($B$7,6)="Number",SUMIFS(Comparison_Lookup,site_level_range_board,$B139,date_range_board,I128),TEXT(SUMIFS(Comparison_Lookup,site_level_range_board,$B139,date_range_board,I128)/SUMIFS(All_Attendances,site_level_range_board,$B139,date_range_board,I128),"0.0%"))),"")</f>
        <v>98.2%</v>
      </c>
      <c r="J139" s="165" t="str">
        <f ca="1">IFERROR(IF(ISNUMBER(FIND("ED only",$B$4)),IF(LEFT($B$7,6)="Number",SUMIFS(Comparison_Lookup,site_level_range_board,$B139,date_range_board,J128,inputdata!$F:$F,"ED"),TEXT(SUMIFS(Comparison_Lookup,site_level_range_board,$B139,date_range_board,J128,inputdata!$F:$F,"ED")/SUMIFS(All_Attendances,site_level_range_board,$B139,date_range_board,J128,inputdata!$F:$F,"ED"),"0.0%")),IF(LEFT($B$7,6)="Number",SUMIFS(Comparison_Lookup,site_level_range_board,$B139,date_range_board,J128),TEXT(SUMIFS(Comparison_Lookup,site_level_range_board,$B139,date_range_board,J128)/SUMIFS(All_Attendances,site_level_range_board,$B139,date_range_board,J128),"0.0%"))),"")</f>
        <v>97.8%</v>
      </c>
      <c r="K139" s="165" t="str">
        <f ca="1">IFERROR(IF(ISNUMBER(FIND("ED only",$B$4)),IF(LEFT($B$7,6)="Number",SUMIFS(Comparison_Lookup,site_level_range_board,$B139,date_range_board,K128,inputdata!$F:$F,"ED"),TEXT(SUMIFS(Comparison_Lookup,site_level_range_board,$B139,date_range_board,K128,inputdata!$F:$F,"ED")/SUMIFS(All_Attendances,site_level_range_board,$B139,date_range_board,K128,inputdata!$F:$F,"ED"),"0.0%")),IF(LEFT($B$7,6)="Number",SUMIFS(Comparison_Lookup,site_level_range_board,$B139,date_range_board,K128),TEXT(SUMIFS(Comparison_Lookup,site_level_range_board,$B139,date_range_board,K128)/SUMIFS(All_Attendances,site_level_range_board,$B139,date_range_board,K128),"0.0%"))),"")</f>
        <v>98.9%</v>
      </c>
      <c r="L139" s="165" t="str">
        <f ca="1">IFERROR(IF(ISNUMBER(FIND("ED only",$B$4)),IF(LEFT($B$7,6)="Number",SUMIFS(Comparison_Lookup,site_level_range_board,$B139,date_range_board,L128,inputdata!$F:$F,"ED"),TEXT(SUMIFS(Comparison_Lookup,site_level_range_board,$B139,date_range_board,L128,inputdata!$F:$F,"ED")/SUMIFS(All_Attendances,site_level_range_board,$B139,date_range_board,L128,inputdata!$F:$F,"ED"),"0.0%")),IF(LEFT($B$7,6)="Number",SUMIFS(Comparison_Lookup,site_level_range_board,$B139,date_range_board,L128),TEXT(SUMIFS(Comparison_Lookup,site_level_range_board,$B139,date_range_board,L128)/SUMIFS(All_Attendances,site_level_range_board,$B139,date_range_board,L128),"0.0%"))),"")</f>
        <v>98.2%</v>
      </c>
      <c r="M139" s="165" t="str">
        <f ca="1">IFERROR(IF(ISNUMBER(FIND("ED only",$B$4)),IF(LEFT($B$7,6)="Number",SUMIFS(Comparison_Lookup,site_level_range_board,$B139,date_range_board,M128,inputdata!$F:$F,"ED"),TEXT(SUMIFS(Comparison_Lookup,site_level_range_board,$B139,date_range_board,M128,inputdata!$F:$F,"ED")/SUMIFS(All_Attendances,site_level_range_board,$B139,date_range_board,M128,inputdata!$F:$F,"ED"),"0.0%")),IF(LEFT($B$7,6)="Number",SUMIFS(Comparison_Lookup,site_level_range_board,$B139,date_range_board,M128),TEXT(SUMIFS(Comparison_Lookup,site_level_range_board,$B139,date_range_board,M128)/SUMIFS(All_Attendances,site_level_range_board,$B139,date_range_board,M128),"0.0%"))),"")</f>
        <v>99.0%</v>
      </c>
      <c r="N139" s="171" t="str">
        <f ca="1">IFERROR(IF(ISNUMBER(FIND("ED only",$B$4)),IF(LEFT($B$7,6)="Number",SUMIFS(Comparison_Lookup,site_level_range_board,$B139,date_range_board,N128,inputdata!$F:$F,"ED"),TEXT(SUMIFS(Comparison_Lookup,site_level_range_board,$B139,date_range_board,N128,inputdata!$F:$F,"ED")/SUMIFS(All_Attendances,site_level_range_board,$B139,date_range_board,N128,inputdata!$F:$F,"ED"),"0.0%")),IF(LEFT($B$7,6)="Number",SUMIFS(Comparison_Lookup,site_level_range_board,$B139,date_range_board,N128),TEXT(SUMIFS(Comparison_Lookup,site_level_range_board,$B139,date_range_board,N128)/SUMIFS(All_Attendances,site_level_range_board,$B139,date_range_board,N128),"0.0%"))),"")</f>
        <v>98.8%</v>
      </c>
    </row>
    <row r="140" spans="1:14" ht="15" customHeight="1" x14ac:dyDescent="0.2">
      <c r="A140" s="132"/>
      <c r="B140" s="152" t="s">
        <v>574</v>
      </c>
      <c r="C140" s="165" t="str">
        <f ca="1">IFERROR(IF(ISNUMBER(FIND("ED only",$B$4)),IF(LEFT($B$7,6)="Number",SUMIFS(Comparison_Lookup,site_level_range_board,$B140,date_range_board,C128,inputdata!$F:$F,"ED"),TEXT(SUMIFS(Comparison_Lookup,site_level_range_board,$B140,date_range_board,C128,inputdata!$F:$F,"ED")/SUMIFS(All_Attendances,site_level_range_board,$B140,date_range_board,C128,inputdata!$F:$F,"ED"),"0.0%")),IF(LEFT($B$7,6)="Number",SUMIFS(Comparison_Lookup,site_level_range_board,$B140,date_range_board,C128),TEXT(SUMIFS(Comparison_Lookup,site_level_range_board,$B140,date_range_board,C128)/SUMIFS(All_Attendances,site_level_range_board,$B140,date_range_board,C128),"0.0%"))),"")</f>
        <v>97.1%</v>
      </c>
      <c r="D140" s="165" t="str">
        <f ca="1">IFERROR(IF(ISNUMBER(FIND("ED only",$B$4)),IF(LEFT($B$7,6)="Number",SUMIFS(Comparison_Lookup,site_level_range_board,$B140,date_range_board,D128,inputdata!$F:$F,"ED"),TEXT(SUMIFS(Comparison_Lookup,site_level_range_board,$B140,date_range_board,D128,inputdata!$F:$F,"ED")/SUMIFS(All_Attendances,site_level_range_board,$B140,date_range_board,D128,inputdata!$F:$F,"ED"),"0.0%")),IF(LEFT($B$7,6)="Number",SUMIFS(Comparison_Lookup,site_level_range_board,$B140,date_range_board,D128),TEXT(SUMIFS(Comparison_Lookup,site_level_range_board,$B140,date_range_board,D128)/SUMIFS(All_Attendances,site_level_range_board,$B140,date_range_board,D128),"0.0%"))),"")</f>
        <v>98.2%</v>
      </c>
      <c r="E140" s="165" t="str">
        <f ca="1">IFERROR(IF(ISNUMBER(FIND("ED only",$B$4)),IF(LEFT($B$7,6)="Number",SUMIFS(Comparison_Lookup,site_level_range_board,$B140,date_range_board,E128,inputdata!$F:$F,"ED"),TEXT(SUMIFS(Comparison_Lookup,site_level_range_board,$B140,date_range_board,E128,inputdata!$F:$F,"ED")/SUMIFS(All_Attendances,site_level_range_board,$B140,date_range_board,E128,inputdata!$F:$F,"ED"),"0.0%")),IF(LEFT($B$7,6)="Number",SUMIFS(Comparison_Lookup,site_level_range_board,$B140,date_range_board,E128),TEXT(SUMIFS(Comparison_Lookup,site_level_range_board,$B140,date_range_board,E128)/SUMIFS(All_Attendances,site_level_range_board,$B140,date_range_board,E128),"0.0%"))),"")</f>
        <v>95.9%</v>
      </c>
      <c r="F140" s="165" t="str">
        <f ca="1">IFERROR(IF(ISNUMBER(FIND("ED only",$B$4)),IF(LEFT($B$7,6)="Number",SUMIFS(Comparison_Lookup,site_level_range_board,$B140,date_range_board,F128,inputdata!$F:$F,"ED"),TEXT(SUMIFS(Comparison_Lookup,site_level_range_board,$B140,date_range_board,F128,inputdata!$F:$F,"ED")/SUMIFS(All_Attendances,site_level_range_board,$B140,date_range_board,F128,inputdata!$F:$F,"ED"),"0.0%")),IF(LEFT($B$7,6)="Number",SUMIFS(Comparison_Lookup,site_level_range_board,$B140,date_range_board,F128),TEXT(SUMIFS(Comparison_Lookup,site_level_range_board,$B140,date_range_board,F128)/SUMIFS(All_Attendances,site_level_range_board,$B140,date_range_board,F128),"0.0%"))),"")</f>
        <v>96.1%</v>
      </c>
      <c r="G140" s="165" t="str">
        <f ca="1">IFERROR(IF(ISNUMBER(FIND("ED only",$B$4)),IF(LEFT($B$7,6)="Number",SUMIFS(Comparison_Lookup,site_level_range_board,$B140,date_range_board,G128,inputdata!$F:$F,"ED"),TEXT(SUMIFS(Comparison_Lookup,site_level_range_board,$B140,date_range_board,G128,inputdata!$F:$F,"ED")/SUMIFS(All_Attendances,site_level_range_board,$B140,date_range_board,G128,inputdata!$F:$F,"ED"),"0.0%")),IF(LEFT($B$7,6)="Number",SUMIFS(Comparison_Lookup,site_level_range_board,$B140,date_range_board,G128),TEXT(SUMIFS(Comparison_Lookup,site_level_range_board,$B140,date_range_board,G128)/SUMIFS(All_Attendances,site_level_range_board,$B140,date_range_board,G128),"0.0%"))),"")</f>
        <v>93.8%</v>
      </c>
      <c r="H140" s="165" t="str">
        <f ca="1">IFERROR(IF(ISNUMBER(FIND("ED only",$B$4)),IF(LEFT($B$7,6)="Number",SUMIFS(Comparison_Lookup,site_level_range_board,$B140,date_range_board,H128,inputdata!$F:$F,"ED"),TEXT(SUMIFS(Comparison_Lookup,site_level_range_board,$B140,date_range_board,H128,inputdata!$F:$F,"ED")/SUMIFS(All_Attendances,site_level_range_board,$B140,date_range_board,H128,inputdata!$F:$F,"ED"),"0.0%")),IF(LEFT($B$7,6)="Number",SUMIFS(Comparison_Lookup,site_level_range_board,$B140,date_range_board,H128),TEXT(SUMIFS(Comparison_Lookup,site_level_range_board,$B140,date_range_board,H128)/SUMIFS(All_Attendances,site_level_range_board,$B140,date_range_board,H128),"0.0%"))),"")</f>
        <v>97.8%</v>
      </c>
      <c r="I140" s="165" t="str">
        <f ca="1">IFERROR(IF(ISNUMBER(FIND("ED only",$B$4)),IF(LEFT($B$7,6)="Number",SUMIFS(Comparison_Lookup,site_level_range_board,$B140,date_range_board,I128,inputdata!$F:$F,"ED"),TEXT(SUMIFS(Comparison_Lookup,site_level_range_board,$B140,date_range_board,I128,inputdata!$F:$F,"ED")/SUMIFS(All_Attendances,site_level_range_board,$B140,date_range_board,I128,inputdata!$F:$F,"ED"),"0.0%")),IF(LEFT($B$7,6)="Number",SUMIFS(Comparison_Lookup,site_level_range_board,$B140,date_range_board,I128),TEXT(SUMIFS(Comparison_Lookup,site_level_range_board,$B140,date_range_board,I128)/SUMIFS(All_Attendances,site_level_range_board,$B140,date_range_board,I128),"0.0%"))),"")</f>
        <v>98.2%</v>
      </c>
      <c r="J140" s="165" t="str">
        <f ca="1">IFERROR(IF(ISNUMBER(FIND("ED only",$B$4)),IF(LEFT($B$7,6)="Number",SUMIFS(Comparison_Lookup,site_level_range_board,$B140,date_range_board,J128,inputdata!$F:$F,"ED"),TEXT(SUMIFS(Comparison_Lookup,site_level_range_board,$B140,date_range_board,J128,inputdata!$F:$F,"ED")/SUMIFS(All_Attendances,site_level_range_board,$B140,date_range_board,J128,inputdata!$F:$F,"ED"),"0.0%")),IF(LEFT($B$7,6)="Number",SUMIFS(Comparison_Lookup,site_level_range_board,$B140,date_range_board,J128),TEXT(SUMIFS(Comparison_Lookup,site_level_range_board,$B140,date_range_board,J128)/SUMIFS(All_Attendances,site_level_range_board,$B140,date_range_board,J128),"0.0%"))),"")</f>
        <v>98.9%</v>
      </c>
      <c r="K140" s="165" t="str">
        <f ca="1">IFERROR(IF(ISNUMBER(FIND("ED only",$B$4)),IF(LEFT($B$7,6)="Number",SUMIFS(Comparison_Lookup,site_level_range_board,$B140,date_range_board,K128,inputdata!$F:$F,"ED"),TEXT(SUMIFS(Comparison_Lookup,site_level_range_board,$B140,date_range_board,K128,inputdata!$F:$F,"ED")/SUMIFS(All_Attendances,site_level_range_board,$B140,date_range_board,K128,inputdata!$F:$F,"ED"),"0.0%")),IF(LEFT($B$7,6)="Number",SUMIFS(Comparison_Lookup,site_level_range_board,$B140,date_range_board,K128),TEXT(SUMIFS(Comparison_Lookup,site_level_range_board,$B140,date_range_board,K128)/SUMIFS(All_Attendances,site_level_range_board,$B140,date_range_board,K128),"0.0%"))),"")</f>
        <v>94.9%</v>
      </c>
      <c r="L140" s="165" t="str">
        <f ca="1">IFERROR(IF(ISNUMBER(FIND("ED only",$B$4)),IF(LEFT($B$7,6)="Number",SUMIFS(Comparison_Lookup,site_level_range_board,$B140,date_range_board,L128,inputdata!$F:$F,"ED"),TEXT(SUMIFS(Comparison_Lookup,site_level_range_board,$B140,date_range_board,L128,inputdata!$F:$F,"ED")/SUMIFS(All_Attendances,site_level_range_board,$B140,date_range_board,L128,inputdata!$F:$F,"ED"),"0.0%")),IF(LEFT($B$7,6)="Number",SUMIFS(Comparison_Lookup,site_level_range_board,$B140,date_range_board,L128),TEXT(SUMIFS(Comparison_Lookup,site_level_range_board,$B140,date_range_board,L128)/SUMIFS(All_Attendances,site_level_range_board,$B140,date_range_board,L128),"0.0%"))),"")</f>
        <v>95.7%</v>
      </c>
      <c r="M140" s="165" t="str">
        <f ca="1">IFERROR(IF(ISNUMBER(FIND("ED only",$B$4)),IF(LEFT($B$7,6)="Number",SUMIFS(Comparison_Lookup,site_level_range_board,$B140,date_range_board,M128,inputdata!$F:$F,"ED"),TEXT(SUMIFS(Comparison_Lookup,site_level_range_board,$B140,date_range_board,M128,inputdata!$F:$F,"ED")/SUMIFS(All_Attendances,site_level_range_board,$B140,date_range_board,M128,inputdata!$F:$F,"ED"),"0.0%")),IF(LEFT($B$7,6)="Number",SUMIFS(Comparison_Lookup,site_level_range_board,$B140,date_range_board,M128),TEXT(SUMIFS(Comparison_Lookup,site_level_range_board,$B140,date_range_board,M128)/SUMIFS(All_Attendances,site_level_range_board,$B140,date_range_board,M128),"0.0%"))),"")</f>
        <v>93.5%</v>
      </c>
      <c r="N140" s="171" t="str">
        <f ca="1">IFERROR(IF(ISNUMBER(FIND("ED only",$B$4)),IF(LEFT($B$7,6)="Number",SUMIFS(Comparison_Lookup,site_level_range_board,$B140,date_range_board,N128,inputdata!$F:$F,"ED"),TEXT(SUMIFS(Comparison_Lookup,site_level_range_board,$B140,date_range_board,N128,inputdata!$F:$F,"ED")/SUMIFS(All_Attendances,site_level_range_board,$B140,date_range_board,N128,inputdata!$F:$F,"ED"),"0.0%")),IF(LEFT($B$7,6)="Number",SUMIFS(Comparison_Lookup,site_level_range_board,$B140,date_range_board,N128),TEXT(SUMIFS(Comparison_Lookup,site_level_range_board,$B140,date_range_board,N128)/SUMIFS(All_Attendances,site_level_range_board,$B140,date_range_board,N128),"0.0%"))),"")</f>
        <v>96.5%</v>
      </c>
    </row>
    <row r="141" spans="1:14" ht="15" customHeight="1" x14ac:dyDescent="0.2">
      <c r="A141" s="132"/>
      <c r="B141" s="152" t="s">
        <v>577</v>
      </c>
      <c r="C141" s="165" t="str">
        <f ca="1">IFERROR(IF(ISNUMBER(FIND("ED only",$B$4)),IF(LEFT($B$7,6)="Number",SUMIFS(Comparison_Lookup,site_level_range_board,$B141,date_range_board,C128,inputdata!$F:$F,"ED"),TEXT(SUMIFS(Comparison_Lookup,site_level_range_board,$B141,date_range_board,C128,inputdata!$F:$F,"ED")/SUMIFS(All_Attendances,site_level_range_board,$B141,date_range_board,C128,inputdata!$F:$F,"ED"),"0.0%")),IF(LEFT($B$7,6)="Number",SUMIFS(Comparison_Lookup,site_level_range_board,$B141,date_range_board,C128),TEXT(SUMIFS(Comparison_Lookup,site_level_range_board,$B141,date_range_board,C128)/SUMIFS(All_Attendances,site_level_range_board,$B141,date_range_board,C128),"0.0%"))),"")</f>
        <v>98.9%</v>
      </c>
      <c r="D141" s="165" t="str">
        <f ca="1">IFERROR(IF(ISNUMBER(FIND("ED only",$B$4)),IF(LEFT($B$7,6)="Number",SUMIFS(Comparison_Lookup,site_level_range_board,$B141,date_range_board,D128,inputdata!$F:$F,"ED"),TEXT(SUMIFS(Comparison_Lookup,site_level_range_board,$B141,date_range_board,D128,inputdata!$F:$F,"ED")/SUMIFS(All_Attendances,site_level_range_board,$B141,date_range_board,D128,inputdata!$F:$F,"ED"),"0.0%")),IF(LEFT($B$7,6)="Number",SUMIFS(Comparison_Lookup,site_level_range_board,$B141,date_range_board,D128),TEXT(SUMIFS(Comparison_Lookup,site_level_range_board,$B141,date_range_board,D128)/SUMIFS(All_Attendances,site_level_range_board,$B141,date_range_board,D128),"0.0%"))),"")</f>
        <v>99.2%</v>
      </c>
      <c r="E141" s="165" t="str">
        <f ca="1">IFERROR(IF(ISNUMBER(FIND("ED only",$B$4)),IF(LEFT($B$7,6)="Number",SUMIFS(Comparison_Lookup,site_level_range_board,$B141,date_range_board,E128,inputdata!$F:$F,"ED"),TEXT(SUMIFS(Comparison_Lookup,site_level_range_board,$B141,date_range_board,E128,inputdata!$F:$F,"ED")/SUMIFS(All_Attendances,site_level_range_board,$B141,date_range_board,E128,inputdata!$F:$F,"ED"),"0.0%")),IF(LEFT($B$7,6)="Number",SUMIFS(Comparison_Lookup,site_level_range_board,$B141,date_range_board,E128),TEXT(SUMIFS(Comparison_Lookup,site_level_range_board,$B141,date_range_board,E128)/SUMIFS(All_Attendances,site_level_range_board,$B141,date_range_board,E128),"0.0%"))),"")</f>
        <v>98.7%</v>
      </c>
      <c r="F141" s="165" t="str">
        <f ca="1">IFERROR(IF(ISNUMBER(FIND("ED only",$B$4)),IF(LEFT($B$7,6)="Number",SUMIFS(Comparison_Lookup,site_level_range_board,$B141,date_range_board,F128,inputdata!$F:$F,"ED"),TEXT(SUMIFS(Comparison_Lookup,site_level_range_board,$B141,date_range_board,F128,inputdata!$F:$F,"ED")/SUMIFS(All_Attendances,site_level_range_board,$B141,date_range_board,F128,inputdata!$F:$F,"ED"),"0.0%")),IF(LEFT($B$7,6)="Number",SUMIFS(Comparison_Lookup,site_level_range_board,$B141,date_range_board,F128),TEXT(SUMIFS(Comparison_Lookup,site_level_range_board,$B141,date_range_board,F128)/SUMIFS(All_Attendances,site_level_range_board,$B141,date_range_board,F128),"0.0%"))),"")</f>
        <v>99.2%</v>
      </c>
      <c r="G141" s="165" t="str">
        <f ca="1">IFERROR(IF(ISNUMBER(FIND("ED only",$B$4)),IF(LEFT($B$7,6)="Number",SUMIFS(Comparison_Lookup,site_level_range_board,$B141,date_range_board,G128,inputdata!$F:$F,"ED"),TEXT(SUMIFS(Comparison_Lookup,site_level_range_board,$B141,date_range_board,G128,inputdata!$F:$F,"ED")/SUMIFS(All_Attendances,site_level_range_board,$B141,date_range_board,G128,inputdata!$F:$F,"ED"),"0.0%")),IF(LEFT($B$7,6)="Number",SUMIFS(Comparison_Lookup,site_level_range_board,$B141,date_range_board,G128),TEXT(SUMIFS(Comparison_Lookup,site_level_range_board,$B141,date_range_board,G128)/SUMIFS(All_Attendances,site_level_range_board,$B141,date_range_board,G128),"0.0%"))),"")</f>
        <v>99.2%</v>
      </c>
      <c r="H141" s="165" t="str">
        <f ca="1">IFERROR(IF(ISNUMBER(FIND("ED only",$B$4)),IF(LEFT($B$7,6)="Number",SUMIFS(Comparison_Lookup,site_level_range_board,$B141,date_range_board,H128,inputdata!$F:$F,"ED"),TEXT(SUMIFS(Comparison_Lookup,site_level_range_board,$B141,date_range_board,H128,inputdata!$F:$F,"ED")/SUMIFS(All_Attendances,site_level_range_board,$B141,date_range_board,H128,inputdata!$F:$F,"ED"),"0.0%")),IF(LEFT($B$7,6)="Number",SUMIFS(Comparison_Lookup,site_level_range_board,$B141,date_range_board,H128),TEXT(SUMIFS(Comparison_Lookup,site_level_range_board,$B141,date_range_board,H128)/SUMIFS(All_Attendances,site_level_range_board,$B141,date_range_board,H128),"0.0%"))),"")</f>
        <v>98.2%</v>
      </c>
      <c r="I141" s="165" t="str">
        <f ca="1">IFERROR(IF(ISNUMBER(FIND("ED only",$B$4)),IF(LEFT($B$7,6)="Number",SUMIFS(Comparison_Lookup,site_level_range_board,$B141,date_range_board,I128,inputdata!$F:$F,"ED"),TEXT(SUMIFS(Comparison_Lookup,site_level_range_board,$B141,date_range_board,I128,inputdata!$F:$F,"ED")/SUMIFS(All_Attendances,site_level_range_board,$B141,date_range_board,I128,inputdata!$F:$F,"ED"),"0.0%")),IF(LEFT($B$7,6)="Number",SUMIFS(Comparison_Lookup,site_level_range_board,$B141,date_range_board,I128),TEXT(SUMIFS(Comparison_Lookup,site_level_range_board,$B141,date_range_board,I128)/SUMIFS(All_Attendances,site_level_range_board,$B141,date_range_board,I128),"0.0%"))),"")</f>
        <v>99.2%</v>
      </c>
      <c r="J141" s="165" t="str">
        <f ca="1">IFERROR(IF(ISNUMBER(FIND("ED only",$B$4)),IF(LEFT($B$7,6)="Number",SUMIFS(Comparison_Lookup,site_level_range_board,$B141,date_range_board,J128,inputdata!$F:$F,"ED"),TEXT(SUMIFS(Comparison_Lookup,site_level_range_board,$B141,date_range_board,J128,inputdata!$F:$F,"ED")/SUMIFS(All_Attendances,site_level_range_board,$B141,date_range_board,J128,inputdata!$F:$F,"ED"),"0.0%")),IF(LEFT($B$7,6)="Number",SUMIFS(Comparison_Lookup,site_level_range_board,$B141,date_range_board,J128),TEXT(SUMIFS(Comparison_Lookup,site_level_range_board,$B141,date_range_board,J128)/SUMIFS(All_Attendances,site_level_range_board,$B141,date_range_board,J128),"0.0%"))),"")</f>
        <v>98.7%</v>
      </c>
      <c r="K141" s="165" t="str">
        <f ca="1">IFERROR(IF(ISNUMBER(FIND("ED only",$B$4)),IF(LEFT($B$7,6)="Number",SUMIFS(Comparison_Lookup,site_level_range_board,$B141,date_range_board,K128,inputdata!$F:$F,"ED"),TEXT(SUMIFS(Comparison_Lookup,site_level_range_board,$B141,date_range_board,K128,inputdata!$F:$F,"ED")/SUMIFS(All_Attendances,site_level_range_board,$B141,date_range_board,K128,inputdata!$F:$F,"ED"),"0.0%")),IF(LEFT($B$7,6)="Number",SUMIFS(Comparison_Lookup,site_level_range_board,$B141,date_range_board,K128),TEXT(SUMIFS(Comparison_Lookup,site_level_range_board,$B141,date_range_board,K128)/SUMIFS(All_Attendances,site_level_range_board,$B141,date_range_board,K128),"0.0%"))),"")</f>
        <v>98.8%</v>
      </c>
      <c r="L141" s="165" t="str">
        <f ca="1">IFERROR(IF(ISNUMBER(FIND("ED only",$B$4)),IF(LEFT($B$7,6)="Number",SUMIFS(Comparison_Lookup,site_level_range_board,$B141,date_range_board,L128,inputdata!$F:$F,"ED"),TEXT(SUMIFS(Comparison_Lookup,site_level_range_board,$B141,date_range_board,L128,inputdata!$F:$F,"ED")/SUMIFS(All_Attendances,site_level_range_board,$B141,date_range_board,L128,inputdata!$F:$F,"ED"),"0.0%")),IF(LEFT($B$7,6)="Number",SUMIFS(Comparison_Lookup,site_level_range_board,$B141,date_range_board,L128),TEXT(SUMIFS(Comparison_Lookup,site_level_range_board,$B141,date_range_board,L128)/SUMIFS(All_Attendances,site_level_range_board,$B141,date_range_board,L128),"0.0%"))),"")</f>
        <v>98.9%</v>
      </c>
      <c r="M141" s="165" t="str">
        <f ca="1">IFERROR(IF(ISNUMBER(FIND("ED only",$B$4)),IF(LEFT($B$7,6)="Number",SUMIFS(Comparison_Lookup,site_level_range_board,$B141,date_range_board,M128,inputdata!$F:$F,"ED"),TEXT(SUMIFS(Comparison_Lookup,site_level_range_board,$B141,date_range_board,M128,inputdata!$F:$F,"ED")/SUMIFS(All_Attendances,site_level_range_board,$B141,date_range_board,M128,inputdata!$F:$F,"ED"),"0.0%")),IF(LEFT($B$7,6)="Number",SUMIFS(Comparison_Lookup,site_level_range_board,$B141,date_range_board,M128),TEXT(SUMIFS(Comparison_Lookup,site_level_range_board,$B141,date_range_board,M128)/SUMIFS(All_Attendances,site_level_range_board,$B141,date_range_board,M128),"0.0%"))),"")</f>
        <v>98.9%</v>
      </c>
      <c r="N141" s="171" t="str">
        <f ca="1">IFERROR(IF(ISNUMBER(FIND("ED only",$B$4)),IF(LEFT($B$7,6)="Number",SUMIFS(Comparison_Lookup,site_level_range_board,$B141,date_range_board,N128,inputdata!$F:$F,"ED"),TEXT(SUMIFS(Comparison_Lookup,site_level_range_board,$B141,date_range_board,N128,inputdata!$F:$F,"ED")/SUMIFS(All_Attendances,site_level_range_board,$B141,date_range_board,N128,inputdata!$F:$F,"ED"),"0.0%")),IF(LEFT($B$7,6)="Number",SUMIFS(Comparison_Lookup,site_level_range_board,$B141,date_range_board,N128),TEXT(SUMIFS(Comparison_Lookup,site_level_range_board,$B141,date_range_board,N128)/SUMIFS(All_Attendances,site_level_range_board,$B141,date_range_board,N128),"0.0%"))),"")</f>
        <v>99.2%</v>
      </c>
    </row>
    <row r="142" spans="1:14" ht="15" customHeight="1" x14ac:dyDescent="0.2">
      <c r="A142" s="132"/>
      <c r="B142" s="154" t="s">
        <v>594</v>
      </c>
      <c r="C142" s="168" t="str">
        <f ca="1">IFERROR(IF(ISNUMBER(FIND("ED only",$B$4)),IF(LEFT($B$7,6)="Number",SUMIFS(Comparison_Lookup,site_level_range_board,$B142,date_range_board,C128,inputdata!$F:$F,"ED"),TEXT(SUMIFS(Comparison_Lookup,site_level_range_board,$B142,date_range_board,C128,inputdata!$F:$F,"ED")/SUMIFS(All_Attendances,site_level_range_board,$B142,date_range_board,C128,inputdata!$F:$F,"ED"),"0.0%")),IF(LEFT($B$7,6)="Number",SUMIFS(Comparison_Lookup,site_level_range_board,$B142,date_range_board,C128),TEXT(SUMIFS(Comparison_Lookup,site_level_range_board,$B142,date_range_board,C128)/SUMIFS(All_Attendances,site_level_range_board,$B142,date_range_board,C128),"0.0%"))),"")</f>
        <v>97.3%</v>
      </c>
      <c r="D142" s="168" t="str">
        <f ca="1">IFERROR(IF(ISNUMBER(FIND("ED only",$B$4)),IF(LEFT($B$7,6)="Number",SUMIFS(Comparison_Lookup,site_level_range_board,$B142,date_range_board,D128,inputdata!$F:$F,"ED"),TEXT(SUMIFS(Comparison_Lookup,site_level_range_board,$B142,date_range_board,D128,inputdata!$F:$F,"ED")/SUMIFS(All_Attendances,site_level_range_board,$B142,date_range_board,D128,inputdata!$F:$F,"ED"),"0.0%")),IF(LEFT($B$7,6)="Number",SUMIFS(Comparison_Lookup,site_level_range_board,$B142,date_range_board,D128),TEXT(SUMIFS(Comparison_Lookup,site_level_range_board,$B142,date_range_board,D128)/SUMIFS(All_Attendances,site_level_range_board,$B142,date_range_board,D128),"0.0%"))),"")</f>
        <v>99.2%</v>
      </c>
      <c r="E142" s="168" t="str">
        <f ca="1">IFERROR(IF(ISNUMBER(FIND("ED only",$B$4)),IF(LEFT($B$7,6)="Number",SUMIFS(Comparison_Lookup,site_level_range_board,$B142,date_range_board,E128,inputdata!$F:$F,"ED"),TEXT(SUMIFS(Comparison_Lookup,site_level_range_board,$B142,date_range_board,E128,inputdata!$F:$F,"ED")/SUMIFS(All_Attendances,site_level_range_board,$B142,date_range_board,E128,inputdata!$F:$F,"ED"),"0.0%")),IF(LEFT($B$7,6)="Number",SUMIFS(Comparison_Lookup,site_level_range_board,$B142,date_range_board,E128),TEXT(SUMIFS(Comparison_Lookup,site_level_range_board,$B142,date_range_board,E128)/SUMIFS(All_Attendances,site_level_range_board,$B142,date_range_board,E128),"0.0%"))),"")</f>
        <v>98.6%</v>
      </c>
      <c r="F142" s="168" t="str">
        <f ca="1">IFERROR(IF(ISNUMBER(FIND("ED only",$B$4)),IF(LEFT($B$7,6)="Number",SUMIFS(Comparison_Lookup,site_level_range_board,$B142,date_range_board,F128,inputdata!$F:$F,"ED"),TEXT(SUMIFS(Comparison_Lookup,site_level_range_board,$B142,date_range_board,F128,inputdata!$F:$F,"ED")/SUMIFS(All_Attendances,site_level_range_board,$B142,date_range_board,F128,inputdata!$F:$F,"ED"),"0.0%")),IF(LEFT($B$7,6)="Number",SUMIFS(Comparison_Lookup,site_level_range_board,$B142,date_range_board,F128),TEXT(SUMIFS(Comparison_Lookup,site_level_range_board,$B142,date_range_board,F128)/SUMIFS(All_Attendances,site_level_range_board,$B142,date_range_board,F128),"0.0%"))),"")</f>
        <v>98.9%</v>
      </c>
      <c r="G142" s="168" t="str">
        <f ca="1">IFERROR(IF(ISNUMBER(FIND("ED only",$B$4)),IF(LEFT($B$7,6)="Number",SUMIFS(Comparison_Lookup,site_level_range_board,$B142,date_range_board,G128,inputdata!$F:$F,"ED"),TEXT(SUMIFS(Comparison_Lookup,site_level_range_board,$B142,date_range_board,G128,inputdata!$F:$F,"ED")/SUMIFS(All_Attendances,site_level_range_board,$B142,date_range_board,G128,inputdata!$F:$F,"ED"),"0.0%")),IF(LEFT($B$7,6)="Number",SUMIFS(Comparison_Lookup,site_level_range_board,$B142,date_range_board,G128),TEXT(SUMIFS(Comparison_Lookup,site_level_range_board,$B142,date_range_board,G128)/SUMIFS(All_Attendances,site_level_range_board,$B142,date_range_board,G128),"0.0%"))),"")</f>
        <v>99.0%</v>
      </c>
      <c r="H142" s="168" t="str">
        <f ca="1">IFERROR(IF(ISNUMBER(FIND("ED only",$B$4)),IF(LEFT($B$7,6)="Number",SUMIFS(Comparison_Lookup,site_level_range_board,$B142,date_range_board,H128,inputdata!$F:$F,"ED"),TEXT(SUMIFS(Comparison_Lookup,site_level_range_board,$B142,date_range_board,H128,inputdata!$F:$F,"ED")/SUMIFS(All_Attendances,site_level_range_board,$B142,date_range_board,H128,inputdata!$F:$F,"ED"),"0.0%")),IF(LEFT($B$7,6)="Number",SUMIFS(Comparison_Lookup,site_level_range_board,$B142,date_range_board,H128),TEXT(SUMIFS(Comparison_Lookup,site_level_range_board,$B142,date_range_board,H128)/SUMIFS(All_Attendances,site_level_range_board,$B142,date_range_board,H128),"0.0%"))),"")</f>
        <v>99.6%</v>
      </c>
      <c r="I142" s="168" t="str">
        <f ca="1">IFERROR(IF(ISNUMBER(FIND("ED only",$B$4)),IF(LEFT($B$7,6)="Number",SUMIFS(Comparison_Lookup,site_level_range_board,$B142,date_range_board,I128,inputdata!$F:$F,"ED"),TEXT(SUMIFS(Comparison_Lookup,site_level_range_board,$B142,date_range_board,I128,inputdata!$F:$F,"ED")/SUMIFS(All_Attendances,site_level_range_board,$B142,date_range_board,I128,inputdata!$F:$F,"ED"),"0.0%")),IF(LEFT($B$7,6)="Number",SUMIFS(Comparison_Lookup,site_level_range_board,$B142,date_range_board,I128),TEXT(SUMIFS(Comparison_Lookup,site_level_range_board,$B142,date_range_board,I128)/SUMIFS(All_Attendances,site_level_range_board,$B142,date_range_board,I128),"0.0%"))),"")</f>
        <v>99.5%</v>
      </c>
      <c r="J142" s="168" t="str">
        <f ca="1">IFERROR(IF(ISNUMBER(FIND("ED only",$B$4)),IF(LEFT($B$7,6)="Number",SUMIFS(Comparison_Lookup,site_level_range_board,$B142,date_range_board,J128,inputdata!$F:$F,"ED"),TEXT(SUMIFS(Comparison_Lookup,site_level_range_board,$B142,date_range_board,J128,inputdata!$F:$F,"ED")/SUMIFS(All_Attendances,site_level_range_board,$B142,date_range_board,J128,inputdata!$F:$F,"ED"),"0.0%")),IF(LEFT($B$7,6)="Number",SUMIFS(Comparison_Lookup,site_level_range_board,$B142,date_range_board,J128),TEXT(SUMIFS(Comparison_Lookup,site_level_range_board,$B142,date_range_board,J128)/SUMIFS(All_Attendances,site_level_range_board,$B142,date_range_board,J128),"0.0%"))),"")</f>
        <v>99.3%</v>
      </c>
      <c r="K142" s="168" t="str">
        <f ca="1">IFERROR(IF(ISNUMBER(FIND("ED only",$B$4)),IF(LEFT($B$7,6)="Number",SUMIFS(Comparison_Lookup,site_level_range_board,$B142,date_range_board,K128,inputdata!$F:$F,"ED"),TEXT(SUMIFS(Comparison_Lookup,site_level_range_board,$B142,date_range_board,K128,inputdata!$F:$F,"ED")/SUMIFS(All_Attendances,site_level_range_board,$B142,date_range_board,K128,inputdata!$F:$F,"ED"),"0.0%")),IF(LEFT($B$7,6)="Number",SUMIFS(Comparison_Lookup,site_level_range_board,$B142,date_range_board,K128),TEXT(SUMIFS(Comparison_Lookup,site_level_range_board,$B142,date_range_board,K128)/SUMIFS(All_Attendances,site_level_range_board,$B142,date_range_board,K128),"0.0%"))),"")</f>
        <v>98.4%</v>
      </c>
      <c r="L142" s="168" t="str">
        <f ca="1">IFERROR(IF(ISNUMBER(FIND("ED only",$B$4)),IF(LEFT($B$7,6)="Number",SUMIFS(Comparison_Lookup,site_level_range_board,$B142,date_range_board,L128,inputdata!$F:$F,"ED"),TEXT(SUMIFS(Comparison_Lookup,site_level_range_board,$B142,date_range_board,L128,inputdata!$F:$F,"ED")/SUMIFS(All_Attendances,site_level_range_board,$B142,date_range_board,L128,inputdata!$F:$F,"ED"),"0.0%")),IF(LEFT($B$7,6)="Number",SUMIFS(Comparison_Lookup,site_level_range_board,$B142,date_range_board,L128),TEXT(SUMIFS(Comparison_Lookup,site_level_range_board,$B142,date_range_board,L128)/SUMIFS(All_Attendances,site_level_range_board,$B142,date_range_board,L128),"0.0%"))),"")</f>
        <v>99.2%</v>
      </c>
      <c r="M142" s="168" t="str">
        <f ca="1">IFERROR(IF(ISNUMBER(FIND("ED only",$B$4)),IF(LEFT($B$7,6)="Number",SUMIFS(Comparison_Lookup,site_level_range_board,$B142,date_range_board,M128,inputdata!$F:$F,"ED"),TEXT(SUMIFS(Comparison_Lookup,site_level_range_board,$B142,date_range_board,M128,inputdata!$F:$F,"ED")/SUMIFS(All_Attendances,site_level_range_board,$B142,date_range_board,M128,inputdata!$F:$F,"ED"),"0.0%")),IF(LEFT($B$7,6)="Number",SUMIFS(Comparison_Lookup,site_level_range_board,$B142,date_range_board,M128),TEXT(SUMIFS(Comparison_Lookup,site_level_range_board,$B142,date_range_board,M128)/SUMIFS(All_Attendances,site_level_range_board,$B142,date_range_board,M128),"0.0%"))),"")</f>
        <v>99.0%</v>
      </c>
      <c r="N142" s="172" t="str">
        <f ca="1">IFERROR(IF(ISNUMBER(FIND("ED only",$B$4)),IF(LEFT($B$7,6)="Number",SUMIFS(Comparison_Lookup,site_level_range_board,$B142,date_range_board,N128,inputdata!$F:$F,"ED"),TEXT(SUMIFS(Comparison_Lookup,site_level_range_board,$B142,date_range_board,N128,inputdata!$F:$F,"ED")/SUMIFS(All_Attendances,site_level_range_board,$B142,date_range_board,N128,inputdata!$F:$F,"ED"),"0.0%")),IF(LEFT($B$7,6)="Number",SUMIFS(Comparison_Lookup,site_level_range_board,$B142,date_range_board,N128),TEXT(SUMIFS(Comparison_Lookup,site_level_range_board,$B142,date_range_board,N128)/SUMIFS(All_Attendances,site_level_range_board,$B142,date_range_board,N128),"0.0%"))),"")</f>
        <v>99.5%</v>
      </c>
    </row>
    <row r="143" spans="1:14" ht="15" customHeight="1" x14ac:dyDescent="0.2">
      <c r="A143" s="132"/>
      <c r="B143" s="170" t="s">
        <v>406</v>
      </c>
      <c r="C143" s="169" t="str">
        <f ca="1">IFERROR(IF(ISNUMBER(FIND("ED only",$B$4)),IF(LEFT($B$7,6)="Number",SUMIFS(Comparison_Lookup,date_range_board,C128,inputdata!$F:$F,"ED"),TEXT(SUMIFS(Comparison_Lookup,date_range_board,C128,inputdata!$F:$F,"ED")/SUMIFS(All_Attendances,date_range_board,C128,inputdata!$F:$F,"ED"),"0.0%")),IF(LEFT($B$7,6)="Number",SUMIFS(Comparison_Lookup,date_range_board,C128),TEXT(SUMIFS(Comparison_Lookup,date_range_board,C128)/SUMIFS(All_Attendances,date_range_board,C128
        ),"0.0%"))),"")</f>
        <v>92.8%</v>
      </c>
      <c r="D143" s="169" t="str">
        <f ca="1">IFERROR(IF(ISNUMBER(FIND("ED only",$B$4)),IF(LEFT($B$7,6)="Number",SUMIFS(Comparison_Lookup,date_range_board,D128,inputdata!$F:$F,"ED"),TEXT(SUMIFS(Comparison_Lookup,date_range_board,D128,inputdata!$F:$F,"ED")/SUMIFS(All_Attendances,date_range_board,D128,inputdata!$F:$F,"ED"),"0.0%")),IF(LEFT($B$7,6)="Number",SUMIFS(Comparison_Lookup,date_range_board,D128),TEXT(SUMIFS(Comparison_Lookup,date_range_board,D128)/SUMIFS(All_Attendances,date_range_board,D128
        ),"0.0%"))),"")</f>
        <v>93.5%</v>
      </c>
      <c r="E143" s="169" t="str">
        <f ca="1">IFERROR(IF(ISNUMBER(FIND("ED only",$B$4)),IF(LEFT($B$7,6)="Number",SUMIFS(Comparison_Lookup,date_range_board,E128,inputdata!$F:$F,"ED"),TEXT(SUMIFS(Comparison_Lookup,date_range_board,E128,inputdata!$F:$F,"ED")/SUMIFS(All_Attendances,date_range_board,E128,inputdata!$F:$F,"ED"),"0.0%")),IF(LEFT($B$7,6)="Number",SUMIFS(Comparison_Lookup,date_range_board,E128),TEXT(SUMIFS(Comparison_Lookup,date_range_board,E128)/SUMIFS(All_Attendances,date_range_board,E128
        ),"0.0%"))),"")</f>
        <v>94.3%</v>
      </c>
      <c r="F143" s="169" t="str">
        <f ca="1">IFERROR(IF(ISNUMBER(FIND("ED only",$B$4)),IF(LEFT($B$7,6)="Number",SUMIFS(Comparison_Lookup,date_range_board,F128,inputdata!$F:$F,"ED"),TEXT(SUMIFS(Comparison_Lookup,date_range_board,F128,inputdata!$F:$F,"ED")/SUMIFS(All_Attendances,date_range_board,F128,inputdata!$F:$F,"ED"),"0.0%")),IF(LEFT($B$7,6)="Number",SUMIFS(Comparison_Lookup,date_range_board,F128),TEXT(SUMIFS(Comparison_Lookup,date_range_board,F128)/SUMIFS(All_Attendances,date_range_board,F128
        ),"0.0%"))),"")</f>
        <v>95.8%</v>
      </c>
      <c r="G143" s="169" t="str">
        <f ca="1">IFERROR(IF(ISNUMBER(FIND("ED only",$B$4)),IF(LEFT($B$7,6)="Number",SUMIFS(Comparison_Lookup,date_range_board,G128,inputdata!$F:$F,"ED"),TEXT(SUMIFS(Comparison_Lookup,date_range_board,G128,inputdata!$F:$F,"ED")/SUMIFS(All_Attendances,date_range_board,G128,inputdata!$F:$F,"ED"),"0.0%")),IF(LEFT($B$7,6)="Number",SUMIFS(Comparison_Lookup,date_range_board,G128),TEXT(SUMIFS(Comparison_Lookup,date_range_board,G128)/SUMIFS(All_Attendances,date_range_board,G128
        ),"0.0%"))),"")</f>
        <v>95.2%</v>
      </c>
      <c r="H143" s="169" t="str">
        <f ca="1">IFERROR(IF(ISNUMBER(FIND("ED only",$B$4)),IF(LEFT($B$7,6)="Number",SUMIFS(Comparison_Lookup,date_range_board,H128,inputdata!$F:$F,"ED"),TEXT(SUMIFS(Comparison_Lookup,date_range_board,H128,inputdata!$F:$F,"ED")/SUMIFS(All_Attendances,date_range_board,H128,inputdata!$F:$F,"ED"),"0.0%")),IF(LEFT($B$7,6)="Number",SUMIFS(Comparison_Lookup,date_range_board,H128),TEXT(SUMIFS(Comparison_Lookup,date_range_board,H128)/SUMIFS(All_Attendances,date_range_board,H128
        ),"0.0%"))),"")</f>
        <v>95.4%</v>
      </c>
      <c r="I143" s="169" t="str">
        <f ca="1">IFERROR(IF(ISNUMBER(FIND("ED only",$B$4)),IF(LEFT($B$7,6)="Number",SUMIFS(Comparison_Lookup,date_range_board,I128,inputdata!$F:$F,"ED"),TEXT(SUMIFS(Comparison_Lookup,date_range_board,I128,inputdata!$F:$F,"ED")/SUMIFS(All_Attendances,date_range_board,I128,inputdata!$F:$F,"ED"),"0.0%")),IF(LEFT($B$7,6)="Number",SUMIFS(Comparison_Lookup,date_range_board,I128),TEXT(SUMIFS(Comparison_Lookup,date_range_board,I128)/SUMIFS(All_Attendances,date_range_board,I128
        ),"0.0%"))),"")</f>
        <v>94.7%</v>
      </c>
      <c r="J143" s="169" t="str">
        <f ca="1">IFERROR(IF(ISNUMBER(FIND("ED only",$B$4)),IF(LEFT($B$7,6)="Number",SUMIFS(Comparison_Lookup,date_range_board,J128,inputdata!$F:$F,"ED"),TEXT(SUMIFS(Comparison_Lookup,date_range_board,J128,inputdata!$F:$F,"ED")/SUMIFS(All_Attendances,date_range_board,J128,inputdata!$F:$F,"ED"),"0.0%")),IF(LEFT($B$7,6)="Number",SUMIFS(Comparison_Lookup,date_range_board,J128),TEXT(SUMIFS(Comparison_Lookup,date_range_board,J128)/SUMIFS(All_Attendances,date_range_board,J128
        ),"0.0%"))),"")</f>
        <v>94.9%</v>
      </c>
      <c r="K143" s="169" t="str">
        <f ca="1">IFERROR(IF(ISNUMBER(FIND("ED only",$B$4)),IF(LEFT($B$7,6)="Number",SUMIFS(Comparison_Lookup,date_range_board,K128,inputdata!$F:$F,"ED"),TEXT(SUMIFS(Comparison_Lookup,date_range_board,K128,inputdata!$F:$F,"ED")/SUMIFS(All_Attendances,date_range_board,K128,inputdata!$F:$F,"ED"),"0.0%")),IF(LEFT($B$7,6)="Number",SUMIFS(Comparison_Lookup,date_range_board,K128),TEXT(SUMIFS(Comparison_Lookup,date_range_board,K128)/SUMIFS(All_Attendances,date_range_board,K128
        ),"0.0%"))),"")</f>
        <v>94.9%</v>
      </c>
      <c r="L143" s="169" t="str">
        <f ca="1">IFERROR(IF(ISNUMBER(FIND("ED only",$B$4)),IF(LEFT($B$7,6)="Number",SUMIFS(Comparison_Lookup,date_range_board,L128,inputdata!$F:$F,"ED"),TEXT(SUMIFS(Comparison_Lookup,date_range_board,L128,inputdata!$F:$F,"ED")/SUMIFS(All_Attendances,date_range_board,L128,inputdata!$F:$F,"ED"),"0.0%")),IF(LEFT($B$7,6)="Number",SUMIFS(Comparison_Lookup,date_range_board,L128),TEXT(SUMIFS(Comparison_Lookup,date_range_board,L128)/SUMIFS(All_Attendances,date_range_board,L128
        ),"0.0%"))),"")</f>
        <v>91.8%</v>
      </c>
      <c r="M143" s="169" t="str">
        <f ca="1">IFERROR(IF(ISNUMBER(FIND("ED only",$B$4)),IF(LEFT($B$7,6)="Number",SUMIFS(Comparison_Lookup,date_range_board,M128,inputdata!$F:$F,"ED"),TEXT(SUMIFS(Comparison_Lookup,date_range_board,M128,inputdata!$F:$F,"ED")/SUMIFS(All_Attendances,date_range_board,M128,inputdata!$F:$F,"ED"),"0.0%")),IF(LEFT($B$7,6)="Number",SUMIFS(Comparison_Lookup,date_range_board,M128),TEXT(SUMIFS(Comparison_Lookup,date_range_board,M128)/SUMIFS(All_Attendances,date_range_board,M128
        ),"0.0%"))),"")</f>
        <v>92.9%</v>
      </c>
      <c r="N143" s="173" t="str">
        <f ca="1">IFERROR(IF(ISNUMBER(FIND("ED only",$B$4)),IF(LEFT($B$7,6)="Number",SUMIFS(Comparison_Lookup,date_range_board,N128,inputdata!$F:$F,"ED"),TEXT(SUMIFS(Comparison_Lookup,date_range_board,N128,inputdata!$F:$F,"ED")/SUMIFS(All_Attendances,date_range_board,N128,inputdata!$F:$F,"ED"),"0.0%")),IF(LEFT($B$7,6)="Number",SUMIFS(Comparison_Lookup,date_range_board,N128),TEXT(SUMIFS(Comparison_Lookup,date_range_board,N128)/SUMIFS(All_Attendances,date_range_board,N128
        ),"0.0%"))),"")</f>
        <v>93.1%</v>
      </c>
    </row>
    <row r="144" spans="1:14" ht="15" customHeight="1" x14ac:dyDescent="0.2">
      <c r="B144" s="127"/>
      <c r="C144" s="127"/>
      <c r="D144" s="127"/>
      <c r="E144" s="127"/>
      <c r="F144" s="127"/>
      <c r="G144" s="127"/>
      <c r="H144" s="127"/>
      <c r="I144" s="127"/>
      <c r="J144" s="127"/>
      <c r="K144" s="127"/>
      <c r="L144" s="127"/>
      <c r="M144" s="127"/>
      <c r="N144" s="127"/>
    </row>
    <row r="145" spans="1:14" ht="15" customHeight="1" x14ac:dyDescent="0.25">
      <c r="A145" s="132"/>
      <c r="B145" s="153" t="str">
        <f>IF(ISNUMBER(FIND("ED only",$B$4)),"2014/2015 (ED Only)","2014/2015")</f>
        <v>2014/2015</v>
      </c>
      <c r="C145" s="149">
        <v>41759</v>
      </c>
      <c r="D145" s="149">
        <v>41790</v>
      </c>
      <c r="E145" s="149">
        <v>41820</v>
      </c>
      <c r="F145" s="149">
        <v>41851</v>
      </c>
      <c r="G145" s="149">
        <v>41882</v>
      </c>
      <c r="H145" s="149">
        <v>41912</v>
      </c>
      <c r="I145" s="149">
        <v>41943</v>
      </c>
      <c r="J145" s="149">
        <v>41973</v>
      </c>
      <c r="K145" s="149">
        <v>42004</v>
      </c>
      <c r="L145" s="149">
        <v>42035</v>
      </c>
      <c r="M145" s="149">
        <v>42063</v>
      </c>
      <c r="N145" s="158">
        <v>42094</v>
      </c>
    </row>
    <row r="146" spans="1:14" ht="15" customHeight="1" x14ac:dyDescent="0.2">
      <c r="A146" s="132"/>
      <c r="B146" s="152" t="s">
        <v>407</v>
      </c>
      <c r="C146" s="165" t="str">
        <f ca="1">IFERROR(IF(ISNUMBER(FIND("ED only",$B$4)),IF(LEFT($B$7,6)="Number",SUMIFS(Comparison_Lookup,site_level_range_board,$B146,date_range_board,C145,inputdata!$F:$F,"ED"),TEXT(SUMIFS(Comparison_Lookup,site_level_range_board,$B146,date_range_board,C145,inputdata!$F:$F,"ED")/SUMIFS(All_Attendances,site_level_range_board,$B146,date_range_board,C145,inputdata!$F:$F,"ED"),"0.0%")),IF(LEFT($B$7,6)="Number",SUMIFS(Comparison_Lookup,site_level_range_board,$B146,date_range_board,C145),TEXT(SUMIFS(Comparison_Lookup,site_level_range_board,$B146,date_range_board,C145)/SUMIFS(All_Attendances,site_level_range_board,$B146,date_range_board,C145),"0.0%"))),"")</f>
        <v>94.7%</v>
      </c>
      <c r="D146" s="165" t="str">
        <f ca="1">IFERROR(IF(ISNUMBER(FIND("ED only",$B$4)),IF(LEFT($B$7,6)="Number",SUMIFS(Comparison_Lookup,site_level_range_board,$B146,date_range_board,D145,inputdata!$F:$F,"ED"),TEXT(SUMIFS(Comparison_Lookup,site_level_range_board,$B146,date_range_board,D145,inputdata!$F:$F,"ED")/SUMIFS(All_Attendances,site_level_range_board,$B146,date_range_board,D145,inputdata!$F:$F,"ED"),"0.0%")),IF(LEFT($B$7,6)="Number",SUMIFS(Comparison_Lookup,site_level_range_board,$B146,date_range_board,D145),TEXT(SUMIFS(Comparison_Lookup,site_level_range_board,$B146,date_range_board,D145)/SUMIFS(All_Attendances,site_level_range_board,$B146,date_range_board,D145),"0.0%"))),"")</f>
        <v>91.4%</v>
      </c>
      <c r="E146" s="165" t="str">
        <f ca="1">IFERROR(IF(ISNUMBER(FIND("ED only",$B$4)),IF(LEFT($B$7,6)="Number",SUMIFS(Comparison_Lookup,site_level_range_board,$B146,date_range_board,E145,inputdata!$F:$F,"ED"),TEXT(SUMIFS(Comparison_Lookup,site_level_range_board,$B146,date_range_board,E145,inputdata!$F:$F,"ED")/SUMIFS(All_Attendances,site_level_range_board,$B146,date_range_board,E145,inputdata!$F:$F,"ED"),"0.0%")),IF(LEFT($B$7,6)="Number",SUMIFS(Comparison_Lookup,site_level_range_board,$B146,date_range_board,E145),TEXT(SUMIFS(Comparison_Lookup,site_level_range_board,$B146,date_range_board,E145)/SUMIFS(All_Attendances,site_level_range_board,$B146,date_range_board,E145),"0.0%"))),"")</f>
        <v>96.1%</v>
      </c>
      <c r="F146" s="165" t="str">
        <f ca="1">IFERROR(IF(ISNUMBER(FIND("ED only",$B$4)),IF(LEFT($B$7,6)="Number",SUMIFS(Comparison_Lookup,site_level_range_board,$B146,date_range_board,F145,inputdata!$F:$F,"ED"),TEXT(SUMIFS(Comparison_Lookup,site_level_range_board,$B146,date_range_board,F145,inputdata!$F:$F,"ED")/SUMIFS(All_Attendances,site_level_range_board,$B146,date_range_board,F145,inputdata!$F:$F,"ED"),"0.0%")),IF(LEFT($B$7,6)="Number",SUMIFS(Comparison_Lookup,site_level_range_board,$B146,date_range_board,F145),TEXT(SUMIFS(Comparison_Lookup,site_level_range_board,$B146,date_range_board,F145)/SUMIFS(All_Attendances,site_level_range_board,$B146,date_range_board,F145),"0.0%"))),"")</f>
        <v>96.9%</v>
      </c>
      <c r="G146" s="165" t="str">
        <f ca="1">IFERROR(IF(ISNUMBER(FIND("ED only",$B$4)),IF(LEFT($B$7,6)="Number",SUMIFS(Comparison_Lookup,site_level_range_board,$B146,date_range_board,G145,inputdata!$F:$F,"ED"),TEXT(SUMIFS(Comparison_Lookup,site_level_range_board,$B146,date_range_board,G145,inputdata!$F:$F,"ED")/SUMIFS(All_Attendances,site_level_range_board,$B146,date_range_board,G145,inputdata!$F:$F,"ED"),"0.0%")),IF(LEFT($B$7,6)="Number",SUMIFS(Comparison_Lookup,site_level_range_board,$B146,date_range_board,G145),TEXT(SUMIFS(Comparison_Lookup,site_level_range_board,$B146,date_range_board,G145)/SUMIFS(All_Attendances,site_level_range_board,$B146,date_range_board,G145),"0.0%"))),"")</f>
        <v>96.3%</v>
      </c>
      <c r="H146" s="165" t="str">
        <f ca="1">IFERROR(IF(ISNUMBER(FIND("ED only",$B$4)),IF(LEFT($B$7,6)="Number",SUMIFS(Comparison_Lookup,site_level_range_board,$B146,date_range_board,H145,inputdata!$F:$F,"ED"),TEXT(SUMIFS(Comparison_Lookup,site_level_range_board,$B146,date_range_board,H145,inputdata!$F:$F,"ED")/SUMIFS(All_Attendances,site_level_range_board,$B146,date_range_board,H145,inputdata!$F:$F,"ED"),"0.0%")),IF(LEFT($B$7,6)="Number",SUMIFS(Comparison_Lookup,site_level_range_board,$B146,date_range_board,H145),TEXT(SUMIFS(Comparison_Lookup,site_level_range_board,$B146,date_range_board,H145)/SUMIFS(All_Attendances,site_level_range_board,$B146,date_range_board,H145),"0.0%"))),"")</f>
        <v>95.0%</v>
      </c>
      <c r="I146" s="165" t="str">
        <f ca="1">IFERROR(IF(ISNUMBER(FIND("ED only",$B$4)),IF(LEFT($B$7,6)="Number",SUMIFS(Comparison_Lookup,site_level_range_board,$B146,date_range_board,I145,inputdata!$F:$F,"ED"),TEXT(SUMIFS(Comparison_Lookup,site_level_range_board,$B146,date_range_board,I145,inputdata!$F:$F,"ED")/SUMIFS(All_Attendances,site_level_range_board,$B146,date_range_board,I145,inputdata!$F:$F,"ED"),"0.0%")),IF(LEFT($B$7,6)="Number",SUMIFS(Comparison_Lookup,site_level_range_board,$B146,date_range_board,I145),TEXT(SUMIFS(Comparison_Lookup,site_level_range_board,$B146,date_range_board,I145)/SUMIFS(All_Attendances,site_level_range_board,$B146,date_range_board,I145),"0.0%"))),"")</f>
        <v>91.9%</v>
      </c>
      <c r="J146" s="165" t="str">
        <f ca="1">IFERROR(IF(ISNUMBER(FIND("ED only",$B$4)),IF(LEFT($B$7,6)="Number",SUMIFS(Comparison_Lookup,site_level_range_board,$B146,date_range_board,J145,inputdata!$F:$F,"ED"),TEXT(SUMIFS(Comparison_Lookup,site_level_range_board,$B146,date_range_board,J145,inputdata!$F:$F,"ED")/SUMIFS(All_Attendances,site_level_range_board,$B146,date_range_board,J145,inputdata!$F:$F,"ED"),"0.0%")),IF(LEFT($B$7,6)="Number",SUMIFS(Comparison_Lookup,site_level_range_board,$B146,date_range_board,J145),TEXT(SUMIFS(Comparison_Lookup,site_level_range_board,$B146,date_range_board,J145)/SUMIFS(All_Attendances,site_level_range_board,$B146,date_range_board,J145),"0.0%"))),"")</f>
        <v>91.3%</v>
      </c>
      <c r="K146" s="165" t="str">
        <f ca="1">IFERROR(IF(ISNUMBER(FIND("ED only",$B$4)),IF(LEFT($B$7,6)="Number",SUMIFS(Comparison_Lookup,site_level_range_board,$B146,date_range_board,K145,inputdata!$F:$F,"ED"),TEXT(SUMIFS(Comparison_Lookup,site_level_range_board,$B146,date_range_board,K145,inputdata!$F:$F,"ED")/SUMIFS(All_Attendances,site_level_range_board,$B146,date_range_board,K145,inputdata!$F:$F,"ED"),"0.0%")),IF(LEFT($B$7,6)="Number",SUMIFS(Comparison_Lookup,site_level_range_board,$B146,date_range_board,K145),TEXT(SUMIFS(Comparison_Lookup,site_level_range_board,$B146,date_range_board,K145)/SUMIFS(All_Attendances,site_level_range_board,$B146,date_range_board,K145),"0.0%"))),"")</f>
        <v>89.5%</v>
      </c>
      <c r="L146" s="165" t="str">
        <f ca="1">IFERROR(IF(ISNUMBER(FIND("ED only",$B$4)),IF(LEFT($B$7,6)="Number",SUMIFS(Comparison_Lookup,site_level_range_board,$B146,date_range_board,L145,inputdata!$F:$F,"ED"),TEXT(SUMIFS(Comparison_Lookup,site_level_range_board,$B146,date_range_board,L145,inputdata!$F:$F,"ED")/SUMIFS(All_Attendances,site_level_range_board,$B146,date_range_board,L145,inputdata!$F:$F,"ED"),"0.0%")),IF(LEFT($B$7,6)="Number",SUMIFS(Comparison_Lookup,site_level_range_board,$B146,date_range_board,L145),TEXT(SUMIFS(Comparison_Lookup,site_level_range_board,$B146,date_range_board,L145)/SUMIFS(All_Attendances,site_level_range_board,$B146,date_range_board,L145),"0.0%"))),"")</f>
        <v>82.1%</v>
      </c>
      <c r="M146" s="165" t="str">
        <f ca="1">IFERROR(IF(ISNUMBER(FIND("ED only",$B$4)),IF(LEFT($B$7,6)="Number",SUMIFS(Comparison_Lookup,site_level_range_board,$B146,date_range_board,M145,inputdata!$F:$F,"ED"),TEXT(SUMIFS(Comparison_Lookup,site_level_range_board,$B146,date_range_board,M145,inputdata!$F:$F,"ED")/SUMIFS(All_Attendances,site_level_range_board,$B146,date_range_board,M145,inputdata!$F:$F,"ED"),"0.0%")),IF(LEFT($B$7,6)="Number",SUMIFS(Comparison_Lookup,site_level_range_board,$B146,date_range_board,M145),TEXT(SUMIFS(Comparison_Lookup,site_level_range_board,$B146,date_range_board,M145)/SUMIFS(All_Attendances,site_level_range_board,$B146,date_range_board,M145),"0.0%"))),"")</f>
        <v>82.7%</v>
      </c>
      <c r="N146" s="171" t="str">
        <f ca="1">IFERROR(IF(ISNUMBER(FIND("ED only",$B$4)),IF(LEFT($B$7,6)="Number",SUMIFS(Comparison_Lookup,site_level_range_board,$B146,date_range_board,N145,inputdata!$F:$F,"ED"),TEXT(SUMIFS(Comparison_Lookup,site_level_range_board,$B146,date_range_board,N145,inputdata!$F:$F,"ED")/SUMIFS(All_Attendances,site_level_range_board,$B146,date_range_board,N145,inputdata!$F:$F,"ED"),"0.0%")),IF(LEFT($B$7,6)="Number",SUMIFS(Comparison_Lookup,site_level_range_board,$B146,date_range_board,N145),TEXT(SUMIFS(Comparison_Lookup,site_level_range_board,$B146,date_range_board,N145)/SUMIFS(All_Attendances,site_level_range_board,$B146,date_range_board,N145),"0.0%"))),"")</f>
        <v>87.8%</v>
      </c>
    </row>
    <row r="147" spans="1:14" ht="15" customHeight="1" x14ac:dyDescent="0.2">
      <c r="A147" s="132"/>
      <c r="B147" s="152" t="s">
        <v>418</v>
      </c>
      <c r="C147" s="165" t="str">
        <f ca="1">IFERROR(IF(ISNUMBER(FIND("ED only",$B$4)),IF(LEFT($B$7,6)="Number",SUMIFS(Comparison_Lookup,site_level_range_board,$B147,date_range_board,C145,inputdata!$F:$F,"ED"),TEXT(SUMIFS(Comparison_Lookup,site_level_range_board,$B147,date_range_board,C145,inputdata!$F:$F,"ED")/SUMIFS(All_Attendances,site_level_range_board,$B147,date_range_board,C145,inputdata!$F:$F,"ED"),"0.0%")),IF(LEFT($B$7,6)="Number",SUMIFS(Comparison_Lookup,site_level_range_board,$B147,date_range_board,C145),TEXT(SUMIFS(Comparison_Lookup,site_level_range_board,$B147,date_range_board,C145)/SUMIFS(All_Attendances,site_level_range_board,$B147,date_range_board,C145),"0.0%"))),"")</f>
        <v>96.2%</v>
      </c>
      <c r="D147" s="165" t="str">
        <f ca="1">IFERROR(IF(ISNUMBER(FIND("ED only",$B$4)),IF(LEFT($B$7,6)="Number",SUMIFS(Comparison_Lookup,site_level_range_board,$B147,date_range_board,D145,inputdata!$F:$F,"ED"),TEXT(SUMIFS(Comparison_Lookup,site_level_range_board,$B147,date_range_board,D145,inputdata!$F:$F,"ED")/SUMIFS(All_Attendances,site_level_range_board,$B147,date_range_board,D145,inputdata!$F:$F,"ED"),"0.0%")),IF(LEFT($B$7,6)="Number",SUMIFS(Comparison_Lookup,site_level_range_board,$B147,date_range_board,D145),TEXT(SUMIFS(Comparison_Lookup,site_level_range_board,$B147,date_range_board,D145)/SUMIFS(All_Attendances,site_level_range_board,$B147,date_range_board,D145),"0.0%"))),"")</f>
        <v>96.4%</v>
      </c>
      <c r="E147" s="165" t="str">
        <f ca="1">IFERROR(IF(ISNUMBER(FIND("ED only",$B$4)),IF(LEFT($B$7,6)="Number",SUMIFS(Comparison_Lookup,site_level_range_board,$B147,date_range_board,E145,inputdata!$F:$F,"ED"),TEXT(SUMIFS(Comparison_Lookup,site_level_range_board,$B147,date_range_board,E145,inputdata!$F:$F,"ED")/SUMIFS(All_Attendances,site_level_range_board,$B147,date_range_board,E145,inputdata!$F:$F,"ED"),"0.0%")),IF(LEFT($B$7,6)="Number",SUMIFS(Comparison_Lookup,site_level_range_board,$B147,date_range_board,E145),TEXT(SUMIFS(Comparison_Lookup,site_level_range_board,$B147,date_range_board,E145)/SUMIFS(All_Attendances,site_level_range_board,$B147,date_range_board,E145),"0.0%"))),"")</f>
        <v>95.2%</v>
      </c>
      <c r="F147" s="165" t="str">
        <f ca="1">IFERROR(IF(ISNUMBER(FIND("ED only",$B$4)),IF(LEFT($B$7,6)="Number",SUMIFS(Comparison_Lookup,site_level_range_board,$B147,date_range_board,F145,inputdata!$F:$F,"ED"),TEXT(SUMIFS(Comparison_Lookup,site_level_range_board,$B147,date_range_board,F145,inputdata!$F:$F,"ED")/SUMIFS(All_Attendances,site_level_range_board,$B147,date_range_board,F145,inputdata!$F:$F,"ED"),"0.0%")),IF(LEFT($B$7,6)="Number",SUMIFS(Comparison_Lookup,site_level_range_board,$B147,date_range_board,F145),TEXT(SUMIFS(Comparison_Lookup,site_level_range_board,$B147,date_range_board,F145)/SUMIFS(All_Attendances,site_level_range_board,$B147,date_range_board,F145),"0.0%"))),"")</f>
        <v>97.3%</v>
      </c>
      <c r="G147" s="165" t="str">
        <f ca="1">IFERROR(IF(ISNUMBER(FIND("ED only",$B$4)),IF(LEFT($B$7,6)="Number",SUMIFS(Comparison_Lookup,site_level_range_board,$B147,date_range_board,G145,inputdata!$F:$F,"ED"),TEXT(SUMIFS(Comparison_Lookup,site_level_range_board,$B147,date_range_board,G145,inputdata!$F:$F,"ED")/SUMIFS(All_Attendances,site_level_range_board,$B147,date_range_board,G145,inputdata!$F:$F,"ED"),"0.0%")),IF(LEFT($B$7,6)="Number",SUMIFS(Comparison_Lookup,site_level_range_board,$B147,date_range_board,G145),TEXT(SUMIFS(Comparison_Lookup,site_level_range_board,$B147,date_range_board,G145)/SUMIFS(All_Attendances,site_level_range_board,$B147,date_range_board,G145),"0.0%"))),"")</f>
        <v>95.1%</v>
      </c>
      <c r="H147" s="165" t="str">
        <f ca="1">IFERROR(IF(ISNUMBER(FIND("ED only",$B$4)),IF(LEFT($B$7,6)="Number",SUMIFS(Comparison_Lookup,site_level_range_board,$B147,date_range_board,H145,inputdata!$F:$F,"ED"),TEXT(SUMIFS(Comparison_Lookup,site_level_range_board,$B147,date_range_board,H145,inputdata!$F:$F,"ED")/SUMIFS(All_Attendances,site_level_range_board,$B147,date_range_board,H145,inputdata!$F:$F,"ED"),"0.0%")),IF(LEFT($B$7,6)="Number",SUMIFS(Comparison_Lookup,site_level_range_board,$B147,date_range_board,H145),TEXT(SUMIFS(Comparison_Lookup,site_level_range_board,$B147,date_range_board,H145)/SUMIFS(All_Attendances,site_level_range_board,$B147,date_range_board,H145),"0.0%"))),"")</f>
        <v>95.3%</v>
      </c>
      <c r="I147" s="165" t="str">
        <f ca="1">IFERROR(IF(ISNUMBER(FIND("ED only",$B$4)),IF(LEFT($B$7,6)="Number",SUMIFS(Comparison_Lookup,site_level_range_board,$B147,date_range_board,I145,inputdata!$F:$F,"ED"),TEXT(SUMIFS(Comparison_Lookup,site_level_range_board,$B147,date_range_board,I145,inputdata!$F:$F,"ED")/SUMIFS(All_Attendances,site_level_range_board,$B147,date_range_board,I145,inputdata!$F:$F,"ED"),"0.0%")),IF(LEFT($B$7,6)="Number",SUMIFS(Comparison_Lookup,site_level_range_board,$B147,date_range_board,I145),TEXT(SUMIFS(Comparison_Lookup,site_level_range_board,$B147,date_range_board,I145)/SUMIFS(All_Attendances,site_level_range_board,$B147,date_range_board,I145),"0.0%"))),"")</f>
        <v>96.7%</v>
      </c>
      <c r="J147" s="165" t="str">
        <f ca="1">IFERROR(IF(ISNUMBER(FIND("ED only",$B$4)),IF(LEFT($B$7,6)="Number",SUMIFS(Comparison_Lookup,site_level_range_board,$B147,date_range_board,J145,inputdata!$F:$F,"ED"),TEXT(SUMIFS(Comparison_Lookup,site_level_range_board,$B147,date_range_board,J145,inputdata!$F:$F,"ED")/SUMIFS(All_Attendances,site_level_range_board,$B147,date_range_board,J145,inputdata!$F:$F,"ED"),"0.0%")),IF(LEFT($B$7,6)="Number",SUMIFS(Comparison_Lookup,site_level_range_board,$B147,date_range_board,J145),TEXT(SUMIFS(Comparison_Lookup,site_level_range_board,$B147,date_range_board,J145)/SUMIFS(All_Attendances,site_level_range_board,$B147,date_range_board,J145),"0.0%"))),"")</f>
        <v>97.8%</v>
      </c>
      <c r="K147" s="165" t="str">
        <f ca="1">IFERROR(IF(ISNUMBER(FIND("ED only",$B$4)),IF(LEFT($B$7,6)="Number",SUMIFS(Comparison_Lookup,site_level_range_board,$B147,date_range_board,K145,inputdata!$F:$F,"ED"),TEXT(SUMIFS(Comparison_Lookup,site_level_range_board,$B147,date_range_board,K145,inputdata!$F:$F,"ED")/SUMIFS(All_Attendances,site_level_range_board,$B147,date_range_board,K145,inputdata!$F:$F,"ED"),"0.0%")),IF(LEFT($B$7,6)="Number",SUMIFS(Comparison_Lookup,site_level_range_board,$B147,date_range_board,K145),TEXT(SUMIFS(Comparison_Lookup,site_level_range_board,$B147,date_range_board,K145)/SUMIFS(All_Attendances,site_level_range_board,$B147,date_range_board,K145),"0.0%"))),"")</f>
        <v>91.1%</v>
      </c>
      <c r="L147" s="165" t="str">
        <f ca="1">IFERROR(IF(ISNUMBER(FIND("ED only",$B$4)),IF(LEFT($B$7,6)="Number",SUMIFS(Comparison_Lookup,site_level_range_board,$B147,date_range_board,L145,inputdata!$F:$F,"ED"),TEXT(SUMIFS(Comparison_Lookup,site_level_range_board,$B147,date_range_board,L145,inputdata!$F:$F,"ED")/SUMIFS(All_Attendances,site_level_range_board,$B147,date_range_board,L145,inputdata!$F:$F,"ED"),"0.0%")),IF(LEFT($B$7,6)="Number",SUMIFS(Comparison_Lookup,site_level_range_board,$B147,date_range_board,L145),TEXT(SUMIFS(Comparison_Lookup,site_level_range_board,$B147,date_range_board,L145)/SUMIFS(All_Attendances,site_level_range_board,$B147,date_range_board,L145),"0.0%"))),"")</f>
        <v>90.2%</v>
      </c>
      <c r="M147" s="165" t="str">
        <f ca="1">IFERROR(IF(ISNUMBER(FIND("ED only",$B$4)),IF(LEFT($B$7,6)="Number",SUMIFS(Comparison_Lookup,site_level_range_board,$B147,date_range_board,M145,inputdata!$F:$F,"ED"),TEXT(SUMIFS(Comparison_Lookup,site_level_range_board,$B147,date_range_board,M145,inputdata!$F:$F,"ED")/SUMIFS(All_Attendances,site_level_range_board,$B147,date_range_board,M145,inputdata!$F:$F,"ED"),"0.0%")),IF(LEFT($B$7,6)="Number",SUMIFS(Comparison_Lookup,site_level_range_board,$B147,date_range_board,M145),TEXT(SUMIFS(Comparison_Lookup,site_level_range_board,$B147,date_range_board,M145)/SUMIFS(All_Attendances,site_level_range_board,$B147,date_range_board,M145),"0.0%"))),"")</f>
        <v>91.4%</v>
      </c>
      <c r="N147" s="171" t="str">
        <f ca="1">IFERROR(IF(ISNUMBER(FIND("ED only",$B$4)),IF(LEFT($B$7,6)="Number",SUMIFS(Comparison_Lookup,site_level_range_board,$B147,date_range_board,N145,inputdata!$F:$F,"ED"),TEXT(SUMIFS(Comparison_Lookup,site_level_range_board,$B147,date_range_board,N145,inputdata!$F:$F,"ED")/SUMIFS(All_Attendances,site_level_range_board,$B147,date_range_board,N145,inputdata!$F:$F,"ED"),"0.0%")),IF(LEFT($B$7,6)="Number",SUMIFS(Comparison_Lookup,site_level_range_board,$B147,date_range_board,N145),TEXT(SUMIFS(Comparison_Lookup,site_level_range_board,$B147,date_range_board,N145)/SUMIFS(All_Attendances,site_level_range_board,$B147,date_range_board,N145),"0.0%"))),"")</f>
        <v>91.8%</v>
      </c>
    </row>
    <row r="148" spans="1:14" ht="15" customHeight="1" x14ac:dyDescent="0.2">
      <c r="A148" s="132"/>
      <c r="B148" s="152" t="s">
        <v>429</v>
      </c>
      <c r="C148" s="165" t="str">
        <f ca="1">IFERROR(IF(ISNUMBER(FIND("ED only",$B$4)),IF(LEFT($B$7,6)="Number",SUMIFS(Comparison_Lookup,site_level_range_board,$B148,date_range_board,C145,inputdata!$F:$F,"ED"),TEXT(SUMIFS(Comparison_Lookup,site_level_range_board,$B148,date_range_board,C145,inputdata!$F:$F,"ED")/SUMIFS(All_Attendances,site_level_range_board,$B148,date_range_board,C145,inputdata!$F:$F,"ED"),"0.0%")),IF(LEFT($B$7,6)="Number",SUMIFS(Comparison_Lookup,site_level_range_board,$B148,date_range_board,C145),TEXT(SUMIFS(Comparison_Lookup,site_level_range_board,$B148,date_range_board,C145)/SUMIFS(All_Attendances,site_level_range_board,$B148,date_range_board,C145),"0.0%"))),"")</f>
        <v>95.8%</v>
      </c>
      <c r="D148" s="165" t="str">
        <f ca="1">IFERROR(IF(ISNUMBER(FIND("ED only",$B$4)),IF(LEFT($B$7,6)="Number",SUMIFS(Comparison_Lookup,site_level_range_board,$B148,date_range_board,D145,inputdata!$F:$F,"ED"),TEXT(SUMIFS(Comparison_Lookup,site_level_range_board,$B148,date_range_board,D145,inputdata!$F:$F,"ED")/SUMIFS(All_Attendances,site_level_range_board,$B148,date_range_board,D145,inputdata!$F:$F,"ED"),"0.0%")),IF(LEFT($B$7,6)="Number",SUMIFS(Comparison_Lookup,site_level_range_board,$B148,date_range_board,D145),TEXT(SUMIFS(Comparison_Lookup,site_level_range_board,$B148,date_range_board,D145)/SUMIFS(All_Attendances,site_level_range_board,$B148,date_range_board,D145),"0.0%"))),"")</f>
        <v>97.9%</v>
      </c>
      <c r="E148" s="165" t="str">
        <f ca="1">IFERROR(IF(ISNUMBER(FIND("ED only",$B$4)),IF(LEFT($B$7,6)="Number",SUMIFS(Comparison_Lookup,site_level_range_board,$B148,date_range_board,E145,inputdata!$F:$F,"ED"),TEXT(SUMIFS(Comparison_Lookup,site_level_range_board,$B148,date_range_board,E145,inputdata!$F:$F,"ED")/SUMIFS(All_Attendances,site_level_range_board,$B148,date_range_board,E145,inputdata!$F:$F,"ED"),"0.0%")),IF(LEFT($B$7,6)="Number",SUMIFS(Comparison_Lookup,site_level_range_board,$B148,date_range_board,E145),TEXT(SUMIFS(Comparison_Lookup,site_level_range_board,$B148,date_range_board,E145)/SUMIFS(All_Attendances,site_level_range_board,$B148,date_range_board,E145),"0.0%"))),"")</f>
        <v>97.9%</v>
      </c>
      <c r="F148" s="165" t="str">
        <f ca="1">IFERROR(IF(ISNUMBER(FIND("ED only",$B$4)),IF(LEFT($B$7,6)="Number",SUMIFS(Comparison_Lookup,site_level_range_board,$B148,date_range_board,F145,inputdata!$F:$F,"ED"),TEXT(SUMIFS(Comparison_Lookup,site_level_range_board,$B148,date_range_board,F145,inputdata!$F:$F,"ED")/SUMIFS(All_Attendances,site_level_range_board,$B148,date_range_board,F145,inputdata!$F:$F,"ED"),"0.0%")),IF(LEFT($B$7,6)="Number",SUMIFS(Comparison_Lookup,site_level_range_board,$B148,date_range_board,F145),TEXT(SUMIFS(Comparison_Lookup,site_level_range_board,$B148,date_range_board,F145)/SUMIFS(All_Attendances,site_level_range_board,$B148,date_range_board,F145),"0.0%"))),"")</f>
        <v>97.4%</v>
      </c>
      <c r="G148" s="165" t="str">
        <f ca="1">IFERROR(IF(ISNUMBER(FIND("ED only",$B$4)),IF(LEFT($B$7,6)="Number",SUMIFS(Comparison_Lookup,site_level_range_board,$B148,date_range_board,G145,inputdata!$F:$F,"ED"),TEXT(SUMIFS(Comparison_Lookup,site_level_range_board,$B148,date_range_board,G145,inputdata!$F:$F,"ED")/SUMIFS(All_Attendances,site_level_range_board,$B148,date_range_board,G145,inputdata!$F:$F,"ED"),"0.0%")),IF(LEFT($B$7,6)="Number",SUMIFS(Comparison_Lookup,site_level_range_board,$B148,date_range_board,G145),TEXT(SUMIFS(Comparison_Lookup,site_level_range_board,$B148,date_range_board,G145)/SUMIFS(All_Attendances,site_level_range_board,$B148,date_range_board,G145),"0.0%"))),"")</f>
        <v>96.3%</v>
      </c>
      <c r="H148" s="165" t="str">
        <f ca="1">IFERROR(IF(ISNUMBER(FIND("ED only",$B$4)),IF(LEFT($B$7,6)="Number",SUMIFS(Comparison_Lookup,site_level_range_board,$B148,date_range_board,H145,inputdata!$F:$F,"ED"),TEXT(SUMIFS(Comparison_Lookup,site_level_range_board,$B148,date_range_board,H145,inputdata!$F:$F,"ED")/SUMIFS(All_Attendances,site_level_range_board,$B148,date_range_board,H145,inputdata!$F:$F,"ED"),"0.0%")),IF(LEFT($B$7,6)="Number",SUMIFS(Comparison_Lookup,site_level_range_board,$B148,date_range_board,H145),TEXT(SUMIFS(Comparison_Lookup,site_level_range_board,$B148,date_range_board,H145)/SUMIFS(All_Attendances,site_level_range_board,$B148,date_range_board,H145),"0.0%"))),"")</f>
        <v>97.0%</v>
      </c>
      <c r="I148" s="165" t="str">
        <f ca="1">IFERROR(IF(ISNUMBER(FIND("ED only",$B$4)),IF(LEFT($B$7,6)="Number",SUMIFS(Comparison_Lookup,site_level_range_board,$B148,date_range_board,I145,inputdata!$F:$F,"ED"),TEXT(SUMIFS(Comparison_Lookup,site_level_range_board,$B148,date_range_board,I145,inputdata!$F:$F,"ED")/SUMIFS(All_Attendances,site_level_range_board,$B148,date_range_board,I145,inputdata!$F:$F,"ED"),"0.0%")),IF(LEFT($B$7,6)="Number",SUMIFS(Comparison_Lookup,site_level_range_board,$B148,date_range_board,I145),TEXT(SUMIFS(Comparison_Lookup,site_level_range_board,$B148,date_range_board,I145)/SUMIFS(All_Attendances,site_level_range_board,$B148,date_range_board,I145),"0.0%"))),"")</f>
        <v>95.9%</v>
      </c>
      <c r="J148" s="165" t="str">
        <f ca="1">IFERROR(IF(ISNUMBER(FIND("ED only",$B$4)),IF(LEFT($B$7,6)="Number",SUMIFS(Comparison_Lookup,site_level_range_board,$B148,date_range_board,J145,inputdata!$F:$F,"ED"),TEXT(SUMIFS(Comparison_Lookup,site_level_range_board,$B148,date_range_board,J145,inputdata!$F:$F,"ED")/SUMIFS(All_Attendances,site_level_range_board,$B148,date_range_board,J145,inputdata!$F:$F,"ED"),"0.0%")),IF(LEFT($B$7,6)="Number",SUMIFS(Comparison_Lookup,site_level_range_board,$B148,date_range_board,J145),TEXT(SUMIFS(Comparison_Lookup,site_level_range_board,$B148,date_range_board,J145)/SUMIFS(All_Attendances,site_level_range_board,$B148,date_range_board,J145),"0.0%"))),"")</f>
        <v>97.5%</v>
      </c>
      <c r="K148" s="165" t="str">
        <f ca="1">IFERROR(IF(ISNUMBER(FIND("ED only",$B$4)),IF(LEFT($B$7,6)="Number",SUMIFS(Comparison_Lookup,site_level_range_board,$B148,date_range_board,K145,inputdata!$F:$F,"ED"),TEXT(SUMIFS(Comparison_Lookup,site_level_range_board,$B148,date_range_board,K145,inputdata!$F:$F,"ED")/SUMIFS(All_Attendances,site_level_range_board,$B148,date_range_board,K145,inputdata!$F:$F,"ED"),"0.0%")),IF(LEFT($B$7,6)="Number",SUMIFS(Comparison_Lookup,site_level_range_board,$B148,date_range_board,K145),TEXT(SUMIFS(Comparison_Lookup,site_level_range_board,$B148,date_range_board,K145)/SUMIFS(All_Attendances,site_level_range_board,$B148,date_range_board,K145),"0.0%"))),"")</f>
        <v>97.2%</v>
      </c>
      <c r="L148" s="165" t="str">
        <f ca="1">IFERROR(IF(ISNUMBER(FIND("ED only",$B$4)),IF(LEFT($B$7,6)="Number",SUMIFS(Comparison_Lookup,site_level_range_board,$B148,date_range_board,L145,inputdata!$F:$F,"ED"),TEXT(SUMIFS(Comparison_Lookup,site_level_range_board,$B148,date_range_board,L145,inputdata!$F:$F,"ED")/SUMIFS(All_Attendances,site_level_range_board,$B148,date_range_board,L145,inputdata!$F:$F,"ED"),"0.0%")),IF(LEFT($B$7,6)="Number",SUMIFS(Comparison_Lookup,site_level_range_board,$B148,date_range_board,L145),TEXT(SUMIFS(Comparison_Lookup,site_level_range_board,$B148,date_range_board,L145)/SUMIFS(All_Attendances,site_level_range_board,$B148,date_range_board,L145),"0.0%"))),"")</f>
        <v>96.1%</v>
      </c>
      <c r="M148" s="165" t="str">
        <f ca="1">IFERROR(IF(ISNUMBER(FIND("ED only",$B$4)),IF(LEFT($B$7,6)="Number",SUMIFS(Comparison_Lookup,site_level_range_board,$B148,date_range_board,M145,inputdata!$F:$F,"ED"),TEXT(SUMIFS(Comparison_Lookup,site_level_range_board,$B148,date_range_board,M145,inputdata!$F:$F,"ED")/SUMIFS(All_Attendances,site_level_range_board,$B148,date_range_board,M145,inputdata!$F:$F,"ED"),"0.0%")),IF(LEFT($B$7,6)="Number",SUMIFS(Comparison_Lookup,site_level_range_board,$B148,date_range_board,M145),TEXT(SUMIFS(Comparison_Lookup,site_level_range_board,$B148,date_range_board,M145)/SUMIFS(All_Attendances,site_level_range_board,$B148,date_range_board,M145),"0.0%"))),"")</f>
        <v>94.3%</v>
      </c>
      <c r="N148" s="171" t="str">
        <f ca="1">IFERROR(IF(ISNUMBER(FIND("ED only",$B$4)),IF(LEFT($B$7,6)="Number",SUMIFS(Comparison_Lookup,site_level_range_board,$B148,date_range_board,N145,inputdata!$F:$F,"ED"),TEXT(SUMIFS(Comparison_Lookup,site_level_range_board,$B148,date_range_board,N145,inputdata!$F:$F,"ED")/SUMIFS(All_Attendances,site_level_range_board,$B148,date_range_board,N145,inputdata!$F:$F,"ED"),"0.0%")),IF(LEFT($B$7,6)="Number",SUMIFS(Comparison_Lookup,site_level_range_board,$B148,date_range_board,N145),TEXT(SUMIFS(Comparison_Lookup,site_level_range_board,$B148,date_range_board,N145)/SUMIFS(All_Attendances,site_level_range_board,$B148,date_range_board,N145),"0.0%"))),"")</f>
        <v>96.8%</v>
      </c>
    </row>
    <row r="149" spans="1:14" ht="15" customHeight="1" x14ac:dyDescent="0.2">
      <c r="A149" s="132"/>
      <c r="B149" s="152" t="s">
        <v>442</v>
      </c>
      <c r="C149" s="165" t="str">
        <f ca="1">IFERROR(IF(ISNUMBER(FIND("ED only",$B$4)),IF(LEFT($B$7,6)="Number",SUMIFS(Comparison_Lookup,site_level_range_board,$B149,date_range_board,C145,inputdata!$F:$F,"ED"),TEXT(SUMIFS(Comparison_Lookup,site_level_range_board,$B149,date_range_board,C145,inputdata!$F:$F,"ED")/SUMIFS(All_Attendances,site_level_range_board,$B149,date_range_board,C145,inputdata!$F:$F,"ED"),"0.0%")),IF(LEFT($B$7,6)="Number",SUMIFS(Comparison_Lookup,site_level_range_board,$B149,date_range_board,C145),TEXT(SUMIFS(Comparison_Lookup,site_level_range_board,$B149,date_range_board,C145)/SUMIFS(All_Attendances,site_level_range_board,$B149,date_range_board,C145),"0.0%"))),"")</f>
        <v>94.9%</v>
      </c>
      <c r="D149" s="165" t="str">
        <f ca="1">IFERROR(IF(ISNUMBER(FIND("ED only",$B$4)),IF(LEFT($B$7,6)="Number",SUMIFS(Comparison_Lookup,site_level_range_board,$B149,date_range_board,D145,inputdata!$F:$F,"ED"),TEXT(SUMIFS(Comparison_Lookup,site_level_range_board,$B149,date_range_board,D145,inputdata!$F:$F,"ED")/SUMIFS(All_Attendances,site_level_range_board,$B149,date_range_board,D145,inputdata!$F:$F,"ED"),"0.0%")),IF(LEFT($B$7,6)="Number",SUMIFS(Comparison_Lookup,site_level_range_board,$B149,date_range_board,D145),TEXT(SUMIFS(Comparison_Lookup,site_level_range_board,$B149,date_range_board,D145)/SUMIFS(All_Attendances,site_level_range_board,$B149,date_range_board,D145),"0.0%"))),"")</f>
        <v>96.5%</v>
      </c>
      <c r="E149" s="165" t="str">
        <f ca="1">IFERROR(IF(ISNUMBER(FIND("ED only",$B$4)),IF(LEFT($B$7,6)="Number",SUMIFS(Comparison_Lookup,site_level_range_board,$B149,date_range_board,E145,inputdata!$F:$F,"ED"),TEXT(SUMIFS(Comparison_Lookup,site_level_range_board,$B149,date_range_board,E145,inputdata!$F:$F,"ED")/SUMIFS(All_Attendances,site_level_range_board,$B149,date_range_board,E145,inputdata!$F:$F,"ED"),"0.0%")),IF(LEFT($B$7,6)="Number",SUMIFS(Comparison_Lookup,site_level_range_board,$B149,date_range_board,E145),TEXT(SUMIFS(Comparison_Lookup,site_level_range_board,$B149,date_range_board,E145)/SUMIFS(All_Attendances,site_level_range_board,$B149,date_range_board,E145),"0.0%"))),"")</f>
        <v>95.0%</v>
      </c>
      <c r="F149" s="165" t="str">
        <f ca="1">IFERROR(IF(ISNUMBER(FIND("ED only",$B$4)),IF(LEFT($B$7,6)="Number",SUMIFS(Comparison_Lookup,site_level_range_board,$B149,date_range_board,F145,inputdata!$F:$F,"ED"),TEXT(SUMIFS(Comparison_Lookup,site_level_range_board,$B149,date_range_board,F145,inputdata!$F:$F,"ED")/SUMIFS(All_Attendances,site_level_range_board,$B149,date_range_board,F145,inputdata!$F:$F,"ED"),"0.0%")),IF(LEFT($B$7,6)="Number",SUMIFS(Comparison_Lookup,site_level_range_board,$B149,date_range_board,F145),TEXT(SUMIFS(Comparison_Lookup,site_level_range_board,$B149,date_range_board,F145)/SUMIFS(All_Attendances,site_level_range_board,$B149,date_range_board,F145),"0.0%"))),"")</f>
        <v>95.6%</v>
      </c>
      <c r="G149" s="165" t="str">
        <f ca="1">IFERROR(IF(ISNUMBER(FIND("ED only",$B$4)),IF(LEFT($B$7,6)="Number",SUMIFS(Comparison_Lookup,site_level_range_board,$B149,date_range_board,G145,inputdata!$F:$F,"ED"),TEXT(SUMIFS(Comparison_Lookup,site_level_range_board,$B149,date_range_board,G145,inputdata!$F:$F,"ED")/SUMIFS(All_Attendances,site_level_range_board,$B149,date_range_board,G145,inputdata!$F:$F,"ED"),"0.0%")),IF(LEFT($B$7,6)="Number",SUMIFS(Comparison_Lookup,site_level_range_board,$B149,date_range_board,G145),TEXT(SUMIFS(Comparison_Lookup,site_level_range_board,$B149,date_range_board,G145)/SUMIFS(All_Attendances,site_level_range_board,$B149,date_range_board,G145),"0.0%"))),"")</f>
        <v>95.4%</v>
      </c>
      <c r="H149" s="165" t="str">
        <f ca="1">IFERROR(IF(ISNUMBER(FIND("ED only",$B$4)),IF(LEFT($B$7,6)="Number",SUMIFS(Comparison_Lookup,site_level_range_board,$B149,date_range_board,H145,inputdata!$F:$F,"ED"),TEXT(SUMIFS(Comparison_Lookup,site_level_range_board,$B149,date_range_board,H145,inputdata!$F:$F,"ED")/SUMIFS(All_Attendances,site_level_range_board,$B149,date_range_board,H145,inputdata!$F:$F,"ED"),"0.0%")),IF(LEFT($B$7,6)="Number",SUMIFS(Comparison_Lookup,site_level_range_board,$B149,date_range_board,H145),TEXT(SUMIFS(Comparison_Lookup,site_level_range_board,$B149,date_range_board,H145)/SUMIFS(All_Attendances,site_level_range_board,$B149,date_range_board,H145),"0.0%"))),"")</f>
        <v>96.1%</v>
      </c>
      <c r="I149" s="165" t="str">
        <f ca="1">IFERROR(IF(ISNUMBER(FIND("ED only",$B$4)),IF(LEFT($B$7,6)="Number",SUMIFS(Comparison_Lookup,site_level_range_board,$B149,date_range_board,I145,inputdata!$F:$F,"ED"),TEXT(SUMIFS(Comparison_Lookup,site_level_range_board,$B149,date_range_board,I145,inputdata!$F:$F,"ED")/SUMIFS(All_Attendances,site_level_range_board,$B149,date_range_board,I145,inputdata!$F:$F,"ED"),"0.0%")),IF(LEFT($B$7,6)="Number",SUMIFS(Comparison_Lookup,site_level_range_board,$B149,date_range_board,I145),TEXT(SUMIFS(Comparison_Lookup,site_level_range_board,$B149,date_range_board,I145)/SUMIFS(All_Attendances,site_level_range_board,$B149,date_range_board,I145),"0.0%"))),"")</f>
        <v>91.6%</v>
      </c>
      <c r="J149" s="165" t="str">
        <f ca="1">IFERROR(IF(ISNUMBER(FIND("ED only",$B$4)),IF(LEFT($B$7,6)="Number",SUMIFS(Comparison_Lookup,site_level_range_board,$B149,date_range_board,J145,inputdata!$F:$F,"ED"),TEXT(SUMIFS(Comparison_Lookup,site_level_range_board,$B149,date_range_board,J145,inputdata!$F:$F,"ED")/SUMIFS(All_Attendances,site_level_range_board,$B149,date_range_board,J145,inputdata!$F:$F,"ED"),"0.0%")),IF(LEFT($B$7,6)="Number",SUMIFS(Comparison_Lookup,site_level_range_board,$B149,date_range_board,J145),TEXT(SUMIFS(Comparison_Lookup,site_level_range_board,$B149,date_range_board,J145)/SUMIFS(All_Attendances,site_level_range_board,$B149,date_range_board,J145),"0.0%"))),"")</f>
        <v>95.2%</v>
      </c>
      <c r="K149" s="165" t="str">
        <f ca="1">IFERROR(IF(ISNUMBER(FIND("ED only",$B$4)),IF(LEFT($B$7,6)="Number",SUMIFS(Comparison_Lookup,site_level_range_board,$B149,date_range_board,K145,inputdata!$F:$F,"ED"),TEXT(SUMIFS(Comparison_Lookup,site_level_range_board,$B149,date_range_board,K145,inputdata!$F:$F,"ED")/SUMIFS(All_Attendances,site_level_range_board,$B149,date_range_board,K145,inputdata!$F:$F,"ED"),"0.0%")),IF(LEFT($B$7,6)="Number",SUMIFS(Comparison_Lookup,site_level_range_board,$B149,date_range_board,K145),TEXT(SUMIFS(Comparison_Lookup,site_level_range_board,$B149,date_range_board,K145)/SUMIFS(All_Attendances,site_level_range_board,$B149,date_range_board,K145),"0.0%"))),"")</f>
        <v>90.9%</v>
      </c>
      <c r="L149" s="165" t="str">
        <f ca="1">IFERROR(IF(ISNUMBER(FIND("ED only",$B$4)),IF(LEFT($B$7,6)="Number",SUMIFS(Comparison_Lookup,site_level_range_board,$B149,date_range_board,L145,inputdata!$F:$F,"ED"),TEXT(SUMIFS(Comparison_Lookup,site_level_range_board,$B149,date_range_board,L145,inputdata!$F:$F,"ED")/SUMIFS(All_Attendances,site_level_range_board,$B149,date_range_board,L145,inputdata!$F:$F,"ED"),"0.0%")),IF(LEFT($B$7,6)="Number",SUMIFS(Comparison_Lookup,site_level_range_board,$B149,date_range_board,L145),TEXT(SUMIFS(Comparison_Lookup,site_level_range_board,$B149,date_range_board,L145)/SUMIFS(All_Attendances,site_level_range_board,$B149,date_range_board,L145),"0.0%"))),"")</f>
        <v>92.6%</v>
      </c>
      <c r="M149" s="165" t="str">
        <f ca="1">IFERROR(IF(ISNUMBER(FIND("ED only",$B$4)),IF(LEFT($B$7,6)="Number",SUMIFS(Comparison_Lookup,site_level_range_board,$B149,date_range_board,M145,inputdata!$F:$F,"ED"),TEXT(SUMIFS(Comparison_Lookup,site_level_range_board,$B149,date_range_board,M145,inputdata!$F:$F,"ED")/SUMIFS(All_Attendances,site_level_range_board,$B149,date_range_board,M145,inputdata!$F:$F,"ED"),"0.0%")),IF(LEFT($B$7,6)="Number",SUMIFS(Comparison_Lookup,site_level_range_board,$B149,date_range_board,M145),TEXT(SUMIFS(Comparison_Lookup,site_level_range_board,$B149,date_range_board,M145)/SUMIFS(All_Attendances,site_level_range_board,$B149,date_range_board,M145),"0.0%"))),"")</f>
        <v>90.8%</v>
      </c>
      <c r="N149" s="171" t="str">
        <f ca="1">IFERROR(IF(ISNUMBER(FIND("ED only",$B$4)),IF(LEFT($B$7,6)="Number",SUMIFS(Comparison_Lookup,site_level_range_board,$B149,date_range_board,N145,inputdata!$F:$F,"ED"),TEXT(SUMIFS(Comparison_Lookup,site_level_range_board,$B149,date_range_board,N145,inputdata!$F:$F,"ED")/SUMIFS(All_Attendances,site_level_range_board,$B149,date_range_board,N145,inputdata!$F:$F,"ED"),"0.0%")),IF(LEFT($B$7,6)="Number",SUMIFS(Comparison_Lookup,site_level_range_board,$B149,date_range_board,N145),TEXT(SUMIFS(Comparison_Lookup,site_level_range_board,$B149,date_range_board,N145)/SUMIFS(All_Attendances,site_level_range_board,$B149,date_range_board,N145),"0.0%"))),"")</f>
        <v>92.5%</v>
      </c>
    </row>
    <row r="150" spans="1:14" ht="15" customHeight="1" x14ac:dyDescent="0.2">
      <c r="A150" s="132"/>
      <c r="B150" s="152" t="s">
        <v>451</v>
      </c>
      <c r="C150" s="165" t="str">
        <f ca="1">IFERROR(IF(ISNUMBER(FIND("ED only",$B$4)),IF(LEFT($B$7,6)="Number",SUMIFS(Comparison_Lookup,site_level_range_board,$B150,date_range_board,C145,inputdata!$F:$F,"ED"),TEXT(SUMIFS(Comparison_Lookup,site_level_range_board,$B150,date_range_board,C145,inputdata!$F:$F,"ED")/SUMIFS(All_Attendances,site_level_range_board,$B150,date_range_board,C145,inputdata!$F:$F,"ED"),"0.0%")),IF(LEFT($B$7,6)="Number",SUMIFS(Comparison_Lookup,site_level_range_board,$B150,date_range_board,C145),TEXT(SUMIFS(Comparison_Lookup,site_level_range_board,$B150,date_range_board,C145)/SUMIFS(All_Attendances,site_level_range_board,$B150,date_range_board,C145),"0.0%"))),"")</f>
        <v>95.4%</v>
      </c>
      <c r="D150" s="165" t="str">
        <f ca="1">IFERROR(IF(ISNUMBER(FIND("ED only",$B$4)),IF(LEFT($B$7,6)="Number",SUMIFS(Comparison_Lookup,site_level_range_board,$B150,date_range_board,D145,inputdata!$F:$F,"ED"),TEXT(SUMIFS(Comparison_Lookup,site_level_range_board,$B150,date_range_board,D145,inputdata!$F:$F,"ED")/SUMIFS(All_Attendances,site_level_range_board,$B150,date_range_board,D145,inputdata!$F:$F,"ED"),"0.0%")),IF(LEFT($B$7,6)="Number",SUMIFS(Comparison_Lookup,site_level_range_board,$B150,date_range_board,D145),TEXT(SUMIFS(Comparison_Lookup,site_level_range_board,$B150,date_range_board,D145)/SUMIFS(All_Attendances,site_level_range_board,$B150,date_range_board,D145),"0.0%"))),"")</f>
        <v>93.6%</v>
      </c>
      <c r="E150" s="165" t="str">
        <f ca="1">IFERROR(IF(ISNUMBER(FIND("ED only",$B$4)),IF(LEFT($B$7,6)="Number",SUMIFS(Comparison_Lookup,site_level_range_board,$B150,date_range_board,E145,inputdata!$F:$F,"ED"),TEXT(SUMIFS(Comparison_Lookup,site_level_range_board,$B150,date_range_board,E145,inputdata!$F:$F,"ED")/SUMIFS(All_Attendances,site_level_range_board,$B150,date_range_board,E145,inputdata!$F:$F,"ED"),"0.0%")),IF(LEFT($B$7,6)="Number",SUMIFS(Comparison_Lookup,site_level_range_board,$B150,date_range_board,E145),TEXT(SUMIFS(Comparison_Lookup,site_level_range_board,$B150,date_range_board,E145)/SUMIFS(All_Attendances,site_level_range_board,$B150,date_range_board,E145),"0.0%"))),"")</f>
        <v>93.7%</v>
      </c>
      <c r="F150" s="165" t="str">
        <f ca="1">IFERROR(IF(ISNUMBER(FIND("ED only",$B$4)),IF(LEFT($B$7,6)="Number",SUMIFS(Comparison_Lookup,site_level_range_board,$B150,date_range_board,F145,inputdata!$F:$F,"ED"),TEXT(SUMIFS(Comparison_Lookup,site_level_range_board,$B150,date_range_board,F145,inputdata!$F:$F,"ED")/SUMIFS(All_Attendances,site_level_range_board,$B150,date_range_board,F145,inputdata!$F:$F,"ED"),"0.0%")),IF(LEFT($B$7,6)="Number",SUMIFS(Comparison_Lookup,site_level_range_board,$B150,date_range_board,F145),TEXT(SUMIFS(Comparison_Lookup,site_level_range_board,$B150,date_range_board,F145)/SUMIFS(All_Attendances,site_level_range_board,$B150,date_range_board,F145),"0.0%"))),"")</f>
        <v>94.2%</v>
      </c>
      <c r="G150" s="165" t="str">
        <f ca="1">IFERROR(IF(ISNUMBER(FIND("ED only",$B$4)),IF(LEFT($B$7,6)="Number",SUMIFS(Comparison_Lookup,site_level_range_board,$B150,date_range_board,G145,inputdata!$F:$F,"ED"),TEXT(SUMIFS(Comparison_Lookup,site_level_range_board,$B150,date_range_board,G145,inputdata!$F:$F,"ED")/SUMIFS(All_Attendances,site_level_range_board,$B150,date_range_board,G145,inputdata!$F:$F,"ED"),"0.0%")),IF(LEFT($B$7,6)="Number",SUMIFS(Comparison_Lookup,site_level_range_board,$B150,date_range_board,G145),TEXT(SUMIFS(Comparison_Lookup,site_level_range_board,$B150,date_range_board,G145)/SUMIFS(All_Attendances,site_level_range_board,$B150,date_range_board,G145),"0.0%"))),"")</f>
        <v>92.9%</v>
      </c>
      <c r="H150" s="165" t="str">
        <f ca="1">IFERROR(IF(ISNUMBER(FIND("ED only",$B$4)),IF(LEFT($B$7,6)="Number",SUMIFS(Comparison_Lookup,site_level_range_board,$B150,date_range_board,H145,inputdata!$F:$F,"ED"),TEXT(SUMIFS(Comparison_Lookup,site_level_range_board,$B150,date_range_board,H145,inputdata!$F:$F,"ED")/SUMIFS(All_Attendances,site_level_range_board,$B150,date_range_board,H145,inputdata!$F:$F,"ED"),"0.0%")),IF(LEFT($B$7,6)="Number",SUMIFS(Comparison_Lookup,site_level_range_board,$B150,date_range_board,H145),TEXT(SUMIFS(Comparison_Lookup,site_level_range_board,$B150,date_range_board,H145)/SUMIFS(All_Attendances,site_level_range_board,$B150,date_range_board,H145),"0.0%"))),"")</f>
        <v>92.8%</v>
      </c>
      <c r="I150" s="165" t="str">
        <f ca="1">IFERROR(IF(ISNUMBER(FIND("ED only",$B$4)),IF(LEFT($B$7,6)="Number",SUMIFS(Comparison_Lookup,site_level_range_board,$B150,date_range_board,I145,inputdata!$F:$F,"ED"),TEXT(SUMIFS(Comparison_Lookup,site_level_range_board,$B150,date_range_board,I145,inputdata!$F:$F,"ED")/SUMIFS(All_Attendances,site_level_range_board,$B150,date_range_board,I145,inputdata!$F:$F,"ED"),"0.0%")),IF(LEFT($B$7,6)="Number",SUMIFS(Comparison_Lookup,site_level_range_board,$B150,date_range_board,I145),TEXT(SUMIFS(Comparison_Lookup,site_level_range_board,$B150,date_range_board,I145)/SUMIFS(All_Attendances,site_level_range_board,$B150,date_range_board,I145),"0.0%"))),"")</f>
        <v>91.2%</v>
      </c>
      <c r="J150" s="165" t="str">
        <f ca="1">IFERROR(IF(ISNUMBER(FIND("ED only",$B$4)),IF(LEFT($B$7,6)="Number",SUMIFS(Comparison_Lookup,site_level_range_board,$B150,date_range_board,J145,inputdata!$F:$F,"ED"),TEXT(SUMIFS(Comparison_Lookup,site_level_range_board,$B150,date_range_board,J145,inputdata!$F:$F,"ED")/SUMIFS(All_Attendances,site_level_range_board,$B150,date_range_board,J145,inputdata!$F:$F,"ED"),"0.0%")),IF(LEFT($B$7,6)="Number",SUMIFS(Comparison_Lookup,site_level_range_board,$B150,date_range_board,J145),TEXT(SUMIFS(Comparison_Lookup,site_level_range_board,$B150,date_range_board,J145)/SUMIFS(All_Attendances,site_level_range_board,$B150,date_range_board,J145),"0.0%"))),"")</f>
        <v>92.4%</v>
      </c>
      <c r="K150" s="165" t="str">
        <f ca="1">IFERROR(IF(ISNUMBER(FIND("ED only",$B$4)),IF(LEFT($B$7,6)="Number",SUMIFS(Comparison_Lookup,site_level_range_board,$B150,date_range_board,K145,inputdata!$F:$F,"ED"),TEXT(SUMIFS(Comparison_Lookup,site_level_range_board,$B150,date_range_board,K145,inputdata!$F:$F,"ED")/SUMIFS(All_Attendances,site_level_range_board,$B150,date_range_board,K145,inputdata!$F:$F,"ED"),"0.0%")),IF(LEFT($B$7,6)="Number",SUMIFS(Comparison_Lookup,site_level_range_board,$B150,date_range_board,K145),TEXT(SUMIFS(Comparison_Lookup,site_level_range_board,$B150,date_range_board,K145)/SUMIFS(All_Attendances,site_level_range_board,$B150,date_range_board,K145),"0.0%"))),"")</f>
        <v>84.2%</v>
      </c>
      <c r="L150" s="165" t="str">
        <f ca="1">IFERROR(IF(ISNUMBER(FIND("ED only",$B$4)),IF(LEFT($B$7,6)="Number",SUMIFS(Comparison_Lookup,site_level_range_board,$B150,date_range_board,L145,inputdata!$F:$F,"ED"),TEXT(SUMIFS(Comparison_Lookup,site_level_range_board,$B150,date_range_board,L145,inputdata!$F:$F,"ED")/SUMIFS(All_Attendances,site_level_range_board,$B150,date_range_board,L145,inputdata!$F:$F,"ED"),"0.0%")),IF(LEFT($B$7,6)="Number",SUMIFS(Comparison_Lookup,site_level_range_board,$B150,date_range_board,L145),TEXT(SUMIFS(Comparison_Lookup,site_level_range_board,$B150,date_range_board,L145)/SUMIFS(All_Attendances,site_level_range_board,$B150,date_range_board,L145),"0.0%"))),"")</f>
        <v>89.0%</v>
      </c>
      <c r="M150" s="165" t="str">
        <f ca="1">IFERROR(IF(ISNUMBER(FIND("ED only",$B$4)),IF(LEFT($B$7,6)="Number",SUMIFS(Comparison_Lookup,site_level_range_board,$B150,date_range_board,M145,inputdata!$F:$F,"ED"),TEXT(SUMIFS(Comparison_Lookup,site_level_range_board,$B150,date_range_board,M145,inputdata!$F:$F,"ED")/SUMIFS(All_Attendances,site_level_range_board,$B150,date_range_board,M145,inputdata!$F:$F,"ED"),"0.0%")),IF(LEFT($B$7,6)="Number",SUMIFS(Comparison_Lookup,site_level_range_board,$B150,date_range_board,M145),TEXT(SUMIFS(Comparison_Lookup,site_level_range_board,$B150,date_range_board,M145)/SUMIFS(All_Attendances,site_level_range_board,$B150,date_range_board,M145),"0.0%"))),"")</f>
        <v>95.7%</v>
      </c>
      <c r="N150" s="171" t="str">
        <f ca="1">IFERROR(IF(ISNUMBER(FIND("ED only",$B$4)),IF(LEFT($B$7,6)="Number",SUMIFS(Comparison_Lookup,site_level_range_board,$B150,date_range_board,N145,inputdata!$F:$F,"ED"),TEXT(SUMIFS(Comparison_Lookup,site_level_range_board,$B150,date_range_board,N145,inputdata!$F:$F,"ED")/SUMIFS(All_Attendances,site_level_range_board,$B150,date_range_board,N145,inputdata!$F:$F,"ED"),"0.0%")),IF(LEFT($B$7,6)="Number",SUMIFS(Comparison_Lookup,site_level_range_board,$B150,date_range_board,N145),TEXT(SUMIFS(Comparison_Lookup,site_level_range_board,$B150,date_range_board,N145)/SUMIFS(All_Attendances,site_level_range_board,$B150,date_range_board,N145),"0.0%"))),"")</f>
        <v>93.6%</v>
      </c>
    </row>
    <row r="151" spans="1:14" ht="15" customHeight="1" x14ac:dyDescent="0.2">
      <c r="A151" s="132"/>
      <c r="B151" s="152" t="s">
        <v>456</v>
      </c>
      <c r="C151" s="165" t="str">
        <f ca="1">IFERROR(IF(ISNUMBER(FIND("ED only",$B$4)),IF(LEFT($B$7,6)="Number",SUMIFS(Comparison_Lookup,site_level_range_board,$B151,date_range_board,C145,inputdata!$F:$F,"ED"),TEXT(SUMIFS(Comparison_Lookup,site_level_range_board,$B151,date_range_board,C145,inputdata!$F:$F,"ED")/SUMIFS(All_Attendances,site_level_range_board,$B151,date_range_board,C145,inputdata!$F:$F,"ED"),"0.0%")),IF(LEFT($B$7,6)="Number",SUMIFS(Comparison_Lookup,site_level_range_board,$B151,date_range_board,C145),TEXT(SUMIFS(Comparison_Lookup,site_level_range_board,$B151,date_range_board,C145)/SUMIFS(All_Attendances,site_level_range_board,$B151,date_range_board,C145),"0.0%"))),"")</f>
        <v>95.6%</v>
      </c>
      <c r="D151" s="165" t="str">
        <f ca="1">IFERROR(IF(ISNUMBER(FIND("ED only",$B$4)),IF(LEFT($B$7,6)="Number",SUMIFS(Comparison_Lookup,site_level_range_board,$B151,date_range_board,D145,inputdata!$F:$F,"ED"),TEXT(SUMIFS(Comparison_Lookup,site_level_range_board,$B151,date_range_board,D145,inputdata!$F:$F,"ED")/SUMIFS(All_Attendances,site_level_range_board,$B151,date_range_board,D145,inputdata!$F:$F,"ED"),"0.0%")),IF(LEFT($B$7,6)="Number",SUMIFS(Comparison_Lookup,site_level_range_board,$B151,date_range_board,D145),TEXT(SUMIFS(Comparison_Lookup,site_level_range_board,$B151,date_range_board,D145)/SUMIFS(All_Attendances,site_level_range_board,$B151,date_range_board,D145),"0.0%"))),"")</f>
        <v>94.9%</v>
      </c>
      <c r="E151" s="165" t="str">
        <f ca="1">IFERROR(IF(ISNUMBER(FIND("ED only",$B$4)),IF(LEFT($B$7,6)="Number",SUMIFS(Comparison_Lookup,site_level_range_board,$B151,date_range_board,E145,inputdata!$F:$F,"ED"),TEXT(SUMIFS(Comparison_Lookup,site_level_range_board,$B151,date_range_board,E145,inputdata!$F:$F,"ED")/SUMIFS(All_Attendances,site_level_range_board,$B151,date_range_board,E145,inputdata!$F:$F,"ED"),"0.0%")),IF(LEFT($B$7,6)="Number",SUMIFS(Comparison_Lookup,site_level_range_board,$B151,date_range_board,E145),TEXT(SUMIFS(Comparison_Lookup,site_level_range_board,$B151,date_range_board,E145)/SUMIFS(All_Attendances,site_level_range_board,$B151,date_range_board,E145),"0.0%"))),"")</f>
        <v>96.1%</v>
      </c>
      <c r="F151" s="165" t="str">
        <f ca="1">IFERROR(IF(ISNUMBER(FIND("ED only",$B$4)),IF(LEFT($B$7,6)="Number",SUMIFS(Comparison_Lookup,site_level_range_board,$B151,date_range_board,F145,inputdata!$F:$F,"ED"),TEXT(SUMIFS(Comparison_Lookup,site_level_range_board,$B151,date_range_board,F145,inputdata!$F:$F,"ED")/SUMIFS(All_Attendances,site_level_range_board,$B151,date_range_board,F145,inputdata!$F:$F,"ED"),"0.0%")),IF(LEFT($B$7,6)="Number",SUMIFS(Comparison_Lookup,site_level_range_board,$B151,date_range_board,F145),TEXT(SUMIFS(Comparison_Lookup,site_level_range_board,$B151,date_range_board,F145)/SUMIFS(All_Attendances,site_level_range_board,$B151,date_range_board,F145),"0.0%"))),"")</f>
        <v>96.1%</v>
      </c>
      <c r="G151" s="165" t="str">
        <f ca="1">IFERROR(IF(ISNUMBER(FIND("ED only",$B$4)),IF(LEFT($B$7,6)="Number",SUMIFS(Comparison_Lookup,site_level_range_board,$B151,date_range_board,G145,inputdata!$F:$F,"ED"),TEXT(SUMIFS(Comparison_Lookup,site_level_range_board,$B151,date_range_board,G145,inputdata!$F:$F,"ED")/SUMIFS(All_Attendances,site_level_range_board,$B151,date_range_board,G145,inputdata!$F:$F,"ED"),"0.0%")),IF(LEFT($B$7,6)="Number",SUMIFS(Comparison_Lookup,site_level_range_board,$B151,date_range_board,G145),TEXT(SUMIFS(Comparison_Lookup,site_level_range_board,$B151,date_range_board,G145)/SUMIFS(All_Attendances,site_level_range_board,$B151,date_range_board,G145),"0.0%"))),"")</f>
        <v>94.6%</v>
      </c>
      <c r="H151" s="165" t="str">
        <f ca="1">IFERROR(IF(ISNUMBER(FIND("ED only",$B$4)),IF(LEFT($B$7,6)="Number",SUMIFS(Comparison_Lookup,site_level_range_board,$B151,date_range_board,H145,inputdata!$F:$F,"ED"),TEXT(SUMIFS(Comparison_Lookup,site_level_range_board,$B151,date_range_board,H145,inputdata!$F:$F,"ED")/SUMIFS(All_Attendances,site_level_range_board,$B151,date_range_board,H145,inputdata!$F:$F,"ED"),"0.0%")),IF(LEFT($B$7,6)="Number",SUMIFS(Comparison_Lookup,site_level_range_board,$B151,date_range_board,H145),TEXT(SUMIFS(Comparison_Lookup,site_level_range_board,$B151,date_range_board,H145)/SUMIFS(All_Attendances,site_level_range_board,$B151,date_range_board,H145),"0.0%"))),"")</f>
        <v>94.6%</v>
      </c>
      <c r="I151" s="165" t="str">
        <f ca="1">IFERROR(IF(ISNUMBER(FIND("ED only",$B$4)),IF(LEFT($B$7,6)="Number",SUMIFS(Comparison_Lookup,site_level_range_board,$B151,date_range_board,I145,inputdata!$F:$F,"ED"),TEXT(SUMIFS(Comparison_Lookup,site_level_range_board,$B151,date_range_board,I145,inputdata!$F:$F,"ED")/SUMIFS(All_Attendances,site_level_range_board,$B151,date_range_board,I145,inputdata!$F:$F,"ED"),"0.0%")),IF(LEFT($B$7,6)="Number",SUMIFS(Comparison_Lookup,site_level_range_board,$B151,date_range_board,I145),TEXT(SUMIFS(Comparison_Lookup,site_level_range_board,$B151,date_range_board,I145)/SUMIFS(All_Attendances,site_level_range_board,$B151,date_range_board,I145),"0.0%"))),"")</f>
        <v>93.6%</v>
      </c>
      <c r="J151" s="165" t="str">
        <f ca="1">IFERROR(IF(ISNUMBER(FIND("ED only",$B$4)),IF(LEFT($B$7,6)="Number",SUMIFS(Comparison_Lookup,site_level_range_board,$B151,date_range_board,J145,inputdata!$F:$F,"ED"),TEXT(SUMIFS(Comparison_Lookup,site_level_range_board,$B151,date_range_board,J145,inputdata!$F:$F,"ED")/SUMIFS(All_Attendances,site_level_range_board,$B151,date_range_board,J145,inputdata!$F:$F,"ED"),"0.0%")),IF(LEFT($B$7,6)="Number",SUMIFS(Comparison_Lookup,site_level_range_board,$B151,date_range_board,J145),TEXT(SUMIFS(Comparison_Lookup,site_level_range_board,$B151,date_range_board,J145)/SUMIFS(All_Attendances,site_level_range_board,$B151,date_range_board,J145),"0.0%"))),"")</f>
        <v>95.0%</v>
      </c>
      <c r="K151" s="165" t="str">
        <f ca="1">IFERROR(IF(ISNUMBER(FIND("ED only",$B$4)),IF(LEFT($B$7,6)="Number",SUMIFS(Comparison_Lookup,site_level_range_board,$B151,date_range_board,K145,inputdata!$F:$F,"ED"),TEXT(SUMIFS(Comparison_Lookup,site_level_range_board,$B151,date_range_board,K145,inputdata!$F:$F,"ED")/SUMIFS(All_Attendances,site_level_range_board,$B151,date_range_board,K145,inputdata!$F:$F,"ED"),"0.0%")),IF(LEFT($B$7,6)="Number",SUMIFS(Comparison_Lookup,site_level_range_board,$B151,date_range_board,K145),TEXT(SUMIFS(Comparison_Lookup,site_level_range_board,$B151,date_range_board,K145)/SUMIFS(All_Attendances,site_level_range_board,$B151,date_range_board,K145),"0.0%"))),"")</f>
        <v>94.4%</v>
      </c>
      <c r="L151" s="165" t="str">
        <f ca="1">IFERROR(IF(ISNUMBER(FIND("ED only",$B$4)),IF(LEFT($B$7,6)="Number",SUMIFS(Comparison_Lookup,site_level_range_board,$B151,date_range_board,L145,inputdata!$F:$F,"ED"),TEXT(SUMIFS(Comparison_Lookup,site_level_range_board,$B151,date_range_board,L145,inputdata!$F:$F,"ED")/SUMIFS(All_Attendances,site_level_range_board,$B151,date_range_board,L145,inputdata!$F:$F,"ED"),"0.0%")),IF(LEFT($B$7,6)="Number",SUMIFS(Comparison_Lookup,site_level_range_board,$B151,date_range_board,L145),TEXT(SUMIFS(Comparison_Lookup,site_level_range_board,$B151,date_range_board,L145)/SUMIFS(All_Attendances,site_level_range_board,$B151,date_range_board,L145),"0.0%"))),"")</f>
        <v>89.9%</v>
      </c>
      <c r="M151" s="165" t="str">
        <f ca="1">IFERROR(IF(ISNUMBER(FIND("ED only",$B$4)),IF(LEFT($B$7,6)="Number",SUMIFS(Comparison_Lookup,site_level_range_board,$B151,date_range_board,M145,inputdata!$F:$F,"ED"),TEXT(SUMIFS(Comparison_Lookup,site_level_range_board,$B151,date_range_board,M145,inputdata!$F:$F,"ED")/SUMIFS(All_Attendances,site_level_range_board,$B151,date_range_board,M145,inputdata!$F:$F,"ED"),"0.0%")),IF(LEFT($B$7,6)="Number",SUMIFS(Comparison_Lookup,site_level_range_board,$B151,date_range_board,M145),TEXT(SUMIFS(Comparison_Lookup,site_level_range_board,$B151,date_range_board,M145)/SUMIFS(All_Attendances,site_level_range_board,$B151,date_range_board,M145),"0.0%"))),"")</f>
        <v>91.7%</v>
      </c>
      <c r="N151" s="171" t="str">
        <f ca="1">IFERROR(IF(ISNUMBER(FIND("ED only",$B$4)),IF(LEFT($B$7,6)="Number",SUMIFS(Comparison_Lookup,site_level_range_board,$B151,date_range_board,N145,inputdata!$F:$F,"ED"),TEXT(SUMIFS(Comparison_Lookup,site_level_range_board,$B151,date_range_board,N145,inputdata!$F:$F,"ED")/SUMIFS(All_Attendances,site_level_range_board,$B151,date_range_board,N145,inputdata!$F:$F,"ED"),"0.0%")),IF(LEFT($B$7,6)="Number",SUMIFS(Comparison_Lookup,site_level_range_board,$B151,date_range_board,N145),TEXT(SUMIFS(Comparison_Lookup,site_level_range_board,$B151,date_range_board,N145)/SUMIFS(All_Attendances,site_level_range_board,$B151,date_range_board,N145),"0.0%"))),"")</f>
        <v>95.0%</v>
      </c>
    </row>
    <row r="152" spans="1:14" ht="15" customHeight="1" x14ac:dyDescent="0.2">
      <c r="A152" s="132"/>
      <c r="B152" s="152" t="s">
        <v>491</v>
      </c>
      <c r="C152" s="165" t="str">
        <f ca="1">IFERROR(IF(ISNUMBER(FIND("ED only",$B$4)),IF(LEFT($B$7,6)="Number",SUMIFS(Comparison_Lookup,site_level_range_board,$B152,date_range_board,C145,inputdata!$F:$F,"ED"),TEXT(SUMIFS(Comparison_Lookup,site_level_range_board,$B152,date_range_board,C145,inputdata!$F:$F,"ED")/SUMIFS(All_Attendances,site_level_range_board,$B152,date_range_board,C145,inputdata!$F:$F,"ED"),"0.0%")),IF(LEFT($B$7,6)="Number",SUMIFS(Comparison_Lookup,site_level_range_board,$B152,date_range_board,C145),TEXT(SUMIFS(Comparison_Lookup,site_level_range_board,$B152,date_range_board,C145)/SUMIFS(All_Attendances,site_level_range_board,$B152,date_range_board,C145),"0.0%"))),"")</f>
        <v>89.2%</v>
      </c>
      <c r="D152" s="165" t="str">
        <f ca="1">IFERROR(IF(ISNUMBER(FIND("ED only",$B$4)),IF(LEFT($B$7,6)="Number",SUMIFS(Comparison_Lookup,site_level_range_board,$B152,date_range_board,D145,inputdata!$F:$F,"ED"),TEXT(SUMIFS(Comparison_Lookup,site_level_range_board,$B152,date_range_board,D145,inputdata!$F:$F,"ED")/SUMIFS(All_Attendances,site_level_range_board,$B152,date_range_board,D145,inputdata!$F:$F,"ED"),"0.0%")),IF(LEFT($B$7,6)="Number",SUMIFS(Comparison_Lookup,site_level_range_board,$B152,date_range_board,D145),TEXT(SUMIFS(Comparison_Lookup,site_level_range_board,$B152,date_range_board,D145)/SUMIFS(All_Attendances,site_level_range_board,$B152,date_range_board,D145),"0.0%"))),"")</f>
        <v>89.7%</v>
      </c>
      <c r="E152" s="165" t="str">
        <f ca="1">IFERROR(IF(ISNUMBER(FIND("ED only",$B$4)),IF(LEFT($B$7,6)="Number",SUMIFS(Comparison_Lookup,site_level_range_board,$B152,date_range_board,E145,inputdata!$F:$F,"ED"),TEXT(SUMIFS(Comparison_Lookup,site_level_range_board,$B152,date_range_board,E145,inputdata!$F:$F,"ED")/SUMIFS(All_Attendances,site_level_range_board,$B152,date_range_board,E145,inputdata!$F:$F,"ED"),"0.0%")),IF(LEFT($B$7,6)="Number",SUMIFS(Comparison_Lookup,site_level_range_board,$B152,date_range_board,E145),TEXT(SUMIFS(Comparison_Lookup,site_level_range_board,$B152,date_range_board,E145)/SUMIFS(All_Attendances,site_level_range_board,$B152,date_range_board,E145),"0.0%"))),"")</f>
        <v>91.3%</v>
      </c>
      <c r="F152" s="165" t="str">
        <f ca="1">IFERROR(IF(ISNUMBER(FIND("ED only",$B$4)),IF(LEFT($B$7,6)="Number",SUMIFS(Comparison_Lookup,site_level_range_board,$B152,date_range_board,F145,inputdata!$F:$F,"ED"),TEXT(SUMIFS(Comparison_Lookup,site_level_range_board,$B152,date_range_board,F145,inputdata!$F:$F,"ED")/SUMIFS(All_Attendances,site_level_range_board,$B152,date_range_board,F145,inputdata!$F:$F,"ED"),"0.0%")),IF(LEFT($B$7,6)="Number",SUMIFS(Comparison_Lookup,site_level_range_board,$B152,date_range_board,F145),TEXT(SUMIFS(Comparison_Lookup,site_level_range_board,$B152,date_range_board,F145)/SUMIFS(All_Attendances,site_level_range_board,$B152,date_range_board,F145),"0.0%"))),"")</f>
        <v>92.7%</v>
      </c>
      <c r="G152" s="165" t="str">
        <f ca="1">IFERROR(IF(ISNUMBER(FIND("ED only",$B$4)),IF(LEFT($B$7,6)="Number",SUMIFS(Comparison_Lookup,site_level_range_board,$B152,date_range_board,G145,inputdata!$F:$F,"ED"),TEXT(SUMIFS(Comparison_Lookup,site_level_range_board,$B152,date_range_board,G145,inputdata!$F:$F,"ED")/SUMIFS(All_Attendances,site_level_range_board,$B152,date_range_board,G145,inputdata!$F:$F,"ED"),"0.0%")),IF(LEFT($B$7,6)="Number",SUMIFS(Comparison_Lookup,site_level_range_board,$B152,date_range_board,G145),TEXT(SUMIFS(Comparison_Lookup,site_level_range_board,$B152,date_range_board,G145)/SUMIFS(All_Attendances,site_level_range_board,$B152,date_range_board,G145),"0.0%"))),"")</f>
        <v>89.7%</v>
      </c>
      <c r="H152" s="165" t="str">
        <f ca="1">IFERROR(IF(ISNUMBER(FIND("ED only",$B$4)),IF(LEFT($B$7,6)="Number",SUMIFS(Comparison_Lookup,site_level_range_board,$B152,date_range_board,H145,inputdata!$F:$F,"ED"),TEXT(SUMIFS(Comparison_Lookup,site_level_range_board,$B152,date_range_board,H145,inputdata!$F:$F,"ED")/SUMIFS(All_Attendances,site_level_range_board,$B152,date_range_board,H145,inputdata!$F:$F,"ED"),"0.0%")),IF(LEFT($B$7,6)="Number",SUMIFS(Comparison_Lookup,site_level_range_board,$B152,date_range_board,H145),TEXT(SUMIFS(Comparison_Lookup,site_level_range_board,$B152,date_range_board,H145)/SUMIFS(All_Attendances,site_level_range_board,$B152,date_range_board,H145),"0.0%"))),"")</f>
        <v>91.5%</v>
      </c>
      <c r="I152" s="165" t="str">
        <f ca="1">IFERROR(IF(ISNUMBER(FIND("ED only",$B$4)),IF(LEFT($B$7,6)="Number",SUMIFS(Comparison_Lookup,site_level_range_board,$B152,date_range_board,I145,inputdata!$F:$F,"ED"),TEXT(SUMIFS(Comparison_Lookup,site_level_range_board,$B152,date_range_board,I145,inputdata!$F:$F,"ED")/SUMIFS(All_Attendances,site_level_range_board,$B152,date_range_board,I145,inputdata!$F:$F,"ED"),"0.0%")),IF(LEFT($B$7,6)="Number",SUMIFS(Comparison_Lookup,site_level_range_board,$B152,date_range_board,I145),TEXT(SUMIFS(Comparison_Lookup,site_level_range_board,$B152,date_range_board,I145)/SUMIFS(All_Attendances,site_level_range_board,$B152,date_range_board,I145),"0.0%"))),"")</f>
        <v>89.2%</v>
      </c>
      <c r="J152" s="165" t="str">
        <f ca="1">IFERROR(IF(ISNUMBER(FIND("ED only",$B$4)),IF(LEFT($B$7,6)="Number",SUMIFS(Comparison_Lookup,site_level_range_board,$B152,date_range_board,J145,inputdata!$F:$F,"ED"),TEXT(SUMIFS(Comparison_Lookup,site_level_range_board,$B152,date_range_board,J145,inputdata!$F:$F,"ED")/SUMIFS(All_Attendances,site_level_range_board,$B152,date_range_board,J145,inputdata!$F:$F,"ED"),"0.0%")),IF(LEFT($B$7,6)="Number",SUMIFS(Comparison_Lookup,site_level_range_board,$B152,date_range_board,J145),TEXT(SUMIFS(Comparison_Lookup,site_level_range_board,$B152,date_range_board,J145)/SUMIFS(All_Attendances,site_level_range_board,$B152,date_range_board,J145),"0.0%"))),"")</f>
        <v>88.4%</v>
      </c>
      <c r="K152" s="165" t="str">
        <f ca="1">IFERROR(IF(ISNUMBER(FIND("ED only",$B$4)),IF(LEFT($B$7,6)="Number",SUMIFS(Comparison_Lookup,site_level_range_board,$B152,date_range_board,K145,inputdata!$F:$F,"ED"),TEXT(SUMIFS(Comparison_Lookup,site_level_range_board,$B152,date_range_board,K145,inputdata!$F:$F,"ED")/SUMIFS(All_Attendances,site_level_range_board,$B152,date_range_board,K145,inputdata!$F:$F,"ED"),"0.0%")),IF(LEFT($B$7,6)="Number",SUMIFS(Comparison_Lookup,site_level_range_board,$B152,date_range_board,K145),TEXT(SUMIFS(Comparison_Lookup,site_level_range_board,$B152,date_range_board,K145)/SUMIFS(All_Attendances,site_level_range_board,$B152,date_range_board,K145),"0.0%"))),"")</f>
        <v>84.5%</v>
      </c>
      <c r="L152" s="165" t="str">
        <f ca="1">IFERROR(IF(ISNUMBER(FIND("ED only",$B$4)),IF(LEFT($B$7,6)="Number",SUMIFS(Comparison_Lookup,site_level_range_board,$B152,date_range_board,L145,inputdata!$F:$F,"ED"),TEXT(SUMIFS(Comparison_Lookup,site_level_range_board,$B152,date_range_board,L145,inputdata!$F:$F,"ED")/SUMIFS(All_Attendances,site_level_range_board,$B152,date_range_board,L145,inputdata!$F:$F,"ED"),"0.0%")),IF(LEFT($B$7,6)="Number",SUMIFS(Comparison_Lookup,site_level_range_board,$B152,date_range_board,L145),TEXT(SUMIFS(Comparison_Lookup,site_level_range_board,$B152,date_range_board,L145)/SUMIFS(All_Attendances,site_level_range_board,$B152,date_range_board,L145),"0.0%"))),"")</f>
        <v>79.9%</v>
      </c>
      <c r="M152" s="165" t="str">
        <f ca="1">IFERROR(IF(ISNUMBER(FIND("ED only",$B$4)),IF(LEFT($B$7,6)="Number",SUMIFS(Comparison_Lookup,site_level_range_board,$B152,date_range_board,M145,inputdata!$F:$F,"ED"),TEXT(SUMIFS(Comparison_Lookup,site_level_range_board,$B152,date_range_board,M145,inputdata!$F:$F,"ED")/SUMIFS(All_Attendances,site_level_range_board,$B152,date_range_board,M145,inputdata!$F:$F,"ED"),"0.0%")),IF(LEFT($B$7,6)="Number",SUMIFS(Comparison_Lookup,site_level_range_board,$B152,date_range_board,M145),TEXT(SUMIFS(Comparison_Lookup,site_level_range_board,$B152,date_range_board,M145)/SUMIFS(All_Attendances,site_level_range_board,$B152,date_range_board,M145),"0.0%"))),"")</f>
        <v>79.6%</v>
      </c>
      <c r="N152" s="171" t="str">
        <f ca="1">IFERROR(IF(ISNUMBER(FIND("ED only",$B$4)),IF(LEFT($B$7,6)="Number",SUMIFS(Comparison_Lookup,site_level_range_board,$B152,date_range_board,N145,inputdata!$F:$F,"ED"),TEXT(SUMIFS(Comparison_Lookup,site_level_range_board,$B152,date_range_board,N145,inputdata!$F:$F,"ED")/SUMIFS(All_Attendances,site_level_range_board,$B152,date_range_board,N145,inputdata!$F:$F,"ED"),"0.0%")),IF(LEFT($B$7,6)="Number",SUMIFS(Comparison_Lookup,site_level_range_board,$B152,date_range_board,N145),TEXT(SUMIFS(Comparison_Lookup,site_level_range_board,$B152,date_range_board,N145)/SUMIFS(All_Attendances,site_level_range_board,$B152,date_range_board,N145),"0.0%"))),"")</f>
        <v>88.5%</v>
      </c>
    </row>
    <row r="153" spans="1:14" ht="15" customHeight="1" x14ac:dyDescent="0.2">
      <c r="A153" s="132"/>
      <c r="B153" s="152" t="s">
        <v>510</v>
      </c>
      <c r="C153" s="165" t="str">
        <f ca="1">IFERROR(IF(ISNUMBER(FIND("ED only",$B$4)),IF(LEFT($B$7,6)="Number",SUMIFS(Comparison_Lookup,site_level_range_board,$B153,date_range_board,C145,inputdata!$F:$F,"ED"),TEXT(SUMIFS(Comparison_Lookup,site_level_range_board,$B153,date_range_board,C145,inputdata!$F:$F,"ED")/SUMIFS(All_Attendances,site_level_range_board,$B153,date_range_board,C145,inputdata!$F:$F,"ED"),"0.0%")),IF(LEFT($B$7,6)="Number",SUMIFS(Comparison_Lookup,site_level_range_board,$B153,date_range_board,C145),TEXT(SUMIFS(Comparison_Lookup,site_level_range_board,$B153,date_range_board,C145)/SUMIFS(All_Attendances,site_level_range_board,$B153,date_range_board,C145),"0.0%"))),"")</f>
        <v>97.1%</v>
      </c>
      <c r="D153" s="165" t="str">
        <f ca="1">IFERROR(IF(ISNUMBER(FIND("ED only",$B$4)),IF(LEFT($B$7,6)="Number",SUMIFS(Comparison_Lookup,site_level_range_board,$B153,date_range_board,D145,inputdata!$F:$F,"ED"),TEXT(SUMIFS(Comparison_Lookup,site_level_range_board,$B153,date_range_board,D145,inputdata!$F:$F,"ED")/SUMIFS(All_Attendances,site_level_range_board,$B153,date_range_board,D145,inputdata!$F:$F,"ED"),"0.0%")),IF(LEFT($B$7,6)="Number",SUMIFS(Comparison_Lookup,site_level_range_board,$B153,date_range_board,D145),TEXT(SUMIFS(Comparison_Lookup,site_level_range_board,$B153,date_range_board,D145)/SUMIFS(All_Attendances,site_level_range_board,$B153,date_range_board,D145),"0.0%"))),"")</f>
        <v>96.2%</v>
      </c>
      <c r="E153" s="165" t="str">
        <f ca="1">IFERROR(IF(ISNUMBER(FIND("ED only",$B$4)),IF(LEFT($B$7,6)="Number",SUMIFS(Comparison_Lookup,site_level_range_board,$B153,date_range_board,E145,inputdata!$F:$F,"ED"),TEXT(SUMIFS(Comparison_Lookup,site_level_range_board,$B153,date_range_board,E145,inputdata!$F:$F,"ED")/SUMIFS(All_Attendances,site_level_range_board,$B153,date_range_board,E145,inputdata!$F:$F,"ED"),"0.0%")),IF(LEFT($B$7,6)="Number",SUMIFS(Comparison_Lookup,site_level_range_board,$B153,date_range_board,E145),TEXT(SUMIFS(Comparison_Lookup,site_level_range_board,$B153,date_range_board,E145)/SUMIFS(All_Attendances,site_level_range_board,$B153,date_range_board,E145),"0.0%"))),"")</f>
        <v>97.2%</v>
      </c>
      <c r="F153" s="165" t="str">
        <f ca="1">IFERROR(IF(ISNUMBER(FIND("ED only",$B$4)),IF(LEFT($B$7,6)="Number",SUMIFS(Comparison_Lookup,site_level_range_board,$B153,date_range_board,F145,inputdata!$F:$F,"ED"),TEXT(SUMIFS(Comparison_Lookup,site_level_range_board,$B153,date_range_board,F145,inputdata!$F:$F,"ED")/SUMIFS(All_Attendances,site_level_range_board,$B153,date_range_board,F145,inputdata!$F:$F,"ED"),"0.0%")),IF(LEFT($B$7,6)="Number",SUMIFS(Comparison_Lookup,site_level_range_board,$B153,date_range_board,F145),TEXT(SUMIFS(Comparison_Lookup,site_level_range_board,$B153,date_range_board,F145)/SUMIFS(All_Attendances,site_level_range_board,$B153,date_range_board,F145),"0.0%"))),"")</f>
        <v>97.6%</v>
      </c>
      <c r="G153" s="165" t="str">
        <f ca="1">IFERROR(IF(ISNUMBER(FIND("ED only",$B$4)),IF(LEFT($B$7,6)="Number",SUMIFS(Comparison_Lookup,site_level_range_board,$B153,date_range_board,G145,inputdata!$F:$F,"ED"),TEXT(SUMIFS(Comparison_Lookup,site_level_range_board,$B153,date_range_board,G145,inputdata!$F:$F,"ED")/SUMIFS(All_Attendances,site_level_range_board,$B153,date_range_board,G145,inputdata!$F:$F,"ED"),"0.0%")),IF(LEFT($B$7,6)="Number",SUMIFS(Comparison_Lookup,site_level_range_board,$B153,date_range_board,G145),TEXT(SUMIFS(Comparison_Lookup,site_level_range_board,$B153,date_range_board,G145)/SUMIFS(All_Attendances,site_level_range_board,$B153,date_range_board,G145),"0.0%"))),"")</f>
        <v>96.9%</v>
      </c>
      <c r="H153" s="165" t="str">
        <f ca="1">IFERROR(IF(ISNUMBER(FIND("ED only",$B$4)),IF(LEFT($B$7,6)="Number",SUMIFS(Comparison_Lookup,site_level_range_board,$B153,date_range_board,H145,inputdata!$F:$F,"ED"),TEXT(SUMIFS(Comparison_Lookup,site_level_range_board,$B153,date_range_board,H145,inputdata!$F:$F,"ED")/SUMIFS(All_Attendances,site_level_range_board,$B153,date_range_board,H145,inputdata!$F:$F,"ED"),"0.0%")),IF(LEFT($B$7,6)="Number",SUMIFS(Comparison_Lookup,site_level_range_board,$B153,date_range_board,H145),TEXT(SUMIFS(Comparison_Lookup,site_level_range_board,$B153,date_range_board,H145)/SUMIFS(All_Attendances,site_level_range_board,$B153,date_range_board,H145),"0.0%"))),"")</f>
        <v>97.2%</v>
      </c>
      <c r="I153" s="165" t="str">
        <f ca="1">IFERROR(IF(ISNUMBER(FIND("ED only",$B$4)),IF(LEFT($B$7,6)="Number",SUMIFS(Comparison_Lookup,site_level_range_board,$B153,date_range_board,I145,inputdata!$F:$F,"ED"),TEXT(SUMIFS(Comparison_Lookup,site_level_range_board,$B153,date_range_board,I145,inputdata!$F:$F,"ED")/SUMIFS(All_Attendances,site_level_range_board,$B153,date_range_board,I145,inputdata!$F:$F,"ED"),"0.0%")),IF(LEFT($B$7,6)="Number",SUMIFS(Comparison_Lookup,site_level_range_board,$B153,date_range_board,I145),TEXT(SUMIFS(Comparison_Lookup,site_level_range_board,$B153,date_range_board,I145)/SUMIFS(All_Attendances,site_level_range_board,$B153,date_range_board,I145),"0.0%"))),"")</f>
        <v>96.8%</v>
      </c>
      <c r="J153" s="165" t="str">
        <f ca="1">IFERROR(IF(ISNUMBER(FIND("ED only",$B$4)),IF(LEFT($B$7,6)="Number",SUMIFS(Comparison_Lookup,site_level_range_board,$B153,date_range_board,J145,inputdata!$F:$F,"ED"),TEXT(SUMIFS(Comparison_Lookup,site_level_range_board,$B153,date_range_board,J145,inputdata!$F:$F,"ED")/SUMIFS(All_Attendances,site_level_range_board,$B153,date_range_board,J145,inputdata!$F:$F,"ED"),"0.0%")),IF(LEFT($B$7,6)="Number",SUMIFS(Comparison_Lookup,site_level_range_board,$B153,date_range_board,J145),TEXT(SUMIFS(Comparison_Lookup,site_level_range_board,$B153,date_range_board,J145)/SUMIFS(All_Attendances,site_level_range_board,$B153,date_range_board,J145),"0.0%"))),"")</f>
        <v>97.7%</v>
      </c>
      <c r="K153" s="165" t="str">
        <f ca="1">IFERROR(IF(ISNUMBER(FIND("ED only",$B$4)),IF(LEFT($B$7,6)="Number",SUMIFS(Comparison_Lookup,site_level_range_board,$B153,date_range_board,K145,inputdata!$F:$F,"ED"),TEXT(SUMIFS(Comparison_Lookup,site_level_range_board,$B153,date_range_board,K145,inputdata!$F:$F,"ED")/SUMIFS(All_Attendances,site_level_range_board,$B153,date_range_board,K145,inputdata!$F:$F,"ED"),"0.0%")),IF(LEFT($B$7,6)="Number",SUMIFS(Comparison_Lookup,site_level_range_board,$B153,date_range_board,K145),TEXT(SUMIFS(Comparison_Lookup,site_level_range_board,$B153,date_range_board,K145)/SUMIFS(All_Attendances,site_level_range_board,$B153,date_range_board,K145),"0.0%"))),"")</f>
        <v>96.9%</v>
      </c>
      <c r="L153" s="165" t="str">
        <f ca="1">IFERROR(IF(ISNUMBER(FIND("ED only",$B$4)),IF(LEFT($B$7,6)="Number",SUMIFS(Comparison_Lookup,site_level_range_board,$B153,date_range_board,L145,inputdata!$F:$F,"ED"),TEXT(SUMIFS(Comparison_Lookup,site_level_range_board,$B153,date_range_board,L145,inputdata!$F:$F,"ED")/SUMIFS(All_Attendances,site_level_range_board,$B153,date_range_board,L145,inputdata!$F:$F,"ED"),"0.0%")),IF(LEFT($B$7,6)="Number",SUMIFS(Comparison_Lookup,site_level_range_board,$B153,date_range_board,L145),TEXT(SUMIFS(Comparison_Lookup,site_level_range_board,$B153,date_range_board,L145)/SUMIFS(All_Attendances,site_level_range_board,$B153,date_range_board,L145),"0.0%"))),"")</f>
        <v>96.8%</v>
      </c>
      <c r="M153" s="165" t="str">
        <f ca="1">IFERROR(IF(ISNUMBER(FIND("ED only",$B$4)),IF(LEFT($B$7,6)="Number",SUMIFS(Comparison_Lookup,site_level_range_board,$B153,date_range_board,M145,inputdata!$F:$F,"ED"),TEXT(SUMIFS(Comparison_Lookup,site_level_range_board,$B153,date_range_board,M145,inputdata!$F:$F,"ED")/SUMIFS(All_Attendances,site_level_range_board,$B153,date_range_board,M145,inputdata!$F:$F,"ED"),"0.0%")),IF(LEFT($B$7,6)="Number",SUMIFS(Comparison_Lookup,site_level_range_board,$B153,date_range_board,M145),TEXT(SUMIFS(Comparison_Lookup,site_level_range_board,$B153,date_range_board,M145)/SUMIFS(All_Attendances,site_level_range_board,$B153,date_range_board,M145),"0.0%"))),"")</f>
        <v>96.7%</v>
      </c>
      <c r="N153" s="171" t="str">
        <f ca="1">IFERROR(IF(ISNUMBER(FIND("ED only",$B$4)),IF(LEFT($B$7,6)="Number",SUMIFS(Comparison_Lookup,site_level_range_board,$B153,date_range_board,N145,inputdata!$F:$F,"ED"),TEXT(SUMIFS(Comparison_Lookup,site_level_range_board,$B153,date_range_board,N145,inputdata!$F:$F,"ED")/SUMIFS(All_Attendances,site_level_range_board,$B153,date_range_board,N145,inputdata!$F:$F,"ED"),"0.0%")),IF(LEFT($B$7,6)="Number",SUMIFS(Comparison_Lookup,site_level_range_board,$B153,date_range_board,N145),TEXT(SUMIFS(Comparison_Lookup,site_level_range_board,$B153,date_range_board,N145)/SUMIFS(All_Attendances,site_level_range_board,$B153,date_range_board,N145),"0.0%"))),"")</f>
        <v>97.4%</v>
      </c>
    </row>
    <row r="154" spans="1:14" ht="15" customHeight="1" x14ac:dyDescent="0.2">
      <c r="A154" s="132"/>
      <c r="B154" s="152" t="s">
        <v>551</v>
      </c>
      <c r="C154" s="165" t="str">
        <f ca="1">IFERROR(IF(ISNUMBER(FIND("ED only",$B$4)),IF(LEFT($B$7,6)="Number",SUMIFS(Comparison_Lookup,site_level_range_board,$B154,date_range_board,C145,inputdata!$F:$F,"ED"),TEXT(SUMIFS(Comparison_Lookup,site_level_range_board,$B154,date_range_board,C145,inputdata!$F:$F,"ED")/SUMIFS(All_Attendances,site_level_range_board,$B154,date_range_board,C145,inputdata!$F:$F,"ED"),"0.0%")),IF(LEFT($B$7,6)="Number",SUMIFS(Comparison_Lookup,site_level_range_board,$B154,date_range_board,C145),TEXT(SUMIFS(Comparison_Lookup,site_level_range_board,$B154,date_range_board,C145)/SUMIFS(All_Attendances,site_level_range_board,$B154,date_range_board,C145),"0.0%"))),"")</f>
        <v>88.5%</v>
      </c>
      <c r="D154" s="165" t="str">
        <f ca="1">IFERROR(IF(ISNUMBER(FIND("ED only",$B$4)),IF(LEFT($B$7,6)="Number",SUMIFS(Comparison_Lookup,site_level_range_board,$B154,date_range_board,D145,inputdata!$F:$F,"ED"),TEXT(SUMIFS(Comparison_Lookup,site_level_range_board,$B154,date_range_board,D145,inputdata!$F:$F,"ED")/SUMIFS(All_Attendances,site_level_range_board,$B154,date_range_board,D145,inputdata!$F:$F,"ED"),"0.0%")),IF(LEFT($B$7,6)="Number",SUMIFS(Comparison_Lookup,site_level_range_board,$B154,date_range_board,D145),TEXT(SUMIFS(Comparison_Lookup,site_level_range_board,$B154,date_range_board,D145)/SUMIFS(All_Attendances,site_level_range_board,$B154,date_range_board,D145),"0.0%"))),"")</f>
        <v>87.5%</v>
      </c>
      <c r="E154" s="165" t="str">
        <f ca="1">IFERROR(IF(ISNUMBER(FIND("ED only",$B$4)),IF(LEFT($B$7,6)="Number",SUMIFS(Comparison_Lookup,site_level_range_board,$B154,date_range_board,E145,inputdata!$F:$F,"ED"),TEXT(SUMIFS(Comparison_Lookup,site_level_range_board,$B154,date_range_board,E145,inputdata!$F:$F,"ED")/SUMIFS(All_Attendances,site_level_range_board,$B154,date_range_board,E145,inputdata!$F:$F,"ED"),"0.0%")),IF(LEFT($B$7,6)="Number",SUMIFS(Comparison_Lookup,site_level_range_board,$B154,date_range_board,E145),TEXT(SUMIFS(Comparison_Lookup,site_level_range_board,$B154,date_range_board,E145)/SUMIFS(All_Attendances,site_level_range_board,$B154,date_range_board,E145),"0.0%"))),"")</f>
        <v>89.7%</v>
      </c>
      <c r="F154" s="165" t="str">
        <f ca="1">IFERROR(IF(ISNUMBER(FIND("ED only",$B$4)),IF(LEFT($B$7,6)="Number",SUMIFS(Comparison_Lookup,site_level_range_board,$B154,date_range_board,F145,inputdata!$F:$F,"ED"),TEXT(SUMIFS(Comparison_Lookup,site_level_range_board,$B154,date_range_board,F145,inputdata!$F:$F,"ED")/SUMIFS(All_Attendances,site_level_range_board,$B154,date_range_board,F145,inputdata!$F:$F,"ED"),"0.0%")),IF(LEFT($B$7,6)="Number",SUMIFS(Comparison_Lookup,site_level_range_board,$B154,date_range_board,F145),TEXT(SUMIFS(Comparison_Lookup,site_level_range_board,$B154,date_range_board,F145)/SUMIFS(All_Attendances,site_level_range_board,$B154,date_range_board,F145),"0.0%"))),"")</f>
        <v>89.7%</v>
      </c>
      <c r="G154" s="165" t="str">
        <f ca="1">IFERROR(IF(ISNUMBER(FIND("ED only",$B$4)),IF(LEFT($B$7,6)="Number",SUMIFS(Comparison_Lookup,site_level_range_board,$B154,date_range_board,G145,inputdata!$F:$F,"ED"),TEXT(SUMIFS(Comparison_Lookup,site_level_range_board,$B154,date_range_board,G145,inputdata!$F:$F,"ED")/SUMIFS(All_Attendances,site_level_range_board,$B154,date_range_board,G145,inputdata!$F:$F,"ED"),"0.0%")),IF(LEFT($B$7,6)="Number",SUMIFS(Comparison_Lookup,site_level_range_board,$B154,date_range_board,G145),TEXT(SUMIFS(Comparison_Lookup,site_level_range_board,$B154,date_range_board,G145)/SUMIFS(All_Attendances,site_level_range_board,$B154,date_range_board,G145),"0.0%"))),"")</f>
        <v>90.2%</v>
      </c>
      <c r="H154" s="165" t="str">
        <f ca="1">IFERROR(IF(ISNUMBER(FIND("ED only",$B$4)),IF(LEFT($B$7,6)="Number",SUMIFS(Comparison_Lookup,site_level_range_board,$B154,date_range_board,H145,inputdata!$F:$F,"ED"),TEXT(SUMIFS(Comparison_Lookup,site_level_range_board,$B154,date_range_board,H145,inputdata!$F:$F,"ED")/SUMIFS(All_Attendances,site_level_range_board,$B154,date_range_board,H145,inputdata!$F:$F,"ED"),"0.0%")),IF(LEFT($B$7,6)="Number",SUMIFS(Comparison_Lookup,site_level_range_board,$B154,date_range_board,H145),TEXT(SUMIFS(Comparison_Lookup,site_level_range_board,$B154,date_range_board,H145)/SUMIFS(All_Attendances,site_level_range_board,$B154,date_range_board,H145),"0.0%"))),"")</f>
        <v>88.2%</v>
      </c>
      <c r="I154" s="165" t="str">
        <f ca="1">IFERROR(IF(ISNUMBER(FIND("ED only",$B$4)),IF(LEFT($B$7,6)="Number",SUMIFS(Comparison_Lookup,site_level_range_board,$B154,date_range_board,I145,inputdata!$F:$F,"ED"),TEXT(SUMIFS(Comparison_Lookup,site_level_range_board,$B154,date_range_board,I145,inputdata!$F:$F,"ED")/SUMIFS(All_Attendances,site_level_range_board,$B154,date_range_board,I145,inputdata!$F:$F,"ED"),"0.0%")),IF(LEFT($B$7,6)="Number",SUMIFS(Comparison_Lookup,site_level_range_board,$B154,date_range_board,I145),TEXT(SUMIFS(Comparison_Lookup,site_level_range_board,$B154,date_range_board,I145)/SUMIFS(All_Attendances,site_level_range_board,$B154,date_range_board,I145),"0.0%"))),"")</f>
        <v>87.0%</v>
      </c>
      <c r="J154" s="165" t="str">
        <f ca="1">IFERROR(IF(ISNUMBER(FIND("ED only",$B$4)),IF(LEFT($B$7,6)="Number",SUMIFS(Comparison_Lookup,site_level_range_board,$B154,date_range_board,J145,inputdata!$F:$F,"ED"),TEXT(SUMIFS(Comparison_Lookup,site_level_range_board,$B154,date_range_board,J145,inputdata!$F:$F,"ED")/SUMIFS(All_Attendances,site_level_range_board,$B154,date_range_board,J145,inputdata!$F:$F,"ED"),"0.0%")),IF(LEFT($B$7,6)="Number",SUMIFS(Comparison_Lookup,site_level_range_board,$B154,date_range_board,J145),TEXT(SUMIFS(Comparison_Lookup,site_level_range_board,$B154,date_range_board,J145)/SUMIFS(All_Attendances,site_level_range_board,$B154,date_range_board,J145),"0.0%"))),"")</f>
        <v>83.0%</v>
      </c>
      <c r="K154" s="165" t="str">
        <f ca="1">IFERROR(IF(ISNUMBER(FIND("ED only",$B$4)),IF(LEFT($B$7,6)="Number",SUMIFS(Comparison_Lookup,site_level_range_board,$B154,date_range_board,K145,inputdata!$F:$F,"ED"),TEXT(SUMIFS(Comparison_Lookup,site_level_range_board,$B154,date_range_board,K145,inputdata!$F:$F,"ED")/SUMIFS(All_Attendances,site_level_range_board,$B154,date_range_board,K145,inputdata!$F:$F,"ED"),"0.0%")),IF(LEFT($B$7,6)="Number",SUMIFS(Comparison_Lookup,site_level_range_board,$B154,date_range_board,K145),TEXT(SUMIFS(Comparison_Lookup,site_level_range_board,$B154,date_range_board,K145)/SUMIFS(All_Attendances,site_level_range_board,$B154,date_range_board,K145),"0.0%"))),"")</f>
        <v>86.5%</v>
      </c>
      <c r="L154" s="165" t="str">
        <f ca="1">IFERROR(IF(ISNUMBER(FIND("ED only",$B$4)),IF(LEFT($B$7,6)="Number",SUMIFS(Comparison_Lookup,site_level_range_board,$B154,date_range_board,L145,inputdata!$F:$F,"ED"),TEXT(SUMIFS(Comparison_Lookup,site_level_range_board,$B154,date_range_board,L145,inputdata!$F:$F,"ED")/SUMIFS(All_Attendances,site_level_range_board,$B154,date_range_board,L145,inputdata!$F:$F,"ED"),"0.0%")),IF(LEFT($B$7,6)="Number",SUMIFS(Comparison_Lookup,site_level_range_board,$B154,date_range_board,L145),TEXT(SUMIFS(Comparison_Lookup,site_level_range_board,$B154,date_range_board,L145)/SUMIFS(All_Attendances,site_level_range_board,$B154,date_range_board,L145),"0.0%"))),"")</f>
        <v>87.0%</v>
      </c>
      <c r="M154" s="165" t="str">
        <f ca="1">IFERROR(IF(ISNUMBER(FIND("ED only",$B$4)),IF(LEFT($B$7,6)="Number",SUMIFS(Comparison_Lookup,site_level_range_board,$B154,date_range_board,M145,inputdata!$F:$F,"ED"),TEXT(SUMIFS(Comparison_Lookup,site_level_range_board,$B154,date_range_board,M145,inputdata!$F:$F,"ED")/SUMIFS(All_Attendances,site_level_range_board,$B154,date_range_board,M145,inputdata!$F:$F,"ED"),"0.0%")),IF(LEFT($B$7,6)="Number",SUMIFS(Comparison_Lookup,site_level_range_board,$B154,date_range_board,M145),TEXT(SUMIFS(Comparison_Lookup,site_level_range_board,$B154,date_range_board,M145)/SUMIFS(All_Attendances,site_level_range_board,$B154,date_range_board,M145),"0.0%"))),"")</f>
        <v>85.5%</v>
      </c>
      <c r="N154" s="171" t="str">
        <f ca="1">IFERROR(IF(ISNUMBER(FIND("ED only",$B$4)),IF(LEFT($B$7,6)="Number",SUMIFS(Comparison_Lookup,site_level_range_board,$B154,date_range_board,N145,inputdata!$F:$F,"ED"),TEXT(SUMIFS(Comparison_Lookup,site_level_range_board,$B154,date_range_board,N145,inputdata!$F:$F,"ED")/SUMIFS(All_Attendances,site_level_range_board,$B154,date_range_board,N145,inputdata!$F:$F,"ED"),"0.0%")),IF(LEFT($B$7,6)="Number",SUMIFS(Comparison_Lookup,site_level_range_board,$B154,date_range_board,N145),TEXT(SUMIFS(Comparison_Lookup,site_level_range_board,$B154,date_range_board,N145)/SUMIFS(All_Attendances,site_level_range_board,$B154,date_range_board,N145),"0.0%"))),"")</f>
        <v>91.8%</v>
      </c>
    </row>
    <row r="155" spans="1:14" ht="15" customHeight="1" x14ac:dyDescent="0.2">
      <c r="A155" s="132"/>
      <c r="B155" s="152" t="s">
        <v>562</v>
      </c>
      <c r="C155" s="165" t="str">
        <f ca="1">IFERROR(IF(ISNUMBER(FIND("ED only",$B$4)),IF(LEFT($B$7,6)="Number",SUMIFS(Comparison_Lookup,site_level_range_board,$B155,date_range_board,C145,inputdata!$F:$F,"ED"),TEXT(SUMIFS(Comparison_Lookup,site_level_range_board,$B155,date_range_board,C145,inputdata!$F:$F,"ED")/SUMIFS(All_Attendances,site_level_range_board,$B155,date_range_board,C145,inputdata!$F:$F,"ED"),"0.0%")),IF(LEFT($B$7,6)="Number",SUMIFS(Comparison_Lookup,site_level_range_board,$B155,date_range_board,C145),TEXT(SUMIFS(Comparison_Lookup,site_level_range_board,$B155,date_range_board,C145)/SUMIFS(All_Attendances,site_level_range_board,$B155,date_range_board,C145),"0.0%"))),"")</f>
        <v>93.7%</v>
      </c>
      <c r="D155" s="165" t="str">
        <f ca="1">IFERROR(IF(ISNUMBER(FIND("ED only",$B$4)),IF(LEFT($B$7,6)="Number",SUMIFS(Comparison_Lookup,site_level_range_board,$B155,date_range_board,D145,inputdata!$F:$F,"ED"),TEXT(SUMIFS(Comparison_Lookup,site_level_range_board,$B155,date_range_board,D145,inputdata!$F:$F,"ED")/SUMIFS(All_Attendances,site_level_range_board,$B155,date_range_board,D145,inputdata!$F:$F,"ED"),"0.0%")),IF(LEFT($B$7,6)="Number",SUMIFS(Comparison_Lookup,site_level_range_board,$B155,date_range_board,D145),TEXT(SUMIFS(Comparison_Lookup,site_level_range_board,$B155,date_range_board,D145)/SUMIFS(All_Attendances,site_level_range_board,$B155,date_range_board,D145),"0.0%"))),"")</f>
        <v>93.9%</v>
      </c>
      <c r="E155" s="165" t="str">
        <f ca="1">IFERROR(IF(ISNUMBER(FIND("ED only",$B$4)),IF(LEFT($B$7,6)="Number",SUMIFS(Comparison_Lookup,site_level_range_board,$B155,date_range_board,E145,inputdata!$F:$F,"ED"),TEXT(SUMIFS(Comparison_Lookup,site_level_range_board,$B155,date_range_board,E145,inputdata!$F:$F,"ED")/SUMIFS(All_Attendances,site_level_range_board,$B155,date_range_board,E145,inputdata!$F:$F,"ED"),"0.0%")),IF(LEFT($B$7,6)="Number",SUMIFS(Comparison_Lookup,site_level_range_board,$B155,date_range_board,E145),TEXT(SUMIFS(Comparison_Lookup,site_level_range_board,$B155,date_range_board,E145)/SUMIFS(All_Attendances,site_level_range_board,$B155,date_range_board,E145),"0.0%"))),"")</f>
        <v>94.6%</v>
      </c>
      <c r="F155" s="165" t="str">
        <f ca="1">IFERROR(IF(ISNUMBER(FIND("ED only",$B$4)),IF(LEFT($B$7,6)="Number",SUMIFS(Comparison_Lookup,site_level_range_board,$B155,date_range_board,F145,inputdata!$F:$F,"ED"),TEXT(SUMIFS(Comparison_Lookup,site_level_range_board,$B155,date_range_board,F145,inputdata!$F:$F,"ED")/SUMIFS(All_Attendances,site_level_range_board,$B155,date_range_board,F145,inputdata!$F:$F,"ED"),"0.0%")),IF(LEFT($B$7,6)="Number",SUMIFS(Comparison_Lookup,site_level_range_board,$B155,date_range_board,F145),TEXT(SUMIFS(Comparison_Lookup,site_level_range_board,$B155,date_range_board,F145)/SUMIFS(All_Attendances,site_level_range_board,$B155,date_range_board,F145),"0.0%"))),"")</f>
        <v>94.5%</v>
      </c>
      <c r="G155" s="165" t="str">
        <f ca="1">IFERROR(IF(ISNUMBER(FIND("ED only",$B$4)),IF(LEFT($B$7,6)="Number",SUMIFS(Comparison_Lookup,site_level_range_board,$B155,date_range_board,G145,inputdata!$F:$F,"ED"),TEXT(SUMIFS(Comparison_Lookup,site_level_range_board,$B155,date_range_board,G145,inputdata!$F:$F,"ED")/SUMIFS(All_Attendances,site_level_range_board,$B155,date_range_board,G145,inputdata!$F:$F,"ED"),"0.0%")),IF(LEFT($B$7,6)="Number",SUMIFS(Comparison_Lookup,site_level_range_board,$B155,date_range_board,G145),TEXT(SUMIFS(Comparison_Lookup,site_level_range_board,$B155,date_range_board,G145)/SUMIFS(All_Attendances,site_level_range_board,$B155,date_range_board,G145),"0.0%"))),"")</f>
        <v>93.0%</v>
      </c>
      <c r="H155" s="165" t="str">
        <f ca="1">IFERROR(IF(ISNUMBER(FIND("ED only",$B$4)),IF(LEFT($B$7,6)="Number",SUMIFS(Comparison_Lookup,site_level_range_board,$B155,date_range_board,H145,inputdata!$F:$F,"ED"),TEXT(SUMIFS(Comparison_Lookup,site_level_range_board,$B155,date_range_board,H145,inputdata!$F:$F,"ED")/SUMIFS(All_Attendances,site_level_range_board,$B155,date_range_board,H145,inputdata!$F:$F,"ED"),"0.0%")),IF(LEFT($B$7,6)="Number",SUMIFS(Comparison_Lookup,site_level_range_board,$B155,date_range_board,H145),TEXT(SUMIFS(Comparison_Lookup,site_level_range_board,$B155,date_range_board,H145)/SUMIFS(All_Attendances,site_level_range_board,$B155,date_range_board,H145),"0.0%"))),"")</f>
        <v>93.9%</v>
      </c>
      <c r="I155" s="165" t="str">
        <f ca="1">IFERROR(IF(ISNUMBER(FIND("ED only",$B$4)),IF(LEFT($B$7,6)="Number",SUMIFS(Comparison_Lookup,site_level_range_board,$B155,date_range_board,I145,inputdata!$F:$F,"ED"),TEXT(SUMIFS(Comparison_Lookup,site_level_range_board,$B155,date_range_board,I145,inputdata!$F:$F,"ED")/SUMIFS(All_Attendances,site_level_range_board,$B155,date_range_board,I145,inputdata!$F:$F,"ED"),"0.0%")),IF(LEFT($B$7,6)="Number",SUMIFS(Comparison_Lookup,site_level_range_board,$B155,date_range_board,I145),TEXT(SUMIFS(Comparison_Lookup,site_level_range_board,$B155,date_range_board,I145)/SUMIFS(All_Attendances,site_level_range_board,$B155,date_range_board,I145),"0.0%"))),"")</f>
        <v>92.7%</v>
      </c>
      <c r="J155" s="165" t="str">
        <f ca="1">IFERROR(IF(ISNUMBER(FIND("ED only",$B$4)),IF(LEFT($B$7,6)="Number",SUMIFS(Comparison_Lookup,site_level_range_board,$B155,date_range_board,J145,inputdata!$F:$F,"ED"),TEXT(SUMIFS(Comparison_Lookup,site_level_range_board,$B155,date_range_board,J145,inputdata!$F:$F,"ED")/SUMIFS(All_Attendances,site_level_range_board,$B155,date_range_board,J145,inputdata!$F:$F,"ED"),"0.0%")),IF(LEFT($B$7,6)="Number",SUMIFS(Comparison_Lookup,site_level_range_board,$B155,date_range_board,J145),TEXT(SUMIFS(Comparison_Lookup,site_level_range_board,$B155,date_range_board,J145)/SUMIFS(All_Attendances,site_level_range_board,$B155,date_range_board,J145),"0.0%"))),"")</f>
        <v>94.2%</v>
      </c>
      <c r="K155" s="165" t="str">
        <f ca="1">IFERROR(IF(ISNUMBER(FIND("ED only",$B$4)),IF(LEFT($B$7,6)="Number",SUMIFS(Comparison_Lookup,site_level_range_board,$B155,date_range_board,K145,inputdata!$F:$F,"ED"),TEXT(SUMIFS(Comparison_Lookup,site_level_range_board,$B155,date_range_board,K145,inputdata!$F:$F,"ED")/SUMIFS(All_Attendances,site_level_range_board,$B155,date_range_board,K145,inputdata!$F:$F,"ED"),"0.0%")),IF(LEFT($B$7,6)="Number",SUMIFS(Comparison_Lookup,site_level_range_board,$B155,date_range_board,K145),TEXT(SUMIFS(Comparison_Lookup,site_level_range_board,$B155,date_range_board,K145)/SUMIFS(All_Attendances,site_level_range_board,$B155,date_range_board,K145),"0.0%"))),"")</f>
        <v>92.4%</v>
      </c>
      <c r="L155" s="165" t="str">
        <f ca="1">IFERROR(IF(ISNUMBER(FIND("ED only",$B$4)),IF(LEFT($B$7,6)="Number",SUMIFS(Comparison_Lookup,site_level_range_board,$B155,date_range_board,L145,inputdata!$F:$F,"ED"),TEXT(SUMIFS(Comparison_Lookup,site_level_range_board,$B155,date_range_board,L145,inputdata!$F:$F,"ED")/SUMIFS(All_Attendances,site_level_range_board,$B155,date_range_board,L145,inputdata!$F:$F,"ED"),"0.0%")),IF(LEFT($B$7,6)="Number",SUMIFS(Comparison_Lookup,site_level_range_board,$B155,date_range_board,L145),TEXT(SUMIFS(Comparison_Lookup,site_level_range_board,$B155,date_range_board,L145)/SUMIFS(All_Attendances,site_level_range_board,$B155,date_range_board,L145),"0.0%"))),"")</f>
        <v>87.2%</v>
      </c>
      <c r="M155" s="165" t="str">
        <f ca="1">IFERROR(IF(ISNUMBER(FIND("ED only",$B$4)),IF(LEFT($B$7,6)="Number",SUMIFS(Comparison_Lookup,site_level_range_board,$B155,date_range_board,M145,inputdata!$F:$F,"ED"),TEXT(SUMIFS(Comparison_Lookup,site_level_range_board,$B155,date_range_board,M145,inputdata!$F:$F,"ED")/SUMIFS(All_Attendances,site_level_range_board,$B155,date_range_board,M145,inputdata!$F:$F,"ED"),"0.0%")),IF(LEFT($B$7,6)="Number",SUMIFS(Comparison_Lookup,site_level_range_board,$B155,date_range_board,M145),TEXT(SUMIFS(Comparison_Lookup,site_level_range_board,$B155,date_range_board,M145)/SUMIFS(All_Attendances,site_level_range_board,$B155,date_range_board,M145),"0.0%"))),"")</f>
        <v>91.6%</v>
      </c>
      <c r="N155" s="171" t="str">
        <f ca="1">IFERROR(IF(ISNUMBER(FIND("ED only",$B$4)),IF(LEFT($B$7,6)="Number",SUMIFS(Comparison_Lookup,site_level_range_board,$B155,date_range_board,N145,inputdata!$F:$F,"ED"),TEXT(SUMIFS(Comparison_Lookup,site_level_range_board,$B155,date_range_board,N145,inputdata!$F:$F,"ED")/SUMIFS(All_Attendances,site_level_range_board,$B155,date_range_board,N145,inputdata!$F:$F,"ED"),"0.0%")),IF(LEFT($B$7,6)="Number",SUMIFS(Comparison_Lookup,site_level_range_board,$B155,date_range_board,N145),TEXT(SUMIFS(Comparison_Lookup,site_level_range_board,$B155,date_range_board,N145)/SUMIFS(All_Attendances,site_level_range_board,$B155,date_range_board,N145),"0.0%"))),"")</f>
        <v>92.6%</v>
      </c>
    </row>
    <row r="156" spans="1:14" ht="15" customHeight="1" x14ac:dyDescent="0.2">
      <c r="A156" s="132"/>
      <c r="B156" s="152" t="s">
        <v>571</v>
      </c>
      <c r="C156" s="165" t="str">
        <f ca="1">IFERROR(IF(ISNUMBER(FIND("ED only",$B$4)),IF(LEFT($B$7,6)="Number",SUMIFS(Comparison_Lookup,site_level_range_board,$B156,date_range_board,C145,inputdata!$F:$F,"ED"),TEXT(SUMIFS(Comparison_Lookup,site_level_range_board,$B156,date_range_board,C145,inputdata!$F:$F,"ED")/SUMIFS(All_Attendances,site_level_range_board,$B156,date_range_board,C145,inputdata!$F:$F,"ED"),"0.0%")),IF(LEFT($B$7,6)="Number",SUMIFS(Comparison_Lookup,site_level_range_board,$B156,date_range_board,C145),TEXT(SUMIFS(Comparison_Lookup,site_level_range_board,$B156,date_range_board,C145)/SUMIFS(All_Attendances,site_level_range_board,$B156,date_range_board,C145),"0.0%"))),"")</f>
        <v>98.9%</v>
      </c>
      <c r="D156" s="165" t="str">
        <f ca="1">IFERROR(IF(ISNUMBER(FIND("ED only",$B$4)),IF(LEFT($B$7,6)="Number",SUMIFS(Comparison_Lookup,site_level_range_board,$B156,date_range_board,D145,inputdata!$F:$F,"ED"),TEXT(SUMIFS(Comparison_Lookup,site_level_range_board,$B156,date_range_board,D145,inputdata!$F:$F,"ED")/SUMIFS(All_Attendances,site_level_range_board,$B156,date_range_board,D145,inputdata!$F:$F,"ED"),"0.0%")),IF(LEFT($B$7,6)="Number",SUMIFS(Comparison_Lookup,site_level_range_board,$B156,date_range_board,D145),TEXT(SUMIFS(Comparison_Lookup,site_level_range_board,$B156,date_range_board,D145)/SUMIFS(All_Attendances,site_level_range_board,$B156,date_range_board,D145),"0.0%"))),"")</f>
        <v>98.2%</v>
      </c>
      <c r="E156" s="165" t="str">
        <f ca="1">IFERROR(IF(ISNUMBER(FIND("ED only",$B$4)),IF(LEFT($B$7,6)="Number",SUMIFS(Comparison_Lookup,site_level_range_board,$B156,date_range_board,E145,inputdata!$F:$F,"ED"),TEXT(SUMIFS(Comparison_Lookup,site_level_range_board,$B156,date_range_board,E145,inputdata!$F:$F,"ED")/SUMIFS(All_Attendances,site_level_range_board,$B156,date_range_board,E145,inputdata!$F:$F,"ED"),"0.0%")),IF(LEFT($B$7,6)="Number",SUMIFS(Comparison_Lookup,site_level_range_board,$B156,date_range_board,E145),TEXT(SUMIFS(Comparison_Lookup,site_level_range_board,$B156,date_range_board,E145)/SUMIFS(All_Attendances,site_level_range_board,$B156,date_range_board,E145),"0.0%"))),"")</f>
        <v>97.6%</v>
      </c>
      <c r="F156" s="165" t="str">
        <f ca="1">IFERROR(IF(ISNUMBER(FIND("ED only",$B$4)),IF(LEFT($B$7,6)="Number",SUMIFS(Comparison_Lookup,site_level_range_board,$B156,date_range_board,F145,inputdata!$F:$F,"ED"),TEXT(SUMIFS(Comparison_Lookup,site_level_range_board,$B156,date_range_board,F145,inputdata!$F:$F,"ED")/SUMIFS(All_Attendances,site_level_range_board,$B156,date_range_board,F145,inputdata!$F:$F,"ED"),"0.0%")),IF(LEFT($B$7,6)="Number",SUMIFS(Comparison_Lookup,site_level_range_board,$B156,date_range_board,F145),TEXT(SUMIFS(Comparison_Lookup,site_level_range_board,$B156,date_range_board,F145)/SUMIFS(All_Attendances,site_level_range_board,$B156,date_range_board,F145),"0.0%"))),"")</f>
        <v>99.0%</v>
      </c>
      <c r="G156" s="165" t="str">
        <f ca="1">IFERROR(IF(ISNUMBER(FIND("ED only",$B$4)),IF(LEFT($B$7,6)="Number",SUMIFS(Comparison_Lookup,site_level_range_board,$B156,date_range_board,G145,inputdata!$F:$F,"ED"),TEXT(SUMIFS(Comparison_Lookup,site_level_range_board,$B156,date_range_board,G145,inputdata!$F:$F,"ED")/SUMIFS(All_Attendances,site_level_range_board,$B156,date_range_board,G145,inputdata!$F:$F,"ED"),"0.0%")),IF(LEFT($B$7,6)="Number",SUMIFS(Comparison_Lookup,site_level_range_board,$B156,date_range_board,G145),TEXT(SUMIFS(Comparison_Lookup,site_level_range_board,$B156,date_range_board,G145)/SUMIFS(All_Attendances,site_level_range_board,$B156,date_range_board,G145),"0.0%"))),"")</f>
        <v>98.6%</v>
      </c>
      <c r="H156" s="165" t="str">
        <f ca="1">IFERROR(IF(ISNUMBER(FIND("ED only",$B$4)),IF(LEFT($B$7,6)="Number",SUMIFS(Comparison_Lookup,site_level_range_board,$B156,date_range_board,H145,inputdata!$F:$F,"ED"),TEXT(SUMIFS(Comparison_Lookup,site_level_range_board,$B156,date_range_board,H145,inputdata!$F:$F,"ED")/SUMIFS(All_Attendances,site_level_range_board,$B156,date_range_board,H145,inputdata!$F:$F,"ED"),"0.0%")),IF(LEFT($B$7,6)="Number",SUMIFS(Comparison_Lookup,site_level_range_board,$B156,date_range_board,H145),TEXT(SUMIFS(Comparison_Lookup,site_level_range_board,$B156,date_range_board,H145)/SUMIFS(All_Attendances,site_level_range_board,$B156,date_range_board,H145),"0.0%"))),"")</f>
        <v>99.3%</v>
      </c>
      <c r="I156" s="165" t="str">
        <f ca="1">IFERROR(IF(ISNUMBER(FIND("ED only",$B$4)),IF(LEFT($B$7,6)="Number",SUMIFS(Comparison_Lookup,site_level_range_board,$B156,date_range_board,I145,inputdata!$F:$F,"ED"),TEXT(SUMIFS(Comparison_Lookup,site_level_range_board,$B156,date_range_board,I145,inputdata!$F:$F,"ED")/SUMIFS(All_Attendances,site_level_range_board,$B156,date_range_board,I145,inputdata!$F:$F,"ED"),"0.0%")),IF(LEFT($B$7,6)="Number",SUMIFS(Comparison_Lookup,site_level_range_board,$B156,date_range_board,I145),TEXT(SUMIFS(Comparison_Lookup,site_level_range_board,$B156,date_range_board,I145)/SUMIFS(All_Attendances,site_level_range_board,$B156,date_range_board,I145),"0.0%"))),"")</f>
        <v>99.5%</v>
      </c>
      <c r="J156" s="165" t="str">
        <f ca="1">IFERROR(IF(ISNUMBER(FIND("ED only",$B$4)),IF(LEFT($B$7,6)="Number",SUMIFS(Comparison_Lookup,site_level_range_board,$B156,date_range_board,J145,inputdata!$F:$F,"ED"),TEXT(SUMIFS(Comparison_Lookup,site_level_range_board,$B156,date_range_board,J145,inputdata!$F:$F,"ED")/SUMIFS(All_Attendances,site_level_range_board,$B156,date_range_board,J145,inputdata!$F:$F,"ED"),"0.0%")),IF(LEFT($B$7,6)="Number",SUMIFS(Comparison_Lookup,site_level_range_board,$B156,date_range_board,J145),TEXT(SUMIFS(Comparison_Lookup,site_level_range_board,$B156,date_range_board,J145)/SUMIFS(All_Attendances,site_level_range_board,$B156,date_range_board,J145),"0.0%"))),"")</f>
        <v>99.5%</v>
      </c>
      <c r="K156" s="165" t="str">
        <f ca="1">IFERROR(IF(ISNUMBER(FIND("ED only",$B$4)),IF(LEFT($B$7,6)="Number",SUMIFS(Comparison_Lookup,site_level_range_board,$B156,date_range_board,K145,inputdata!$F:$F,"ED"),TEXT(SUMIFS(Comparison_Lookup,site_level_range_board,$B156,date_range_board,K145,inputdata!$F:$F,"ED")/SUMIFS(All_Attendances,site_level_range_board,$B156,date_range_board,K145,inputdata!$F:$F,"ED"),"0.0%")),IF(LEFT($B$7,6)="Number",SUMIFS(Comparison_Lookup,site_level_range_board,$B156,date_range_board,K145),TEXT(SUMIFS(Comparison_Lookup,site_level_range_board,$B156,date_range_board,K145)/SUMIFS(All_Attendances,site_level_range_board,$B156,date_range_board,K145),"0.0%"))),"")</f>
        <v>98.8%</v>
      </c>
      <c r="L156" s="165" t="str">
        <f ca="1">IFERROR(IF(ISNUMBER(FIND("ED only",$B$4)),IF(LEFT($B$7,6)="Number",SUMIFS(Comparison_Lookup,site_level_range_board,$B156,date_range_board,L145,inputdata!$F:$F,"ED"),TEXT(SUMIFS(Comparison_Lookup,site_level_range_board,$B156,date_range_board,L145,inputdata!$F:$F,"ED")/SUMIFS(All_Attendances,site_level_range_board,$B156,date_range_board,L145,inputdata!$F:$F,"ED"),"0.0%")),IF(LEFT($B$7,6)="Number",SUMIFS(Comparison_Lookup,site_level_range_board,$B156,date_range_board,L145),TEXT(SUMIFS(Comparison_Lookup,site_level_range_board,$B156,date_range_board,L145)/SUMIFS(All_Attendances,site_level_range_board,$B156,date_range_board,L145),"0.0%"))),"")</f>
        <v>99.0%</v>
      </c>
      <c r="M156" s="165" t="str">
        <f ca="1">IFERROR(IF(ISNUMBER(FIND("ED only",$B$4)),IF(LEFT($B$7,6)="Number",SUMIFS(Comparison_Lookup,site_level_range_board,$B156,date_range_board,M145,inputdata!$F:$F,"ED"),TEXT(SUMIFS(Comparison_Lookup,site_level_range_board,$B156,date_range_board,M145,inputdata!$F:$F,"ED")/SUMIFS(All_Attendances,site_level_range_board,$B156,date_range_board,M145,inputdata!$F:$F,"ED"),"0.0%")),IF(LEFT($B$7,6)="Number",SUMIFS(Comparison_Lookup,site_level_range_board,$B156,date_range_board,M145),TEXT(SUMIFS(Comparison_Lookup,site_level_range_board,$B156,date_range_board,M145)/SUMIFS(All_Attendances,site_level_range_board,$B156,date_range_board,M145),"0.0%"))),"")</f>
        <v>96.9%</v>
      </c>
      <c r="N156" s="171" t="str">
        <f ca="1">IFERROR(IF(ISNUMBER(FIND("ED only",$B$4)),IF(LEFT($B$7,6)="Number",SUMIFS(Comparison_Lookup,site_level_range_board,$B156,date_range_board,N145,inputdata!$F:$F,"ED"),TEXT(SUMIFS(Comparison_Lookup,site_level_range_board,$B156,date_range_board,N145,inputdata!$F:$F,"ED")/SUMIFS(All_Attendances,site_level_range_board,$B156,date_range_board,N145,inputdata!$F:$F,"ED"),"0.0%")),IF(LEFT($B$7,6)="Number",SUMIFS(Comparison_Lookup,site_level_range_board,$B156,date_range_board,N145),TEXT(SUMIFS(Comparison_Lookup,site_level_range_board,$B156,date_range_board,N145)/SUMIFS(All_Attendances,site_level_range_board,$B156,date_range_board,N145),"0.0%"))),"")</f>
        <v>99.7%</v>
      </c>
    </row>
    <row r="157" spans="1:14" ht="15" customHeight="1" x14ac:dyDescent="0.2">
      <c r="A157" s="132"/>
      <c r="B157" s="152" t="s">
        <v>574</v>
      </c>
      <c r="C157" s="165" t="str">
        <f ca="1">IFERROR(IF(ISNUMBER(FIND("ED only",$B$4)),IF(LEFT($B$7,6)="Number",SUMIFS(Comparison_Lookup,site_level_range_board,$B157,date_range_board,C145,inputdata!$F:$F,"ED"),TEXT(SUMIFS(Comparison_Lookup,site_level_range_board,$B157,date_range_board,C145,inputdata!$F:$F,"ED")/SUMIFS(All_Attendances,site_level_range_board,$B157,date_range_board,C145,inputdata!$F:$F,"ED"),"0.0%")),IF(LEFT($B$7,6)="Number",SUMIFS(Comparison_Lookup,site_level_range_board,$B157,date_range_board,C145),TEXT(SUMIFS(Comparison_Lookup,site_level_range_board,$B157,date_range_board,C145)/SUMIFS(All_Attendances,site_level_range_board,$B157,date_range_board,C145),"0.0%"))),"")</f>
        <v>96.6%</v>
      </c>
      <c r="D157" s="165" t="str">
        <f ca="1">IFERROR(IF(ISNUMBER(FIND("ED only",$B$4)),IF(LEFT($B$7,6)="Number",SUMIFS(Comparison_Lookup,site_level_range_board,$B157,date_range_board,D145,inputdata!$F:$F,"ED"),TEXT(SUMIFS(Comparison_Lookup,site_level_range_board,$B157,date_range_board,D145,inputdata!$F:$F,"ED")/SUMIFS(All_Attendances,site_level_range_board,$B157,date_range_board,D145,inputdata!$F:$F,"ED"),"0.0%")),IF(LEFT($B$7,6)="Number",SUMIFS(Comparison_Lookup,site_level_range_board,$B157,date_range_board,D145),TEXT(SUMIFS(Comparison_Lookup,site_level_range_board,$B157,date_range_board,D145)/SUMIFS(All_Attendances,site_level_range_board,$B157,date_range_board,D145),"0.0%"))),"")</f>
        <v>96.3%</v>
      </c>
      <c r="E157" s="165" t="str">
        <f ca="1">IFERROR(IF(ISNUMBER(FIND("ED only",$B$4)),IF(LEFT($B$7,6)="Number",SUMIFS(Comparison_Lookup,site_level_range_board,$B157,date_range_board,E145,inputdata!$F:$F,"ED"),TEXT(SUMIFS(Comparison_Lookup,site_level_range_board,$B157,date_range_board,E145,inputdata!$F:$F,"ED")/SUMIFS(All_Attendances,site_level_range_board,$B157,date_range_board,E145,inputdata!$F:$F,"ED"),"0.0%")),IF(LEFT($B$7,6)="Number",SUMIFS(Comparison_Lookup,site_level_range_board,$B157,date_range_board,E145),TEXT(SUMIFS(Comparison_Lookup,site_level_range_board,$B157,date_range_board,E145)/SUMIFS(All_Attendances,site_level_range_board,$B157,date_range_board,E145),"0.0%"))),"")</f>
        <v>96.3%</v>
      </c>
      <c r="F157" s="165" t="str">
        <f ca="1">IFERROR(IF(ISNUMBER(FIND("ED only",$B$4)),IF(LEFT($B$7,6)="Number",SUMIFS(Comparison_Lookup,site_level_range_board,$B157,date_range_board,F145,inputdata!$F:$F,"ED"),TEXT(SUMIFS(Comparison_Lookup,site_level_range_board,$B157,date_range_board,F145,inputdata!$F:$F,"ED")/SUMIFS(All_Attendances,site_level_range_board,$B157,date_range_board,F145,inputdata!$F:$F,"ED"),"0.0%")),IF(LEFT($B$7,6)="Number",SUMIFS(Comparison_Lookup,site_level_range_board,$B157,date_range_board,F145),TEXT(SUMIFS(Comparison_Lookup,site_level_range_board,$B157,date_range_board,F145)/SUMIFS(All_Attendances,site_level_range_board,$B157,date_range_board,F145),"0.0%"))),"")</f>
        <v>96.7%</v>
      </c>
      <c r="G157" s="165" t="str">
        <f ca="1">IFERROR(IF(ISNUMBER(FIND("ED only",$B$4)),IF(LEFT($B$7,6)="Number",SUMIFS(Comparison_Lookup,site_level_range_board,$B157,date_range_board,G145,inputdata!$F:$F,"ED"),TEXT(SUMIFS(Comparison_Lookup,site_level_range_board,$B157,date_range_board,G145,inputdata!$F:$F,"ED")/SUMIFS(All_Attendances,site_level_range_board,$B157,date_range_board,G145,inputdata!$F:$F,"ED"),"0.0%")),IF(LEFT($B$7,6)="Number",SUMIFS(Comparison_Lookup,site_level_range_board,$B157,date_range_board,G145),TEXT(SUMIFS(Comparison_Lookup,site_level_range_board,$B157,date_range_board,G145)/SUMIFS(All_Attendances,site_level_range_board,$B157,date_range_board,G145),"0.0%"))),"")</f>
        <v>96.7%</v>
      </c>
      <c r="H157" s="165" t="str">
        <f ca="1">IFERROR(IF(ISNUMBER(FIND("ED only",$B$4)),IF(LEFT($B$7,6)="Number",SUMIFS(Comparison_Lookup,site_level_range_board,$B157,date_range_board,H145,inputdata!$F:$F,"ED"),TEXT(SUMIFS(Comparison_Lookup,site_level_range_board,$B157,date_range_board,H145,inputdata!$F:$F,"ED")/SUMIFS(All_Attendances,site_level_range_board,$B157,date_range_board,H145,inputdata!$F:$F,"ED"),"0.0%")),IF(LEFT($B$7,6)="Number",SUMIFS(Comparison_Lookup,site_level_range_board,$B157,date_range_board,H145),TEXT(SUMIFS(Comparison_Lookup,site_level_range_board,$B157,date_range_board,H145)/SUMIFS(All_Attendances,site_level_range_board,$B157,date_range_board,H145),"0.0%"))),"")</f>
        <v>95.9%</v>
      </c>
      <c r="I157" s="165" t="str">
        <f ca="1">IFERROR(IF(ISNUMBER(FIND("ED only",$B$4)),IF(LEFT($B$7,6)="Number",SUMIFS(Comparison_Lookup,site_level_range_board,$B157,date_range_board,I145,inputdata!$F:$F,"ED"),TEXT(SUMIFS(Comparison_Lookup,site_level_range_board,$B157,date_range_board,I145,inputdata!$F:$F,"ED")/SUMIFS(All_Attendances,site_level_range_board,$B157,date_range_board,I145,inputdata!$F:$F,"ED"),"0.0%")),IF(LEFT($B$7,6)="Number",SUMIFS(Comparison_Lookup,site_level_range_board,$B157,date_range_board,I145),TEXT(SUMIFS(Comparison_Lookup,site_level_range_board,$B157,date_range_board,I145)/SUMIFS(All_Attendances,site_level_range_board,$B157,date_range_board,I145),"0.0%"))),"")</f>
        <v>94.6%</v>
      </c>
      <c r="J157" s="165" t="str">
        <f ca="1">IFERROR(IF(ISNUMBER(FIND("ED only",$B$4)),IF(LEFT($B$7,6)="Number",SUMIFS(Comparison_Lookup,site_level_range_board,$B157,date_range_board,J145,inputdata!$F:$F,"ED"),TEXT(SUMIFS(Comparison_Lookup,site_level_range_board,$B157,date_range_board,J145,inputdata!$F:$F,"ED")/SUMIFS(All_Attendances,site_level_range_board,$B157,date_range_board,J145,inputdata!$F:$F,"ED"),"0.0%")),IF(LEFT($B$7,6)="Number",SUMIFS(Comparison_Lookup,site_level_range_board,$B157,date_range_board,J145),TEXT(SUMIFS(Comparison_Lookup,site_level_range_board,$B157,date_range_board,J145)/SUMIFS(All_Attendances,site_level_range_board,$B157,date_range_board,J145),"0.0%"))),"")</f>
        <v>97.0%</v>
      </c>
      <c r="K157" s="165" t="str">
        <f ca="1">IFERROR(IF(ISNUMBER(FIND("ED only",$B$4)),IF(LEFT($B$7,6)="Number",SUMIFS(Comparison_Lookup,site_level_range_board,$B157,date_range_board,K145,inputdata!$F:$F,"ED"),TEXT(SUMIFS(Comparison_Lookup,site_level_range_board,$B157,date_range_board,K145,inputdata!$F:$F,"ED")/SUMIFS(All_Attendances,site_level_range_board,$B157,date_range_board,K145,inputdata!$F:$F,"ED"),"0.0%")),IF(LEFT($B$7,6)="Number",SUMIFS(Comparison_Lookup,site_level_range_board,$B157,date_range_board,K145),TEXT(SUMIFS(Comparison_Lookup,site_level_range_board,$B157,date_range_board,K145)/SUMIFS(All_Attendances,site_level_range_board,$B157,date_range_board,K145),"0.0%"))),"")</f>
        <v>98.1%</v>
      </c>
      <c r="L157" s="165" t="str">
        <f ca="1">IFERROR(IF(ISNUMBER(FIND("ED only",$B$4)),IF(LEFT($B$7,6)="Number",SUMIFS(Comparison_Lookup,site_level_range_board,$B157,date_range_board,L145,inputdata!$F:$F,"ED"),TEXT(SUMIFS(Comparison_Lookup,site_level_range_board,$B157,date_range_board,L145,inputdata!$F:$F,"ED")/SUMIFS(All_Attendances,site_level_range_board,$B157,date_range_board,L145,inputdata!$F:$F,"ED"),"0.0%")),IF(LEFT($B$7,6)="Number",SUMIFS(Comparison_Lookup,site_level_range_board,$B157,date_range_board,L145),TEXT(SUMIFS(Comparison_Lookup,site_level_range_board,$B157,date_range_board,L145)/SUMIFS(All_Attendances,site_level_range_board,$B157,date_range_board,L145),"0.0%"))),"")</f>
        <v>97.8%</v>
      </c>
      <c r="M157" s="165" t="str">
        <f ca="1">IFERROR(IF(ISNUMBER(FIND("ED only",$B$4)),IF(LEFT($B$7,6)="Number",SUMIFS(Comparison_Lookup,site_level_range_board,$B157,date_range_board,M145,inputdata!$F:$F,"ED"),TEXT(SUMIFS(Comparison_Lookup,site_level_range_board,$B157,date_range_board,M145,inputdata!$F:$F,"ED")/SUMIFS(All_Attendances,site_level_range_board,$B157,date_range_board,M145,inputdata!$F:$F,"ED"),"0.0%")),IF(LEFT($B$7,6)="Number",SUMIFS(Comparison_Lookup,site_level_range_board,$B157,date_range_board,M145),TEXT(SUMIFS(Comparison_Lookup,site_level_range_board,$B157,date_range_board,M145)/SUMIFS(All_Attendances,site_level_range_board,$B157,date_range_board,M145),"0.0%"))),"")</f>
        <v>97.7%</v>
      </c>
      <c r="N157" s="171" t="str">
        <f ca="1">IFERROR(IF(ISNUMBER(FIND("ED only",$B$4)),IF(LEFT($B$7,6)="Number",SUMIFS(Comparison_Lookup,site_level_range_board,$B157,date_range_board,N145,inputdata!$F:$F,"ED"),TEXT(SUMIFS(Comparison_Lookup,site_level_range_board,$B157,date_range_board,N145,inputdata!$F:$F,"ED")/SUMIFS(All_Attendances,site_level_range_board,$B157,date_range_board,N145,inputdata!$F:$F,"ED"),"0.0%")),IF(LEFT($B$7,6)="Number",SUMIFS(Comparison_Lookup,site_level_range_board,$B157,date_range_board,N145),TEXT(SUMIFS(Comparison_Lookup,site_level_range_board,$B157,date_range_board,N145)/SUMIFS(All_Attendances,site_level_range_board,$B157,date_range_board,N145),"0.0%"))),"")</f>
        <v>97.2%</v>
      </c>
    </row>
    <row r="158" spans="1:14" ht="15" customHeight="1" x14ac:dyDescent="0.2">
      <c r="A158" s="132"/>
      <c r="B158" s="152" t="s">
        <v>577</v>
      </c>
      <c r="C158" s="165" t="str">
        <f ca="1">IFERROR(IF(ISNUMBER(FIND("ED only",$B$4)),IF(LEFT($B$7,6)="Number",SUMIFS(Comparison_Lookup,site_level_range_board,$B158,date_range_board,C145,inputdata!$F:$F,"ED"),TEXT(SUMIFS(Comparison_Lookup,site_level_range_board,$B158,date_range_board,C145,inputdata!$F:$F,"ED")/SUMIFS(All_Attendances,site_level_range_board,$B158,date_range_board,C145,inputdata!$F:$F,"ED"),"0.0%")),IF(LEFT($B$7,6)="Number",SUMIFS(Comparison_Lookup,site_level_range_board,$B158,date_range_board,C145),TEXT(SUMIFS(Comparison_Lookup,site_level_range_board,$B158,date_range_board,C145)/SUMIFS(All_Attendances,site_level_range_board,$B158,date_range_board,C145),"0.0%"))),"")</f>
        <v>99.4%</v>
      </c>
      <c r="D158" s="165" t="str">
        <f ca="1">IFERROR(IF(ISNUMBER(FIND("ED only",$B$4)),IF(LEFT($B$7,6)="Number",SUMIFS(Comparison_Lookup,site_level_range_board,$B158,date_range_board,D145,inputdata!$F:$F,"ED"),TEXT(SUMIFS(Comparison_Lookup,site_level_range_board,$B158,date_range_board,D145,inputdata!$F:$F,"ED")/SUMIFS(All_Attendances,site_level_range_board,$B158,date_range_board,D145,inputdata!$F:$F,"ED"),"0.0%")),IF(LEFT($B$7,6)="Number",SUMIFS(Comparison_Lookup,site_level_range_board,$B158,date_range_board,D145),TEXT(SUMIFS(Comparison_Lookup,site_level_range_board,$B158,date_range_board,D145)/SUMIFS(All_Attendances,site_level_range_board,$B158,date_range_board,D145),"0.0%"))),"")</f>
        <v>99.1%</v>
      </c>
      <c r="E158" s="165" t="str">
        <f ca="1">IFERROR(IF(ISNUMBER(FIND("ED only",$B$4)),IF(LEFT($B$7,6)="Number",SUMIFS(Comparison_Lookup,site_level_range_board,$B158,date_range_board,E145,inputdata!$F:$F,"ED"),TEXT(SUMIFS(Comparison_Lookup,site_level_range_board,$B158,date_range_board,E145,inputdata!$F:$F,"ED")/SUMIFS(All_Attendances,site_level_range_board,$B158,date_range_board,E145,inputdata!$F:$F,"ED"),"0.0%")),IF(LEFT($B$7,6)="Number",SUMIFS(Comparison_Lookup,site_level_range_board,$B158,date_range_board,E145),TEXT(SUMIFS(Comparison_Lookup,site_level_range_board,$B158,date_range_board,E145)/SUMIFS(All_Attendances,site_level_range_board,$B158,date_range_board,E145),"0.0%"))),"")</f>
        <v>99.5%</v>
      </c>
      <c r="F158" s="165" t="str">
        <f ca="1">IFERROR(IF(ISNUMBER(FIND("ED only",$B$4)),IF(LEFT($B$7,6)="Number",SUMIFS(Comparison_Lookup,site_level_range_board,$B158,date_range_board,F145,inputdata!$F:$F,"ED"),TEXT(SUMIFS(Comparison_Lookup,site_level_range_board,$B158,date_range_board,F145,inputdata!$F:$F,"ED")/SUMIFS(All_Attendances,site_level_range_board,$B158,date_range_board,F145,inputdata!$F:$F,"ED"),"0.0%")),IF(LEFT($B$7,6)="Number",SUMIFS(Comparison_Lookup,site_level_range_board,$B158,date_range_board,F145),TEXT(SUMIFS(Comparison_Lookup,site_level_range_board,$B158,date_range_board,F145)/SUMIFS(All_Attendances,site_level_range_board,$B158,date_range_board,F145),"0.0%"))),"")</f>
        <v>99.3%</v>
      </c>
      <c r="G158" s="165" t="str">
        <f ca="1">IFERROR(IF(ISNUMBER(FIND("ED only",$B$4)),IF(LEFT($B$7,6)="Number",SUMIFS(Comparison_Lookup,site_level_range_board,$B158,date_range_board,G145,inputdata!$F:$F,"ED"),TEXT(SUMIFS(Comparison_Lookup,site_level_range_board,$B158,date_range_board,G145,inputdata!$F:$F,"ED")/SUMIFS(All_Attendances,site_level_range_board,$B158,date_range_board,G145,inputdata!$F:$F,"ED"),"0.0%")),IF(LEFT($B$7,6)="Number",SUMIFS(Comparison_Lookup,site_level_range_board,$B158,date_range_board,G145),TEXT(SUMIFS(Comparison_Lookup,site_level_range_board,$B158,date_range_board,G145)/SUMIFS(All_Attendances,site_level_range_board,$B158,date_range_board,G145),"0.0%"))),"")</f>
        <v>99.2%</v>
      </c>
      <c r="H158" s="165" t="str">
        <f ca="1">IFERROR(IF(ISNUMBER(FIND("ED only",$B$4)),IF(LEFT($B$7,6)="Number",SUMIFS(Comparison_Lookup,site_level_range_board,$B158,date_range_board,H145,inputdata!$F:$F,"ED"),TEXT(SUMIFS(Comparison_Lookup,site_level_range_board,$B158,date_range_board,H145,inputdata!$F:$F,"ED")/SUMIFS(All_Attendances,site_level_range_board,$B158,date_range_board,H145,inputdata!$F:$F,"ED"),"0.0%")),IF(LEFT($B$7,6)="Number",SUMIFS(Comparison_Lookup,site_level_range_board,$B158,date_range_board,H145),TEXT(SUMIFS(Comparison_Lookup,site_level_range_board,$B158,date_range_board,H145)/SUMIFS(All_Attendances,site_level_range_board,$B158,date_range_board,H145),"0.0%"))),"")</f>
        <v>98.9%</v>
      </c>
      <c r="I158" s="165" t="str">
        <f ca="1">IFERROR(IF(ISNUMBER(FIND("ED only",$B$4)),IF(LEFT($B$7,6)="Number",SUMIFS(Comparison_Lookup,site_level_range_board,$B158,date_range_board,I145,inputdata!$F:$F,"ED"),TEXT(SUMIFS(Comparison_Lookup,site_level_range_board,$B158,date_range_board,I145,inputdata!$F:$F,"ED")/SUMIFS(All_Attendances,site_level_range_board,$B158,date_range_board,I145,inputdata!$F:$F,"ED"),"0.0%")),IF(LEFT($B$7,6)="Number",SUMIFS(Comparison_Lookup,site_level_range_board,$B158,date_range_board,I145),TEXT(SUMIFS(Comparison_Lookup,site_level_range_board,$B158,date_range_board,I145)/SUMIFS(All_Attendances,site_level_range_board,$B158,date_range_board,I145),"0.0%"))),"")</f>
        <v>99.2%</v>
      </c>
      <c r="J158" s="165" t="str">
        <f ca="1">IFERROR(IF(ISNUMBER(FIND("ED only",$B$4)),IF(LEFT($B$7,6)="Number",SUMIFS(Comparison_Lookup,site_level_range_board,$B158,date_range_board,J145,inputdata!$F:$F,"ED"),TEXT(SUMIFS(Comparison_Lookup,site_level_range_board,$B158,date_range_board,J145,inputdata!$F:$F,"ED")/SUMIFS(All_Attendances,site_level_range_board,$B158,date_range_board,J145,inputdata!$F:$F,"ED"),"0.0%")),IF(LEFT($B$7,6)="Number",SUMIFS(Comparison_Lookup,site_level_range_board,$B158,date_range_board,J145),TEXT(SUMIFS(Comparison_Lookup,site_level_range_board,$B158,date_range_board,J145)/SUMIFS(All_Attendances,site_level_range_board,$B158,date_range_board,J145),"0.0%"))),"")</f>
        <v>99.0%</v>
      </c>
      <c r="K158" s="165" t="str">
        <f ca="1">IFERROR(IF(ISNUMBER(FIND("ED only",$B$4)),IF(LEFT($B$7,6)="Number",SUMIFS(Comparison_Lookup,site_level_range_board,$B158,date_range_board,K145,inputdata!$F:$F,"ED"),TEXT(SUMIFS(Comparison_Lookup,site_level_range_board,$B158,date_range_board,K145,inputdata!$F:$F,"ED")/SUMIFS(All_Attendances,site_level_range_board,$B158,date_range_board,K145,inputdata!$F:$F,"ED"),"0.0%")),IF(LEFT($B$7,6)="Number",SUMIFS(Comparison_Lookup,site_level_range_board,$B158,date_range_board,K145),TEXT(SUMIFS(Comparison_Lookup,site_level_range_board,$B158,date_range_board,K145)/SUMIFS(All_Attendances,site_level_range_board,$B158,date_range_board,K145),"0.0%"))),"")</f>
        <v>98.8%</v>
      </c>
      <c r="L158" s="165" t="str">
        <f ca="1">IFERROR(IF(ISNUMBER(FIND("ED only",$B$4)),IF(LEFT($B$7,6)="Number",SUMIFS(Comparison_Lookup,site_level_range_board,$B158,date_range_board,L145,inputdata!$F:$F,"ED"),TEXT(SUMIFS(Comparison_Lookup,site_level_range_board,$B158,date_range_board,L145,inputdata!$F:$F,"ED")/SUMIFS(All_Attendances,site_level_range_board,$B158,date_range_board,L145,inputdata!$F:$F,"ED"),"0.0%")),IF(LEFT($B$7,6)="Number",SUMIFS(Comparison_Lookup,site_level_range_board,$B158,date_range_board,L145),TEXT(SUMIFS(Comparison_Lookup,site_level_range_board,$B158,date_range_board,L145)/SUMIFS(All_Attendances,site_level_range_board,$B158,date_range_board,L145),"0.0%"))),"")</f>
        <v>99.2%</v>
      </c>
      <c r="M158" s="165" t="str">
        <f ca="1">IFERROR(IF(ISNUMBER(FIND("ED only",$B$4)),IF(LEFT($B$7,6)="Number",SUMIFS(Comparison_Lookup,site_level_range_board,$B158,date_range_board,M145,inputdata!$F:$F,"ED"),TEXT(SUMIFS(Comparison_Lookup,site_level_range_board,$B158,date_range_board,M145,inputdata!$F:$F,"ED")/SUMIFS(All_Attendances,site_level_range_board,$B158,date_range_board,M145,inputdata!$F:$F,"ED"),"0.0%")),IF(LEFT($B$7,6)="Number",SUMIFS(Comparison_Lookup,site_level_range_board,$B158,date_range_board,M145),TEXT(SUMIFS(Comparison_Lookup,site_level_range_board,$B158,date_range_board,M145)/SUMIFS(All_Attendances,site_level_range_board,$B158,date_range_board,M145),"0.0%"))),"")</f>
        <v>99.2%</v>
      </c>
      <c r="N158" s="171" t="str">
        <f ca="1">IFERROR(IF(ISNUMBER(FIND("ED only",$B$4)),IF(LEFT($B$7,6)="Number",SUMIFS(Comparison_Lookup,site_level_range_board,$B158,date_range_board,N145,inputdata!$F:$F,"ED"),TEXT(SUMIFS(Comparison_Lookup,site_level_range_board,$B158,date_range_board,N145,inputdata!$F:$F,"ED")/SUMIFS(All_Attendances,site_level_range_board,$B158,date_range_board,N145,inputdata!$F:$F,"ED"),"0.0%")),IF(LEFT($B$7,6)="Number",SUMIFS(Comparison_Lookup,site_level_range_board,$B158,date_range_board,N145),TEXT(SUMIFS(Comparison_Lookup,site_level_range_board,$B158,date_range_board,N145)/SUMIFS(All_Attendances,site_level_range_board,$B158,date_range_board,N145),"0.0%"))),"")</f>
        <v>99.3%</v>
      </c>
    </row>
    <row r="159" spans="1:14" ht="15" customHeight="1" x14ac:dyDescent="0.2">
      <c r="A159" s="132"/>
      <c r="B159" s="154" t="s">
        <v>594</v>
      </c>
      <c r="C159" s="168" t="str">
        <f ca="1">IFERROR(IF(ISNUMBER(FIND("ED only",$B$4)),IF(LEFT($B$7,6)="Number",SUMIFS(Comparison_Lookup,site_level_range_board,$B159,date_range_board,C145,inputdata!$F:$F,"ED"),TEXT(SUMIFS(Comparison_Lookup,site_level_range_board,$B159,date_range_board,C145,inputdata!$F:$F,"ED")/SUMIFS(All_Attendances,site_level_range_board,$B159,date_range_board,C145,inputdata!$F:$F,"ED"),"0.0%")),IF(LEFT($B$7,6)="Number",SUMIFS(Comparison_Lookup,site_level_range_board,$B159,date_range_board,C145),TEXT(SUMIFS(Comparison_Lookup,site_level_range_board,$B159,date_range_board,C145)/SUMIFS(All_Attendances,site_level_range_board,$B159,date_range_board,C145),"0.0%"))),"")</f>
        <v>98.3%</v>
      </c>
      <c r="D159" s="168" t="str">
        <f ca="1">IFERROR(IF(ISNUMBER(FIND("ED only",$B$4)),IF(LEFT($B$7,6)="Number",SUMIFS(Comparison_Lookup,site_level_range_board,$B159,date_range_board,D145,inputdata!$F:$F,"ED"),TEXT(SUMIFS(Comparison_Lookup,site_level_range_board,$B159,date_range_board,D145,inputdata!$F:$F,"ED")/SUMIFS(All_Attendances,site_level_range_board,$B159,date_range_board,D145,inputdata!$F:$F,"ED"),"0.0%")),IF(LEFT($B$7,6)="Number",SUMIFS(Comparison_Lookup,site_level_range_board,$B159,date_range_board,D145),TEXT(SUMIFS(Comparison_Lookup,site_level_range_board,$B159,date_range_board,D145)/SUMIFS(All_Attendances,site_level_range_board,$B159,date_range_board,D145),"0.0%"))),"")</f>
        <v>97.7%</v>
      </c>
      <c r="E159" s="168" t="str">
        <f ca="1">IFERROR(IF(ISNUMBER(FIND("ED only",$B$4)),IF(LEFT($B$7,6)="Number",SUMIFS(Comparison_Lookup,site_level_range_board,$B159,date_range_board,E145,inputdata!$F:$F,"ED"),TEXT(SUMIFS(Comparison_Lookup,site_level_range_board,$B159,date_range_board,E145,inputdata!$F:$F,"ED")/SUMIFS(All_Attendances,site_level_range_board,$B159,date_range_board,E145,inputdata!$F:$F,"ED"),"0.0%")),IF(LEFT($B$7,6)="Number",SUMIFS(Comparison_Lookup,site_level_range_board,$B159,date_range_board,E145),TEXT(SUMIFS(Comparison_Lookup,site_level_range_board,$B159,date_range_board,E145)/SUMIFS(All_Attendances,site_level_range_board,$B159,date_range_board,E145),"0.0%"))),"")</f>
        <v>98.6%</v>
      </c>
      <c r="F159" s="168" t="str">
        <f ca="1">IFERROR(IF(ISNUMBER(FIND("ED only",$B$4)),IF(LEFT($B$7,6)="Number",SUMIFS(Comparison_Lookup,site_level_range_board,$B159,date_range_board,F145,inputdata!$F:$F,"ED"),TEXT(SUMIFS(Comparison_Lookup,site_level_range_board,$B159,date_range_board,F145,inputdata!$F:$F,"ED")/SUMIFS(All_Attendances,site_level_range_board,$B159,date_range_board,F145,inputdata!$F:$F,"ED"),"0.0%")),IF(LEFT($B$7,6)="Number",SUMIFS(Comparison_Lookup,site_level_range_board,$B159,date_range_board,F145),TEXT(SUMIFS(Comparison_Lookup,site_level_range_board,$B159,date_range_board,F145)/SUMIFS(All_Attendances,site_level_range_board,$B159,date_range_board,F145),"0.0%"))),"")</f>
        <v>98.2%</v>
      </c>
      <c r="G159" s="168" t="str">
        <f ca="1">IFERROR(IF(ISNUMBER(FIND("ED only",$B$4)),IF(LEFT($B$7,6)="Number",SUMIFS(Comparison_Lookup,site_level_range_board,$B159,date_range_board,G145,inputdata!$F:$F,"ED"),TEXT(SUMIFS(Comparison_Lookup,site_level_range_board,$B159,date_range_board,G145,inputdata!$F:$F,"ED")/SUMIFS(All_Attendances,site_level_range_board,$B159,date_range_board,G145,inputdata!$F:$F,"ED"),"0.0%")),IF(LEFT($B$7,6)="Number",SUMIFS(Comparison_Lookup,site_level_range_board,$B159,date_range_board,G145),TEXT(SUMIFS(Comparison_Lookup,site_level_range_board,$B159,date_range_board,G145)/SUMIFS(All_Attendances,site_level_range_board,$B159,date_range_board,G145),"0.0%"))),"")</f>
        <v>98.3%</v>
      </c>
      <c r="H159" s="168" t="str">
        <f ca="1">IFERROR(IF(ISNUMBER(FIND("ED only",$B$4)),IF(LEFT($B$7,6)="Number",SUMIFS(Comparison_Lookup,site_level_range_board,$B159,date_range_board,H145,inputdata!$F:$F,"ED"),TEXT(SUMIFS(Comparison_Lookup,site_level_range_board,$B159,date_range_board,H145,inputdata!$F:$F,"ED")/SUMIFS(All_Attendances,site_level_range_board,$B159,date_range_board,H145,inputdata!$F:$F,"ED"),"0.0%")),IF(LEFT($B$7,6)="Number",SUMIFS(Comparison_Lookup,site_level_range_board,$B159,date_range_board,H145),TEXT(SUMIFS(Comparison_Lookup,site_level_range_board,$B159,date_range_board,H145)/SUMIFS(All_Attendances,site_level_range_board,$B159,date_range_board,H145),"0.0%"))),"")</f>
        <v>98.6%</v>
      </c>
      <c r="I159" s="168" t="str">
        <f ca="1">IFERROR(IF(ISNUMBER(FIND("ED only",$B$4)),IF(LEFT($B$7,6)="Number",SUMIFS(Comparison_Lookup,site_level_range_board,$B159,date_range_board,I145,inputdata!$F:$F,"ED"),TEXT(SUMIFS(Comparison_Lookup,site_level_range_board,$B159,date_range_board,I145,inputdata!$F:$F,"ED")/SUMIFS(All_Attendances,site_level_range_board,$B159,date_range_board,I145,inputdata!$F:$F,"ED"),"0.0%")),IF(LEFT($B$7,6)="Number",SUMIFS(Comparison_Lookup,site_level_range_board,$B159,date_range_board,I145),TEXT(SUMIFS(Comparison_Lookup,site_level_range_board,$B159,date_range_board,I145)/SUMIFS(All_Attendances,site_level_range_board,$B159,date_range_board,I145),"0.0%"))),"")</f>
        <v>97.3%</v>
      </c>
      <c r="J159" s="168" t="str">
        <f ca="1">IFERROR(IF(ISNUMBER(FIND("ED only",$B$4)),IF(LEFT($B$7,6)="Number",SUMIFS(Comparison_Lookup,site_level_range_board,$B159,date_range_board,J145,inputdata!$F:$F,"ED"),TEXT(SUMIFS(Comparison_Lookup,site_level_range_board,$B159,date_range_board,J145,inputdata!$F:$F,"ED")/SUMIFS(All_Attendances,site_level_range_board,$B159,date_range_board,J145,inputdata!$F:$F,"ED"),"0.0%")),IF(LEFT($B$7,6)="Number",SUMIFS(Comparison_Lookup,site_level_range_board,$B159,date_range_board,J145),TEXT(SUMIFS(Comparison_Lookup,site_level_range_board,$B159,date_range_board,J145)/SUMIFS(All_Attendances,site_level_range_board,$B159,date_range_board,J145),"0.0%"))),"")</f>
        <v>98.6%</v>
      </c>
      <c r="K159" s="168" t="str">
        <f ca="1">IFERROR(IF(ISNUMBER(FIND("ED only",$B$4)),IF(LEFT($B$7,6)="Number",SUMIFS(Comparison_Lookup,site_level_range_board,$B159,date_range_board,K145,inputdata!$F:$F,"ED"),TEXT(SUMIFS(Comparison_Lookup,site_level_range_board,$B159,date_range_board,K145,inputdata!$F:$F,"ED")/SUMIFS(All_Attendances,site_level_range_board,$B159,date_range_board,K145,inputdata!$F:$F,"ED"),"0.0%")),IF(LEFT($B$7,6)="Number",SUMIFS(Comparison_Lookup,site_level_range_board,$B159,date_range_board,K145),TEXT(SUMIFS(Comparison_Lookup,site_level_range_board,$B159,date_range_board,K145)/SUMIFS(All_Attendances,site_level_range_board,$B159,date_range_board,K145),"0.0%"))),"")</f>
        <v>97.0%</v>
      </c>
      <c r="L159" s="168" t="str">
        <f ca="1">IFERROR(IF(ISNUMBER(FIND("ED only",$B$4)),IF(LEFT($B$7,6)="Number",SUMIFS(Comparison_Lookup,site_level_range_board,$B159,date_range_board,L145,inputdata!$F:$F,"ED"),TEXT(SUMIFS(Comparison_Lookup,site_level_range_board,$B159,date_range_board,L145,inputdata!$F:$F,"ED")/SUMIFS(All_Attendances,site_level_range_board,$B159,date_range_board,L145,inputdata!$F:$F,"ED"),"0.0%")),IF(LEFT($B$7,6)="Number",SUMIFS(Comparison_Lookup,site_level_range_board,$B159,date_range_board,L145),TEXT(SUMIFS(Comparison_Lookup,site_level_range_board,$B159,date_range_board,L145)/SUMIFS(All_Attendances,site_level_range_board,$B159,date_range_board,L145),"0.0%"))),"")</f>
        <v>97.5%</v>
      </c>
      <c r="M159" s="168" t="str">
        <f ca="1">IFERROR(IF(ISNUMBER(FIND("ED only",$B$4)),IF(LEFT($B$7,6)="Number",SUMIFS(Comparison_Lookup,site_level_range_board,$B159,date_range_board,M145,inputdata!$F:$F,"ED"),TEXT(SUMIFS(Comparison_Lookup,site_level_range_board,$B159,date_range_board,M145,inputdata!$F:$F,"ED")/SUMIFS(All_Attendances,site_level_range_board,$B159,date_range_board,M145,inputdata!$F:$F,"ED"),"0.0%")),IF(LEFT($B$7,6)="Number",SUMIFS(Comparison_Lookup,site_level_range_board,$B159,date_range_board,M145),TEXT(SUMIFS(Comparison_Lookup,site_level_range_board,$B159,date_range_board,M145)/SUMIFS(All_Attendances,site_level_range_board,$B159,date_range_board,M145),"0.0%"))),"")</f>
        <v>97.3%</v>
      </c>
      <c r="N159" s="172" t="str">
        <f ca="1">IFERROR(IF(ISNUMBER(FIND("ED only",$B$4)),IF(LEFT($B$7,6)="Number",SUMIFS(Comparison_Lookup,site_level_range_board,$B159,date_range_board,N145,inputdata!$F:$F,"ED"),TEXT(SUMIFS(Comparison_Lookup,site_level_range_board,$B159,date_range_board,N145,inputdata!$F:$F,"ED")/SUMIFS(All_Attendances,site_level_range_board,$B159,date_range_board,N145,inputdata!$F:$F,"ED"),"0.0%")),IF(LEFT($B$7,6)="Number",SUMIFS(Comparison_Lookup,site_level_range_board,$B159,date_range_board,N145),TEXT(SUMIFS(Comparison_Lookup,site_level_range_board,$B159,date_range_board,N145)/SUMIFS(All_Attendances,site_level_range_board,$B159,date_range_board,N145),"0.0%"))),"")</f>
        <v>99.0%</v>
      </c>
    </row>
    <row r="160" spans="1:14" ht="15" customHeight="1" x14ac:dyDescent="0.2">
      <c r="A160" s="132"/>
      <c r="B160" s="170" t="s">
        <v>406</v>
      </c>
      <c r="C160" s="169" t="str">
        <f ca="1">IFERROR(IF(ISNUMBER(FIND("ED only",$B$4)),IF(LEFT($B$7,6)="Number",SUMIFS(Comparison_Lookup,date_range_board,C145,inputdata!$F:$F,"ED"),TEXT(SUMIFS(Comparison_Lookup,date_range_board,C145,inputdata!$F:$F,"ED")/SUMIFS(All_Attendances,date_range_board,C145,inputdata!$F:$F,"ED"),"0.0%")),IF(LEFT($B$7,6)="Number",SUMIFS(Comparison_Lookup,date_range_board,C145),TEXT(SUMIFS(Comparison_Lookup,date_range_board,C145)/SUMIFS(All_Attendances,date_range_board,C145
        ),"0.0%"))),"")</f>
        <v>93.0%</v>
      </c>
      <c r="D160" s="169" t="str">
        <f ca="1">IFERROR(IF(ISNUMBER(FIND("ED only",$B$4)),IF(LEFT($B$7,6)="Number",SUMIFS(Comparison_Lookup,date_range_board,D145,inputdata!$F:$F,"ED"),TEXT(SUMIFS(Comparison_Lookup,date_range_board,D145,inputdata!$F:$F,"ED")/SUMIFS(All_Attendances,date_range_board,D145,inputdata!$F:$F,"ED"),"0.0%")),IF(LEFT($B$7,6)="Number",SUMIFS(Comparison_Lookup,date_range_board,D145),TEXT(SUMIFS(Comparison_Lookup,date_range_board,D145)/SUMIFS(All_Attendances,date_range_board,D145
        ),"0.0%"))),"")</f>
        <v>92.7%</v>
      </c>
      <c r="E160" s="169" t="str">
        <f ca="1">IFERROR(IF(ISNUMBER(FIND("ED only",$B$4)),IF(LEFT($B$7,6)="Number",SUMIFS(Comparison_Lookup,date_range_board,E145,inputdata!$F:$F,"ED"),TEXT(SUMIFS(Comparison_Lookup,date_range_board,E145,inputdata!$F:$F,"ED")/SUMIFS(All_Attendances,date_range_board,E145,inputdata!$F:$F,"ED"),"0.0%")),IF(LEFT($B$7,6)="Number",SUMIFS(Comparison_Lookup,date_range_board,E145),TEXT(SUMIFS(Comparison_Lookup,date_range_board,E145)/SUMIFS(All_Attendances,date_range_board,E145
        ),"0.0%"))),"")</f>
        <v>94.0%</v>
      </c>
      <c r="F160" s="169" t="str">
        <f ca="1">IFERROR(IF(ISNUMBER(FIND("ED only",$B$4)),IF(LEFT($B$7,6)="Number",SUMIFS(Comparison_Lookup,date_range_board,F145,inputdata!$F:$F,"ED"),TEXT(SUMIFS(Comparison_Lookup,date_range_board,F145,inputdata!$F:$F,"ED")/SUMIFS(All_Attendances,date_range_board,F145,inputdata!$F:$F,"ED"),"0.0%")),IF(LEFT($B$7,6)="Number",SUMIFS(Comparison_Lookup,date_range_board,F145),TEXT(SUMIFS(Comparison_Lookup,date_range_board,F145)/SUMIFS(All_Attendances,date_range_board,F145
        ),"0.0%"))),"")</f>
        <v>94.6%</v>
      </c>
      <c r="G160" s="169" t="str">
        <f ca="1">IFERROR(IF(ISNUMBER(FIND("ED only",$B$4)),IF(LEFT($B$7,6)="Number",SUMIFS(Comparison_Lookup,date_range_board,G145,inputdata!$F:$F,"ED"),TEXT(SUMIFS(Comparison_Lookup,date_range_board,G145,inputdata!$F:$F,"ED")/SUMIFS(All_Attendances,date_range_board,G145,inputdata!$F:$F,"ED"),"0.0%")),IF(LEFT($B$7,6)="Number",SUMIFS(Comparison_Lookup,date_range_board,G145),TEXT(SUMIFS(Comparison_Lookup,date_range_board,G145)/SUMIFS(All_Attendances,date_range_board,G145
        ),"0.0%"))),"")</f>
        <v>93.2%</v>
      </c>
      <c r="H160" s="169" t="str">
        <f ca="1">IFERROR(IF(ISNUMBER(FIND("ED only",$B$4)),IF(LEFT($B$7,6)="Number",SUMIFS(Comparison_Lookup,date_range_board,H145,inputdata!$F:$F,"ED"),TEXT(SUMIFS(Comparison_Lookup,date_range_board,H145,inputdata!$F:$F,"ED")/SUMIFS(All_Attendances,date_range_board,H145,inputdata!$F:$F,"ED"),"0.0%")),IF(LEFT($B$7,6)="Number",SUMIFS(Comparison_Lookup,date_range_board,H145),TEXT(SUMIFS(Comparison_Lookup,date_range_board,H145)/SUMIFS(All_Attendances,date_range_board,H145
        ),"0.0%"))),"")</f>
        <v>93.5%</v>
      </c>
      <c r="I160" s="169" t="str">
        <f ca="1">IFERROR(IF(ISNUMBER(FIND("ED only",$B$4)),IF(LEFT($B$7,6)="Number",SUMIFS(Comparison_Lookup,date_range_board,I145,inputdata!$F:$F,"ED"),TEXT(SUMIFS(Comparison_Lookup,date_range_board,I145,inputdata!$F:$F,"ED")/SUMIFS(All_Attendances,date_range_board,I145,inputdata!$F:$F,"ED"),"0.0%")),IF(LEFT($B$7,6)="Number",SUMIFS(Comparison_Lookup,date_range_board,I145),TEXT(SUMIFS(Comparison_Lookup,date_range_board,I145)/SUMIFS(All_Attendances,date_range_board,I145
        ),"0.0%"))),"")</f>
        <v>91.8%</v>
      </c>
      <c r="J160" s="169" t="str">
        <f ca="1">IFERROR(IF(ISNUMBER(FIND("ED only",$B$4)),IF(LEFT($B$7,6)="Number",SUMIFS(Comparison_Lookup,date_range_board,J145,inputdata!$F:$F,"ED"),TEXT(SUMIFS(Comparison_Lookup,date_range_board,J145,inputdata!$F:$F,"ED")/SUMIFS(All_Attendances,date_range_board,J145,inputdata!$F:$F,"ED"),"0.0%")),IF(LEFT($B$7,6)="Number",SUMIFS(Comparison_Lookup,date_range_board,J145),TEXT(SUMIFS(Comparison_Lookup,date_range_board,J145)/SUMIFS(All_Attendances,date_range_board,J145
        ),"0.0%"))),"")</f>
        <v>91.8%</v>
      </c>
      <c r="K160" s="169" t="str">
        <f ca="1">IFERROR(IF(ISNUMBER(FIND("ED only",$B$4)),IF(LEFT($B$7,6)="Number",SUMIFS(Comparison_Lookup,date_range_board,K145,inputdata!$F:$F,"ED"),TEXT(SUMIFS(Comparison_Lookup,date_range_board,K145,inputdata!$F:$F,"ED")/SUMIFS(All_Attendances,date_range_board,K145,inputdata!$F:$F,"ED"),"0.0%")),IF(LEFT($B$7,6)="Number",SUMIFS(Comparison_Lookup,date_range_board,K145),TEXT(SUMIFS(Comparison_Lookup,date_range_board,K145)/SUMIFS(All_Attendances,date_range_board,K145
        ),"0.0%"))),"")</f>
        <v>89.9%</v>
      </c>
      <c r="L160" s="169" t="str">
        <f ca="1">IFERROR(IF(ISNUMBER(FIND("ED only",$B$4)),IF(LEFT($B$7,6)="Number",SUMIFS(Comparison_Lookup,date_range_board,L145,inputdata!$F:$F,"ED"),TEXT(SUMIFS(Comparison_Lookup,date_range_board,L145,inputdata!$F:$F,"ED")/SUMIFS(All_Attendances,date_range_board,L145,inputdata!$F:$F,"ED"),"0.0%")),IF(LEFT($B$7,6)="Number",SUMIFS(Comparison_Lookup,date_range_board,L145),TEXT(SUMIFS(Comparison_Lookup,date_range_board,L145)/SUMIFS(All_Attendances,date_range_board,L145
        ),"0.0%"))),"")</f>
        <v>87.1%</v>
      </c>
      <c r="M160" s="169" t="str">
        <f ca="1">IFERROR(IF(ISNUMBER(FIND("ED only",$B$4)),IF(LEFT($B$7,6)="Number",SUMIFS(Comparison_Lookup,date_range_board,M145,inputdata!$F:$F,"ED"),TEXT(SUMIFS(Comparison_Lookup,date_range_board,M145,inputdata!$F:$F,"ED")/SUMIFS(All_Attendances,date_range_board,M145,inputdata!$F:$F,"ED"),"0.0%")),IF(LEFT($B$7,6)="Number",SUMIFS(Comparison_Lookup,date_range_board,M145),TEXT(SUMIFS(Comparison_Lookup,date_range_board,M145)/SUMIFS(All_Attendances,date_range_board,M145
        ),"0.0%"))),"")</f>
        <v>87.9%</v>
      </c>
      <c r="N160" s="173" t="str">
        <f ca="1">IFERROR(IF(ISNUMBER(FIND("ED only",$B$4)),IF(LEFT($B$7,6)="Number",SUMIFS(Comparison_Lookup,date_range_board,N145,inputdata!$F:$F,"ED"),TEXT(SUMIFS(Comparison_Lookup,date_range_board,N145,inputdata!$F:$F,"ED")/SUMIFS(All_Attendances,date_range_board,N145,inputdata!$F:$F,"ED"),"0.0%")),IF(LEFT($B$7,6)="Number",SUMIFS(Comparison_Lookup,date_range_board,N145),TEXT(SUMIFS(Comparison_Lookup,date_range_board,N145)/SUMIFS(All_Attendances,date_range_board,N145
        ),"0.0%"))),"")</f>
        <v>92.2%</v>
      </c>
    </row>
    <row r="161" spans="1:14" ht="14.45" customHeight="1" x14ac:dyDescent="0.2">
      <c r="B161" s="127"/>
      <c r="C161" s="127"/>
      <c r="D161" s="127"/>
      <c r="E161" s="127"/>
      <c r="F161" s="127"/>
      <c r="G161" s="127"/>
      <c r="H161" s="127"/>
      <c r="I161" s="127"/>
      <c r="J161" s="127"/>
      <c r="K161" s="127"/>
      <c r="L161" s="127"/>
      <c r="M161" s="127"/>
      <c r="N161" s="127"/>
    </row>
    <row r="162" spans="1:14" ht="15" customHeight="1" x14ac:dyDescent="0.25">
      <c r="A162" s="132"/>
      <c r="B162" s="153" t="str">
        <f>IF(ISNUMBER(FIND("ED only",$B$4)),"2013/2014 (ED Only)","2013/2014")</f>
        <v>2013/2014</v>
      </c>
      <c r="C162" s="149">
        <v>41394</v>
      </c>
      <c r="D162" s="149">
        <v>41425</v>
      </c>
      <c r="E162" s="149">
        <v>41455</v>
      </c>
      <c r="F162" s="149">
        <v>41486</v>
      </c>
      <c r="G162" s="149">
        <v>41517</v>
      </c>
      <c r="H162" s="149">
        <v>41547</v>
      </c>
      <c r="I162" s="149">
        <v>41578</v>
      </c>
      <c r="J162" s="149">
        <v>41608</v>
      </c>
      <c r="K162" s="149">
        <v>41639</v>
      </c>
      <c r="L162" s="149">
        <v>41670</v>
      </c>
      <c r="M162" s="149">
        <v>41698</v>
      </c>
      <c r="N162" s="158">
        <v>41729</v>
      </c>
    </row>
    <row r="163" spans="1:14" ht="15" customHeight="1" x14ac:dyDescent="0.2">
      <c r="A163" s="132"/>
      <c r="B163" s="152" t="s">
        <v>407</v>
      </c>
      <c r="C163" s="165" t="str">
        <f ca="1">IFERROR(IF(ISNUMBER(FIND("ED only",$B$4)),IF(LEFT($B$7,6)="Number",SUMIFS(Comparison_Lookup,site_level_range_board,$B163,date_range_board,C162,inputdata!$F:$F,"ED"),TEXT(SUMIFS(Comparison_Lookup,site_level_range_board,$B163,date_range_board,C162,inputdata!$F:$F,"ED")/SUMIFS(All_Attendances,site_level_range_board,$B163,date_range_board,C162,inputdata!$F:$F,"ED"),"0.0%")),IF(LEFT($B$7,6)="Number",SUMIFS(Comparison_Lookup,site_level_range_board,$B163,date_range_board,C162),TEXT(SUMIFS(Comparison_Lookup,site_level_range_board,$B163,date_range_board,C162)/SUMIFS(All_Attendances,site_level_range_board,$B163,date_range_board,C162),"0.0%"))),"")</f>
        <v>88.8%</v>
      </c>
      <c r="D163" s="165" t="str">
        <f ca="1">IFERROR(IF(ISNUMBER(FIND("ED only",$B$4)),IF(LEFT($B$7,6)="Number",SUMIFS(Comparison_Lookup,site_level_range_board,$B163,date_range_board,D162,inputdata!$F:$F,"ED"),TEXT(SUMIFS(Comparison_Lookup,site_level_range_board,$B163,date_range_board,D162,inputdata!$F:$F,"ED")/SUMIFS(All_Attendances,site_level_range_board,$B163,date_range_board,D162,inputdata!$F:$F,"ED"),"0.0%")),IF(LEFT($B$7,6)="Number",SUMIFS(Comparison_Lookup,site_level_range_board,$B163,date_range_board,D162),TEXT(SUMIFS(Comparison_Lookup,site_level_range_board,$B163,date_range_board,D162)/SUMIFS(All_Attendances,site_level_range_board,$B163,date_range_board,D162),"0.0%"))),"")</f>
        <v>92.2%</v>
      </c>
      <c r="E163" s="165" t="str">
        <f ca="1">IFERROR(IF(ISNUMBER(FIND("ED only",$B$4)),IF(LEFT($B$7,6)="Number",SUMIFS(Comparison_Lookup,site_level_range_board,$B163,date_range_board,E162,inputdata!$F:$F,"ED"),TEXT(SUMIFS(Comparison_Lookup,site_level_range_board,$B163,date_range_board,E162,inputdata!$F:$F,"ED")/SUMIFS(All_Attendances,site_level_range_board,$B163,date_range_board,E162,inputdata!$F:$F,"ED"),"0.0%")),IF(LEFT($B$7,6)="Number",SUMIFS(Comparison_Lookup,site_level_range_board,$B163,date_range_board,E162),TEXT(SUMIFS(Comparison_Lookup,site_level_range_board,$B163,date_range_board,E162)/SUMIFS(All_Attendances,site_level_range_board,$B163,date_range_board,E162),"0.0%"))),"")</f>
        <v>92.8%</v>
      </c>
      <c r="F163" s="165" t="str">
        <f ca="1">IFERROR(IF(ISNUMBER(FIND("ED only",$B$4)),IF(LEFT($B$7,6)="Number",SUMIFS(Comparison_Lookup,site_level_range_board,$B163,date_range_board,F162,inputdata!$F:$F,"ED"),TEXT(SUMIFS(Comparison_Lookup,site_level_range_board,$B163,date_range_board,F162,inputdata!$F:$F,"ED")/SUMIFS(All_Attendances,site_level_range_board,$B163,date_range_board,F162,inputdata!$F:$F,"ED"),"0.0%")),IF(LEFT($B$7,6)="Number",SUMIFS(Comparison_Lookup,site_level_range_board,$B163,date_range_board,F162),TEXT(SUMIFS(Comparison_Lookup,site_level_range_board,$B163,date_range_board,F162)/SUMIFS(All_Attendances,site_level_range_board,$B163,date_range_board,F162),"0.0%"))),"")</f>
        <v>94.7%</v>
      </c>
      <c r="G163" s="165" t="str">
        <f ca="1">IFERROR(IF(ISNUMBER(FIND("ED only",$B$4)),IF(LEFT($B$7,6)="Number",SUMIFS(Comparison_Lookup,site_level_range_board,$B163,date_range_board,G162,inputdata!$F:$F,"ED"),TEXT(SUMIFS(Comparison_Lookup,site_level_range_board,$B163,date_range_board,G162,inputdata!$F:$F,"ED")/SUMIFS(All_Attendances,site_level_range_board,$B163,date_range_board,G162,inputdata!$F:$F,"ED"),"0.0%")),IF(LEFT($B$7,6)="Number",SUMIFS(Comparison_Lookup,site_level_range_board,$B163,date_range_board,G162),TEXT(SUMIFS(Comparison_Lookup,site_level_range_board,$B163,date_range_board,G162)/SUMIFS(All_Attendances,site_level_range_board,$B163,date_range_board,G162),"0.0%"))),"")</f>
        <v>94.4%</v>
      </c>
      <c r="H163" s="165" t="str">
        <f ca="1">IFERROR(IF(ISNUMBER(FIND("ED only",$B$4)),IF(LEFT($B$7,6)="Number",SUMIFS(Comparison_Lookup,site_level_range_board,$B163,date_range_board,H162,inputdata!$F:$F,"ED"),TEXT(SUMIFS(Comparison_Lookup,site_level_range_board,$B163,date_range_board,H162,inputdata!$F:$F,"ED")/SUMIFS(All_Attendances,site_level_range_board,$B163,date_range_board,H162,inputdata!$F:$F,"ED"),"0.0%")),IF(LEFT($B$7,6)="Number",SUMIFS(Comparison_Lookup,site_level_range_board,$B163,date_range_board,H162),TEXT(SUMIFS(Comparison_Lookup,site_level_range_board,$B163,date_range_board,H162)/SUMIFS(All_Attendances,site_level_range_board,$B163,date_range_board,H162),"0.0%"))),"")</f>
        <v>93.3%</v>
      </c>
      <c r="I163" s="165" t="str">
        <f ca="1">IFERROR(IF(ISNUMBER(FIND("ED only",$B$4)),IF(LEFT($B$7,6)="Number",SUMIFS(Comparison_Lookup,site_level_range_board,$B163,date_range_board,I162,inputdata!$F:$F,"ED"),TEXT(SUMIFS(Comparison_Lookup,site_level_range_board,$B163,date_range_board,I162,inputdata!$F:$F,"ED")/SUMIFS(All_Attendances,site_level_range_board,$B163,date_range_board,I162,inputdata!$F:$F,"ED"),"0.0%")),IF(LEFT($B$7,6)="Number",SUMIFS(Comparison_Lookup,site_level_range_board,$B163,date_range_board,I162),TEXT(SUMIFS(Comparison_Lookup,site_level_range_board,$B163,date_range_board,I162)/SUMIFS(All_Attendances,site_level_range_board,$B163,date_range_board,I162),"0.0%"))),"")</f>
        <v>94.0%</v>
      </c>
      <c r="J163" s="165" t="str">
        <f ca="1">IFERROR(IF(ISNUMBER(FIND("ED only",$B$4)),IF(LEFT($B$7,6)="Number",SUMIFS(Comparison_Lookup,site_level_range_board,$B163,date_range_board,J162,inputdata!$F:$F,"ED"),TEXT(SUMIFS(Comparison_Lookup,site_level_range_board,$B163,date_range_board,J162,inputdata!$F:$F,"ED")/SUMIFS(All_Attendances,site_level_range_board,$B163,date_range_board,J162,inputdata!$F:$F,"ED"),"0.0%")),IF(LEFT($B$7,6)="Number",SUMIFS(Comparison_Lookup,site_level_range_board,$B163,date_range_board,J162),TEXT(SUMIFS(Comparison_Lookup,site_level_range_board,$B163,date_range_board,J162)/SUMIFS(All_Attendances,site_level_range_board,$B163,date_range_board,J162),"0.0%"))),"")</f>
        <v>93.5%</v>
      </c>
      <c r="K163" s="165" t="str">
        <f ca="1">IFERROR(IF(ISNUMBER(FIND("ED only",$B$4)),IF(LEFT($B$7,6)="Number",SUMIFS(Comparison_Lookup,site_level_range_board,$B163,date_range_board,K162,inputdata!$F:$F,"ED"),TEXT(SUMIFS(Comparison_Lookup,site_level_range_board,$B163,date_range_board,K162,inputdata!$F:$F,"ED")/SUMIFS(All_Attendances,site_level_range_board,$B163,date_range_board,K162,inputdata!$F:$F,"ED"),"0.0%")),IF(LEFT($B$7,6)="Number",SUMIFS(Comparison_Lookup,site_level_range_board,$B163,date_range_board,K162),TEXT(SUMIFS(Comparison_Lookup,site_level_range_board,$B163,date_range_board,K162)/SUMIFS(All_Attendances,site_level_range_board,$B163,date_range_board,K162),"0.0%"))),"")</f>
        <v>93.1%</v>
      </c>
      <c r="L163" s="165" t="str">
        <f ca="1">IFERROR(IF(ISNUMBER(FIND("ED only",$B$4)),IF(LEFT($B$7,6)="Number",SUMIFS(Comparison_Lookup,site_level_range_board,$B163,date_range_board,L162,inputdata!$F:$F,"ED"),TEXT(SUMIFS(Comparison_Lookup,site_level_range_board,$B163,date_range_board,L162,inputdata!$F:$F,"ED")/SUMIFS(All_Attendances,site_level_range_board,$B163,date_range_board,L162,inputdata!$F:$F,"ED"),"0.0%")),IF(LEFT($B$7,6)="Number",SUMIFS(Comparison_Lookup,site_level_range_board,$B163,date_range_board,L162),TEXT(SUMIFS(Comparison_Lookup,site_level_range_board,$B163,date_range_board,L162)/SUMIFS(All_Attendances,site_level_range_board,$B163,date_range_board,L162),"0.0%"))),"")</f>
        <v>88.4%</v>
      </c>
      <c r="M163" s="165" t="str">
        <f ca="1">IFERROR(IF(ISNUMBER(FIND("ED only",$B$4)),IF(LEFT($B$7,6)="Number",SUMIFS(Comparison_Lookup,site_level_range_board,$B163,date_range_board,M162,inputdata!$F:$F,"ED"),TEXT(SUMIFS(Comparison_Lookup,site_level_range_board,$B163,date_range_board,M162,inputdata!$F:$F,"ED")/SUMIFS(All_Attendances,site_level_range_board,$B163,date_range_board,M162,inputdata!$F:$F,"ED"),"0.0%")),IF(LEFT($B$7,6)="Number",SUMIFS(Comparison_Lookup,site_level_range_board,$B163,date_range_board,M162),TEXT(SUMIFS(Comparison_Lookup,site_level_range_board,$B163,date_range_board,M162)/SUMIFS(All_Attendances,site_level_range_board,$B163,date_range_board,M162),"0.0%"))),"")</f>
        <v>92.3%</v>
      </c>
      <c r="N163" s="171" t="str">
        <f ca="1">IFERROR(IF(ISNUMBER(FIND("ED only",$B$4)),IF(LEFT($B$7,6)="Number",SUMIFS(Comparison_Lookup,site_level_range_board,$B163,date_range_board,N162,inputdata!$F:$F,"ED"),TEXT(SUMIFS(Comparison_Lookup,site_level_range_board,$B163,date_range_board,N162,inputdata!$F:$F,"ED")/SUMIFS(All_Attendances,site_level_range_board,$B163,date_range_board,N162,inputdata!$F:$F,"ED"),"0.0%")),IF(LEFT($B$7,6)="Number",SUMIFS(Comparison_Lookup,site_level_range_board,$B163,date_range_board,N162),TEXT(SUMIFS(Comparison_Lookup,site_level_range_board,$B163,date_range_board,N162)/SUMIFS(All_Attendances,site_level_range_board,$B163,date_range_board,N162),"0.0%"))),"")</f>
        <v>93.7%</v>
      </c>
    </row>
    <row r="164" spans="1:14" ht="15" customHeight="1" x14ac:dyDescent="0.2">
      <c r="A164" s="132"/>
      <c r="B164" s="152" t="s">
        <v>418</v>
      </c>
      <c r="C164" s="165" t="str">
        <f ca="1">IFERROR(IF(ISNUMBER(FIND("ED only",$B$4)),IF(LEFT($B$7,6)="Number",SUMIFS(Comparison_Lookup,site_level_range_board,$B164,date_range_board,C162,inputdata!$F:$F,"ED"),TEXT(SUMIFS(Comparison_Lookup,site_level_range_board,$B164,date_range_board,C162,inputdata!$F:$F,"ED")/SUMIFS(All_Attendances,site_level_range_board,$B164,date_range_board,C162,inputdata!$F:$F,"ED"),"0.0%")),IF(LEFT($B$7,6)="Number",SUMIFS(Comparison_Lookup,site_level_range_board,$B164,date_range_board,C162),TEXT(SUMIFS(Comparison_Lookup,site_level_range_board,$B164,date_range_board,C162)/SUMIFS(All_Attendances,site_level_range_board,$B164,date_range_board,C162),"0.0%"))),"")</f>
        <v>96.3%</v>
      </c>
      <c r="D164" s="165" t="str">
        <f ca="1">IFERROR(IF(ISNUMBER(FIND("ED only",$B$4)),IF(LEFT($B$7,6)="Number",SUMIFS(Comparison_Lookup,site_level_range_board,$B164,date_range_board,D162,inputdata!$F:$F,"ED"),TEXT(SUMIFS(Comparison_Lookup,site_level_range_board,$B164,date_range_board,D162,inputdata!$F:$F,"ED")/SUMIFS(All_Attendances,site_level_range_board,$B164,date_range_board,D162,inputdata!$F:$F,"ED"),"0.0%")),IF(LEFT($B$7,6)="Number",SUMIFS(Comparison_Lookup,site_level_range_board,$B164,date_range_board,D162),TEXT(SUMIFS(Comparison_Lookup,site_level_range_board,$B164,date_range_board,D162)/SUMIFS(All_Attendances,site_level_range_board,$B164,date_range_board,D162),"0.0%"))),"")</f>
        <v>99.1%</v>
      </c>
      <c r="E164" s="165" t="str">
        <f ca="1">IFERROR(IF(ISNUMBER(FIND("ED only",$B$4)),IF(LEFT($B$7,6)="Number",SUMIFS(Comparison_Lookup,site_level_range_board,$B164,date_range_board,E162,inputdata!$F:$F,"ED"),TEXT(SUMIFS(Comparison_Lookup,site_level_range_board,$B164,date_range_board,E162,inputdata!$F:$F,"ED")/SUMIFS(All_Attendances,site_level_range_board,$B164,date_range_board,E162,inputdata!$F:$F,"ED"),"0.0%")),IF(LEFT($B$7,6)="Number",SUMIFS(Comparison_Lookup,site_level_range_board,$B164,date_range_board,E162),TEXT(SUMIFS(Comparison_Lookup,site_level_range_board,$B164,date_range_board,E162)/SUMIFS(All_Attendances,site_level_range_board,$B164,date_range_board,E162),"0.0%"))),"")</f>
        <v>99.3%</v>
      </c>
      <c r="F164" s="165" t="str">
        <f ca="1">IFERROR(IF(ISNUMBER(FIND("ED only",$B$4)),IF(LEFT($B$7,6)="Number",SUMIFS(Comparison_Lookup,site_level_range_board,$B164,date_range_board,F162,inputdata!$F:$F,"ED"),TEXT(SUMIFS(Comparison_Lookup,site_level_range_board,$B164,date_range_board,F162,inputdata!$F:$F,"ED")/SUMIFS(All_Attendances,site_level_range_board,$B164,date_range_board,F162,inputdata!$F:$F,"ED"),"0.0%")),IF(LEFT($B$7,6)="Number",SUMIFS(Comparison_Lookup,site_level_range_board,$B164,date_range_board,F162),TEXT(SUMIFS(Comparison_Lookup,site_level_range_board,$B164,date_range_board,F162)/SUMIFS(All_Attendances,site_level_range_board,$B164,date_range_board,F162),"0.0%"))),"")</f>
        <v>99.1%</v>
      </c>
      <c r="G164" s="165" t="str">
        <f ca="1">IFERROR(IF(ISNUMBER(FIND("ED only",$B$4)),IF(LEFT($B$7,6)="Number",SUMIFS(Comparison_Lookup,site_level_range_board,$B164,date_range_board,G162,inputdata!$F:$F,"ED"),TEXT(SUMIFS(Comparison_Lookup,site_level_range_board,$B164,date_range_board,G162,inputdata!$F:$F,"ED")/SUMIFS(All_Attendances,site_level_range_board,$B164,date_range_board,G162,inputdata!$F:$F,"ED"),"0.0%")),IF(LEFT($B$7,6)="Number",SUMIFS(Comparison_Lookup,site_level_range_board,$B164,date_range_board,G162),TEXT(SUMIFS(Comparison_Lookup,site_level_range_board,$B164,date_range_board,G162)/SUMIFS(All_Attendances,site_level_range_board,$B164,date_range_board,G162),"0.0%"))),"")</f>
        <v>97.8%</v>
      </c>
      <c r="H164" s="165" t="str">
        <f ca="1">IFERROR(IF(ISNUMBER(FIND("ED only",$B$4)),IF(LEFT($B$7,6)="Number",SUMIFS(Comparison_Lookup,site_level_range_board,$B164,date_range_board,H162,inputdata!$F:$F,"ED"),TEXT(SUMIFS(Comparison_Lookup,site_level_range_board,$B164,date_range_board,H162,inputdata!$F:$F,"ED")/SUMIFS(All_Attendances,site_level_range_board,$B164,date_range_board,H162,inputdata!$F:$F,"ED"),"0.0%")),IF(LEFT($B$7,6)="Number",SUMIFS(Comparison_Lookup,site_level_range_board,$B164,date_range_board,H162),TEXT(SUMIFS(Comparison_Lookup,site_level_range_board,$B164,date_range_board,H162)/SUMIFS(All_Attendances,site_level_range_board,$B164,date_range_board,H162),"0.0%"))),"")</f>
        <v>98.2%</v>
      </c>
      <c r="I164" s="165" t="str">
        <f ca="1">IFERROR(IF(ISNUMBER(FIND("ED only",$B$4)),IF(LEFT($B$7,6)="Number",SUMIFS(Comparison_Lookup,site_level_range_board,$B164,date_range_board,I162,inputdata!$F:$F,"ED"),TEXT(SUMIFS(Comparison_Lookup,site_level_range_board,$B164,date_range_board,I162,inputdata!$F:$F,"ED")/SUMIFS(All_Attendances,site_level_range_board,$B164,date_range_board,I162,inputdata!$F:$F,"ED"),"0.0%")),IF(LEFT($B$7,6)="Number",SUMIFS(Comparison_Lookup,site_level_range_board,$B164,date_range_board,I162),TEXT(SUMIFS(Comparison_Lookup,site_level_range_board,$B164,date_range_board,I162)/SUMIFS(All_Attendances,site_level_range_board,$B164,date_range_board,I162),"0.0%"))),"")</f>
        <v>98.0%</v>
      </c>
      <c r="J164" s="165" t="str">
        <f ca="1">IFERROR(IF(ISNUMBER(FIND("ED only",$B$4)),IF(LEFT($B$7,6)="Number",SUMIFS(Comparison_Lookup,site_level_range_board,$B164,date_range_board,J162,inputdata!$F:$F,"ED"),TEXT(SUMIFS(Comparison_Lookup,site_level_range_board,$B164,date_range_board,J162,inputdata!$F:$F,"ED")/SUMIFS(All_Attendances,site_level_range_board,$B164,date_range_board,J162,inputdata!$F:$F,"ED"),"0.0%")),IF(LEFT($B$7,6)="Number",SUMIFS(Comparison_Lookup,site_level_range_board,$B164,date_range_board,J162),TEXT(SUMIFS(Comparison_Lookup,site_level_range_board,$B164,date_range_board,J162)/SUMIFS(All_Attendances,site_level_range_board,$B164,date_range_board,J162),"0.0%"))),"")</f>
        <v>97.9%</v>
      </c>
      <c r="K164" s="165" t="str">
        <f ca="1">IFERROR(IF(ISNUMBER(FIND("ED only",$B$4)),IF(LEFT($B$7,6)="Number",SUMIFS(Comparison_Lookup,site_level_range_board,$B164,date_range_board,K162,inputdata!$F:$F,"ED"),TEXT(SUMIFS(Comparison_Lookup,site_level_range_board,$B164,date_range_board,K162,inputdata!$F:$F,"ED")/SUMIFS(All_Attendances,site_level_range_board,$B164,date_range_board,K162,inputdata!$F:$F,"ED"),"0.0%")),IF(LEFT($B$7,6)="Number",SUMIFS(Comparison_Lookup,site_level_range_board,$B164,date_range_board,K162),TEXT(SUMIFS(Comparison_Lookup,site_level_range_board,$B164,date_range_board,K162)/SUMIFS(All_Attendances,site_level_range_board,$B164,date_range_board,K162),"0.0%"))),"")</f>
        <v>97.9%</v>
      </c>
      <c r="L164" s="165" t="str">
        <f ca="1">IFERROR(IF(ISNUMBER(FIND("ED only",$B$4)),IF(LEFT($B$7,6)="Number",SUMIFS(Comparison_Lookup,site_level_range_board,$B164,date_range_board,L162,inputdata!$F:$F,"ED"),TEXT(SUMIFS(Comparison_Lookup,site_level_range_board,$B164,date_range_board,L162,inputdata!$F:$F,"ED")/SUMIFS(All_Attendances,site_level_range_board,$B164,date_range_board,L162,inputdata!$F:$F,"ED"),"0.0%")),IF(LEFT($B$7,6)="Number",SUMIFS(Comparison_Lookup,site_level_range_board,$B164,date_range_board,L162),TEXT(SUMIFS(Comparison_Lookup,site_level_range_board,$B164,date_range_board,L162)/SUMIFS(All_Attendances,site_level_range_board,$B164,date_range_board,L162),"0.0%"))),"")</f>
        <v>96.4%</v>
      </c>
      <c r="M164" s="165" t="str">
        <f ca="1">IFERROR(IF(ISNUMBER(FIND("ED only",$B$4)),IF(LEFT($B$7,6)="Number",SUMIFS(Comparison_Lookup,site_level_range_board,$B164,date_range_board,M162,inputdata!$F:$F,"ED"),TEXT(SUMIFS(Comparison_Lookup,site_level_range_board,$B164,date_range_board,M162,inputdata!$F:$F,"ED")/SUMIFS(All_Attendances,site_level_range_board,$B164,date_range_board,M162,inputdata!$F:$F,"ED"),"0.0%")),IF(LEFT($B$7,6)="Number",SUMIFS(Comparison_Lookup,site_level_range_board,$B164,date_range_board,M162),TEXT(SUMIFS(Comparison_Lookup,site_level_range_board,$B164,date_range_board,M162)/SUMIFS(All_Attendances,site_level_range_board,$B164,date_range_board,M162),"0.0%"))),"")</f>
        <v>96.8%</v>
      </c>
      <c r="N164" s="171" t="str">
        <f ca="1">IFERROR(IF(ISNUMBER(FIND("ED only",$B$4)),IF(LEFT($B$7,6)="Number",SUMIFS(Comparison_Lookup,site_level_range_board,$B164,date_range_board,N162,inputdata!$F:$F,"ED"),TEXT(SUMIFS(Comparison_Lookup,site_level_range_board,$B164,date_range_board,N162,inputdata!$F:$F,"ED")/SUMIFS(All_Attendances,site_level_range_board,$B164,date_range_board,N162,inputdata!$F:$F,"ED"),"0.0%")),IF(LEFT($B$7,6)="Number",SUMIFS(Comparison_Lookup,site_level_range_board,$B164,date_range_board,N162),TEXT(SUMIFS(Comparison_Lookup,site_level_range_board,$B164,date_range_board,N162)/SUMIFS(All_Attendances,site_level_range_board,$B164,date_range_board,N162),"0.0%"))),"")</f>
        <v>98.0%</v>
      </c>
    </row>
    <row r="165" spans="1:14" ht="15" customHeight="1" x14ac:dyDescent="0.2">
      <c r="A165" s="132"/>
      <c r="B165" s="152" t="s">
        <v>429</v>
      </c>
      <c r="C165" s="165" t="str">
        <f ca="1">IFERROR(IF(ISNUMBER(FIND("ED only",$B$4)),IF(LEFT($B$7,6)="Number",SUMIFS(Comparison_Lookup,site_level_range_board,$B165,date_range_board,C162,inputdata!$F:$F,"ED"),TEXT(SUMIFS(Comparison_Lookup,site_level_range_board,$B165,date_range_board,C162,inputdata!$F:$F,"ED")/SUMIFS(All_Attendances,site_level_range_board,$B165,date_range_board,C162,inputdata!$F:$F,"ED"),"0.0%")),IF(LEFT($B$7,6)="Number",SUMIFS(Comparison_Lookup,site_level_range_board,$B165,date_range_board,C162),TEXT(SUMIFS(Comparison_Lookup,site_level_range_board,$B165,date_range_board,C162)/SUMIFS(All_Attendances,site_level_range_board,$B165,date_range_board,C162),"0.0%"))),"")</f>
        <v>94.5%</v>
      </c>
      <c r="D165" s="165" t="str">
        <f ca="1">IFERROR(IF(ISNUMBER(FIND("ED only",$B$4)),IF(LEFT($B$7,6)="Number",SUMIFS(Comparison_Lookup,site_level_range_board,$B165,date_range_board,D162,inputdata!$F:$F,"ED"),TEXT(SUMIFS(Comparison_Lookup,site_level_range_board,$B165,date_range_board,D162,inputdata!$F:$F,"ED")/SUMIFS(All_Attendances,site_level_range_board,$B165,date_range_board,D162,inputdata!$F:$F,"ED"),"0.0%")),IF(LEFT($B$7,6)="Number",SUMIFS(Comparison_Lookup,site_level_range_board,$B165,date_range_board,D162),TEXT(SUMIFS(Comparison_Lookup,site_level_range_board,$B165,date_range_board,D162)/SUMIFS(All_Attendances,site_level_range_board,$B165,date_range_board,D162),"0.0%"))),"")</f>
        <v>94.7%</v>
      </c>
      <c r="E165" s="165" t="str">
        <f ca="1">IFERROR(IF(ISNUMBER(FIND("ED only",$B$4)),IF(LEFT($B$7,6)="Number",SUMIFS(Comparison_Lookup,site_level_range_board,$B165,date_range_board,E162,inputdata!$F:$F,"ED"),TEXT(SUMIFS(Comparison_Lookup,site_level_range_board,$B165,date_range_board,E162,inputdata!$F:$F,"ED")/SUMIFS(All_Attendances,site_level_range_board,$B165,date_range_board,E162,inputdata!$F:$F,"ED"),"0.0%")),IF(LEFT($B$7,6)="Number",SUMIFS(Comparison_Lookup,site_level_range_board,$B165,date_range_board,E162),TEXT(SUMIFS(Comparison_Lookup,site_level_range_board,$B165,date_range_board,E162)/SUMIFS(All_Attendances,site_level_range_board,$B165,date_range_board,E162),"0.0%"))),"")</f>
        <v>96.3%</v>
      </c>
      <c r="F165" s="165" t="str">
        <f ca="1">IFERROR(IF(ISNUMBER(FIND("ED only",$B$4)),IF(LEFT($B$7,6)="Number",SUMIFS(Comparison_Lookup,site_level_range_board,$B165,date_range_board,F162,inputdata!$F:$F,"ED"),TEXT(SUMIFS(Comparison_Lookup,site_level_range_board,$B165,date_range_board,F162,inputdata!$F:$F,"ED")/SUMIFS(All_Attendances,site_level_range_board,$B165,date_range_board,F162,inputdata!$F:$F,"ED"),"0.0%")),IF(LEFT($B$7,6)="Number",SUMIFS(Comparison_Lookup,site_level_range_board,$B165,date_range_board,F162),TEXT(SUMIFS(Comparison_Lookup,site_level_range_board,$B165,date_range_board,F162)/SUMIFS(All_Attendances,site_level_range_board,$B165,date_range_board,F162),"0.0%"))),"")</f>
        <v>95.3%</v>
      </c>
      <c r="G165" s="165" t="str">
        <f ca="1">IFERROR(IF(ISNUMBER(FIND("ED only",$B$4)),IF(LEFT($B$7,6)="Number",SUMIFS(Comparison_Lookup,site_level_range_board,$B165,date_range_board,G162,inputdata!$F:$F,"ED"),TEXT(SUMIFS(Comparison_Lookup,site_level_range_board,$B165,date_range_board,G162,inputdata!$F:$F,"ED")/SUMIFS(All_Attendances,site_level_range_board,$B165,date_range_board,G162,inputdata!$F:$F,"ED"),"0.0%")),IF(LEFT($B$7,6)="Number",SUMIFS(Comparison_Lookup,site_level_range_board,$B165,date_range_board,G162),TEXT(SUMIFS(Comparison_Lookup,site_level_range_board,$B165,date_range_board,G162)/SUMIFS(All_Attendances,site_level_range_board,$B165,date_range_board,G162),"0.0%"))),"")</f>
        <v>94.8%</v>
      </c>
      <c r="H165" s="165" t="str">
        <f ca="1">IFERROR(IF(ISNUMBER(FIND("ED only",$B$4)),IF(LEFT($B$7,6)="Number",SUMIFS(Comparison_Lookup,site_level_range_board,$B165,date_range_board,H162,inputdata!$F:$F,"ED"),TEXT(SUMIFS(Comparison_Lookup,site_level_range_board,$B165,date_range_board,H162,inputdata!$F:$F,"ED")/SUMIFS(All_Attendances,site_level_range_board,$B165,date_range_board,H162,inputdata!$F:$F,"ED"),"0.0%")),IF(LEFT($B$7,6)="Number",SUMIFS(Comparison_Lookup,site_level_range_board,$B165,date_range_board,H162),TEXT(SUMIFS(Comparison_Lookup,site_level_range_board,$B165,date_range_board,H162)/SUMIFS(All_Attendances,site_level_range_board,$B165,date_range_board,H162),"0.0%"))),"")</f>
        <v>93.8%</v>
      </c>
      <c r="I165" s="165" t="str">
        <f ca="1">IFERROR(IF(ISNUMBER(FIND("ED only",$B$4)),IF(LEFT($B$7,6)="Number",SUMIFS(Comparison_Lookup,site_level_range_board,$B165,date_range_board,I162,inputdata!$F:$F,"ED"),TEXT(SUMIFS(Comparison_Lookup,site_level_range_board,$B165,date_range_board,I162,inputdata!$F:$F,"ED")/SUMIFS(All_Attendances,site_level_range_board,$B165,date_range_board,I162,inputdata!$F:$F,"ED"),"0.0%")),IF(LEFT($B$7,6)="Number",SUMIFS(Comparison_Lookup,site_level_range_board,$B165,date_range_board,I162),TEXT(SUMIFS(Comparison_Lookup,site_level_range_board,$B165,date_range_board,I162)/SUMIFS(All_Attendances,site_level_range_board,$B165,date_range_board,I162),"0.0%"))),"")</f>
        <v>95.6%</v>
      </c>
      <c r="J165" s="165" t="str">
        <f ca="1">IFERROR(IF(ISNUMBER(FIND("ED only",$B$4)),IF(LEFT($B$7,6)="Number",SUMIFS(Comparison_Lookup,site_level_range_board,$B165,date_range_board,J162,inputdata!$F:$F,"ED"),TEXT(SUMIFS(Comparison_Lookup,site_level_range_board,$B165,date_range_board,J162,inputdata!$F:$F,"ED")/SUMIFS(All_Attendances,site_level_range_board,$B165,date_range_board,J162,inputdata!$F:$F,"ED"),"0.0%")),IF(LEFT($B$7,6)="Number",SUMIFS(Comparison_Lookup,site_level_range_board,$B165,date_range_board,J162),TEXT(SUMIFS(Comparison_Lookup,site_level_range_board,$B165,date_range_board,J162)/SUMIFS(All_Attendances,site_level_range_board,$B165,date_range_board,J162),"0.0%"))),"")</f>
        <v>95.7%</v>
      </c>
      <c r="K165" s="165" t="str">
        <f ca="1">IFERROR(IF(ISNUMBER(FIND("ED only",$B$4)),IF(LEFT($B$7,6)="Number",SUMIFS(Comparison_Lookup,site_level_range_board,$B165,date_range_board,K162,inputdata!$F:$F,"ED"),TEXT(SUMIFS(Comparison_Lookup,site_level_range_board,$B165,date_range_board,K162,inputdata!$F:$F,"ED")/SUMIFS(All_Attendances,site_level_range_board,$B165,date_range_board,K162,inputdata!$F:$F,"ED"),"0.0%")),IF(LEFT($B$7,6)="Number",SUMIFS(Comparison_Lookup,site_level_range_board,$B165,date_range_board,K162),TEXT(SUMIFS(Comparison_Lookup,site_level_range_board,$B165,date_range_board,K162)/SUMIFS(All_Attendances,site_level_range_board,$B165,date_range_board,K162),"0.0%"))),"")</f>
        <v>95.6%</v>
      </c>
      <c r="L165" s="165" t="str">
        <f ca="1">IFERROR(IF(ISNUMBER(FIND("ED only",$B$4)),IF(LEFT($B$7,6)="Number",SUMIFS(Comparison_Lookup,site_level_range_board,$B165,date_range_board,L162,inputdata!$F:$F,"ED"),TEXT(SUMIFS(Comparison_Lookup,site_level_range_board,$B165,date_range_board,L162,inputdata!$F:$F,"ED")/SUMIFS(All_Attendances,site_level_range_board,$B165,date_range_board,L162,inputdata!$F:$F,"ED"),"0.0%")),IF(LEFT($B$7,6)="Number",SUMIFS(Comparison_Lookup,site_level_range_board,$B165,date_range_board,L162),TEXT(SUMIFS(Comparison_Lookup,site_level_range_board,$B165,date_range_board,L162)/SUMIFS(All_Attendances,site_level_range_board,$B165,date_range_board,L162),"0.0%"))),"")</f>
        <v>95.5%</v>
      </c>
      <c r="M165" s="165" t="str">
        <f ca="1">IFERROR(IF(ISNUMBER(FIND("ED only",$B$4)),IF(LEFT($B$7,6)="Number",SUMIFS(Comparison_Lookup,site_level_range_board,$B165,date_range_board,M162,inputdata!$F:$F,"ED"),TEXT(SUMIFS(Comparison_Lookup,site_level_range_board,$B165,date_range_board,M162,inputdata!$F:$F,"ED")/SUMIFS(All_Attendances,site_level_range_board,$B165,date_range_board,M162,inputdata!$F:$F,"ED"),"0.0%")),IF(LEFT($B$7,6)="Number",SUMIFS(Comparison_Lookup,site_level_range_board,$B165,date_range_board,M162),TEXT(SUMIFS(Comparison_Lookup,site_level_range_board,$B165,date_range_board,M162)/SUMIFS(All_Attendances,site_level_range_board,$B165,date_range_board,M162),"0.0%"))),"")</f>
        <v>93.7%</v>
      </c>
      <c r="N165" s="171" t="str">
        <f ca="1">IFERROR(IF(ISNUMBER(FIND("ED only",$B$4)),IF(LEFT($B$7,6)="Number",SUMIFS(Comparison_Lookup,site_level_range_board,$B165,date_range_board,N162,inputdata!$F:$F,"ED"),TEXT(SUMIFS(Comparison_Lookup,site_level_range_board,$B165,date_range_board,N162,inputdata!$F:$F,"ED")/SUMIFS(All_Attendances,site_level_range_board,$B165,date_range_board,N162,inputdata!$F:$F,"ED"),"0.0%")),IF(LEFT($B$7,6)="Number",SUMIFS(Comparison_Lookup,site_level_range_board,$B165,date_range_board,N162),TEXT(SUMIFS(Comparison_Lookup,site_level_range_board,$B165,date_range_board,N162)/SUMIFS(All_Attendances,site_level_range_board,$B165,date_range_board,N162),"0.0%"))),"")</f>
        <v>96.8%</v>
      </c>
    </row>
    <row r="166" spans="1:14" ht="15" customHeight="1" x14ac:dyDescent="0.2">
      <c r="A166" s="132"/>
      <c r="B166" s="152" t="s">
        <v>442</v>
      </c>
      <c r="C166" s="165" t="str">
        <f ca="1">IFERROR(IF(ISNUMBER(FIND("ED only",$B$4)),IF(LEFT($B$7,6)="Number",SUMIFS(Comparison_Lookup,site_level_range_board,$B166,date_range_board,C162,inputdata!$F:$F,"ED"),TEXT(SUMIFS(Comparison_Lookup,site_level_range_board,$B166,date_range_board,C162,inputdata!$F:$F,"ED")/SUMIFS(All_Attendances,site_level_range_board,$B166,date_range_board,C162,inputdata!$F:$F,"ED"),"0.0%")),IF(LEFT($B$7,6)="Number",SUMIFS(Comparison_Lookup,site_level_range_board,$B166,date_range_board,C162),TEXT(SUMIFS(Comparison_Lookup,site_level_range_board,$B166,date_range_board,C162)/SUMIFS(All_Attendances,site_level_range_board,$B166,date_range_board,C162),"0.0%"))),"")</f>
        <v>93.5%</v>
      </c>
      <c r="D166" s="165" t="str">
        <f ca="1">IFERROR(IF(ISNUMBER(FIND("ED only",$B$4)),IF(LEFT($B$7,6)="Number",SUMIFS(Comparison_Lookup,site_level_range_board,$B166,date_range_board,D162,inputdata!$F:$F,"ED"),TEXT(SUMIFS(Comparison_Lookup,site_level_range_board,$B166,date_range_board,D162,inputdata!$F:$F,"ED")/SUMIFS(All_Attendances,site_level_range_board,$B166,date_range_board,D162,inputdata!$F:$F,"ED"),"0.0%")),IF(LEFT($B$7,6)="Number",SUMIFS(Comparison_Lookup,site_level_range_board,$B166,date_range_board,D162),TEXT(SUMIFS(Comparison_Lookup,site_level_range_board,$B166,date_range_board,D162)/SUMIFS(All_Attendances,site_level_range_board,$B166,date_range_board,D162),"0.0%"))),"")</f>
        <v>96.6%</v>
      </c>
      <c r="E166" s="165" t="str">
        <f ca="1">IFERROR(IF(ISNUMBER(FIND("ED only",$B$4)),IF(LEFT($B$7,6)="Number",SUMIFS(Comparison_Lookup,site_level_range_board,$B166,date_range_board,E162,inputdata!$F:$F,"ED"),TEXT(SUMIFS(Comparison_Lookup,site_level_range_board,$B166,date_range_board,E162,inputdata!$F:$F,"ED")/SUMIFS(All_Attendances,site_level_range_board,$B166,date_range_board,E162,inputdata!$F:$F,"ED"),"0.0%")),IF(LEFT($B$7,6)="Number",SUMIFS(Comparison_Lookup,site_level_range_board,$B166,date_range_board,E162),TEXT(SUMIFS(Comparison_Lookup,site_level_range_board,$B166,date_range_board,E162)/SUMIFS(All_Attendances,site_level_range_board,$B166,date_range_board,E162),"0.0%"))),"")</f>
        <v>96.5%</v>
      </c>
      <c r="F166" s="165" t="str">
        <f ca="1">IFERROR(IF(ISNUMBER(FIND("ED only",$B$4)),IF(LEFT($B$7,6)="Number",SUMIFS(Comparison_Lookup,site_level_range_board,$B166,date_range_board,F162,inputdata!$F:$F,"ED"),TEXT(SUMIFS(Comparison_Lookup,site_level_range_board,$B166,date_range_board,F162,inputdata!$F:$F,"ED")/SUMIFS(All_Attendances,site_level_range_board,$B166,date_range_board,F162,inputdata!$F:$F,"ED"),"0.0%")),IF(LEFT($B$7,6)="Number",SUMIFS(Comparison_Lookup,site_level_range_board,$B166,date_range_board,F162),TEXT(SUMIFS(Comparison_Lookup,site_level_range_board,$B166,date_range_board,F162)/SUMIFS(All_Attendances,site_level_range_board,$B166,date_range_board,F162),"0.0%"))),"")</f>
        <v>97.6%</v>
      </c>
      <c r="G166" s="165" t="str">
        <f ca="1">IFERROR(IF(ISNUMBER(FIND("ED only",$B$4)),IF(LEFT($B$7,6)="Number",SUMIFS(Comparison_Lookup,site_level_range_board,$B166,date_range_board,G162,inputdata!$F:$F,"ED"),TEXT(SUMIFS(Comparison_Lookup,site_level_range_board,$B166,date_range_board,G162,inputdata!$F:$F,"ED")/SUMIFS(All_Attendances,site_level_range_board,$B166,date_range_board,G162,inputdata!$F:$F,"ED"),"0.0%")),IF(LEFT($B$7,6)="Number",SUMIFS(Comparison_Lookup,site_level_range_board,$B166,date_range_board,G162),TEXT(SUMIFS(Comparison_Lookup,site_level_range_board,$B166,date_range_board,G162)/SUMIFS(All_Attendances,site_level_range_board,$B166,date_range_board,G162),"0.0%"))),"")</f>
        <v>97.5%</v>
      </c>
      <c r="H166" s="165" t="str">
        <f ca="1">IFERROR(IF(ISNUMBER(FIND("ED only",$B$4)),IF(LEFT($B$7,6)="Number",SUMIFS(Comparison_Lookup,site_level_range_board,$B166,date_range_board,H162,inputdata!$F:$F,"ED"),TEXT(SUMIFS(Comparison_Lookup,site_level_range_board,$B166,date_range_board,H162,inputdata!$F:$F,"ED")/SUMIFS(All_Attendances,site_level_range_board,$B166,date_range_board,H162,inputdata!$F:$F,"ED"),"0.0%")),IF(LEFT($B$7,6)="Number",SUMIFS(Comparison_Lookup,site_level_range_board,$B166,date_range_board,H162),TEXT(SUMIFS(Comparison_Lookup,site_level_range_board,$B166,date_range_board,H162)/SUMIFS(All_Attendances,site_level_range_board,$B166,date_range_board,H162),"0.0%"))),"")</f>
        <v>96.1%</v>
      </c>
      <c r="I166" s="165" t="str">
        <f ca="1">IFERROR(IF(ISNUMBER(FIND("ED only",$B$4)),IF(LEFT($B$7,6)="Number",SUMIFS(Comparison_Lookup,site_level_range_board,$B166,date_range_board,I162,inputdata!$F:$F,"ED"),TEXT(SUMIFS(Comparison_Lookup,site_level_range_board,$B166,date_range_board,I162,inputdata!$F:$F,"ED")/SUMIFS(All_Attendances,site_level_range_board,$B166,date_range_board,I162,inputdata!$F:$F,"ED"),"0.0%")),IF(LEFT($B$7,6)="Number",SUMIFS(Comparison_Lookup,site_level_range_board,$B166,date_range_board,I162),TEXT(SUMIFS(Comparison_Lookup,site_level_range_board,$B166,date_range_board,I162)/SUMIFS(All_Attendances,site_level_range_board,$B166,date_range_board,I162),"0.0%"))),"")</f>
        <v>95.3%</v>
      </c>
      <c r="J166" s="165" t="str">
        <f ca="1">IFERROR(IF(ISNUMBER(FIND("ED only",$B$4)),IF(LEFT($B$7,6)="Number",SUMIFS(Comparison_Lookup,site_level_range_board,$B166,date_range_board,J162,inputdata!$F:$F,"ED"),TEXT(SUMIFS(Comparison_Lookup,site_level_range_board,$B166,date_range_board,J162,inputdata!$F:$F,"ED")/SUMIFS(All_Attendances,site_level_range_board,$B166,date_range_board,J162,inputdata!$F:$F,"ED"),"0.0%")),IF(LEFT($B$7,6)="Number",SUMIFS(Comparison_Lookup,site_level_range_board,$B166,date_range_board,J162),TEXT(SUMIFS(Comparison_Lookup,site_level_range_board,$B166,date_range_board,J162)/SUMIFS(All_Attendances,site_level_range_board,$B166,date_range_board,J162),"0.0%"))),"")</f>
        <v>99.3%</v>
      </c>
      <c r="K166" s="165" t="str">
        <f ca="1">IFERROR(IF(ISNUMBER(FIND("ED only",$B$4)),IF(LEFT($B$7,6)="Number",SUMIFS(Comparison_Lookup,site_level_range_board,$B166,date_range_board,K162,inputdata!$F:$F,"ED"),TEXT(SUMIFS(Comparison_Lookup,site_level_range_board,$B166,date_range_board,K162,inputdata!$F:$F,"ED")/SUMIFS(All_Attendances,site_level_range_board,$B166,date_range_board,K162,inputdata!$F:$F,"ED"),"0.0%")),IF(LEFT($B$7,6)="Number",SUMIFS(Comparison_Lookup,site_level_range_board,$B166,date_range_board,K162),TEXT(SUMIFS(Comparison_Lookup,site_level_range_board,$B166,date_range_board,K162)/SUMIFS(All_Attendances,site_level_range_board,$B166,date_range_board,K162),"0.0%"))),"")</f>
        <v>98.5%</v>
      </c>
      <c r="L166" s="165" t="str">
        <f ca="1">IFERROR(IF(ISNUMBER(FIND("ED only",$B$4)),IF(LEFT($B$7,6)="Number",SUMIFS(Comparison_Lookup,site_level_range_board,$B166,date_range_board,L162,inputdata!$F:$F,"ED"),TEXT(SUMIFS(Comparison_Lookup,site_level_range_board,$B166,date_range_board,L162,inputdata!$F:$F,"ED")/SUMIFS(All_Attendances,site_level_range_board,$B166,date_range_board,L162,inputdata!$F:$F,"ED"),"0.0%")),IF(LEFT($B$7,6)="Number",SUMIFS(Comparison_Lookup,site_level_range_board,$B166,date_range_board,L162),TEXT(SUMIFS(Comparison_Lookup,site_level_range_board,$B166,date_range_board,L162)/SUMIFS(All_Attendances,site_level_range_board,$B166,date_range_board,L162),"0.0%"))),"")</f>
        <v>97.4%</v>
      </c>
      <c r="M166" s="165" t="str">
        <f ca="1">IFERROR(IF(ISNUMBER(FIND("ED only",$B$4)),IF(LEFT($B$7,6)="Number",SUMIFS(Comparison_Lookup,site_level_range_board,$B166,date_range_board,M162,inputdata!$F:$F,"ED"),TEXT(SUMIFS(Comparison_Lookup,site_level_range_board,$B166,date_range_board,M162,inputdata!$F:$F,"ED")/SUMIFS(All_Attendances,site_level_range_board,$B166,date_range_board,M162,inputdata!$F:$F,"ED"),"0.0%")),IF(LEFT($B$7,6)="Number",SUMIFS(Comparison_Lookup,site_level_range_board,$B166,date_range_board,M162),TEXT(SUMIFS(Comparison_Lookup,site_level_range_board,$B166,date_range_board,M162)/SUMIFS(All_Attendances,site_level_range_board,$B166,date_range_board,M162),"0.0%"))),"")</f>
        <v>96.0%</v>
      </c>
      <c r="N166" s="171" t="str">
        <f ca="1">IFERROR(IF(ISNUMBER(FIND("ED only",$B$4)),IF(LEFT($B$7,6)="Number",SUMIFS(Comparison_Lookup,site_level_range_board,$B166,date_range_board,N162,inputdata!$F:$F,"ED"),TEXT(SUMIFS(Comparison_Lookup,site_level_range_board,$B166,date_range_board,N162,inputdata!$F:$F,"ED")/SUMIFS(All_Attendances,site_level_range_board,$B166,date_range_board,N162,inputdata!$F:$F,"ED"),"0.0%")),IF(LEFT($B$7,6)="Number",SUMIFS(Comparison_Lookup,site_level_range_board,$B166,date_range_board,N162),TEXT(SUMIFS(Comparison_Lookup,site_level_range_board,$B166,date_range_board,N162)/SUMIFS(All_Attendances,site_level_range_board,$B166,date_range_board,N162),"0.0%"))),"")</f>
        <v>95.8%</v>
      </c>
    </row>
    <row r="167" spans="1:14" ht="15" customHeight="1" x14ac:dyDescent="0.2">
      <c r="A167" s="132"/>
      <c r="B167" s="152" t="s">
        <v>451</v>
      </c>
      <c r="C167" s="165" t="str">
        <f ca="1">IFERROR(IF(ISNUMBER(FIND("ED only",$B$4)),IF(LEFT($B$7,6)="Number",SUMIFS(Comparison_Lookup,site_level_range_board,$B167,date_range_board,C162,inputdata!$F:$F,"ED"),TEXT(SUMIFS(Comparison_Lookup,site_level_range_board,$B167,date_range_board,C162,inputdata!$F:$F,"ED")/SUMIFS(All_Attendances,site_level_range_board,$B167,date_range_board,C162,inputdata!$F:$F,"ED"),"0.0%")),IF(LEFT($B$7,6)="Number",SUMIFS(Comparison_Lookup,site_level_range_board,$B167,date_range_board,C162),TEXT(SUMIFS(Comparison_Lookup,site_level_range_board,$B167,date_range_board,C162)/SUMIFS(All_Attendances,site_level_range_board,$B167,date_range_board,C162),"0.0%"))),"")</f>
        <v>87.0%</v>
      </c>
      <c r="D167" s="165" t="str">
        <f ca="1">IFERROR(IF(ISNUMBER(FIND("ED only",$B$4)),IF(LEFT($B$7,6)="Number",SUMIFS(Comparison_Lookup,site_level_range_board,$B167,date_range_board,D162,inputdata!$F:$F,"ED"),TEXT(SUMIFS(Comparison_Lookup,site_level_range_board,$B167,date_range_board,D162,inputdata!$F:$F,"ED")/SUMIFS(All_Attendances,site_level_range_board,$B167,date_range_board,D162,inputdata!$F:$F,"ED"),"0.0%")),IF(LEFT($B$7,6)="Number",SUMIFS(Comparison_Lookup,site_level_range_board,$B167,date_range_board,D162),TEXT(SUMIFS(Comparison_Lookup,site_level_range_board,$B167,date_range_board,D162)/SUMIFS(All_Attendances,site_level_range_board,$B167,date_range_board,D162),"0.0%"))),"")</f>
        <v>96.2%</v>
      </c>
      <c r="E167" s="165" t="str">
        <f ca="1">IFERROR(IF(ISNUMBER(FIND("ED only",$B$4)),IF(LEFT($B$7,6)="Number",SUMIFS(Comparison_Lookup,site_level_range_board,$B167,date_range_board,E162,inputdata!$F:$F,"ED"),TEXT(SUMIFS(Comparison_Lookup,site_level_range_board,$B167,date_range_board,E162,inputdata!$F:$F,"ED")/SUMIFS(All_Attendances,site_level_range_board,$B167,date_range_board,E162,inputdata!$F:$F,"ED"),"0.0%")),IF(LEFT($B$7,6)="Number",SUMIFS(Comparison_Lookup,site_level_range_board,$B167,date_range_board,E162),TEXT(SUMIFS(Comparison_Lookup,site_level_range_board,$B167,date_range_board,E162)/SUMIFS(All_Attendances,site_level_range_board,$B167,date_range_board,E162),"0.0%"))),"")</f>
        <v>94.6%</v>
      </c>
      <c r="F167" s="165" t="str">
        <f ca="1">IFERROR(IF(ISNUMBER(FIND("ED only",$B$4)),IF(LEFT($B$7,6)="Number",SUMIFS(Comparison_Lookup,site_level_range_board,$B167,date_range_board,F162,inputdata!$F:$F,"ED"),TEXT(SUMIFS(Comparison_Lookup,site_level_range_board,$B167,date_range_board,F162,inputdata!$F:$F,"ED")/SUMIFS(All_Attendances,site_level_range_board,$B167,date_range_board,F162,inputdata!$F:$F,"ED"),"0.0%")),IF(LEFT($B$7,6)="Number",SUMIFS(Comparison_Lookup,site_level_range_board,$B167,date_range_board,F162),TEXT(SUMIFS(Comparison_Lookup,site_level_range_board,$B167,date_range_board,F162)/SUMIFS(All_Attendances,site_level_range_board,$B167,date_range_board,F162),"0.0%"))),"")</f>
        <v>96.3%</v>
      </c>
      <c r="G167" s="165" t="str">
        <f ca="1">IFERROR(IF(ISNUMBER(FIND("ED only",$B$4)),IF(LEFT($B$7,6)="Number",SUMIFS(Comparison_Lookup,site_level_range_board,$B167,date_range_board,G162,inputdata!$F:$F,"ED"),TEXT(SUMIFS(Comparison_Lookup,site_level_range_board,$B167,date_range_board,G162,inputdata!$F:$F,"ED")/SUMIFS(All_Attendances,site_level_range_board,$B167,date_range_board,G162,inputdata!$F:$F,"ED"),"0.0%")),IF(LEFT($B$7,6)="Number",SUMIFS(Comparison_Lookup,site_level_range_board,$B167,date_range_board,G162),TEXT(SUMIFS(Comparison_Lookup,site_level_range_board,$B167,date_range_board,G162)/SUMIFS(All_Attendances,site_level_range_board,$B167,date_range_board,G162),"0.0%"))),"")</f>
        <v>93.1%</v>
      </c>
      <c r="H167" s="165" t="str">
        <f ca="1">IFERROR(IF(ISNUMBER(FIND("ED only",$B$4)),IF(LEFT($B$7,6)="Number",SUMIFS(Comparison_Lookup,site_level_range_board,$B167,date_range_board,H162,inputdata!$F:$F,"ED"),TEXT(SUMIFS(Comparison_Lookup,site_level_range_board,$B167,date_range_board,H162,inputdata!$F:$F,"ED")/SUMIFS(All_Attendances,site_level_range_board,$B167,date_range_board,H162,inputdata!$F:$F,"ED"),"0.0%")),IF(LEFT($B$7,6)="Number",SUMIFS(Comparison_Lookup,site_level_range_board,$B167,date_range_board,H162),TEXT(SUMIFS(Comparison_Lookup,site_level_range_board,$B167,date_range_board,H162)/SUMIFS(All_Attendances,site_level_range_board,$B167,date_range_board,H162),"0.0%"))),"")</f>
        <v>93.4%</v>
      </c>
      <c r="I167" s="165" t="str">
        <f ca="1">IFERROR(IF(ISNUMBER(FIND("ED only",$B$4)),IF(LEFT($B$7,6)="Number",SUMIFS(Comparison_Lookup,site_level_range_board,$B167,date_range_board,I162,inputdata!$F:$F,"ED"),TEXT(SUMIFS(Comparison_Lookup,site_level_range_board,$B167,date_range_board,I162,inputdata!$F:$F,"ED")/SUMIFS(All_Attendances,site_level_range_board,$B167,date_range_board,I162,inputdata!$F:$F,"ED"),"0.0%")),IF(LEFT($B$7,6)="Number",SUMIFS(Comparison_Lookup,site_level_range_board,$B167,date_range_board,I162),TEXT(SUMIFS(Comparison_Lookup,site_level_range_board,$B167,date_range_board,I162)/SUMIFS(All_Attendances,site_level_range_board,$B167,date_range_board,I162),"0.0%"))),"")</f>
        <v>93.3%</v>
      </c>
      <c r="J167" s="165" t="str">
        <f ca="1">IFERROR(IF(ISNUMBER(FIND("ED only",$B$4)),IF(LEFT($B$7,6)="Number",SUMIFS(Comparison_Lookup,site_level_range_board,$B167,date_range_board,J162,inputdata!$F:$F,"ED"),TEXT(SUMIFS(Comparison_Lookup,site_level_range_board,$B167,date_range_board,J162,inputdata!$F:$F,"ED")/SUMIFS(All_Attendances,site_level_range_board,$B167,date_range_board,J162,inputdata!$F:$F,"ED"),"0.0%")),IF(LEFT($B$7,6)="Number",SUMIFS(Comparison_Lookup,site_level_range_board,$B167,date_range_board,J162),TEXT(SUMIFS(Comparison_Lookup,site_level_range_board,$B167,date_range_board,J162)/SUMIFS(All_Attendances,site_level_range_board,$B167,date_range_board,J162),"0.0%"))),"")</f>
        <v>95.1%</v>
      </c>
      <c r="K167" s="165" t="str">
        <f ca="1">IFERROR(IF(ISNUMBER(FIND("ED only",$B$4)),IF(LEFT($B$7,6)="Number",SUMIFS(Comparison_Lookup,site_level_range_board,$B167,date_range_board,K162,inputdata!$F:$F,"ED"),TEXT(SUMIFS(Comparison_Lookup,site_level_range_board,$B167,date_range_board,K162,inputdata!$F:$F,"ED")/SUMIFS(All_Attendances,site_level_range_board,$B167,date_range_board,K162,inputdata!$F:$F,"ED"),"0.0%")),IF(LEFT($B$7,6)="Number",SUMIFS(Comparison_Lookup,site_level_range_board,$B167,date_range_board,K162),TEXT(SUMIFS(Comparison_Lookup,site_level_range_board,$B167,date_range_board,K162)/SUMIFS(All_Attendances,site_level_range_board,$B167,date_range_board,K162),"0.0%"))),"")</f>
        <v>93.6%</v>
      </c>
      <c r="L167" s="165" t="str">
        <f ca="1">IFERROR(IF(ISNUMBER(FIND("ED only",$B$4)),IF(LEFT($B$7,6)="Number",SUMIFS(Comparison_Lookup,site_level_range_board,$B167,date_range_board,L162,inputdata!$F:$F,"ED"),TEXT(SUMIFS(Comparison_Lookup,site_level_range_board,$B167,date_range_board,L162,inputdata!$F:$F,"ED")/SUMIFS(All_Attendances,site_level_range_board,$B167,date_range_board,L162,inputdata!$F:$F,"ED"),"0.0%")),IF(LEFT($B$7,6)="Number",SUMIFS(Comparison_Lookup,site_level_range_board,$B167,date_range_board,L162),TEXT(SUMIFS(Comparison_Lookup,site_level_range_board,$B167,date_range_board,L162)/SUMIFS(All_Attendances,site_level_range_board,$B167,date_range_board,L162),"0.0%"))),"")</f>
        <v>93.2%</v>
      </c>
      <c r="M167" s="165" t="str">
        <f ca="1">IFERROR(IF(ISNUMBER(FIND("ED only",$B$4)),IF(LEFT($B$7,6)="Number",SUMIFS(Comparison_Lookup,site_level_range_board,$B167,date_range_board,M162,inputdata!$F:$F,"ED"),TEXT(SUMIFS(Comparison_Lookup,site_level_range_board,$B167,date_range_board,M162,inputdata!$F:$F,"ED")/SUMIFS(All_Attendances,site_level_range_board,$B167,date_range_board,M162,inputdata!$F:$F,"ED"),"0.0%")),IF(LEFT($B$7,6)="Number",SUMIFS(Comparison_Lookup,site_level_range_board,$B167,date_range_board,M162),TEXT(SUMIFS(Comparison_Lookup,site_level_range_board,$B167,date_range_board,M162)/SUMIFS(All_Attendances,site_level_range_board,$B167,date_range_board,M162),"0.0%"))),"")</f>
        <v>97.6%</v>
      </c>
      <c r="N167" s="171" t="str">
        <f ca="1">IFERROR(IF(ISNUMBER(FIND("ED only",$B$4)),IF(LEFT($B$7,6)="Number",SUMIFS(Comparison_Lookup,site_level_range_board,$B167,date_range_board,N162,inputdata!$F:$F,"ED"),TEXT(SUMIFS(Comparison_Lookup,site_level_range_board,$B167,date_range_board,N162,inputdata!$F:$F,"ED")/SUMIFS(All_Attendances,site_level_range_board,$B167,date_range_board,N162,inputdata!$F:$F,"ED"),"0.0%")),IF(LEFT($B$7,6)="Number",SUMIFS(Comparison_Lookup,site_level_range_board,$B167,date_range_board,N162),TEXT(SUMIFS(Comparison_Lookup,site_level_range_board,$B167,date_range_board,N162)/SUMIFS(All_Attendances,site_level_range_board,$B167,date_range_board,N162),"0.0%"))),"")</f>
        <v>97.2%</v>
      </c>
    </row>
    <row r="168" spans="1:14" ht="15" customHeight="1" x14ac:dyDescent="0.2">
      <c r="A168" s="132"/>
      <c r="B168" s="152" t="s">
        <v>456</v>
      </c>
      <c r="C168" s="165" t="str">
        <f ca="1">IFERROR(IF(ISNUMBER(FIND("ED only",$B$4)),IF(LEFT($B$7,6)="Number",SUMIFS(Comparison_Lookup,site_level_range_board,$B168,date_range_board,C162,inputdata!$F:$F,"ED"),TEXT(SUMIFS(Comparison_Lookup,site_level_range_board,$B168,date_range_board,C162,inputdata!$F:$F,"ED")/SUMIFS(All_Attendances,site_level_range_board,$B168,date_range_board,C162,inputdata!$F:$F,"ED"),"0.0%")),IF(LEFT($B$7,6)="Number",SUMIFS(Comparison_Lookup,site_level_range_board,$B168,date_range_board,C162),TEXT(SUMIFS(Comparison_Lookup,site_level_range_board,$B168,date_range_board,C162)/SUMIFS(All_Attendances,site_level_range_board,$B168,date_range_board,C162),"0.0%"))),"")</f>
        <v>94.8%</v>
      </c>
      <c r="D168" s="165" t="str">
        <f ca="1">IFERROR(IF(ISNUMBER(FIND("ED only",$B$4)),IF(LEFT($B$7,6)="Number",SUMIFS(Comparison_Lookup,site_level_range_board,$B168,date_range_board,D162,inputdata!$F:$F,"ED"),TEXT(SUMIFS(Comparison_Lookup,site_level_range_board,$B168,date_range_board,D162,inputdata!$F:$F,"ED")/SUMIFS(All_Attendances,site_level_range_board,$B168,date_range_board,D162,inputdata!$F:$F,"ED"),"0.0%")),IF(LEFT($B$7,6)="Number",SUMIFS(Comparison_Lookup,site_level_range_board,$B168,date_range_board,D162),TEXT(SUMIFS(Comparison_Lookup,site_level_range_board,$B168,date_range_board,D162)/SUMIFS(All_Attendances,site_level_range_board,$B168,date_range_board,D162),"0.0%"))),"")</f>
        <v>97.2%</v>
      </c>
      <c r="E168" s="165" t="str">
        <f ca="1">IFERROR(IF(ISNUMBER(FIND("ED only",$B$4)),IF(LEFT($B$7,6)="Number",SUMIFS(Comparison_Lookup,site_level_range_board,$B168,date_range_board,E162,inputdata!$F:$F,"ED"),TEXT(SUMIFS(Comparison_Lookup,site_level_range_board,$B168,date_range_board,E162,inputdata!$F:$F,"ED")/SUMIFS(All_Attendances,site_level_range_board,$B168,date_range_board,E162,inputdata!$F:$F,"ED"),"0.0%")),IF(LEFT($B$7,6)="Number",SUMIFS(Comparison_Lookup,site_level_range_board,$B168,date_range_board,E162),TEXT(SUMIFS(Comparison_Lookup,site_level_range_board,$B168,date_range_board,E162)/SUMIFS(All_Attendances,site_level_range_board,$B168,date_range_board,E162),"0.0%"))),"")</f>
        <v>98.3%</v>
      </c>
      <c r="F168" s="165" t="str">
        <f ca="1">IFERROR(IF(ISNUMBER(FIND("ED only",$B$4)),IF(LEFT($B$7,6)="Number",SUMIFS(Comparison_Lookup,site_level_range_board,$B168,date_range_board,F162,inputdata!$F:$F,"ED"),TEXT(SUMIFS(Comparison_Lookup,site_level_range_board,$B168,date_range_board,F162,inputdata!$F:$F,"ED")/SUMIFS(All_Attendances,site_level_range_board,$B168,date_range_board,F162,inputdata!$F:$F,"ED"),"0.0%")),IF(LEFT($B$7,6)="Number",SUMIFS(Comparison_Lookup,site_level_range_board,$B168,date_range_board,F162),TEXT(SUMIFS(Comparison_Lookup,site_level_range_board,$B168,date_range_board,F162)/SUMIFS(All_Attendances,site_level_range_board,$B168,date_range_board,F162),"0.0%"))),"")</f>
        <v>98.6%</v>
      </c>
      <c r="G168" s="165" t="str">
        <f ca="1">IFERROR(IF(ISNUMBER(FIND("ED only",$B$4)),IF(LEFT($B$7,6)="Number",SUMIFS(Comparison_Lookup,site_level_range_board,$B168,date_range_board,G162,inputdata!$F:$F,"ED"),TEXT(SUMIFS(Comparison_Lookup,site_level_range_board,$B168,date_range_board,G162,inputdata!$F:$F,"ED")/SUMIFS(All_Attendances,site_level_range_board,$B168,date_range_board,G162,inputdata!$F:$F,"ED"),"0.0%")),IF(LEFT($B$7,6)="Number",SUMIFS(Comparison_Lookup,site_level_range_board,$B168,date_range_board,G162),TEXT(SUMIFS(Comparison_Lookup,site_level_range_board,$B168,date_range_board,G162)/SUMIFS(All_Attendances,site_level_range_board,$B168,date_range_board,G162),"0.0%"))),"")</f>
        <v>96.8%</v>
      </c>
      <c r="H168" s="165" t="str">
        <f ca="1">IFERROR(IF(ISNUMBER(FIND("ED only",$B$4)),IF(LEFT($B$7,6)="Number",SUMIFS(Comparison_Lookup,site_level_range_board,$B168,date_range_board,H162,inputdata!$F:$F,"ED"),TEXT(SUMIFS(Comparison_Lookup,site_level_range_board,$B168,date_range_board,H162,inputdata!$F:$F,"ED")/SUMIFS(All_Attendances,site_level_range_board,$B168,date_range_board,H162,inputdata!$F:$F,"ED"),"0.0%")),IF(LEFT($B$7,6)="Number",SUMIFS(Comparison_Lookup,site_level_range_board,$B168,date_range_board,H162),TEXT(SUMIFS(Comparison_Lookup,site_level_range_board,$B168,date_range_board,H162)/SUMIFS(All_Attendances,site_level_range_board,$B168,date_range_board,H162),"0.0%"))),"")</f>
        <v>96.4%</v>
      </c>
      <c r="I168" s="165" t="str">
        <f ca="1">IFERROR(IF(ISNUMBER(FIND("ED only",$B$4)),IF(LEFT($B$7,6)="Number",SUMIFS(Comparison_Lookup,site_level_range_board,$B168,date_range_board,I162,inputdata!$F:$F,"ED"),TEXT(SUMIFS(Comparison_Lookup,site_level_range_board,$B168,date_range_board,I162,inputdata!$F:$F,"ED")/SUMIFS(All_Attendances,site_level_range_board,$B168,date_range_board,I162,inputdata!$F:$F,"ED"),"0.0%")),IF(LEFT($B$7,6)="Number",SUMIFS(Comparison_Lookup,site_level_range_board,$B168,date_range_board,I162),TEXT(SUMIFS(Comparison_Lookup,site_level_range_board,$B168,date_range_board,I162)/SUMIFS(All_Attendances,site_level_range_board,$B168,date_range_board,I162),"0.0%"))),"")</f>
        <v>96.8%</v>
      </c>
      <c r="J168" s="165" t="str">
        <f ca="1">IFERROR(IF(ISNUMBER(FIND("ED only",$B$4)),IF(LEFT($B$7,6)="Number",SUMIFS(Comparison_Lookup,site_level_range_board,$B168,date_range_board,J162,inputdata!$F:$F,"ED"),TEXT(SUMIFS(Comparison_Lookup,site_level_range_board,$B168,date_range_board,J162,inputdata!$F:$F,"ED")/SUMIFS(All_Attendances,site_level_range_board,$B168,date_range_board,J162,inputdata!$F:$F,"ED"),"0.0%")),IF(LEFT($B$7,6)="Number",SUMIFS(Comparison_Lookup,site_level_range_board,$B168,date_range_board,J162),TEXT(SUMIFS(Comparison_Lookup,site_level_range_board,$B168,date_range_board,J162)/SUMIFS(All_Attendances,site_level_range_board,$B168,date_range_board,J162),"0.0%"))),"")</f>
        <v>97.1%</v>
      </c>
      <c r="K168" s="165" t="str">
        <f ca="1">IFERROR(IF(ISNUMBER(FIND("ED only",$B$4)),IF(LEFT($B$7,6)="Number",SUMIFS(Comparison_Lookup,site_level_range_board,$B168,date_range_board,K162,inputdata!$F:$F,"ED"),TEXT(SUMIFS(Comparison_Lookup,site_level_range_board,$B168,date_range_board,K162,inputdata!$F:$F,"ED")/SUMIFS(All_Attendances,site_level_range_board,$B168,date_range_board,K162,inputdata!$F:$F,"ED"),"0.0%")),IF(LEFT($B$7,6)="Number",SUMIFS(Comparison_Lookup,site_level_range_board,$B168,date_range_board,K162),TEXT(SUMIFS(Comparison_Lookup,site_level_range_board,$B168,date_range_board,K162)/SUMIFS(All_Attendances,site_level_range_board,$B168,date_range_board,K162),"0.0%"))),"")</f>
        <v>94.8%</v>
      </c>
      <c r="L168" s="165" t="str">
        <f ca="1">IFERROR(IF(ISNUMBER(FIND("ED only",$B$4)),IF(LEFT($B$7,6)="Number",SUMIFS(Comparison_Lookup,site_level_range_board,$B168,date_range_board,L162,inputdata!$F:$F,"ED"),TEXT(SUMIFS(Comparison_Lookup,site_level_range_board,$B168,date_range_board,L162,inputdata!$F:$F,"ED")/SUMIFS(All_Attendances,site_level_range_board,$B168,date_range_board,L162,inputdata!$F:$F,"ED"),"0.0%")),IF(LEFT($B$7,6)="Number",SUMIFS(Comparison_Lookup,site_level_range_board,$B168,date_range_board,L162),TEXT(SUMIFS(Comparison_Lookup,site_level_range_board,$B168,date_range_board,L162)/SUMIFS(All_Attendances,site_level_range_board,$B168,date_range_board,L162),"0.0%"))),"")</f>
        <v>95.4%</v>
      </c>
      <c r="M168" s="165" t="str">
        <f ca="1">IFERROR(IF(ISNUMBER(FIND("ED only",$B$4)),IF(LEFT($B$7,6)="Number",SUMIFS(Comparison_Lookup,site_level_range_board,$B168,date_range_board,M162,inputdata!$F:$F,"ED"),TEXT(SUMIFS(Comparison_Lookup,site_level_range_board,$B168,date_range_board,M162,inputdata!$F:$F,"ED")/SUMIFS(All_Attendances,site_level_range_board,$B168,date_range_board,M162,inputdata!$F:$F,"ED"),"0.0%")),IF(LEFT($B$7,6)="Number",SUMIFS(Comparison_Lookup,site_level_range_board,$B168,date_range_board,M162),TEXT(SUMIFS(Comparison_Lookup,site_level_range_board,$B168,date_range_board,M162)/SUMIFS(All_Attendances,site_level_range_board,$B168,date_range_board,M162),"0.0%"))),"")</f>
        <v>93.6%</v>
      </c>
      <c r="N168" s="171" t="str">
        <f ca="1">IFERROR(IF(ISNUMBER(FIND("ED only",$B$4)),IF(LEFT($B$7,6)="Number",SUMIFS(Comparison_Lookup,site_level_range_board,$B168,date_range_board,N162,inputdata!$F:$F,"ED"),TEXT(SUMIFS(Comparison_Lookup,site_level_range_board,$B168,date_range_board,N162,inputdata!$F:$F,"ED")/SUMIFS(All_Attendances,site_level_range_board,$B168,date_range_board,N162,inputdata!$F:$F,"ED"),"0.0%")),IF(LEFT($B$7,6)="Number",SUMIFS(Comparison_Lookup,site_level_range_board,$B168,date_range_board,N162),TEXT(SUMIFS(Comparison_Lookup,site_level_range_board,$B168,date_range_board,N162)/SUMIFS(All_Attendances,site_level_range_board,$B168,date_range_board,N162),"0.0%"))),"")</f>
        <v>95.0%</v>
      </c>
    </row>
    <row r="169" spans="1:14" ht="15" customHeight="1" x14ac:dyDescent="0.2">
      <c r="A169" s="132"/>
      <c r="B169" s="152" t="s">
        <v>491</v>
      </c>
      <c r="C169" s="165" t="str">
        <f ca="1">IFERROR(IF(ISNUMBER(FIND("ED only",$B$4)),IF(LEFT($B$7,6)="Number",SUMIFS(Comparison_Lookup,site_level_range_board,$B169,date_range_board,C162,inputdata!$F:$F,"ED"),TEXT(SUMIFS(Comparison_Lookup,site_level_range_board,$B169,date_range_board,C162,inputdata!$F:$F,"ED")/SUMIFS(All_Attendances,site_level_range_board,$B169,date_range_board,C162,inputdata!$F:$F,"ED"),"0.0%")),IF(LEFT($B$7,6)="Number",SUMIFS(Comparison_Lookup,site_level_range_board,$B169,date_range_board,C162),TEXT(SUMIFS(Comparison_Lookup,site_level_range_board,$B169,date_range_board,C162)/SUMIFS(All_Attendances,site_level_range_board,$B169,date_range_board,C162),"0.0%"))),"")</f>
        <v>91.1%</v>
      </c>
      <c r="D169" s="165" t="str">
        <f ca="1">IFERROR(IF(ISNUMBER(FIND("ED only",$B$4)),IF(LEFT($B$7,6)="Number",SUMIFS(Comparison_Lookup,site_level_range_board,$B169,date_range_board,D162,inputdata!$F:$F,"ED"),TEXT(SUMIFS(Comparison_Lookup,site_level_range_board,$B169,date_range_board,D162,inputdata!$F:$F,"ED")/SUMIFS(All_Attendances,site_level_range_board,$B169,date_range_board,D162,inputdata!$F:$F,"ED"),"0.0%")),IF(LEFT($B$7,6)="Number",SUMIFS(Comparison_Lookup,site_level_range_board,$B169,date_range_board,D162),TEXT(SUMIFS(Comparison_Lookup,site_level_range_board,$B169,date_range_board,D162)/SUMIFS(All_Attendances,site_level_range_board,$B169,date_range_board,D162),"0.0%"))),"")</f>
        <v>92.4%</v>
      </c>
      <c r="E169" s="165" t="str">
        <f ca="1">IFERROR(IF(ISNUMBER(FIND("ED only",$B$4)),IF(LEFT($B$7,6)="Number",SUMIFS(Comparison_Lookup,site_level_range_board,$B169,date_range_board,E162,inputdata!$F:$F,"ED"),TEXT(SUMIFS(Comparison_Lookup,site_level_range_board,$B169,date_range_board,E162,inputdata!$F:$F,"ED")/SUMIFS(All_Attendances,site_level_range_board,$B169,date_range_board,E162,inputdata!$F:$F,"ED"),"0.0%")),IF(LEFT($B$7,6)="Number",SUMIFS(Comparison_Lookup,site_level_range_board,$B169,date_range_board,E162),TEXT(SUMIFS(Comparison_Lookup,site_level_range_board,$B169,date_range_board,E162)/SUMIFS(All_Attendances,site_level_range_board,$B169,date_range_board,E162),"0.0%"))),"")</f>
        <v>91.7%</v>
      </c>
      <c r="F169" s="165" t="str">
        <f ca="1">IFERROR(IF(ISNUMBER(FIND("ED only",$B$4)),IF(LEFT($B$7,6)="Number",SUMIFS(Comparison_Lookup,site_level_range_board,$B169,date_range_board,F162,inputdata!$F:$F,"ED"),TEXT(SUMIFS(Comparison_Lookup,site_level_range_board,$B169,date_range_board,F162,inputdata!$F:$F,"ED")/SUMIFS(All_Attendances,site_level_range_board,$B169,date_range_board,F162,inputdata!$F:$F,"ED"),"0.0%")),IF(LEFT($B$7,6)="Number",SUMIFS(Comparison_Lookup,site_level_range_board,$B169,date_range_board,F162),TEXT(SUMIFS(Comparison_Lookup,site_level_range_board,$B169,date_range_board,F162)/SUMIFS(All_Attendances,site_level_range_board,$B169,date_range_board,F162),"0.0%"))),"")</f>
        <v>94.1%</v>
      </c>
      <c r="G169" s="165" t="str">
        <f ca="1">IFERROR(IF(ISNUMBER(FIND("ED only",$B$4)),IF(LEFT($B$7,6)="Number",SUMIFS(Comparison_Lookup,site_level_range_board,$B169,date_range_board,G162,inputdata!$F:$F,"ED"),TEXT(SUMIFS(Comparison_Lookup,site_level_range_board,$B169,date_range_board,G162,inputdata!$F:$F,"ED")/SUMIFS(All_Attendances,site_level_range_board,$B169,date_range_board,G162,inputdata!$F:$F,"ED"),"0.0%")),IF(LEFT($B$7,6)="Number",SUMIFS(Comparison_Lookup,site_level_range_board,$B169,date_range_board,G162),TEXT(SUMIFS(Comparison_Lookup,site_level_range_board,$B169,date_range_board,G162)/SUMIFS(All_Attendances,site_level_range_board,$B169,date_range_board,G162),"0.0%"))),"")</f>
        <v>93.7%</v>
      </c>
      <c r="H169" s="165" t="str">
        <f ca="1">IFERROR(IF(ISNUMBER(FIND("ED only",$B$4)),IF(LEFT($B$7,6)="Number",SUMIFS(Comparison_Lookup,site_level_range_board,$B169,date_range_board,H162,inputdata!$F:$F,"ED"),TEXT(SUMIFS(Comparison_Lookup,site_level_range_board,$B169,date_range_board,H162,inputdata!$F:$F,"ED")/SUMIFS(All_Attendances,site_level_range_board,$B169,date_range_board,H162,inputdata!$F:$F,"ED"),"0.0%")),IF(LEFT($B$7,6)="Number",SUMIFS(Comparison_Lookup,site_level_range_board,$B169,date_range_board,H162),TEXT(SUMIFS(Comparison_Lookup,site_level_range_board,$B169,date_range_board,H162)/SUMIFS(All_Attendances,site_level_range_board,$B169,date_range_board,H162),"0.0%"))),"")</f>
        <v>94.3%</v>
      </c>
      <c r="I169" s="165" t="str">
        <f ca="1">IFERROR(IF(ISNUMBER(FIND("ED only",$B$4)),IF(LEFT($B$7,6)="Number",SUMIFS(Comparison_Lookup,site_level_range_board,$B169,date_range_board,I162,inputdata!$F:$F,"ED"),TEXT(SUMIFS(Comparison_Lookup,site_level_range_board,$B169,date_range_board,I162,inputdata!$F:$F,"ED")/SUMIFS(All_Attendances,site_level_range_board,$B169,date_range_board,I162,inputdata!$F:$F,"ED"),"0.0%")),IF(LEFT($B$7,6)="Number",SUMIFS(Comparison_Lookup,site_level_range_board,$B169,date_range_board,I162),TEXT(SUMIFS(Comparison_Lookup,site_level_range_board,$B169,date_range_board,I162)/SUMIFS(All_Attendances,site_level_range_board,$B169,date_range_board,I162),"0.0%"))),"")</f>
        <v>92.0%</v>
      </c>
      <c r="J169" s="165" t="str">
        <f ca="1">IFERROR(IF(ISNUMBER(FIND("ED only",$B$4)),IF(LEFT($B$7,6)="Number",SUMIFS(Comparison_Lookup,site_level_range_board,$B169,date_range_board,J162,inputdata!$F:$F,"ED"),TEXT(SUMIFS(Comparison_Lookup,site_level_range_board,$B169,date_range_board,J162,inputdata!$F:$F,"ED")/SUMIFS(All_Attendances,site_level_range_board,$B169,date_range_board,J162,inputdata!$F:$F,"ED"),"0.0%")),IF(LEFT($B$7,6)="Number",SUMIFS(Comparison_Lookup,site_level_range_board,$B169,date_range_board,J162),TEXT(SUMIFS(Comparison_Lookup,site_level_range_board,$B169,date_range_board,J162)/SUMIFS(All_Attendances,site_level_range_board,$B169,date_range_board,J162),"0.0%"))),"")</f>
        <v>92.8%</v>
      </c>
      <c r="K169" s="165" t="str">
        <f ca="1">IFERROR(IF(ISNUMBER(FIND("ED only",$B$4)),IF(LEFT($B$7,6)="Number",SUMIFS(Comparison_Lookup,site_level_range_board,$B169,date_range_board,K162,inputdata!$F:$F,"ED"),TEXT(SUMIFS(Comparison_Lookup,site_level_range_board,$B169,date_range_board,K162,inputdata!$F:$F,"ED")/SUMIFS(All_Attendances,site_level_range_board,$B169,date_range_board,K162,inputdata!$F:$F,"ED"),"0.0%")),IF(LEFT($B$7,6)="Number",SUMIFS(Comparison_Lookup,site_level_range_board,$B169,date_range_board,K162),TEXT(SUMIFS(Comparison_Lookup,site_level_range_board,$B169,date_range_board,K162)/SUMIFS(All_Attendances,site_level_range_board,$B169,date_range_board,K162),"0.0%"))),"")</f>
        <v>90.6%</v>
      </c>
      <c r="L169" s="165" t="str">
        <f ca="1">IFERROR(IF(ISNUMBER(FIND("ED only",$B$4)),IF(LEFT($B$7,6)="Number",SUMIFS(Comparison_Lookup,site_level_range_board,$B169,date_range_board,L162,inputdata!$F:$F,"ED"),TEXT(SUMIFS(Comparison_Lookup,site_level_range_board,$B169,date_range_board,L162,inputdata!$F:$F,"ED")/SUMIFS(All_Attendances,site_level_range_board,$B169,date_range_board,L162,inputdata!$F:$F,"ED"),"0.0%")),IF(LEFT($B$7,6)="Number",SUMIFS(Comparison_Lookup,site_level_range_board,$B169,date_range_board,L162),TEXT(SUMIFS(Comparison_Lookup,site_level_range_board,$B169,date_range_board,L162)/SUMIFS(All_Attendances,site_level_range_board,$B169,date_range_board,L162),"0.0%"))),"")</f>
        <v>90.1%</v>
      </c>
      <c r="M169" s="165" t="str">
        <f ca="1">IFERROR(IF(ISNUMBER(FIND("ED only",$B$4)),IF(LEFT($B$7,6)="Number",SUMIFS(Comparison_Lookup,site_level_range_board,$B169,date_range_board,M162,inputdata!$F:$F,"ED"),TEXT(SUMIFS(Comparison_Lookup,site_level_range_board,$B169,date_range_board,M162,inputdata!$F:$F,"ED")/SUMIFS(All_Attendances,site_level_range_board,$B169,date_range_board,M162,inputdata!$F:$F,"ED"),"0.0%")),IF(LEFT($B$7,6)="Number",SUMIFS(Comparison_Lookup,site_level_range_board,$B169,date_range_board,M162),TEXT(SUMIFS(Comparison_Lookup,site_level_range_board,$B169,date_range_board,M162)/SUMIFS(All_Attendances,site_level_range_board,$B169,date_range_board,M162),"0.0%"))),"")</f>
        <v>88.5%</v>
      </c>
      <c r="N169" s="171" t="str">
        <f ca="1">IFERROR(IF(ISNUMBER(FIND("ED only",$B$4)),IF(LEFT($B$7,6)="Number",SUMIFS(Comparison_Lookup,site_level_range_board,$B169,date_range_board,N162,inputdata!$F:$F,"ED"),TEXT(SUMIFS(Comparison_Lookup,site_level_range_board,$B169,date_range_board,N162,inputdata!$F:$F,"ED")/SUMIFS(All_Attendances,site_level_range_board,$B169,date_range_board,N162,inputdata!$F:$F,"ED"),"0.0%")),IF(LEFT($B$7,6)="Number",SUMIFS(Comparison_Lookup,site_level_range_board,$B169,date_range_board,N162),TEXT(SUMIFS(Comparison_Lookup,site_level_range_board,$B169,date_range_board,N162)/SUMIFS(All_Attendances,site_level_range_board,$B169,date_range_board,N162),"0.0%"))),"")</f>
        <v>89.6%</v>
      </c>
    </row>
    <row r="170" spans="1:14" ht="15" customHeight="1" x14ac:dyDescent="0.2">
      <c r="A170" s="132"/>
      <c r="B170" s="152" t="s">
        <v>510</v>
      </c>
      <c r="C170" s="165" t="str">
        <f ca="1">IFERROR(IF(ISNUMBER(FIND("ED only",$B$4)),IF(LEFT($B$7,6)="Number",SUMIFS(Comparison_Lookup,site_level_range_board,$B170,date_range_board,C162,inputdata!$F:$F,"ED"),TEXT(SUMIFS(Comparison_Lookup,site_level_range_board,$B170,date_range_board,C162,inputdata!$F:$F,"ED")/SUMIFS(All_Attendances,site_level_range_board,$B170,date_range_board,C162,inputdata!$F:$F,"ED"),"0.0%")),IF(LEFT($B$7,6)="Number",SUMIFS(Comparison_Lookup,site_level_range_board,$B170,date_range_board,C162),TEXT(SUMIFS(Comparison_Lookup,site_level_range_board,$B170,date_range_board,C162)/SUMIFS(All_Attendances,site_level_range_board,$B170,date_range_board,C162),"0.0%"))),"")</f>
        <v>97.6%</v>
      </c>
      <c r="D170" s="165" t="str">
        <f ca="1">IFERROR(IF(ISNUMBER(FIND("ED only",$B$4)),IF(LEFT($B$7,6)="Number",SUMIFS(Comparison_Lookup,site_level_range_board,$B170,date_range_board,D162,inputdata!$F:$F,"ED"),TEXT(SUMIFS(Comparison_Lookup,site_level_range_board,$B170,date_range_board,D162,inputdata!$F:$F,"ED")/SUMIFS(All_Attendances,site_level_range_board,$B170,date_range_board,D162,inputdata!$F:$F,"ED"),"0.0%")),IF(LEFT($B$7,6)="Number",SUMIFS(Comparison_Lookup,site_level_range_board,$B170,date_range_board,D162),TEXT(SUMIFS(Comparison_Lookup,site_level_range_board,$B170,date_range_board,D162)/SUMIFS(All_Attendances,site_level_range_board,$B170,date_range_board,D162),"0.0%"))),"")</f>
        <v>97.3%</v>
      </c>
      <c r="E170" s="165" t="str">
        <f ca="1">IFERROR(IF(ISNUMBER(FIND("ED only",$B$4)),IF(LEFT($B$7,6)="Number",SUMIFS(Comparison_Lookup,site_level_range_board,$B170,date_range_board,E162,inputdata!$F:$F,"ED"),TEXT(SUMIFS(Comparison_Lookup,site_level_range_board,$B170,date_range_board,E162,inputdata!$F:$F,"ED")/SUMIFS(All_Attendances,site_level_range_board,$B170,date_range_board,E162,inputdata!$F:$F,"ED"),"0.0%")),IF(LEFT($B$7,6)="Number",SUMIFS(Comparison_Lookup,site_level_range_board,$B170,date_range_board,E162),TEXT(SUMIFS(Comparison_Lookup,site_level_range_board,$B170,date_range_board,E162)/SUMIFS(All_Attendances,site_level_range_board,$B170,date_range_board,E162),"0.0%"))),"")</f>
        <v>98.0%</v>
      </c>
      <c r="F170" s="165" t="str">
        <f ca="1">IFERROR(IF(ISNUMBER(FIND("ED only",$B$4)),IF(LEFT($B$7,6)="Number",SUMIFS(Comparison_Lookup,site_level_range_board,$B170,date_range_board,F162,inputdata!$F:$F,"ED"),TEXT(SUMIFS(Comparison_Lookup,site_level_range_board,$B170,date_range_board,F162,inputdata!$F:$F,"ED")/SUMIFS(All_Attendances,site_level_range_board,$B170,date_range_board,F162,inputdata!$F:$F,"ED"),"0.0%")),IF(LEFT($B$7,6)="Number",SUMIFS(Comparison_Lookup,site_level_range_board,$B170,date_range_board,F162),TEXT(SUMIFS(Comparison_Lookup,site_level_range_board,$B170,date_range_board,F162)/SUMIFS(All_Attendances,site_level_range_board,$B170,date_range_board,F162),"0.0%"))),"")</f>
        <v>98.2%</v>
      </c>
      <c r="G170" s="165" t="str">
        <f ca="1">IFERROR(IF(ISNUMBER(FIND("ED only",$B$4)),IF(LEFT($B$7,6)="Number",SUMIFS(Comparison_Lookup,site_level_range_board,$B170,date_range_board,G162,inputdata!$F:$F,"ED"),TEXT(SUMIFS(Comparison_Lookup,site_level_range_board,$B170,date_range_board,G162,inputdata!$F:$F,"ED")/SUMIFS(All_Attendances,site_level_range_board,$B170,date_range_board,G162,inputdata!$F:$F,"ED"),"0.0%")),IF(LEFT($B$7,6)="Number",SUMIFS(Comparison_Lookup,site_level_range_board,$B170,date_range_board,G162),TEXT(SUMIFS(Comparison_Lookup,site_level_range_board,$B170,date_range_board,G162)/SUMIFS(All_Attendances,site_level_range_board,$B170,date_range_board,G162),"0.0%"))),"")</f>
        <v>97.7%</v>
      </c>
      <c r="H170" s="165" t="str">
        <f ca="1">IFERROR(IF(ISNUMBER(FIND("ED only",$B$4)),IF(LEFT($B$7,6)="Number",SUMIFS(Comparison_Lookup,site_level_range_board,$B170,date_range_board,H162,inputdata!$F:$F,"ED"),TEXT(SUMIFS(Comparison_Lookup,site_level_range_board,$B170,date_range_board,H162,inputdata!$F:$F,"ED")/SUMIFS(All_Attendances,site_level_range_board,$B170,date_range_board,H162,inputdata!$F:$F,"ED"),"0.0%")),IF(LEFT($B$7,6)="Number",SUMIFS(Comparison_Lookup,site_level_range_board,$B170,date_range_board,H162),TEXT(SUMIFS(Comparison_Lookup,site_level_range_board,$B170,date_range_board,H162)/SUMIFS(All_Attendances,site_level_range_board,$B170,date_range_board,H162),"0.0%"))),"")</f>
        <v>97.6%</v>
      </c>
      <c r="I170" s="165" t="str">
        <f ca="1">IFERROR(IF(ISNUMBER(FIND("ED only",$B$4)),IF(LEFT($B$7,6)="Number",SUMIFS(Comparison_Lookup,site_level_range_board,$B170,date_range_board,I162,inputdata!$F:$F,"ED"),TEXT(SUMIFS(Comparison_Lookup,site_level_range_board,$B170,date_range_board,I162,inputdata!$F:$F,"ED")/SUMIFS(All_Attendances,site_level_range_board,$B170,date_range_board,I162,inputdata!$F:$F,"ED"),"0.0%")),IF(LEFT($B$7,6)="Number",SUMIFS(Comparison_Lookup,site_level_range_board,$B170,date_range_board,I162),TEXT(SUMIFS(Comparison_Lookup,site_level_range_board,$B170,date_range_board,I162)/SUMIFS(All_Attendances,site_level_range_board,$B170,date_range_board,I162),"0.0%"))),"")</f>
        <v>97.5%</v>
      </c>
      <c r="J170" s="165" t="str">
        <f ca="1">IFERROR(IF(ISNUMBER(FIND("ED only",$B$4)),IF(LEFT($B$7,6)="Number",SUMIFS(Comparison_Lookup,site_level_range_board,$B170,date_range_board,J162,inputdata!$F:$F,"ED"),TEXT(SUMIFS(Comparison_Lookup,site_level_range_board,$B170,date_range_board,J162,inputdata!$F:$F,"ED")/SUMIFS(All_Attendances,site_level_range_board,$B170,date_range_board,J162,inputdata!$F:$F,"ED"),"0.0%")),IF(LEFT($B$7,6)="Number",SUMIFS(Comparison_Lookup,site_level_range_board,$B170,date_range_board,J162),TEXT(SUMIFS(Comparison_Lookup,site_level_range_board,$B170,date_range_board,J162)/SUMIFS(All_Attendances,site_level_range_board,$B170,date_range_board,J162),"0.0%"))),"")</f>
        <v>97.7%</v>
      </c>
      <c r="K170" s="165" t="str">
        <f ca="1">IFERROR(IF(ISNUMBER(FIND("ED only",$B$4)),IF(LEFT($B$7,6)="Number",SUMIFS(Comparison_Lookup,site_level_range_board,$B170,date_range_board,K162,inputdata!$F:$F,"ED"),TEXT(SUMIFS(Comparison_Lookup,site_level_range_board,$B170,date_range_board,K162,inputdata!$F:$F,"ED")/SUMIFS(All_Attendances,site_level_range_board,$B170,date_range_board,K162,inputdata!$F:$F,"ED"),"0.0%")),IF(LEFT($B$7,6)="Number",SUMIFS(Comparison_Lookup,site_level_range_board,$B170,date_range_board,K162),TEXT(SUMIFS(Comparison_Lookup,site_level_range_board,$B170,date_range_board,K162)/SUMIFS(All_Attendances,site_level_range_board,$B170,date_range_board,K162),"0.0%"))),"")</f>
        <v>96.5%</v>
      </c>
      <c r="L170" s="165" t="str">
        <f ca="1">IFERROR(IF(ISNUMBER(FIND("ED only",$B$4)),IF(LEFT($B$7,6)="Number",SUMIFS(Comparison_Lookup,site_level_range_board,$B170,date_range_board,L162,inputdata!$F:$F,"ED"),TEXT(SUMIFS(Comparison_Lookup,site_level_range_board,$B170,date_range_board,L162,inputdata!$F:$F,"ED")/SUMIFS(All_Attendances,site_level_range_board,$B170,date_range_board,L162,inputdata!$F:$F,"ED"),"0.0%")),IF(LEFT($B$7,6)="Number",SUMIFS(Comparison_Lookup,site_level_range_board,$B170,date_range_board,L162),TEXT(SUMIFS(Comparison_Lookup,site_level_range_board,$B170,date_range_board,L162)/SUMIFS(All_Attendances,site_level_range_board,$B170,date_range_board,L162),"0.0%"))),"")</f>
        <v>97.2%</v>
      </c>
      <c r="M170" s="165" t="str">
        <f ca="1">IFERROR(IF(ISNUMBER(FIND("ED only",$B$4)),IF(LEFT($B$7,6)="Number",SUMIFS(Comparison_Lookup,site_level_range_board,$B170,date_range_board,M162,inputdata!$F:$F,"ED"),TEXT(SUMIFS(Comparison_Lookup,site_level_range_board,$B170,date_range_board,M162,inputdata!$F:$F,"ED")/SUMIFS(All_Attendances,site_level_range_board,$B170,date_range_board,M162,inputdata!$F:$F,"ED"),"0.0%")),IF(LEFT($B$7,6)="Number",SUMIFS(Comparison_Lookup,site_level_range_board,$B170,date_range_board,M162),TEXT(SUMIFS(Comparison_Lookup,site_level_range_board,$B170,date_range_board,M162)/SUMIFS(All_Attendances,site_level_range_board,$B170,date_range_board,M162),"0.0%"))),"")</f>
        <v>97.0%</v>
      </c>
      <c r="N170" s="171" t="str">
        <f ca="1">IFERROR(IF(ISNUMBER(FIND("ED only",$B$4)),IF(LEFT($B$7,6)="Number",SUMIFS(Comparison_Lookup,site_level_range_board,$B170,date_range_board,N162,inputdata!$F:$F,"ED"),TEXT(SUMIFS(Comparison_Lookup,site_level_range_board,$B170,date_range_board,N162,inputdata!$F:$F,"ED")/SUMIFS(All_Attendances,site_level_range_board,$B170,date_range_board,N162,inputdata!$F:$F,"ED"),"0.0%")),IF(LEFT($B$7,6)="Number",SUMIFS(Comparison_Lookup,site_level_range_board,$B170,date_range_board,N162),TEXT(SUMIFS(Comparison_Lookup,site_level_range_board,$B170,date_range_board,N162)/SUMIFS(All_Attendances,site_level_range_board,$B170,date_range_board,N162),"0.0%"))),"")</f>
        <v>96.7%</v>
      </c>
    </row>
    <row r="171" spans="1:14" ht="15" customHeight="1" x14ac:dyDescent="0.2">
      <c r="A171" s="132"/>
      <c r="B171" s="152" t="s">
        <v>551</v>
      </c>
      <c r="C171" s="165" t="str">
        <f ca="1">IFERROR(IF(ISNUMBER(FIND("ED only",$B$4)),IF(LEFT($B$7,6)="Number",SUMIFS(Comparison_Lookup,site_level_range_board,$B171,date_range_board,C162,inputdata!$F:$F,"ED"),TEXT(SUMIFS(Comparison_Lookup,site_level_range_board,$B171,date_range_board,C162,inputdata!$F:$F,"ED")/SUMIFS(All_Attendances,site_level_range_board,$B171,date_range_board,C162,inputdata!$F:$F,"ED"),"0.0%")),IF(LEFT($B$7,6)="Number",SUMIFS(Comparison_Lookup,site_level_range_board,$B171,date_range_board,C162),TEXT(SUMIFS(Comparison_Lookup,site_level_range_board,$B171,date_range_board,C162)/SUMIFS(All_Attendances,site_level_range_board,$B171,date_range_board,C162),"0.0%"))),"")</f>
        <v>87.9%</v>
      </c>
      <c r="D171" s="165" t="str">
        <f ca="1">IFERROR(IF(ISNUMBER(FIND("ED only",$B$4)),IF(LEFT($B$7,6)="Number",SUMIFS(Comparison_Lookup,site_level_range_board,$B171,date_range_board,D162,inputdata!$F:$F,"ED"),TEXT(SUMIFS(Comparison_Lookup,site_level_range_board,$B171,date_range_board,D162,inputdata!$F:$F,"ED")/SUMIFS(All_Attendances,site_level_range_board,$B171,date_range_board,D162,inputdata!$F:$F,"ED"),"0.0%")),IF(LEFT($B$7,6)="Number",SUMIFS(Comparison_Lookup,site_level_range_board,$B171,date_range_board,D162),TEXT(SUMIFS(Comparison_Lookup,site_level_range_board,$B171,date_range_board,D162)/SUMIFS(All_Attendances,site_level_range_board,$B171,date_range_board,D162),"0.0%"))),"")</f>
        <v>91.6%</v>
      </c>
      <c r="E171" s="165" t="str">
        <f ca="1">IFERROR(IF(ISNUMBER(FIND("ED only",$B$4)),IF(LEFT($B$7,6)="Number",SUMIFS(Comparison_Lookup,site_level_range_board,$B171,date_range_board,E162,inputdata!$F:$F,"ED"),TEXT(SUMIFS(Comparison_Lookup,site_level_range_board,$B171,date_range_board,E162,inputdata!$F:$F,"ED")/SUMIFS(All_Attendances,site_level_range_board,$B171,date_range_board,E162,inputdata!$F:$F,"ED"),"0.0%")),IF(LEFT($B$7,6)="Number",SUMIFS(Comparison_Lookup,site_level_range_board,$B171,date_range_board,E162),TEXT(SUMIFS(Comparison_Lookup,site_level_range_board,$B171,date_range_board,E162)/SUMIFS(All_Attendances,site_level_range_board,$B171,date_range_board,E162),"0.0%"))),"")</f>
        <v>92.6%</v>
      </c>
      <c r="F171" s="165" t="str">
        <f ca="1">IFERROR(IF(ISNUMBER(FIND("ED only",$B$4)),IF(LEFT($B$7,6)="Number",SUMIFS(Comparison_Lookup,site_level_range_board,$B171,date_range_board,F162,inputdata!$F:$F,"ED"),TEXT(SUMIFS(Comparison_Lookup,site_level_range_board,$B171,date_range_board,F162,inputdata!$F:$F,"ED")/SUMIFS(All_Attendances,site_level_range_board,$B171,date_range_board,F162,inputdata!$F:$F,"ED"),"0.0%")),IF(LEFT($B$7,6)="Number",SUMIFS(Comparison_Lookup,site_level_range_board,$B171,date_range_board,F162),TEXT(SUMIFS(Comparison_Lookup,site_level_range_board,$B171,date_range_board,F162)/SUMIFS(All_Attendances,site_level_range_board,$B171,date_range_board,F162),"0.0%"))),"")</f>
        <v>94.5%</v>
      </c>
      <c r="G171" s="165" t="str">
        <f ca="1">IFERROR(IF(ISNUMBER(FIND("ED only",$B$4)),IF(LEFT($B$7,6)="Number",SUMIFS(Comparison_Lookup,site_level_range_board,$B171,date_range_board,G162,inputdata!$F:$F,"ED"),TEXT(SUMIFS(Comparison_Lookup,site_level_range_board,$B171,date_range_board,G162,inputdata!$F:$F,"ED")/SUMIFS(All_Attendances,site_level_range_board,$B171,date_range_board,G162,inputdata!$F:$F,"ED"),"0.0%")),IF(LEFT($B$7,6)="Number",SUMIFS(Comparison_Lookup,site_level_range_board,$B171,date_range_board,G162),TEXT(SUMIFS(Comparison_Lookup,site_level_range_board,$B171,date_range_board,G162)/SUMIFS(All_Attendances,site_level_range_board,$B171,date_range_board,G162),"0.0%"))),"")</f>
        <v>93.0%</v>
      </c>
      <c r="H171" s="165" t="str">
        <f ca="1">IFERROR(IF(ISNUMBER(FIND("ED only",$B$4)),IF(LEFT($B$7,6)="Number",SUMIFS(Comparison_Lookup,site_level_range_board,$B171,date_range_board,H162,inputdata!$F:$F,"ED"),TEXT(SUMIFS(Comparison_Lookup,site_level_range_board,$B171,date_range_board,H162,inputdata!$F:$F,"ED")/SUMIFS(All_Attendances,site_level_range_board,$B171,date_range_board,H162,inputdata!$F:$F,"ED"),"0.0%")),IF(LEFT($B$7,6)="Number",SUMIFS(Comparison_Lookup,site_level_range_board,$B171,date_range_board,H162),TEXT(SUMIFS(Comparison_Lookup,site_level_range_board,$B171,date_range_board,H162)/SUMIFS(All_Attendances,site_level_range_board,$B171,date_range_board,H162),"0.0%"))),"")</f>
        <v>92.1%</v>
      </c>
      <c r="I171" s="165" t="str">
        <f ca="1">IFERROR(IF(ISNUMBER(FIND("ED only",$B$4)),IF(LEFT($B$7,6)="Number",SUMIFS(Comparison_Lookup,site_level_range_board,$B171,date_range_board,I162,inputdata!$F:$F,"ED"),TEXT(SUMIFS(Comparison_Lookup,site_level_range_board,$B171,date_range_board,I162,inputdata!$F:$F,"ED")/SUMIFS(All_Attendances,site_level_range_board,$B171,date_range_board,I162,inputdata!$F:$F,"ED"),"0.0%")),IF(LEFT($B$7,6)="Number",SUMIFS(Comparison_Lookup,site_level_range_board,$B171,date_range_board,I162),TEXT(SUMIFS(Comparison_Lookup,site_level_range_board,$B171,date_range_board,I162)/SUMIFS(All_Attendances,site_level_range_board,$B171,date_range_board,I162),"0.0%"))),"")</f>
        <v>90.0%</v>
      </c>
      <c r="J171" s="165" t="str">
        <f ca="1">IFERROR(IF(ISNUMBER(FIND("ED only",$B$4)),IF(LEFT($B$7,6)="Number",SUMIFS(Comparison_Lookup,site_level_range_board,$B171,date_range_board,J162,inputdata!$F:$F,"ED"),TEXT(SUMIFS(Comparison_Lookup,site_level_range_board,$B171,date_range_board,J162,inputdata!$F:$F,"ED")/SUMIFS(All_Attendances,site_level_range_board,$B171,date_range_board,J162,inputdata!$F:$F,"ED"),"0.0%")),IF(LEFT($B$7,6)="Number",SUMIFS(Comparison_Lookup,site_level_range_board,$B171,date_range_board,J162),TEXT(SUMIFS(Comparison_Lookup,site_level_range_board,$B171,date_range_board,J162)/SUMIFS(All_Attendances,site_level_range_board,$B171,date_range_board,J162),"0.0%"))),"")</f>
        <v>92.3%</v>
      </c>
      <c r="K171" s="165" t="str">
        <f ca="1">IFERROR(IF(ISNUMBER(FIND("ED only",$B$4)),IF(LEFT($B$7,6)="Number",SUMIFS(Comparison_Lookup,site_level_range_board,$B171,date_range_board,K162,inputdata!$F:$F,"ED"),TEXT(SUMIFS(Comparison_Lookup,site_level_range_board,$B171,date_range_board,K162,inputdata!$F:$F,"ED")/SUMIFS(All_Attendances,site_level_range_board,$B171,date_range_board,K162,inputdata!$F:$F,"ED"),"0.0%")),IF(LEFT($B$7,6)="Number",SUMIFS(Comparison_Lookup,site_level_range_board,$B171,date_range_board,K162),TEXT(SUMIFS(Comparison_Lookup,site_level_range_board,$B171,date_range_board,K162)/SUMIFS(All_Attendances,site_level_range_board,$B171,date_range_board,K162),"0.0%"))),"")</f>
        <v>92.0%</v>
      </c>
      <c r="L171" s="165" t="str">
        <f ca="1">IFERROR(IF(ISNUMBER(FIND("ED only",$B$4)),IF(LEFT($B$7,6)="Number",SUMIFS(Comparison_Lookup,site_level_range_board,$B171,date_range_board,L162,inputdata!$F:$F,"ED"),TEXT(SUMIFS(Comparison_Lookup,site_level_range_board,$B171,date_range_board,L162,inputdata!$F:$F,"ED")/SUMIFS(All_Attendances,site_level_range_board,$B171,date_range_board,L162,inputdata!$F:$F,"ED"),"0.0%")),IF(LEFT($B$7,6)="Number",SUMIFS(Comparison_Lookup,site_level_range_board,$B171,date_range_board,L162),TEXT(SUMIFS(Comparison_Lookup,site_level_range_board,$B171,date_range_board,L162)/SUMIFS(All_Attendances,site_level_range_board,$B171,date_range_board,L162),"0.0%"))),"")</f>
        <v>88.9%</v>
      </c>
      <c r="M171" s="165" t="str">
        <f ca="1">IFERROR(IF(ISNUMBER(FIND("ED only",$B$4)),IF(LEFT($B$7,6)="Number",SUMIFS(Comparison_Lookup,site_level_range_board,$B171,date_range_board,M162,inputdata!$F:$F,"ED"),TEXT(SUMIFS(Comparison_Lookup,site_level_range_board,$B171,date_range_board,M162,inputdata!$F:$F,"ED")/SUMIFS(All_Attendances,site_level_range_board,$B171,date_range_board,M162,inputdata!$F:$F,"ED"),"0.0%")),IF(LEFT($B$7,6)="Number",SUMIFS(Comparison_Lookup,site_level_range_board,$B171,date_range_board,M162),TEXT(SUMIFS(Comparison_Lookup,site_level_range_board,$B171,date_range_board,M162)/SUMIFS(All_Attendances,site_level_range_board,$B171,date_range_board,M162),"0.0%"))),"")</f>
        <v>84.8%</v>
      </c>
      <c r="N171" s="171" t="str">
        <f ca="1">IFERROR(IF(ISNUMBER(FIND("ED only",$B$4)),IF(LEFT($B$7,6)="Number",SUMIFS(Comparison_Lookup,site_level_range_board,$B171,date_range_board,N162,inputdata!$F:$F,"ED"),TEXT(SUMIFS(Comparison_Lookup,site_level_range_board,$B171,date_range_board,N162,inputdata!$F:$F,"ED")/SUMIFS(All_Attendances,site_level_range_board,$B171,date_range_board,N162,inputdata!$F:$F,"ED"),"0.0%")),IF(LEFT($B$7,6)="Number",SUMIFS(Comparison_Lookup,site_level_range_board,$B171,date_range_board,N162),TEXT(SUMIFS(Comparison_Lookup,site_level_range_board,$B171,date_range_board,N162)/SUMIFS(All_Attendances,site_level_range_board,$B171,date_range_board,N162),"0.0%"))),"")</f>
        <v>92.4%</v>
      </c>
    </row>
    <row r="172" spans="1:14" ht="15" customHeight="1" x14ac:dyDescent="0.2">
      <c r="A172" s="132"/>
      <c r="B172" s="152" t="s">
        <v>562</v>
      </c>
      <c r="C172" s="165" t="str">
        <f ca="1">IFERROR(IF(ISNUMBER(FIND("ED only",$B$4)),IF(LEFT($B$7,6)="Number",SUMIFS(Comparison_Lookup,site_level_range_board,$B172,date_range_board,C162,inputdata!$F:$F,"ED"),TEXT(SUMIFS(Comparison_Lookup,site_level_range_board,$B172,date_range_board,C162,inputdata!$F:$F,"ED")/SUMIFS(All_Attendances,site_level_range_board,$B172,date_range_board,C162,inputdata!$F:$F,"ED"),"0.0%")),IF(LEFT($B$7,6)="Number",SUMIFS(Comparison_Lookup,site_level_range_board,$B172,date_range_board,C162),TEXT(SUMIFS(Comparison_Lookup,site_level_range_board,$B172,date_range_board,C162)/SUMIFS(All_Attendances,site_level_range_board,$B172,date_range_board,C162),"0.0%"))),"")</f>
        <v>88.6%</v>
      </c>
      <c r="D172" s="165" t="str">
        <f ca="1">IFERROR(IF(ISNUMBER(FIND("ED only",$B$4)),IF(LEFT($B$7,6)="Number",SUMIFS(Comparison_Lookup,site_level_range_board,$B172,date_range_board,D162,inputdata!$F:$F,"ED"),TEXT(SUMIFS(Comparison_Lookup,site_level_range_board,$B172,date_range_board,D162,inputdata!$F:$F,"ED")/SUMIFS(All_Attendances,site_level_range_board,$B172,date_range_board,D162,inputdata!$F:$F,"ED"),"0.0%")),IF(LEFT($B$7,6)="Number",SUMIFS(Comparison_Lookup,site_level_range_board,$B172,date_range_board,D162),TEXT(SUMIFS(Comparison_Lookup,site_level_range_board,$B172,date_range_board,D162)/SUMIFS(All_Attendances,site_level_range_board,$B172,date_range_board,D162),"0.0%"))),"")</f>
        <v>94.9%</v>
      </c>
      <c r="E172" s="165" t="str">
        <f ca="1">IFERROR(IF(ISNUMBER(FIND("ED only",$B$4)),IF(LEFT($B$7,6)="Number",SUMIFS(Comparison_Lookup,site_level_range_board,$B172,date_range_board,E162,inputdata!$F:$F,"ED"),TEXT(SUMIFS(Comparison_Lookup,site_level_range_board,$B172,date_range_board,E162,inputdata!$F:$F,"ED")/SUMIFS(All_Attendances,site_level_range_board,$B172,date_range_board,E162,inputdata!$F:$F,"ED"),"0.0%")),IF(LEFT($B$7,6)="Number",SUMIFS(Comparison_Lookup,site_level_range_board,$B172,date_range_board,E162),TEXT(SUMIFS(Comparison_Lookup,site_level_range_board,$B172,date_range_board,E162)/SUMIFS(All_Attendances,site_level_range_board,$B172,date_range_board,E162),"0.0%"))),"")</f>
        <v>94.6%</v>
      </c>
      <c r="F172" s="165" t="str">
        <f ca="1">IFERROR(IF(ISNUMBER(FIND("ED only",$B$4)),IF(LEFT($B$7,6)="Number",SUMIFS(Comparison_Lookup,site_level_range_board,$B172,date_range_board,F162,inputdata!$F:$F,"ED"),TEXT(SUMIFS(Comparison_Lookup,site_level_range_board,$B172,date_range_board,F162,inputdata!$F:$F,"ED")/SUMIFS(All_Attendances,site_level_range_board,$B172,date_range_board,F162,inputdata!$F:$F,"ED"),"0.0%")),IF(LEFT($B$7,6)="Number",SUMIFS(Comparison_Lookup,site_level_range_board,$B172,date_range_board,F162),TEXT(SUMIFS(Comparison_Lookup,site_level_range_board,$B172,date_range_board,F162)/SUMIFS(All_Attendances,site_level_range_board,$B172,date_range_board,F162),"0.0%"))),"")</f>
        <v>95.1%</v>
      </c>
      <c r="G172" s="165" t="str">
        <f ca="1">IFERROR(IF(ISNUMBER(FIND("ED only",$B$4)),IF(LEFT($B$7,6)="Number",SUMIFS(Comparison_Lookup,site_level_range_board,$B172,date_range_board,G162,inputdata!$F:$F,"ED"),TEXT(SUMIFS(Comparison_Lookup,site_level_range_board,$B172,date_range_board,G162,inputdata!$F:$F,"ED")/SUMIFS(All_Attendances,site_level_range_board,$B172,date_range_board,G162,inputdata!$F:$F,"ED"),"0.0%")),IF(LEFT($B$7,6)="Number",SUMIFS(Comparison_Lookup,site_level_range_board,$B172,date_range_board,G162),TEXT(SUMIFS(Comparison_Lookup,site_level_range_board,$B172,date_range_board,G162)/SUMIFS(All_Attendances,site_level_range_board,$B172,date_range_board,G162),"0.0%"))),"")</f>
        <v>95.2%</v>
      </c>
      <c r="H172" s="165" t="str">
        <f ca="1">IFERROR(IF(ISNUMBER(FIND("ED only",$B$4)),IF(LEFT($B$7,6)="Number",SUMIFS(Comparison_Lookup,site_level_range_board,$B172,date_range_board,H162,inputdata!$F:$F,"ED"),TEXT(SUMIFS(Comparison_Lookup,site_level_range_board,$B172,date_range_board,H162,inputdata!$F:$F,"ED")/SUMIFS(All_Attendances,site_level_range_board,$B172,date_range_board,H162,inputdata!$F:$F,"ED"),"0.0%")),IF(LEFT($B$7,6)="Number",SUMIFS(Comparison_Lookup,site_level_range_board,$B172,date_range_board,H162),TEXT(SUMIFS(Comparison_Lookup,site_level_range_board,$B172,date_range_board,H162)/SUMIFS(All_Attendances,site_level_range_board,$B172,date_range_board,H162),"0.0%"))),"")</f>
        <v>94.0%</v>
      </c>
      <c r="I172" s="165" t="str">
        <f ca="1">IFERROR(IF(ISNUMBER(FIND("ED only",$B$4)),IF(LEFT($B$7,6)="Number",SUMIFS(Comparison_Lookup,site_level_range_board,$B172,date_range_board,I162,inputdata!$F:$F,"ED"),TEXT(SUMIFS(Comparison_Lookup,site_level_range_board,$B172,date_range_board,I162,inputdata!$F:$F,"ED")/SUMIFS(All_Attendances,site_level_range_board,$B172,date_range_board,I162,inputdata!$F:$F,"ED"),"0.0%")),IF(LEFT($B$7,6)="Number",SUMIFS(Comparison_Lookup,site_level_range_board,$B172,date_range_board,I162),TEXT(SUMIFS(Comparison_Lookup,site_level_range_board,$B172,date_range_board,I162)/SUMIFS(All_Attendances,site_level_range_board,$B172,date_range_board,I162),"0.0%"))),"")</f>
        <v>93.5%</v>
      </c>
      <c r="J172" s="165" t="str">
        <f ca="1">IFERROR(IF(ISNUMBER(FIND("ED only",$B$4)),IF(LEFT($B$7,6)="Number",SUMIFS(Comparison_Lookup,site_level_range_board,$B172,date_range_board,J162,inputdata!$F:$F,"ED"),TEXT(SUMIFS(Comparison_Lookup,site_level_range_board,$B172,date_range_board,J162,inputdata!$F:$F,"ED")/SUMIFS(All_Attendances,site_level_range_board,$B172,date_range_board,J162,inputdata!$F:$F,"ED"),"0.0%")),IF(LEFT($B$7,6)="Number",SUMIFS(Comparison_Lookup,site_level_range_board,$B172,date_range_board,J162),TEXT(SUMIFS(Comparison_Lookup,site_level_range_board,$B172,date_range_board,J162)/SUMIFS(All_Attendances,site_level_range_board,$B172,date_range_board,J162),"0.0%"))),"")</f>
        <v>93.7%</v>
      </c>
      <c r="K172" s="165" t="str">
        <f ca="1">IFERROR(IF(ISNUMBER(FIND("ED only",$B$4)),IF(LEFT($B$7,6)="Number",SUMIFS(Comparison_Lookup,site_level_range_board,$B172,date_range_board,K162,inputdata!$F:$F,"ED"),TEXT(SUMIFS(Comparison_Lookup,site_level_range_board,$B172,date_range_board,K162,inputdata!$F:$F,"ED")/SUMIFS(All_Attendances,site_level_range_board,$B172,date_range_board,K162,inputdata!$F:$F,"ED"),"0.0%")),IF(LEFT($B$7,6)="Number",SUMIFS(Comparison_Lookup,site_level_range_board,$B172,date_range_board,K162),TEXT(SUMIFS(Comparison_Lookup,site_level_range_board,$B172,date_range_board,K162)/SUMIFS(All_Attendances,site_level_range_board,$B172,date_range_board,K162),"0.0%"))),"")</f>
        <v>92.3%</v>
      </c>
      <c r="L172" s="165" t="str">
        <f ca="1">IFERROR(IF(ISNUMBER(FIND("ED only",$B$4)),IF(LEFT($B$7,6)="Number",SUMIFS(Comparison_Lookup,site_level_range_board,$B172,date_range_board,L162,inputdata!$F:$F,"ED"),TEXT(SUMIFS(Comparison_Lookup,site_level_range_board,$B172,date_range_board,L162,inputdata!$F:$F,"ED")/SUMIFS(All_Attendances,site_level_range_board,$B172,date_range_board,L162,inputdata!$F:$F,"ED"),"0.0%")),IF(LEFT($B$7,6)="Number",SUMIFS(Comparison_Lookup,site_level_range_board,$B172,date_range_board,L162),TEXT(SUMIFS(Comparison_Lookup,site_level_range_board,$B172,date_range_board,L162)/SUMIFS(All_Attendances,site_level_range_board,$B172,date_range_board,L162),"0.0%"))),"")</f>
        <v>90.4%</v>
      </c>
      <c r="M172" s="165" t="str">
        <f ca="1">IFERROR(IF(ISNUMBER(FIND("ED only",$B$4)),IF(LEFT($B$7,6)="Number",SUMIFS(Comparison_Lookup,site_level_range_board,$B172,date_range_board,M162,inputdata!$F:$F,"ED"),TEXT(SUMIFS(Comparison_Lookup,site_level_range_board,$B172,date_range_board,M162,inputdata!$F:$F,"ED")/SUMIFS(All_Attendances,site_level_range_board,$B172,date_range_board,M162,inputdata!$F:$F,"ED"),"0.0%")),IF(LEFT($B$7,6)="Number",SUMIFS(Comparison_Lookup,site_level_range_board,$B172,date_range_board,M162),TEXT(SUMIFS(Comparison_Lookup,site_level_range_board,$B172,date_range_board,M162)/SUMIFS(All_Attendances,site_level_range_board,$B172,date_range_board,M162),"0.0%"))),"")</f>
        <v>92.4%</v>
      </c>
      <c r="N172" s="171" t="str">
        <f ca="1">IFERROR(IF(ISNUMBER(FIND("ED only",$B$4)),IF(LEFT($B$7,6)="Number",SUMIFS(Comparison_Lookup,site_level_range_board,$B172,date_range_board,N162,inputdata!$F:$F,"ED"),TEXT(SUMIFS(Comparison_Lookup,site_level_range_board,$B172,date_range_board,N162,inputdata!$F:$F,"ED")/SUMIFS(All_Attendances,site_level_range_board,$B172,date_range_board,N162,inputdata!$F:$F,"ED"),"0.0%")),IF(LEFT($B$7,6)="Number",SUMIFS(Comparison_Lookup,site_level_range_board,$B172,date_range_board,N162),TEXT(SUMIFS(Comparison_Lookup,site_level_range_board,$B172,date_range_board,N162)/SUMIFS(All_Attendances,site_level_range_board,$B172,date_range_board,N162),"0.0%"))),"")</f>
        <v>92.2%</v>
      </c>
    </row>
    <row r="173" spans="1:14" ht="15" customHeight="1" x14ac:dyDescent="0.2">
      <c r="A173" s="132"/>
      <c r="B173" s="152" t="s">
        <v>571</v>
      </c>
      <c r="C173" s="165" t="str">
        <f ca="1">IFERROR(IF(ISNUMBER(FIND("ED only",$B$4)),IF(LEFT($B$7,6)="Number",SUMIFS(Comparison_Lookup,site_level_range_board,$B173,date_range_board,C162,inputdata!$F:$F,"ED"),TEXT(SUMIFS(Comparison_Lookup,site_level_range_board,$B173,date_range_board,C162,inputdata!$F:$F,"ED")/SUMIFS(All_Attendances,site_level_range_board,$B173,date_range_board,C162,inputdata!$F:$F,"ED"),"0.0%")),IF(LEFT($B$7,6)="Number",SUMIFS(Comparison_Lookup,site_level_range_board,$B173,date_range_board,C162),TEXT(SUMIFS(Comparison_Lookup,site_level_range_board,$B173,date_range_board,C162)/SUMIFS(All_Attendances,site_level_range_board,$B173,date_range_board,C162),"0.0%"))),"")</f>
        <v>98.0%</v>
      </c>
      <c r="D173" s="165" t="str">
        <f ca="1">IFERROR(IF(ISNUMBER(FIND("ED only",$B$4)),IF(LEFT($B$7,6)="Number",SUMIFS(Comparison_Lookup,site_level_range_board,$B173,date_range_board,D162,inputdata!$F:$F,"ED"),TEXT(SUMIFS(Comparison_Lookup,site_level_range_board,$B173,date_range_board,D162,inputdata!$F:$F,"ED")/SUMIFS(All_Attendances,site_level_range_board,$B173,date_range_board,D162,inputdata!$F:$F,"ED"),"0.0%")),IF(LEFT($B$7,6)="Number",SUMIFS(Comparison_Lookup,site_level_range_board,$B173,date_range_board,D162),TEXT(SUMIFS(Comparison_Lookup,site_level_range_board,$B173,date_range_board,D162)/SUMIFS(All_Attendances,site_level_range_board,$B173,date_range_board,D162),"0.0%"))),"")</f>
        <v>97.9%</v>
      </c>
      <c r="E173" s="165" t="str">
        <f ca="1">IFERROR(IF(ISNUMBER(FIND("ED only",$B$4)),IF(LEFT($B$7,6)="Number",SUMIFS(Comparison_Lookup,site_level_range_board,$B173,date_range_board,E162,inputdata!$F:$F,"ED"),TEXT(SUMIFS(Comparison_Lookup,site_level_range_board,$B173,date_range_board,E162,inputdata!$F:$F,"ED")/SUMIFS(All_Attendances,site_level_range_board,$B173,date_range_board,E162,inputdata!$F:$F,"ED"),"0.0%")),IF(LEFT($B$7,6)="Number",SUMIFS(Comparison_Lookup,site_level_range_board,$B173,date_range_board,E162),TEXT(SUMIFS(Comparison_Lookup,site_level_range_board,$B173,date_range_board,E162)/SUMIFS(All_Attendances,site_level_range_board,$B173,date_range_board,E162),"0.0%"))),"")</f>
        <v>98.2%</v>
      </c>
      <c r="F173" s="165" t="str">
        <f ca="1">IFERROR(IF(ISNUMBER(FIND("ED only",$B$4)),IF(LEFT($B$7,6)="Number",SUMIFS(Comparison_Lookup,site_level_range_board,$B173,date_range_board,F162,inputdata!$F:$F,"ED"),TEXT(SUMIFS(Comparison_Lookup,site_level_range_board,$B173,date_range_board,F162,inputdata!$F:$F,"ED")/SUMIFS(All_Attendances,site_level_range_board,$B173,date_range_board,F162,inputdata!$F:$F,"ED"),"0.0%")),IF(LEFT($B$7,6)="Number",SUMIFS(Comparison_Lookup,site_level_range_board,$B173,date_range_board,F162),TEXT(SUMIFS(Comparison_Lookup,site_level_range_board,$B173,date_range_board,F162)/SUMIFS(All_Attendances,site_level_range_board,$B173,date_range_board,F162),"0.0%"))),"")</f>
        <v>98.0%</v>
      </c>
      <c r="G173" s="165" t="str">
        <f ca="1">IFERROR(IF(ISNUMBER(FIND("ED only",$B$4)),IF(LEFT($B$7,6)="Number",SUMIFS(Comparison_Lookup,site_level_range_board,$B173,date_range_board,G162,inputdata!$F:$F,"ED"),TEXT(SUMIFS(Comparison_Lookup,site_level_range_board,$B173,date_range_board,G162,inputdata!$F:$F,"ED")/SUMIFS(All_Attendances,site_level_range_board,$B173,date_range_board,G162,inputdata!$F:$F,"ED"),"0.0%")),IF(LEFT($B$7,6)="Number",SUMIFS(Comparison_Lookup,site_level_range_board,$B173,date_range_board,G162),TEXT(SUMIFS(Comparison_Lookup,site_level_range_board,$B173,date_range_board,G162)/SUMIFS(All_Attendances,site_level_range_board,$B173,date_range_board,G162),"0.0%"))),"")</f>
        <v>98.8%</v>
      </c>
      <c r="H173" s="165" t="str">
        <f ca="1">IFERROR(IF(ISNUMBER(FIND("ED only",$B$4)),IF(LEFT($B$7,6)="Number",SUMIFS(Comparison_Lookup,site_level_range_board,$B173,date_range_board,H162,inputdata!$F:$F,"ED"),TEXT(SUMIFS(Comparison_Lookup,site_level_range_board,$B173,date_range_board,H162,inputdata!$F:$F,"ED")/SUMIFS(All_Attendances,site_level_range_board,$B173,date_range_board,H162,inputdata!$F:$F,"ED"),"0.0%")),IF(LEFT($B$7,6)="Number",SUMIFS(Comparison_Lookup,site_level_range_board,$B173,date_range_board,H162),TEXT(SUMIFS(Comparison_Lookup,site_level_range_board,$B173,date_range_board,H162)/SUMIFS(All_Attendances,site_level_range_board,$B173,date_range_board,H162),"0.0%"))),"")</f>
        <v>99.8%</v>
      </c>
      <c r="I173" s="165" t="str">
        <f ca="1">IFERROR(IF(ISNUMBER(FIND("ED only",$B$4)),IF(LEFT($B$7,6)="Number",SUMIFS(Comparison_Lookup,site_level_range_board,$B173,date_range_board,I162,inputdata!$F:$F,"ED"),TEXT(SUMIFS(Comparison_Lookup,site_level_range_board,$B173,date_range_board,I162,inputdata!$F:$F,"ED")/SUMIFS(All_Attendances,site_level_range_board,$B173,date_range_board,I162,inputdata!$F:$F,"ED"),"0.0%")),IF(LEFT($B$7,6)="Number",SUMIFS(Comparison_Lookup,site_level_range_board,$B173,date_range_board,I162),TEXT(SUMIFS(Comparison_Lookup,site_level_range_board,$B173,date_range_board,I162)/SUMIFS(All_Attendances,site_level_range_board,$B173,date_range_board,I162),"0.0%"))),"")</f>
        <v>98.8%</v>
      </c>
      <c r="J173" s="165" t="str">
        <f ca="1">IFERROR(IF(ISNUMBER(FIND("ED only",$B$4)),IF(LEFT($B$7,6)="Number",SUMIFS(Comparison_Lookup,site_level_range_board,$B173,date_range_board,J162,inputdata!$F:$F,"ED"),TEXT(SUMIFS(Comparison_Lookup,site_level_range_board,$B173,date_range_board,J162,inputdata!$F:$F,"ED")/SUMIFS(All_Attendances,site_level_range_board,$B173,date_range_board,J162,inputdata!$F:$F,"ED"),"0.0%")),IF(LEFT($B$7,6)="Number",SUMIFS(Comparison_Lookup,site_level_range_board,$B173,date_range_board,J162),TEXT(SUMIFS(Comparison_Lookup,site_level_range_board,$B173,date_range_board,J162)/SUMIFS(All_Attendances,site_level_range_board,$B173,date_range_board,J162),"0.0%"))),"")</f>
        <v>99.0%</v>
      </c>
      <c r="K173" s="165" t="str">
        <f ca="1">IFERROR(IF(ISNUMBER(FIND("ED only",$B$4)),IF(LEFT($B$7,6)="Number",SUMIFS(Comparison_Lookup,site_level_range_board,$B173,date_range_board,K162,inputdata!$F:$F,"ED"),TEXT(SUMIFS(Comparison_Lookup,site_level_range_board,$B173,date_range_board,K162,inputdata!$F:$F,"ED")/SUMIFS(All_Attendances,site_level_range_board,$B173,date_range_board,K162,inputdata!$F:$F,"ED"),"0.0%")),IF(LEFT($B$7,6)="Number",SUMIFS(Comparison_Lookup,site_level_range_board,$B173,date_range_board,K162),TEXT(SUMIFS(Comparison_Lookup,site_level_range_board,$B173,date_range_board,K162)/SUMIFS(All_Attendances,site_level_range_board,$B173,date_range_board,K162),"0.0%"))),"")</f>
        <v>98.7%</v>
      </c>
      <c r="L173" s="165" t="str">
        <f ca="1">IFERROR(IF(ISNUMBER(FIND("ED only",$B$4)),IF(LEFT($B$7,6)="Number",SUMIFS(Comparison_Lookup,site_level_range_board,$B173,date_range_board,L162,inputdata!$F:$F,"ED"),TEXT(SUMIFS(Comparison_Lookup,site_level_range_board,$B173,date_range_board,L162,inputdata!$F:$F,"ED")/SUMIFS(All_Attendances,site_level_range_board,$B173,date_range_board,L162,inputdata!$F:$F,"ED"),"0.0%")),IF(LEFT($B$7,6)="Number",SUMIFS(Comparison_Lookup,site_level_range_board,$B173,date_range_board,L162),TEXT(SUMIFS(Comparison_Lookup,site_level_range_board,$B173,date_range_board,L162)/SUMIFS(All_Attendances,site_level_range_board,$B173,date_range_board,L162),"0.0%"))),"")</f>
        <v>97.4%</v>
      </c>
      <c r="M173" s="165" t="str">
        <f ca="1">IFERROR(IF(ISNUMBER(FIND("ED only",$B$4)),IF(LEFT($B$7,6)="Number",SUMIFS(Comparison_Lookup,site_level_range_board,$B173,date_range_board,M162,inputdata!$F:$F,"ED"),TEXT(SUMIFS(Comparison_Lookup,site_level_range_board,$B173,date_range_board,M162,inputdata!$F:$F,"ED")/SUMIFS(All_Attendances,site_level_range_board,$B173,date_range_board,M162,inputdata!$F:$F,"ED"),"0.0%")),IF(LEFT($B$7,6)="Number",SUMIFS(Comparison_Lookup,site_level_range_board,$B173,date_range_board,M162),TEXT(SUMIFS(Comparison_Lookup,site_level_range_board,$B173,date_range_board,M162)/SUMIFS(All_Attendances,site_level_range_board,$B173,date_range_board,M162),"0.0%"))),"")</f>
        <v>98.5%</v>
      </c>
      <c r="N173" s="171" t="str">
        <f ca="1">IFERROR(IF(ISNUMBER(FIND("ED only",$B$4)),IF(LEFT($B$7,6)="Number",SUMIFS(Comparison_Lookup,site_level_range_board,$B173,date_range_board,N162,inputdata!$F:$F,"ED"),TEXT(SUMIFS(Comparison_Lookup,site_level_range_board,$B173,date_range_board,N162,inputdata!$F:$F,"ED")/SUMIFS(All_Attendances,site_level_range_board,$B173,date_range_board,N162,inputdata!$F:$F,"ED"),"0.0%")),IF(LEFT($B$7,6)="Number",SUMIFS(Comparison_Lookup,site_level_range_board,$B173,date_range_board,N162),TEXT(SUMIFS(Comparison_Lookup,site_level_range_board,$B173,date_range_board,N162)/SUMIFS(All_Attendances,site_level_range_board,$B173,date_range_board,N162),"0.0%"))),"")</f>
        <v>98.8%</v>
      </c>
    </row>
    <row r="174" spans="1:14" ht="15" customHeight="1" x14ac:dyDescent="0.2">
      <c r="A174" s="132"/>
      <c r="B174" s="152" t="s">
        <v>574</v>
      </c>
      <c r="C174" s="165" t="str">
        <f ca="1">IFERROR(IF(ISNUMBER(FIND("ED only",$B$4)),IF(LEFT($B$7,6)="Number",SUMIFS(Comparison_Lookup,site_level_range_board,$B174,date_range_board,C162,inputdata!$F:$F,"ED"),TEXT(SUMIFS(Comparison_Lookup,site_level_range_board,$B174,date_range_board,C162,inputdata!$F:$F,"ED")/SUMIFS(All_Attendances,site_level_range_board,$B174,date_range_board,C162,inputdata!$F:$F,"ED"),"0.0%")),IF(LEFT($B$7,6)="Number",SUMIFS(Comparison_Lookup,site_level_range_board,$B174,date_range_board,C162),TEXT(SUMIFS(Comparison_Lookup,site_level_range_board,$B174,date_range_board,C162)/SUMIFS(All_Attendances,site_level_range_board,$B174,date_range_board,C162),"0.0%"))),"")</f>
        <v>99.5%</v>
      </c>
      <c r="D174" s="165" t="str">
        <f ca="1">IFERROR(IF(ISNUMBER(FIND("ED only",$B$4)),IF(LEFT($B$7,6)="Number",SUMIFS(Comparison_Lookup,site_level_range_board,$B174,date_range_board,D162,inputdata!$F:$F,"ED"),TEXT(SUMIFS(Comparison_Lookup,site_level_range_board,$B174,date_range_board,D162,inputdata!$F:$F,"ED")/SUMIFS(All_Attendances,site_level_range_board,$B174,date_range_board,D162,inputdata!$F:$F,"ED"),"0.0%")),IF(LEFT($B$7,6)="Number",SUMIFS(Comparison_Lookup,site_level_range_board,$B174,date_range_board,D162),TEXT(SUMIFS(Comparison_Lookup,site_level_range_board,$B174,date_range_board,D162)/SUMIFS(All_Attendances,site_level_range_board,$B174,date_range_board,D162),"0.0%"))),"")</f>
        <v>97.7%</v>
      </c>
      <c r="E174" s="165" t="str">
        <f ca="1">IFERROR(IF(ISNUMBER(FIND("ED only",$B$4)),IF(LEFT($B$7,6)="Number",SUMIFS(Comparison_Lookup,site_level_range_board,$B174,date_range_board,E162,inputdata!$F:$F,"ED"),TEXT(SUMIFS(Comparison_Lookup,site_level_range_board,$B174,date_range_board,E162,inputdata!$F:$F,"ED")/SUMIFS(All_Attendances,site_level_range_board,$B174,date_range_board,E162,inputdata!$F:$F,"ED"),"0.0%")),IF(LEFT($B$7,6)="Number",SUMIFS(Comparison_Lookup,site_level_range_board,$B174,date_range_board,E162),TEXT(SUMIFS(Comparison_Lookup,site_level_range_board,$B174,date_range_board,E162)/SUMIFS(All_Attendances,site_level_range_board,$B174,date_range_board,E162),"0.0%"))),"")</f>
        <v>99.1%</v>
      </c>
      <c r="F174" s="165" t="str">
        <f ca="1">IFERROR(IF(ISNUMBER(FIND("ED only",$B$4)),IF(LEFT($B$7,6)="Number",SUMIFS(Comparison_Lookup,site_level_range_board,$B174,date_range_board,F162,inputdata!$F:$F,"ED"),TEXT(SUMIFS(Comparison_Lookup,site_level_range_board,$B174,date_range_board,F162,inputdata!$F:$F,"ED")/SUMIFS(All_Attendances,site_level_range_board,$B174,date_range_board,F162,inputdata!$F:$F,"ED"),"0.0%")),IF(LEFT($B$7,6)="Number",SUMIFS(Comparison_Lookup,site_level_range_board,$B174,date_range_board,F162),TEXT(SUMIFS(Comparison_Lookup,site_level_range_board,$B174,date_range_board,F162)/SUMIFS(All_Attendances,site_level_range_board,$B174,date_range_board,F162),"0.0%"))),"")</f>
        <v>99.7%</v>
      </c>
      <c r="G174" s="165" t="str">
        <f ca="1">IFERROR(IF(ISNUMBER(FIND("ED only",$B$4)),IF(LEFT($B$7,6)="Number",SUMIFS(Comparison_Lookup,site_level_range_board,$B174,date_range_board,G162,inputdata!$F:$F,"ED"),TEXT(SUMIFS(Comparison_Lookup,site_level_range_board,$B174,date_range_board,G162,inputdata!$F:$F,"ED")/SUMIFS(All_Attendances,site_level_range_board,$B174,date_range_board,G162,inputdata!$F:$F,"ED"),"0.0%")),IF(LEFT($B$7,6)="Number",SUMIFS(Comparison_Lookup,site_level_range_board,$B174,date_range_board,G162),TEXT(SUMIFS(Comparison_Lookup,site_level_range_board,$B174,date_range_board,G162)/SUMIFS(All_Attendances,site_level_range_board,$B174,date_range_board,G162),"0.0%"))),"")</f>
        <v>99.2%</v>
      </c>
      <c r="H174" s="165" t="str">
        <f ca="1">IFERROR(IF(ISNUMBER(FIND("ED only",$B$4)),IF(LEFT($B$7,6)="Number",SUMIFS(Comparison_Lookup,site_level_range_board,$B174,date_range_board,H162,inputdata!$F:$F,"ED"),TEXT(SUMIFS(Comparison_Lookup,site_level_range_board,$B174,date_range_board,H162,inputdata!$F:$F,"ED")/SUMIFS(All_Attendances,site_level_range_board,$B174,date_range_board,H162,inputdata!$F:$F,"ED"),"0.0%")),IF(LEFT($B$7,6)="Number",SUMIFS(Comparison_Lookup,site_level_range_board,$B174,date_range_board,H162),TEXT(SUMIFS(Comparison_Lookup,site_level_range_board,$B174,date_range_board,H162)/SUMIFS(All_Attendances,site_level_range_board,$B174,date_range_board,H162),"0.0%"))),"")</f>
        <v>98.4%</v>
      </c>
      <c r="I174" s="165" t="str">
        <f ca="1">IFERROR(IF(ISNUMBER(FIND("ED only",$B$4)),IF(LEFT($B$7,6)="Number",SUMIFS(Comparison_Lookup,site_level_range_board,$B174,date_range_board,I162,inputdata!$F:$F,"ED"),TEXT(SUMIFS(Comparison_Lookup,site_level_range_board,$B174,date_range_board,I162,inputdata!$F:$F,"ED")/SUMIFS(All_Attendances,site_level_range_board,$B174,date_range_board,I162,inputdata!$F:$F,"ED"),"0.0%")),IF(LEFT($B$7,6)="Number",SUMIFS(Comparison_Lookup,site_level_range_board,$B174,date_range_board,I162),TEXT(SUMIFS(Comparison_Lookup,site_level_range_board,$B174,date_range_board,I162)/SUMIFS(All_Attendances,site_level_range_board,$B174,date_range_board,I162),"0.0%"))),"")</f>
        <v>99.1%</v>
      </c>
      <c r="J174" s="165" t="str">
        <f ca="1">IFERROR(IF(ISNUMBER(FIND("ED only",$B$4)),IF(LEFT($B$7,6)="Number",SUMIFS(Comparison_Lookup,site_level_range_board,$B174,date_range_board,J162,inputdata!$F:$F,"ED"),TEXT(SUMIFS(Comparison_Lookup,site_level_range_board,$B174,date_range_board,J162,inputdata!$F:$F,"ED")/SUMIFS(All_Attendances,site_level_range_board,$B174,date_range_board,J162,inputdata!$F:$F,"ED"),"0.0%")),IF(LEFT($B$7,6)="Number",SUMIFS(Comparison_Lookup,site_level_range_board,$B174,date_range_board,J162),TEXT(SUMIFS(Comparison_Lookup,site_level_range_board,$B174,date_range_board,J162)/SUMIFS(All_Attendances,site_level_range_board,$B174,date_range_board,J162),"0.0%"))),"")</f>
        <v>99.3%</v>
      </c>
      <c r="K174" s="165" t="str">
        <f ca="1">IFERROR(IF(ISNUMBER(FIND("ED only",$B$4)),IF(LEFT($B$7,6)="Number",SUMIFS(Comparison_Lookup,site_level_range_board,$B174,date_range_board,K162,inputdata!$F:$F,"ED"),TEXT(SUMIFS(Comparison_Lookup,site_level_range_board,$B174,date_range_board,K162,inputdata!$F:$F,"ED")/SUMIFS(All_Attendances,site_level_range_board,$B174,date_range_board,K162,inputdata!$F:$F,"ED"),"0.0%")),IF(LEFT($B$7,6)="Number",SUMIFS(Comparison_Lookup,site_level_range_board,$B174,date_range_board,K162),TEXT(SUMIFS(Comparison_Lookup,site_level_range_board,$B174,date_range_board,K162)/SUMIFS(All_Attendances,site_level_range_board,$B174,date_range_board,K162),"0.0%"))),"")</f>
        <v>98.4%</v>
      </c>
      <c r="L174" s="165" t="str">
        <f ca="1">IFERROR(IF(ISNUMBER(FIND("ED only",$B$4)),IF(LEFT($B$7,6)="Number",SUMIFS(Comparison_Lookup,site_level_range_board,$B174,date_range_board,L162,inputdata!$F:$F,"ED"),TEXT(SUMIFS(Comparison_Lookup,site_level_range_board,$B174,date_range_board,L162,inputdata!$F:$F,"ED")/SUMIFS(All_Attendances,site_level_range_board,$B174,date_range_board,L162,inputdata!$F:$F,"ED"),"0.0%")),IF(LEFT($B$7,6)="Number",SUMIFS(Comparison_Lookup,site_level_range_board,$B174,date_range_board,L162),TEXT(SUMIFS(Comparison_Lookup,site_level_range_board,$B174,date_range_board,L162)/SUMIFS(All_Attendances,site_level_range_board,$B174,date_range_board,L162),"0.0%"))),"")</f>
        <v>97.7%</v>
      </c>
      <c r="M174" s="165" t="str">
        <f ca="1">IFERROR(IF(ISNUMBER(FIND("ED only",$B$4)),IF(LEFT($B$7,6)="Number",SUMIFS(Comparison_Lookup,site_level_range_board,$B174,date_range_board,M162,inputdata!$F:$F,"ED"),TEXT(SUMIFS(Comparison_Lookup,site_level_range_board,$B174,date_range_board,M162,inputdata!$F:$F,"ED")/SUMIFS(All_Attendances,site_level_range_board,$B174,date_range_board,M162,inputdata!$F:$F,"ED"),"0.0%")),IF(LEFT($B$7,6)="Number",SUMIFS(Comparison_Lookup,site_level_range_board,$B174,date_range_board,M162),TEXT(SUMIFS(Comparison_Lookup,site_level_range_board,$B174,date_range_board,M162)/SUMIFS(All_Attendances,site_level_range_board,$B174,date_range_board,M162),"0.0%"))),"")</f>
        <v>96.8%</v>
      </c>
      <c r="N174" s="171" t="str">
        <f ca="1">IFERROR(IF(ISNUMBER(FIND("ED only",$B$4)),IF(LEFT($B$7,6)="Number",SUMIFS(Comparison_Lookup,site_level_range_board,$B174,date_range_board,N162,inputdata!$F:$F,"ED"),TEXT(SUMIFS(Comparison_Lookup,site_level_range_board,$B174,date_range_board,N162,inputdata!$F:$F,"ED")/SUMIFS(All_Attendances,site_level_range_board,$B174,date_range_board,N162,inputdata!$F:$F,"ED"),"0.0%")),IF(LEFT($B$7,6)="Number",SUMIFS(Comparison_Lookup,site_level_range_board,$B174,date_range_board,N162),TEXT(SUMIFS(Comparison_Lookup,site_level_range_board,$B174,date_range_board,N162)/SUMIFS(All_Attendances,site_level_range_board,$B174,date_range_board,N162),"0.0%"))),"")</f>
        <v>98.7%</v>
      </c>
    </row>
    <row r="175" spans="1:14" ht="15" customHeight="1" x14ac:dyDescent="0.2">
      <c r="A175" s="132"/>
      <c r="B175" s="152" t="s">
        <v>577</v>
      </c>
      <c r="C175" s="165" t="str">
        <f ca="1">IFERROR(IF(ISNUMBER(FIND("ED only",$B$4)),IF(LEFT($B$7,6)="Number",SUMIFS(Comparison_Lookup,site_level_range_board,$B175,date_range_board,C162,inputdata!$F:$F,"ED"),TEXT(SUMIFS(Comparison_Lookup,site_level_range_board,$B175,date_range_board,C162,inputdata!$F:$F,"ED")/SUMIFS(All_Attendances,site_level_range_board,$B175,date_range_board,C162,inputdata!$F:$F,"ED"),"0.0%")),IF(LEFT($B$7,6)="Number",SUMIFS(Comparison_Lookup,site_level_range_board,$B175,date_range_board,C162),TEXT(SUMIFS(Comparison_Lookup,site_level_range_board,$B175,date_range_board,C162)/SUMIFS(All_Attendances,site_level_range_board,$B175,date_range_board,C162),"0.0%"))),"")</f>
        <v>98.8%</v>
      </c>
      <c r="D175" s="165" t="str">
        <f ca="1">IFERROR(IF(ISNUMBER(FIND("ED only",$B$4)),IF(LEFT($B$7,6)="Number",SUMIFS(Comparison_Lookup,site_level_range_board,$B175,date_range_board,D162,inputdata!$F:$F,"ED"),TEXT(SUMIFS(Comparison_Lookup,site_level_range_board,$B175,date_range_board,D162,inputdata!$F:$F,"ED")/SUMIFS(All_Attendances,site_level_range_board,$B175,date_range_board,D162,inputdata!$F:$F,"ED"),"0.0%")),IF(LEFT($B$7,6)="Number",SUMIFS(Comparison_Lookup,site_level_range_board,$B175,date_range_board,D162),TEXT(SUMIFS(Comparison_Lookup,site_level_range_board,$B175,date_range_board,D162)/SUMIFS(All_Attendances,site_level_range_board,$B175,date_range_board,D162),"0.0%"))),"")</f>
        <v>99.4%</v>
      </c>
      <c r="E175" s="165" t="str">
        <f ca="1">IFERROR(IF(ISNUMBER(FIND("ED only",$B$4)),IF(LEFT($B$7,6)="Number",SUMIFS(Comparison_Lookup,site_level_range_board,$B175,date_range_board,E162,inputdata!$F:$F,"ED"),TEXT(SUMIFS(Comparison_Lookup,site_level_range_board,$B175,date_range_board,E162,inputdata!$F:$F,"ED")/SUMIFS(All_Attendances,site_level_range_board,$B175,date_range_board,E162,inputdata!$F:$F,"ED"),"0.0%")),IF(LEFT($B$7,6)="Number",SUMIFS(Comparison_Lookup,site_level_range_board,$B175,date_range_board,E162),TEXT(SUMIFS(Comparison_Lookup,site_level_range_board,$B175,date_range_board,E162)/SUMIFS(All_Attendances,site_level_range_board,$B175,date_range_board,E162),"0.0%"))),"")</f>
        <v>99.2%</v>
      </c>
      <c r="F175" s="165" t="str">
        <f ca="1">IFERROR(IF(ISNUMBER(FIND("ED only",$B$4)),IF(LEFT($B$7,6)="Number",SUMIFS(Comparison_Lookup,site_level_range_board,$B175,date_range_board,F162,inputdata!$F:$F,"ED"),TEXT(SUMIFS(Comparison_Lookup,site_level_range_board,$B175,date_range_board,F162,inputdata!$F:$F,"ED")/SUMIFS(All_Attendances,site_level_range_board,$B175,date_range_board,F162,inputdata!$F:$F,"ED"),"0.0%")),IF(LEFT($B$7,6)="Number",SUMIFS(Comparison_Lookup,site_level_range_board,$B175,date_range_board,F162),TEXT(SUMIFS(Comparison_Lookup,site_level_range_board,$B175,date_range_board,F162)/SUMIFS(All_Attendances,site_level_range_board,$B175,date_range_board,F162),"0.0%"))),"")</f>
        <v>99.3%</v>
      </c>
      <c r="G175" s="165" t="str">
        <f ca="1">IFERROR(IF(ISNUMBER(FIND("ED only",$B$4)),IF(LEFT($B$7,6)="Number",SUMIFS(Comparison_Lookup,site_level_range_board,$B175,date_range_board,G162,inputdata!$F:$F,"ED"),TEXT(SUMIFS(Comparison_Lookup,site_level_range_board,$B175,date_range_board,G162,inputdata!$F:$F,"ED")/SUMIFS(All_Attendances,site_level_range_board,$B175,date_range_board,G162,inputdata!$F:$F,"ED"),"0.0%")),IF(LEFT($B$7,6)="Number",SUMIFS(Comparison_Lookup,site_level_range_board,$B175,date_range_board,G162),TEXT(SUMIFS(Comparison_Lookup,site_level_range_board,$B175,date_range_board,G162)/SUMIFS(All_Attendances,site_level_range_board,$B175,date_range_board,G162),"0.0%"))),"")</f>
        <v>99.0%</v>
      </c>
      <c r="H175" s="165" t="str">
        <f ca="1">IFERROR(IF(ISNUMBER(FIND("ED only",$B$4)),IF(LEFT($B$7,6)="Number",SUMIFS(Comparison_Lookup,site_level_range_board,$B175,date_range_board,H162,inputdata!$F:$F,"ED"),TEXT(SUMIFS(Comparison_Lookup,site_level_range_board,$B175,date_range_board,H162,inputdata!$F:$F,"ED")/SUMIFS(All_Attendances,site_level_range_board,$B175,date_range_board,H162,inputdata!$F:$F,"ED"),"0.0%")),IF(LEFT($B$7,6)="Number",SUMIFS(Comparison_Lookup,site_level_range_board,$B175,date_range_board,H162),TEXT(SUMIFS(Comparison_Lookup,site_level_range_board,$B175,date_range_board,H162)/SUMIFS(All_Attendances,site_level_range_board,$B175,date_range_board,H162),"0.0%"))),"")</f>
        <v>99.0%</v>
      </c>
      <c r="I175" s="165" t="str">
        <f ca="1">IFERROR(IF(ISNUMBER(FIND("ED only",$B$4)),IF(LEFT($B$7,6)="Number",SUMIFS(Comparison_Lookup,site_level_range_board,$B175,date_range_board,I162,inputdata!$F:$F,"ED"),TEXT(SUMIFS(Comparison_Lookup,site_level_range_board,$B175,date_range_board,I162,inputdata!$F:$F,"ED")/SUMIFS(All_Attendances,site_level_range_board,$B175,date_range_board,I162,inputdata!$F:$F,"ED"),"0.0%")),IF(LEFT($B$7,6)="Number",SUMIFS(Comparison_Lookup,site_level_range_board,$B175,date_range_board,I162),TEXT(SUMIFS(Comparison_Lookup,site_level_range_board,$B175,date_range_board,I162)/SUMIFS(All_Attendances,site_level_range_board,$B175,date_range_board,I162),"0.0%"))),"")</f>
        <v>99.2%</v>
      </c>
      <c r="J175" s="165" t="str">
        <f ca="1">IFERROR(IF(ISNUMBER(FIND("ED only",$B$4)),IF(LEFT($B$7,6)="Number",SUMIFS(Comparison_Lookup,site_level_range_board,$B175,date_range_board,J162,inputdata!$F:$F,"ED"),TEXT(SUMIFS(Comparison_Lookup,site_level_range_board,$B175,date_range_board,J162,inputdata!$F:$F,"ED")/SUMIFS(All_Attendances,site_level_range_board,$B175,date_range_board,J162,inputdata!$F:$F,"ED"),"0.0%")),IF(LEFT($B$7,6)="Number",SUMIFS(Comparison_Lookup,site_level_range_board,$B175,date_range_board,J162),TEXT(SUMIFS(Comparison_Lookup,site_level_range_board,$B175,date_range_board,J162)/SUMIFS(All_Attendances,site_level_range_board,$B175,date_range_board,J162),"0.0%"))),"")</f>
        <v>99.4%</v>
      </c>
      <c r="K175" s="165" t="str">
        <f ca="1">IFERROR(IF(ISNUMBER(FIND("ED only",$B$4)),IF(LEFT($B$7,6)="Number",SUMIFS(Comparison_Lookup,site_level_range_board,$B175,date_range_board,K162,inputdata!$F:$F,"ED"),TEXT(SUMIFS(Comparison_Lookup,site_level_range_board,$B175,date_range_board,K162,inputdata!$F:$F,"ED")/SUMIFS(All_Attendances,site_level_range_board,$B175,date_range_board,K162,inputdata!$F:$F,"ED"),"0.0%")),IF(LEFT($B$7,6)="Number",SUMIFS(Comparison_Lookup,site_level_range_board,$B175,date_range_board,K162),TEXT(SUMIFS(Comparison_Lookup,site_level_range_board,$B175,date_range_board,K162)/SUMIFS(All_Attendances,site_level_range_board,$B175,date_range_board,K162),"0.0%"))),"")</f>
        <v>99.2%</v>
      </c>
      <c r="L175" s="165" t="str">
        <f ca="1">IFERROR(IF(ISNUMBER(FIND("ED only",$B$4)),IF(LEFT($B$7,6)="Number",SUMIFS(Comparison_Lookup,site_level_range_board,$B175,date_range_board,L162,inputdata!$F:$F,"ED"),TEXT(SUMIFS(Comparison_Lookup,site_level_range_board,$B175,date_range_board,L162,inputdata!$F:$F,"ED")/SUMIFS(All_Attendances,site_level_range_board,$B175,date_range_board,L162,inputdata!$F:$F,"ED"),"0.0%")),IF(LEFT($B$7,6)="Number",SUMIFS(Comparison_Lookup,site_level_range_board,$B175,date_range_board,L162),TEXT(SUMIFS(Comparison_Lookup,site_level_range_board,$B175,date_range_board,L162)/SUMIFS(All_Attendances,site_level_range_board,$B175,date_range_board,L162),"0.0%"))),"")</f>
        <v>99.1%</v>
      </c>
      <c r="M175" s="165" t="str">
        <f ca="1">IFERROR(IF(ISNUMBER(FIND("ED only",$B$4)),IF(LEFT($B$7,6)="Number",SUMIFS(Comparison_Lookup,site_level_range_board,$B175,date_range_board,M162,inputdata!$F:$F,"ED"),TEXT(SUMIFS(Comparison_Lookup,site_level_range_board,$B175,date_range_board,M162,inputdata!$F:$F,"ED")/SUMIFS(All_Attendances,site_level_range_board,$B175,date_range_board,M162,inputdata!$F:$F,"ED"),"0.0%")),IF(LEFT($B$7,6)="Number",SUMIFS(Comparison_Lookup,site_level_range_board,$B175,date_range_board,M162),TEXT(SUMIFS(Comparison_Lookup,site_level_range_board,$B175,date_range_board,M162)/SUMIFS(All_Attendances,site_level_range_board,$B175,date_range_board,M162),"0.0%"))),"")</f>
        <v>99.3%</v>
      </c>
      <c r="N175" s="171" t="str">
        <f ca="1">IFERROR(IF(ISNUMBER(FIND("ED only",$B$4)),IF(LEFT($B$7,6)="Number",SUMIFS(Comparison_Lookup,site_level_range_board,$B175,date_range_board,N162,inputdata!$F:$F,"ED"),TEXT(SUMIFS(Comparison_Lookup,site_level_range_board,$B175,date_range_board,N162,inputdata!$F:$F,"ED")/SUMIFS(All_Attendances,site_level_range_board,$B175,date_range_board,N162,inputdata!$F:$F,"ED"),"0.0%")),IF(LEFT($B$7,6)="Number",SUMIFS(Comparison_Lookup,site_level_range_board,$B175,date_range_board,N162),TEXT(SUMIFS(Comparison_Lookup,site_level_range_board,$B175,date_range_board,N162)/SUMIFS(All_Attendances,site_level_range_board,$B175,date_range_board,N162),"0.0%"))),"")</f>
        <v>99.3%</v>
      </c>
    </row>
    <row r="176" spans="1:14" ht="15" customHeight="1" x14ac:dyDescent="0.2">
      <c r="A176" s="132"/>
      <c r="B176" s="154" t="s">
        <v>594</v>
      </c>
      <c r="C176" s="168" t="str">
        <f ca="1">IFERROR(IF(ISNUMBER(FIND("ED only",$B$4)),IF(LEFT($B$7,6)="Number",SUMIFS(Comparison_Lookup,site_level_range_board,$B176,date_range_board,C162,inputdata!$F:$F,"ED"),TEXT(SUMIFS(Comparison_Lookup,site_level_range_board,$B176,date_range_board,C162,inputdata!$F:$F,"ED")/SUMIFS(All_Attendances,site_level_range_board,$B176,date_range_board,C162,inputdata!$F:$F,"ED"),"0.0%")),IF(LEFT($B$7,6)="Number",SUMIFS(Comparison_Lookup,site_level_range_board,$B176,date_range_board,C162),TEXT(SUMIFS(Comparison_Lookup,site_level_range_board,$B176,date_range_board,C162)/SUMIFS(All_Attendances,site_level_range_board,$B176,date_range_board,C162),"0.0%"))),"")</f>
        <v>98.1%</v>
      </c>
      <c r="D176" s="168" t="str">
        <f ca="1">IFERROR(IF(ISNUMBER(FIND("ED only",$B$4)),IF(LEFT($B$7,6)="Number",SUMIFS(Comparison_Lookup,site_level_range_board,$B176,date_range_board,D162,inputdata!$F:$F,"ED"),TEXT(SUMIFS(Comparison_Lookup,site_level_range_board,$B176,date_range_board,D162,inputdata!$F:$F,"ED")/SUMIFS(All_Attendances,site_level_range_board,$B176,date_range_board,D162,inputdata!$F:$F,"ED"),"0.0%")),IF(LEFT($B$7,6)="Number",SUMIFS(Comparison_Lookup,site_level_range_board,$B176,date_range_board,D162),TEXT(SUMIFS(Comparison_Lookup,site_level_range_board,$B176,date_range_board,D162)/SUMIFS(All_Attendances,site_level_range_board,$B176,date_range_board,D162),"0.0%"))),"")</f>
        <v>99.4%</v>
      </c>
      <c r="E176" s="168" t="str">
        <f ca="1">IFERROR(IF(ISNUMBER(FIND("ED only",$B$4)),IF(LEFT($B$7,6)="Number",SUMIFS(Comparison_Lookup,site_level_range_board,$B176,date_range_board,E162,inputdata!$F:$F,"ED"),TEXT(SUMIFS(Comparison_Lookup,site_level_range_board,$B176,date_range_board,E162,inputdata!$F:$F,"ED")/SUMIFS(All_Attendances,site_level_range_board,$B176,date_range_board,E162,inputdata!$F:$F,"ED"),"0.0%")),IF(LEFT($B$7,6)="Number",SUMIFS(Comparison_Lookup,site_level_range_board,$B176,date_range_board,E162),TEXT(SUMIFS(Comparison_Lookup,site_level_range_board,$B176,date_range_board,E162)/SUMIFS(All_Attendances,site_level_range_board,$B176,date_range_board,E162),"0.0%"))),"")</f>
        <v>97.9%</v>
      </c>
      <c r="F176" s="168" t="str">
        <f ca="1">IFERROR(IF(ISNUMBER(FIND("ED only",$B$4)),IF(LEFT($B$7,6)="Number",SUMIFS(Comparison_Lookup,site_level_range_board,$B176,date_range_board,F162,inputdata!$F:$F,"ED"),TEXT(SUMIFS(Comparison_Lookup,site_level_range_board,$B176,date_range_board,F162,inputdata!$F:$F,"ED")/SUMIFS(All_Attendances,site_level_range_board,$B176,date_range_board,F162,inputdata!$F:$F,"ED"),"0.0%")),IF(LEFT($B$7,6)="Number",SUMIFS(Comparison_Lookup,site_level_range_board,$B176,date_range_board,F162),TEXT(SUMIFS(Comparison_Lookup,site_level_range_board,$B176,date_range_board,F162)/SUMIFS(All_Attendances,site_level_range_board,$B176,date_range_board,F162),"0.0%"))),"")</f>
        <v>99.1%</v>
      </c>
      <c r="G176" s="168" t="str">
        <f ca="1">IFERROR(IF(ISNUMBER(FIND("ED only",$B$4)),IF(LEFT($B$7,6)="Number",SUMIFS(Comparison_Lookup,site_level_range_board,$B176,date_range_board,G162,inputdata!$F:$F,"ED"),TEXT(SUMIFS(Comparison_Lookup,site_level_range_board,$B176,date_range_board,G162,inputdata!$F:$F,"ED")/SUMIFS(All_Attendances,site_level_range_board,$B176,date_range_board,G162,inputdata!$F:$F,"ED"),"0.0%")),IF(LEFT($B$7,6)="Number",SUMIFS(Comparison_Lookup,site_level_range_board,$B176,date_range_board,G162),TEXT(SUMIFS(Comparison_Lookup,site_level_range_board,$B176,date_range_board,G162)/SUMIFS(All_Attendances,site_level_range_board,$B176,date_range_board,G162),"0.0%"))),"")</f>
        <v>97.4%</v>
      </c>
      <c r="H176" s="168" t="str">
        <f ca="1">IFERROR(IF(ISNUMBER(FIND("ED only",$B$4)),IF(LEFT($B$7,6)="Number",SUMIFS(Comparison_Lookup,site_level_range_board,$B176,date_range_board,H162,inputdata!$F:$F,"ED"),TEXT(SUMIFS(Comparison_Lookup,site_level_range_board,$B176,date_range_board,H162,inputdata!$F:$F,"ED")/SUMIFS(All_Attendances,site_level_range_board,$B176,date_range_board,H162,inputdata!$F:$F,"ED"),"0.0%")),IF(LEFT($B$7,6)="Number",SUMIFS(Comparison_Lookup,site_level_range_board,$B176,date_range_board,H162),TEXT(SUMIFS(Comparison_Lookup,site_level_range_board,$B176,date_range_board,H162)/SUMIFS(All_Attendances,site_level_range_board,$B176,date_range_board,H162),"0.0%"))),"")</f>
        <v>98.0%</v>
      </c>
      <c r="I176" s="168" t="str">
        <f ca="1">IFERROR(IF(ISNUMBER(FIND("ED only",$B$4)),IF(LEFT($B$7,6)="Number",SUMIFS(Comparison_Lookup,site_level_range_board,$B176,date_range_board,I162,inputdata!$F:$F,"ED"),TEXT(SUMIFS(Comparison_Lookup,site_level_range_board,$B176,date_range_board,I162,inputdata!$F:$F,"ED")/SUMIFS(All_Attendances,site_level_range_board,$B176,date_range_board,I162,inputdata!$F:$F,"ED"),"0.0%")),IF(LEFT($B$7,6)="Number",SUMIFS(Comparison_Lookup,site_level_range_board,$B176,date_range_board,I162),TEXT(SUMIFS(Comparison_Lookup,site_level_range_board,$B176,date_range_board,I162)/SUMIFS(All_Attendances,site_level_range_board,$B176,date_range_board,I162),"0.0%"))),"")</f>
        <v>99.0%</v>
      </c>
      <c r="J176" s="168" t="str">
        <f ca="1">IFERROR(IF(ISNUMBER(FIND("ED only",$B$4)),IF(LEFT($B$7,6)="Number",SUMIFS(Comparison_Lookup,site_level_range_board,$B176,date_range_board,J162,inputdata!$F:$F,"ED"),TEXT(SUMIFS(Comparison_Lookup,site_level_range_board,$B176,date_range_board,J162,inputdata!$F:$F,"ED")/SUMIFS(All_Attendances,site_level_range_board,$B176,date_range_board,J162,inputdata!$F:$F,"ED"),"0.0%")),IF(LEFT($B$7,6)="Number",SUMIFS(Comparison_Lookup,site_level_range_board,$B176,date_range_board,J162),TEXT(SUMIFS(Comparison_Lookup,site_level_range_board,$B176,date_range_board,J162)/SUMIFS(All_Attendances,site_level_range_board,$B176,date_range_board,J162),"0.0%"))),"")</f>
        <v>98.8%</v>
      </c>
      <c r="K176" s="168" t="str">
        <f ca="1">IFERROR(IF(ISNUMBER(FIND("ED only",$B$4)),IF(LEFT($B$7,6)="Number",SUMIFS(Comparison_Lookup,site_level_range_board,$B176,date_range_board,K162,inputdata!$F:$F,"ED"),TEXT(SUMIFS(Comparison_Lookup,site_level_range_board,$B176,date_range_board,K162,inputdata!$F:$F,"ED")/SUMIFS(All_Attendances,site_level_range_board,$B176,date_range_board,K162,inputdata!$F:$F,"ED"),"0.0%")),IF(LEFT($B$7,6)="Number",SUMIFS(Comparison_Lookup,site_level_range_board,$B176,date_range_board,K162),TEXT(SUMIFS(Comparison_Lookup,site_level_range_board,$B176,date_range_board,K162)/SUMIFS(All_Attendances,site_level_range_board,$B176,date_range_board,K162),"0.0%"))),"")</f>
        <v>98.2%</v>
      </c>
      <c r="L176" s="168" t="str">
        <f ca="1">IFERROR(IF(ISNUMBER(FIND("ED only",$B$4)),IF(LEFT($B$7,6)="Number",SUMIFS(Comparison_Lookup,site_level_range_board,$B176,date_range_board,L162,inputdata!$F:$F,"ED"),TEXT(SUMIFS(Comparison_Lookup,site_level_range_board,$B176,date_range_board,L162,inputdata!$F:$F,"ED")/SUMIFS(All_Attendances,site_level_range_board,$B176,date_range_board,L162,inputdata!$F:$F,"ED"),"0.0%")),IF(LEFT($B$7,6)="Number",SUMIFS(Comparison_Lookup,site_level_range_board,$B176,date_range_board,L162),TEXT(SUMIFS(Comparison_Lookup,site_level_range_board,$B176,date_range_board,L162)/SUMIFS(All_Attendances,site_level_range_board,$B176,date_range_board,L162),"0.0%"))),"")</f>
        <v>98.5%</v>
      </c>
      <c r="M176" s="168" t="str">
        <f ca="1">IFERROR(IF(ISNUMBER(FIND("ED only",$B$4)),IF(LEFT($B$7,6)="Number",SUMIFS(Comparison_Lookup,site_level_range_board,$B176,date_range_board,M162,inputdata!$F:$F,"ED"),TEXT(SUMIFS(Comparison_Lookup,site_level_range_board,$B176,date_range_board,M162,inputdata!$F:$F,"ED")/SUMIFS(All_Attendances,site_level_range_board,$B176,date_range_board,M162,inputdata!$F:$F,"ED"),"0.0%")),IF(LEFT($B$7,6)="Number",SUMIFS(Comparison_Lookup,site_level_range_board,$B176,date_range_board,M162),TEXT(SUMIFS(Comparison_Lookup,site_level_range_board,$B176,date_range_board,M162)/SUMIFS(All_Attendances,site_level_range_board,$B176,date_range_board,M162),"0.0%"))),"")</f>
        <v>97.4%</v>
      </c>
      <c r="N176" s="172" t="str">
        <f ca="1">IFERROR(IF(ISNUMBER(FIND("ED only",$B$4)),IF(LEFT($B$7,6)="Number",SUMIFS(Comparison_Lookup,site_level_range_board,$B176,date_range_board,N162,inputdata!$F:$F,"ED"),TEXT(SUMIFS(Comparison_Lookup,site_level_range_board,$B176,date_range_board,N162,inputdata!$F:$F,"ED")/SUMIFS(All_Attendances,site_level_range_board,$B176,date_range_board,N162,inputdata!$F:$F,"ED"),"0.0%")),IF(LEFT($B$7,6)="Number",SUMIFS(Comparison_Lookup,site_level_range_board,$B176,date_range_board,N162),TEXT(SUMIFS(Comparison_Lookup,site_level_range_board,$B176,date_range_board,N162)/SUMIFS(All_Attendances,site_level_range_board,$B176,date_range_board,N162),"0.0%"))),"")</f>
        <v>98.1%</v>
      </c>
    </row>
    <row r="177" spans="1:14" ht="15" customHeight="1" x14ac:dyDescent="0.2">
      <c r="A177" s="132"/>
      <c r="B177" s="170" t="s">
        <v>406</v>
      </c>
      <c r="C177" s="169" t="str">
        <f ca="1">IFERROR(IF(ISNUMBER(FIND("ED only",$B$4)),IF(LEFT($B$7,6)="Number",SUMIFS(Comparison_Lookup,date_range_board,C162,inputdata!$F:$F,"ED"),TEXT(SUMIFS(Comparison_Lookup,date_range_board,C162,inputdata!$F:$F,"ED")/SUMIFS(All_Attendances,date_range_board,C162,inputdata!$F:$F,"ED"),"0.0%")),IF(LEFT($B$7,6)="Number",SUMIFS(Comparison_Lookup,date_range_board,C162),TEXT(SUMIFS(Comparison_Lookup,date_range_board,C162)/SUMIFS(All_Attendances,date_range_board,C162
        ),"0.0%"))),"")</f>
        <v>91.6%</v>
      </c>
      <c r="D177" s="169" t="str">
        <f ca="1">IFERROR(IF(ISNUMBER(FIND("ED only",$B$4)),IF(LEFT($B$7,6)="Number",SUMIFS(Comparison_Lookup,date_range_board,D162,inputdata!$F:$F,"ED"),TEXT(SUMIFS(Comparison_Lookup,date_range_board,D162,inputdata!$F:$F,"ED")/SUMIFS(All_Attendances,date_range_board,D162,inputdata!$F:$F,"ED"),"0.0%")),IF(LEFT($B$7,6)="Number",SUMIFS(Comparison_Lookup,date_range_board,D162),TEXT(SUMIFS(Comparison_Lookup,date_range_board,D162)/SUMIFS(All_Attendances,date_range_board,D162
        ),"0.0%"))),"")</f>
        <v>94.6%</v>
      </c>
      <c r="E177" s="169" t="str">
        <f ca="1">IFERROR(IF(ISNUMBER(FIND("ED only",$B$4)),IF(LEFT($B$7,6)="Number",SUMIFS(Comparison_Lookup,date_range_board,E162,inputdata!$F:$F,"ED"),TEXT(SUMIFS(Comparison_Lookup,date_range_board,E162,inputdata!$F:$F,"ED")/SUMIFS(All_Attendances,date_range_board,E162,inputdata!$F:$F,"ED"),"0.0%")),IF(LEFT($B$7,6)="Number",SUMIFS(Comparison_Lookup,date_range_board,E162),TEXT(SUMIFS(Comparison_Lookup,date_range_board,E162)/SUMIFS(All_Attendances,date_range_board,E162
        ),"0.0%"))),"")</f>
        <v>94.6%</v>
      </c>
      <c r="F177" s="169" t="str">
        <f ca="1">IFERROR(IF(ISNUMBER(FIND("ED only",$B$4)),IF(LEFT($B$7,6)="Number",SUMIFS(Comparison_Lookup,date_range_board,F162,inputdata!$F:$F,"ED"),TEXT(SUMIFS(Comparison_Lookup,date_range_board,F162,inputdata!$F:$F,"ED")/SUMIFS(All_Attendances,date_range_board,F162,inputdata!$F:$F,"ED"),"0.0%")),IF(LEFT($B$7,6)="Number",SUMIFS(Comparison_Lookup,date_range_board,F162),TEXT(SUMIFS(Comparison_Lookup,date_range_board,F162)/SUMIFS(All_Attendances,date_range_board,F162
        ),"0.0%"))),"")</f>
        <v>95.9%</v>
      </c>
      <c r="G177" s="169" t="str">
        <f ca="1">IFERROR(IF(ISNUMBER(FIND("ED only",$B$4)),IF(LEFT($B$7,6)="Number",SUMIFS(Comparison_Lookup,date_range_board,G162,inputdata!$F:$F,"ED"),TEXT(SUMIFS(Comparison_Lookup,date_range_board,G162,inputdata!$F:$F,"ED")/SUMIFS(All_Attendances,date_range_board,G162,inputdata!$F:$F,"ED"),"0.0%")),IF(LEFT($B$7,6)="Number",SUMIFS(Comparison_Lookup,date_range_board,G162),TEXT(SUMIFS(Comparison_Lookup,date_range_board,G162)/SUMIFS(All_Attendances,date_range_board,G162
        ),"0.0%"))),"")</f>
        <v>95.1%</v>
      </c>
      <c r="H177" s="169" t="str">
        <f ca="1">IFERROR(IF(ISNUMBER(FIND("ED only",$B$4)),IF(LEFT($B$7,6)="Number",SUMIFS(Comparison_Lookup,date_range_board,H162,inputdata!$F:$F,"ED"),TEXT(SUMIFS(Comparison_Lookup,date_range_board,H162,inputdata!$F:$F,"ED")/SUMIFS(All_Attendances,date_range_board,H162,inputdata!$F:$F,"ED"),"0.0%")),IF(LEFT($B$7,6)="Number",SUMIFS(Comparison_Lookup,date_range_board,H162),TEXT(SUMIFS(Comparison_Lookup,date_range_board,H162)/SUMIFS(All_Attendances,date_range_board,H162
        ),"0.0%"))),"")</f>
        <v>94.8%</v>
      </c>
      <c r="I177" s="169" t="str">
        <f ca="1">IFERROR(IF(ISNUMBER(FIND("ED only",$B$4)),IF(LEFT($B$7,6)="Number",SUMIFS(Comparison_Lookup,date_range_board,I162,inputdata!$F:$F,"ED"),TEXT(SUMIFS(Comparison_Lookup,date_range_board,I162,inputdata!$F:$F,"ED")/SUMIFS(All_Attendances,date_range_board,I162,inputdata!$F:$F,"ED"),"0.0%")),IF(LEFT($B$7,6)="Number",SUMIFS(Comparison_Lookup,date_range_board,I162),TEXT(SUMIFS(Comparison_Lookup,date_range_board,I162)/SUMIFS(All_Attendances,date_range_board,I162
        ),"0.0%"))),"")</f>
        <v>93.9%</v>
      </c>
      <c r="J177" s="169" t="str">
        <f ca="1">IFERROR(IF(ISNUMBER(FIND("ED only",$B$4)),IF(LEFT($B$7,6)="Number",SUMIFS(Comparison_Lookup,date_range_board,J162,inputdata!$F:$F,"ED"),TEXT(SUMIFS(Comparison_Lookup,date_range_board,J162,inputdata!$F:$F,"ED")/SUMIFS(All_Attendances,date_range_board,J162,inputdata!$F:$F,"ED"),"0.0%")),IF(LEFT($B$7,6)="Number",SUMIFS(Comparison_Lookup,date_range_board,J162),TEXT(SUMIFS(Comparison_Lookup,date_range_board,J162)/SUMIFS(All_Attendances,date_range_board,J162
        ),"0.0%"))),"")</f>
        <v>94.7%</v>
      </c>
      <c r="K177" s="169" t="str">
        <f ca="1">IFERROR(IF(ISNUMBER(FIND("ED only",$B$4)),IF(LEFT($B$7,6)="Number",SUMIFS(Comparison_Lookup,date_range_board,K162,inputdata!$F:$F,"ED"),TEXT(SUMIFS(Comparison_Lookup,date_range_board,K162,inputdata!$F:$F,"ED")/SUMIFS(All_Attendances,date_range_board,K162,inputdata!$F:$F,"ED"),"0.0%")),IF(LEFT($B$7,6)="Number",SUMIFS(Comparison_Lookup,date_range_board,K162),TEXT(SUMIFS(Comparison_Lookup,date_range_board,K162)/SUMIFS(All_Attendances,date_range_board,K162
        ),"0.0%"))),"")</f>
        <v>93.5%</v>
      </c>
      <c r="L177" s="169" t="str">
        <f ca="1">IFERROR(IF(ISNUMBER(FIND("ED only",$B$4)),IF(LEFT($B$7,6)="Number",SUMIFS(Comparison_Lookup,date_range_board,L162,inputdata!$F:$F,"ED"),TEXT(SUMIFS(Comparison_Lookup,date_range_board,L162,inputdata!$F:$F,"ED")/SUMIFS(All_Attendances,date_range_board,L162,inputdata!$F:$F,"ED"),"0.0%")),IF(LEFT($B$7,6)="Number",SUMIFS(Comparison_Lookup,date_range_board,L162),TEXT(SUMIFS(Comparison_Lookup,date_range_board,L162)/SUMIFS(All_Attendances,date_range_board,L162
        ),"0.0%"))),"")</f>
        <v>92.2%</v>
      </c>
      <c r="M177" s="169" t="str">
        <f ca="1">IFERROR(IF(ISNUMBER(FIND("ED only",$B$4)),IF(LEFT($B$7,6)="Number",SUMIFS(Comparison_Lookup,date_range_board,M162,inputdata!$F:$F,"ED"),TEXT(SUMIFS(Comparison_Lookup,date_range_board,M162,inputdata!$F:$F,"ED")/SUMIFS(All_Attendances,date_range_board,M162,inputdata!$F:$F,"ED"),"0.0%")),IF(LEFT($B$7,6)="Number",SUMIFS(Comparison_Lookup,date_range_board,M162),TEXT(SUMIFS(Comparison_Lookup,date_range_board,M162)/SUMIFS(All_Attendances,date_range_board,M162
        ),"0.0%"))),"")</f>
        <v>91.8%</v>
      </c>
      <c r="N177" s="173" t="str">
        <f ca="1">IFERROR(IF(ISNUMBER(FIND("ED only",$B$4)),IF(LEFT($B$7,6)="Number",SUMIFS(Comparison_Lookup,date_range_board,N162,inputdata!$F:$F,"ED"),TEXT(SUMIFS(Comparison_Lookup,date_range_board,N162,inputdata!$F:$F,"ED")/SUMIFS(All_Attendances,date_range_board,N162,inputdata!$F:$F,"ED"),"0.0%")),IF(LEFT($B$7,6)="Number",SUMIFS(Comparison_Lookup,date_range_board,N162),TEXT(SUMIFS(Comparison_Lookup,date_range_board,N162)/SUMIFS(All_Attendances,date_range_board,N162
        ),"0.0%"))),"")</f>
        <v>93.3%</v>
      </c>
    </row>
    <row r="178" spans="1:14" x14ac:dyDescent="0.2">
      <c r="B178" s="127"/>
      <c r="C178" s="127"/>
      <c r="D178" s="127"/>
      <c r="E178" s="127"/>
      <c r="F178" s="127"/>
      <c r="G178" s="127"/>
      <c r="H178" s="127"/>
      <c r="I178" s="127"/>
      <c r="J178" s="127"/>
      <c r="K178" s="127"/>
      <c r="L178" s="127"/>
      <c r="M178" s="127"/>
      <c r="N178" s="127"/>
    </row>
    <row r="179" spans="1:14" ht="15" customHeight="1" x14ac:dyDescent="0.25">
      <c r="A179" s="132"/>
      <c r="B179" s="153" t="str">
        <f>IF(ISNUMBER(FIND("ED only",$B$4)),"2012/2013 (ED Only)","2012/2013")</f>
        <v>2012/2013</v>
      </c>
      <c r="C179" s="149">
        <v>41029</v>
      </c>
      <c r="D179" s="149">
        <v>41060</v>
      </c>
      <c r="E179" s="149">
        <v>41090</v>
      </c>
      <c r="F179" s="149">
        <v>41121</v>
      </c>
      <c r="G179" s="149">
        <v>41152</v>
      </c>
      <c r="H179" s="149">
        <v>41182</v>
      </c>
      <c r="I179" s="149">
        <v>41213</v>
      </c>
      <c r="J179" s="149">
        <v>41243</v>
      </c>
      <c r="K179" s="149">
        <v>41274</v>
      </c>
      <c r="L179" s="149">
        <v>41305</v>
      </c>
      <c r="M179" s="149">
        <v>41333</v>
      </c>
      <c r="N179" s="158">
        <v>41364</v>
      </c>
    </row>
    <row r="180" spans="1:14" ht="15" customHeight="1" x14ac:dyDescent="0.2">
      <c r="A180" s="132"/>
      <c r="B180" s="152" t="s">
        <v>407</v>
      </c>
      <c r="C180" s="165" t="str">
        <f ca="1">IFERROR(IF(ISNUMBER(FIND("ED only",$B$4)),IF(LEFT($B$7,6)="Number",SUMIFS(Comparison_Lookup,site_level_range_board,$B180,date_range_board,C179,inputdata!$F:$F,"ED"),TEXT(SUMIFS(Comparison_Lookup,site_level_range_board,$B180,date_range_board,C179,inputdata!$F:$F,"ED")/SUMIFS(All_Attendances,site_level_range_board,$B180,date_range_board,C179,inputdata!$F:$F,"ED"),"0.0%")),IF(LEFT($B$7,6)="Number",SUMIFS(Comparison_Lookup,site_level_range_board,$B180,date_range_board,C179),TEXT(SUMIFS(Comparison_Lookup,site_level_range_board,$B180,date_range_board,C179)/SUMIFS(All_Attendances,site_level_range_board,$B180,date_range_board,C179),"0.0%"))),"")</f>
        <v>93.7%</v>
      </c>
      <c r="D180" s="165" t="str">
        <f ca="1">IFERROR(IF(ISNUMBER(FIND("ED only",$B$4)),IF(LEFT($B$7,6)="Number",SUMIFS(Comparison_Lookup,site_level_range_board,$B180,date_range_board,D179,inputdata!$F:$F,"ED"),TEXT(SUMIFS(Comparison_Lookup,site_level_range_board,$B180,date_range_board,D179,inputdata!$F:$F,"ED")/SUMIFS(All_Attendances,site_level_range_board,$B180,date_range_board,D179,inputdata!$F:$F,"ED"),"0.0%")),IF(LEFT($B$7,6)="Number",SUMIFS(Comparison_Lookup,site_level_range_board,$B180,date_range_board,D179),TEXT(SUMIFS(Comparison_Lookup,site_level_range_board,$B180,date_range_board,D179)/SUMIFS(All_Attendances,site_level_range_board,$B180,date_range_board,D179),"0.0%"))),"")</f>
        <v>90.5%</v>
      </c>
      <c r="E180" s="165" t="str">
        <f ca="1">IFERROR(IF(ISNUMBER(FIND("ED only",$B$4)),IF(LEFT($B$7,6)="Number",SUMIFS(Comparison_Lookup,site_level_range_board,$B180,date_range_board,E179,inputdata!$F:$F,"ED"),TEXT(SUMIFS(Comparison_Lookup,site_level_range_board,$B180,date_range_board,E179,inputdata!$F:$F,"ED")/SUMIFS(All_Attendances,site_level_range_board,$B180,date_range_board,E179,inputdata!$F:$F,"ED"),"0.0%")),IF(LEFT($B$7,6)="Number",SUMIFS(Comparison_Lookup,site_level_range_board,$B180,date_range_board,E179),TEXT(SUMIFS(Comparison_Lookup,site_level_range_board,$B180,date_range_board,E179)/SUMIFS(All_Attendances,site_level_range_board,$B180,date_range_board,E179),"0.0%"))),"")</f>
        <v>93.3%</v>
      </c>
      <c r="F180" s="165" t="str">
        <f ca="1">IFERROR(IF(ISNUMBER(FIND("ED only",$B$4)),IF(LEFT($B$7,6)="Number",SUMIFS(Comparison_Lookup,site_level_range_board,$B180,date_range_board,F179,inputdata!$F:$F,"ED"),TEXT(SUMIFS(Comparison_Lookup,site_level_range_board,$B180,date_range_board,F179,inputdata!$F:$F,"ED")/SUMIFS(All_Attendances,site_level_range_board,$B180,date_range_board,F179,inputdata!$F:$F,"ED"),"0.0%")),IF(LEFT($B$7,6)="Number",SUMIFS(Comparison_Lookup,site_level_range_board,$B180,date_range_board,F179),TEXT(SUMIFS(Comparison_Lookup,site_level_range_board,$B180,date_range_board,F179)/SUMIFS(All_Attendances,site_level_range_board,$B180,date_range_board,F179),"0.0%"))),"")</f>
        <v>96.4%</v>
      </c>
      <c r="G180" s="165" t="str">
        <f ca="1">IFERROR(IF(ISNUMBER(FIND("ED only",$B$4)),IF(LEFT($B$7,6)="Number",SUMIFS(Comparison_Lookup,site_level_range_board,$B180,date_range_board,G179,inputdata!$F:$F,"ED"),TEXT(SUMIFS(Comparison_Lookup,site_level_range_board,$B180,date_range_board,G179,inputdata!$F:$F,"ED")/SUMIFS(All_Attendances,site_level_range_board,$B180,date_range_board,G179,inputdata!$F:$F,"ED"),"0.0%")),IF(LEFT($B$7,6)="Number",SUMIFS(Comparison_Lookup,site_level_range_board,$B180,date_range_board,G179),TEXT(SUMIFS(Comparison_Lookup,site_level_range_board,$B180,date_range_board,G179)/SUMIFS(All_Attendances,site_level_range_board,$B180,date_range_board,G179),"0.0%"))),"")</f>
        <v>94.2%</v>
      </c>
      <c r="H180" s="165" t="str">
        <f ca="1">IFERROR(IF(ISNUMBER(FIND("ED only",$B$4)),IF(LEFT($B$7,6)="Number",SUMIFS(Comparison_Lookup,site_level_range_board,$B180,date_range_board,H179,inputdata!$F:$F,"ED"),TEXT(SUMIFS(Comparison_Lookup,site_level_range_board,$B180,date_range_board,H179,inputdata!$F:$F,"ED")/SUMIFS(All_Attendances,site_level_range_board,$B180,date_range_board,H179,inputdata!$F:$F,"ED"),"0.0%")),IF(LEFT($B$7,6)="Number",SUMIFS(Comparison_Lookup,site_level_range_board,$B180,date_range_board,H179),TEXT(SUMIFS(Comparison_Lookup,site_level_range_board,$B180,date_range_board,H179)/SUMIFS(All_Attendances,site_level_range_board,$B180,date_range_board,H179),"0.0%"))),"")</f>
        <v>94.1%</v>
      </c>
      <c r="I180" s="165" t="str">
        <f ca="1">IFERROR(IF(ISNUMBER(FIND("ED only",$B$4)),IF(LEFT($B$7,6)="Number",SUMIFS(Comparison_Lookup,site_level_range_board,$B180,date_range_board,I179,inputdata!$F:$F,"ED"),TEXT(SUMIFS(Comparison_Lookup,site_level_range_board,$B180,date_range_board,I179,inputdata!$F:$F,"ED")/SUMIFS(All_Attendances,site_level_range_board,$B180,date_range_board,I179,inputdata!$F:$F,"ED"),"0.0%")),IF(LEFT($B$7,6)="Number",SUMIFS(Comparison_Lookup,site_level_range_board,$B180,date_range_board,I179),TEXT(SUMIFS(Comparison_Lookup,site_level_range_board,$B180,date_range_board,I179)/SUMIFS(All_Attendances,site_level_range_board,$B180,date_range_board,I179),"0.0%"))),"")</f>
        <v>92.3%</v>
      </c>
      <c r="J180" s="165" t="str">
        <f ca="1">IFERROR(IF(ISNUMBER(FIND("ED only",$B$4)),IF(LEFT($B$7,6)="Number",SUMIFS(Comparison_Lookup,site_level_range_board,$B180,date_range_board,J179,inputdata!$F:$F,"ED"),TEXT(SUMIFS(Comparison_Lookup,site_level_range_board,$B180,date_range_board,J179,inputdata!$F:$F,"ED")/SUMIFS(All_Attendances,site_level_range_board,$B180,date_range_board,J179,inputdata!$F:$F,"ED"),"0.0%")),IF(LEFT($B$7,6)="Number",SUMIFS(Comparison_Lookup,site_level_range_board,$B180,date_range_board,J179),TEXT(SUMIFS(Comparison_Lookup,site_level_range_board,$B180,date_range_board,J179)/SUMIFS(All_Attendances,site_level_range_board,$B180,date_range_board,J179),"0.0%"))),"")</f>
        <v>94.1%</v>
      </c>
      <c r="K180" s="165" t="str">
        <f ca="1">IFERROR(IF(ISNUMBER(FIND("ED only",$B$4)),IF(LEFT($B$7,6)="Number",SUMIFS(Comparison_Lookup,site_level_range_board,$B180,date_range_board,K179,inputdata!$F:$F,"ED"),TEXT(SUMIFS(Comparison_Lookup,site_level_range_board,$B180,date_range_board,K179,inputdata!$F:$F,"ED")/SUMIFS(All_Attendances,site_level_range_board,$B180,date_range_board,K179,inputdata!$F:$F,"ED"),"0.0%")),IF(LEFT($B$7,6)="Number",SUMIFS(Comparison_Lookup,site_level_range_board,$B180,date_range_board,K179),TEXT(SUMIFS(Comparison_Lookup,site_level_range_board,$B180,date_range_board,K179)/SUMIFS(All_Attendances,site_level_range_board,$B180,date_range_board,K179),"0.0%"))),"")</f>
        <v>87.8%</v>
      </c>
      <c r="L180" s="165" t="str">
        <f ca="1">IFERROR(IF(ISNUMBER(FIND("ED only",$B$4)),IF(LEFT($B$7,6)="Number",SUMIFS(Comparison_Lookup,site_level_range_board,$B180,date_range_board,L179,inputdata!$F:$F,"ED"),TEXT(SUMIFS(Comparison_Lookup,site_level_range_board,$B180,date_range_board,L179,inputdata!$F:$F,"ED")/SUMIFS(All_Attendances,site_level_range_board,$B180,date_range_board,L179,inputdata!$F:$F,"ED"),"0.0%")),IF(LEFT($B$7,6)="Number",SUMIFS(Comparison_Lookup,site_level_range_board,$B180,date_range_board,L179),TEXT(SUMIFS(Comparison_Lookup,site_level_range_board,$B180,date_range_board,L179)/SUMIFS(All_Attendances,site_level_range_board,$B180,date_range_board,L179),"0.0%"))),"")</f>
        <v>85.2%</v>
      </c>
      <c r="M180" s="165" t="str">
        <f ca="1">IFERROR(IF(ISNUMBER(FIND("ED only",$B$4)),IF(LEFT($B$7,6)="Number",SUMIFS(Comparison_Lookup,site_level_range_board,$B180,date_range_board,M179,inputdata!$F:$F,"ED"),TEXT(SUMIFS(Comparison_Lookup,site_level_range_board,$B180,date_range_board,M179,inputdata!$F:$F,"ED")/SUMIFS(All_Attendances,site_level_range_board,$B180,date_range_board,M179,inputdata!$F:$F,"ED"),"0.0%")),IF(LEFT($B$7,6)="Number",SUMIFS(Comparison_Lookup,site_level_range_board,$B180,date_range_board,M179),TEXT(SUMIFS(Comparison_Lookup,site_level_range_board,$B180,date_range_board,M179)/SUMIFS(All_Attendances,site_level_range_board,$B180,date_range_board,M179),"0.0%"))),"")</f>
        <v>88.1%</v>
      </c>
      <c r="N180" s="171" t="str">
        <f ca="1">IFERROR(IF(ISNUMBER(FIND("ED only",$B$4)),IF(LEFT($B$7,6)="Number",SUMIFS(Comparison_Lookup,site_level_range_board,$B180,date_range_board,N179,inputdata!$F:$F,"ED"),TEXT(SUMIFS(Comparison_Lookup,site_level_range_board,$B180,date_range_board,N179,inputdata!$F:$F,"ED")/SUMIFS(All_Attendances,site_level_range_board,$B180,date_range_board,N179,inputdata!$F:$F,"ED"),"0.0%")),IF(LEFT($B$7,6)="Number",SUMIFS(Comparison_Lookup,site_level_range_board,$B180,date_range_board,N179),TEXT(SUMIFS(Comparison_Lookup,site_level_range_board,$B180,date_range_board,N179)/SUMIFS(All_Attendances,site_level_range_board,$B180,date_range_board,N179),"0.0%"))),"")</f>
        <v>89.6%</v>
      </c>
    </row>
    <row r="181" spans="1:14" ht="15" customHeight="1" x14ac:dyDescent="0.2">
      <c r="A181" s="132"/>
      <c r="B181" s="152" t="s">
        <v>418</v>
      </c>
      <c r="C181" s="165" t="str">
        <f ca="1">IFERROR(IF(ISNUMBER(FIND("ED only",$B$4)),IF(LEFT($B$7,6)="Number",SUMIFS(Comparison_Lookup,site_level_range_board,$B181,date_range_board,C179,inputdata!$F:$F,"ED"),TEXT(SUMIFS(Comparison_Lookup,site_level_range_board,$B181,date_range_board,C179,inputdata!$F:$F,"ED")/SUMIFS(All_Attendances,site_level_range_board,$B181,date_range_board,C179,inputdata!$F:$F,"ED"),"0.0%")),IF(LEFT($B$7,6)="Number",SUMIFS(Comparison_Lookup,site_level_range_board,$B181,date_range_board,C179),TEXT(SUMIFS(Comparison_Lookup,site_level_range_board,$B181,date_range_board,C179)/SUMIFS(All_Attendances,site_level_range_board,$B181,date_range_board,C179),"0.0%"))),"")</f>
        <v>93.1%</v>
      </c>
      <c r="D181" s="165" t="str">
        <f ca="1">IFERROR(IF(ISNUMBER(FIND("ED only",$B$4)),IF(LEFT($B$7,6)="Number",SUMIFS(Comparison_Lookup,site_level_range_board,$B181,date_range_board,D179,inputdata!$F:$F,"ED"),TEXT(SUMIFS(Comparison_Lookup,site_level_range_board,$B181,date_range_board,D179,inputdata!$F:$F,"ED")/SUMIFS(All_Attendances,site_level_range_board,$B181,date_range_board,D179,inputdata!$F:$F,"ED"),"0.0%")),IF(LEFT($B$7,6)="Number",SUMIFS(Comparison_Lookup,site_level_range_board,$B181,date_range_board,D179),TEXT(SUMIFS(Comparison_Lookup,site_level_range_board,$B181,date_range_board,D179)/SUMIFS(All_Attendances,site_level_range_board,$B181,date_range_board,D179),"0.0%"))),"")</f>
        <v>97.4%</v>
      </c>
      <c r="E181" s="165" t="str">
        <f ca="1">IFERROR(IF(ISNUMBER(FIND("ED only",$B$4)),IF(LEFT($B$7,6)="Number",SUMIFS(Comparison_Lookup,site_level_range_board,$B181,date_range_board,E179,inputdata!$F:$F,"ED"),TEXT(SUMIFS(Comparison_Lookup,site_level_range_board,$B181,date_range_board,E179,inputdata!$F:$F,"ED")/SUMIFS(All_Attendances,site_level_range_board,$B181,date_range_board,E179,inputdata!$F:$F,"ED"),"0.0%")),IF(LEFT($B$7,6)="Number",SUMIFS(Comparison_Lookup,site_level_range_board,$B181,date_range_board,E179),TEXT(SUMIFS(Comparison_Lookup,site_level_range_board,$B181,date_range_board,E179)/SUMIFS(All_Attendances,site_level_range_board,$B181,date_range_board,E179),"0.0%"))),"")</f>
        <v>98.9%</v>
      </c>
      <c r="F181" s="165" t="str">
        <f ca="1">IFERROR(IF(ISNUMBER(FIND("ED only",$B$4)),IF(LEFT($B$7,6)="Number",SUMIFS(Comparison_Lookup,site_level_range_board,$B181,date_range_board,F179,inputdata!$F:$F,"ED"),TEXT(SUMIFS(Comparison_Lookup,site_level_range_board,$B181,date_range_board,F179,inputdata!$F:$F,"ED")/SUMIFS(All_Attendances,site_level_range_board,$B181,date_range_board,F179,inputdata!$F:$F,"ED"),"0.0%")),IF(LEFT($B$7,6)="Number",SUMIFS(Comparison_Lookup,site_level_range_board,$B181,date_range_board,F179),TEXT(SUMIFS(Comparison_Lookup,site_level_range_board,$B181,date_range_board,F179)/SUMIFS(All_Attendances,site_level_range_board,$B181,date_range_board,F179),"0.0%"))),"")</f>
        <v>97.4%</v>
      </c>
      <c r="G181" s="165" t="str">
        <f ca="1">IFERROR(IF(ISNUMBER(FIND("ED only",$B$4)),IF(LEFT($B$7,6)="Number",SUMIFS(Comparison_Lookup,site_level_range_board,$B181,date_range_board,G179,inputdata!$F:$F,"ED"),TEXT(SUMIFS(Comparison_Lookup,site_level_range_board,$B181,date_range_board,G179,inputdata!$F:$F,"ED")/SUMIFS(All_Attendances,site_level_range_board,$B181,date_range_board,G179,inputdata!$F:$F,"ED"),"0.0%")),IF(LEFT($B$7,6)="Number",SUMIFS(Comparison_Lookup,site_level_range_board,$B181,date_range_board,G179),TEXT(SUMIFS(Comparison_Lookup,site_level_range_board,$B181,date_range_board,G179)/SUMIFS(All_Attendances,site_level_range_board,$B181,date_range_board,G179),"0.0%"))),"")</f>
        <v>98.0%</v>
      </c>
      <c r="H181" s="165" t="str">
        <f ca="1">IFERROR(IF(ISNUMBER(FIND("ED only",$B$4)),IF(LEFT($B$7,6)="Number",SUMIFS(Comparison_Lookup,site_level_range_board,$B181,date_range_board,H179,inputdata!$F:$F,"ED"),TEXT(SUMIFS(Comparison_Lookup,site_level_range_board,$B181,date_range_board,H179,inputdata!$F:$F,"ED")/SUMIFS(All_Attendances,site_level_range_board,$B181,date_range_board,H179,inputdata!$F:$F,"ED"),"0.0%")),IF(LEFT($B$7,6)="Number",SUMIFS(Comparison_Lookup,site_level_range_board,$B181,date_range_board,H179),TEXT(SUMIFS(Comparison_Lookup,site_level_range_board,$B181,date_range_board,H179)/SUMIFS(All_Attendances,site_level_range_board,$B181,date_range_board,H179),"0.0%"))),"")</f>
        <v>97.3%</v>
      </c>
      <c r="I181" s="165" t="str">
        <f ca="1">IFERROR(IF(ISNUMBER(FIND("ED only",$B$4)),IF(LEFT($B$7,6)="Number",SUMIFS(Comparison_Lookup,site_level_range_board,$B181,date_range_board,I179,inputdata!$F:$F,"ED"),TEXT(SUMIFS(Comparison_Lookup,site_level_range_board,$B181,date_range_board,I179,inputdata!$F:$F,"ED")/SUMIFS(All_Attendances,site_level_range_board,$B181,date_range_board,I179,inputdata!$F:$F,"ED"),"0.0%")),IF(LEFT($B$7,6)="Number",SUMIFS(Comparison_Lookup,site_level_range_board,$B181,date_range_board,I179),TEXT(SUMIFS(Comparison_Lookup,site_level_range_board,$B181,date_range_board,I179)/SUMIFS(All_Attendances,site_level_range_board,$B181,date_range_board,I179),"0.0%"))),"")</f>
        <v>98.5%</v>
      </c>
      <c r="J181" s="165" t="str">
        <f ca="1">IFERROR(IF(ISNUMBER(FIND("ED only",$B$4)),IF(LEFT($B$7,6)="Number",SUMIFS(Comparison_Lookup,site_level_range_board,$B181,date_range_board,J179,inputdata!$F:$F,"ED"),TEXT(SUMIFS(Comparison_Lookup,site_level_range_board,$B181,date_range_board,J179,inputdata!$F:$F,"ED")/SUMIFS(All_Attendances,site_level_range_board,$B181,date_range_board,J179,inputdata!$F:$F,"ED"),"0.0%")),IF(LEFT($B$7,6)="Number",SUMIFS(Comparison_Lookup,site_level_range_board,$B181,date_range_board,J179),TEXT(SUMIFS(Comparison_Lookup,site_level_range_board,$B181,date_range_board,J179)/SUMIFS(All_Attendances,site_level_range_board,$B181,date_range_board,J179),"0.0%"))),"")</f>
        <v>95.7%</v>
      </c>
      <c r="K181" s="165" t="str">
        <f ca="1">IFERROR(IF(ISNUMBER(FIND("ED only",$B$4)),IF(LEFT($B$7,6)="Number",SUMIFS(Comparison_Lookup,site_level_range_board,$B181,date_range_board,K179,inputdata!$F:$F,"ED"),TEXT(SUMIFS(Comparison_Lookup,site_level_range_board,$B181,date_range_board,K179,inputdata!$F:$F,"ED")/SUMIFS(All_Attendances,site_level_range_board,$B181,date_range_board,K179,inputdata!$F:$F,"ED"),"0.0%")),IF(LEFT($B$7,6)="Number",SUMIFS(Comparison_Lookup,site_level_range_board,$B181,date_range_board,K179),TEXT(SUMIFS(Comparison_Lookup,site_level_range_board,$B181,date_range_board,K179)/SUMIFS(All_Attendances,site_level_range_board,$B181,date_range_board,K179),"0.0%"))),"")</f>
        <v>94.9%</v>
      </c>
      <c r="L181" s="165" t="str">
        <f ca="1">IFERROR(IF(ISNUMBER(FIND("ED only",$B$4)),IF(LEFT($B$7,6)="Number",SUMIFS(Comparison_Lookup,site_level_range_board,$B181,date_range_board,L179,inputdata!$F:$F,"ED"),TEXT(SUMIFS(Comparison_Lookup,site_level_range_board,$B181,date_range_board,L179,inputdata!$F:$F,"ED")/SUMIFS(All_Attendances,site_level_range_board,$B181,date_range_board,L179,inputdata!$F:$F,"ED"),"0.0%")),IF(LEFT($B$7,6)="Number",SUMIFS(Comparison_Lookup,site_level_range_board,$B181,date_range_board,L179),TEXT(SUMIFS(Comparison_Lookup,site_level_range_board,$B181,date_range_board,L179)/SUMIFS(All_Attendances,site_level_range_board,$B181,date_range_board,L179),"0.0%"))),"")</f>
        <v>95.5%</v>
      </c>
      <c r="M181" s="165" t="str">
        <f ca="1">IFERROR(IF(ISNUMBER(FIND("ED only",$B$4)),IF(LEFT($B$7,6)="Number",SUMIFS(Comparison_Lookup,site_level_range_board,$B181,date_range_board,M179,inputdata!$F:$F,"ED"),TEXT(SUMIFS(Comparison_Lookup,site_level_range_board,$B181,date_range_board,M179,inputdata!$F:$F,"ED")/SUMIFS(All_Attendances,site_level_range_board,$B181,date_range_board,M179,inputdata!$F:$F,"ED"),"0.0%")),IF(LEFT($B$7,6)="Number",SUMIFS(Comparison_Lookup,site_level_range_board,$B181,date_range_board,M179),TEXT(SUMIFS(Comparison_Lookup,site_level_range_board,$B181,date_range_board,M179)/SUMIFS(All_Attendances,site_level_range_board,$B181,date_range_board,M179),"0.0%"))),"")</f>
        <v>96.9%</v>
      </c>
      <c r="N181" s="171" t="str">
        <f ca="1">IFERROR(IF(ISNUMBER(FIND("ED only",$B$4)),IF(LEFT($B$7,6)="Number",SUMIFS(Comparison_Lookup,site_level_range_board,$B181,date_range_board,N179,inputdata!$F:$F,"ED"),TEXT(SUMIFS(Comparison_Lookup,site_level_range_board,$B181,date_range_board,N179,inputdata!$F:$F,"ED")/SUMIFS(All_Attendances,site_level_range_board,$B181,date_range_board,N179,inputdata!$F:$F,"ED"),"0.0%")),IF(LEFT($B$7,6)="Number",SUMIFS(Comparison_Lookup,site_level_range_board,$B181,date_range_board,N179),TEXT(SUMIFS(Comparison_Lookup,site_level_range_board,$B181,date_range_board,N179)/SUMIFS(All_Attendances,site_level_range_board,$B181,date_range_board,N179),"0.0%"))),"")</f>
        <v>97.0%</v>
      </c>
    </row>
    <row r="182" spans="1:14" ht="15" customHeight="1" x14ac:dyDescent="0.2">
      <c r="A182" s="132"/>
      <c r="B182" s="152" t="s">
        <v>429</v>
      </c>
      <c r="C182" s="165" t="str">
        <f ca="1">IFERROR(IF(ISNUMBER(FIND("ED only",$B$4)),IF(LEFT($B$7,6)="Number",SUMIFS(Comparison_Lookup,site_level_range_board,$B182,date_range_board,C179,inputdata!$F:$F,"ED"),TEXT(SUMIFS(Comparison_Lookup,site_level_range_board,$B182,date_range_board,C179,inputdata!$F:$F,"ED")/SUMIFS(All_Attendances,site_level_range_board,$B182,date_range_board,C179,inputdata!$F:$F,"ED"),"0.0%")),IF(LEFT($B$7,6)="Number",SUMIFS(Comparison_Lookup,site_level_range_board,$B182,date_range_board,C179),TEXT(SUMIFS(Comparison_Lookup,site_level_range_board,$B182,date_range_board,C179)/SUMIFS(All_Attendances,site_level_range_board,$B182,date_range_board,C179),"0.0%"))),"")</f>
        <v>92.8%</v>
      </c>
      <c r="D182" s="165" t="str">
        <f ca="1">IFERROR(IF(ISNUMBER(FIND("ED only",$B$4)),IF(LEFT($B$7,6)="Number",SUMIFS(Comparison_Lookup,site_level_range_board,$B182,date_range_board,D179,inputdata!$F:$F,"ED"),TEXT(SUMIFS(Comparison_Lookup,site_level_range_board,$B182,date_range_board,D179,inputdata!$F:$F,"ED")/SUMIFS(All_Attendances,site_level_range_board,$B182,date_range_board,D179,inputdata!$F:$F,"ED"),"0.0%")),IF(LEFT($B$7,6)="Number",SUMIFS(Comparison_Lookup,site_level_range_board,$B182,date_range_board,D179),TEXT(SUMIFS(Comparison_Lookup,site_level_range_board,$B182,date_range_board,D179)/SUMIFS(All_Attendances,site_level_range_board,$B182,date_range_board,D179),"0.0%"))),"")</f>
        <v>93.5%</v>
      </c>
      <c r="E182" s="165" t="str">
        <f ca="1">IFERROR(IF(ISNUMBER(FIND("ED only",$B$4)),IF(LEFT($B$7,6)="Number",SUMIFS(Comparison_Lookup,site_level_range_board,$B182,date_range_board,E179,inputdata!$F:$F,"ED"),TEXT(SUMIFS(Comparison_Lookup,site_level_range_board,$B182,date_range_board,E179,inputdata!$F:$F,"ED")/SUMIFS(All_Attendances,site_level_range_board,$B182,date_range_board,E179,inputdata!$F:$F,"ED"),"0.0%")),IF(LEFT($B$7,6)="Number",SUMIFS(Comparison_Lookup,site_level_range_board,$B182,date_range_board,E179),TEXT(SUMIFS(Comparison_Lookup,site_level_range_board,$B182,date_range_board,E179)/SUMIFS(All_Attendances,site_level_range_board,$B182,date_range_board,E179),"0.0%"))),"")</f>
        <v>95.4%</v>
      </c>
      <c r="F182" s="165" t="str">
        <f ca="1">IFERROR(IF(ISNUMBER(FIND("ED only",$B$4)),IF(LEFT($B$7,6)="Number",SUMIFS(Comparison_Lookup,site_level_range_board,$B182,date_range_board,F179,inputdata!$F:$F,"ED"),TEXT(SUMIFS(Comparison_Lookup,site_level_range_board,$B182,date_range_board,F179,inputdata!$F:$F,"ED")/SUMIFS(All_Attendances,site_level_range_board,$B182,date_range_board,F179,inputdata!$F:$F,"ED"),"0.0%")),IF(LEFT($B$7,6)="Number",SUMIFS(Comparison_Lookup,site_level_range_board,$B182,date_range_board,F179),TEXT(SUMIFS(Comparison_Lookup,site_level_range_board,$B182,date_range_board,F179)/SUMIFS(All_Attendances,site_level_range_board,$B182,date_range_board,F179),"0.0%"))),"")</f>
        <v>93.0%</v>
      </c>
      <c r="G182" s="165" t="str">
        <f ca="1">IFERROR(IF(ISNUMBER(FIND("ED only",$B$4)),IF(LEFT($B$7,6)="Number",SUMIFS(Comparison_Lookup,site_level_range_board,$B182,date_range_board,G179,inputdata!$F:$F,"ED"),TEXT(SUMIFS(Comparison_Lookup,site_level_range_board,$B182,date_range_board,G179,inputdata!$F:$F,"ED")/SUMIFS(All_Attendances,site_level_range_board,$B182,date_range_board,G179,inputdata!$F:$F,"ED"),"0.0%")),IF(LEFT($B$7,6)="Number",SUMIFS(Comparison_Lookup,site_level_range_board,$B182,date_range_board,G179),TEXT(SUMIFS(Comparison_Lookup,site_level_range_board,$B182,date_range_board,G179)/SUMIFS(All_Attendances,site_level_range_board,$B182,date_range_board,G179),"0.0%"))),"")</f>
        <v>93.9%</v>
      </c>
      <c r="H182" s="165" t="str">
        <f ca="1">IFERROR(IF(ISNUMBER(FIND("ED only",$B$4)),IF(LEFT($B$7,6)="Number",SUMIFS(Comparison_Lookup,site_level_range_board,$B182,date_range_board,H179,inputdata!$F:$F,"ED"),TEXT(SUMIFS(Comparison_Lookup,site_level_range_board,$B182,date_range_board,H179,inputdata!$F:$F,"ED")/SUMIFS(All_Attendances,site_level_range_board,$B182,date_range_board,H179,inputdata!$F:$F,"ED"),"0.0%")),IF(LEFT($B$7,6)="Number",SUMIFS(Comparison_Lookup,site_level_range_board,$B182,date_range_board,H179),TEXT(SUMIFS(Comparison_Lookup,site_level_range_board,$B182,date_range_board,H179)/SUMIFS(All_Attendances,site_level_range_board,$B182,date_range_board,H179),"0.0%"))),"")</f>
        <v>93.1%</v>
      </c>
      <c r="I182" s="165" t="str">
        <f ca="1">IFERROR(IF(ISNUMBER(FIND("ED only",$B$4)),IF(LEFT($B$7,6)="Number",SUMIFS(Comparison_Lookup,site_level_range_board,$B182,date_range_board,I179,inputdata!$F:$F,"ED"),TEXT(SUMIFS(Comparison_Lookup,site_level_range_board,$B182,date_range_board,I179,inputdata!$F:$F,"ED")/SUMIFS(All_Attendances,site_level_range_board,$B182,date_range_board,I179,inputdata!$F:$F,"ED"),"0.0%")),IF(LEFT($B$7,6)="Number",SUMIFS(Comparison_Lookup,site_level_range_board,$B182,date_range_board,I179),TEXT(SUMIFS(Comparison_Lookup,site_level_range_board,$B182,date_range_board,I179)/SUMIFS(All_Attendances,site_level_range_board,$B182,date_range_board,I179),"0.0%"))),"")</f>
        <v>93.9%</v>
      </c>
      <c r="J182" s="165" t="str">
        <f ca="1">IFERROR(IF(ISNUMBER(FIND("ED only",$B$4)),IF(LEFT($B$7,6)="Number",SUMIFS(Comparison_Lookup,site_level_range_board,$B182,date_range_board,J179,inputdata!$F:$F,"ED"),TEXT(SUMIFS(Comparison_Lookup,site_level_range_board,$B182,date_range_board,J179,inputdata!$F:$F,"ED")/SUMIFS(All_Attendances,site_level_range_board,$B182,date_range_board,J179,inputdata!$F:$F,"ED"),"0.0%")),IF(LEFT($B$7,6)="Number",SUMIFS(Comparison_Lookup,site_level_range_board,$B182,date_range_board,J179),TEXT(SUMIFS(Comparison_Lookup,site_level_range_board,$B182,date_range_board,J179)/SUMIFS(All_Attendances,site_level_range_board,$B182,date_range_board,J179),"0.0%"))),"")</f>
        <v>96.0%</v>
      </c>
      <c r="K182" s="165" t="str">
        <f ca="1">IFERROR(IF(ISNUMBER(FIND("ED only",$B$4)),IF(LEFT($B$7,6)="Number",SUMIFS(Comparison_Lookup,site_level_range_board,$B182,date_range_board,K179,inputdata!$F:$F,"ED"),TEXT(SUMIFS(Comparison_Lookup,site_level_range_board,$B182,date_range_board,K179,inputdata!$F:$F,"ED")/SUMIFS(All_Attendances,site_level_range_board,$B182,date_range_board,K179,inputdata!$F:$F,"ED"),"0.0%")),IF(LEFT($B$7,6)="Number",SUMIFS(Comparison_Lookup,site_level_range_board,$B182,date_range_board,K179),TEXT(SUMIFS(Comparison_Lookup,site_level_range_board,$B182,date_range_board,K179)/SUMIFS(All_Attendances,site_level_range_board,$B182,date_range_board,K179),"0.0%"))),"")</f>
        <v>95.3%</v>
      </c>
      <c r="L182" s="165" t="str">
        <f ca="1">IFERROR(IF(ISNUMBER(FIND("ED only",$B$4)),IF(LEFT($B$7,6)="Number",SUMIFS(Comparison_Lookup,site_level_range_board,$B182,date_range_board,L179,inputdata!$F:$F,"ED"),TEXT(SUMIFS(Comparison_Lookup,site_level_range_board,$B182,date_range_board,L179,inputdata!$F:$F,"ED")/SUMIFS(All_Attendances,site_level_range_board,$B182,date_range_board,L179,inputdata!$F:$F,"ED"),"0.0%")),IF(LEFT($B$7,6)="Number",SUMIFS(Comparison_Lookup,site_level_range_board,$B182,date_range_board,L179),TEXT(SUMIFS(Comparison_Lookup,site_level_range_board,$B182,date_range_board,L179)/SUMIFS(All_Attendances,site_level_range_board,$B182,date_range_board,L179),"0.0%"))),"")</f>
        <v>93.2%</v>
      </c>
      <c r="M182" s="165" t="str">
        <f ca="1">IFERROR(IF(ISNUMBER(FIND("ED only",$B$4)),IF(LEFT($B$7,6)="Number",SUMIFS(Comparison_Lookup,site_level_range_board,$B182,date_range_board,M179,inputdata!$F:$F,"ED"),TEXT(SUMIFS(Comparison_Lookup,site_level_range_board,$B182,date_range_board,M179,inputdata!$F:$F,"ED")/SUMIFS(All_Attendances,site_level_range_board,$B182,date_range_board,M179,inputdata!$F:$F,"ED"),"0.0%")),IF(LEFT($B$7,6)="Number",SUMIFS(Comparison_Lookup,site_level_range_board,$B182,date_range_board,M179),TEXT(SUMIFS(Comparison_Lookup,site_level_range_board,$B182,date_range_board,M179)/SUMIFS(All_Attendances,site_level_range_board,$B182,date_range_board,M179),"0.0%"))),"")</f>
        <v>94.5%</v>
      </c>
      <c r="N182" s="171" t="str">
        <f ca="1">IFERROR(IF(ISNUMBER(FIND("ED only",$B$4)),IF(LEFT($B$7,6)="Number",SUMIFS(Comparison_Lookup,site_level_range_board,$B182,date_range_board,N179,inputdata!$F:$F,"ED"),TEXT(SUMIFS(Comparison_Lookup,site_level_range_board,$B182,date_range_board,N179,inputdata!$F:$F,"ED")/SUMIFS(All_Attendances,site_level_range_board,$B182,date_range_board,N179,inputdata!$F:$F,"ED"),"0.0%")),IF(LEFT($B$7,6)="Number",SUMIFS(Comparison_Lookup,site_level_range_board,$B182,date_range_board,N179),TEXT(SUMIFS(Comparison_Lookup,site_level_range_board,$B182,date_range_board,N179)/SUMIFS(All_Attendances,site_level_range_board,$B182,date_range_board,N179),"0.0%"))),"")</f>
        <v>94.0%</v>
      </c>
    </row>
    <row r="183" spans="1:14" ht="15" customHeight="1" x14ac:dyDescent="0.2">
      <c r="A183" s="132"/>
      <c r="B183" s="152" t="s">
        <v>442</v>
      </c>
      <c r="C183" s="165" t="str">
        <f ca="1">IFERROR(IF(ISNUMBER(FIND("ED only",$B$4)),IF(LEFT($B$7,6)="Number",SUMIFS(Comparison_Lookup,site_level_range_board,$B183,date_range_board,C179,inputdata!$F:$F,"ED"),TEXT(SUMIFS(Comparison_Lookup,site_level_range_board,$B183,date_range_board,C179,inputdata!$F:$F,"ED")/SUMIFS(All_Attendances,site_level_range_board,$B183,date_range_board,C179,inputdata!$F:$F,"ED"),"0.0%")),IF(LEFT($B$7,6)="Number",SUMIFS(Comparison_Lookup,site_level_range_board,$B183,date_range_board,C179),TEXT(SUMIFS(Comparison_Lookup,site_level_range_board,$B183,date_range_board,C179)/SUMIFS(All_Attendances,site_level_range_board,$B183,date_range_board,C179),"0.0%"))),"")</f>
        <v>92.3%</v>
      </c>
      <c r="D183" s="165" t="str">
        <f ca="1">IFERROR(IF(ISNUMBER(FIND("ED only",$B$4)),IF(LEFT($B$7,6)="Number",SUMIFS(Comparison_Lookup,site_level_range_board,$B183,date_range_board,D179,inputdata!$F:$F,"ED"),TEXT(SUMIFS(Comparison_Lookup,site_level_range_board,$B183,date_range_board,D179,inputdata!$F:$F,"ED")/SUMIFS(All_Attendances,site_level_range_board,$B183,date_range_board,D179,inputdata!$F:$F,"ED"),"0.0%")),IF(LEFT($B$7,6)="Number",SUMIFS(Comparison_Lookup,site_level_range_board,$B183,date_range_board,D179),TEXT(SUMIFS(Comparison_Lookup,site_level_range_board,$B183,date_range_board,D179)/SUMIFS(All_Attendances,site_level_range_board,$B183,date_range_board,D179),"0.0%"))),"")</f>
        <v>96.3%</v>
      </c>
      <c r="E183" s="165" t="str">
        <f ca="1">IFERROR(IF(ISNUMBER(FIND("ED only",$B$4)),IF(LEFT($B$7,6)="Number",SUMIFS(Comparison_Lookup,site_level_range_board,$B183,date_range_board,E179,inputdata!$F:$F,"ED"),TEXT(SUMIFS(Comparison_Lookup,site_level_range_board,$B183,date_range_board,E179,inputdata!$F:$F,"ED")/SUMIFS(All_Attendances,site_level_range_board,$B183,date_range_board,E179,inputdata!$F:$F,"ED"),"0.0%")),IF(LEFT($B$7,6)="Number",SUMIFS(Comparison_Lookup,site_level_range_board,$B183,date_range_board,E179),TEXT(SUMIFS(Comparison_Lookup,site_level_range_board,$B183,date_range_board,E179)/SUMIFS(All_Attendances,site_level_range_board,$B183,date_range_board,E179),"0.0%"))),"")</f>
        <v>95.6%</v>
      </c>
      <c r="F183" s="165" t="str">
        <f ca="1">IFERROR(IF(ISNUMBER(FIND("ED only",$B$4)),IF(LEFT($B$7,6)="Number",SUMIFS(Comparison_Lookup,site_level_range_board,$B183,date_range_board,F179,inputdata!$F:$F,"ED"),TEXT(SUMIFS(Comparison_Lookup,site_level_range_board,$B183,date_range_board,F179,inputdata!$F:$F,"ED")/SUMIFS(All_Attendances,site_level_range_board,$B183,date_range_board,F179,inputdata!$F:$F,"ED"),"0.0%")),IF(LEFT($B$7,6)="Number",SUMIFS(Comparison_Lookup,site_level_range_board,$B183,date_range_board,F179),TEXT(SUMIFS(Comparison_Lookup,site_level_range_board,$B183,date_range_board,F179)/SUMIFS(All_Attendances,site_level_range_board,$B183,date_range_board,F179),"0.0%"))),"")</f>
        <v>98.4%</v>
      </c>
      <c r="G183" s="165" t="str">
        <f ca="1">IFERROR(IF(ISNUMBER(FIND("ED only",$B$4)),IF(LEFT($B$7,6)="Number",SUMIFS(Comparison_Lookup,site_level_range_board,$B183,date_range_board,G179,inputdata!$F:$F,"ED"),TEXT(SUMIFS(Comparison_Lookup,site_level_range_board,$B183,date_range_board,G179,inputdata!$F:$F,"ED")/SUMIFS(All_Attendances,site_level_range_board,$B183,date_range_board,G179,inputdata!$F:$F,"ED"),"0.0%")),IF(LEFT($B$7,6)="Number",SUMIFS(Comparison_Lookup,site_level_range_board,$B183,date_range_board,G179),TEXT(SUMIFS(Comparison_Lookup,site_level_range_board,$B183,date_range_board,G179)/SUMIFS(All_Attendances,site_level_range_board,$B183,date_range_board,G179),"0.0%"))),"")</f>
        <v>98.9%</v>
      </c>
      <c r="H183" s="165" t="str">
        <f ca="1">IFERROR(IF(ISNUMBER(FIND("ED only",$B$4)),IF(LEFT($B$7,6)="Number",SUMIFS(Comparison_Lookup,site_level_range_board,$B183,date_range_board,H179,inputdata!$F:$F,"ED"),TEXT(SUMIFS(Comparison_Lookup,site_level_range_board,$B183,date_range_board,H179,inputdata!$F:$F,"ED")/SUMIFS(All_Attendances,site_level_range_board,$B183,date_range_board,H179,inputdata!$F:$F,"ED"),"0.0%")),IF(LEFT($B$7,6)="Number",SUMIFS(Comparison_Lookup,site_level_range_board,$B183,date_range_board,H179),TEXT(SUMIFS(Comparison_Lookup,site_level_range_board,$B183,date_range_board,H179)/SUMIFS(All_Attendances,site_level_range_board,$B183,date_range_board,H179),"0.0%"))),"")</f>
        <v>98.9%</v>
      </c>
      <c r="I183" s="165" t="str">
        <f ca="1">IFERROR(IF(ISNUMBER(FIND("ED only",$B$4)),IF(LEFT($B$7,6)="Number",SUMIFS(Comparison_Lookup,site_level_range_board,$B183,date_range_board,I179,inputdata!$F:$F,"ED"),TEXT(SUMIFS(Comparison_Lookup,site_level_range_board,$B183,date_range_board,I179,inputdata!$F:$F,"ED")/SUMIFS(All_Attendances,site_level_range_board,$B183,date_range_board,I179,inputdata!$F:$F,"ED"),"0.0%")),IF(LEFT($B$7,6)="Number",SUMIFS(Comparison_Lookup,site_level_range_board,$B183,date_range_board,I179),TEXT(SUMIFS(Comparison_Lookup,site_level_range_board,$B183,date_range_board,I179)/SUMIFS(All_Attendances,site_level_range_board,$B183,date_range_board,I179),"0.0%"))),"")</f>
        <v>97.0%</v>
      </c>
      <c r="J183" s="165" t="str">
        <f ca="1">IFERROR(IF(ISNUMBER(FIND("ED only",$B$4)),IF(LEFT($B$7,6)="Number",SUMIFS(Comparison_Lookup,site_level_range_board,$B183,date_range_board,J179,inputdata!$F:$F,"ED"),TEXT(SUMIFS(Comparison_Lookup,site_level_range_board,$B183,date_range_board,J179,inputdata!$F:$F,"ED")/SUMIFS(All_Attendances,site_level_range_board,$B183,date_range_board,J179,inputdata!$F:$F,"ED"),"0.0%")),IF(LEFT($B$7,6)="Number",SUMIFS(Comparison_Lookup,site_level_range_board,$B183,date_range_board,J179),TEXT(SUMIFS(Comparison_Lookup,site_level_range_board,$B183,date_range_board,J179)/SUMIFS(All_Attendances,site_level_range_board,$B183,date_range_board,J179),"0.0%"))),"")</f>
        <v>93.7%</v>
      </c>
      <c r="K183" s="165" t="str">
        <f ca="1">IFERROR(IF(ISNUMBER(FIND("ED only",$B$4)),IF(LEFT($B$7,6)="Number",SUMIFS(Comparison_Lookup,site_level_range_board,$B183,date_range_board,K179,inputdata!$F:$F,"ED"),TEXT(SUMIFS(Comparison_Lookup,site_level_range_board,$B183,date_range_board,K179,inputdata!$F:$F,"ED")/SUMIFS(All_Attendances,site_level_range_board,$B183,date_range_board,K179,inputdata!$F:$F,"ED"),"0.0%")),IF(LEFT($B$7,6)="Number",SUMIFS(Comparison_Lookup,site_level_range_board,$B183,date_range_board,K179),TEXT(SUMIFS(Comparison_Lookup,site_level_range_board,$B183,date_range_board,K179)/SUMIFS(All_Attendances,site_level_range_board,$B183,date_range_board,K179),"0.0%"))),"")</f>
        <v>91.1%</v>
      </c>
      <c r="L183" s="165" t="str">
        <f ca="1">IFERROR(IF(ISNUMBER(FIND("ED only",$B$4)),IF(LEFT($B$7,6)="Number",SUMIFS(Comparison_Lookup,site_level_range_board,$B183,date_range_board,L179,inputdata!$F:$F,"ED"),TEXT(SUMIFS(Comparison_Lookup,site_level_range_board,$B183,date_range_board,L179,inputdata!$F:$F,"ED")/SUMIFS(All_Attendances,site_level_range_board,$B183,date_range_board,L179,inputdata!$F:$F,"ED"),"0.0%")),IF(LEFT($B$7,6)="Number",SUMIFS(Comparison_Lookup,site_level_range_board,$B183,date_range_board,L179),TEXT(SUMIFS(Comparison_Lookup,site_level_range_board,$B183,date_range_board,L179)/SUMIFS(All_Attendances,site_level_range_board,$B183,date_range_board,L179),"0.0%"))),"")</f>
        <v>92.7%</v>
      </c>
      <c r="M183" s="165" t="str">
        <f ca="1">IFERROR(IF(ISNUMBER(FIND("ED only",$B$4)),IF(LEFT($B$7,6)="Number",SUMIFS(Comparison_Lookup,site_level_range_board,$B183,date_range_board,M179,inputdata!$F:$F,"ED"),TEXT(SUMIFS(Comparison_Lookup,site_level_range_board,$B183,date_range_board,M179,inputdata!$F:$F,"ED")/SUMIFS(All_Attendances,site_level_range_board,$B183,date_range_board,M179,inputdata!$F:$F,"ED"),"0.0%")),IF(LEFT($B$7,6)="Number",SUMIFS(Comparison_Lookup,site_level_range_board,$B183,date_range_board,M179),TEXT(SUMIFS(Comparison_Lookup,site_level_range_board,$B183,date_range_board,M179)/SUMIFS(All_Attendances,site_level_range_board,$B183,date_range_board,M179),"0.0%"))),"")</f>
        <v>92.3%</v>
      </c>
      <c r="N183" s="171" t="str">
        <f ca="1">IFERROR(IF(ISNUMBER(FIND("ED only",$B$4)),IF(LEFT($B$7,6)="Number",SUMIFS(Comparison_Lookup,site_level_range_board,$B183,date_range_board,N179,inputdata!$F:$F,"ED"),TEXT(SUMIFS(Comparison_Lookup,site_level_range_board,$B183,date_range_board,N179,inputdata!$F:$F,"ED")/SUMIFS(All_Attendances,site_level_range_board,$B183,date_range_board,N179,inputdata!$F:$F,"ED"),"0.0%")),IF(LEFT($B$7,6)="Number",SUMIFS(Comparison_Lookup,site_level_range_board,$B183,date_range_board,N179),TEXT(SUMIFS(Comparison_Lookup,site_level_range_board,$B183,date_range_board,N179)/SUMIFS(All_Attendances,site_level_range_board,$B183,date_range_board,N179),"0.0%"))),"")</f>
        <v>96.9%</v>
      </c>
    </row>
    <row r="184" spans="1:14" ht="15" customHeight="1" x14ac:dyDescent="0.2">
      <c r="A184" s="132"/>
      <c r="B184" s="152" t="s">
        <v>451</v>
      </c>
      <c r="C184" s="165" t="str">
        <f ca="1">IFERROR(IF(ISNUMBER(FIND("ED only",$B$4)),IF(LEFT($B$7,6)="Number",SUMIFS(Comparison_Lookup,site_level_range_board,$B184,date_range_board,C179,inputdata!$F:$F,"ED"),TEXT(SUMIFS(Comparison_Lookup,site_level_range_board,$B184,date_range_board,C179,inputdata!$F:$F,"ED")/SUMIFS(All_Attendances,site_level_range_board,$B184,date_range_board,C179,inputdata!$F:$F,"ED"),"0.0%")),IF(LEFT($B$7,6)="Number",SUMIFS(Comparison_Lookup,site_level_range_board,$B184,date_range_board,C179),TEXT(SUMIFS(Comparison_Lookup,site_level_range_board,$B184,date_range_board,C179)/SUMIFS(All_Attendances,site_level_range_board,$B184,date_range_board,C179),"0.0%"))),"")</f>
        <v>93.4%</v>
      </c>
      <c r="D184" s="165" t="str">
        <f ca="1">IFERROR(IF(ISNUMBER(FIND("ED only",$B$4)),IF(LEFT($B$7,6)="Number",SUMIFS(Comparison_Lookup,site_level_range_board,$B184,date_range_board,D179,inputdata!$F:$F,"ED"),TEXT(SUMIFS(Comparison_Lookup,site_level_range_board,$B184,date_range_board,D179,inputdata!$F:$F,"ED")/SUMIFS(All_Attendances,site_level_range_board,$B184,date_range_board,D179,inputdata!$F:$F,"ED"),"0.0%")),IF(LEFT($B$7,6)="Number",SUMIFS(Comparison_Lookup,site_level_range_board,$B184,date_range_board,D179),TEXT(SUMIFS(Comparison_Lookup,site_level_range_board,$B184,date_range_board,D179)/SUMIFS(All_Attendances,site_level_range_board,$B184,date_range_board,D179),"0.0%"))),"")</f>
        <v>92.4%</v>
      </c>
      <c r="E184" s="165" t="str">
        <f ca="1">IFERROR(IF(ISNUMBER(FIND("ED only",$B$4)),IF(LEFT($B$7,6)="Number",SUMIFS(Comparison_Lookup,site_level_range_board,$B184,date_range_board,E179,inputdata!$F:$F,"ED"),TEXT(SUMIFS(Comparison_Lookup,site_level_range_board,$B184,date_range_board,E179,inputdata!$F:$F,"ED")/SUMIFS(All_Attendances,site_level_range_board,$B184,date_range_board,E179,inputdata!$F:$F,"ED"),"0.0%")),IF(LEFT($B$7,6)="Number",SUMIFS(Comparison_Lookup,site_level_range_board,$B184,date_range_board,E179),TEXT(SUMIFS(Comparison_Lookup,site_level_range_board,$B184,date_range_board,E179)/SUMIFS(All_Attendances,site_level_range_board,$B184,date_range_board,E179),"0.0%"))),"")</f>
        <v>96.1%</v>
      </c>
      <c r="F184" s="165" t="str">
        <f ca="1">IFERROR(IF(ISNUMBER(FIND("ED only",$B$4)),IF(LEFT($B$7,6)="Number",SUMIFS(Comparison_Lookup,site_level_range_board,$B184,date_range_board,F179,inputdata!$F:$F,"ED"),TEXT(SUMIFS(Comparison_Lookup,site_level_range_board,$B184,date_range_board,F179,inputdata!$F:$F,"ED")/SUMIFS(All_Attendances,site_level_range_board,$B184,date_range_board,F179,inputdata!$F:$F,"ED"),"0.0%")),IF(LEFT($B$7,6)="Number",SUMIFS(Comparison_Lookup,site_level_range_board,$B184,date_range_board,F179),TEXT(SUMIFS(Comparison_Lookup,site_level_range_board,$B184,date_range_board,F179)/SUMIFS(All_Attendances,site_level_range_board,$B184,date_range_board,F179),"0.0%"))),"")</f>
        <v>95.4%</v>
      </c>
      <c r="G184" s="165" t="str">
        <f ca="1">IFERROR(IF(ISNUMBER(FIND("ED only",$B$4)),IF(LEFT($B$7,6)="Number",SUMIFS(Comparison_Lookup,site_level_range_board,$B184,date_range_board,G179,inputdata!$F:$F,"ED"),TEXT(SUMIFS(Comparison_Lookup,site_level_range_board,$B184,date_range_board,G179,inputdata!$F:$F,"ED")/SUMIFS(All_Attendances,site_level_range_board,$B184,date_range_board,G179,inputdata!$F:$F,"ED"),"0.0%")),IF(LEFT($B$7,6)="Number",SUMIFS(Comparison_Lookup,site_level_range_board,$B184,date_range_board,G179),TEXT(SUMIFS(Comparison_Lookup,site_level_range_board,$B184,date_range_board,G179)/SUMIFS(All_Attendances,site_level_range_board,$B184,date_range_board,G179),"0.0%"))),"")</f>
        <v>94.5%</v>
      </c>
      <c r="H184" s="165" t="str">
        <f ca="1">IFERROR(IF(ISNUMBER(FIND("ED only",$B$4)),IF(LEFT($B$7,6)="Number",SUMIFS(Comparison_Lookup,site_level_range_board,$B184,date_range_board,H179,inputdata!$F:$F,"ED"),TEXT(SUMIFS(Comparison_Lookup,site_level_range_board,$B184,date_range_board,H179,inputdata!$F:$F,"ED")/SUMIFS(All_Attendances,site_level_range_board,$B184,date_range_board,H179,inputdata!$F:$F,"ED"),"0.0%")),IF(LEFT($B$7,6)="Number",SUMIFS(Comparison_Lookup,site_level_range_board,$B184,date_range_board,H179),TEXT(SUMIFS(Comparison_Lookup,site_level_range_board,$B184,date_range_board,H179)/SUMIFS(All_Attendances,site_level_range_board,$B184,date_range_board,H179),"0.0%"))),"")</f>
        <v>91.7%</v>
      </c>
      <c r="I184" s="165" t="str">
        <f ca="1">IFERROR(IF(ISNUMBER(FIND("ED only",$B$4)),IF(LEFT($B$7,6)="Number",SUMIFS(Comparison_Lookup,site_level_range_board,$B184,date_range_board,I179,inputdata!$F:$F,"ED"),TEXT(SUMIFS(Comparison_Lookup,site_level_range_board,$B184,date_range_board,I179,inputdata!$F:$F,"ED")/SUMIFS(All_Attendances,site_level_range_board,$B184,date_range_board,I179,inputdata!$F:$F,"ED"),"0.0%")),IF(LEFT($B$7,6)="Number",SUMIFS(Comparison_Lookup,site_level_range_board,$B184,date_range_board,I179),TEXT(SUMIFS(Comparison_Lookup,site_level_range_board,$B184,date_range_board,I179)/SUMIFS(All_Attendances,site_level_range_board,$B184,date_range_board,I179),"0.0%"))),"")</f>
        <v>90.2%</v>
      </c>
      <c r="J184" s="165" t="str">
        <f ca="1">IFERROR(IF(ISNUMBER(FIND("ED only",$B$4)),IF(LEFT($B$7,6)="Number",SUMIFS(Comparison_Lookup,site_level_range_board,$B184,date_range_board,J179,inputdata!$F:$F,"ED"),TEXT(SUMIFS(Comparison_Lookup,site_level_range_board,$B184,date_range_board,J179,inputdata!$F:$F,"ED")/SUMIFS(All_Attendances,site_level_range_board,$B184,date_range_board,J179,inputdata!$F:$F,"ED"),"0.0%")),IF(LEFT($B$7,6)="Number",SUMIFS(Comparison_Lookup,site_level_range_board,$B184,date_range_board,J179),TEXT(SUMIFS(Comparison_Lookup,site_level_range_board,$B184,date_range_board,J179)/SUMIFS(All_Attendances,site_level_range_board,$B184,date_range_board,J179),"0.0%"))),"")</f>
        <v>94.1%</v>
      </c>
      <c r="K184" s="165" t="str">
        <f ca="1">IFERROR(IF(ISNUMBER(FIND("ED only",$B$4)),IF(LEFT($B$7,6)="Number",SUMIFS(Comparison_Lookup,site_level_range_board,$B184,date_range_board,K179,inputdata!$F:$F,"ED"),TEXT(SUMIFS(Comparison_Lookup,site_level_range_board,$B184,date_range_board,K179,inputdata!$F:$F,"ED")/SUMIFS(All_Attendances,site_level_range_board,$B184,date_range_board,K179,inputdata!$F:$F,"ED"),"0.0%")),IF(LEFT($B$7,6)="Number",SUMIFS(Comparison_Lookup,site_level_range_board,$B184,date_range_board,K179),TEXT(SUMIFS(Comparison_Lookup,site_level_range_board,$B184,date_range_board,K179)/SUMIFS(All_Attendances,site_level_range_board,$B184,date_range_board,K179),"0.0%"))),"")</f>
        <v>85.8%</v>
      </c>
      <c r="L184" s="165" t="str">
        <f ca="1">IFERROR(IF(ISNUMBER(FIND("ED only",$B$4)),IF(LEFT($B$7,6)="Number",SUMIFS(Comparison_Lookup,site_level_range_board,$B184,date_range_board,L179,inputdata!$F:$F,"ED"),TEXT(SUMIFS(Comparison_Lookup,site_level_range_board,$B184,date_range_board,L179,inputdata!$F:$F,"ED")/SUMIFS(All_Attendances,site_level_range_board,$B184,date_range_board,L179,inputdata!$F:$F,"ED"),"0.0%")),IF(LEFT($B$7,6)="Number",SUMIFS(Comparison_Lookup,site_level_range_board,$B184,date_range_board,L179),TEXT(SUMIFS(Comparison_Lookup,site_level_range_board,$B184,date_range_board,L179)/SUMIFS(All_Attendances,site_level_range_board,$B184,date_range_board,L179),"0.0%"))),"")</f>
        <v>87.3%</v>
      </c>
      <c r="M184" s="165" t="str">
        <f ca="1">IFERROR(IF(ISNUMBER(FIND("ED only",$B$4)),IF(LEFT($B$7,6)="Number",SUMIFS(Comparison_Lookup,site_level_range_board,$B184,date_range_board,M179,inputdata!$F:$F,"ED"),TEXT(SUMIFS(Comparison_Lookup,site_level_range_board,$B184,date_range_board,M179,inputdata!$F:$F,"ED")/SUMIFS(All_Attendances,site_level_range_board,$B184,date_range_board,M179,inputdata!$F:$F,"ED"),"0.0%")),IF(LEFT($B$7,6)="Number",SUMIFS(Comparison_Lookup,site_level_range_board,$B184,date_range_board,M179),TEXT(SUMIFS(Comparison_Lookup,site_level_range_board,$B184,date_range_board,M179)/SUMIFS(All_Attendances,site_level_range_board,$B184,date_range_board,M179),"0.0%"))),"")</f>
        <v>91.2%</v>
      </c>
      <c r="N184" s="171" t="str">
        <f ca="1">IFERROR(IF(ISNUMBER(FIND("ED only",$B$4)),IF(LEFT($B$7,6)="Number",SUMIFS(Comparison_Lookup,site_level_range_board,$B184,date_range_board,N179,inputdata!$F:$F,"ED"),TEXT(SUMIFS(Comparison_Lookup,site_level_range_board,$B184,date_range_board,N179,inputdata!$F:$F,"ED")/SUMIFS(All_Attendances,site_level_range_board,$B184,date_range_board,N179,inputdata!$F:$F,"ED"),"0.0%")),IF(LEFT($B$7,6)="Number",SUMIFS(Comparison_Lookup,site_level_range_board,$B184,date_range_board,N179),TEXT(SUMIFS(Comparison_Lookup,site_level_range_board,$B184,date_range_board,N179)/SUMIFS(All_Attendances,site_level_range_board,$B184,date_range_board,N179),"0.0%"))),"")</f>
        <v>87.6%</v>
      </c>
    </row>
    <row r="185" spans="1:14" ht="15" customHeight="1" x14ac:dyDescent="0.2">
      <c r="A185" s="132"/>
      <c r="B185" s="152" t="s">
        <v>456</v>
      </c>
      <c r="C185" s="165" t="str">
        <f ca="1">IFERROR(IF(ISNUMBER(FIND("ED only",$B$4)),IF(LEFT($B$7,6)="Number",SUMIFS(Comparison_Lookup,site_level_range_board,$B185,date_range_board,C179,inputdata!$F:$F,"ED"),TEXT(SUMIFS(Comparison_Lookup,site_level_range_board,$B185,date_range_board,C179,inputdata!$F:$F,"ED")/SUMIFS(All_Attendances,site_level_range_board,$B185,date_range_board,C179,inputdata!$F:$F,"ED"),"0.0%")),IF(LEFT($B$7,6)="Number",SUMIFS(Comparison_Lookup,site_level_range_board,$B185,date_range_board,C179),TEXT(SUMIFS(Comparison_Lookup,site_level_range_board,$B185,date_range_board,C179)/SUMIFS(All_Attendances,site_level_range_board,$B185,date_range_board,C179),"0.0%"))),"")</f>
        <v>96.0%</v>
      </c>
      <c r="D185" s="165" t="str">
        <f ca="1">IFERROR(IF(ISNUMBER(FIND("ED only",$B$4)),IF(LEFT($B$7,6)="Number",SUMIFS(Comparison_Lookup,site_level_range_board,$B185,date_range_board,D179,inputdata!$F:$F,"ED"),TEXT(SUMIFS(Comparison_Lookup,site_level_range_board,$B185,date_range_board,D179,inputdata!$F:$F,"ED")/SUMIFS(All_Attendances,site_level_range_board,$B185,date_range_board,D179,inputdata!$F:$F,"ED"),"0.0%")),IF(LEFT($B$7,6)="Number",SUMIFS(Comparison_Lookup,site_level_range_board,$B185,date_range_board,D179),TEXT(SUMIFS(Comparison_Lookup,site_level_range_board,$B185,date_range_board,D179)/SUMIFS(All_Attendances,site_level_range_board,$B185,date_range_board,D179),"0.0%"))),"")</f>
        <v>96.8%</v>
      </c>
      <c r="E185" s="165" t="str">
        <f ca="1">IFERROR(IF(ISNUMBER(FIND("ED only",$B$4)),IF(LEFT($B$7,6)="Number",SUMIFS(Comparison_Lookup,site_level_range_board,$B185,date_range_board,E179,inputdata!$F:$F,"ED"),TEXT(SUMIFS(Comparison_Lookup,site_level_range_board,$B185,date_range_board,E179,inputdata!$F:$F,"ED")/SUMIFS(All_Attendances,site_level_range_board,$B185,date_range_board,E179,inputdata!$F:$F,"ED"),"0.0%")),IF(LEFT($B$7,6)="Number",SUMIFS(Comparison_Lookup,site_level_range_board,$B185,date_range_board,E179),TEXT(SUMIFS(Comparison_Lookup,site_level_range_board,$B185,date_range_board,E179)/SUMIFS(All_Attendances,site_level_range_board,$B185,date_range_board,E179),"0.0%"))),"")</f>
        <v>97.2%</v>
      </c>
      <c r="F185" s="165" t="str">
        <f ca="1">IFERROR(IF(ISNUMBER(FIND("ED only",$B$4)),IF(LEFT($B$7,6)="Number",SUMIFS(Comparison_Lookup,site_level_range_board,$B185,date_range_board,F179,inputdata!$F:$F,"ED"),TEXT(SUMIFS(Comparison_Lookup,site_level_range_board,$B185,date_range_board,F179,inputdata!$F:$F,"ED")/SUMIFS(All_Attendances,site_level_range_board,$B185,date_range_board,F179,inputdata!$F:$F,"ED"),"0.0%")),IF(LEFT($B$7,6)="Number",SUMIFS(Comparison_Lookup,site_level_range_board,$B185,date_range_board,F179),TEXT(SUMIFS(Comparison_Lookup,site_level_range_board,$B185,date_range_board,F179)/SUMIFS(All_Attendances,site_level_range_board,$B185,date_range_board,F179),"0.0%"))),"")</f>
        <v>97.3%</v>
      </c>
      <c r="G185" s="165" t="str">
        <f ca="1">IFERROR(IF(ISNUMBER(FIND("ED only",$B$4)),IF(LEFT($B$7,6)="Number",SUMIFS(Comparison_Lookup,site_level_range_board,$B185,date_range_board,G179,inputdata!$F:$F,"ED"),TEXT(SUMIFS(Comparison_Lookup,site_level_range_board,$B185,date_range_board,G179,inputdata!$F:$F,"ED")/SUMIFS(All_Attendances,site_level_range_board,$B185,date_range_board,G179,inputdata!$F:$F,"ED"),"0.0%")),IF(LEFT($B$7,6)="Number",SUMIFS(Comparison_Lookup,site_level_range_board,$B185,date_range_board,G179),TEXT(SUMIFS(Comparison_Lookup,site_level_range_board,$B185,date_range_board,G179)/SUMIFS(All_Attendances,site_level_range_board,$B185,date_range_board,G179),"0.0%"))),"")</f>
        <v>96.7%</v>
      </c>
      <c r="H185" s="165" t="str">
        <f ca="1">IFERROR(IF(ISNUMBER(FIND("ED only",$B$4)),IF(LEFT($B$7,6)="Number",SUMIFS(Comparison_Lookup,site_level_range_board,$B185,date_range_board,H179,inputdata!$F:$F,"ED"),TEXT(SUMIFS(Comparison_Lookup,site_level_range_board,$B185,date_range_board,H179,inputdata!$F:$F,"ED")/SUMIFS(All_Attendances,site_level_range_board,$B185,date_range_board,H179,inputdata!$F:$F,"ED"),"0.0%")),IF(LEFT($B$7,6)="Number",SUMIFS(Comparison_Lookup,site_level_range_board,$B185,date_range_board,H179),TEXT(SUMIFS(Comparison_Lookup,site_level_range_board,$B185,date_range_board,H179)/SUMIFS(All_Attendances,site_level_range_board,$B185,date_range_board,H179),"0.0%"))),"")</f>
        <v>97.5%</v>
      </c>
      <c r="I185" s="165" t="str">
        <f ca="1">IFERROR(IF(ISNUMBER(FIND("ED only",$B$4)),IF(LEFT($B$7,6)="Number",SUMIFS(Comparison_Lookup,site_level_range_board,$B185,date_range_board,I179,inputdata!$F:$F,"ED"),TEXT(SUMIFS(Comparison_Lookup,site_level_range_board,$B185,date_range_board,I179,inputdata!$F:$F,"ED")/SUMIFS(All_Attendances,site_level_range_board,$B185,date_range_board,I179,inputdata!$F:$F,"ED"),"0.0%")),IF(LEFT($B$7,6)="Number",SUMIFS(Comparison_Lookup,site_level_range_board,$B185,date_range_board,I179),TEXT(SUMIFS(Comparison_Lookup,site_level_range_board,$B185,date_range_board,I179)/SUMIFS(All_Attendances,site_level_range_board,$B185,date_range_board,I179),"0.0%"))),"")</f>
        <v>96.5%</v>
      </c>
      <c r="J185" s="165" t="str">
        <f ca="1">IFERROR(IF(ISNUMBER(FIND("ED only",$B$4)),IF(LEFT($B$7,6)="Number",SUMIFS(Comparison_Lookup,site_level_range_board,$B185,date_range_board,J179,inputdata!$F:$F,"ED"),TEXT(SUMIFS(Comparison_Lookup,site_level_range_board,$B185,date_range_board,J179,inputdata!$F:$F,"ED")/SUMIFS(All_Attendances,site_level_range_board,$B185,date_range_board,J179,inputdata!$F:$F,"ED"),"0.0%")),IF(LEFT($B$7,6)="Number",SUMIFS(Comparison_Lookup,site_level_range_board,$B185,date_range_board,J179),TEXT(SUMIFS(Comparison_Lookup,site_level_range_board,$B185,date_range_board,J179)/SUMIFS(All_Attendances,site_level_range_board,$B185,date_range_board,J179),"0.0%"))),"")</f>
        <v>95.6%</v>
      </c>
      <c r="K185" s="165" t="str">
        <f ca="1">IFERROR(IF(ISNUMBER(FIND("ED only",$B$4)),IF(LEFT($B$7,6)="Number",SUMIFS(Comparison_Lookup,site_level_range_board,$B185,date_range_board,K179,inputdata!$F:$F,"ED"),TEXT(SUMIFS(Comparison_Lookup,site_level_range_board,$B185,date_range_board,K179,inputdata!$F:$F,"ED")/SUMIFS(All_Attendances,site_level_range_board,$B185,date_range_board,K179,inputdata!$F:$F,"ED"),"0.0%")),IF(LEFT($B$7,6)="Number",SUMIFS(Comparison_Lookup,site_level_range_board,$B185,date_range_board,K179),TEXT(SUMIFS(Comparison_Lookup,site_level_range_board,$B185,date_range_board,K179)/SUMIFS(All_Attendances,site_level_range_board,$B185,date_range_board,K179),"0.0%"))),"")</f>
        <v>94.3%</v>
      </c>
      <c r="L185" s="165" t="str">
        <f ca="1">IFERROR(IF(ISNUMBER(FIND("ED only",$B$4)),IF(LEFT($B$7,6)="Number",SUMIFS(Comparison_Lookup,site_level_range_board,$B185,date_range_board,L179,inputdata!$F:$F,"ED"),TEXT(SUMIFS(Comparison_Lookup,site_level_range_board,$B185,date_range_board,L179,inputdata!$F:$F,"ED")/SUMIFS(All_Attendances,site_level_range_board,$B185,date_range_board,L179,inputdata!$F:$F,"ED"),"0.0%")),IF(LEFT($B$7,6)="Number",SUMIFS(Comparison_Lookup,site_level_range_board,$B185,date_range_board,L179),TEXT(SUMIFS(Comparison_Lookup,site_level_range_board,$B185,date_range_board,L179)/SUMIFS(All_Attendances,site_level_range_board,$B185,date_range_board,L179),"0.0%"))),"")</f>
        <v>94.9%</v>
      </c>
      <c r="M185" s="165" t="str">
        <f ca="1">IFERROR(IF(ISNUMBER(FIND("ED only",$B$4)),IF(LEFT($B$7,6)="Number",SUMIFS(Comparison_Lookup,site_level_range_board,$B185,date_range_board,M179,inputdata!$F:$F,"ED"),TEXT(SUMIFS(Comparison_Lookup,site_level_range_board,$B185,date_range_board,M179,inputdata!$F:$F,"ED")/SUMIFS(All_Attendances,site_level_range_board,$B185,date_range_board,M179,inputdata!$F:$F,"ED"),"0.0%")),IF(LEFT($B$7,6)="Number",SUMIFS(Comparison_Lookup,site_level_range_board,$B185,date_range_board,M179),TEXT(SUMIFS(Comparison_Lookup,site_level_range_board,$B185,date_range_board,M179)/SUMIFS(All_Attendances,site_level_range_board,$B185,date_range_board,M179),"0.0%"))),"")</f>
        <v>96.0%</v>
      </c>
      <c r="N185" s="171" t="str">
        <f ca="1">IFERROR(IF(ISNUMBER(FIND("ED only",$B$4)),IF(LEFT($B$7,6)="Number",SUMIFS(Comparison_Lookup,site_level_range_board,$B185,date_range_board,N179,inputdata!$F:$F,"ED"),TEXT(SUMIFS(Comparison_Lookup,site_level_range_board,$B185,date_range_board,N179,inputdata!$F:$F,"ED")/SUMIFS(All_Attendances,site_level_range_board,$B185,date_range_board,N179,inputdata!$F:$F,"ED"),"0.0%")),IF(LEFT($B$7,6)="Number",SUMIFS(Comparison_Lookup,site_level_range_board,$B185,date_range_board,N179),TEXT(SUMIFS(Comparison_Lookup,site_level_range_board,$B185,date_range_board,N179)/SUMIFS(All_Attendances,site_level_range_board,$B185,date_range_board,N179),"0.0%"))),"")</f>
        <v>95.2%</v>
      </c>
    </row>
    <row r="186" spans="1:14" ht="15" customHeight="1" x14ac:dyDescent="0.2">
      <c r="A186" s="132"/>
      <c r="B186" s="152" t="s">
        <v>491</v>
      </c>
      <c r="C186" s="165" t="str">
        <f ca="1">IFERROR(IF(ISNUMBER(FIND("ED only",$B$4)),IF(LEFT($B$7,6)="Number",SUMIFS(Comparison_Lookup,site_level_range_board,$B186,date_range_board,C179,inputdata!$F:$F,"ED"),TEXT(SUMIFS(Comparison_Lookup,site_level_range_board,$B186,date_range_board,C179,inputdata!$F:$F,"ED")/SUMIFS(All_Attendances,site_level_range_board,$B186,date_range_board,C179,inputdata!$F:$F,"ED"),"0.0%")),IF(LEFT($B$7,6)="Number",SUMIFS(Comparison_Lookup,site_level_range_board,$B186,date_range_board,C179),TEXT(SUMIFS(Comparison_Lookup,site_level_range_board,$B186,date_range_board,C179)/SUMIFS(All_Attendances,site_level_range_board,$B186,date_range_board,C179),"0.0%"))),"")</f>
        <v>93.9%</v>
      </c>
      <c r="D186" s="165" t="str">
        <f ca="1">IFERROR(IF(ISNUMBER(FIND("ED only",$B$4)),IF(LEFT($B$7,6)="Number",SUMIFS(Comparison_Lookup,site_level_range_board,$B186,date_range_board,D179,inputdata!$F:$F,"ED"),TEXT(SUMIFS(Comparison_Lookup,site_level_range_board,$B186,date_range_board,D179,inputdata!$F:$F,"ED")/SUMIFS(All_Attendances,site_level_range_board,$B186,date_range_board,D179,inputdata!$F:$F,"ED"),"0.0%")),IF(LEFT($B$7,6)="Number",SUMIFS(Comparison_Lookup,site_level_range_board,$B186,date_range_board,D179),TEXT(SUMIFS(Comparison_Lookup,site_level_range_board,$B186,date_range_board,D179)/SUMIFS(All_Attendances,site_level_range_board,$B186,date_range_board,D179),"0.0%"))),"")</f>
        <v>94.2%</v>
      </c>
      <c r="E186" s="165" t="str">
        <f ca="1">IFERROR(IF(ISNUMBER(FIND("ED only",$B$4)),IF(LEFT($B$7,6)="Number",SUMIFS(Comparison_Lookup,site_level_range_board,$B186,date_range_board,E179,inputdata!$F:$F,"ED"),TEXT(SUMIFS(Comparison_Lookup,site_level_range_board,$B186,date_range_board,E179,inputdata!$F:$F,"ED")/SUMIFS(All_Attendances,site_level_range_board,$B186,date_range_board,E179,inputdata!$F:$F,"ED"),"0.0%")),IF(LEFT($B$7,6)="Number",SUMIFS(Comparison_Lookup,site_level_range_board,$B186,date_range_board,E179),TEXT(SUMIFS(Comparison_Lookup,site_level_range_board,$B186,date_range_board,E179)/SUMIFS(All_Attendances,site_level_range_board,$B186,date_range_board,E179),"0.0%"))),"")</f>
        <v>94.4%</v>
      </c>
      <c r="F186" s="165" t="str">
        <f ca="1">IFERROR(IF(ISNUMBER(FIND("ED only",$B$4)),IF(LEFT($B$7,6)="Number",SUMIFS(Comparison_Lookup,site_level_range_board,$B186,date_range_board,F179,inputdata!$F:$F,"ED"),TEXT(SUMIFS(Comparison_Lookup,site_level_range_board,$B186,date_range_board,F179,inputdata!$F:$F,"ED")/SUMIFS(All_Attendances,site_level_range_board,$B186,date_range_board,F179,inputdata!$F:$F,"ED"),"0.0%")),IF(LEFT($B$7,6)="Number",SUMIFS(Comparison_Lookup,site_level_range_board,$B186,date_range_board,F179),TEXT(SUMIFS(Comparison_Lookup,site_level_range_board,$B186,date_range_board,F179)/SUMIFS(All_Attendances,site_level_range_board,$B186,date_range_board,F179),"0.0%"))),"")</f>
        <v>95.7%</v>
      </c>
      <c r="G186" s="165" t="str">
        <f ca="1">IFERROR(IF(ISNUMBER(FIND("ED only",$B$4)),IF(LEFT($B$7,6)="Number",SUMIFS(Comparison_Lookup,site_level_range_board,$B186,date_range_board,G179,inputdata!$F:$F,"ED"),TEXT(SUMIFS(Comparison_Lookup,site_level_range_board,$B186,date_range_board,G179,inputdata!$F:$F,"ED")/SUMIFS(All_Attendances,site_level_range_board,$B186,date_range_board,G179,inputdata!$F:$F,"ED"),"0.0%")),IF(LEFT($B$7,6)="Number",SUMIFS(Comparison_Lookup,site_level_range_board,$B186,date_range_board,G179),TEXT(SUMIFS(Comparison_Lookup,site_level_range_board,$B186,date_range_board,G179)/SUMIFS(All_Attendances,site_level_range_board,$B186,date_range_board,G179),"0.0%"))),"")</f>
        <v>95.6%</v>
      </c>
      <c r="H186" s="165" t="str">
        <f ca="1">IFERROR(IF(ISNUMBER(FIND("ED only",$B$4)),IF(LEFT($B$7,6)="Number",SUMIFS(Comparison_Lookup,site_level_range_board,$B186,date_range_board,H179,inputdata!$F:$F,"ED"),TEXT(SUMIFS(Comparison_Lookup,site_level_range_board,$B186,date_range_board,H179,inputdata!$F:$F,"ED")/SUMIFS(All_Attendances,site_level_range_board,$B186,date_range_board,H179,inputdata!$F:$F,"ED"),"0.0%")),IF(LEFT($B$7,6)="Number",SUMIFS(Comparison_Lookup,site_level_range_board,$B186,date_range_board,H179),TEXT(SUMIFS(Comparison_Lookup,site_level_range_board,$B186,date_range_board,H179)/SUMIFS(All_Attendances,site_level_range_board,$B186,date_range_board,H179),"0.0%"))),"")</f>
        <v>95.1%</v>
      </c>
      <c r="I186" s="165" t="str">
        <f ca="1">IFERROR(IF(ISNUMBER(FIND("ED only",$B$4)),IF(LEFT($B$7,6)="Number",SUMIFS(Comparison_Lookup,site_level_range_board,$B186,date_range_board,I179,inputdata!$F:$F,"ED"),TEXT(SUMIFS(Comparison_Lookup,site_level_range_board,$B186,date_range_board,I179,inputdata!$F:$F,"ED")/SUMIFS(All_Attendances,site_level_range_board,$B186,date_range_board,I179,inputdata!$F:$F,"ED"),"0.0%")),IF(LEFT($B$7,6)="Number",SUMIFS(Comparison_Lookup,site_level_range_board,$B186,date_range_board,I179),TEXT(SUMIFS(Comparison_Lookup,site_level_range_board,$B186,date_range_board,I179)/SUMIFS(All_Attendances,site_level_range_board,$B186,date_range_board,I179),"0.0%"))),"")</f>
        <v>94.9%</v>
      </c>
      <c r="J186" s="165" t="str">
        <f ca="1">IFERROR(IF(ISNUMBER(FIND("ED only",$B$4)),IF(LEFT($B$7,6)="Number",SUMIFS(Comparison_Lookup,site_level_range_board,$B186,date_range_board,J179,inputdata!$F:$F,"ED"),TEXT(SUMIFS(Comparison_Lookup,site_level_range_board,$B186,date_range_board,J179,inputdata!$F:$F,"ED")/SUMIFS(All_Attendances,site_level_range_board,$B186,date_range_board,J179,inputdata!$F:$F,"ED"),"0.0%")),IF(LEFT($B$7,6)="Number",SUMIFS(Comparison_Lookup,site_level_range_board,$B186,date_range_board,J179),TEXT(SUMIFS(Comparison_Lookup,site_level_range_board,$B186,date_range_board,J179)/SUMIFS(All_Attendances,site_level_range_board,$B186,date_range_board,J179),"0.0%"))),"")</f>
        <v>94.7%</v>
      </c>
      <c r="K186" s="165" t="str">
        <f ca="1">IFERROR(IF(ISNUMBER(FIND("ED only",$B$4)),IF(LEFT($B$7,6)="Number",SUMIFS(Comparison_Lookup,site_level_range_board,$B186,date_range_board,K179,inputdata!$F:$F,"ED"),TEXT(SUMIFS(Comparison_Lookup,site_level_range_board,$B186,date_range_board,K179,inputdata!$F:$F,"ED")/SUMIFS(All_Attendances,site_level_range_board,$B186,date_range_board,K179,inputdata!$F:$F,"ED"),"0.0%")),IF(LEFT($B$7,6)="Number",SUMIFS(Comparison_Lookup,site_level_range_board,$B186,date_range_board,K179),TEXT(SUMIFS(Comparison_Lookup,site_level_range_board,$B186,date_range_board,K179)/SUMIFS(All_Attendances,site_level_range_board,$B186,date_range_board,K179),"0.0%"))),"")</f>
        <v>90.4%</v>
      </c>
      <c r="L186" s="165" t="str">
        <f ca="1">IFERROR(IF(ISNUMBER(FIND("ED only",$B$4)),IF(LEFT($B$7,6)="Number",SUMIFS(Comparison_Lookup,site_level_range_board,$B186,date_range_board,L179,inputdata!$F:$F,"ED"),TEXT(SUMIFS(Comparison_Lookup,site_level_range_board,$B186,date_range_board,L179,inputdata!$F:$F,"ED")/SUMIFS(All_Attendances,site_level_range_board,$B186,date_range_board,L179,inputdata!$F:$F,"ED"),"0.0%")),IF(LEFT($B$7,6)="Number",SUMIFS(Comparison_Lookup,site_level_range_board,$B186,date_range_board,L179),TEXT(SUMIFS(Comparison_Lookup,site_level_range_board,$B186,date_range_board,L179)/SUMIFS(All_Attendances,site_level_range_board,$B186,date_range_board,L179),"0.0%"))),"")</f>
        <v>87.8%</v>
      </c>
      <c r="M186" s="165" t="str">
        <f ca="1">IFERROR(IF(ISNUMBER(FIND("ED only",$B$4)),IF(LEFT($B$7,6)="Number",SUMIFS(Comparison_Lookup,site_level_range_board,$B186,date_range_board,M179,inputdata!$F:$F,"ED"),TEXT(SUMIFS(Comparison_Lookup,site_level_range_board,$B186,date_range_board,M179,inputdata!$F:$F,"ED")/SUMIFS(All_Attendances,site_level_range_board,$B186,date_range_board,M179,inputdata!$F:$F,"ED"),"0.0%")),IF(LEFT($B$7,6)="Number",SUMIFS(Comparison_Lookup,site_level_range_board,$B186,date_range_board,M179),TEXT(SUMIFS(Comparison_Lookup,site_level_range_board,$B186,date_range_board,M179)/SUMIFS(All_Attendances,site_level_range_board,$B186,date_range_board,M179),"0.0%"))),"")</f>
        <v>89.1%</v>
      </c>
      <c r="N186" s="171" t="str">
        <f ca="1">IFERROR(IF(ISNUMBER(FIND("ED only",$B$4)),IF(LEFT($B$7,6)="Number",SUMIFS(Comparison_Lookup,site_level_range_board,$B186,date_range_board,N179,inputdata!$F:$F,"ED"),TEXT(SUMIFS(Comparison_Lookup,site_level_range_board,$B186,date_range_board,N179,inputdata!$F:$F,"ED")/SUMIFS(All_Attendances,site_level_range_board,$B186,date_range_board,N179,inputdata!$F:$F,"ED"),"0.0%")),IF(LEFT($B$7,6)="Number",SUMIFS(Comparison_Lookup,site_level_range_board,$B186,date_range_board,N179),TEXT(SUMIFS(Comparison_Lookup,site_level_range_board,$B186,date_range_board,N179)/SUMIFS(All_Attendances,site_level_range_board,$B186,date_range_board,N179),"0.0%"))),"")</f>
        <v>89.6%</v>
      </c>
    </row>
    <row r="187" spans="1:14" ht="15" customHeight="1" x14ac:dyDescent="0.2">
      <c r="A187" s="132"/>
      <c r="B187" s="152" t="s">
        <v>510</v>
      </c>
      <c r="C187" s="165" t="str">
        <f ca="1">IFERROR(IF(ISNUMBER(FIND("ED only",$B$4)),IF(LEFT($B$7,6)="Number",SUMIFS(Comparison_Lookup,site_level_range_board,$B187,date_range_board,C179,inputdata!$F:$F,"ED"),TEXT(SUMIFS(Comparison_Lookup,site_level_range_board,$B187,date_range_board,C179,inputdata!$F:$F,"ED")/SUMIFS(All_Attendances,site_level_range_board,$B187,date_range_board,C179,inputdata!$F:$F,"ED"),"0.0%")),IF(LEFT($B$7,6)="Number",SUMIFS(Comparison_Lookup,site_level_range_board,$B187,date_range_board,C179),TEXT(SUMIFS(Comparison_Lookup,site_level_range_board,$B187,date_range_board,C179)/SUMIFS(All_Attendances,site_level_range_board,$B187,date_range_board,C179),"0.0%"))),"")</f>
        <v>98.0%</v>
      </c>
      <c r="D187" s="165" t="str">
        <f ca="1">IFERROR(IF(ISNUMBER(FIND("ED only",$B$4)),IF(LEFT($B$7,6)="Number",SUMIFS(Comparison_Lookup,site_level_range_board,$B187,date_range_board,D179,inputdata!$F:$F,"ED"),TEXT(SUMIFS(Comparison_Lookup,site_level_range_board,$B187,date_range_board,D179,inputdata!$F:$F,"ED")/SUMIFS(All_Attendances,site_level_range_board,$B187,date_range_board,D179,inputdata!$F:$F,"ED"),"0.0%")),IF(LEFT($B$7,6)="Number",SUMIFS(Comparison_Lookup,site_level_range_board,$B187,date_range_board,D179),TEXT(SUMIFS(Comparison_Lookup,site_level_range_board,$B187,date_range_board,D179)/SUMIFS(All_Attendances,site_level_range_board,$B187,date_range_board,D179),"0.0%"))),"")</f>
        <v>97.6%</v>
      </c>
      <c r="E187" s="165" t="str">
        <f ca="1">IFERROR(IF(ISNUMBER(FIND("ED only",$B$4)),IF(LEFT($B$7,6)="Number",SUMIFS(Comparison_Lookup,site_level_range_board,$B187,date_range_board,E179,inputdata!$F:$F,"ED"),TEXT(SUMIFS(Comparison_Lookup,site_level_range_board,$B187,date_range_board,E179,inputdata!$F:$F,"ED")/SUMIFS(All_Attendances,site_level_range_board,$B187,date_range_board,E179,inputdata!$F:$F,"ED"),"0.0%")),IF(LEFT($B$7,6)="Number",SUMIFS(Comparison_Lookup,site_level_range_board,$B187,date_range_board,E179),TEXT(SUMIFS(Comparison_Lookup,site_level_range_board,$B187,date_range_board,E179)/SUMIFS(All_Attendances,site_level_range_board,$B187,date_range_board,E179),"0.0%"))),"")</f>
        <v>98.2%</v>
      </c>
      <c r="F187" s="165" t="str">
        <f ca="1">IFERROR(IF(ISNUMBER(FIND("ED only",$B$4)),IF(LEFT($B$7,6)="Number",SUMIFS(Comparison_Lookup,site_level_range_board,$B187,date_range_board,F179,inputdata!$F:$F,"ED"),TEXT(SUMIFS(Comparison_Lookup,site_level_range_board,$B187,date_range_board,F179,inputdata!$F:$F,"ED")/SUMIFS(All_Attendances,site_level_range_board,$B187,date_range_board,F179,inputdata!$F:$F,"ED"),"0.0%")),IF(LEFT($B$7,6)="Number",SUMIFS(Comparison_Lookup,site_level_range_board,$B187,date_range_board,F179),TEXT(SUMIFS(Comparison_Lookup,site_level_range_board,$B187,date_range_board,F179)/SUMIFS(All_Attendances,site_level_range_board,$B187,date_range_board,F179),"0.0%"))),"")</f>
        <v>98.1%</v>
      </c>
      <c r="G187" s="165" t="str">
        <f ca="1">IFERROR(IF(ISNUMBER(FIND("ED only",$B$4)),IF(LEFT($B$7,6)="Number",SUMIFS(Comparison_Lookup,site_level_range_board,$B187,date_range_board,G179,inputdata!$F:$F,"ED"),TEXT(SUMIFS(Comparison_Lookup,site_level_range_board,$B187,date_range_board,G179,inputdata!$F:$F,"ED")/SUMIFS(All_Attendances,site_level_range_board,$B187,date_range_board,G179,inputdata!$F:$F,"ED"),"0.0%")),IF(LEFT($B$7,6)="Number",SUMIFS(Comparison_Lookup,site_level_range_board,$B187,date_range_board,G179),TEXT(SUMIFS(Comparison_Lookup,site_level_range_board,$B187,date_range_board,G179)/SUMIFS(All_Attendances,site_level_range_board,$B187,date_range_board,G179),"0.0%"))),"")</f>
        <v>98.1%</v>
      </c>
      <c r="H187" s="165" t="str">
        <f ca="1">IFERROR(IF(ISNUMBER(FIND("ED only",$B$4)),IF(LEFT($B$7,6)="Number",SUMIFS(Comparison_Lookup,site_level_range_board,$B187,date_range_board,H179,inputdata!$F:$F,"ED"),TEXT(SUMIFS(Comparison_Lookup,site_level_range_board,$B187,date_range_board,H179,inputdata!$F:$F,"ED")/SUMIFS(All_Attendances,site_level_range_board,$B187,date_range_board,H179,inputdata!$F:$F,"ED"),"0.0%")),IF(LEFT($B$7,6)="Number",SUMIFS(Comparison_Lookup,site_level_range_board,$B187,date_range_board,H179),TEXT(SUMIFS(Comparison_Lookup,site_level_range_board,$B187,date_range_board,H179)/SUMIFS(All_Attendances,site_level_range_board,$B187,date_range_board,H179),"0.0%"))),"")</f>
        <v>97.9%</v>
      </c>
      <c r="I187" s="165" t="str">
        <f ca="1">IFERROR(IF(ISNUMBER(FIND("ED only",$B$4)),IF(LEFT($B$7,6)="Number",SUMIFS(Comparison_Lookup,site_level_range_board,$B187,date_range_board,I179,inputdata!$F:$F,"ED"),TEXT(SUMIFS(Comparison_Lookup,site_level_range_board,$B187,date_range_board,I179,inputdata!$F:$F,"ED")/SUMIFS(All_Attendances,site_level_range_board,$B187,date_range_board,I179,inputdata!$F:$F,"ED"),"0.0%")),IF(LEFT($B$7,6)="Number",SUMIFS(Comparison_Lookup,site_level_range_board,$B187,date_range_board,I179),TEXT(SUMIFS(Comparison_Lookup,site_level_range_board,$B187,date_range_board,I179)/SUMIFS(All_Attendances,site_level_range_board,$B187,date_range_board,I179),"0.0%"))),"")</f>
        <v>97.3%</v>
      </c>
      <c r="J187" s="165" t="str">
        <f ca="1">IFERROR(IF(ISNUMBER(FIND("ED only",$B$4)),IF(LEFT($B$7,6)="Number",SUMIFS(Comparison_Lookup,site_level_range_board,$B187,date_range_board,J179,inputdata!$F:$F,"ED"),TEXT(SUMIFS(Comparison_Lookup,site_level_range_board,$B187,date_range_board,J179,inputdata!$F:$F,"ED")/SUMIFS(All_Attendances,site_level_range_board,$B187,date_range_board,J179,inputdata!$F:$F,"ED"),"0.0%")),IF(LEFT($B$7,6)="Number",SUMIFS(Comparison_Lookup,site_level_range_board,$B187,date_range_board,J179),TEXT(SUMIFS(Comparison_Lookup,site_level_range_board,$B187,date_range_board,J179)/SUMIFS(All_Attendances,site_level_range_board,$B187,date_range_board,J179),"0.0%"))),"")</f>
        <v>97.9%</v>
      </c>
      <c r="K187" s="165" t="str">
        <f ca="1">IFERROR(IF(ISNUMBER(FIND("ED only",$B$4)),IF(LEFT($B$7,6)="Number",SUMIFS(Comparison_Lookup,site_level_range_board,$B187,date_range_board,K179,inputdata!$F:$F,"ED"),TEXT(SUMIFS(Comparison_Lookup,site_level_range_board,$B187,date_range_board,K179,inputdata!$F:$F,"ED")/SUMIFS(All_Attendances,site_level_range_board,$B187,date_range_board,K179,inputdata!$F:$F,"ED"),"0.0%")),IF(LEFT($B$7,6)="Number",SUMIFS(Comparison_Lookup,site_level_range_board,$B187,date_range_board,K179),TEXT(SUMIFS(Comparison_Lookup,site_level_range_board,$B187,date_range_board,K179)/SUMIFS(All_Attendances,site_level_range_board,$B187,date_range_board,K179),"0.0%"))),"")</f>
        <v>97.8%</v>
      </c>
      <c r="L187" s="165" t="str">
        <f ca="1">IFERROR(IF(ISNUMBER(FIND("ED only",$B$4)),IF(LEFT($B$7,6)="Number",SUMIFS(Comparison_Lookup,site_level_range_board,$B187,date_range_board,L179,inputdata!$F:$F,"ED"),TEXT(SUMIFS(Comparison_Lookup,site_level_range_board,$B187,date_range_board,L179,inputdata!$F:$F,"ED")/SUMIFS(All_Attendances,site_level_range_board,$B187,date_range_board,L179,inputdata!$F:$F,"ED"),"0.0%")),IF(LEFT($B$7,6)="Number",SUMIFS(Comparison_Lookup,site_level_range_board,$B187,date_range_board,L179),TEXT(SUMIFS(Comparison_Lookup,site_level_range_board,$B187,date_range_board,L179)/SUMIFS(All_Attendances,site_level_range_board,$B187,date_range_board,L179),"0.0%"))),"")</f>
        <v>97.3%</v>
      </c>
      <c r="M187" s="165" t="str">
        <f ca="1">IFERROR(IF(ISNUMBER(FIND("ED only",$B$4)),IF(LEFT($B$7,6)="Number",SUMIFS(Comparison_Lookup,site_level_range_board,$B187,date_range_board,M179,inputdata!$F:$F,"ED"),TEXT(SUMIFS(Comparison_Lookup,site_level_range_board,$B187,date_range_board,M179,inputdata!$F:$F,"ED")/SUMIFS(All_Attendances,site_level_range_board,$B187,date_range_board,M179,inputdata!$F:$F,"ED"),"0.0%")),IF(LEFT($B$7,6)="Number",SUMIFS(Comparison_Lookup,site_level_range_board,$B187,date_range_board,M179),TEXT(SUMIFS(Comparison_Lookup,site_level_range_board,$B187,date_range_board,M179)/SUMIFS(All_Attendances,site_level_range_board,$B187,date_range_board,M179),"0.0%"))),"")</f>
        <v>97.5%</v>
      </c>
      <c r="N187" s="171" t="str">
        <f ca="1">IFERROR(IF(ISNUMBER(FIND("ED only",$B$4)),IF(LEFT($B$7,6)="Number",SUMIFS(Comparison_Lookup,site_level_range_board,$B187,date_range_board,N179,inputdata!$F:$F,"ED"),TEXT(SUMIFS(Comparison_Lookup,site_level_range_board,$B187,date_range_board,N179,inputdata!$F:$F,"ED")/SUMIFS(All_Attendances,site_level_range_board,$B187,date_range_board,N179,inputdata!$F:$F,"ED"),"0.0%")),IF(LEFT($B$7,6)="Number",SUMIFS(Comparison_Lookup,site_level_range_board,$B187,date_range_board,N179),TEXT(SUMIFS(Comparison_Lookup,site_level_range_board,$B187,date_range_board,N179)/SUMIFS(All_Attendances,site_level_range_board,$B187,date_range_board,N179),"0.0%"))),"")</f>
        <v>97.6%</v>
      </c>
    </row>
    <row r="188" spans="1:14" ht="15" customHeight="1" x14ac:dyDescent="0.2">
      <c r="A188" s="132"/>
      <c r="B188" s="152" t="s">
        <v>551</v>
      </c>
      <c r="C188" s="165" t="str">
        <f ca="1">IFERROR(IF(ISNUMBER(FIND("ED only",$B$4)),IF(LEFT($B$7,6)="Number",SUMIFS(Comparison_Lookup,site_level_range_board,$B188,date_range_board,C179,inputdata!$F:$F,"ED"),TEXT(SUMIFS(Comparison_Lookup,site_level_range_board,$B188,date_range_board,C179,inputdata!$F:$F,"ED")/SUMIFS(All_Attendances,site_level_range_board,$B188,date_range_board,C179,inputdata!$F:$F,"ED"),"0.0%")),IF(LEFT($B$7,6)="Number",SUMIFS(Comparison_Lookup,site_level_range_board,$B188,date_range_board,C179),TEXT(SUMIFS(Comparison_Lookup,site_level_range_board,$B188,date_range_board,C179)/SUMIFS(All_Attendances,site_level_range_board,$B188,date_range_board,C179),"0.0%"))),"")</f>
        <v>94.9%</v>
      </c>
      <c r="D188" s="165" t="str">
        <f ca="1">IFERROR(IF(ISNUMBER(FIND("ED only",$B$4)),IF(LEFT($B$7,6)="Number",SUMIFS(Comparison_Lookup,site_level_range_board,$B188,date_range_board,D179,inputdata!$F:$F,"ED"),TEXT(SUMIFS(Comparison_Lookup,site_level_range_board,$B188,date_range_board,D179,inputdata!$F:$F,"ED")/SUMIFS(All_Attendances,site_level_range_board,$B188,date_range_board,D179,inputdata!$F:$F,"ED"),"0.0%")),IF(LEFT($B$7,6)="Number",SUMIFS(Comparison_Lookup,site_level_range_board,$B188,date_range_board,D179),TEXT(SUMIFS(Comparison_Lookup,site_level_range_board,$B188,date_range_board,D179)/SUMIFS(All_Attendances,site_level_range_board,$B188,date_range_board,D179),"0.0%"))),"")</f>
        <v>95.0%</v>
      </c>
      <c r="E188" s="165" t="str">
        <f ca="1">IFERROR(IF(ISNUMBER(FIND("ED only",$B$4)),IF(LEFT($B$7,6)="Number",SUMIFS(Comparison_Lookup,site_level_range_board,$B188,date_range_board,E179,inputdata!$F:$F,"ED"),TEXT(SUMIFS(Comparison_Lookup,site_level_range_board,$B188,date_range_board,E179,inputdata!$F:$F,"ED")/SUMIFS(All_Attendances,site_level_range_board,$B188,date_range_board,E179,inputdata!$F:$F,"ED"),"0.0%")),IF(LEFT($B$7,6)="Number",SUMIFS(Comparison_Lookup,site_level_range_board,$B188,date_range_board,E179),TEXT(SUMIFS(Comparison_Lookup,site_level_range_board,$B188,date_range_board,E179)/SUMIFS(All_Attendances,site_level_range_board,$B188,date_range_board,E179),"0.0%"))),"")</f>
        <v>94.7%</v>
      </c>
      <c r="F188" s="165" t="str">
        <f ca="1">IFERROR(IF(ISNUMBER(FIND("ED only",$B$4)),IF(LEFT($B$7,6)="Number",SUMIFS(Comparison_Lookup,site_level_range_board,$B188,date_range_board,F179,inputdata!$F:$F,"ED"),TEXT(SUMIFS(Comparison_Lookup,site_level_range_board,$B188,date_range_board,F179,inputdata!$F:$F,"ED")/SUMIFS(All_Attendances,site_level_range_board,$B188,date_range_board,F179,inputdata!$F:$F,"ED"),"0.0%")),IF(LEFT($B$7,6)="Number",SUMIFS(Comparison_Lookup,site_level_range_board,$B188,date_range_board,F179),TEXT(SUMIFS(Comparison_Lookup,site_level_range_board,$B188,date_range_board,F179)/SUMIFS(All_Attendances,site_level_range_board,$B188,date_range_board,F179),"0.0%"))),"")</f>
        <v>95.3%</v>
      </c>
      <c r="G188" s="165" t="str">
        <f ca="1">IFERROR(IF(ISNUMBER(FIND("ED only",$B$4)),IF(LEFT($B$7,6)="Number",SUMIFS(Comparison_Lookup,site_level_range_board,$B188,date_range_board,G179,inputdata!$F:$F,"ED"),TEXT(SUMIFS(Comparison_Lookup,site_level_range_board,$B188,date_range_board,G179,inputdata!$F:$F,"ED")/SUMIFS(All_Attendances,site_level_range_board,$B188,date_range_board,G179,inputdata!$F:$F,"ED"),"0.0%")),IF(LEFT($B$7,6)="Number",SUMIFS(Comparison_Lookup,site_level_range_board,$B188,date_range_board,G179),TEXT(SUMIFS(Comparison_Lookup,site_level_range_board,$B188,date_range_board,G179)/SUMIFS(All_Attendances,site_level_range_board,$B188,date_range_board,G179),"0.0%"))),"")</f>
        <v>92.8%</v>
      </c>
      <c r="H188" s="165" t="str">
        <f ca="1">IFERROR(IF(ISNUMBER(FIND("ED only",$B$4)),IF(LEFT($B$7,6)="Number",SUMIFS(Comparison_Lookup,site_level_range_board,$B188,date_range_board,H179,inputdata!$F:$F,"ED"),TEXT(SUMIFS(Comparison_Lookup,site_level_range_board,$B188,date_range_board,H179,inputdata!$F:$F,"ED")/SUMIFS(All_Attendances,site_level_range_board,$B188,date_range_board,H179,inputdata!$F:$F,"ED"),"0.0%")),IF(LEFT($B$7,6)="Number",SUMIFS(Comparison_Lookup,site_level_range_board,$B188,date_range_board,H179),TEXT(SUMIFS(Comparison_Lookup,site_level_range_board,$B188,date_range_board,H179)/SUMIFS(All_Attendances,site_level_range_board,$B188,date_range_board,H179),"0.0%"))),"")</f>
        <v>91.2%</v>
      </c>
      <c r="I188" s="165" t="str">
        <f ca="1">IFERROR(IF(ISNUMBER(FIND("ED only",$B$4)),IF(LEFT($B$7,6)="Number",SUMIFS(Comparison_Lookup,site_level_range_board,$B188,date_range_board,I179,inputdata!$F:$F,"ED"),TEXT(SUMIFS(Comparison_Lookup,site_level_range_board,$B188,date_range_board,I179,inputdata!$F:$F,"ED")/SUMIFS(All_Attendances,site_level_range_board,$B188,date_range_board,I179,inputdata!$F:$F,"ED"),"0.0%")),IF(LEFT($B$7,6)="Number",SUMIFS(Comparison_Lookup,site_level_range_board,$B188,date_range_board,I179),TEXT(SUMIFS(Comparison_Lookup,site_level_range_board,$B188,date_range_board,I179)/SUMIFS(All_Attendances,site_level_range_board,$B188,date_range_board,I179),"0.0%"))),"")</f>
        <v>90.8%</v>
      </c>
      <c r="J188" s="165" t="str">
        <f ca="1">IFERROR(IF(ISNUMBER(FIND("ED only",$B$4)),IF(LEFT($B$7,6)="Number",SUMIFS(Comparison_Lookup,site_level_range_board,$B188,date_range_board,J179,inputdata!$F:$F,"ED"),TEXT(SUMIFS(Comparison_Lookup,site_level_range_board,$B188,date_range_board,J179,inputdata!$F:$F,"ED")/SUMIFS(All_Attendances,site_level_range_board,$B188,date_range_board,J179,inputdata!$F:$F,"ED"),"0.0%")),IF(LEFT($B$7,6)="Number",SUMIFS(Comparison_Lookup,site_level_range_board,$B188,date_range_board,J179),TEXT(SUMIFS(Comparison_Lookup,site_level_range_board,$B188,date_range_board,J179)/SUMIFS(All_Attendances,site_level_range_board,$B188,date_range_board,J179),"0.0%"))),"")</f>
        <v>89.6%</v>
      </c>
      <c r="K188" s="165" t="str">
        <f ca="1">IFERROR(IF(ISNUMBER(FIND("ED only",$B$4)),IF(LEFT($B$7,6)="Number",SUMIFS(Comparison_Lookup,site_level_range_board,$B188,date_range_board,K179,inputdata!$F:$F,"ED"),TEXT(SUMIFS(Comparison_Lookup,site_level_range_board,$B188,date_range_board,K179,inputdata!$F:$F,"ED")/SUMIFS(All_Attendances,site_level_range_board,$B188,date_range_board,K179,inputdata!$F:$F,"ED"),"0.0%")),IF(LEFT($B$7,6)="Number",SUMIFS(Comparison_Lookup,site_level_range_board,$B188,date_range_board,K179),TEXT(SUMIFS(Comparison_Lookup,site_level_range_board,$B188,date_range_board,K179)/SUMIFS(All_Attendances,site_level_range_board,$B188,date_range_board,K179),"0.0%"))),"")</f>
        <v>84.4%</v>
      </c>
      <c r="L188" s="165" t="str">
        <f ca="1">IFERROR(IF(ISNUMBER(FIND("ED only",$B$4)),IF(LEFT($B$7,6)="Number",SUMIFS(Comparison_Lookup,site_level_range_board,$B188,date_range_board,L179,inputdata!$F:$F,"ED"),TEXT(SUMIFS(Comparison_Lookup,site_level_range_board,$B188,date_range_board,L179,inputdata!$F:$F,"ED")/SUMIFS(All_Attendances,site_level_range_board,$B188,date_range_board,L179,inputdata!$F:$F,"ED"),"0.0%")),IF(LEFT($B$7,6)="Number",SUMIFS(Comparison_Lookup,site_level_range_board,$B188,date_range_board,L179),TEXT(SUMIFS(Comparison_Lookup,site_level_range_board,$B188,date_range_board,L179)/SUMIFS(All_Attendances,site_level_range_board,$B188,date_range_board,L179),"0.0%"))),"")</f>
        <v>83.5%</v>
      </c>
      <c r="M188" s="165" t="str">
        <f ca="1">IFERROR(IF(ISNUMBER(FIND("ED only",$B$4)),IF(LEFT($B$7,6)="Number",SUMIFS(Comparison_Lookup,site_level_range_board,$B188,date_range_board,M179,inputdata!$F:$F,"ED"),TEXT(SUMIFS(Comparison_Lookup,site_level_range_board,$B188,date_range_board,M179,inputdata!$F:$F,"ED")/SUMIFS(All_Attendances,site_level_range_board,$B188,date_range_board,M179,inputdata!$F:$F,"ED"),"0.0%")),IF(LEFT($B$7,6)="Number",SUMIFS(Comparison_Lookup,site_level_range_board,$B188,date_range_board,M179),TEXT(SUMIFS(Comparison_Lookup,site_level_range_board,$B188,date_range_board,M179)/SUMIFS(All_Attendances,site_level_range_board,$B188,date_range_board,M179),"0.0%"))),"")</f>
        <v>90.7%</v>
      </c>
      <c r="N188" s="171" t="str">
        <f ca="1">IFERROR(IF(ISNUMBER(FIND("ED only",$B$4)),IF(LEFT($B$7,6)="Number",SUMIFS(Comparison_Lookup,site_level_range_board,$B188,date_range_board,N179,inputdata!$F:$F,"ED"),TEXT(SUMIFS(Comparison_Lookup,site_level_range_board,$B188,date_range_board,N179,inputdata!$F:$F,"ED")/SUMIFS(All_Attendances,site_level_range_board,$B188,date_range_board,N179,inputdata!$F:$F,"ED"),"0.0%")),IF(LEFT($B$7,6)="Number",SUMIFS(Comparison_Lookup,site_level_range_board,$B188,date_range_board,N179),TEXT(SUMIFS(Comparison_Lookup,site_level_range_board,$B188,date_range_board,N179)/SUMIFS(All_Attendances,site_level_range_board,$B188,date_range_board,N179),"0.0%"))),"")</f>
        <v>91.8%</v>
      </c>
    </row>
    <row r="189" spans="1:14" ht="15" customHeight="1" x14ac:dyDescent="0.2">
      <c r="A189" s="132"/>
      <c r="B189" s="152" t="s">
        <v>562</v>
      </c>
      <c r="C189" s="165" t="str">
        <f ca="1">IFERROR(IF(ISNUMBER(FIND("ED only",$B$4)),IF(LEFT($B$7,6)="Number",SUMIFS(Comparison_Lookup,site_level_range_board,$B189,date_range_board,C179,inputdata!$F:$F,"ED"),TEXT(SUMIFS(Comparison_Lookup,site_level_range_board,$B189,date_range_board,C179,inputdata!$F:$F,"ED")/SUMIFS(All_Attendances,site_level_range_board,$B189,date_range_board,C179,inputdata!$F:$F,"ED"),"0.0%")),IF(LEFT($B$7,6)="Number",SUMIFS(Comparison_Lookup,site_level_range_board,$B189,date_range_board,C179),TEXT(SUMIFS(Comparison_Lookup,site_level_range_board,$B189,date_range_board,C179)/SUMIFS(All_Attendances,site_level_range_board,$B189,date_range_board,C179),"0.0%"))),"")</f>
        <v>90.9%</v>
      </c>
      <c r="D189" s="165" t="str">
        <f ca="1">IFERROR(IF(ISNUMBER(FIND("ED only",$B$4)),IF(LEFT($B$7,6)="Number",SUMIFS(Comparison_Lookup,site_level_range_board,$B189,date_range_board,D179,inputdata!$F:$F,"ED"),TEXT(SUMIFS(Comparison_Lookup,site_level_range_board,$B189,date_range_board,D179,inputdata!$F:$F,"ED")/SUMIFS(All_Attendances,site_level_range_board,$B189,date_range_board,D179,inputdata!$F:$F,"ED"),"0.0%")),IF(LEFT($B$7,6)="Number",SUMIFS(Comparison_Lookup,site_level_range_board,$B189,date_range_board,D179),TEXT(SUMIFS(Comparison_Lookup,site_level_range_board,$B189,date_range_board,D179)/SUMIFS(All_Attendances,site_level_range_board,$B189,date_range_board,D179),"0.0%"))),"")</f>
        <v>92.8%</v>
      </c>
      <c r="E189" s="165" t="str">
        <f ca="1">IFERROR(IF(ISNUMBER(FIND("ED only",$B$4)),IF(LEFT($B$7,6)="Number",SUMIFS(Comparison_Lookup,site_level_range_board,$B189,date_range_board,E179,inputdata!$F:$F,"ED"),TEXT(SUMIFS(Comparison_Lookup,site_level_range_board,$B189,date_range_board,E179,inputdata!$F:$F,"ED")/SUMIFS(All_Attendances,site_level_range_board,$B189,date_range_board,E179,inputdata!$F:$F,"ED"),"0.0%")),IF(LEFT($B$7,6)="Number",SUMIFS(Comparison_Lookup,site_level_range_board,$B189,date_range_board,E179),TEXT(SUMIFS(Comparison_Lookup,site_level_range_board,$B189,date_range_board,E179)/SUMIFS(All_Attendances,site_level_range_board,$B189,date_range_board,E179),"0.0%"))),"")</f>
        <v>91.9%</v>
      </c>
      <c r="F189" s="165" t="str">
        <f ca="1">IFERROR(IF(ISNUMBER(FIND("ED only",$B$4)),IF(LEFT($B$7,6)="Number",SUMIFS(Comparison_Lookup,site_level_range_board,$B189,date_range_board,F179,inputdata!$F:$F,"ED"),TEXT(SUMIFS(Comparison_Lookup,site_level_range_board,$B189,date_range_board,F179,inputdata!$F:$F,"ED")/SUMIFS(All_Attendances,site_level_range_board,$B189,date_range_board,F179,inputdata!$F:$F,"ED"),"0.0%")),IF(LEFT($B$7,6)="Number",SUMIFS(Comparison_Lookup,site_level_range_board,$B189,date_range_board,F179),TEXT(SUMIFS(Comparison_Lookup,site_level_range_board,$B189,date_range_board,F179)/SUMIFS(All_Attendances,site_level_range_board,$B189,date_range_board,F179),"0.0%"))),"")</f>
        <v>94.6%</v>
      </c>
      <c r="G189" s="165" t="str">
        <f ca="1">IFERROR(IF(ISNUMBER(FIND("ED only",$B$4)),IF(LEFT($B$7,6)="Number",SUMIFS(Comparison_Lookup,site_level_range_board,$B189,date_range_board,G179,inputdata!$F:$F,"ED"),TEXT(SUMIFS(Comparison_Lookup,site_level_range_board,$B189,date_range_board,G179,inputdata!$F:$F,"ED")/SUMIFS(All_Attendances,site_level_range_board,$B189,date_range_board,G179,inputdata!$F:$F,"ED"),"0.0%")),IF(LEFT($B$7,6)="Number",SUMIFS(Comparison_Lookup,site_level_range_board,$B189,date_range_board,G179),TEXT(SUMIFS(Comparison_Lookup,site_level_range_board,$B189,date_range_board,G179)/SUMIFS(All_Attendances,site_level_range_board,$B189,date_range_board,G179),"0.0%"))),"")</f>
        <v>93.1%</v>
      </c>
      <c r="H189" s="165" t="str">
        <f ca="1">IFERROR(IF(ISNUMBER(FIND("ED only",$B$4)),IF(LEFT($B$7,6)="Number",SUMIFS(Comparison_Lookup,site_level_range_board,$B189,date_range_board,H179,inputdata!$F:$F,"ED"),TEXT(SUMIFS(Comparison_Lookup,site_level_range_board,$B189,date_range_board,H179,inputdata!$F:$F,"ED")/SUMIFS(All_Attendances,site_level_range_board,$B189,date_range_board,H179,inputdata!$F:$F,"ED"),"0.0%")),IF(LEFT($B$7,6)="Number",SUMIFS(Comparison_Lookup,site_level_range_board,$B189,date_range_board,H179),TEXT(SUMIFS(Comparison_Lookup,site_level_range_board,$B189,date_range_board,H179)/SUMIFS(All_Attendances,site_level_range_board,$B189,date_range_board,H179),"0.0%"))),"")</f>
        <v>92.6%</v>
      </c>
      <c r="I189" s="165" t="str">
        <f ca="1">IFERROR(IF(ISNUMBER(FIND("ED only",$B$4)),IF(LEFT($B$7,6)="Number",SUMIFS(Comparison_Lookup,site_level_range_board,$B189,date_range_board,I179,inputdata!$F:$F,"ED"),TEXT(SUMIFS(Comparison_Lookup,site_level_range_board,$B189,date_range_board,I179,inputdata!$F:$F,"ED")/SUMIFS(All_Attendances,site_level_range_board,$B189,date_range_board,I179,inputdata!$F:$F,"ED"),"0.0%")),IF(LEFT($B$7,6)="Number",SUMIFS(Comparison_Lookup,site_level_range_board,$B189,date_range_board,I179),TEXT(SUMIFS(Comparison_Lookup,site_level_range_board,$B189,date_range_board,I179)/SUMIFS(All_Attendances,site_level_range_board,$B189,date_range_board,I179),"0.0%"))),"")</f>
        <v>92.5%</v>
      </c>
      <c r="J189" s="165" t="str">
        <f ca="1">IFERROR(IF(ISNUMBER(FIND("ED only",$B$4)),IF(LEFT($B$7,6)="Number",SUMIFS(Comparison_Lookup,site_level_range_board,$B189,date_range_board,J179,inputdata!$F:$F,"ED"),TEXT(SUMIFS(Comparison_Lookup,site_level_range_board,$B189,date_range_board,J179,inputdata!$F:$F,"ED")/SUMIFS(All_Attendances,site_level_range_board,$B189,date_range_board,J179,inputdata!$F:$F,"ED"),"0.0%")),IF(LEFT($B$7,6)="Number",SUMIFS(Comparison_Lookup,site_level_range_board,$B189,date_range_board,J179),TEXT(SUMIFS(Comparison_Lookup,site_level_range_board,$B189,date_range_board,J179)/SUMIFS(All_Attendances,site_level_range_board,$B189,date_range_board,J179),"0.0%"))),"")</f>
        <v>87.4%</v>
      </c>
      <c r="K189" s="165" t="str">
        <f ca="1">IFERROR(IF(ISNUMBER(FIND("ED only",$B$4)),IF(LEFT($B$7,6)="Number",SUMIFS(Comparison_Lookup,site_level_range_board,$B189,date_range_board,K179,inputdata!$F:$F,"ED"),TEXT(SUMIFS(Comparison_Lookup,site_level_range_board,$B189,date_range_board,K179,inputdata!$F:$F,"ED")/SUMIFS(All_Attendances,site_level_range_board,$B189,date_range_board,K179,inputdata!$F:$F,"ED"),"0.0%")),IF(LEFT($B$7,6)="Number",SUMIFS(Comparison_Lookup,site_level_range_board,$B189,date_range_board,K179),TEXT(SUMIFS(Comparison_Lookup,site_level_range_board,$B189,date_range_board,K179)/SUMIFS(All_Attendances,site_level_range_board,$B189,date_range_board,K179),"0.0%"))),"")</f>
        <v>86.2%</v>
      </c>
      <c r="L189" s="165" t="str">
        <f ca="1">IFERROR(IF(ISNUMBER(FIND("ED only",$B$4)),IF(LEFT($B$7,6)="Number",SUMIFS(Comparison_Lookup,site_level_range_board,$B189,date_range_board,L179,inputdata!$F:$F,"ED"),TEXT(SUMIFS(Comparison_Lookup,site_level_range_board,$B189,date_range_board,L179,inputdata!$F:$F,"ED")/SUMIFS(All_Attendances,site_level_range_board,$B189,date_range_board,L179,inputdata!$F:$F,"ED"),"0.0%")),IF(LEFT($B$7,6)="Number",SUMIFS(Comparison_Lookup,site_level_range_board,$B189,date_range_board,L179),TEXT(SUMIFS(Comparison_Lookup,site_level_range_board,$B189,date_range_board,L179)/SUMIFS(All_Attendances,site_level_range_board,$B189,date_range_board,L179),"0.0%"))),"")</f>
        <v>88.2%</v>
      </c>
      <c r="M189" s="165" t="str">
        <f ca="1">IFERROR(IF(ISNUMBER(FIND("ED only",$B$4)),IF(LEFT($B$7,6)="Number",SUMIFS(Comparison_Lookup,site_level_range_board,$B189,date_range_board,M179,inputdata!$F:$F,"ED"),TEXT(SUMIFS(Comparison_Lookup,site_level_range_board,$B189,date_range_board,M179,inputdata!$F:$F,"ED")/SUMIFS(All_Attendances,site_level_range_board,$B189,date_range_board,M179,inputdata!$F:$F,"ED"),"0.0%")),IF(LEFT($B$7,6)="Number",SUMIFS(Comparison_Lookup,site_level_range_board,$B189,date_range_board,M179),TEXT(SUMIFS(Comparison_Lookup,site_level_range_board,$B189,date_range_board,M179)/SUMIFS(All_Attendances,site_level_range_board,$B189,date_range_board,M179),"0.0%"))),"")</f>
        <v>91.1%</v>
      </c>
      <c r="N189" s="171" t="str">
        <f ca="1">IFERROR(IF(ISNUMBER(FIND("ED only",$B$4)),IF(LEFT($B$7,6)="Number",SUMIFS(Comparison_Lookup,site_level_range_board,$B189,date_range_board,N179,inputdata!$F:$F,"ED"),TEXT(SUMIFS(Comparison_Lookup,site_level_range_board,$B189,date_range_board,N179,inputdata!$F:$F,"ED")/SUMIFS(All_Attendances,site_level_range_board,$B189,date_range_board,N179,inputdata!$F:$F,"ED"),"0.0%")),IF(LEFT($B$7,6)="Number",SUMIFS(Comparison_Lookup,site_level_range_board,$B189,date_range_board,N179),TEXT(SUMIFS(Comparison_Lookup,site_level_range_board,$B189,date_range_board,N179)/SUMIFS(All_Attendances,site_level_range_board,$B189,date_range_board,N179),"0.0%"))),"")</f>
        <v>88.1%</v>
      </c>
    </row>
    <row r="190" spans="1:14" ht="15" customHeight="1" x14ac:dyDescent="0.2">
      <c r="A190" s="132"/>
      <c r="B190" s="152" t="s">
        <v>571</v>
      </c>
      <c r="C190" s="165" t="str">
        <f ca="1">IFERROR(IF(ISNUMBER(FIND("ED only",$B$4)),IF(LEFT($B$7,6)="Number",SUMIFS(Comparison_Lookup,site_level_range_board,$B190,date_range_board,C179,inputdata!$F:$F,"ED"),TEXT(SUMIFS(Comparison_Lookup,site_level_range_board,$B190,date_range_board,C179,inputdata!$F:$F,"ED")/SUMIFS(All_Attendances,site_level_range_board,$B190,date_range_board,C179,inputdata!$F:$F,"ED"),"0.0%")),IF(LEFT($B$7,6)="Number",SUMIFS(Comparison_Lookup,site_level_range_board,$B190,date_range_board,C179),TEXT(SUMIFS(Comparison_Lookup,site_level_range_board,$B190,date_range_board,C179)/SUMIFS(All_Attendances,site_level_range_board,$B190,date_range_board,C179),"0.0%"))),"")</f>
        <v>99.6%</v>
      </c>
      <c r="D190" s="165" t="str">
        <f ca="1">IFERROR(IF(ISNUMBER(FIND("ED only",$B$4)),IF(LEFT($B$7,6)="Number",SUMIFS(Comparison_Lookup,site_level_range_board,$B190,date_range_board,D179,inputdata!$F:$F,"ED"),TEXT(SUMIFS(Comparison_Lookup,site_level_range_board,$B190,date_range_board,D179,inputdata!$F:$F,"ED")/SUMIFS(All_Attendances,site_level_range_board,$B190,date_range_board,D179,inputdata!$F:$F,"ED"),"0.0%")),IF(LEFT($B$7,6)="Number",SUMIFS(Comparison_Lookup,site_level_range_board,$B190,date_range_board,D179),TEXT(SUMIFS(Comparison_Lookup,site_level_range_board,$B190,date_range_board,D179)/SUMIFS(All_Attendances,site_level_range_board,$B190,date_range_board,D179),"0.0%"))),"")</f>
        <v>98.3%</v>
      </c>
      <c r="E190" s="165" t="str">
        <f ca="1">IFERROR(IF(ISNUMBER(FIND("ED only",$B$4)),IF(LEFT($B$7,6)="Number",SUMIFS(Comparison_Lookup,site_level_range_board,$B190,date_range_board,E179,inputdata!$F:$F,"ED"),TEXT(SUMIFS(Comparison_Lookup,site_level_range_board,$B190,date_range_board,E179,inputdata!$F:$F,"ED")/SUMIFS(All_Attendances,site_level_range_board,$B190,date_range_board,E179,inputdata!$F:$F,"ED"),"0.0%")),IF(LEFT($B$7,6)="Number",SUMIFS(Comparison_Lookup,site_level_range_board,$B190,date_range_board,E179),TEXT(SUMIFS(Comparison_Lookup,site_level_range_board,$B190,date_range_board,E179)/SUMIFS(All_Attendances,site_level_range_board,$B190,date_range_board,E179),"0.0%"))),"")</f>
        <v>98.5%</v>
      </c>
      <c r="F190" s="165" t="str">
        <f ca="1">IFERROR(IF(ISNUMBER(FIND("ED only",$B$4)),IF(LEFT($B$7,6)="Number",SUMIFS(Comparison_Lookup,site_level_range_board,$B190,date_range_board,F179,inputdata!$F:$F,"ED"),TEXT(SUMIFS(Comparison_Lookup,site_level_range_board,$B190,date_range_board,F179,inputdata!$F:$F,"ED")/SUMIFS(All_Attendances,site_level_range_board,$B190,date_range_board,F179,inputdata!$F:$F,"ED"),"0.0%")),IF(LEFT($B$7,6)="Number",SUMIFS(Comparison_Lookup,site_level_range_board,$B190,date_range_board,F179),TEXT(SUMIFS(Comparison_Lookup,site_level_range_board,$B190,date_range_board,F179)/SUMIFS(All_Attendances,site_level_range_board,$B190,date_range_board,F179),"0.0%"))),"")</f>
        <v>97.8%</v>
      </c>
      <c r="G190" s="165" t="str">
        <f ca="1">IFERROR(IF(ISNUMBER(FIND("ED only",$B$4)),IF(LEFT($B$7,6)="Number",SUMIFS(Comparison_Lookup,site_level_range_board,$B190,date_range_board,G179,inputdata!$F:$F,"ED"),TEXT(SUMIFS(Comparison_Lookup,site_level_range_board,$B190,date_range_board,G179,inputdata!$F:$F,"ED")/SUMIFS(All_Attendances,site_level_range_board,$B190,date_range_board,G179,inputdata!$F:$F,"ED"),"0.0%")),IF(LEFT($B$7,6)="Number",SUMIFS(Comparison_Lookup,site_level_range_board,$B190,date_range_board,G179),TEXT(SUMIFS(Comparison_Lookup,site_level_range_board,$B190,date_range_board,G179)/SUMIFS(All_Attendances,site_level_range_board,$B190,date_range_board,G179),"0.0%"))),"")</f>
        <v>98.8%</v>
      </c>
      <c r="H190" s="165" t="str">
        <f ca="1">IFERROR(IF(ISNUMBER(FIND("ED only",$B$4)),IF(LEFT($B$7,6)="Number",SUMIFS(Comparison_Lookup,site_level_range_board,$B190,date_range_board,H179,inputdata!$F:$F,"ED"),TEXT(SUMIFS(Comparison_Lookup,site_level_range_board,$B190,date_range_board,H179,inputdata!$F:$F,"ED")/SUMIFS(All_Attendances,site_level_range_board,$B190,date_range_board,H179,inputdata!$F:$F,"ED"),"0.0%")),IF(LEFT($B$7,6)="Number",SUMIFS(Comparison_Lookup,site_level_range_board,$B190,date_range_board,H179),TEXT(SUMIFS(Comparison_Lookup,site_level_range_board,$B190,date_range_board,H179)/SUMIFS(All_Attendances,site_level_range_board,$B190,date_range_board,H179),"0.0%"))),"")</f>
        <v>98.8%</v>
      </c>
      <c r="I190" s="165" t="str">
        <f ca="1">IFERROR(IF(ISNUMBER(FIND("ED only",$B$4)),IF(LEFT($B$7,6)="Number",SUMIFS(Comparison_Lookup,site_level_range_board,$B190,date_range_board,I179,inputdata!$F:$F,"ED"),TEXT(SUMIFS(Comparison_Lookup,site_level_range_board,$B190,date_range_board,I179,inputdata!$F:$F,"ED")/SUMIFS(All_Attendances,site_level_range_board,$B190,date_range_board,I179,inputdata!$F:$F,"ED"),"0.0%")),IF(LEFT($B$7,6)="Number",SUMIFS(Comparison_Lookup,site_level_range_board,$B190,date_range_board,I179),TEXT(SUMIFS(Comparison_Lookup,site_level_range_board,$B190,date_range_board,I179)/SUMIFS(All_Attendances,site_level_range_board,$B190,date_range_board,I179),"0.0%"))),"")</f>
        <v>98.7%</v>
      </c>
      <c r="J190" s="165" t="str">
        <f ca="1">IFERROR(IF(ISNUMBER(FIND("ED only",$B$4)),IF(LEFT($B$7,6)="Number",SUMIFS(Comparison_Lookup,site_level_range_board,$B190,date_range_board,J179,inputdata!$F:$F,"ED"),TEXT(SUMIFS(Comparison_Lookup,site_level_range_board,$B190,date_range_board,J179,inputdata!$F:$F,"ED")/SUMIFS(All_Attendances,site_level_range_board,$B190,date_range_board,J179,inputdata!$F:$F,"ED"),"0.0%")),IF(LEFT($B$7,6)="Number",SUMIFS(Comparison_Lookup,site_level_range_board,$B190,date_range_board,J179),TEXT(SUMIFS(Comparison_Lookup,site_level_range_board,$B190,date_range_board,J179)/SUMIFS(All_Attendances,site_level_range_board,$B190,date_range_board,J179),"0.0%"))),"")</f>
        <v>97.3%</v>
      </c>
      <c r="K190" s="165" t="str">
        <f ca="1">IFERROR(IF(ISNUMBER(FIND("ED only",$B$4)),IF(LEFT($B$7,6)="Number",SUMIFS(Comparison_Lookup,site_level_range_board,$B190,date_range_board,K179,inputdata!$F:$F,"ED"),TEXT(SUMIFS(Comparison_Lookup,site_level_range_board,$B190,date_range_board,K179,inputdata!$F:$F,"ED")/SUMIFS(All_Attendances,site_level_range_board,$B190,date_range_board,K179,inputdata!$F:$F,"ED"),"0.0%")),IF(LEFT($B$7,6)="Number",SUMIFS(Comparison_Lookup,site_level_range_board,$B190,date_range_board,K179),TEXT(SUMIFS(Comparison_Lookup,site_level_range_board,$B190,date_range_board,K179)/SUMIFS(All_Attendances,site_level_range_board,$B190,date_range_board,K179),"0.0%"))),"")</f>
        <v>98.6%</v>
      </c>
      <c r="L190" s="165" t="str">
        <f ca="1">IFERROR(IF(ISNUMBER(FIND("ED only",$B$4)),IF(LEFT($B$7,6)="Number",SUMIFS(Comparison_Lookup,site_level_range_board,$B190,date_range_board,L179,inputdata!$F:$F,"ED"),TEXT(SUMIFS(Comparison_Lookup,site_level_range_board,$B190,date_range_board,L179,inputdata!$F:$F,"ED")/SUMIFS(All_Attendances,site_level_range_board,$B190,date_range_board,L179,inputdata!$F:$F,"ED"),"0.0%")),IF(LEFT($B$7,6)="Number",SUMIFS(Comparison_Lookup,site_level_range_board,$B190,date_range_board,L179),TEXT(SUMIFS(Comparison_Lookup,site_level_range_board,$B190,date_range_board,L179)/SUMIFS(All_Attendances,site_level_range_board,$B190,date_range_board,L179),"0.0%"))),"")</f>
        <v>97.9%</v>
      </c>
      <c r="M190" s="165" t="str">
        <f ca="1">IFERROR(IF(ISNUMBER(FIND("ED only",$B$4)),IF(LEFT($B$7,6)="Number",SUMIFS(Comparison_Lookup,site_level_range_board,$B190,date_range_board,M179,inputdata!$F:$F,"ED"),TEXT(SUMIFS(Comparison_Lookup,site_level_range_board,$B190,date_range_board,M179,inputdata!$F:$F,"ED")/SUMIFS(All_Attendances,site_level_range_board,$B190,date_range_board,M179,inputdata!$F:$F,"ED"),"0.0%")),IF(LEFT($B$7,6)="Number",SUMIFS(Comparison_Lookup,site_level_range_board,$B190,date_range_board,M179),TEXT(SUMIFS(Comparison_Lookup,site_level_range_board,$B190,date_range_board,M179)/SUMIFS(All_Attendances,site_level_range_board,$B190,date_range_board,M179),"0.0%"))),"")</f>
        <v>97.0%</v>
      </c>
      <c r="N190" s="171" t="str">
        <f ca="1">IFERROR(IF(ISNUMBER(FIND("ED only",$B$4)),IF(LEFT($B$7,6)="Number",SUMIFS(Comparison_Lookup,site_level_range_board,$B190,date_range_board,N179,inputdata!$F:$F,"ED"),TEXT(SUMIFS(Comparison_Lookup,site_level_range_board,$B190,date_range_board,N179,inputdata!$F:$F,"ED")/SUMIFS(All_Attendances,site_level_range_board,$B190,date_range_board,N179,inputdata!$F:$F,"ED"),"0.0%")),IF(LEFT($B$7,6)="Number",SUMIFS(Comparison_Lookup,site_level_range_board,$B190,date_range_board,N179),TEXT(SUMIFS(Comparison_Lookup,site_level_range_board,$B190,date_range_board,N179)/SUMIFS(All_Attendances,site_level_range_board,$B190,date_range_board,N179),"0.0%"))),"")</f>
        <v>98.6%</v>
      </c>
    </row>
    <row r="191" spans="1:14" ht="15" customHeight="1" x14ac:dyDescent="0.2">
      <c r="A191" s="132"/>
      <c r="B191" s="152" t="s">
        <v>574</v>
      </c>
      <c r="C191" s="165" t="str">
        <f ca="1">IFERROR(IF(ISNUMBER(FIND("ED only",$B$4)),IF(LEFT($B$7,6)="Number",SUMIFS(Comparison_Lookup,site_level_range_board,$B191,date_range_board,C179,inputdata!$F:$F,"ED"),TEXT(SUMIFS(Comparison_Lookup,site_level_range_board,$B191,date_range_board,C179,inputdata!$F:$F,"ED")/SUMIFS(All_Attendances,site_level_range_board,$B191,date_range_board,C179,inputdata!$F:$F,"ED"),"0.0%")),IF(LEFT($B$7,6)="Number",SUMIFS(Comparison_Lookup,site_level_range_board,$B191,date_range_board,C179),TEXT(SUMIFS(Comparison_Lookup,site_level_range_board,$B191,date_range_board,C179)/SUMIFS(All_Attendances,site_level_range_board,$B191,date_range_board,C179),"0.0%"))),"")</f>
        <v>99.5%</v>
      </c>
      <c r="D191" s="165" t="str">
        <f ca="1">IFERROR(IF(ISNUMBER(FIND("ED only",$B$4)),IF(LEFT($B$7,6)="Number",SUMIFS(Comparison_Lookup,site_level_range_board,$B191,date_range_board,D179,inputdata!$F:$F,"ED"),TEXT(SUMIFS(Comparison_Lookup,site_level_range_board,$B191,date_range_board,D179,inputdata!$F:$F,"ED")/SUMIFS(All_Attendances,site_level_range_board,$B191,date_range_board,D179,inputdata!$F:$F,"ED"),"0.0%")),IF(LEFT($B$7,6)="Number",SUMIFS(Comparison_Lookup,site_level_range_board,$B191,date_range_board,D179),TEXT(SUMIFS(Comparison_Lookup,site_level_range_board,$B191,date_range_board,D179)/SUMIFS(All_Attendances,site_level_range_board,$B191,date_range_board,D179),"0.0%"))),"")</f>
        <v>99.3%</v>
      </c>
      <c r="E191" s="165" t="str">
        <f ca="1">IFERROR(IF(ISNUMBER(FIND("ED only",$B$4)),IF(LEFT($B$7,6)="Number",SUMIFS(Comparison_Lookup,site_level_range_board,$B191,date_range_board,E179,inputdata!$F:$F,"ED"),TEXT(SUMIFS(Comparison_Lookup,site_level_range_board,$B191,date_range_board,E179,inputdata!$F:$F,"ED")/SUMIFS(All_Attendances,site_level_range_board,$B191,date_range_board,E179,inputdata!$F:$F,"ED"),"0.0%")),IF(LEFT($B$7,6)="Number",SUMIFS(Comparison_Lookup,site_level_range_board,$B191,date_range_board,E179),TEXT(SUMIFS(Comparison_Lookup,site_level_range_board,$B191,date_range_board,E179)/SUMIFS(All_Attendances,site_level_range_board,$B191,date_range_board,E179),"0.0%"))),"")</f>
        <v>99.4%</v>
      </c>
      <c r="F191" s="165" t="str">
        <f ca="1">IFERROR(IF(ISNUMBER(FIND("ED only",$B$4)),IF(LEFT($B$7,6)="Number",SUMIFS(Comparison_Lookup,site_level_range_board,$B191,date_range_board,F179,inputdata!$F:$F,"ED"),TEXT(SUMIFS(Comparison_Lookup,site_level_range_board,$B191,date_range_board,F179,inputdata!$F:$F,"ED")/SUMIFS(All_Attendances,site_level_range_board,$B191,date_range_board,F179,inputdata!$F:$F,"ED"),"0.0%")),IF(LEFT($B$7,6)="Number",SUMIFS(Comparison_Lookup,site_level_range_board,$B191,date_range_board,F179),TEXT(SUMIFS(Comparison_Lookup,site_level_range_board,$B191,date_range_board,F179)/SUMIFS(All_Attendances,site_level_range_board,$B191,date_range_board,F179),"0.0%"))),"")</f>
        <v>99.4%</v>
      </c>
      <c r="G191" s="165" t="str">
        <f ca="1">IFERROR(IF(ISNUMBER(FIND("ED only",$B$4)),IF(LEFT($B$7,6)="Number",SUMIFS(Comparison_Lookup,site_level_range_board,$B191,date_range_board,G179,inputdata!$F:$F,"ED"),TEXT(SUMIFS(Comparison_Lookup,site_level_range_board,$B191,date_range_board,G179,inputdata!$F:$F,"ED")/SUMIFS(All_Attendances,site_level_range_board,$B191,date_range_board,G179,inputdata!$F:$F,"ED"),"0.0%")),IF(LEFT($B$7,6)="Number",SUMIFS(Comparison_Lookup,site_level_range_board,$B191,date_range_board,G179),TEXT(SUMIFS(Comparison_Lookup,site_level_range_board,$B191,date_range_board,G179)/SUMIFS(All_Attendances,site_level_range_board,$B191,date_range_board,G179),"0.0%"))),"")</f>
        <v>100.0%</v>
      </c>
      <c r="H191" s="165" t="str">
        <f ca="1">IFERROR(IF(ISNUMBER(FIND("ED only",$B$4)),IF(LEFT($B$7,6)="Number",SUMIFS(Comparison_Lookup,site_level_range_board,$B191,date_range_board,H179,inputdata!$F:$F,"ED"),TEXT(SUMIFS(Comparison_Lookup,site_level_range_board,$B191,date_range_board,H179,inputdata!$F:$F,"ED")/SUMIFS(All_Attendances,site_level_range_board,$B191,date_range_board,H179,inputdata!$F:$F,"ED"),"0.0%")),IF(LEFT($B$7,6)="Number",SUMIFS(Comparison_Lookup,site_level_range_board,$B191,date_range_board,H179),TEXT(SUMIFS(Comparison_Lookup,site_level_range_board,$B191,date_range_board,H179)/SUMIFS(All_Attendances,site_level_range_board,$B191,date_range_board,H179),"0.0%"))),"")</f>
        <v>98.7%</v>
      </c>
      <c r="I191" s="165" t="str">
        <f ca="1">IFERROR(IF(ISNUMBER(FIND("ED only",$B$4)),IF(LEFT($B$7,6)="Number",SUMIFS(Comparison_Lookup,site_level_range_board,$B191,date_range_board,I179,inputdata!$F:$F,"ED"),TEXT(SUMIFS(Comparison_Lookup,site_level_range_board,$B191,date_range_board,I179,inputdata!$F:$F,"ED")/SUMIFS(All_Attendances,site_level_range_board,$B191,date_range_board,I179,inputdata!$F:$F,"ED"),"0.0%")),IF(LEFT($B$7,6)="Number",SUMIFS(Comparison_Lookup,site_level_range_board,$B191,date_range_board,I179),TEXT(SUMIFS(Comparison_Lookup,site_level_range_board,$B191,date_range_board,I179)/SUMIFS(All_Attendances,site_level_range_board,$B191,date_range_board,I179),"0.0%"))),"")</f>
        <v>99.2%</v>
      </c>
      <c r="J191" s="165" t="str">
        <f ca="1">IFERROR(IF(ISNUMBER(FIND("ED only",$B$4)),IF(LEFT($B$7,6)="Number",SUMIFS(Comparison_Lookup,site_level_range_board,$B191,date_range_board,J179,inputdata!$F:$F,"ED"),TEXT(SUMIFS(Comparison_Lookup,site_level_range_board,$B191,date_range_board,J179,inputdata!$F:$F,"ED")/SUMIFS(All_Attendances,site_level_range_board,$B191,date_range_board,J179,inputdata!$F:$F,"ED"),"0.0%")),IF(LEFT($B$7,6)="Number",SUMIFS(Comparison_Lookup,site_level_range_board,$B191,date_range_board,J179),TEXT(SUMIFS(Comparison_Lookup,site_level_range_board,$B191,date_range_board,J179)/SUMIFS(All_Attendances,site_level_range_board,$B191,date_range_board,J179),"0.0%"))),"")</f>
        <v>99.0%</v>
      </c>
      <c r="K191" s="165" t="str">
        <f ca="1">IFERROR(IF(ISNUMBER(FIND("ED only",$B$4)),IF(LEFT($B$7,6)="Number",SUMIFS(Comparison_Lookup,site_level_range_board,$B191,date_range_board,K179,inputdata!$F:$F,"ED"),TEXT(SUMIFS(Comparison_Lookup,site_level_range_board,$B191,date_range_board,K179,inputdata!$F:$F,"ED")/SUMIFS(All_Attendances,site_level_range_board,$B191,date_range_board,K179,inputdata!$F:$F,"ED"),"0.0%")),IF(LEFT($B$7,6)="Number",SUMIFS(Comparison_Lookup,site_level_range_board,$B191,date_range_board,K179),TEXT(SUMIFS(Comparison_Lookup,site_level_range_board,$B191,date_range_board,K179)/SUMIFS(All_Attendances,site_level_range_board,$B191,date_range_board,K179),"0.0%"))),"")</f>
        <v>98.8%</v>
      </c>
      <c r="L191" s="165" t="str">
        <f ca="1">IFERROR(IF(ISNUMBER(FIND("ED only",$B$4)),IF(LEFT($B$7,6)="Number",SUMIFS(Comparison_Lookup,site_level_range_board,$B191,date_range_board,L179,inputdata!$F:$F,"ED"),TEXT(SUMIFS(Comparison_Lookup,site_level_range_board,$B191,date_range_board,L179,inputdata!$F:$F,"ED")/SUMIFS(All_Attendances,site_level_range_board,$B191,date_range_board,L179,inputdata!$F:$F,"ED"),"0.0%")),IF(LEFT($B$7,6)="Number",SUMIFS(Comparison_Lookup,site_level_range_board,$B191,date_range_board,L179),TEXT(SUMIFS(Comparison_Lookup,site_level_range_board,$B191,date_range_board,L179)/SUMIFS(All_Attendances,site_level_range_board,$B191,date_range_board,L179),"0.0%"))),"")</f>
        <v>98.7%</v>
      </c>
      <c r="M191" s="165" t="str">
        <f ca="1">IFERROR(IF(ISNUMBER(FIND("ED only",$B$4)),IF(LEFT($B$7,6)="Number",SUMIFS(Comparison_Lookup,site_level_range_board,$B191,date_range_board,M179,inputdata!$F:$F,"ED"),TEXT(SUMIFS(Comparison_Lookup,site_level_range_board,$B191,date_range_board,M179,inputdata!$F:$F,"ED")/SUMIFS(All_Attendances,site_level_range_board,$B191,date_range_board,M179,inputdata!$F:$F,"ED"),"0.0%")),IF(LEFT($B$7,6)="Number",SUMIFS(Comparison_Lookup,site_level_range_board,$B191,date_range_board,M179),TEXT(SUMIFS(Comparison_Lookup,site_level_range_board,$B191,date_range_board,M179)/SUMIFS(All_Attendances,site_level_range_board,$B191,date_range_board,M179),"0.0%"))),"")</f>
        <v>99.6%</v>
      </c>
      <c r="N191" s="171" t="str">
        <f ca="1">IFERROR(IF(ISNUMBER(FIND("ED only",$B$4)),IF(LEFT($B$7,6)="Number",SUMIFS(Comparison_Lookup,site_level_range_board,$B191,date_range_board,N179,inputdata!$F:$F,"ED"),TEXT(SUMIFS(Comparison_Lookup,site_level_range_board,$B191,date_range_board,N179,inputdata!$F:$F,"ED")/SUMIFS(All_Attendances,site_level_range_board,$B191,date_range_board,N179,inputdata!$F:$F,"ED"),"0.0%")),IF(LEFT($B$7,6)="Number",SUMIFS(Comparison_Lookup,site_level_range_board,$B191,date_range_board,N179),TEXT(SUMIFS(Comparison_Lookup,site_level_range_board,$B191,date_range_board,N179)/SUMIFS(All_Attendances,site_level_range_board,$B191,date_range_board,N179),"0.0%"))),"")</f>
        <v>99.5%</v>
      </c>
    </row>
    <row r="192" spans="1:14" ht="15" customHeight="1" x14ac:dyDescent="0.2">
      <c r="A192" s="132"/>
      <c r="B192" s="152" t="s">
        <v>577</v>
      </c>
      <c r="C192" s="165" t="str">
        <f ca="1">IFERROR(IF(ISNUMBER(FIND("ED only",$B$4)),IF(LEFT($B$7,6)="Number",SUMIFS(Comparison_Lookup,site_level_range_board,$B192,date_range_board,C179,inputdata!$F:$F,"ED"),TEXT(SUMIFS(Comparison_Lookup,site_level_range_board,$B192,date_range_board,C179,inputdata!$F:$F,"ED")/SUMIFS(All_Attendances,site_level_range_board,$B192,date_range_board,C179,inputdata!$F:$F,"ED"),"0.0%")),IF(LEFT($B$7,6)="Number",SUMIFS(Comparison_Lookup,site_level_range_board,$B192,date_range_board,C179),TEXT(SUMIFS(Comparison_Lookup,site_level_range_board,$B192,date_range_board,C179)/SUMIFS(All_Attendances,site_level_range_board,$B192,date_range_board,C179),"0.0%"))),"")</f>
        <v>99.0%</v>
      </c>
      <c r="D192" s="165" t="str">
        <f ca="1">IFERROR(IF(ISNUMBER(FIND("ED only",$B$4)),IF(LEFT($B$7,6)="Number",SUMIFS(Comparison_Lookup,site_level_range_board,$B192,date_range_board,D179,inputdata!$F:$F,"ED"),TEXT(SUMIFS(Comparison_Lookup,site_level_range_board,$B192,date_range_board,D179,inputdata!$F:$F,"ED")/SUMIFS(All_Attendances,site_level_range_board,$B192,date_range_board,D179,inputdata!$F:$F,"ED"),"0.0%")),IF(LEFT($B$7,6)="Number",SUMIFS(Comparison_Lookup,site_level_range_board,$B192,date_range_board,D179),TEXT(SUMIFS(Comparison_Lookup,site_level_range_board,$B192,date_range_board,D179)/SUMIFS(All_Attendances,site_level_range_board,$B192,date_range_board,D179),"0.0%"))),"")</f>
        <v>98.3%</v>
      </c>
      <c r="E192" s="165" t="str">
        <f ca="1">IFERROR(IF(ISNUMBER(FIND("ED only",$B$4)),IF(LEFT($B$7,6)="Number",SUMIFS(Comparison_Lookup,site_level_range_board,$B192,date_range_board,E179,inputdata!$F:$F,"ED"),TEXT(SUMIFS(Comparison_Lookup,site_level_range_board,$B192,date_range_board,E179,inputdata!$F:$F,"ED")/SUMIFS(All_Attendances,site_level_range_board,$B192,date_range_board,E179,inputdata!$F:$F,"ED"),"0.0%")),IF(LEFT($B$7,6)="Number",SUMIFS(Comparison_Lookup,site_level_range_board,$B192,date_range_board,E179),TEXT(SUMIFS(Comparison_Lookup,site_level_range_board,$B192,date_range_board,E179)/SUMIFS(All_Attendances,site_level_range_board,$B192,date_range_board,E179),"0.0%"))),"")</f>
        <v>99.0%</v>
      </c>
      <c r="F192" s="165" t="str">
        <f ca="1">IFERROR(IF(ISNUMBER(FIND("ED only",$B$4)),IF(LEFT($B$7,6)="Number",SUMIFS(Comparison_Lookup,site_level_range_board,$B192,date_range_board,F179,inputdata!$F:$F,"ED"),TEXT(SUMIFS(Comparison_Lookup,site_level_range_board,$B192,date_range_board,F179,inputdata!$F:$F,"ED")/SUMIFS(All_Attendances,site_level_range_board,$B192,date_range_board,F179,inputdata!$F:$F,"ED"),"0.0%")),IF(LEFT($B$7,6)="Number",SUMIFS(Comparison_Lookup,site_level_range_board,$B192,date_range_board,F179),TEXT(SUMIFS(Comparison_Lookup,site_level_range_board,$B192,date_range_board,F179)/SUMIFS(All_Attendances,site_level_range_board,$B192,date_range_board,F179),"0.0%"))),"")</f>
        <v>99.1%</v>
      </c>
      <c r="G192" s="165" t="str">
        <f ca="1">IFERROR(IF(ISNUMBER(FIND("ED only",$B$4)),IF(LEFT($B$7,6)="Number",SUMIFS(Comparison_Lookup,site_level_range_board,$B192,date_range_board,G179,inputdata!$F:$F,"ED"),TEXT(SUMIFS(Comparison_Lookup,site_level_range_board,$B192,date_range_board,G179,inputdata!$F:$F,"ED")/SUMIFS(All_Attendances,site_level_range_board,$B192,date_range_board,G179,inputdata!$F:$F,"ED"),"0.0%")),IF(LEFT($B$7,6)="Number",SUMIFS(Comparison_Lookup,site_level_range_board,$B192,date_range_board,G179),TEXT(SUMIFS(Comparison_Lookup,site_level_range_board,$B192,date_range_board,G179)/SUMIFS(All_Attendances,site_level_range_board,$B192,date_range_board,G179),"0.0%"))),"")</f>
        <v>98.8%</v>
      </c>
      <c r="H192" s="165" t="str">
        <f ca="1">IFERROR(IF(ISNUMBER(FIND("ED only",$B$4)),IF(LEFT($B$7,6)="Number",SUMIFS(Comparison_Lookup,site_level_range_board,$B192,date_range_board,H179,inputdata!$F:$F,"ED"),TEXT(SUMIFS(Comparison_Lookup,site_level_range_board,$B192,date_range_board,H179,inputdata!$F:$F,"ED")/SUMIFS(All_Attendances,site_level_range_board,$B192,date_range_board,H179,inputdata!$F:$F,"ED"),"0.0%")),IF(LEFT($B$7,6)="Number",SUMIFS(Comparison_Lookup,site_level_range_board,$B192,date_range_board,H179),TEXT(SUMIFS(Comparison_Lookup,site_level_range_board,$B192,date_range_board,H179)/SUMIFS(All_Attendances,site_level_range_board,$B192,date_range_board,H179),"0.0%"))),"")</f>
        <v>99.2%</v>
      </c>
      <c r="I192" s="165" t="str">
        <f ca="1">IFERROR(IF(ISNUMBER(FIND("ED only",$B$4)),IF(LEFT($B$7,6)="Number",SUMIFS(Comparison_Lookup,site_level_range_board,$B192,date_range_board,I179,inputdata!$F:$F,"ED"),TEXT(SUMIFS(Comparison_Lookup,site_level_range_board,$B192,date_range_board,I179,inputdata!$F:$F,"ED")/SUMIFS(All_Attendances,site_level_range_board,$B192,date_range_board,I179,inputdata!$F:$F,"ED"),"0.0%")),IF(LEFT($B$7,6)="Number",SUMIFS(Comparison_Lookup,site_level_range_board,$B192,date_range_board,I179),TEXT(SUMIFS(Comparison_Lookup,site_level_range_board,$B192,date_range_board,I179)/SUMIFS(All_Attendances,site_level_range_board,$B192,date_range_board,I179),"0.0%"))),"")</f>
        <v>99.3%</v>
      </c>
      <c r="J192" s="165" t="str">
        <f ca="1">IFERROR(IF(ISNUMBER(FIND("ED only",$B$4)),IF(LEFT($B$7,6)="Number",SUMIFS(Comparison_Lookup,site_level_range_board,$B192,date_range_board,J179,inputdata!$F:$F,"ED"),TEXT(SUMIFS(Comparison_Lookup,site_level_range_board,$B192,date_range_board,J179,inputdata!$F:$F,"ED")/SUMIFS(All_Attendances,site_level_range_board,$B192,date_range_board,J179,inputdata!$F:$F,"ED"),"0.0%")),IF(LEFT($B$7,6)="Number",SUMIFS(Comparison_Lookup,site_level_range_board,$B192,date_range_board,J179),TEXT(SUMIFS(Comparison_Lookup,site_level_range_board,$B192,date_range_board,J179)/SUMIFS(All_Attendances,site_level_range_board,$B192,date_range_board,J179),"0.0%"))),"")</f>
        <v>99.2%</v>
      </c>
      <c r="K192" s="165" t="str">
        <f ca="1">IFERROR(IF(ISNUMBER(FIND("ED only",$B$4)),IF(LEFT($B$7,6)="Number",SUMIFS(Comparison_Lookup,site_level_range_board,$B192,date_range_board,K179,inputdata!$F:$F,"ED"),TEXT(SUMIFS(Comparison_Lookup,site_level_range_board,$B192,date_range_board,K179,inputdata!$F:$F,"ED")/SUMIFS(All_Attendances,site_level_range_board,$B192,date_range_board,K179,inputdata!$F:$F,"ED"),"0.0%")),IF(LEFT($B$7,6)="Number",SUMIFS(Comparison_Lookup,site_level_range_board,$B192,date_range_board,K179),TEXT(SUMIFS(Comparison_Lookup,site_level_range_board,$B192,date_range_board,K179)/SUMIFS(All_Attendances,site_level_range_board,$B192,date_range_board,K179),"0.0%"))),"")</f>
        <v>98.4%</v>
      </c>
      <c r="L192" s="165" t="str">
        <f ca="1">IFERROR(IF(ISNUMBER(FIND("ED only",$B$4)),IF(LEFT($B$7,6)="Number",SUMIFS(Comparison_Lookup,site_level_range_board,$B192,date_range_board,L179,inputdata!$F:$F,"ED"),TEXT(SUMIFS(Comparison_Lookup,site_level_range_board,$B192,date_range_board,L179,inputdata!$F:$F,"ED")/SUMIFS(All_Attendances,site_level_range_board,$B192,date_range_board,L179,inputdata!$F:$F,"ED"),"0.0%")),IF(LEFT($B$7,6)="Number",SUMIFS(Comparison_Lookup,site_level_range_board,$B192,date_range_board,L179),TEXT(SUMIFS(Comparison_Lookup,site_level_range_board,$B192,date_range_board,L179)/SUMIFS(All_Attendances,site_level_range_board,$B192,date_range_board,L179),"0.0%"))),"")</f>
        <v>99.0%</v>
      </c>
      <c r="M192" s="165" t="str">
        <f ca="1">IFERROR(IF(ISNUMBER(FIND("ED only",$B$4)),IF(LEFT($B$7,6)="Number",SUMIFS(Comparison_Lookup,site_level_range_board,$B192,date_range_board,M179,inputdata!$F:$F,"ED"),TEXT(SUMIFS(Comparison_Lookup,site_level_range_board,$B192,date_range_board,M179,inputdata!$F:$F,"ED")/SUMIFS(All_Attendances,site_level_range_board,$B192,date_range_board,M179,inputdata!$F:$F,"ED"),"0.0%")),IF(LEFT($B$7,6)="Number",SUMIFS(Comparison_Lookup,site_level_range_board,$B192,date_range_board,M179),TEXT(SUMIFS(Comparison_Lookup,site_level_range_board,$B192,date_range_board,M179)/SUMIFS(All_Attendances,site_level_range_board,$B192,date_range_board,M179),"0.0%"))),"")</f>
        <v>98.5%</v>
      </c>
      <c r="N192" s="171" t="str">
        <f ca="1">IFERROR(IF(ISNUMBER(FIND("ED only",$B$4)),IF(LEFT($B$7,6)="Number",SUMIFS(Comparison_Lookup,site_level_range_board,$B192,date_range_board,N179,inputdata!$F:$F,"ED"),TEXT(SUMIFS(Comparison_Lookup,site_level_range_board,$B192,date_range_board,N179,inputdata!$F:$F,"ED")/SUMIFS(All_Attendances,site_level_range_board,$B192,date_range_board,N179,inputdata!$F:$F,"ED"),"0.0%")),IF(LEFT($B$7,6)="Number",SUMIFS(Comparison_Lookup,site_level_range_board,$B192,date_range_board,N179),TEXT(SUMIFS(Comparison_Lookup,site_level_range_board,$B192,date_range_board,N179)/SUMIFS(All_Attendances,site_level_range_board,$B192,date_range_board,N179),"0.0%"))),"")</f>
        <v>98.7%</v>
      </c>
    </row>
    <row r="193" spans="1:14" ht="15" customHeight="1" x14ac:dyDescent="0.2">
      <c r="A193" s="132"/>
      <c r="B193" s="154" t="s">
        <v>594</v>
      </c>
      <c r="C193" s="168" t="str">
        <f ca="1">IFERROR(IF(ISNUMBER(FIND("ED only",$B$4)),IF(LEFT($B$7,6)="Number",SUMIFS(Comparison_Lookup,site_level_range_board,$B193,date_range_board,C179,inputdata!$F:$F,"ED"),TEXT(SUMIFS(Comparison_Lookup,site_level_range_board,$B193,date_range_board,C179,inputdata!$F:$F,"ED")/SUMIFS(All_Attendances,site_level_range_board,$B193,date_range_board,C179,inputdata!$F:$F,"ED"),"0.0%")),IF(LEFT($B$7,6)="Number",SUMIFS(Comparison_Lookup,site_level_range_board,$B193,date_range_board,C179),TEXT(SUMIFS(Comparison_Lookup,site_level_range_board,$B193,date_range_board,C179)/SUMIFS(All_Attendances,site_level_range_board,$B193,date_range_board,C179),"0.0%"))),"")</f>
        <v>97.9%</v>
      </c>
      <c r="D193" s="168" t="str">
        <f ca="1">IFERROR(IF(ISNUMBER(FIND("ED only",$B$4)),IF(LEFT($B$7,6)="Number",SUMIFS(Comparison_Lookup,site_level_range_board,$B193,date_range_board,D179,inputdata!$F:$F,"ED"),TEXT(SUMIFS(Comparison_Lookup,site_level_range_board,$B193,date_range_board,D179,inputdata!$F:$F,"ED")/SUMIFS(All_Attendances,site_level_range_board,$B193,date_range_board,D179,inputdata!$F:$F,"ED"),"0.0%")),IF(LEFT($B$7,6)="Number",SUMIFS(Comparison_Lookup,site_level_range_board,$B193,date_range_board,D179),TEXT(SUMIFS(Comparison_Lookup,site_level_range_board,$B193,date_range_board,D179)/SUMIFS(All_Attendances,site_level_range_board,$B193,date_range_board,D179),"0.0%"))),"")</f>
        <v>98.8%</v>
      </c>
      <c r="E193" s="168" t="str">
        <f ca="1">IFERROR(IF(ISNUMBER(FIND("ED only",$B$4)),IF(LEFT($B$7,6)="Number",SUMIFS(Comparison_Lookup,site_level_range_board,$B193,date_range_board,E179,inputdata!$F:$F,"ED"),TEXT(SUMIFS(Comparison_Lookup,site_level_range_board,$B193,date_range_board,E179,inputdata!$F:$F,"ED")/SUMIFS(All_Attendances,site_level_range_board,$B193,date_range_board,E179,inputdata!$F:$F,"ED"),"0.0%")),IF(LEFT($B$7,6)="Number",SUMIFS(Comparison_Lookup,site_level_range_board,$B193,date_range_board,E179),TEXT(SUMIFS(Comparison_Lookup,site_level_range_board,$B193,date_range_board,E179)/SUMIFS(All_Attendances,site_level_range_board,$B193,date_range_board,E179),"0.0%"))),"")</f>
        <v>97.8%</v>
      </c>
      <c r="F193" s="168" t="str">
        <f ca="1">IFERROR(IF(ISNUMBER(FIND("ED only",$B$4)),IF(LEFT($B$7,6)="Number",SUMIFS(Comparison_Lookup,site_level_range_board,$B193,date_range_board,F179,inputdata!$F:$F,"ED"),TEXT(SUMIFS(Comparison_Lookup,site_level_range_board,$B193,date_range_board,F179,inputdata!$F:$F,"ED")/SUMIFS(All_Attendances,site_level_range_board,$B193,date_range_board,F179,inputdata!$F:$F,"ED"),"0.0%")),IF(LEFT($B$7,6)="Number",SUMIFS(Comparison_Lookup,site_level_range_board,$B193,date_range_board,F179),TEXT(SUMIFS(Comparison_Lookup,site_level_range_board,$B193,date_range_board,F179)/SUMIFS(All_Attendances,site_level_range_board,$B193,date_range_board,F179),"0.0%"))),"")</f>
        <v>98.8%</v>
      </c>
      <c r="G193" s="168" t="str">
        <f ca="1">IFERROR(IF(ISNUMBER(FIND("ED only",$B$4)),IF(LEFT($B$7,6)="Number",SUMIFS(Comparison_Lookup,site_level_range_board,$B193,date_range_board,G179,inputdata!$F:$F,"ED"),TEXT(SUMIFS(Comparison_Lookup,site_level_range_board,$B193,date_range_board,G179,inputdata!$F:$F,"ED")/SUMIFS(All_Attendances,site_level_range_board,$B193,date_range_board,G179,inputdata!$F:$F,"ED"),"0.0%")),IF(LEFT($B$7,6)="Number",SUMIFS(Comparison_Lookup,site_level_range_board,$B193,date_range_board,G179),TEXT(SUMIFS(Comparison_Lookup,site_level_range_board,$B193,date_range_board,G179)/SUMIFS(All_Attendances,site_level_range_board,$B193,date_range_board,G179),"0.0%"))),"")</f>
        <v>98.6%</v>
      </c>
      <c r="H193" s="168" t="str">
        <f ca="1">IFERROR(IF(ISNUMBER(FIND("ED only",$B$4)),IF(LEFT($B$7,6)="Number",SUMIFS(Comparison_Lookup,site_level_range_board,$B193,date_range_board,H179,inputdata!$F:$F,"ED"),TEXT(SUMIFS(Comparison_Lookup,site_level_range_board,$B193,date_range_board,H179,inputdata!$F:$F,"ED")/SUMIFS(All_Attendances,site_level_range_board,$B193,date_range_board,H179,inputdata!$F:$F,"ED"),"0.0%")),IF(LEFT($B$7,6)="Number",SUMIFS(Comparison_Lookup,site_level_range_board,$B193,date_range_board,H179),TEXT(SUMIFS(Comparison_Lookup,site_level_range_board,$B193,date_range_board,H179)/SUMIFS(All_Attendances,site_level_range_board,$B193,date_range_board,H179),"0.0%"))),"")</f>
        <v>98.5%</v>
      </c>
      <c r="I193" s="168" t="str">
        <f ca="1">IFERROR(IF(ISNUMBER(FIND("ED only",$B$4)),IF(LEFT($B$7,6)="Number",SUMIFS(Comparison_Lookup,site_level_range_board,$B193,date_range_board,I179,inputdata!$F:$F,"ED"),TEXT(SUMIFS(Comparison_Lookup,site_level_range_board,$B193,date_range_board,I179,inputdata!$F:$F,"ED")/SUMIFS(All_Attendances,site_level_range_board,$B193,date_range_board,I179,inputdata!$F:$F,"ED"),"0.0%")),IF(LEFT($B$7,6)="Number",SUMIFS(Comparison_Lookup,site_level_range_board,$B193,date_range_board,I179),TEXT(SUMIFS(Comparison_Lookup,site_level_range_board,$B193,date_range_board,I179)/SUMIFS(All_Attendances,site_level_range_board,$B193,date_range_board,I179),"0.0%"))),"")</f>
        <v>98.0%</v>
      </c>
      <c r="J193" s="168" t="str">
        <f ca="1">IFERROR(IF(ISNUMBER(FIND("ED only",$B$4)),IF(LEFT($B$7,6)="Number",SUMIFS(Comparison_Lookup,site_level_range_board,$B193,date_range_board,J179,inputdata!$F:$F,"ED"),TEXT(SUMIFS(Comparison_Lookup,site_level_range_board,$B193,date_range_board,J179,inputdata!$F:$F,"ED")/SUMIFS(All_Attendances,site_level_range_board,$B193,date_range_board,J179,inputdata!$F:$F,"ED"),"0.0%")),IF(LEFT($B$7,6)="Number",SUMIFS(Comparison_Lookup,site_level_range_board,$B193,date_range_board,J179),TEXT(SUMIFS(Comparison_Lookup,site_level_range_board,$B193,date_range_board,J179)/SUMIFS(All_Attendances,site_level_range_board,$B193,date_range_board,J179),"0.0%"))),"")</f>
        <v>97.8%</v>
      </c>
      <c r="K193" s="168" t="str">
        <f ca="1">IFERROR(IF(ISNUMBER(FIND("ED only",$B$4)),IF(LEFT($B$7,6)="Number",SUMIFS(Comparison_Lookup,site_level_range_board,$B193,date_range_board,K179,inputdata!$F:$F,"ED"),TEXT(SUMIFS(Comparison_Lookup,site_level_range_board,$B193,date_range_board,K179,inputdata!$F:$F,"ED")/SUMIFS(All_Attendances,site_level_range_board,$B193,date_range_board,K179,inputdata!$F:$F,"ED"),"0.0%")),IF(LEFT($B$7,6)="Number",SUMIFS(Comparison_Lookup,site_level_range_board,$B193,date_range_board,K179),TEXT(SUMIFS(Comparison_Lookup,site_level_range_board,$B193,date_range_board,K179)/SUMIFS(All_Attendances,site_level_range_board,$B193,date_range_board,K179),"0.0%"))),"")</f>
        <v>98.3%</v>
      </c>
      <c r="L193" s="168" t="str">
        <f ca="1">IFERROR(IF(ISNUMBER(FIND("ED only",$B$4)),IF(LEFT($B$7,6)="Number",SUMIFS(Comparison_Lookup,site_level_range_board,$B193,date_range_board,L179,inputdata!$F:$F,"ED"),TEXT(SUMIFS(Comparison_Lookup,site_level_range_board,$B193,date_range_board,L179,inputdata!$F:$F,"ED")/SUMIFS(All_Attendances,site_level_range_board,$B193,date_range_board,L179,inputdata!$F:$F,"ED"),"0.0%")),IF(LEFT($B$7,6)="Number",SUMIFS(Comparison_Lookup,site_level_range_board,$B193,date_range_board,L179),TEXT(SUMIFS(Comparison_Lookup,site_level_range_board,$B193,date_range_board,L179)/SUMIFS(All_Attendances,site_level_range_board,$B193,date_range_board,L179),"0.0%"))),"")</f>
        <v>97.8%</v>
      </c>
      <c r="M193" s="168" t="str">
        <f ca="1">IFERROR(IF(ISNUMBER(FIND("ED only",$B$4)),IF(LEFT($B$7,6)="Number",SUMIFS(Comparison_Lookup,site_level_range_board,$B193,date_range_board,M179,inputdata!$F:$F,"ED"),TEXT(SUMIFS(Comparison_Lookup,site_level_range_board,$B193,date_range_board,M179,inputdata!$F:$F,"ED")/SUMIFS(All_Attendances,site_level_range_board,$B193,date_range_board,M179,inputdata!$F:$F,"ED"),"0.0%")),IF(LEFT($B$7,6)="Number",SUMIFS(Comparison_Lookup,site_level_range_board,$B193,date_range_board,M179),TEXT(SUMIFS(Comparison_Lookup,site_level_range_board,$B193,date_range_board,M179)/SUMIFS(All_Attendances,site_level_range_board,$B193,date_range_board,M179),"0.0%"))),"")</f>
        <v>98.7%</v>
      </c>
      <c r="N193" s="172" t="str">
        <f ca="1">IFERROR(IF(ISNUMBER(FIND("ED only",$B$4)),IF(LEFT($B$7,6)="Number",SUMIFS(Comparison_Lookup,site_level_range_board,$B193,date_range_board,N179,inputdata!$F:$F,"ED"),TEXT(SUMIFS(Comparison_Lookup,site_level_range_board,$B193,date_range_board,N179,inputdata!$F:$F,"ED")/SUMIFS(All_Attendances,site_level_range_board,$B193,date_range_board,N179,inputdata!$F:$F,"ED"),"0.0%")),IF(LEFT($B$7,6)="Number",SUMIFS(Comparison_Lookup,site_level_range_board,$B193,date_range_board,N179),TEXT(SUMIFS(Comparison_Lookup,site_level_range_board,$B193,date_range_board,N179)/SUMIFS(All_Attendances,site_level_range_board,$B193,date_range_board,N179),"0.0%"))),"")</f>
        <v>98.9%</v>
      </c>
    </row>
    <row r="194" spans="1:14" ht="15" customHeight="1" x14ac:dyDescent="0.2">
      <c r="A194" s="132"/>
      <c r="B194" s="170" t="s">
        <v>406</v>
      </c>
      <c r="C194" s="169" t="str">
        <f ca="1">IFERROR(IF(ISNUMBER(FIND("ED only",$B$4)),IF(LEFT($B$7,6)="Number",SUMIFS(Comparison_Lookup,date_range_board,C179,inputdata!$F:$F,"ED"),TEXT(SUMIFS(Comparison_Lookup,date_range_board,C179,inputdata!$F:$F,"ED")/SUMIFS(All_Attendances,date_range_board,C179,inputdata!$F:$F,"ED"),"0.0%")),IF(LEFT($B$7,6)="Number",SUMIFS(Comparison_Lookup,date_range_board,C179),TEXT(SUMIFS(Comparison_Lookup,date_range_board,C179)/SUMIFS(All_Attendances,date_range_board,C179
        ),"0.0%"))),"")</f>
        <v>94.2%</v>
      </c>
      <c r="D194" s="169" t="str">
        <f ca="1">IFERROR(IF(ISNUMBER(FIND("ED only",$B$4)),IF(LEFT($B$7,6)="Number",SUMIFS(Comparison_Lookup,date_range_board,D179,inputdata!$F:$F,"ED"),TEXT(SUMIFS(Comparison_Lookup,date_range_board,D179,inputdata!$F:$F,"ED")/SUMIFS(All_Attendances,date_range_board,D179,inputdata!$F:$F,"ED"),"0.0%")),IF(LEFT($B$7,6)="Number",SUMIFS(Comparison_Lookup,date_range_board,D179),TEXT(SUMIFS(Comparison_Lookup,date_range_board,D179)/SUMIFS(All_Attendances,date_range_board,D179
        ),"0.0%"))),"")</f>
        <v>94.7%</v>
      </c>
      <c r="E194" s="169" t="str">
        <f ca="1">IFERROR(IF(ISNUMBER(FIND("ED only",$B$4)),IF(LEFT($B$7,6)="Number",SUMIFS(Comparison_Lookup,date_range_board,E179,inputdata!$F:$F,"ED"),TEXT(SUMIFS(Comparison_Lookup,date_range_board,E179,inputdata!$F:$F,"ED")/SUMIFS(All_Attendances,date_range_board,E179,inputdata!$F:$F,"ED"),"0.0%")),IF(LEFT($B$7,6)="Number",SUMIFS(Comparison_Lookup,date_range_board,E179),TEXT(SUMIFS(Comparison_Lookup,date_range_board,E179)/SUMIFS(All_Attendances,date_range_board,E179
        ),"0.0%"))),"")</f>
        <v>95.1%</v>
      </c>
      <c r="F194" s="169" t="str">
        <f ca="1">IFERROR(IF(ISNUMBER(FIND("ED only",$B$4)),IF(LEFT($B$7,6)="Number",SUMIFS(Comparison_Lookup,date_range_board,F179,inputdata!$F:$F,"ED"),TEXT(SUMIFS(Comparison_Lookup,date_range_board,F179,inputdata!$F:$F,"ED")/SUMIFS(All_Attendances,date_range_board,F179,inputdata!$F:$F,"ED"),"0.0%")),IF(LEFT($B$7,6)="Number",SUMIFS(Comparison_Lookup,date_range_board,F179),TEXT(SUMIFS(Comparison_Lookup,date_range_board,F179)/SUMIFS(All_Attendances,date_range_board,F179
        ),"0.0%"))),"")</f>
        <v>96.2%</v>
      </c>
      <c r="G194" s="169" t="str">
        <f ca="1">IFERROR(IF(ISNUMBER(FIND("ED only",$B$4)),IF(LEFT($B$7,6)="Number",SUMIFS(Comparison_Lookup,date_range_board,G179,inputdata!$F:$F,"ED"),TEXT(SUMIFS(Comparison_Lookup,date_range_board,G179,inputdata!$F:$F,"ED")/SUMIFS(All_Attendances,date_range_board,G179,inputdata!$F:$F,"ED"),"0.0%")),IF(LEFT($B$7,6)="Number",SUMIFS(Comparison_Lookup,date_range_board,G179),TEXT(SUMIFS(Comparison_Lookup,date_range_board,G179)/SUMIFS(All_Attendances,date_range_board,G179
        ),"0.0%"))),"")</f>
        <v>95.5%</v>
      </c>
      <c r="H194" s="169" t="str">
        <f ca="1">IFERROR(IF(ISNUMBER(FIND("ED only",$B$4)),IF(LEFT($B$7,6)="Number",SUMIFS(Comparison_Lookup,date_range_board,H179,inputdata!$F:$F,"ED"),TEXT(SUMIFS(Comparison_Lookup,date_range_board,H179,inputdata!$F:$F,"ED")/SUMIFS(All_Attendances,date_range_board,H179,inputdata!$F:$F,"ED"),"0.0%")),IF(LEFT($B$7,6)="Number",SUMIFS(Comparison_Lookup,date_range_board,H179),TEXT(SUMIFS(Comparison_Lookup,date_range_board,H179)/SUMIFS(All_Attendances,date_range_board,H179
        ),"0.0%"))),"")</f>
        <v>95.0%</v>
      </c>
      <c r="I194" s="169" t="str">
        <f ca="1">IFERROR(IF(ISNUMBER(FIND("ED only",$B$4)),IF(LEFT($B$7,6)="Number",SUMIFS(Comparison_Lookup,date_range_board,I179,inputdata!$F:$F,"ED"),TEXT(SUMIFS(Comparison_Lookup,date_range_board,I179,inputdata!$F:$F,"ED")/SUMIFS(All_Attendances,date_range_board,I179,inputdata!$F:$F,"ED"),"0.0%")),IF(LEFT($B$7,6)="Number",SUMIFS(Comparison_Lookup,date_range_board,I179),TEXT(SUMIFS(Comparison_Lookup,date_range_board,I179)/SUMIFS(All_Attendances,date_range_board,I179
        ),"0.0%"))),"")</f>
        <v>94.4%</v>
      </c>
      <c r="J194" s="169" t="str">
        <f ca="1">IFERROR(IF(ISNUMBER(FIND("ED only",$B$4)),IF(LEFT($B$7,6)="Number",SUMIFS(Comparison_Lookup,date_range_board,J179,inputdata!$F:$F,"ED"),TEXT(SUMIFS(Comparison_Lookup,date_range_board,J179,inputdata!$F:$F,"ED")/SUMIFS(All_Attendances,date_range_board,J179,inputdata!$F:$F,"ED"),"0.0%")),IF(LEFT($B$7,6)="Number",SUMIFS(Comparison_Lookup,date_range_board,J179),TEXT(SUMIFS(Comparison_Lookup,date_range_board,J179)/SUMIFS(All_Attendances,date_range_board,J179
        ),"0.0%"))),"")</f>
        <v>93.5%</v>
      </c>
      <c r="K194" s="169" t="str">
        <f ca="1">IFERROR(IF(ISNUMBER(FIND("ED only",$B$4)),IF(LEFT($B$7,6)="Number",SUMIFS(Comparison_Lookup,date_range_board,K179,inputdata!$F:$F,"ED"),TEXT(SUMIFS(Comparison_Lookup,date_range_board,K179,inputdata!$F:$F,"ED")/SUMIFS(All_Attendances,date_range_board,K179,inputdata!$F:$F,"ED"),"0.0%")),IF(LEFT($B$7,6)="Number",SUMIFS(Comparison_Lookup,date_range_board,K179),TEXT(SUMIFS(Comparison_Lookup,date_range_board,K179)/SUMIFS(All_Attendances,date_range_board,K179
        ),"0.0%"))),"")</f>
        <v>90.3%</v>
      </c>
      <c r="L194" s="169" t="str">
        <f ca="1">IFERROR(IF(ISNUMBER(FIND("ED only",$B$4)),IF(LEFT($B$7,6)="Number",SUMIFS(Comparison_Lookup,date_range_board,L179,inputdata!$F:$F,"ED"),TEXT(SUMIFS(Comparison_Lookup,date_range_board,L179,inputdata!$F:$F,"ED")/SUMIFS(All_Attendances,date_range_board,L179,inputdata!$F:$F,"ED"),"0.0%")),IF(LEFT($B$7,6)="Number",SUMIFS(Comparison_Lookup,date_range_board,L179),TEXT(SUMIFS(Comparison_Lookup,date_range_board,L179)/SUMIFS(All_Attendances,date_range_board,L179
        ),"0.0%"))),"")</f>
        <v>89.7%</v>
      </c>
      <c r="M194" s="169" t="str">
        <f ca="1">IFERROR(IF(ISNUMBER(FIND("ED only",$B$4)),IF(LEFT($B$7,6)="Number",SUMIFS(Comparison_Lookup,date_range_board,M179,inputdata!$F:$F,"ED"),TEXT(SUMIFS(Comparison_Lookup,date_range_board,M179,inputdata!$F:$F,"ED")/SUMIFS(All_Attendances,date_range_board,M179,inputdata!$F:$F,"ED"),"0.0%")),IF(LEFT($B$7,6)="Number",SUMIFS(Comparison_Lookup,date_range_board,M179),TEXT(SUMIFS(Comparison_Lookup,date_range_board,M179)/SUMIFS(All_Attendances,date_range_board,M179
        ),"0.0%"))),"")</f>
        <v>91.9%</v>
      </c>
      <c r="N194" s="173" t="str">
        <f ca="1">IFERROR(IF(ISNUMBER(FIND("ED only",$B$4)),IF(LEFT($B$7,6)="Number",SUMIFS(Comparison_Lookup,date_range_board,N179,inputdata!$F:$F,"ED"),TEXT(SUMIFS(Comparison_Lookup,date_range_board,N179,inputdata!$F:$F,"ED")/SUMIFS(All_Attendances,date_range_board,N179,inputdata!$F:$F,"ED"),"0.0%")),IF(LEFT($B$7,6)="Number",SUMIFS(Comparison_Lookup,date_range_board,N179),TEXT(SUMIFS(Comparison_Lookup,date_range_board,N179)/SUMIFS(All_Attendances,date_range_board,N179
        ),"0.0%"))),"")</f>
        <v>91.9%</v>
      </c>
    </row>
    <row r="195" spans="1:14" x14ac:dyDescent="0.2">
      <c r="B195" s="127"/>
      <c r="C195" s="127"/>
      <c r="D195" s="127"/>
      <c r="E195" s="127"/>
      <c r="F195" s="127"/>
      <c r="G195" s="127"/>
      <c r="H195" s="127"/>
      <c r="I195" s="127"/>
      <c r="J195" s="127"/>
      <c r="K195" s="127"/>
      <c r="L195" s="127"/>
      <c r="M195" s="127"/>
      <c r="N195" s="127"/>
    </row>
    <row r="196" spans="1:14" ht="15" customHeight="1" x14ac:dyDescent="0.25">
      <c r="A196" s="132"/>
      <c r="B196" s="153" t="str">
        <f>IF(ISNUMBER(FIND("ED only",$B$4)),"2011/2012 (ED Only)","2011/2012")</f>
        <v>2011/2012</v>
      </c>
      <c r="C196" s="149">
        <v>40663</v>
      </c>
      <c r="D196" s="149">
        <v>40694</v>
      </c>
      <c r="E196" s="149">
        <v>40724</v>
      </c>
      <c r="F196" s="149">
        <v>40755</v>
      </c>
      <c r="G196" s="149">
        <v>40786</v>
      </c>
      <c r="H196" s="149">
        <v>40816</v>
      </c>
      <c r="I196" s="149">
        <v>40847</v>
      </c>
      <c r="J196" s="149">
        <v>40877</v>
      </c>
      <c r="K196" s="149">
        <v>40908</v>
      </c>
      <c r="L196" s="149">
        <v>40939</v>
      </c>
      <c r="M196" s="149">
        <v>40968</v>
      </c>
      <c r="N196" s="158">
        <v>40999</v>
      </c>
    </row>
    <row r="197" spans="1:14" ht="15" customHeight="1" x14ac:dyDescent="0.2">
      <c r="A197" s="132"/>
      <c r="B197" s="152" t="s">
        <v>407</v>
      </c>
      <c r="C197" s="165" t="str">
        <f ca="1">IFERROR(IF(ISNUMBER(FIND("ED only",$B$4)),IF(LEFT($B$7,6)="Number",SUMIFS(Comparison_Lookup,site_level_range_board,$B197,date_range_board,C196,inputdata!$F:$F,"ED"),TEXT(SUMIFS(Comparison_Lookup,site_level_range_board,$B197,date_range_board,C196,inputdata!$F:$F,"ED")/SUMIFS(All_Attendances,site_level_range_board,$B197,date_range_board,C196,inputdata!$F:$F,"ED"),"0.0%")),IF(LEFT($B$7,6)="Number",SUMIFS(Comparison_Lookup,site_level_range_board,$B197,date_range_board,C196),TEXT(SUMIFS(Comparison_Lookup,site_level_range_board,$B197,date_range_board,C196)/SUMIFS(All_Attendances,site_level_range_board,$B197,date_range_board,C196),"0.0%"))),"")</f>
        <v>97.4%</v>
      </c>
      <c r="D197" s="165" t="str">
        <f ca="1">IFERROR(IF(ISNUMBER(FIND("ED only",$B$4)),IF(LEFT($B$7,6)="Number",SUMIFS(Comparison_Lookup,site_level_range_board,$B197,date_range_board,D196,inputdata!$F:$F,"ED"),TEXT(SUMIFS(Comparison_Lookup,site_level_range_board,$B197,date_range_board,D196,inputdata!$F:$F,"ED")/SUMIFS(All_Attendances,site_level_range_board,$B197,date_range_board,D196,inputdata!$F:$F,"ED"),"0.0%")),IF(LEFT($B$7,6)="Number",SUMIFS(Comparison_Lookup,site_level_range_board,$B197,date_range_board,D196),TEXT(SUMIFS(Comparison_Lookup,site_level_range_board,$B197,date_range_board,D196)/SUMIFS(All_Attendances,site_level_range_board,$B197,date_range_board,D196),"0.0%"))),"")</f>
        <v>96.8%</v>
      </c>
      <c r="E197" s="165" t="str">
        <f ca="1">IFERROR(IF(ISNUMBER(FIND("ED only",$B$4)),IF(LEFT($B$7,6)="Number",SUMIFS(Comparison_Lookup,site_level_range_board,$B197,date_range_board,E196,inputdata!$F:$F,"ED"),TEXT(SUMIFS(Comparison_Lookup,site_level_range_board,$B197,date_range_board,E196,inputdata!$F:$F,"ED")/SUMIFS(All_Attendances,site_level_range_board,$B197,date_range_board,E196,inputdata!$F:$F,"ED"),"0.0%")),IF(LEFT($B$7,6)="Number",SUMIFS(Comparison_Lookup,site_level_range_board,$B197,date_range_board,E196),TEXT(SUMIFS(Comparison_Lookup,site_level_range_board,$B197,date_range_board,E196)/SUMIFS(All_Attendances,site_level_range_board,$B197,date_range_board,E196),"0.0%"))),"")</f>
        <v>96.1%</v>
      </c>
      <c r="F197" s="165" t="str">
        <f ca="1">IFERROR(IF(ISNUMBER(FIND("ED only",$B$4)),IF(LEFT($B$7,6)="Number",SUMIFS(Comparison_Lookup,site_level_range_board,$B197,date_range_board,F196,inputdata!$F:$F,"ED"),TEXT(SUMIFS(Comparison_Lookup,site_level_range_board,$B197,date_range_board,F196,inputdata!$F:$F,"ED")/SUMIFS(All_Attendances,site_level_range_board,$B197,date_range_board,F196,inputdata!$F:$F,"ED"),"0.0%")),IF(LEFT($B$7,6)="Number",SUMIFS(Comparison_Lookup,site_level_range_board,$B197,date_range_board,F196),TEXT(SUMIFS(Comparison_Lookup,site_level_range_board,$B197,date_range_board,F196)/SUMIFS(All_Attendances,site_level_range_board,$B197,date_range_board,F196),"0.0%"))),"")</f>
        <v>97.5%</v>
      </c>
      <c r="G197" s="165" t="str">
        <f ca="1">IFERROR(IF(ISNUMBER(FIND("ED only",$B$4)),IF(LEFT($B$7,6)="Number",SUMIFS(Comparison_Lookup,site_level_range_board,$B197,date_range_board,G196,inputdata!$F:$F,"ED"),TEXT(SUMIFS(Comparison_Lookup,site_level_range_board,$B197,date_range_board,G196,inputdata!$F:$F,"ED")/SUMIFS(All_Attendances,site_level_range_board,$B197,date_range_board,G196,inputdata!$F:$F,"ED"),"0.0%")),IF(LEFT($B$7,6)="Number",SUMIFS(Comparison_Lookup,site_level_range_board,$B197,date_range_board,G196),TEXT(SUMIFS(Comparison_Lookup,site_level_range_board,$B197,date_range_board,G196)/SUMIFS(All_Attendances,site_level_range_board,$B197,date_range_board,G196),"0.0%"))),"")</f>
        <v>96.1%</v>
      </c>
      <c r="H197" s="165" t="str">
        <f ca="1">IFERROR(IF(ISNUMBER(FIND("ED only",$B$4)),IF(LEFT($B$7,6)="Number",SUMIFS(Comparison_Lookup,site_level_range_board,$B197,date_range_board,H196,inputdata!$F:$F,"ED"),TEXT(SUMIFS(Comparison_Lookup,site_level_range_board,$B197,date_range_board,H196,inputdata!$F:$F,"ED")/SUMIFS(All_Attendances,site_level_range_board,$B197,date_range_board,H196,inputdata!$F:$F,"ED"),"0.0%")),IF(LEFT($B$7,6)="Number",SUMIFS(Comparison_Lookup,site_level_range_board,$B197,date_range_board,H196),TEXT(SUMIFS(Comparison_Lookup,site_level_range_board,$B197,date_range_board,H196)/SUMIFS(All_Attendances,site_level_range_board,$B197,date_range_board,H196),"0.0%"))),"")</f>
        <v>95.0%</v>
      </c>
      <c r="I197" s="165" t="str">
        <f ca="1">IFERROR(IF(ISNUMBER(FIND("ED only",$B$4)),IF(LEFT($B$7,6)="Number",SUMIFS(Comparison_Lookup,site_level_range_board,$B197,date_range_board,I196,inputdata!$F:$F,"ED"),TEXT(SUMIFS(Comparison_Lookup,site_level_range_board,$B197,date_range_board,I196,inputdata!$F:$F,"ED")/SUMIFS(All_Attendances,site_level_range_board,$B197,date_range_board,I196,inputdata!$F:$F,"ED"),"0.0%")),IF(LEFT($B$7,6)="Number",SUMIFS(Comparison_Lookup,site_level_range_board,$B197,date_range_board,I196),TEXT(SUMIFS(Comparison_Lookup,site_level_range_board,$B197,date_range_board,I196)/SUMIFS(All_Attendances,site_level_range_board,$B197,date_range_board,I196),"0.0%"))),"")</f>
        <v>95.1%</v>
      </c>
      <c r="J197" s="165" t="str">
        <f ca="1">IFERROR(IF(ISNUMBER(FIND("ED only",$B$4)),IF(LEFT($B$7,6)="Number",SUMIFS(Comparison_Lookup,site_level_range_board,$B197,date_range_board,J196,inputdata!$F:$F,"ED"),TEXT(SUMIFS(Comparison_Lookup,site_level_range_board,$B197,date_range_board,J196,inputdata!$F:$F,"ED")/SUMIFS(All_Attendances,site_level_range_board,$B197,date_range_board,J196,inputdata!$F:$F,"ED"),"0.0%")),IF(LEFT($B$7,6)="Number",SUMIFS(Comparison_Lookup,site_level_range_board,$B197,date_range_board,J196),TEXT(SUMIFS(Comparison_Lookup,site_level_range_board,$B197,date_range_board,J196)/SUMIFS(All_Attendances,site_level_range_board,$B197,date_range_board,J196),"0.0%"))),"")</f>
        <v>97.7%</v>
      </c>
      <c r="K197" s="165" t="str">
        <f ca="1">IFERROR(IF(ISNUMBER(FIND("ED only",$B$4)),IF(LEFT($B$7,6)="Number",SUMIFS(Comparison_Lookup,site_level_range_board,$B197,date_range_board,K196,inputdata!$F:$F,"ED"),TEXT(SUMIFS(Comparison_Lookup,site_level_range_board,$B197,date_range_board,K196,inputdata!$F:$F,"ED")/SUMIFS(All_Attendances,site_level_range_board,$B197,date_range_board,K196,inputdata!$F:$F,"ED"),"0.0%")),IF(LEFT($B$7,6)="Number",SUMIFS(Comparison_Lookup,site_level_range_board,$B197,date_range_board,K196),TEXT(SUMIFS(Comparison_Lookup,site_level_range_board,$B197,date_range_board,K196)/SUMIFS(All_Attendances,site_level_range_board,$B197,date_range_board,K196),"0.0%"))),"")</f>
        <v>94.4%</v>
      </c>
      <c r="L197" s="165" t="str">
        <f ca="1">IFERROR(IF(ISNUMBER(FIND("ED only",$B$4)),IF(LEFT($B$7,6)="Number",SUMIFS(Comparison_Lookup,site_level_range_board,$B197,date_range_board,L196,inputdata!$F:$F,"ED"),TEXT(SUMIFS(Comparison_Lookup,site_level_range_board,$B197,date_range_board,L196,inputdata!$F:$F,"ED")/SUMIFS(All_Attendances,site_level_range_board,$B197,date_range_board,L196,inputdata!$F:$F,"ED"),"0.0%")),IF(LEFT($B$7,6)="Number",SUMIFS(Comparison_Lookup,site_level_range_board,$B197,date_range_board,L196),TEXT(SUMIFS(Comparison_Lookup,site_level_range_board,$B197,date_range_board,L196)/SUMIFS(All_Attendances,site_level_range_board,$B197,date_range_board,L196),"0.0%"))),"")</f>
        <v>94.0%</v>
      </c>
      <c r="M197" s="165" t="str">
        <f ca="1">IFERROR(IF(ISNUMBER(FIND("ED only",$B$4)),IF(LEFT($B$7,6)="Number",SUMIFS(Comparison_Lookup,site_level_range_board,$B197,date_range_board,M196,inputdata!$F:$F,"ED"),TEXT(SUMIFS(Comparison_Lookup,site_level_range_board,$B197,date_range_board,M196,inputdata!$F:$F,"ED")/SUMIFS(All_Attendances,site_level_range_board,$B197,date_range_board,M196,inputdata!$F:$F,"ED"),"0.0%")),IF(LEFT($B$7,6)="Number",SUMIFS(Comparison_Lookup,site_level_range_board,$B197,date_range_board,M196),TEXT(SUMIFS(Comparison_Lookup,site_level_range_board,$B197,date_range_board,M196)/SUMIFS(All_Attendances,site_level_range_board,$B197,date_range_board,M196),"0.0%"))),"")</f>
        <v>95.3%</v>
      </c>
      <c r="N197" s="171" t="str">
        <f ca="1">IFERROR(IF(ISNUMBER(FIND("ED only",$B$4)),IF(LEFT($B$7,6)="Number",SUMIFS(Comparison_Lookup,site_level_range_board,$B197,date_range_board,N196,inputdata!$F:$F,"ED"),TEXT(SUMIFS(Comparison_Lookup,site_level_range_board,$B197,date_range_board,N196,inputdata!$F:$F,"ED")/SUMIFS(All_Attendances,site_level_range_board,$B197,date_range_board,N196,inputdata!$F:$F,"ED"),"0.0%")),IF(LEFT($B$7,6)="Number",SUMIFS(Comparison_Lookup,site_level_range_board,$B197,date_range_board,N196),TEXT(SUMIFS(Comparison_Lookup,site_level_range_board,$B197,date_range_board,N196)/SUMIFS(All_Attendances,site_level_range_board,$B197,date_range_board,N196),"0.0%"))),"")</f>
        <v>95.1%</v>
      </c>
    </row>
    <row r="198" spans="1:14" ht="15" customHeight="1" x14ac:dyDescent="0.2">
      <c r="A198" s="132"/>
      <c r="B198" s="152" t="s">
        <v>418</v>
      </c>
      <c r="C198" s="165" t="str">
        <f ca="1">IFERROR(IF(ISNUMBER(FIND("ED only",$B$4)),IF(LEFT($B$7,6)="Number",SUMIFS(Comparison_Lookup,site_level_range_board,$B198,date_range_board,C196,inputdata!$F:$F,"ED"),TEXT(SUMIFS(Comparison_Lookup,site_level_range_board,$B198,date_range_board,C196,inputdata!$F:$F,"ED")/SUMIFS(All_Attendances,site_level_range_board,$B198,date_range_board,C196,inputdata!$F:$F,"ED"),"0.0%")),IF(LEFT($B$7,6)="Number",SUMIFS(Comparison_Lookup,site_level_range_board,$B198,date_range_board,C196),TEXT(SUMIFS(Comparison_Lookup,site_level_range_board,$B198,date_range_board,C196)/SUMIFS(All_Attendances,site_level_range_board,$B198,date_range_board,C196),"0.0%"))),"")</f>
        <v>98.7%</v>
      </c>
      <c r="D198" s="165" t="str">
        <f ca="1">IFERROR(IF(ISNUMBER(FIND("ED only",$B$4)),IF(LEFT($B$7,6)="Number",SUMIFS(Comparison_Lookup,site_level_range_board,$B198,date_range_board,D196,inputdata!$F:$F,"ED"),TEXT(SUMIFS(Comparison_Lookup,site_level_range_board,$B198,date_range_board,D196,inputdata!$F:$F,"ED")/SUMIFS(All_Attendances,site_level_range_board,$B198,date_range_board,D196,inputdata!$F:$F,"ED"),"0.0%")),IF(LEFT($B$7,6)="Number",SUMIFS(Comparison_Lookup,site_level_range_board,$B198,date_range_board,D196),TEXT(SUMIFS(Comparison_Lookup,site_level_range_board,$B198,date_range_board,D196)/SUMIFS(All_Attendances,site_level_range_board,$B198,date_range_board,D196),"0.0%"))),"")</f>
        <v>97.8%</v>
      </c>
      <c r="E198" s="165" t="str">
        <f ca="1">IFERROR(IF(ISNUMBER(FIND("ED only",$B$4)),IF(LEFT($B$7,6)="Number",SUMIFS(Comparison_Lookup,site_level_range_board,$B198,date_range_board,E196,inputdata!$F:$F,"ED"),TEXT(SUMIFS(Comparison_Lookup,site_level_range_board,$B198,date_range_board,E196,inputdata!$F:$F,"ED")/SUMIFS(All_Attendances,site_level_range_board,$B198,date_range_board,E196,inputdata!$F:$F,"ED"),"0.0%")),IF(LEFT($B$7,6)="Number",SUMIFS(Comparison_Lookup,site_level_range_board,$B198,date_range_board,E196),TEXT(SUMIFS(Comparison_Lookup,site_level_range_board,$B198,date_range_board,E196)/SUMIFS(All_Attendances,site_level_range_board,$B198,date_range_board,E196),"0.0%"))),"")</f>
        <v>98.9%</v>
      </c>
      <c r="F198" s="165" t="str">
        <f ca="1">IFERROR(IF(ISNUMBER(FIND("ED only",$B$4)),IF(LEFT($B$7,6)="Number",SUMIFS(Comparison_Lookup,site_level_range_board,$B198,date_range_board,F196,inputdata!$F:$F,"ED"),TEXT(SUMIFS(Comparison_Lookup,site_level_range_board,$B198,date_range_board,F196,inputdata!$F:$F,"ED")/SUMIFS(All_Attendances,site_level_range_board,$B198,date_range_board,F196,inputdata!$F:$F,"ED"),"0.0%")),IF(LEFT($B$7,6)="Number",SUMIFS(Comparison_Lookup,site_level_range_board,$B198,date_range_board,F196),TEXT(SUMIFS(Comparison_Lookup,site_level_range_board,$B198,date_range_board,F196)/SUMIFS(All_Attendances,site_level_range_board,$B198,date_range_board,F196),"0.0%"))),"")</f>
        <v>99.5%</v>
      </c>
      <c r="G198" s="165" t="str">
        <f ca="1">IFERROR(IF(ISNUMBER(FIND("ED only",$B$4)),IF(LEFT($B$7,6)="Number",SUMIFS(Comparison_Lookup,site_level_range_board,$B198,date_range_board,G196,inputdata!$F:$F,"ED"),TEXT(SUMIFS(Comparison_Lookup,site_level_range_board,$B198,date_range_board,G196,inputdata!$F:$F,"ED")/SUMIFS(All_Attendances,site_level_range_board,$B198,date_range_board,G196,inputdata!$F:$F,"ED"),"0.0%")),IF(LEFT($B$7,6)="Number",SUMIFS(Comparison_Lookup,site_level_range_board,$B198,date_range_board,G196),TEXT(SUMIFS(Comparison_Lookup,site_level_range_board,$B198,date_range_board,G196)/SUMIFS(All_Attendances,site_level_range_board,$B198,date_range_board,G196),"0.0%"))),"")</f>
        <v>98.9%</v>
      </c>
      <c r="H198" s="165" t="str">
        <f ca="1">IFERROR(IF(ISNUMBER(FIND("ED only",$B$4)),IF(LEFT($B$7,6)="Number",SUMIFS(Comparison_Lookup,site_level_range_board,$B198,date_range_board,H196,inputdata!$F:$F,"ED"),TEXT(SUMIFS(Comparison_Lookup,site_level_range_board,$B198,date_range_board,H196,inputdata!$F:$F,"ED")/SUMIFS(All_Attendances,site_level_range_board,$B198,date_range_board,H196,inputdata!$F:$F,"ED"),"0.0%")),IF(LEFT($B$7,6)="Number",SUMIFS(Comparison_Lookup,site_level_range_board,$B198,date_range_board,H196),TEXT(SUMIFS(Comparison_Lookup,site_level_range_board,$B198,date_range_board,H196)/SUMIFS(All_Attendances,site_level_range_board,$B198,date_range_board,H196),"0.0%"))),"")</f>
        <v>97.6%</v>
      </c>
      <c r="I198" s="165" t="str">
        <f ca="1">IFERROR(IF(ISNUMBER(FIND("ED only",$B$4)),IF(LEFT($B$7,6)="Number",SUMIFS(Comparison_Lookup,site_level_range_board,$B198,date_range_board,I196,inputdata!$F:$F,"ED"),TEXT(SUMIFS(Comparison_Lookup,site_level_range_board,$B198,date_range_board,I196,inputdata!$F:$F,"ED")/SUMIFS(All_Attendances,site_level_range_board,$B198,date_range_board,I196,inputdata!$F:$F,"ED"),"0.0%")),IF(LEFT($B$7,6)="Number",SUMIFS(Comparison_Lookup,site_level_range_board,$B198,date_range_board,I196),TEXT(SUMIFS(Comparison_Lookup,site_level_range_board,$B198,date_range_board,I196)/SUMIFS(All_Attendances,site_level_range_board,$B198,date_range_board,I196),"0.0%"))),"")</f>
        <v>98.3%</v>
      </c>
      <c r="J198" s="165" t="str">
        <f ca="1">IFERROR(IF(ISNUMBER(FIND("ED only",$B$4)),IF(LEFT($B$7,6)="Number",SUMIFS(Comparison_Lookup,site_level_range_board,$B198,date_range_board,J196,inputdata!$F:$F,"ED"),TEXT(SUMIFS(Comparison_Lookup,site_level_range_board,$B198,date_range_board,J196,inputdata!$F:$F,"ED")/SUMIFS(All_Attendances,site_level_range_board,$B198,date_range_board,J196,inputdata!$F:$F,"ED"),"0.0%")),IF(LEFT($B$7,6)="Number",SUMIFS(Comparison_Lookup,site_level_range_board,$B198,date_range_board,J196),TEXT(SUMIFS(Comparison_Lookup,site_level_range_board,$B198,date_range_board,J196)/SUMIFS(All_Attendances,site_level_range_board,$B198,date_range_board,J196),"0.0%"))),"")</f>
        <v>99.1%</v>
      </c>
      <c r="K198" s="165" t="str">
        <f ca="1">IFERROR(IF(ISNUMBER(FIND("ED only",$B$4)),IF(LEFT($B$7,6)="Number",SUMIFS(Comparison_Lookup,site_level_range_board,$B198,date_range_board,K196,inputdata!$F:$F,"ED"),TEXT(SUMIFS(Comparison_Lookup,site_level_range_board,$B198,date_range_board,K196,inputdata!$F:$F,"ED")/SUMIFS(All_Attendances,site_level_range_board,$B198,date_range_board,K196,inputdata!$F:$F,"ED"),"0.0%")),IF(LEFT($B$7,6)="Number",SUMIFS(Comparison_Lookup,site_level_range_board,$B198,date_range_board,K196),TEXT(SUMIFS(Comparison_Lookup,site_level_range_board,$B198,date_range_board,K196)/SUMIFS(All_Attendances,site_level_range_board,$B198,date_range_board,K196),"0.0%"))),"")</f>
        <v>97.8%</v>
      </c>
      <c r="L198" s="165" t="str">
        <f ca="1">IFERROR(IF(ISNUMBER(FIND("ED only",$B$4)),IF(LEFT($B$7,6)="Number",SUMIFS(Comparison_Lookup,site_level_range_board,$B198,date_range_board,L196,inputdata!$F:$F,"ED"),TEXT(SUMIFS(Comparison_Lookup,site_level_range_board,$B198,date_range_board,L196,inputdata!$F:$F,"ED")/SUMIFS(All_Attendances,site_level_range_board,$B198,date_range_board,L196,inputdata!$F:$F,"ED"),"0.0%")),IF(LEFT($B$7,6)="Number",SUMIFS(Comparison_Lookup,site_level_range_board,$B198,date_range_board,L196),TEXT(SUMIFS(Comparison_Lookup,site_level_range_board,$B198,date_range_board,L196)/SUMIFS(All_Attendances,site_level_range_board,$B198,date_range_board,L196),"0.0%"))),"")</f>
        <v>96.3%</v>
      </c>
      <c r="M198" s="165" t="str">
        <f ca="1">IFERROR(IF(ISNUMBER(FIND("ED only",$B$4)),IF(LEFT($B$7,6)="Number",SUMIFS(Comparison_Lookup,site_level_range_board,$B198,date_range_board,M196,inputdata!$F:$F,"ED"),TEXT(SUMIFS(Comparison_Lookup,site_level_range_board,$B198,date_range_board,M196,inputdata!$F:$F,"ED")/SUMIFS(All_Attendances,site_level_range_board,$B198,date_range_board,M196,inputdata!$F:$F,"ED"),"0.0%")),IF(LEFT($B$7,6)="Number",SUMIFS(Comparison_Lookup,site_level_range_board,$B198,date_range_board,M196),TEXT(SUMIFS(Comparison_Lookup,site_level_range_board,$B198,date_range_board,M196)/SUMIFS(All_Attendances,site_level_range_board,$B198,date_range_board,M196),"0.0%"))),"")</f>
        <v>96.3%</v>
      </c>
      <c r="N198" s="171" t="str">
        <f ca="1">IFERROR(IF(ISNUMBER(FIND("ED only",$B$4)),IF(LEFT($B$7,6)="Number",SUMIFS(Comparison_Lookup,site_level_range_board,$B198,date_range_board,N196,inputdata!$F:$F,"ED"),TEXT(SUMIFS(Comparison_Lookup,site_level_range_board,$B198,date_range_board,N196,inputdata!$F:$F,"ED")/SUMIFS(All_Attendances,site_level_range_board,$B198,date_range_board,N196,inputdata!$F:$F,"ED"),"0.0%")),IF(LEFT($B$7,6)="Number",SUMIFS(Comparison_Lookup,site_level_range_board,$B198,date_range_board,N196),TEXT(SUMIFS(Comparison_Lookup,site_level_range_board,$B198,date_range_board,N196)/SUMIFS(All_Attendances,site_level_range_board,$B198,date_range_board,N196),"0.0%"))),"")</f>
        <v>96.4%</v>
      </c>
    </row>
    <row r="199" spans="1:14" ht="15" customHeight="1" x14ac:dyDescent="0.2">
      <c r="A199" s="132"/>
      <c r="B199" s="152" t="s">
        <v>429</v>
      </c>
      <c r="C199" s="165" t="str">
        <f ca="1">IFERROR(IF(ISNUMBER(FIND("ED only",$B$4)),IF(LEFT($B$7,6)="Number",SUMIFS(Comparison_Lookup,site_level_range_board,$B199,date_range_board,C196,inputdata!$F:$F,"ED"),TEXT(SUMIFS(Comparison_Lookup,site_level_range_board,$B199,date_range_board,C196,inputdata!$F:$F,"ED")/SUMIFS(All_Attendances,site_level_range_board,$B199,date_range_board,C196,inputdata!$F:$F,"ED"),"0.0%")),IF(LEFT($B$7,6)="Number",SUMIFS(Comparison_Lookup,site_level_range_board,$B199,date_range_board,C196),TEXT(SUMIFS(Comparison_Lookup,site_level_range_board,$B199,date_range_board,C196)/SUMIFS(All_Attendances,site_level_range_board,$B199,date_range_board,C196),"0.0%"))),"")</f>
        <v>96.0%</v>
      </c>
      <c r="D199" s="165" t="str">
        <f ca="1">IFERROR(IF(ISNUMBER(FIND("ED only",$B$4)),IF(LEFT($B$7,6)="Number",SUMIFS(Comparison_Lookup,site_level_range_board,$B199,date_range_board,D196,inputdata!$F:$F,"ED"),TEXT(SUMIFS(Comparison_Lookup,site_level_range_board,$B199,date_range_board,D196,inputdata!$F:$F,"ED")/SUMIFS(All_Attendances,site_level_range_board,$B199,date_range_board,D196,inputdata!$F:$F,"ED"),"0.0%")),IF(LEFT($B$7,6)="Number",SUMIFS(Comparison_Lookup,site_level_range_board,$B199,date_range_board,D196),TEXT(SUMIFS(Comparison_Lookup,site_level_range_board,$B199,date_range_board,D196)/SUMIFS(All_Attendances,site_level_range_board,$B199,date_range_board,D196),"0.0%"))),"")</f>
        <v>95.8%</v>
      </c>
      <c r="E199" s="165" t="str">
        <f ca="1">IFERROR(IF(ISNUMBER(FIND("ED only",$B$4)),IF(LEFT($B$7,6)="Number",SUMIFS(Comparison_Lookup,site_level_range_board,$B199,date_range_board,E196,inputdata!$F:$F,"ED"),TEXT(SUMIFS(Comparison_Lookup,site_level_range_board,$B199,date_range_board,E196,inputdata!$F:$F,"ED")/SUMIFS(All_Attendances,site_level_range_board,$B199,date_range_board,E196,inputdata!$F:$F,"ED"),"0.0%")),IF(LEFT($B$7,6)="Number",SUMIFS(Comparison_Lookup,site_level_range_board,$B199,date_range_board,E196),TEXT(SUMIFS(Comparison_Lookup,site_level_range_board,$B199,date_range_board,E196)/SUMIFS(All_Attendances,site_level_range_board,$B199,date_range_board,E196),"0.0%"))),"")</f>
        <v>96.3%</v>
      </c>
      <c r="F199" s="165" t="str">
        <f ca="1">IFERROR(IF(ISNUMBER(FIND("ED only",$B$4)),IF(LEFT($B$7,6)="Number",SUMIFS(Comparison_Lookup,site_level_range_board,$B199,date_range_board,F196,inputdata!$F:$F,"ED"),TEXT(SUMIFS(Comparison_Lookup,site_level_range_board,$B199,date_range_board,F196,inputdata!$F:$F,"ED")/SUMIFS(All_Attendances,site_level_range_board,$B199,date_range_board,F196,inputdata!$F:$F,"ED"),"0.0%")),IF(LEFT($B$7,6)="Number",SUMIFS(Comparison_Lookup,site_level_range_board,$B199,date_range_board,F196),TEXT(SUMIFS(Comparison_Lookup,site_level_range_board,$B199,date_range_board,F196)/SUMIFS(All_Attendances,site_level_range_board,$B199,date_range_board,F196),"0.0%"))),"")</f>
        <v>96.9%</v>
      </c>
      <c r="G199" s="165" t="str">
        <f ca="1">IFERROR(IF(ISNUMBER(FIND("ED only",$B$4)),IF(LEFT($B$7,6)="Number",SUMIFS(Comparison_Lookup,site_level_range_board,$B199,date_range_board,G196,inputdata!$F:$F,"ED"),TEXT(SUMIFS(Comparison_Lookup,site_level_range_board,$B199,date_range_board,G196,inputdata!$F:$F,"ED")/SUMIFS(All_Attendances,site_level_range_board,$B199,date_range_board,G196,inputdata!$F:$F,"ED"),"0.0%")),IF(LEFT($B$7,6)="Number",SUMIFS(Comparison_Lookup,site_level_range_board,$B199,date_range_board,G196),TEXT(SUMIFS(Comparison_Lookup,site_level_range_board,$B199,date_range_board,G196)/SUMIFS(All_Attendances,site_level_range_board,$B199,date_range_board,G196),"0.0%"))),"")</f>
        <v>96.2%</v>
      </c>
      <c r="H199" s="165" t="str">
        <f ca="1">IFERROR(IF(ISNUMBER(FIND("ED only",$B$4)),IF(LEFT($B$7,6)="Number",SUMIFS(Comparison_Lookup,site_level_range_board,$B199,date_range_board,H196,inputdata!$F:$F,"ED"),TEXT(SUMIFS(Comparison_Lookup,site_level_range_board,$B199,date_range_board,H196,inputdata!$F:$F,"ED")/SUMIFS(All_Attendances,site_level_range_board,$B199,date_range_board,H196,inputdata!$F:$F,"ED"),"0.0%")),IF(LEFT($B$7,6)="Number",SUMIFS(Comparison_Lookup,site_level_range_board,$B199,date_range_board,H196),TEXT(SUMIFS(Comparison_Lookup,site_level_range_board,$B199,date_range_board,H196)/SUMIFS(All_Attendances,site_level_range_board,$B199,date_range_board,H196),"0.0%"))),"")</f>
        <v>94.8%</v>
      </c>
      <c r="I199" s="165" t="str">
        <f ca="1">IFERROR(IF(ISNUMBER(FIND("ED only",$B$4)),IF(LEFT($B$7,6)="Number",SUMIFS(Comparison_Lookup,site_level_range_board,$B199,date_range_board,I196,inputdata!$F:$F,"ED"),TEXT(SUMIFS(Comparison_Lookup,site_level_range_board,$B199,date_range_board,I196,inputdata!$F:$F,"ED")/SUMIFS(All_Attendances,site_level_range_board,$B199,date_range_board,I196,inputdata!$F:$F,"ED"),"0.0%")),IF(LEFT($B$7,6)="Number",SUMIFS(Comparison_Lookup,site_level_range_board,$B199,date_range_board,I196),TEXT(SUMIFS(Comparison_Lookup,site_level_range_board,$B199,date_range_board,I196)/SUMIFS(All_Attendances,site_level_range_board,$B199,date_range_board,I196),"0.0%"))),"")</f>
        <v>96.9%</v>
      </c>
      <c r="J199" s="165" t="str">
        <f ca="1">IFERROR(IF(ISNUMBER(FIND("ED only",$B$4)),IF(LEFT($B$7,6)="Number",SUMIFS(Comparison_Lookup,site_level_range_board,$B199,date_range_board,J196,inputdata!$F:$F,"ED"),TEXT(SUMIFS(Comparison_Lookup,site_level_range_board,$B199,date_range_board,J196,inputdata!$F:$F,"ED")/SUMIFS(All_Attendances,site_level_range_board,$B199,date_range_board,J196,inputdata!$F:$F,"ED"),"0.0%")),IF(LEFT($B$7,6)="Number",SUMIFS(Comparison_Lookup,site_level_range_board,$B199,date_range_board,J196),TEXT(SUMIFS(Comparison_Lookup,site_level_range_board,$B199,date_range_board,J196)/SUMIFS(All_Attendances,site_level_range_board,$B199,date_range_board,J196),"0.0%"))),"")</f>
        <v>96.6%</v>
      </c>
      <c r="K199" s="165" t="str">
        <f ca="1">IFERROR(IF(ISNUMBER(FIND("ED only",$B$4)),IF(LEFT($B$7,6)="Number",SUMIFS(Comparison_Lookup,site_level_range_board,$B199,date_range_board,K196,inputdata!$F:$F,"ED"),TEXT(SUMIFS(Comparison_Lookup,site_level_range_board,$B199,date_range_board,K196,inputdata!$F:$F,"ED")/SUMIFS(All_Attendances,site_level_range_board,$B199,date_range_board,K196,inputdata!$F:$F,"ED"),"0.0%")),IF(LEFT($B$7,6)="Number",SUMIFS(Comparison_Lookup,site_level_range_board,$B199,date_range_board,K196),TEXT(SUMIFS(Comparison_Lookup,site_level_range_board,$B199,date_range_board,K196)/SUMIFS(All_Attendances,site_level_range_board,$B199,date_range_board,K196),"0.0%"))),"")</f>
        <v>96.2%</v>
      </c>
      <c r="L199" s="165" t="str">
        <f ca="1">IFERROR(IF(ISNUMBER(FIND("ED only",$B$4)),IF(LEFT($B$7,6)="Number",SUMIFS(Comparison_Lookup,site_level_range_board,$B199,date_range_board,L196,inputdata!$F:$F,"ED"),TEXT(SUMIFS(Comparison_Lookup,site_level_range_board,$B199,date_range_board,L196,inputdata!$F:$F,"ED")/SUMIFS(All_Attendances,site_level_range_board,$B199,date_range_board,L196,inputdata!$F:$F,"ED"),"0.0%")),IF(LEFT($B$7,6)="Number",SUMIFS(Comparison_Lookup,site_level_range_board,$B199,date_range_board,L196),TEXT(SUMIFS(Comparison_Lookup,site_level_range_board,$B199,date_range_board,L196)/SUMIFS(All_Attendances,site_level_range_board,$B199,date_range_board,L196),"0.0%"))),"")</f>
        <v>95.1%</v>
      </c>
      <c r="M199" s="165" t="str">
        <f ca="1">IFERROR(IF(ISNUMBER(FIND("ED only",$B$4)),IF(LEFT($B$7,6)="Number",SUMIFS(Comparison_Lookup,site_level_range_board,$B199,date_range_board,M196,inputdata!$F:$F,"ED"),TEXT(SUMIFS(Comparison_Lookup,site_level_range_board,$B199,date_range_board,M196,inputdata!$F:$F,"ED")/SUMIFS(All_Attendances,site_level_range_board,$B199,date_range_board,M196,inputdata!$F:$F,"ED"),"0.0%")),IF(LEFT($B$7,6)="Number",SUMIFS(Comparison_Lookup,site_level_range_board,$B199,date_range_board,M196),TEXT(SUMIFS(Comparison_Lookup,site_level_range_board,$B199,date_range_board,M196)/SUMIFS(All_Attendances,site_level_range_board,$B199,date_range_board,M196),"0.0%"))),"")</f>
        <v>95.6%</v>
      </c>
      <c r="N199" s="171" t="str">
        <f ca="1">IFERROR(IF(ISNUMBER(FIND("ED only",$B$4)),IF(LEFT($B$7,6)="Number",SUMIFS(Comparison_Lookup,site_level_range_board,$B199,date_range_board,N196,inputdata!$F:$F,"ED"),TEXT(SUMIFS(Comparison_Lookup,site_level_range_board,$B199,date_range_board,N196,inputdata!$F:$F,"ED")/SUMIFS(All_Attendances,site_level_range_board,$B199,date_range_board,N196,inputdata!$F:$F,"ED"),"0.0%")),IF(LEFT($B$7,6)="Number",SUMIFS(Comparison_Lookup,site_level_range_board,$B199,date_range_board,N196),TEXT(SUMIFS(Comparison_Lookup,site_level_range_board,$B199,date_range_board,N196)/SUMIFS(All_Attendances,site_level_range_board,$B199,date_range_board,N196),"0.0%"))),"")</f>
        <v>94.1%</v>
      </c>
    </row>
    <row r="200" spans="1:14" ht="15" customHeight="1" x14ac:dyDescent="0.2">
      <c r="A200" s="132"/>
      <c r="B200" s="152" t="s">
        <v>442</v>
      </c>
      <c r="C200" s="165" t="str">
        <f ca="1">IFERROR(IF(ISNUMBER(FIND("ED only",$B$4)),IF(LEFT($B$7,6)="Number",SUMIFS(Comparison_Lookup,site_level_range_board,$B200,date_range_board,C196,inputdata!$F:$F,"ED"),TEXT(SUMIFS(Comparison_Lookup,site_level_range_board,$B200,date_range_board,C196,inputdata!$F:$F,"ED")/SUMIFS(All_Attendances,site_level_range_board,$B200,date_range_board,C196,inputdata!$F:$F,"ED"),"0.0%")),IF(LEFT($B$7,6)="Number",SUMIFS(Comparison_Lookup,site_level_range_board,$B200,date_range_board,C196),TEXT(SUMIFS(Comparison_Lookup,site_level_range_board,$B200,date_range_board,C196)/SUMIFS(All_Attendances,site_level_range_board,$B200,date_range_board,C196),"0.0%"))),"")</f>
        <v>90.3%</v>
      </c>
      <c r="D200" s="165" t="str">
        <f ca="1">IFERROR(IF(ISNUMBER(FIND("ED only",$B$4)),IF(LEFT($B$7,6)="Number",SUMIFS(Comparison_Lookup,site_level_range_board,$B200,date_range_board,D196,inputdata!$F:$F,"ED"),TEXT(SUMIFS(Comparison_Lookup,site_level_range_board,$B200,date_range_board,D196,inputdata!$F:$F,"ED")/SUMIFS(All_Attendances,site_level_range_board,$B200,date_range_board,D196,inputdata!$F:$F,"ED"),"0.0%")),IF(LEFT($B$7,6)="Number",SUMIFS(Comparison_Lookup,site_level_range_board,$B200,date_range_board,D196),TEXT(SUMIFS(Comparison_Lookup,site_level_range_board,$B200,date_range_board,D196)/SUMIFS(All_Attendances,site_level_range_board,$B200,date_range_board,D196),"0.0%"))),"")</f>
        <v>92.9%</v>
      </c>
      <c r="E200" s="165" t="str">
        <f ca="1">IFERROR(IF(ISNUMBER(FIND("ED only",$B$4)),IF(LEFT($B$7,6)="Number",SUMIFS(Comparison_Lookup,site_level_range_board,$B200,date_range_board,E196,inputdata!$F:$F,"ED"),TEXT(SUMIFS(Comparison_Lookup,site_level_range_board,$B200,date_range_board,E196,inputdata!$F:$F,"ED")/SUMIFS(All_Attendances,site_level_range_board,$B200,date_range_board,E196,inputdata!$F:$F,"ED"),"0.0%")),IF(LEFT($B$7,6)="Number",SUMIFS(Comparison_Lookup,site_level_range_board,$B200,date_range_board,E196),TEXT(SUMIFS(Comparison_Lookup,site_level_range_board,$B200,date_range_board,E196)/SUMIFS(All_Attendances,site_level_range_board,$B200,date_range_board,E196),"0.0%"))),"")</f>
        <v>92.9%</v>
      </c>
      <c r="F200" s="165" t="str">
        <f ca="1">IFERROR(IF(ISNUMBER(FIND("ED only",$B$4)),IF(LEFT($B$7,6)="Number",SUMIFS(Comparison_Lookup,site_level_range_board,$B200,date_range_board,F196,inputdata!$F:$F,"ED"),TEXT(SUMIFS(Comparison_Lookup,site_level_range_board,$B200,date_range_board,F196,inputdata!$F:$F,"ED")/SUMIFS(All_Attendances,site_level_range_board,$B200,date_range_board,F196,inputdata!$F:$F,"ED"),"0.0%")),IF(LEFT($B$7,6)="Number",SUMIFS(Comparison_Lookup,site_level_range_board,$B200,date_range_board,F196),TEXT(SUMIFS(Comparison_Lookup,site_level_range_board,$B200,date_range_board,F196)/SUMIFS(All_Attendances,site_level_range_board,$B200,date_range_board,F196),"0.0%"))),"")</f>
        <v>95.2%</v>
      </c>
      <c r="G200" s="165" t="str">
        <f ca="1">IFERROR(IF(ISNUMBER(FIND("ED only",$B$4)),IF(LEFT($B$7,6)="Number",SUMIFS(Comparison_Lookup,site_level_range_board,$B200,date_range_board,G196,inputdata!$F:$F,"ED"),TEXT(SUMIFS(Comparison_Lookup,site_level_range_board,$B200,date_range_board,G196,inputdata!$F:$F,"ED")/SUMIFS(All_Attendances,site_level_range_board,$B200,date_range_board,G196,inputdata!$F:$F,"ED"),"0.0%")),IF(LEFT($B$7,6)="Number",SUMIFS(Comparison_Lookup,site_level_range_board,$B200,date_range_board,G196),TEXT(SUMIFS(Comparison_Lookup,site_level_range_board,$B200,date_range_board,G196)/SUMIFS(All_Attendances,site_level_range_board,$B200,date_range_board,G196),"0.0%"))),"")</f>
        <v>95.8%</v>
      </c>
      <c r="H200" s="165" t="str">
        <f ca="1">IFERROR(IF(ISNUMBER(FIND("ED only",$B$4)),IF(LEFT($B$7,6)="Number",SUMIFS(Comparison_Lookup,site_level_range_board,$B200,date_range_board,H196,inputdata!$F:$F,"ED"),TEXT(SUMIFS(Comparison_Lookup,site_level_range_board,$B200,date_range_board,H196,inputdata!$F:$F,"ED")/SUMIFS(All_Attendances,site_level_range_board,$B200,date_range_board,H196,inputdata!$F:$F,"ED"),"0.0%")),IF(LEFT($B$7,6)="Number",SUMIFS(Comparison_Lookup,site_level_range_board,$B200,date_range_board,H196),TEXT(SUMIFS(Comparison_Lookup,site_level_range_board,$B200,date_range_board,H196)/SUMIFS(All_Attendances,site_level_range_board,$B200,date_range_board,H196),"0.0%"))),"")</f>
        <v>92.8%</v>
      </c>
      <c r="I200" s="165" t="str">
        <f ca="1">IFERROR(IF(ISNUMBER(FIND("ED only",$B$4)),IF(LEFT($B$7,6)="Number",SUMIFS(Comparison_Lookup,site_level_range_board,$B200,date_range_board,I196,inputdata!$F:$F,"ED"),TEXT(SUMIFS(Comparison_Lookup,site_level_range_board,$B200,date_range_board,I196,inputdata!$F:$F,"ED")/SUMIFS(All_Attendances,site_level_range_board,$B200,date_range_board,I196,inputdata!$F:$F,"ED"),"0.0%")),IF(LEFT($B$7,6)="Number",SUMIFS(Comparison_Lookup,site_level_range_board,$B200,date_range_board,I196),TEXT(SUMIFS(Comparison_Lookup,site_level_range_board,$B200,date_range_board,I196)/SUMIFS(All_Attendances,site_level_range_board,$B200,date_range_board,I196),"0.0%"))),"")</f>
        <v>92.1%</v>
      </c>
      <c r="J200" s="165" t="str">
        <f ca="1">IFERROR(IF(ISNUMBER(FIND("ED only",$B$4)),IF(LEFT($B$7,6)="Number",SUMIFS(Comparison_Lookup,site_level_range_board,$B200,date_range_board,J196,inputdata!$F:$F,"ED"),TEXT(SUMIFS(Comparison_Lookup,site_level_range_board,$B200,date_range_board,J196,inputdata!$F:$F,"ED")/SUMIFS(All_Attendances,site_level_range_board,$B200,date_range_board,J196,inputdata!$F:$F,"ED"),"0.0%")),IF(LEFT($B$7,6)="Number",SUMIFS(Comparison_Lookup,site_level_range_board,$B200,date_range_board,J196),TEXT(SUMIFS(Comparison_Lookup,site_level_range_board,$B200,date_range_board,J196)/SUMIFS(All_Attendances,site_level_range_board,$B200,date_range_board,J196),"0.0%"))),"")</f>
        <v>92.5%</v>
      </c>
      <c r="K200" s="165" t="str">
        <f ca="1">IFERROR(IF(ISNUMBER(FIND("ED only",$B$4)),IF(LEFT($B$7,6)="Number",SUMIFS(Comparison_Lookup,site_level_range_board,$B200,date_range_board,K196,inputdata!$F:$F,"ED"),TEXT(SUMIFS(Comparison_Lookup,site_level_range_board,$B200,date_range_board,K196,inputdata!$F:$F,"ED")/SUMIFS(All_Attendances,site_level_range_board,$B200,date_range_board,K196,inputdata!$F:$F,"ED"),"0.0%")),IF(LEFT($B$7,6)="Number",SUMIFS(Comparison_Lookup,site_level_range_board,$B200,date_range_board,K196),TEXT(SUMIFS(Comparison_Lookup,site_level_range_board,$B200,date_range_board,K196)/SUMIFS(All_Attendances,site_level_range_board,$B200,date_range_board,K196),"0.0%"))),"")</f>
        <v>84.4%</v>
      </c>
      <c r="L200" s="165" t="str">
        <f ca="1">IFERROR(IF(ISNUMBER(FIND("ED only",$B$4)),IF(LEFT($B$7,6)="Number",SUMIFS(Comparison_Lookup,site_level_range_board,$B200,date_range_board,L196,inputdata!$F:$F,"ED"),TEXT(SUMIFS(Comparison_Lookup,site_level_range_board,$B200,date_range_board,L196,inputdata!$F:$F,"ED")/SUMIFS(All_Attendances,site_level_range_board,$B200,date_range_board,L196,inputdata!$F:$F,"ED"),"0.0%")),IF(LEFT($B$7,6)="Number",SUMIFS(Comparison_Lookup,site_level_range_board,$B200,date_range_board,L196),TEXT(SUMIFS(Comparison_Lookup,site_level_range_board,$B200,date_range_board,L196)/SUMIFS(All_Attendances,site_level_range_board,$B200,date_range_board,L196),"0.0%"))),"")</f>
        <v>88.6%</v>
      </c>
      <c r="M200" s="165" t="str">
        <f ca="1">IFERROR(IF(ISNUMBER(FIND("ED only",$B$4)),IF(LEFT($B$7,6)="Number",SUMIFS(Comparison_Lookup,site_level_range_board,$B200,date_range_board,M196,inputdata!$F:$F,"ED"),TEXT(SUMIFS(Comparison_Lookup,site_level_range_board,$B200,date_range_board,M196,inputdata!$F:$F,"ED")/SUMIFS(All_Attendances,site_level_range_board,$B200,date_range_board,M196,inputdata!$F:$F,"ED"),"0.0%")),IF(LEFT($B$7,6)="Number",SUMIFS(Comparison_Lookup,site_level_range_board,$B200,date_range_board,M196),TEXT(SUMIFS(Comparison_Lookup,site_level_range_board,$B200,date_range_board,M196)/SUMIFS(All_Attendances,site_level_range_board,$B200,date_range_board,M196),"0.0%"))),"")</f>
        <v>88.5%</v>
      </c>
      <c r="N200" s="171" t="str">
        <f ca="1">IFERROR(IF(ISNUMBER(FIND("ED only",$B$4)),IF(LEFT($B$7,6)="Number",SUMIFS(Comparison_Lookup,site_level_range_board,$B200,date_range_board,N196,inputdata!$F:$F,"ED"),TEXT(SUMIFS(Comparison_Lookup,site_level_range_board,$B200,date_range_board,N196,inputdata!$F:$F,"ED")/SUMIFS(All_Attendances,site_level_range_board,$B200,date_range_board,N196,inputdata!$F:$F,"ED"),"0.0%")),IF(LEFT($B$7,6)="Number",SUMIFS(Comparison_Lookup,site_level_range_board,$B200,date_range_board,N196),TEXT(SUMIFS(Comparison_Lookup,site_level_range_board,$B200,date_range_board,N196)/SUMIFS(All_Attendances,site_level_range_board,$B200,date_range_board,N196),"0.0%"))),"")</f>
        <v>94.0%</v>
      </c>
    </row>
    <row r="201" spans="1:14" ht="15" customHeight="1" x14ac:dyDescent="0.2">
      <c r="A201" s="132"/>
      <c r="B201" s="152" t="s">
        <v>451</v>
      </c>
      <c r="C201" s="165" t="str">
        <f ca="1">IFERROR(IF(ISNUMBER(FIND("ED only",$B$4)),IF(LEFT($B$7,6)="Number",SUMIFS(Comparison_Lookup,site_level_range_board,$B201,date_range_board,C196,inputdata!$F:$F,"ED"),TEXT(SUMIFS(Comparison_Lookup,site_level_range_board,$B201,date_range_board,C196,inputdata!$F:$F,"ED")/SUMIFS(All_Attendances,site_level_range_board,$B201,date_range_board,C196,inputdata!$F:$F,"ED"),"0.0%")),IF(LEFT($B$7,6)="Number",SUMIFS(Comparison_Lookup,site_level_range_board,$B201,date_range_board,C196),TEXT(SUMIFS(Comparison_Lookup,site_level_range_board,$B201,date_range_board,C196)/SUMIFS(All_Attendances,site_level_range_board,$B201,date_range_board,C196),"0.0%"))),"")</f>
        <v>95.3%</v>
      </c>
      <c r="D201" s="165" t="str">
        <f ca="1">IFERROR(IF(ISNUMBER(FIND("ED only",$B$4)),IF(LEFT($B$7,6)="Number",SUMIFS(Comparison_Lookup,site_level_range_board,$B201,date_range_board,D196,inputdata!$F:$F,"ED"),TEXT(SUMIFS(Comparison_Lookup,site_level_range_board,$B201,date_range_board,D196,inputdata!$F:$F,"ED")/SUMIFS(All_Attendances,site_level_range_board,$B201,date_range_board,D196,inputdata!$F:$F,"ED"),"0.0%")),IF(LEFT($B$7,6)="Number",SUMIFS(Comparison_Lookup,site_level_range_board,$B201,date_range_board,D196),TEXT(SUMIFS(Comparison_Lookup,site_level_range_board,$B201,date_range_board,D196)/SUMIFS(All_Attendances,site_level_range_board,$B201,date_range_board,D196),"0.0%"))),"")</f>
        <v>94.9%</v>
      </c>
      <c r="E201" s="165" t="str">
        <f ca="1">IFERROR(IF(ISNUMBER(FIND("ED only",$B$4)),IF(LEFT($B$7,6)="Number",SUMIFS(Comparison_Lookup,site_level_range_board,$B201,date_range_board,E196,inputdata!$F:$F,"ED"),TEXT(SUMIFS(Comparison_Lookup,site_level_range_board,$B201,date_range_board,E196,inputdata!$F:$F,"ED")/SUMIFS(All_Attendances,site_level_range_board,$B201,date_range_board,E196,inputdata!$F:$F,"ED"),"0.0%")),IF(LEFT($B$7,6)="Number",SUMIFS(Comparison_Lookup,site_level_range_board,$B201,date_range_board,E196),TEXT(SUMIFS(Comparison_Lookup,site_level_range_board,$B201,date_range_board,E196)/SUMIFS(All_Attendances,site_level_range_board,$B201,date_range_board,E196),"0.0%"))),"")</f>
        <v>94.1%</v>
      </c>
      <c r="F201" s="165" t="str">
        <f ca="1">IFERROR(IF(ISNUMBER(FIND("ED only",$B$4)),IF(LEFT($B$7,6)="Number",SUMIFS(Comparison_Lookup,site_level_range_board,$B201,date_range_board,F196,inputdata!$F:$F,"ED"),TEXT(SUMIFS(Comparison_Lookup,site_level_range_board,$B201,date_range_board,F196,inputdata!$F:$F,"ED")/SUMIFS(All_Attendances,site_level_range_board,$B201,date_range_board,F196,inputdata!$F:$F,"ED"),"0.0%")),IF(LEFT($B$7,6)="Number",SUMIFS(Comparison_Lookup,site_level_range_board,$B201,date_range_board,F196),TEXT(SUMIFS(Comparison_Lookup,site_level_range_board,$B201,date_range_board,F196)/SUMIFS(All_Attendances,site_level_range_board,$B201,date_range_board,F196),"0.0%"))),"")</f>
        <v>93.7%</v>
      </c>
      <c r="G201" s="165" t="str">
        <f ca="1">IFERROR(IF(ISNUMBER(FIND("ED only",$B$4)),IF(LEFT($B$7,6)="Number",SUMIFS(Comparison_Lookup,site_level_range_board,$B201,date_range_board,G196,inputdata!$F:$F,"ED"),TEXT(SUMIFS(Comparison_Lookup,site_level_range_board,$B201,date_range_board,G196,inputdata!$F:$F,"ED")/SUMIFS(All_Attendances,site_level_range_board,$B201,date_range_board,G196,inputdata!$F:$F,"ED"),"0.0%")),IF(LEFT($B$7,6)="Number",SUMIFS(Comparison_Lookup,site_level_range_board,$B201,date_range_board,G196),TEXT(SUMIFS(Comparison_Lookup,site_level_range_board,$B201,date_range_board,G196)/SUMIFS(All_Attendances,site_level_range_board,$B201,date_range_board,G196),"0.0%"))),"")</f>
        <v>94.9%</v>
      </c>
      <c r="H201" s="165" t="str">
        <f ca="1">IFERROR(IF(ISNUMBER(FIND("ED only",$B$4)),IF(LEFT($B$7,6)="Number",SUMIFS(Comparison_Lookup,site_level_range_board,$B201,date_range_board,H196,inputdata!$F:$F,"ED"),TEXT(SUMIFS(Comparison_Lookup,site_level_range_board,$B201,date_range_board,H196,inputdata!$F:$F,"ED")/SUMIFS(All_Attendances,site_level_range_board,$B201,date_range_board,H196,inputdata!$F:$F,"ED"),"0.0%")),IF(LEFT($B$7,6)="Number",SUMIFS(Comparison_Lookup,site_level_range_board,$B201,date_range_board,H196),TEXT(SUMIFS(Comparison_Lookup,site_level_range_board,$B201,date_range_board,H196)/SUMIFS(All_Attendances,site_level_range_board,$B201,date_range_board,H196),"0.0%"))),"")</f>
        <v>92.0%</v>
      </c>
      <c r="I201" s="165" t="str">
        <f ca="1">IFERROR(IF(ISNUMBER(FIND("ED only",$B$4)),IF(LEFT($B$7,6)="Number",SUMIFS(Comparison_Lookup,site_level_range_board,$B201,date_range_board,I196,inputdata!$F:$F,"ED"),TEXT(SUMIFS(Comparison_Lookup,site_level_range_board,$B201,date_range_board,I196,inputdata!$F:$F,"ED")/SUMIFS(All_Attendances,site_level_range_board,$B201,date_range_board,I196,inputdata!$F:$F,"ED"),"0.0%")),IF(LEFT($B$7,6)="Number",SUMIFS(Comparison_Lookup,site_level_range_board,$B201,date_range_board,I196),TEXT(SUMIFS(Comparison_Lookup,site_level_range_board,$B201,date_range_board,I196)/SUMIFS(All_Attendances,site_level_range_board,$B201,date_range_board,I196),"0.0%"))),"")</f>
        <v>95.1%</v>
      </c>
      <c r="J201" s="165" t="str">
        <f ca="1">IFERROR(IF(ISNUMBER(FIND("ED only",$B$4)),IF(LEFT($B$7,6)="Number",SUMIFS(Comparison_Lookup,site_level_range_board,$B201,date_range_board,J196,inputdata!$F:$F,"ED"),TEXT(SUMIFS(Comparison_Lookup,site_level_range_board,$B201,date_range_board,J196,inputdata!$F:$F,"ED")/SUMIFS(All_Attendances,site_level_range_board,$B201,date_range_board,J196,inputdata!$F:$F,"ED"),"0.0%")),IF(LEFT($B$7,6)="Number",SUMIFS(Comparison_Lookup,site_level_range_board,$B201,date_range_board,J196),TEXT(SUMIFS(Comparison_Lookup,site_level_range_board,$B201,date_range_board,J196)/SUMIFS(All_Attendances,site_level_range_board,$B201,date_range_board,J196),"0.0%"))),"")</f>
        <v>97.5%</v>
      </c>
      <c r="K201" s="165" t="str">
        <f ca="1">IFERROR(IF(ISNUMBER(FIND("ED only",$B$4)),IF(LEFT($B$7,6)="Number",SUMIFS(Comparison_Lookup,site_level_range_board,$B201,date_range_board,K196,inputdata!$F:$F,"ED"),TEXT(SUMIFS(Comparison_Lookup,site_level_range_board,$B201,date_range_board,K196,inputdata!$F:$F,"ED")/SUMIFS(All_Attendances,site_level_range_board,$B201,date_range_board,K196,inputdata!$F:$F,"ED"),"0.0%")),IF(LEFT($B$7,6)="Number",SUMIFS(Comparison_Lookup,site_level_range_board,$B201,date_range_board,K196),TEXT(SUMIFS(Comparison_Lookup,site_level_range_board,$B201,date_range_board,K196)/SUMIFS(All_Attendances,site_level_range_board,$B201,date_range_board,K196),"0.0%"))),"")</f>
        <v>93.7%</v>
      </c>
      <c r="L201" s="165" t="str">
        <f ca="1">IFERROR(IF(ISNUMBER(FIND("ED only",$B$4)),IF(LEFT($B$7,6)="Number",SUMIFS(Comparison_Lookup,site_level_range_board,$B201,date_range_board,L196,inputdata!$F:$F,"ED"),TEXT(SUMIFS(Comparison_Lookup,site_level_range_board,$B201,date_range_board,L196,inputdata!$F:$F,"ED")/SUMIFS(All_Attendances,site_level_range_board,$B201,date_range_board,L196,inputdata!$F:$F,"ED"),"0.0%")),IF(LEFT($B$7,6)="Number",SUMIFS(Comparison_Lookup,site_level_range_board,$B201,date_range_board,L196),TEXT(SUMIFS(Comparison_Lookup,site_level_range_board,$B201,date_range_board,L196)/SUMIFS(All_Attendances,site_level_range_board,$B201,date_range_board,L196),"0.0%"))),"")</f>
        <v>93.9%</v>
      </c>
      <c r="M201" s="165" t="str">
        <f ca="1">IFERROR(IF(ISNUMBER(FIND("ED only",$B$4)),IF(LEFT($B$7,6)="Number",SUMIFS(Comparison_Lookup,site_level_range_board,$B201,date_range_board,M196,inputdata!$F:$F,"ED"),TEXT(SUMIFS(Comparison_Lookup,site_level_range_board,$B201,date_range_board,M196,inputdata!$F:$F,"ED")/SUMIFS(All_Attendances,site_level_range_board,$B201,date_range_board,M196,inputdata!$F:$F,"ED"),"0.0%")),IF(LEFT($B$7,6)="Number",SUMIFS(Comparison_Lookup,site_level_range_board,$B201,date_range_board,M196),TEXT(SUMIFS(Comparison_Lookup,site_level_range_board,$B201,date_range_board,M196)/SUMIFS(All_Attendances,site_level_range_board,$B201,date_range_board,M196),"0.0%"))),"")</f>
        <v>93.7%</v>
      </c>
      <c r="N201" s="171" t="str">
        <f ca="1">IFERROR(IF(ISNUMBER(FIND("ED only",$B$4)),IF(LEFT($B$7,6)="Number",SUMIFS(Comparison_Lookup,site_level_range_board,$B201,date_range_board,N196,inputdata!$F:$F,"ED"),TEXT(SUMIFS(Comparison_Lookup,site_level_range_board,$B201,date_range_board,N196,inputdata!$F:$F,"ED")/SUMIFS(All_Attendances,site_level_range_board,$B201,date_range_board,N196,inputdata!$F:$F,"ED"),"0.0%")),IF(LEFT($B$7,6)="Number",SUMIFS(Comparison_Lookup,site_level_range_board,$B201,date_range_board,N196),TEXT(SUMIFS(Comparison_Lookup,site_level_range_board,$B201,date_range_board,N196)/SUMIFS(All_Attendances,site_level_range_board,$B201,date_range_board,N196),"0.0%"))),"")</f>
        <v>92.3%</v>
      </c>
    </row>
    <row r="202" spans="1:14" ht="15" customHeight="1" x14ac:dyDescent="0.2">
      <c r="A202" s="132"/>
      <c r="B202" s="152" t="s">
        <v>456</v>
      </c>
      <c r="C202" s="165" t="str">
        <f ca="1">IFERROR(IF(ISNUMBER(FIND("ED only",$B$4)),IF(LEFT($B$7,6)="Number",SUMIFS(Comparison_Lookup,site_level_range_board,$B202,date_range_board,C196,inputdata!$F:$F,"ED"),TEXT(SUMIFS(Comparison_Lookup,site_level_range_board,$B202,date_range_board,C196,inputdata!$F:$F,"ED")/SUMIFS(All_Attendances,site_level_range_board,$B202,date_range_board,C196,inputdata!$F:$F,"ED"),"0.0%")),IF(LEFT($B$7,6)="Number",SUMIFS(Comparison_Lookup,site_level_range_board,$B202,date_range_board,C196),TEXT(SUMIFS(Comparison_Lookup,site_level_range_board,$B202,date_range_board,C196)/SUMIFS(All_Attendances,site_level_range_board,$B202,date_range_board,C196),"0.0%"))),"")</f>
        <v>98.2%</v>
      </c>
      <c r="D202" s="165" t="str">
        <f ca="1">IFERROR(IF(ISNUMBER(FIND("ED only",$B$4)),IF(LEFT($B$7,6)="Number",SUMIFS(Comparison_Lookup,site_level_range_board,$B202,date_range_board,D196,inputdata!$F:$F,"ED"),TEXT(SUMIFS(Comparison_Lookup,site_level_range_board,$B202,date_range_board,D196,inputdata!$F:$F,"ED")/SUMIFS(All_Attendances,site_level_range_board,$B202,date_range_board,D196,inputdata!$F:$F,"ED"),"0.0%")),IF(LEFT($B$7,6)="Number",SUMIFS(Comparison_Lookup,site_level_range_board,$B202,date_range_board,D196),TEXT(SUMIFS(Comparison_Lookup,site_level_range_board,$B202,date_range_board,D196)/SUMIFS(All_Attendances,site_level_range_board,$B202,date_range_board,D196),"0.0%"))),"")</f>
        <v>98.2%</v>
      </c>
      <c r="E202" s="165" t="str">
        <f ca="1">IFERROR(IF(ISNUMBER(FIND("ED only",$B$4)),IF(LEFT($B$7,6)="Number",SUMIFS(Comparison_Lookup,site_level_range_board,$B202,date_range_board,E196,inputdata!$F:$F,"ED"),TEXT(SUMIFS(Comparison_Lookup,site_level_range_board,$B202,date_range_board,E196,inputdata!$F:$F,"ED")/SUMIFS(All_Attendances,site_level_range_board,$B202,date_range_board,E196,inputdata!$F:$F,"ED"),"0.0%")),IF(LEFT($B$7,6)="Number",SUMIFS(Comparison_Lookup,site_level_range_board,$B202,date_range_board,E196),TEXT(SUMIFS(Comparison_Lookup,site_level_range_board,$B202,date_range_board,E196)/SUMIFS(All_Attendances,site_level_range_board,$B202,date_range_board,E196),"0.0%"))),"")</f>
        <v>98.1%</v>
      </c>
      <c r="F202" s="165" t="str">
        <f ca="1">IFERROR(IF(ISNUMBER(FIND("ED only",$B$4)),IF(LEFT($B$7,6)="Number",SUMIFS(Comparison_Lookup,site_level_range_board,$B202,date_range_board,F196,inputdata!$F:$F,"ED"),TEXT(SUMIFS(Comparison_Lookup,site_level_range_board,$B202,date_range_board,F196,inputdata!$F:$F,"ED")/SUMIFS(All_Attendances,site_level_range_board,$B202,date_range_board,F196,inputdata!$F:$F,"ED"),"0.0%")),IF(LEFT($B$7,6)="Number",SUMIFS(Comparison_Lookup,site_level_range_board,$B202,date_range_board,F196),TEXT(SUMIFS(Comparison_Lookup,site_level_range_board,$B202,date_range_board,F196)/SUMIFS(All_Attendances,site_level_range_board,$B202,date_range_board,F196),"0.0%"))),"")</f>
        <v>98.4%</v>
      </c>
      <c r="G202" s="165" t="str">
        <f ca="1">IFERROR(IF(ISNUMBER(FIND("ED only",$B$4)),IF(LEFT($B$7,6)="Number",SUMIFS(Comparison_Lookup,site_level_range_board,$B202,date_range_board,G196,inputdata!$F:$F,"ED"),TEXT(SUMIFS(Comparison_Lookup,site_level_range_board,$B202,date_range_board,G196,inputdata!$F:$F,"ED")/SUMIFS(All_Attendances,site_level_range_board,$B202,date_range_board,G196,inputdata!$F:$F,"ED"),"0.0%")),IF(LEFT($B$7,6)="Number",SUMIFS(Comparison_Lookup,site_level_range_board,$B202,date_range_board,G196),TEXT(SUMIFS(Comparison_Lookup,site_level_range_board,$B202,date_range_board,G196)/SUMIFS(All_Attendances,site_level_range_board,$B202,date_range_board,G196),"0.0%"))),"")</f>
        <v>97.7%</v>
      </c>
      <c r="H202" s="165" t="str">
        <f ca="1">IFERROR(IF(ISNUMBER(FIND("ED only",$B$4)),IF(LEFT($B$7,6)="Number",SUMIFS(Comparison_Lookup,site_level_range_board,$B202,date_range_board,H196,inputdata!$F:$F,"ED"),TEXT(SUMIFS(Comparison_Lookup,site_level_range_board,$B202,date_range_board,H196,inputdata!$F:$F,"ED")/SUMIFS(All_Attendances,site_level_range_board,$B202,date_range_board,H196,inputdata!$F:$F,"ED"),"0.0%")),IF(LEFT($B$7,6)="Number",SUMIFS(Comparison_Lookup,site_level_range_board,$B202,date_range_board,H196),TEXT(SUMIFS(Comparison_Lookup,site_level_range_board,$B202,date_range_board,H196)/SUMIFS(All_Attendances,site_level_range_board,$B202,date_range_board,H196),"0.0%"))),"")</f>
        <v>97.2%</v>
      </c>
      <c r="I202" s="165" t="str">
        <f ca="1">IFERROR(IF(ISNUMBER(FIND("ED only",$B$4)),IF(LEFT($B$7,6)="Number",SUMIFS(Comparison_Lookup,site_level_range_board,$B202,date_range_board,I196,inputdata!$F:$F,"ED"),TEXT(SUMIFS(Comparison_Lookup,site_level_range_board,$B202,date_range_board,I196,inputdata!$F:$F,"ED")/SUMIFS(All_Attendances,site_level_range_board,$B202,date_range_board,I196,inputdata!$F:$F,"ED"),"0.0%")),IF(LEFT($B$7,6)="Number",SUMIFS(Comparison_Lookup,site_level_range_board,$B202,date_range_board,I196),TEXT(SUMIFS(Comparison_Lookup,site_level_range_board,$B202,date_range_board,I196)/SUMIFS(All_Attendances,site_level_range_board,$B202,date_range_board,I196),"0.0%"))),"")</f>
        <v>97.4%</v>
      </c>
      <c r="J202" s="165" t="str">
        <f ca="1">IFERROR(IF(ISNUMBER(FIND("ED only",$B$4)),IF(LEFT($B$7,6)="Number",SUMIFS(Comparison_Lookup,site_level_range_board,$B202,date_range_board,J196,inputdata!$F:$F,"ED"),TEXT(SUMIFS(Comparison_Lookup,site_level_range_board,$B202,date_range_board,J196,inputdata!$F:$F,"ED")/SUMIFS(All_Attendances,site_level_range_board,$B202,date_range_board,J196,inputdata!$F:$F,"ED"),"0.0%")),IF(LEFT($B$7,6)="Number",SUMIFS(Comparison_Lookup,site_level_range_board,$B202,date_range_board,J196),TEXT(SUMIFS(Comparison_Lookup,site_level_range_board,$B202,date_range_board,J196)/SUMIFS(All_Attendances,site_level_range_board,$B202,date_range_board,J196),"0.0%"))),"")</f>
        <v>97.5%</v>
      </c>
      <c r="K202" s="165" t="str">
        <f ca="1">IFERROR(IF(ISNUMBER(FIND("ED only",$B$4)),IF(LEFT($B$7,6)="Number",SUMIFS(Comparison_Lookup,site_level_range_board,$B202,date_range_board,K196,inputdata!$F:$F,"ED"),TEXT(SUMIFS(Comparison_Lookup,site_level_range_board,$B202,date_range_board,K196,inputdata!$F:$F,"ED")/SUMIFS(All_Attendances,site_level_range_board,$B202,date_range_board,K196,inputdata!$F:$F,"ED"),"0.0%")),IF(LEFT($B$7,6)="Number",SUMIFS(Comparison_Lookup,site_level_range_board,$B202,date_range_board,K196),TEXT(SUMIFS(Comparison_Lookup,site_level_range_board,$B202,date_range_board,K196)/SUMIFS(All_Attendances,site_level_range_board,$B202,date_range_board,K196),"0.0%"))),"")</f>
        <v>96.9%</v>
      </c>
      <c r="L202" s="165" t="str">
        <f ca="1">IFERROR(IF(ISNUMBER(FIND("ED only",$B$4)),IF(LEFT($B$7,6)="Number",SUMIFS(Comparison_Lookup,site_level_range_board,$B202,date_range_board,L196,inputdata!$F:$F,"ED"),TEXT(SUMIFS(Comparison_Lookup,site_level_range_board,$B202,date_range_board,L196,inputdata!$F:$F,"ED")/SUMIFS(All_Attendances,site_level_range_board,$B202,date_range_board,L196,inputdata!$F:$F,"ED"),"0.0%")),IF(LEFT($B$7,6)="Number",SUMIFS(Comparison_Lookup,site_level_range_board,$B202,date_range_board,L196),TEXT(SUMIFS(Comparison_Lookup,site_level_range_board,$B202,date_range_board,L196)/SUMIFS(All_Attendances,site_level_range_board,$B202,date_range_board,L196),"0.0%"))),"")</f>
        <v>95.6%</v>
      </c>
      <c r="M202" s="165" t="str">
        <f ca="1">IFERROR(IF(ISNUMBER(FIND("ED only",$B$4)),IF(LEFT($B$7,6)="Number",SUMIFS(Comparison_Lookup,site_level_range_board,$B202,date_range_board,M196,inputdata!$F:$F,"ED"),TEXT(SUMIFS(Comparison_Lookup,site_level_range_board,$B202,date_range_board,M196,inputdata!$F:$F,"ED")/SUMIFS(All_Attendances,site_level_range_board,$B202,date_range_board,M196,inputdata!$F:$F,"ED"),"0.0%")),IF(LEFT($B$7,6)="Number",SUMIFS(Comparison_Lookup,site_level_range_board,$B202,date_range_board,M196),TEXT(SUMIFS(Comparison_Lookup,site_level_range_board,$B202,date_range_board,M196)/SUMIFS(All_Attendances,site_level_range_board,$B202,date_range_board,M196),"0.0%"))),"")</f>
        <v>96.7%</v>
      </c>
      <c r="N202" s="171" t="str">
        <f ca="1">IFERROR(IF(ISNUMBER(FIND("ED only",$B$4)),IF(LEFT($B$7,6)="Number",SUMIFS(Comparison_Lookup,site_level_range_board,$B202,date_range_board,N196,inputdata!$F:$F,"ED"),TEXT(SUMIFS(Comparison_Lookup,site_level_range_board,$B202,date_range_board,N196,inputdata!$F:$F,"ED")/SUMIFS(All_Attendances,site_level_range_board,$B202,date_range_board,N196,inputdata!$F:$F,"ED"),"0.0%")),IF(LEFT($B$7,6)="Number",SUMIFS(Comparison_Lookup,site_level_range_board,$B202,date_range_board,N196),TEXT(SUMIFS(Comparison_Lookup,site_level_range_board,$B202,date_range_board,N196)/SUMIFS(All_Attendances,site_level_range_board,$B202,date_range_board,N196),"0.0%"))),"")</f>
        <v>97.1%</v>
      </c>
    </row>
    <row r="203" spans="1:14" ht="15" customHeight="1" x14ac:dyDescent="0.2">
      <c r="A203" s="132"/>
      <c r="B203" s="152" t="s">
        <v>491</v>
      </c>
      <c r="C203" s="165" t="str">
        <f ca="1">IFERROR(IF(ISNUMBER(FIND("ED only",$B$4)),IF(LEFT($B$7,6)="Number",SUMIFS(Comparison_Lookup,site_level_range_board,$B203,date_range_board,C196,inputdata!$F:$F,"ED"),TEXT(SUMIFS(Comparison_Lookup,site_level_range_board,$B203,date_range_board,C196,inputdata!$F:$F,"ED")/SUMIFS(All_Attendances,site_level_range_board,$B203,date_range_board,C196,inputdata!$F:$F,"ED"),"0.0%")),IF(LEFT($B$7,6)="Number",SUMIFS(Comparison_Lookup,site_level_range_board,$B203,date_range_board,C196),TEXT(SUMIFS(Comparison_Lookup,site_level_range_board,$B203,date_range_board,C196)/SUMIFS(All_Attendances,site_level_range_board,$B203,date_range_board,C196),"0.0%"))),"")</f>
        <v>94.9%</v>
      </c>
      <c r="D203" s="165" t="str">
        <f ca="1">IFERROR(IF(ISNUMBER(FIND("ED only",$B$4)),IF(LEFT($B$7,6)="Number",SUMIFS(Comparison_Lookup,site_level_range_board,$B203,date_range_board,D196,inputdata!$F:$F,"ED"),TEXT(SUMIFS(Comparison_Lookup,site_level_range_board,$B203,date_range_board,D196,inputdata!$F:$F,"ED")/SUMIFS(All_Attendances,site_level_range_board,$B203,date_range_board,D196,inputdata!$F:$F,"ED"),"0.0%")),IF(LEFT($B$7,6)="Number",SUMIFS(Comparison_Lookup,site_level_range_board,$B203,date_range_board,D196),TEXT(SUMIFS(Comparison_Lookup,site_level_range_board,$B203,date_range_board,D196)/SUMIFS(All_Attendances,site_level_range_board,$B203,date_range_board,D196),"0.0%"))),"")</f>
        <v>95.0%</v>
      </c>
      <c r="E203" s="165" t="str">
        <f ca="1">IFERROR(IF(ISNUMBER(FIND("ED only",$B$4)),IF(LEFT($B$7,6)="Number",SUMIFS(Comparison_Lookup,site_level_range_board,$B203,date_range_board,E196,inputdata!$F:$F,"ED"),TEXT(SUMIFS(Comparison_Lookup,site_level_range_board,$B203,date_range_board,E196,inputdata!$F:$F,"ED")/SUMIFS(All_Attendances,site_level_range_board,$B203,date_range_board,E196,inputdata!$F:$F,"ED"),"0.0%")),IF(LEFT($B$7,6)="Number",SUMIFS(Comparison_Lookup,site_level_range_board,$B203,date_range_board,E196),TEXT(SUMIFS(Comparison_Lookup,site_level_range_board,$B203,date_range_board,E196)/SUMIFS(All_Attendances,site_level_range_board,$B203,date_range_board,E196),"0.0%"))),"")</f>
        <v>95.6%</v>
      </c>
      <c r="F203" s="165" t="str">
        <f ca="1">IFERROR(IF(ISNUMBER(FIND("ED only",$B$4)),IF(LEFT($B$7,6)="Number",SUMIFS(Comparison_Lookup,site_level_range_board,$B203,date_range_board,F196,inputdata!$F:$F,"ED"),TEXT(SUMIFS(Comparison_Lookup,site_level_range_board,$B203,date_range_board,F196,inputdata!$F:$F,"ED")/SUMIFS(All_Attendances,site_level_range_board,$B203,date_range_board,F196,inputdata!$F:$F,"ED"),"0.0%")),IF(LEFT($B$7,6)="Number",SUMIFS(Comparison_Lookup,site_level_range_board,$B203,date_range_board,F196),TEXT(SUMIFS(Comparison_Lookup,site_level_range_board,$B203,date_range_board,F196)/SUMIFS(All_Attendances,site_level_range_board,$B203,date_range_board,F196),"0.0%"))),"")</f>
        <v>97.2%</v>
      </c>
      <c r="G203" s="165" t="str">
        <f ca="1">IFERROR(IF(ISNUMBER(FIND("ED only",$B$4)),IF(LEFT($B$7,6)="Number",SUMIFS(Comparison_Lookup,site_level_range_board,$B203,date_range_board,G196,inputdata!$F:$F,"ED"),TEXT(SUMIFS(Comparison_Lookup,site_level_range_board,$B203,date_range_board,G196,inputdata!$F:$F,"ED")/SUMIFS(All_Attendances,site_level_range_board,$B203,date_range_board,G196,inputdata!$F:$F,"ED"),"0.0%")),IF(LEFT($B$7,6)="Number",SUMIFS(Comparison_Lookup,site_level_range_board,$B203,date_range_board,G196),TEXT(SUMIFS(Comparison_Lookup,site_level_range_board,$B203,date_range_board,G196)/SUMIFS(All_Attendances,site_level_range_board,$B203,date_range_board,G196),"0.0%"))),"")</f>
        <v>97.1%</v>
      </c>
      <c r="H203" s="165" t="str">
        <f ca="1">IFERROR(IF(ISNUMBER(FIND("ED only",$B$4)),IF(LEFT($B$7,6)="Number",SUMIFS(Comparison_Lookup,site_level_range_board,$B203,date_range_board,H196,inputdata!$F:$F,"ED"),TEXT(SUMIFS(Comparison_Lookup,site_level_range_board,$B203,date_range_board,H196,inputdata!$F:$F,"ED")/SUMIFS(All_Attendances,site_level_range_board,$B203,date_range_board,H196,inputdata!$F:$F,"ED"),"0.0%")),IF(LEFT($B$7,6)="Number",SUMIFS(Comparison_Lookup,site_level_range_board,$B203,date_range_board,H196),TEXT(SUMIFS(Comparison_Lookup,site_level_range_board,$B203,date_range_board,H196)/SUMIFS(All_Attendances,site_level_range_board,$B203,date_range_board,H196),"0.0%"))),"")</f>
        <v>96.1%</v>
      </c>
      <c r="I203" s="165" t="str">
        <f ca="1">IFERROR(IF(ISNUMBER(FIND("ED only",$B$4)),IF(LEFT($B$7,6)="Number",SUMIFS(Comparison_Lookup,site_level_range_board,$B203,date_range_board,I196,inputdata!$F:$F,"ED"),TEXT(SUMIFS(Comparison_Lookup,site_level_range_board,$B203,date_range_board,I196,inputdata!$F:$F,"ED")/SUMIFS(All_Attendances,site_level_range_board,$B203,date_range_board,I196,inputdata!$F:$F,"ED"),"0.0%")),IF(LEFT($B$7,6)="Number",SUMIFS(Comparison_Lookup,site_level_range_board,$B203,date_range_board,I196),TEXT(SUMIFS(Comparison_Lookup,site_level_range_board,$B203,date_range_board,I196)/SUMIFS(All_Attendances,site_level_range_board,$B203,date_range_board,I196),"0.0%"))),"")</f>
        <v>94.7%</v>
      </c>
      <c r="J203" s="165" t="str">
        <f ca="1">IFERROR(IF(ISNUMBER(FIND("ED only",$B$4)),IF(LEFT($B$7,6)="Number",SUMIFS(Comparison_Lookup,site_level_range_board,$B203,date_range_board,J196,inputdata!$F:$F,"ED"),TEXT(SUMIFS(Comparison_Lookup,site_level_range_board,$B203,date_range_board,J196,inputdata!$F:$F,"ED")/SUMIFS(All_Attendances,site_level_range_board,$B203,date_range_board,J196,inputdata!$F:$F,"ED"),"0.0%")),IF(LEFT($B$7,6)="Number",SUMIFS(Comparison_Lookup,site_level_range_board,$B203,date_range_board,J196),TEXT(SUMIFS(Comparison_Lookup,site_level_range_board,$B203,date_range_board,J196)/SUMIFS(All_Attendances,site_level_range_board,$B203,date_range_board,J196),"0.0%"))),"")</f>
        <v>95.7%</v>
      </c>
      <c r="K203" s="165" t="str">
        <f ca="1">IFERROR(IF(ISNUMBER(FIND("ED only",$B$4)),IF(LEFT($B$7,6)="Number",SUMIFS(Comparison_Lookup,site_level_range_board,$B203,date_range_board,K196,inputdata!$F:$F,"ED"),TEXT(SUMIFS(Comparison_Lookup,site_level_range_board,$B203,date_range_board,K196,inputdata!$F:$F,"ED")/SUMIFS(All_Attendances,site_level_range_board,$B203,date_range_board,K196,inputdata!$F:$F,"ED"),"0.0%")),IF(LEFT($B$7,6)="Number",SUMIFS(Comparison_Lookup,site_level_range_board,$B203,date_range_board,K196),TEXT(SUMIFS(Comparison_Lookup,site_level_range_board,$B203,date_range_board,K196)/SUMIFS(All_Attendances,site_level_range_board,$B203,date_range_board,K196),"0.0%"))),"")</f>
        <v>94.9%</v>
      </c>
      <c r="L203" s="165" t="str">
        <f ca="1">IFERROR(IF(ISNUMBER(FIND("ED only",$B$4)),IF(LEFT($B$7,6)="Number",SUMIFS(Comparison_Lookup,site_level_range_board,$B203,date_range_board,L196,inputdata!$F:$F,"ED"),TEXT(SUMIFS(Comparison_Lookup,site_level_range_board,$B203,date_range_board,L196,inputdata!$F:$F,"ED")/SUMIFS(All_Attendances,site_level_range_board,$B203,date_range_board,L196,inputdata!$F:$F,"ED"),"0.0%")),IF(LEFT($B$7,6)="Number",SUMIFS(Comparison_Lookup,site_level_range_board,$B203,date_range_board,L196),TEXT(SUMIFS(Comparison_Lookup,site_level_range_board,$B203,date_range_board,L196)/SUMIFS(All_Attendances,site_level_range_board,$B203,date_range_board,L196),"0.0%"))),"")</f>
        <v>93.9%</v>
      </c>
      <c r="M203" s="165" t="str">
        <f ca="1">IFERROR(IF(ISNUMBER(FIND("ED only",$B$4)),IF(LEFT($B$7,6)="Number",SUMIFS(Comparison_Lookup,site_level_range_board,$B203,date_range_board,M196,inputdata!$F:$F,"ED"),TEXT(SUMIFS(Comparison_Lookup,site_level_range_board,$B203,date_range_board,M196,inputdata!$F:$F,"ED")/SUMIFS(All_Attendances,site_level_range_board,$B203,date_range_board,M196,inputdata!$F:$F,"ED"),"0.0%")),IF(LEFT($B$7,6)="Number",SUMIFS(Comparison_Lookup,site_level_range_board,$B203,date_range_board,M196),TEXT(SUMIFS(Comparison_Lookup,site_level_range_board,$B203,date_range_board,M196)/SUMIFS(All_Attendances,site_level_range_board,$B203,date_range_board,M196),"0.0%"))),"")</f>
        <v>94.4%</v>
      </c>
      <c r="N203" s="171" t="str">
        <f ca="1">IFERROR(IF(ISNUMBER(FIND("ED only",$B$4)),IF(LEFT($B$7,6)="Number",SUMIFS(Comparison_Lookup,site_level_range_board,$B203,date_range_board,N196,inputdata!$F:$F,"ED"),TEXT(SUMIFS(Comparison_Lookup,site_level_range_board,$B203,date_range_board,N196,inputdata!$F:$F,"ED")/SUMIFS(All_Attendances,site_level_range_board,$B203,date_range_board,N196,inputdata!$F:$F,"ED"),"0.0%")),IF(LEFT($B$7,6)="Number",SUMIFS(Comparison_Lookup,site_level_range_board,$B203,date_range_board,N196),TEXT(SUMIFS(Comparison_Lookup,site_level_range_board,$B203,date_range_board,N196)/SUMIFS(All_Attendances,site_level_range_board,$B203,date_range_board,N196),"0.0%"))),"")</f>
        <v>95.0%</v>
      </c>
    </row>
    <row r="204" spans="1:14" ht="15" customHeight="1" x14ac:dyDescent="0.2">
      <c r="A204" s="132"/>
      <c r="B204" s="152" t="s">
        <v>510</v>
      </c>
      <c r="C204" s="165" t="str">
        <f ca="1">IFERROR(IF(ISNUMBER(FIND("ED only",$B$4)),IF(LEFT($B$7,6)="Number",SUMIFS(Comparison_Lookup,site_level_range_board,$B204,date_range_board,C196,inputdata!$F:$F,"ED"),TEXT(SUMIFS(Comparison_Lookup,site_level_range_board,$B204,date_range_board,C196,inputdata!$F:$F,"ED")/SUMIFS(All_Attendances,site_level_range_board,$B204,date_range_board,C196,inputdata!$F:$F,"ED"),"0.0%")),IF(LEFT($B$7,6)="Number",SUMIFS(Comparison_Lookup,site_level_range_board,$B204,date_range_board,C196),TEXT(SUMIFS(Comparison_Lookup,site_level_range_board,$B204,date_range_board,C196)/SUMIFS(All_Attendances,site_level_range_board,$B204,date_range_board,C196),"0.0%"))),"")</f>
        <v>98.8%</v>
      </c>
      <c r="D204" s="165" t="str">
        <f ca="1">IFERROR(IF(ISNUMBER(FIND("ED only",$B$4)),IF(LEFT($B$7,6)="Number",SUMIFS(Comparison_Lookup,site_level_range_board,$B204,date_range_board,D196,inputdata!$F:$F,"ED"),TEXT(SUMIFS(Comparison_Lookup,site_level_range_board,$B204,date_range_board,D196,inputdata!$F:$F,"ED")/SUMIFS(All_Attendances,site_level_range_board,$B204,date_range_board,D196,inputdata!$F:$F,"ED"),"0.0%")),IF(LEFT($B$7,6)="Number",SUMIFS(Comparison_Lookup,site_level_range_board,$B204,date_range_board,D196),TEXT(SUMIFS(Comparison_Lookup,site_level_range_board,$B204,date_range_board,D196)/SUMIFS(All_Attendances,site_level_range_board,$B204,date_range_board,D196),"0.0%"))),"")</f>
        <v>98.8%</v>
      </c>
      <c r="E204" s="165" t="str">
        <f ca="1">IFERROR(IF(ISNUMBER(FIND("ED only",$B$4)),IF(LEFT($B$7,6)="Number",SUMIFS(Comparison_Lookup,site_level_range_board,$B204,date_range_board,E196,inputdata!$F:$F,"ED"),TEXT(SUMIFS(Comparison_Lookup,site_level_range_board,$B204,date_range_board,E196,inputdata!$F:$F,"ED")/SUMIFS(All_Attendances,site_level_range_board,$B204,date_range_board,E196,inputdata!$F:$F,"ED"),"0.0%")),IF(LEFT($B$7,6)="Number",SUMIFS(Comparison_Lookup,site_level_range_board,$B204,date_range_board,E196),TEXT(SUMIFS(Comparison_Lookup,site_level_range_board,$B204,date_range_board,E196)/SUMIFS(All_Attendances,site_level_range_board,$B204,date_range_board,E196),"0.0%"))),"")</f>
        <v>98.6%</v>
      </c>
      <c r="F204" s="165" t="str">
        <f ca="1">IFERROR(IF(ISNUMBER(FIND("ED only",$B$4)),IF(LEFT($B$7,6)="Number",SUMIFS(Comparison_Lookup,site_level_range_board,$B204,date_range_board,F196,inputdata!$F:$F,"ED"),TEXT(SUMIFS(Comparison_Lookup,site_level_range_board,$B204,date_range_board,F196,inputdata!$F:$F,"ED")/SUMIFS(All_Attendances,site_level_range_board,$B204,date_range_board,F196,inputdata!$F:$F,"ED"),"0.0%")),IF(LEFT($B$7,6)="Number",SUMIFS(Comparison_Lookup,site_level_range_board,$B204,date_range_board,F196),TEXT(SUMIFS(Comparison_Lookup,site_level_range_board,$B204,date_range_board,F196)/SUMIFS(All_Attendances,site_level_range_board,$B204,date_range_board,F196),"0.0%"))),"")</f>
        <v>99.0%</v>
      </c>
      <c r="G204" s="165" t="str">
        <f ca="1">IFERROR(IF(ISNUMBER(FIND("ED only",$B$4)),IF(LEFT($B$7,6)="Number",SUMIFS(Comparison_Lookup,site_level_range_board,$B204,date_range_board,G196,inputdata!$F:$F,"ED"),TEXT(SUMIFS(Comparison_Lookup,site_level_range_board,$B204,date_range_board,G196,inputdata!$F:$F,"ED")/SUMIFS(All_Attendances,site_level_range_board,$B204,date_range_board,G196,inputdata!$F:$F,"ED"),"0.0%")),IF(LEFT($B$7,6)="Number",SUMIFS(Comparison_Lookup,site_level_range_board,$B204,date_range_board,G196),TEXT(SUMIFS(Comparison_Lookup,site_level_range_board,$B204,date_range_board,G196)/SUMIFS(All_Attendances,site_level_range_board,$B204,date_range_board,G196),"0.0%"))),"")</f>
        <v>98.8%</v>
      </c>
      <c r="H204" s="165" t="str">
        <f ca="1">IFERROR(IF(ISNUMBER(FIND("ED only",$B$4)),IF(LEFT($B$7,6)="Number",SUMIFS(Comparison_Lookup,site_level_range_board,$B204,date_range_board,H196,inputdata!$F:$F,"ED"),TEXT(SUMIFS(Comparison_Lookup,site_level_range_board,$B204,date_range_board,H196,inputdata!$F:$F,"ED")/SUMIFS(All_Attendances,site_level_range_board,$B204,date_range_board,H196,inputdata!$F:$F,"ED"),"0.0%")),IF(LEFT($B$7,6)="Number",SUMIFS(Comparison_Lookup,site_level_range_board,$B204,date_range_board,H196),TEXT(SUMIFS(Comparison_Lookup,site_level_range_board,$B204,date_range_board,H196)/SUMIFS(All_Attendances,site_level_range_board,$B204,date_range_board,H196),"0.0%"))),"")</f>
        <v>98.7%</v>
      </c>
      <c r="I204" s="165" t="str">
        <f ca="1">IFERROR(IF(ISNUMBER(FIND("ED only",$B$4)),IF(LEFT($B$7,6)="Number",SUMIFS(Comparison_Lookup,site_level_range_board,$B204,date_range_board,I196,inputdata!$F:$F,"ED"),TEXT(SUMIFS(Comparison_Lookup,site_level_range_board,$B204,date_range_board,I196,inputdata!$F:$F,"ED")/SUMIFS(All_Attendances,site_level_range_board,$B204,date_range_board,I196,inputdata!$F:$F,"ED"),"0.0%")),IF(LEFT($B$7,6)="Number",SUMIFS(Comparison_Lookup,site_level_range_board,$B204,date_range_board,I196),TEXT(SUMIFS(Comparison_Lookup,site_level_range_board,$B204,date_range_board,I196)/SUMIFS(All_Attendances,site_level_range_board,$B204,date_range_board,I196),"0.0%"))),"")</f>
        <v>98.3%</v>
      </c>
      <c r="J204" s="165" t="str">
        <f ca="1">IFERROR(IF(ISNUMBER(FIND("ED only",$B$4)),IF(LEFT($B$7,6)="Number",SUMIFS(Comparison_Lookup,site_level_range_board,$B204,date_range_board,J196,inputdata!$F:$F,"ED"),TEXT(SUMIFS(Comparison_Lookup,site_level_range_board,$B204,date_range_board,J196,inputdata!$F:$F,"ED")/SUMIFS(All_Attendances,site_level_range_board,$B204,date_range_board,J196,inputdata!$F:$F,"ED"),"0.0%")),IF(LEFT($B$7,6)="Number",SUMIFS(Comparison_Lookup,site_level_range_board,$B204,date_range_board,J196),TEXT(SUMIFS(Comparison_Lookup,site_level_range_board,$B204,date_range_board,J196)/SUMIFS(All_Attendances,site_level_range_board,$B204,date_range_board,J196),"0.0%"))),"")</f>
        <v>98.8%</v>
      </c>
      <c r="K204" s="165" t="str">
        <f ca="1">IFERROR(IF(ISNUMBER(FIND("ED only",$B$4)),IF(LEFT($B$7,6)="Number",SUMIFS(Comparison_Lookup,site_level_range_board,$B204,date_range_board,K196,inputdata!$F:$F,"ED"),TEXT(SUMIFS(Comparison_Lookup,site_level_range_board,$B204,date_range_board,K196,inputdata!$F:$F,"ED")/SUMIFS(All_Attendances,site_level_range_board,$B204,date_range_board,K196,inputdata!$F:$F,"ED"),"0.0%")),IF(LEFT($B$7,6)="Number",SUMIFS(Comparison_Lookup,site_level_range_board,$B204,date_range_board,K196),TEXT(SUMIFS(Comparison_Lookup,site_level_range_board,$B204,date_range_board,K196)/SUMIFS(All_Attendances,site_level_range_board,$B204,date_range_board,K196),"0.0%"))),"")</f>
        <v>98.4%</v>
      </c>
      <c r="L204" s="165" t="str">
        <f ca="1">IFERROR(IF(ISNUMBER(FIND("ED only",$B$4)),IF(LEFT($B$7,6)="Number",SUMIFS(Comparison_Lookup,site_level_range_board,$B204,date_range_board,L196,inputdata!$F:$F,"ED"),TEXT(SUMIFS(Comparison_Lookup,site_level_range_board,$B204,date_range_board,L196,inputdata!$F:$F,"ED")/SUMIFS(All_Attendances,site_level_range_board,$B204,date_range_board,L196,inputdata!$F:$F,"ED"),"0.0%")),IF(LEFT($B$7,6)="Number",SUMIFS(Comparison_Lookup,site_level_range_board,$B204,date_range_board,L196),TEXT(SUMIFS(Comparison_Lookup,site_level_range_board,$B204,date_range_board,L196)/SUMIFS(All_Attendances,site_level_range_board,$B204,date_range_board,L196),"0.0%"))),"")</f>
        <v>98.2%</v>
      </c>
      <c r="M204" s="165" t="str">
        <f ca="1">IFERROR(IF(ISNUMBER(FIND("ED only",$B$4)),IF(LEFT($B$7,6)="Number",SUMIFS(Comparison_Lookup,site_level_range_board,$B204,date_range_board,M196,inputdata!$F:$F,"ED"),TEXT(SUMIFS(Comparison_Lookup,site_level_range_board,$B204,date_range_board,M196,inputdata!$F:$F,"ED")/SUMIFS(All_Attendances,site_level_range_board,$B204,date_range_board,M196,inputdata!$F:$F,"ED"),"0.0%")),IF(LEFT($B$7,6)="Number",SUMIFS(Comparison_Lookup,site_level_range_board,$B204,date_range_board,M196),TEXT(SUMIFS(Comparison_Lookup,site_level_range_board,$B204,date_range_board,M196)/SUMIFS(All_Attendances,site_level_range_board,$B204,date_range_board,M196),"0.0%"))),"")</f>
        <v>97.6%</v>
      </c>
      <c r="N204" s="171" t="str">
        <f ca="1">IFERROR(IF(ISNUMBER(FIND("ED only",$B$4)),IF(LEFT($B$7,6)="Number",SUMIFS(Comparison_Lookup,site_level_range_board,$B204,date_range_board,N196,inputdata!$F:$F,"ED"),TEXT(SUMIFS(Comparison_Lookup,site_level_range_board,$B204,date_range_board,N196,inputdata!$F:$F,"ED")/SUMIFS(All_Attendances,site_level_range_board,$B204,date_range_board,N196,inputdata!$F:$F,"ED"),"0.0%")),IF(LEFT($B$7,6)="Number",SUMIFS(Comparison_Lookup,site_level_range_board,$B204,date_range_board,N196),TEXT(SUMIFS(Comparison_Lookup,site_level_range_board,$B204,date_range_board,N196)/SUMIFS(All_Attendances,site_level_range_board,$B204,date_range_board,N196),"0.0%"))),"")</f>
        <v>98.4%</v>
      </c>
    </row>
    <row r="205" spans="1:14" ht="15" customHeight="1" x14ac:dyDescent="0.2">
      <c r="A205" s="132"/>
      <c r="B205" s="152" t="s">
        <v>551</v>
      </c>
      <c r="C205" s="165" t="str">
        <f ca="1">IFERROR(IF(ISNUMBER(FIND("ED only",$B$4)),IF(LEFT($B$7,6)="Number",SUMIFS(Comparison_Lookup,site_level_range_board,$B205,date_range_board,C196,inputdata!$F:$F,"ED"),TEXT(SUMIFS(Comparison_Lookup,site_level_range_board,$B205,date_range_board,C196,inputdata!$F:$F,"ED")/SUMIFS(All_Attendances,site_level_range_board,$B205,date_range_board,C196,inputdata!$F:$F,"ED"),"0.0%")),IF(LEFT($B$7,6)="Number",SUMIFS(Comparison_Lookup,site_level_range_board,$B205,date_range_board,C196),TEXT(SUMIFS(Comparison_Lookup,site_level_range_board,$B205,date_range_board,C196)/SUMIFS(All_Attendances,site_level_range_board,$B205,date_range_board,C196),"0.0%"))),"")</f>
        <v>93.1%</v>
      </c>
      <c r="D205" s="165" t="str">
        <f ca="1">IFERROR(IF(ISNUMBER(FIND("ED only",$B$4)),IF(LEFT($B$7,6)="Number",SUMIFS(Comparison_Lookup,site_level_range_board,$B205,date_range_board,D196,inputdata!$F:$F,"ED"),TEXT(SUMIFS(Comparison_Lookup,site_level_range_board,$B205,date_range_board,D196,inputdata!$F:$F,"ED")/SUMIFS(All_Attendances,site_level_range_board,$B205,date_range_board,D196,inputdata!$F:$F,"ED"),"0.0%")),IF(LEFT($B$7,6)="Number",SUMIFS(Comparison_Lookup,site_level_range_board,$B205,date_range_board,D196),TEXT(SUMIFS(Comparison_Lookup,site_level_range_board,$B205,date_range_board,D196)/SUMIFS(All_Attendances,site_level_range_board,$B205,date_range_board,D196),"0.0%"))),"")</f>
        <v>92.3%</v>
      </c>
      <c r="E205" s="165" t="str">
        <f ca="1">IFERROR(IF(ISNUMBER(FIND("ED only",$B$4)),IF(LEFT($B$7,6)="Number",SUMIFS(Comparison_Lookup,site_level_range_board,$B205,date_range_board,E196,inputdata!$F:$F,"ED"),TEXT(SUMIFS(Comparison_Lookup,site_level_range_board,$B205,date_range_board,E196,inputdata!$F:$F,"ED")/SUMIFS(All_Attendances,site_level_range_board,$B205,date_range_board,E196,inputdata!$F:$F,"ED"),"0.0%")),IF(LEFT($B$7,6)="Number",SUMIFS(Comparison_Lookup,site_level_range_board,$B205,date_range_board,E196),TEXT(SUMIFS(Comparison_Lookup,site_level_range_board,$B205,date_range_board,E196)/SUMIFS(All_Attendances,site_level_range_board,$B205,date_range_board,E196),"0.0%"))),"")</f>
        <v>92.6%</v>
      </c>
      <c r="F205" s="165" t="str">
        <f ca="1">IFERROR(IF(ISNUMBER(FIND("ED only",$B$4)),IF(LEFT($B$7,6)="Number",SUMIFS(Comparison_Lookup,site_level_range_board,$B205,date_range_board,F196,inputdata!$F:$F,"ED"),TEXT(SUMIFS(Comparison_Lookup,site_level_range_board,$B205,date_range_board,F196,inputdata!$F:$F,"ED")/SUMIFS(All_Attendances,site_level_range_board,$B205,date_range_board,F196,inputdata!$F:$F,"ED"),"0.0%")),IF(LEFT($B$7,6)="Number",SUMIFS(Comparison_Lookup,site_level_range_board,$B205,date_range_board,F196),TEXT(SUMIFS(Comparison_Lookup,site_level_range_board,$B205,date_range_board,F196)/SUMIFS(All_Attendances,site_level_range_board,$B205,date_range_board,F196),"0.0%"))),"")</f>
        <v>96.2%</v>
      </c>
      <c r="G205" s="165" t="str">
        <f ca="1">IFERROR(IF(ISNUMBER(FIND("ED only",$B$4)),IF(LEFT($B$7,6)="Number",SUMIFS(Comparison_Lookup,site_level_range_board,$B205,date_range_board,G196,inputdata!$F:$F,"ED"),TEXT(SUMIFS(Comparison_Lookup,site_level_range_board,$B205,date_range_board,G196,inputdata!$F:$F,"ED")/SUMIFS(All_Attendances,site_level_range_board,$B205,date_range_board,G196,inputdata!$F:$F,"ED"),"0.0%")),IF(LEFT($B$7,6)="Number",SUMIFS(Comparison_Lookup,site_level_range_board,$B205,date_range_board,G196),TEXT(SUMIFS(Comparison_Lookup,site_level_range_board,$B205,date_range_board,G196)/SUMIFS(All_Attendances,site_level_range_board,$B205,date_range_board,G196),"0.0%"))),"")</f>
        <v>94.8%</v>
      </c>
      <c r="H205" s="165" t="str">
        <f ca="1">IFERROR(IF(ISNUMBER(FIND("ED only",$B$4)),IF(LEFT($B$7,6)="Number",SUMIFS(Comparison_Lookup,site_level_range_board,$B205,date_range_board,H196,inputdata!$F:$F,"ED"),TEXT(SUMIFS(Comparison_Lookup,site_level_range_board,$B205,date_range_board,H196,inputdata!$F:$F,"ED")/SUMIFS(All_Attendances,site_level_range_board,$B205,date_range_board,H196,inputdata!$F:$F,"ED"),"0.0%")),IF(LEFT($B$7,6)="Number",SUMIFS(Comparison_Lookup,site_level_range_board,$B205,date_range_board,H196),TEXT(SUMIFS(Comparison_Lookup,site_level_range_board,$B205,date_range_board,H196)/SUMIFS(All_Attendances,site_level_range_board,$B205,date_range_board,H196),"0.0%"))),"")</f>
        <v>93.7%</v>
      </c>
      <c r="I205" s="165" t="str">
        <f ca="1">IFERROR(IF(ISNUMBER(FIND("ED only",$B$4)),IF(LEFT($B$7,6)="Number",SUMIFS(Comparison_Lookup,site_level_range_board,$B205,date_range_board,I196,inputdata!$F:$F,"ED"),TEXT(SUMIFS(Comparison_Lookup,site_level_range_board,$B205,date_range_board,I196,inputdata!$F:$F,"ED")/SUMIFS(All_Attendances,site_level_range_board,$B205,date_range_board,I196,inputdata!$F:$F,"ED"),"0.0%")),IF(LEFT($B$7,6)="Number",SUMIFS(Comparison_Lookup,site_level_range_board,$B205,date_range_board,I196),TEXT(SUMIFS(Comparison_Lookup,site_level_range_board,$B205,date_range_board,I196)/SUMIFS(All_Attendances,site_level_range_board,$B205,date_range_board,I196),"0.0%"))),"")</f>
        <v>95.2%</v>
      </c>
      <c r="J205" s="165" t="str">
        <f ca="1">IFERROR(IF(ISNUMBER(FIND("ED only",$B$4)),IF(LEFT($B$7,6)="Number",SUMIFS(Comparison_Lookup,site_level_range_board,$B205,date_range_board,J196,inputdata!$F:$F,"ED"),TEXT(SUMIFS(Comparison_Lookup,site_level_range_board,$B205,date_range_board,J196,inputdata!$F:$F,"ED")/SUMIFS(All_Attendances,site_level_range_board,$B205,date_range_board,J196,inputdata!$F:$F,"ED"),"0.0%")),IF(LEFT($B$7,6)="Number",SUMIFS(Comparison_Lookup,site_level_range_board,$B205,date_range_board,J196),TEXT(SUMIFS(Comparison_Lookup,site_level_range_board,$B205,date_range_board,J196)/SUMIFS(All_Attendances,site_level_range_board,$B205,date_range_board,J196),"0.0%"))),"")</f>
        <v>96.1%</v>
      </c>
      <c r="K205" s="165" t="str">
        <f ca="1">IFERROR(IF(ISNUMBER(FIND("ED only",$B$4)),IF(LEFT($B$7,6)="Number",SUMIFS(Comparison_Lookup,site_level_range_board,$B205,date_range_board,K196,inputdata!$F:$F,"ED"),TEXT(SUMIFS(Comparison_Lookup,site_level_range_board,$B205,date_range_board,K196,inputdata!$F:$F,"ED")/SUMIFS(All_Attendances,site_level_range_board,$B205,date_range_board,K196,inputdata!$F:$F,"ED"),"0.0%")),IF(LEFT($B$7,6)="Number",SUMIFS(Comparison_Lookup,site_level_range_board,$B205,date_range_board,K196),TEXT(SUMIFS(Comparison_Lookup,site_level_range_board,$B205,date_range_board,K196)/SUMIFS(All_Attendances,site_level_range_board,$B205,date_range_board,K196),"0.0%"))),"")</f>
        <v>95.0%</v>
      </c>
      <c r="L205" s="165" t="str">
        <f ca="1">IFERROR(IF(ISNUMBER(FIND("ED only",$B$4)),IF(LEFT($B$7,6)="Number",SUMIFS(Comparison_Lookup,site_level_range_board,$B205,date_range_board,L196,inputdata!$F:$F,"ED"),TEXT(SUMIFS(Comparison_Lookup,site_level_range_board,$B205,date_range_board,L196,inputdata!$F:$F,"ED")/SUMIFS(All_Attendances,site_level_range_board,$B205,date_range_board,L196,inputdata!$F:$F,"ED"),"0.0%")),IF(LEFT($B$7,6)="Number",SUMIFS(Comparison_Lookup,site_level_range_board,$B205,date_range_board,L196),TEXT(SUMIFS(Comparison_Lookup,site_level_range_board,$B205,date_range_board,L196)/SUMIFS(All_Attendances,site_level_range_board,$B205,date_range_board,L196),"0.0%"))),"")</f>
        <v>95.4%</v>
      </c>
      <c r="M205" s="165" t="str">
        <f ca="1">IFERROR(IF(ISNUMBER(FIND("ED only",$B$4)),IF(LEFT($B$7,6)="Number",SUMIFS(Comparison_Lookup,site_level_range_board,$B205,date_range_board,M196,inputdata!$F:$F,"ED"),TEXT(SUMIFS(Comparison_Lookup,site_level_range_board,$B205,date_range_board,M196,inputdata!$F:$F,"ED")/SUMIFS(All_Attendances,site_level_range_board,$B205,date_range_board,M196,inputdata!$F:$F,"ED"),"0.0%")),IF(LEFT($B$7,6)="Number",SUMIFS(Comparison_Lookup,site_level_range_board,$B205,date_range_board,M196),TEXT(SUMIFS(Comparison_Lookup,site_level_range_board,$B205,date_range_board,M196)/SUMIFS(All_Attendances,site_level_range_board,$B205,date_range_board,M196),"0.0%"))),"")</f>
        <v>95.2%</v>
      </c>
      <c r="N205" s="171" t="str">
        <f ca="1">IFERROR(IF(ISNUMBER(FIND("ED only",$B$4)),IF(LEFT($B$7,6)="Number",SUMIFS(Comparison_Lookup,site_level_range_board,$B205,date_range_board,N196,inputdata!$F:$F,"ED"),TEXT(SUMIFS(Comparison_Lookup,site_level_range_board,$B205,date_range_board,N196,inputdata!$F:$F,"ED")/SUMIFS(All_Attendances,site_level_range_board,$B205,date_range_board,N196,inputdata!$F:$F,"ED"),"0.0%")),IF(LEFT($B$7,6)="Number",SUMIFS(Comparison_Lookup,site_level_range_board,$B205,date_range_board,N196),TEXT(SUMIFS(Comparison_Lookup,site_level_range_board,$B205,date_range_board,N196)/SUMIFS(All_Attendances,site_level_range_board,$B205,date_range_board,N196),"0.0%"))),"")</f>
        <v>95.9%</v>
      </c>
    </row>
    <row r="206" spans="1:14" ht="15" customHeight="1" x14ac:dyDescent="0.2">
      <c r="A206" s="132"/>
      <c r="B206" s="152" t="s">
        <v>562</v>
      </c>
      <c r="C206" s="165" t="str">
        <f ca="1">IFERROR(IF(ISNUMBER(FIND("ED only",$B$4)),IF(LEFT($B$7,6)="Number",SUMIFS(Comparison_Lookup,site_level_range_board,$B206,date_range_board,C196,inputdata!$F:$F,"ED"),TEXT(SUMIFS(Comparison_Lookup,site_level_range_board,$B206,date_range_board,C196,inputdata!$F:$F,"ED")/SUMIFS(All_Attendances,site_level_range_board,$B206,date_range_board,C196,inputdata!$F:$F,"ED"),"0.0%")),IF(LEFT($B$7,6)="Number",SUMIFS(Comparison_Lookup,site_level_range_board,$B206,date_range_board,C196),TEXT(SUMIFS(Comparison_Lookup,site_level_range_board,$B206,date_range_board,C196)/SUMIFS(All_Attendances,site_level_range_board,$B206,date_range_board,C196),"0.0%"))),"")</f>
        <v>96.9%</v>
      </c>
      <c r="D206" s="165" t="str">
        <f ca="1">IFERROR(IF(ISNUMBER(FIND("ED only",$B$4)),IF(LEFT($B$7,6)="Number",SUMIFS(Comparison_Lookup,site_level_range_board,$B206,date_range_board,D196,inputdata!$F:$F,"ED"),TEXT(SUMIFS(Comparison_Lookup,site_level_range_board,$B206,date_range_board,D196,inputdata!$F:$F,"ED")/SUMIFS(All_Attendances,site_level_range_board,$B206,date_range_board,D196,inputdata!$F:$F,"ED"),"0.0%")),IF(LEFT($B$7,6)="Number",SUMIFS(Comparison_Lookup,site_level_range_board,$B206,date_range_board,D196),TEXT(SUMIFS(Comparison_Lookup,site_level_range_board,$B206,date_range_board,D196)/SUMIFS(All_Attendances,site_level_range_board,$B206,date_range_board,D196),"0.0%"))),"")</f>
        <v>97.2%</v>
      </c>
      <c r="E206" s="165" t="str">
        <f ca="1">IFERROR(IF(ISNUMBER(FIND("ED only",$B$4)),IF(LEFT($B$7,6)="Number",SUMIFS(Comparison_Lookup,site_level_range_board,$B206,date_range_board,E196,inputdata!$F:$F,"ED"),TEXT(SUMIFS(Comparison_Lookup,site_level_range_board,$B206,date_range_board,E196,inputdata!$F:$F,"ED")/SUMIFS(All_Attendances,site_level_range_board,$B206,date_range_board,E196,inputdata!$F:$F,"ED"),"0.0%")),IF(LEFT($B$7,6)="Number",SUMIFS(Comparison_Lookup,site_level_range_board,$B206,date_range_board,E196),TEXT(SUMIFS(Comparison_Lookup,site_level_range_board,$B206,date_range_board,E196)/SUMIFS(All_Attendances,site_level_range_board,$B206,date_range_board,E196),"0.0%"))),"")</f>
        <v>96.7%</v>
      </c>
      <c r="F206" s="165" t="str">
        <f ca="1">IFERROR(IF(ISNUMBER(FIND("ED only",$B$4)),IF(LEFT($B$7,6)="Number",SUMIFS(Comparison_Lookup,site_level_range_board,$B206,date_range_board,F196,inputdata!$F:$F,"ED"),TEXT(SUMIFS(Comparison_Lookup,site_level_range_board,$B206,date_range_board,F196,inputdata!$F:$F,"ED")/SUMIFS(All_Attendances,site_level_range_board,$B206,date_range_board,F196,inputdata!$F:$F,"ED"),"0.0%")),IF(LEFT($B$7,6)="Number",SUMIFS(Comparison_Lookup,site_level_range_board,$B206,date_range_board,F196),TEXT(SUMIFS(Comparison_Lookup,site_level_range_board,$B206,date_range_board,F196)/SUMIFS(All_Attendances,site_level_range_board,$B206,date_range_board,F196),"0.0%"))),"")</f>
        <v>96.7%</v>
      </c>
      <c r="G206" s="165" t="str">
        <f ca="1">IFERROR(IF(ISNUMBER(FIND("ED only",$B$4)),IF(LEFT($B$7,6)="Number",SUMIFS(Comparison_Lookup,site_level_range_board,$B206,date_range_board,G196,inputdata!$F:$F,"ED"),TEXT(SUMIFS(Comparison_Lookup,site_level_range_board,$B206,date_range_board,G196,inputdata!$F:$F,"ED")/SUMIFS(All_Attendances,site_level_range_board,$B206,date_range_board,G196,inputdata!$F:$F,"ED"),"0.0%")),IF(LEFT($B$7,6)="Number",SUMIFS(Comparison_Lookup,site_level_range_board,$B206,date_range_board,G196),TEXT(SUMIFS(Comparison_Lookup,site_level_range_board,$B206,date_range_board,G196)/SUMIFS(All_Attendances,site_level_range_board,$B206,date_range_board,G196),"0.0%"))),"")</f>
        <v>97.6%</v>
      </c>
      <c r="H206" s="165" t="str">
        <f ca="1">IFERROR(IF(ISNUMBER(FIND("ED only",$B$4)),IF(LEFT($B$7,6)="Number",SUMIFS(Comparison_Lookup,site_level_range_board,$B206,date_range_board,H196,inputdata!$F:$F,"ED"),TEXT(SUMIFS(Comparison_Lookup,site_level_range_board,$B206,date_range_board,H196,inputdata!$F:$F,"ED")/SUMIFS(All_Attendances,site_level_range_board,$B206,date_range_board,H196,inputdata!$F:$F,"ED"),"0.0%")),IF(LEFT($B$7,6)="Number",SUMIFS(Comparison_Lookup,site_level_range_board,$B206,date_range_board,H196),TEXT(SUMIFS(Comparison_Lookup,site_level_range_board,$B206,date_range_board,H196)/SUMIFS(All_Attendances,site_level_range_board,$B206,date_range_board,H196),"0.0%"))),"")</f>
        <v>97.1%</v>
      </c>
      <c r="I206" s="165" t="str">
        <f ca="1">IFERROR(IF(ISNUMBER(FIND("ED only",$B$4)),IF(LEFT($B$7,6)="Number",SUMIFS(Comparison_Lookup,site_level_range_board,$B206,date_range_board,I196,inputdata!$F:$F,"ED"),TEXT(SUMIFS(Comparison_Lookup,site_level_range_board,$B206,date_range_board,I196,inputdata!$F:$F,"ED")/SUMIFS(All_Attendances,site_level_range_board,$B206,date_range_board,I196,inputdata!$F:$F,"ED"),"0.0%")),IF(LEFT($B$7,6)="Number",SUMIFS(Comparison_Lookup,site_level_range_board,$B206,date_range_board,I196),TEXT(SUMIFS(Comparison_Lookup,site_level_range_board,$B206,date_range_board,I196)/SUMIFS(All_Attendances,site_level_range_board,$B206,date_range_board,I196),"0.0%"))),"")</f>
        <v>96.7%</v>
      </c>
      <c r="J206" s="165" t="str">
        <f ca="1">IFERROR(IF(ISNUMBER(FIND("ED only",$B$4)),IF(LEFT($B$7,6)="Number",SUMIFS(Comparison_Lookup,site_level_range_board,$B206,date_range_board,J196,inputdata!$F:$F,"ED"),TEXT(SUMIFS(Comparison_Lookup,site_level_range_board,$B206,date_range_board,J196,inputdata!$F:$F,"ED")/SUMIFS(All_Attendances,site_level_range_board,$B206,date_range_board,J196,inputdata!$F:$F,"ED"),"0.0%")),IF(LEFT($B$7,6)="Number",SUMIFS(Comparison_Lookup,site_level_range_board,$B206,date_range_board,J196),TEXT(SUMIFS(Comparison_Lookup,site_level_range_board,$B206,date_range_board,J196)/SUMIFS(All_Attendances,site_level_range_board,$B206,date_range_board,J196),"0.0%"))),"")</f>
        <v>94.7%</v>
      </c>
      <c r="K206" s="165" t="str">
        <f ca="1">IFERROR(IF(ISNUMBER(FIND("ED only",$B$4)),IF(LEFT($B$7,6)="Number",SUMIFS(Comparison_Lookup,site_level_range_board,$B206,date_range_board,K196,inputdata!$F:$F,"ED"),TEXT(SUMIFS(Comparison_Lookup,site_level_range_board,$B206,date_range_board,K196,inputdata!$F:$F,"ED")/SUMIFS(All_Attendances,site_level_range_board,$B206,date_range_board,K196,inputdata!$F:$F,"ED"),"0.0%")),IF(LEFT($B$7,6)="Number",SUMIFS(Comparison_Lookup,site_level_range_board,$B206,date_range_board,K196),TEXT(SUMIFS(Comparison_Lookup,site_level_range_board,$B206,date_range_board,K196)/SUMIFS(All_Attendances,site_level_range_board,$B206,date_range_board,K196),"0.0%"))),"")</f>
        <v>93.3%</v>
      </c>
      <c r="L206" s="165" t="str">
        <f ca="1">IFERROR(IF(ISNUMBER(FIND("ED only",$B$4)),IF(LEFT($B$7,6)="Number",SUMIFS(Comparison_Lookup,site_level_range_board,$B206,date_range_board,L196,inputdata!$F:$F,"ED"),TEXT(SUMIFS(Comparison_Lookup,site_level_range_board,$B206,date_range_board,L196,inputdata!$F:$F,"ED")/SUMIFS(All_Attendances,site_level_range_board,$B206,date_range_board,L196,inputdata!$F:$F,"ED"),"0.0%")),IF(LEFT($B$7,6)="Number",SUMIFS(Comparison_Lookup,site_level_range_board,$B206,date_range_board,L196),TEXT(SUMIFS(Comparison_Lookup,site_level_range_board,$B206,date_range_board,L196)/SUMIFS(All_Attendances,site_level_range_board,$B206,date_range_board,L196),"0.0%"))),"")</f>
        <v>92.0%</v>
      </c>
      <c r="M206" s="165" t="str">
        <f ca="1">IFERROR(IF(ISNUMBER(FIND("ED only",$B$4)),IF(LEFT($B$7,6)="Number",SUMIFS(Comparison_Lookup,site_level_range_board,$B206,date_range_board,M196,inputdata!$F:$F,"ED"),TEXT(SUMIFS(Comparison_Lookup,site_level_range_board,$B206,date_range_board,M196,inputdata!$F:$F,"ED")/SUMIFS(All_Attendances,site_level_range_board,$B206,date_range_board,M196,inputdata!$F:$F,"ED"),"0.0%")),IF(LEFT($B$7,6)="Number",SUMIFS(Comparison_Lookup,site_level_range_board,$B206,date_range_board,M196),TEXT(SUMIFS(Comparison_Lookup,site_level_range_board,$B206,date_range_board,M196)/SUMIFS(All_Attendances,site_level_range_board,$B206,date_range_board,M196),"0.0%"))),"")</f>
        <v>90.6%</v>
      </c>
      <c r="N206" s="171" t="str">
        <f ca="1">IFERROR(IF(ISNUMBER(FIND("ED only",$B$4)),IF(LEFT($B$7,6)="Number",SUMIFS(Comparison_Lookup,site_level_range_board,$B206,date_range_board,N196,inputdata!$F:$F,"ED"),TEXT(SUMIFS(Comparison_Lookup,site_level_range_board,$B206,date_range_board,N196,inputdata!$F:$F,"ED")/SUMIFS(All_Attendances,site_level_range_board,$B206,date_range_board,N196,inputdata!$F:$F,"ED"),"0.0%")),IF(LEFT($B$7,6)="Number",SUMIFS(Comparison_Lookup,site_level_range_board,$B206,date_range_board,N196),TEXT(SUMIFS(Comparison_Lookup,site_level_range_board,$B206,date_range_board,N196)/SUMIFS(All_Attendances,site_level_range_board,$B206,date_range_board,N196),"0.0%"))),"")</f>
        <v>93.4%</v>
      </c>
    </row>
    <row r="207" spans="1:14" ht="15" customHeight="1" x14ac:dyDescent="0.2">
      <c r="A207" s="132"/>
      <c r="B207" s="152" t="s">
        <v>571</v>
      </c>
      <c r="C207" s="165" t="str">
        <f ca="1">IFERROR(IF(ISNUMBER(FIND("ED only",$B$4)),IF(LEFT($B$7,6)="Number",SUMIFS(Comparison_Lookup,site_level_range_board,$B207,date_range_board,C196,inputdata!$F:$F,"ED"),TEXT(SUMIFS(Comparison_Lookup,site_level_range_board,$B207,date_range_board,C196,inputdata!$F:$F,"ED")/SUMIFS(All_Attendances,site_level_range_board,$B207,date_range_board,C196,inputdata!$F:$F,"ED"),"0.0%")),IF(LEFT($B$7,6)="Number",SUMIFS(Comparison_Lookup,site_level_range_board,$B207,date_range_board,C196),TEXT(SUMIFS(Comparison_Lookup,site_level_range_board,$B207,date_range_board,C196)/SUMIFS(All_Attendances,site_level_range_board,$B207,date_range_board,C196),"0.0%"))),"")</f>
        <v>99.2%</v>
      </c>
      <c r="D207" s="165" t="str">
        <f ca="1">IFERROR(IF(ISNUMBER(FIND("ED only",$B$4)),IF(LEFT($B$7,6)="Number",SUMIFS(Comparison_Lookup,site_level_range_board,$B207,date_range_board,D196,inputdata!$F:$F,"ED"),TEXT(SUMIFS(Comparison_Lookup,site_level_range_board,$B207,date_range_board,D196,inputdata!$F:$F,"ED")/SUMIFS(All_Attendances,site_level_range_board,$B207,date_range_board,D196,inputdata!$F:$F,"ED"),"0.0%")),IF(LEFT($B$7,6)="Number",SUMIFS(Comparison_Lookup,site_level_range_board,$B207,date_range_board,D196),TEXT(SUMIFS(Comparison_Lookup,site_level_range_board,$B207,date_range_board,D196)/SUMIFS(All_Attendances,site_level_range_board,$B207,date_range_board,D196),"0.0%"))),"")</f>
        <v>100.0%</v>
      </c>
      <c r="E207" s="165" t="str">
        <f ca="1">IFERROR(IF(ISNUMBER(FIND("ED only",$B$4)),IF(LEFT($B$7,6)="Number",SUMIFS(Comparison_Lookup,site_level_range_board,$B207,date_range_board,E196,inputdata!$F:$F,"ED"),TEXT(SUMIFS(Comparison_Lookup,site_level_range_board,$B207,date_range_board,E196,inputdata!$F:$F,"ED")/SUMIFS(All_Attendances,site_level_range_board,$B207,date_range_board,E196,inputdata!$F:$F,"ED"),"0.0%")),IF(LEFT($B$7,6)="Number",SUMIFS(Comparison_Lookup,site_level_range_board,$B207,date_range_board,E196),TEXT(SUMIFS(Comparison_Lookup,site_level_range_board,$B207,date_range_board,E196)/SUMIFS(All_Attendances,site_level_range_board,$B207,date_range_board,E196),"0.0%"))),"")</f>
        <v>99.6%</v>
      </c>
      <c r="F207" s="165" t="str">
        <f ca="1">IFERROR(IF(ISNUMBER(FIND("ED only",$B$4)),IF(LEFT($B$7,6)="Number",SUMIFS(Comparison_Lookup,site_level_range_board,$B207,date_range_board,F196,inputdata!$F:$F,"ED"),TEXT(SUMIFS(Comparison_Lookup,site_level_range_board,$B207,date_range_board,F196,inputdata!$F:$F,"ED")/SUMIFS(All_Attendances,site_level_range_board,$B207,date_range_board,F196,inputdata!$F:$F,"ED"),"0.0%")),IF(LEFT($B$7,6)="Number",SUMIFS(Comparison_Lookup,site_level_range_board,$B207,date_range_board,F196),TEXT(SUMIFS(Comparison_Lookup,site_level_range_board,$B207,date_range_board,F196)/SUMIFS(All_Attendances,site_level_range_board,$B207,date_range_board,F196),"0.0%"))),"")</f>
        <v>99.6%</v>
      </c>
      <c r="G207" s="165" t="str">
        <f ca="1">IFERROR(IF(ISNUMBER(FIND("ED only",$B$4)),IF(LEFT($B$7,6)="Number",SUMIFS(Comparison_Lookup,site_level_range_board,$B207,date_range_board,G196,inputdata!$F:$F,"ED"),TEXT(SUMIFS(Comparison_Lookup,site_level_range_board,$B207,date_range_board,G196,inputdata!$F:$F,"ED")/SUMIFS(All_Attendances,site_level_range_board,$B207,date_range_board,G196,inputdata!$F:$F,"ED"),"0.0%")),IF(LEFT($B$7,6)="Number",SUMIFS(Comparison_Lookup,site_level_range_board,$B207,date_range_board,G196),TEXT(SUMIFS(Comparison_Lookup,site_level_range_board,$B207,date_range_board,G196)/SUMIFS(All_Attendances,site_level_range_board,$B207,date_range_board,G196),"0.0%"))),"")</f>
        <v>99.5%</v>
      </c>
      <c r="H207" s="165" t="str">
        <f ca="1">IFERROR(IF(ISNUMBER(FIND("ED only",$B$4)),IF(LEFT($B$7,6)="Number",SUMIFS(Comparison_Lookup,site_level_range_board,$B207,date_range_board,H196,inputdata!$F:$F,"ED"),TEXT(SUMIFS(Comparison_Lookup,site_level_range_board,$B207,date_range_board,H196,inputdata!$F:$F,"ED")/SUMIFS(All_Attendances,site_level_range_board,$B207,date_range_board,H196,inputdata!$F:$F,"ED"),"0.0%")),IF(LEFT($B$7,6)="Number",SUMIFS(Comparison_Lookup,site_level_range_board,$B207,date_range_board,H196),TEXT(SUMIFS(Comparison_Lookup,site_level_range_board,$B207,date_range_board,H196)/SUMIFS(All_Attendances,site_level_range_board,$B207,date_range_board,H196),"0.0%"))),"")</f>
        <v>99.3%</v>
      </c>
      <c r="I207" s="165" t="str">
        <f ca="1">IFERROR(IF(ISNUMBER(FIND("ED only",$B$4)),IF(LEFT($B$7,6)="Number",SUMIFS(Comparison_Lookup,site_level_range_board,$B207,date_range_board,I196,inputdata!$F:$F,"ED"),TEXT(SUMIFS(Comparison_Lookup,site_level_range_board,$B207,date_range_board,I196,inputdata!$F:$F,"ED")/SUMIFS(All_Attendances,site_level_range_board,$B207,date_range_board,I196,inputdata!$F:$F,"ED"),"0.0%")),IF(LEFT($B$7,6)="Number",SUMIFS(Comparison_Lookup,site_level_range_board,$B207,date_range_board,I196),TEXT(SUMIFS(Comparison_Lookup,site_level_range_board,$B207,date_range_board,I196)/SUMIFS(All_Attendances,site_level_range_board,$B207,date_range_board,I196),"0.0%"))),"")</f>
        <v>100.0%</v>
      </c>
      <c r="J207" s="165" t="str">
        <f ca="1">IFERROR(IF(ISNUMBER(FIND("ED only",$B$4)),IF(LEFT($B$7,6)="Number",SUMIFS(Comparison_Lookup,site_level_range_board,$B207,date_range_board,J196,inputdata!$F:$F,"ED"),TEXT(SUMIFS(Comparison_Lookup,site_level_range_board,$B207,date_range_board,J196,inputdata!$F:$F,"ED")/SUMIFS(All_Attendances,site_level_range_board,$B207,date_range_board,J196,inputdata!$F:$F,"ED"),"0.0%")),IF(LEFT($B$7,6)="Number",SUMIFS(Comparison_Lookup,site_level_range_board,$B207,date_range_board,J196),TEXT(SUMIFS(Comparison_Lookup,site_level_range_board,$B207,date_range_board,J196)/SUMIFS(All_Attendances,site_level_range_board,$B207,date_range_board,J196),"0.0%"))),"")</f>
        <v>97.6%</v>
      </c>
      <c r="K207" s="165" t="str">
        <f ca="1">IFERROR(IF(ISNUMBER(FIND("ED only",$B$4)),IF(LEFT($B$7,6)="Number",SUMIFS(Comparison_Lookup,site_level_range_board,$B207,date_range_board,K196,inputdata!$F:$F,"ED"),TEXT(SUMIFS(Comparison_Lookup,site_level_range_board,$B207,date_range_board,K196,inputdata!$F:$F,"ED")/SUMIFS(All_Attendances,site_level_range_board,$B207,date_range_board,K196,inputdata!$F:$F,"ED"),"0.0%")),IF(LEFT($B$7,6)="Number",SUMIFS(Comparison_Lookup,site_level_range_board,$B207,date_range_board,K196),TEXT(SUMIFS(Comparison_Lookup,site_level_range_board,$B207,date_range_board,K196)/SUMIFS(All_Attendances,site_level_range_board,$B207,date_range_board,K196),"0.0%"))),"")</f>
        <v>98.8%</v>
      </c>
      <c r="L207" s="165" t="str">
        <f ca="1">IFERROR(IF(ISNUMBER(FIND("ED only",$B$4)),IF(LEFT($B$7,6)="Number",SUMIFS(Comparison_Lookup,site_level_range_board,$B207,date_range_board,L196,inputdata!$F:$F,"ED"),TEXT(SUMIFS(Comparison_Lookup,site_level_range_board,$B207,date_range_board,L196,inputdata!$F:$F,"ED")/SUMIFS(All_Attendances,site_level_range_board,$B207,date_range_board,L196,inputdata!$F:$F,"ED"),"0.0%")),IF(LEFT($B$7,6)="Number",SUMIFS(Comparison_Lookup,site_level_range_board,$B207,date_range_board,L196),TEXT(SUMIFS(Comparison_Lookup,site_level_range_board,$B207,date_range_board,L196)/SUMIFS(All_Attendances,site_level_range_board,$B207,date_range_board,L196),"0.0%"))),"")</f>
        <v>98.0%</v>
      </c>
      <c r="M207" s="165" t="str">
        <f ca="1">IFERROR(IF(ISNUMBER(FIND("ED only",$B$4)),IF(LEFT($B$7,6)="Number",SUMIFS(Comparison_Lookup,site_level_range_board,$B207,date_range_board,M196,inputdata!$F:$F,"ED"),TEXT(SUMIFS(Comparison_Lookup,site_level_range_board,$B207,date_range_board,M196,inputdata!$F:$F,"ED")/SUMIFS(All_Attendances,site_level_range_board,$B207,date_range_board,M196,inputdata!$F:$F,"ED"),"0.0%")),IF(LEFT($B$7,6)="Number",SUMIFS(Comparison_Lookup,site_level_range_board,$B207,date_range_board,M196),TEXT(SUMIFS(Comparison_Lookup,site_level_range_board,$B207,date_range_board,M196)/SUMIFS(All_Attendances,site_level_range_board,$B207,date_range_board,M196),"0.0%"))),"")</f>
        <v>99.5%</v>
      </c>
      <c r="N207" s="171" t="str">
        <f ca="1">IFERROR(IF(ISNUMBER(FIND("ED only",$B$4)),IF(LEFT($B$7,6)="Number",SUMIFS(Comparison_Lookup,site_level_range_board,$B207,date_range_board,N196,inputdata!$F:$F,"ED"),TEXT(SUMIFS(Comparison_Lookup,site_level_range_board,$B207,date_range_board,N196,inputdata!$F:$F,"ED")/SUMIFS(All_Attendances,site_level_range_board,$B207,date_range_board,N196,inputdata!$F:$F,"ED"),"0.0%")),IF(LEFT($B$7,6)="Number",SUMIFS(Comparison_Lookup,site_level_range_board,$B207,date_range_board,N196),TEXT(SUMIFS(Comparison_Lookup,site_level_range_board,$B207,date_range_board,N196)/SUMIFS(All_Attendances,site_level_range_board,$B207,date_range_board,N196),"0.0%"))),"")</f>
        <v>99.5%</v>
      </c>
    </row>
    <row r="208" spans="1:14" ht="15" customHeight="1" x14ac:dyDescent="0.2">
      <c r="A208" s="132"/>
      <c r="B208" s="152" t="s">
        <v>574</v>
      </c>
      <c r="C208" s="165" t="str">
        <f ca="1">IFERROR(IF(ISNUMBER(FIND("ED only",$B$4)),IF(LEFT($B$7,6)="Number",SUMIFS(Comparison_Lookup,site_level_range_board,$B208,date_range_board,C196,inputdata!$F:$F,"ED"),TEXT(SUMIFS(Comparison_Lookup,site_level_range_board,$B208,date_range_board,C196,inputdata!$F:$F,"ED")/SUMIFS(All_Attendances,site_level_range_board,$B208,date_range_board,C196,inputdata!$F:$F,"ED"),"0.0%")),IF(LEFT($B$7,6)="Number",SUMIFS(Comparison_Lookup,site_level_range_board,$B208,date_range_board,C196),TEXT(SUMIFS(Comparison_Lookup,site_level_range_board,$B208,date_range_board,C196)/SUMIFS(All_Attendances,site_level_range_board,$B208,date_range_board,C196),"0.0%"))),"")</f>
        <v>99.6%</v>
      </c>
      <c r="D208" s="165" t="str">
        <f ca="1">IFERROR(IF(ISNUMBER(FIND("ED only",$B$4)),IF(LEFT($B$7,6)="Number",SUMIFS(Comparison_Lookup,site_level_range_board,$B208,date_range_board,D196,inputdata!$F:$F,"ED"),TEXT(SUMIFS(Comparison_Lookup,site_level_range_board,$B208,date_range_board,D196,inputdata!$F:$F,"ED")/SUMIFS(All_Attendances,site_level_range_board,$B208,date_range_board,D196,inputdata!$F:$F,"ED"),"0.0%")),IF(LEFT($B$7,6)="Number",SUMIFS(Comparison_Lookup,site_level_range_board,$B208,date_range_board,D196),TEXT(SUMIFS(Comparison_Lookup,site_level_range_board,$B208,date_range_board,D196)/SUMIFS(All_Attendances,site_level_range_board,$B208,date_range_board,D196),"0.0%"))),"")</f>
        <v>99.9%</v>
      </c>
      <c r="E208" s="165" t="str">
        <f ca="1">IFERROR(IF(ISNUMBER(FIND("ED only",$B$4)),IF(LEFT($B$7,6)="Number",SUMIFS(Comparison_Lookup,site_level_range_board,$B208,date_range_board,E196,inputdata!$F:$F,"ED"),TEXT(SUMIFS(Comparison_Lookup,site_level_range_board,$B208,date_range_board,E196,inputdata!$F:$F,"ED")/SUMIFS(All_Attendances,site_level_range_board,$B208,date_range_board,E196,inputdata!$F:$F,"ED"),"0.0%")),IF(LEFT($B$7,6)="Number",SUMIFS(Comparison_Lookup,site_level_range_board,$B208,date_range_board,E196),TEXT(SUMIFS(Comparison_Lookup,site_level_range_board,$B208,date_range_board,E196)/SUMIFS(All_Attendances,site_level_range_board,$B208,date_range_board,E196),"0.0%"))),"")</f>
        <v>99.5%</v>
      </c>
      <c r="F208" s="165" t="str">
        <f ca="1">IFERROR(IF(ISNUMBER(FIND("ED only",$B$4)),IF(LEFT($B$7,6)="Number",SUMIFS(Comparison_Lookup,site_level_range_board,$B208,date_range_board,F196,inputdata!$F:$F,"ED"),TEXT(SUMIFS(Comparison_Lookup,site_level_range_board,$B208,date_range_board,F196,inputdata!$F:$F,"ED")/SUMIFS(All_Attendances,site_level_range_board,$B208,date_range_board,F196,inputdata!$F:$F,"ED"),"0.0%")),IF(LEFT($B$7,6)="Number",SUMIFS(Comparison_Lookup,site_level_range_board,$B208,date_range_board,F196),TEXT(SUMIFS(Comparison_Lookup,site_level_range_board,$B208,date_range_board,F196)/SUMIFS(All_Attendances,site_level_range_board,$B208,date_range_board,F196),"0.0%"))),"")</f>
        <v>99.8%</v>
      </c>
      <c r="G208" s="165" t="str">
        <f ca="1">IFERROR(IF(ISNUMBER(FIND("ED only",$B$4)),IF(LEFT($B$7,6)="Number",SUMIFS(Comparison_Lookup,site_level_range_board,$B208,date_range_board,G196,inputdata!$F:$F,"ED"),TEXT(SUMIFS(Comparison_Lookup,site_level_range_board,$B208,date_range_board,G196,inputdata!$F:$F,"ED")/SUMIFS(All_Attendances,site_level_range_board,$B208,date_range_board,G196,inputdata!$F:$F,"ED"),"0.0%")),IF(LEFT($B$7,6)="Number",SUMIFS(Comparison_Lookup,site_level_range_board,$B208,date_range_board,G196),TEXT(SUMIFS(Comparison_Lookup,site_level_range_board,$B208,date_range_board,G196)/SUMIFS(All_Attendances,site_level_range_board,$B208,date_range_board,G196),"0.0%"))),"")</f>
        <v>98.8%</v>
      </c>
      <c r="H208" s="165" t="str">
        <f ca="1">IFERROR(IF(ISNUMBER(FIND("ED only",$B$4)),IF(LEFT($B$7,6)="Number",SUMIFS(Comparison_Lookup,site_level_range_board,$B208,date_range_board,H196,inputdata!$F:$F,"ED"),TEXT(SUMIFS(Comparison_Lookup,site_level_range_board,$B208,date_range_board,H196,inputdata!$F:$F,"ED")/SUMIFS(All_Attendances,site_level_range_board,$B208,date_range_board,H196,inputdata!$F:$F,"ED"),"0.0%")),IF(LEFT($B$7,6)="Number",SUMIFS(Comparison_Lookup,site_level_range_board,$B208,date_range_board,H196),TEXT(SUMIFS(Comparison_Lookup,site_level_range_board,$B208,date_range_board,H196)/SUMIFS(All_Attendances,site_level_range_board,$B208,date_range_board,H196),"0.0%"))),"")</f>
        <v>99.7%</v>
      </c>
      <c r="I208" s="165" t="str">
        <f ca="1">IFERROR(IF(ISNUMBER(FIND("ED only",$B$4)),IF(LEFT($B$7,6)="Number",SUMIFS(Comparison_Lookup,site_level_range_board,$B208,date_range_board,I196,inputdata!$F:$F,"ED"),TEXT(SUMIFS(Comparison_Lookup,site_level_range_board,$B208,date_range_board,I196,inputdata!$F:$F,"ED")/SUMIFS(All_Attendances,site_level_range_board,$B208,date_range_board,I196,inputdata!$F:$F,"ED"),"0.0%")),IF(LEFT($B$7,6)="Number",SUMIFS(Comparison_Lookup,site_level_range_board,$B208,date_range_board,I196),TEXT(SUMIFS(Comparison_Lookup,site_level_range_board,$B208,date_range_board,I196)/SUMIFS(All_Attendances,site_level_range_board,$B208,date_range_board,I196),"0.0%"))),"")</f>
        <v>99.2%</v>
      </c>
      <c r="J208" s="165" t="str">
        <f ca="1">IFERROR(IF(ISNUMBER(FIND("ED only",$B$4)),IF(LEFT($B$7,6)="Number",SUMIFS(Comparison_Lookup,site_level_range_board,$B208,date_range_board,J196,inputdata!$F:$F,"ED"),TEXT(SUMIFS(Comparison_Lookup,site_level_range_board,$B208,date_range_board,J196,inputdata!$F:$F,"ED")/SUMIFS(All_Attendances,site_level_range_board,$B208,date_range_board,J196,inputdata!$F:$F,"ED"),"0.0%")),IF(LEFT($B$7,6)="Number",SUMIFS(Comparison_Lookup,site_level_range_board,$B208,date_range_board,J196),TEXT(SUMIFS(Comparison_Lookup,site_level_range_board,$B208,date_range_board,J196)/SUMIFS(All_Attendances,site_level_range_board,$B208,date_range_board,J196),"0.0%"))),"")</f>
        <v>99.7%</v>
      </c>
      <c r="K208" s="165" t="str">
        <f ca="1">IFERROR(IF(ISNUMBER(FIND("ED only",$B$4)),IF(LEFT($B$7,6)="Number",SUMIFS(Comparison_Lookup,site_level_range_board,$B208,date_range_board,K196,inputdata!$F:$F,"ED"),TEXT(SUMIFS(Comparison_Lookup,site_level_range_board,$B208,date_range_board,K196,inputdata!$F:$F,"ED")/SUMIFS(All_Attendances,site_level_range_board,$B208,date_range_board,K196,inputdata!$F:$F,"ED"),"0.0%")),IF(LEFT($B$7,6)="Number",SUMIFS(Comparison_Lookup,site_level_range_board,$B208,date_range_board,K196),TEXT(SUMIFS(Comparison_Lookup,site_level_range_board,$B208,date_range_board,K196)/SUMIFS(All_Attendances,site_level_range_board,$B208,date_range_board,K196),"0.0%"))),"")</f>
        <v>99.5%</v>
      </c>
      <c r="L208" s="165" t="str">
        <f ca="1">IFERROR(IF(ISNUMBER(FIND("ED only",$B$4)),IF(LEFT($B$7,6)="Number",SUMIFS(Comparison_Lookup,site_level_range_board,$B208,date_range_board,L196,inputdata!$F:$F,"ED"),TEXT(SUMIFS(Comparison_Lookup,site_level_range_board,$B208,date_range_board,L196,inputdata!$F:$F,"ED")/SUMIFS(All_Attendances,site_level_range_board,$B208,date_range_board,L196,inputdata!$F:$F,"ED"),"0.0%")),IF(LEFT($B$7,6)="Number",SUMIFS(Comparison_Lookup,site_level_range_board,$B208,date_range_board,L196),TEXT(SUMIFS(Comparison_Lookup,site_level_range_board,$B208,date_range_board,L196)/SUMIFS(All_Attendances,site_level_range_board,$B208,date_range_board,L196),"0.0%"))),"")</f>
        <v>99.5%</v>
      </c>
      <c r="M208" s="165" t="str">
        <f ca="1">IFERROR(IF(ISNUMBER(FIND("ED only",$B$4)),IF(LEFT($B$7,6)="Number",SUMIFS(Comparison_Lookup,site_level_range_board,$B208,date_range_board,M196,inputdata!$F:$F,"ED"),TEXT(SUMIFS(Comparison_Lookup,site_level_range_board,$B208,date_range_board,M196,inputdata!$F:$F,"ED")/SUMIFS(All_Attendances,site_level_range_board,$B208,date_range_board,M196,inputdata!$F:$F,"ED"),"0.0%")),IF(LEFT($B$7,6)="Number",SUMIFS(Comparison_Lookup,site_level_range_board,$B208,date_range_board,M196),TEXT(SUMIFS(Comparison_Lookup,site_level_range_board,$B208,date_range_board,M196)/SUMIFS(All_Attendances,site_level_range_board,$B208,date_range_board,M196),"0.0%"))),"")</f>
        <v>99.7%</v>
      </c>
      <c r="N208" s="171" t="str">
        <f ca="1">IFERROR(IF(ISNUMBER(FIND("ED only",$B$4)),IF(LEFT($B$7,6)="Number",SUMIFS(Comparison_Lookup,site_level_range_board,$B208,date_range_board,N196,inputdata!$F:$F,"ED"),TEXT(SUMIFS(Comparison_Lookup,site_level_range_board,$B208,date_range_board,N196,inputdata!$F:$F,"ED")/SUMIFS(All_Attendances,site_level_range_board,$B208,date_range_board,N196,inputdata!$F:$F,"ED"),"0.0%")),IF(LEFT($B$7,6)="Number",SUMIFS(Comparison_Lookup,site_level_range_board,$B208,date_range_board,N196),TEXT(SUMIFS(Comparison_Lookup,site_level_range_board,$B208,date_range_board,N196)/SUMIFS(All_Attendances,site_level_range_board,$B208,date_range_board,N196),"0.0%"))),"")</f>
        <v>99.8%</v>
      </c>
    </row>
    <row r="209" spans="1:14" ht="15" customHeight="1" x14ac:dyDescent="0.2">
      <c r="A209" s="132"/>
      <c r="B209" s="152" t="s">
        <v>577</v>
      </c>
      <c r="C209" s="165" t="str">
        <f ca="1">IFERROR(IF(ISNUMBER(FIND("ED only",$B$4)),IF(LEFT($B$7,6)="Number",SUMIFS(Comparison_Lookup,site_level_range_board,$B209,date_range_board,C196,inputdata!$F:$F,"ED"),TEXT(SUMIFS(Comparison_Lookup,site_level_range_board,$B209,date_range_board,C196,inputdata!$F:$F,"ED")/SUMIFS(All_Attendances,site_level_range_board,$B209,date_range_board,C196,inputdata!$F:$F,"ED"),"0.0%")),IF(LEFT($B$7,6)="Number",SUMIFS(Comparison_Lookup,site_level_range_board,$B209,date_range_board,C196),TEXT(SUMIFS(Comparison_Lookup,site_level_range_board,$B209,date_range_board,C196)/SUMIFS(All_Attendances,site_level_range_board,$B209,date_range_board,C196),"0.0%"))),"")</f>
        <v>98.7%</v>
      </c>
      <c r="D209" s="165" t="str">
        <f ca="1">IFERROR(IF(ISNUMBER(FIND("ED only",$B$4)),IF(LEFT($B$7,6)="Number",SUMIFS(Comparison_Lookup,site_level_range_board,$B209,date_range_board,D196,inputdata!$F:$F,"ED"),TEXT(SUMIFS(Comparison_Lookup,site_level_range_board,$B209,date_range_board,D196,inputdata!$F:$F,"ED")/SUMIFS(All_Attendances,site_level_range_board,$B209,date_range_board,D196,inputdata!$F:$F,"ED"),"0.0%")),IF(LEFT($B$7,6)="Number",SUMIFS(Comparison_Lookup,site_level_range_board,$B209,date_range_board,D196),TEXT(SUMIFS(Comparison_Lookup,site_level_range_board,$B209,date_range_board,D196)/SUMIFS(All_Attendances,site_level_range_board,$B209,date_range_board,D196),"0.0%"))),"")</f>
        <v>99.0%</v>
      </c>
      <c r="E209" s="165" t="str">
        <f ca="1">IFERROR(IF(ISNUMBER(FIND("ED only",$B$4)),IF(LEFT($B$7,6)="Number",SUMIFS(Comparison_Lookup,site_level_range_board,$B209,date_range_board,E196,inputdata!$F:$F,"ED"),TEXT(SUMIFS(Comparison_Lookup,site_level_range_board,$B209,date_range_board,E196,inputdata!$F:$F,"ED")/SUMIFS(All_Attendances,site_level_range_board,$B209,date_range_board,E196,inputdata!$F:$F,"ED"),"0.0%")),IF(LEFT($B$7,6)="Number",SUMIFS(Comparison_Lookup,site_level_range_board,$B209,date_range_board,E196),TEXT(SUMIFS(Comparison_Lookup,site_level_range_board,$B209,date_range_board,E196)/SUMIFS(All_Attendances,site_level_range_board,$B209,date_range_board,E196),"0.0%"))),"")</f>
        <v>98.7%</v>
      </c>
      <c r="F209" s="165" t="str">
        <f ca="1">IFERROR(IF(ISNUMBER(FIND("ED only",$B$4)),IF(LEFT($B$7,6)="Number",SUMIFS(Comparison_Lookup,site_level_range_board,$B209,date_range_board,F196,inputdata!$F:$F,"ED"),TEXT(SUMIFS(Comparison_Lookup,site_level_range_board,$B209,date_range_board,F196,inputdata!$F:$F,"ED")/SUMIFS(All_Attendances,site_level_range_board,$B209,date_range_board,F196,inputdata!$F:$F,"ED"),"0.0%")),IF(LEFT($B$7,6)="Number",SUMIFS(Comparison_Lookup,site_level_range_board,$B209,date_range_board,F196),TEXT(SUMIFS(Comparison_Lookup,site_level_range_board,$B209,date_range_board,F196)/SUMIFS(All_Attendances,site_level_range_board,$B209,date_range_board,F196),"0.0%"))),"")</f>
        <v>98.8%</v>
      </c>
      <c r="G209" s="165" t="str">
        <f ca="1">IFERROR(IF(ISNUMBER(FIND("ED only",$B$4)),IF(LEFT($B$7,6)="Number",SUMIFS(Comparison_Lookup,site_level_range_board,$B209,date_range_board,G196,inputdata!$F:$F,"ED"),TEXT(SUMIFS(Comparison_Lookup,site_level_range_board,$B209,date_range_board,G196,inputdata!$F:$F,"ED")/SUMIFS(All_Attendances,site_level_range_board,$B209,date_range_board,G196,inputdata!$F:$F,"ED"),"0.0%")),IF(LEFT($B$7,6)="Number",SUMIFS(Comparison_Lookup,site_level_range_board,$B209,date_range_board,G196),TEXT(SUMIFS(Comparison_Lookup,site_level_range_board,$B209,date_range_board,G196)/SUMIFS(All_Attendances,site_level_range_board,$B209,date_range_board,G196),"0.0%"))),"")</f>
        <v>99.0%</v>
      </c>
      <c r="H209" s="165" t="str">
        <f ca="1">IFERROR(IF(ISNUMBER(FIND("ED only",$B$4)),IF(LEFT($B$7,6)="Number",SUMIFS(Comparison_Lookup,site_level_range_board,$B209,date_range_board,H196,inputdata!$F:$F,"ED"),TEXT(SUMIFS(Comparison_Lookup,site_level_range_board,$B209,date_range_board,H196,inputdata!$F:$F,"ED")/SUMIFS(All_Attendances,site_level_range_board,$B209,date_range_board,H196,inputdata!$F:$F,"ED"),"0.0%")),IF(LEFT($B$7,6)="Number",SUMIFS(Comparison_Lookup,site_level_range_board,$B209,date_range_board,H196),TEXT(SUMIFS(Comparison_Lookup,site_level_range_board,$B209,date_range_board,H196)/SUMIFS(All_Attendances,site_level_range_board,$B209,date_range_board,H196),"0.0%"))),"")</f>
        <v>98.6%</v>
      </c>
      <c r="I209" s="165" t="str">
        <f ca="1">IFERROR(IF(ISNUMBER(FIND("ED only",$B$4)),IF(LEFT($B$7,6)="Number",SUMIFS(Comparison_Lookup,site_level_range_board,$B209,date_range_board,I196,inputdata!$F:$F,"ED"),TEXT(SUMIFS(Comparison_Lookup,site_level_range_board,$B209,date_range_board,I196,inputdata!$F:$F,"ED")/SUMIFS(All_Attendances,site_level_range_board,$B209,date_range_board,I196,inputdata!$F:$F,"ED"),"0.0%")),IF(LEFT($B$7,6)="Number",SUMIFS(Comparison_Lookup,site_level_range_board,$B209,date_range_board,I196),TEXT(SUMIFS(Comparison_Lookup,site_level_range_board,$B209,date_range_board,I196)/SUMIFS(All_Attendances,site_level_range_board,$B209,date_range_board,I196),"0.0%"))),"")</f>
        <v>99.4%</v>
      </c>
      <c r="J209" s="165" t="str">
        <f ca="1">IFERROR(IF(ISNUMBER(FIND("ED only",$B$4)),IF(LEFT($B$7,6)="Number",SUMIFS(Comparison_Lookup,site_level_range_board,$B209,date_range_board,J196,inputdata!$F:$F,"ED"),TEXT(SUMIFS(Comparison_Lookup,site_level_range_board,$B209,date_range_board,J196,inputdata!$F:$F,"ED")/SUMIFS(All_Attendances,site_level_range_board,$B209,date_range_board,J196,inputdata!$F:$F,"ED"),"0.0%")),IF(LEFT($B$7,6)="Number",SUMIFS(Comparison_Lookup,site_level_range_board,$B209,date_range_board,J196),TEXT(SUMIFS(Comparison_Lookup,site_level_range_board,$B209,date_range_board,J196)/SUMIFS(All_Attendances,site_level_range_board,$B209,date_range_board,J196),"0.0%"))),"")</f>
        <v>98.6%</v>
      </c>
      <c r="K209" s="165" t="str">
        <f ca="1">IFERROR(IF(ISNUMBER(FIND("ED only",$B$4)),IF(LEFT($B$7,6)="Number",SUMIFS(Comparison_Lookup,site_level_range_board,$B209,date_range_board,K196,inputdata!$F:$F,"ED"),TEXT(SUMIFS(Comparison_Lookup,site_level_range_board,$B209,date_range_board,K196,inputdata!$F:$F,"ED")/SUMIFS(All_Attendances,site_level_range_board,$B209,date_range_board,K196,inputdata!$F:$F,"ED"),"0.0%")),IF(LEFT($B$7,6)="Number",SUMIFS(Comparison_Lookup,site_level_range_board,$B209,date_range_board,K196),TEXT(SUMIFS(Comparison_Lookup,site_level_range_board,$B209,date_range_board,K196)/SUMIFS(All_Attendances,site_level_range_board,$B209,date_range_board,K196),"0.0%"))),"")</f>
        <v>98.5%</v>
      </c>
      <c r="L209" s="165" t="str">
        <f ca="1">IFERROR(IF(ISNUMBER(FIND("ED only",$B$4)),IF(LEFT($B$7,6)="Number",SUMIFS(Comparison_Lookup,site_level_range_board,$B209,date_range_board,L196,inputdata!$F:$F,"ED"),TEXT(SUMIFS(Comparison_Lookup,site_level_range_board,$B209,date_range_board,L196,inputdata!$F:$F,"ED")/SUMIFS(All_Attendances,site_level_range_board,$B209,date_range_board,L196,inputdata!$F:$F,"ED"),"0.0%")),IF(LEFT($B$7,6)="Number",SUMIFS(Comparison_Lookup,site_level_range_board,$B209,date_range_board,L196),TEXT(SUMIFS(Comparison_Lookup,site_level_range_board,$B209,date_range_board,L196)/SUMIFS(All_Attendances,site_level_range_board,$B209,date_range_board,L196),"0.0%"))),"")</f>
        <v>98.7%</v>
      </c>
      <c r="M209" s="165" t="str">
        <f ca="1">IFERROR(IF(ISNUMBER(FIND("ED only",$B$4)),IF(LEFT($B$7,6)="Number",SUMIFS(Comparison_Lookup,site_level_range_board,$B209,date_range_board,M196,inputdata!$F:$F,"ED"),TEXT(SUMIFS(Comparison_Lookup,site_level_range_board,$B209,date_range_board,M196,inputdata!$F:$F,"ED")/SUMIFS(All_Attendances,site_level_range_board,$B209,date_range_board,M196,inputdata!$F:$F,"ED"),"0.0%")),IF(LEFT($B$7,6)="Number",SUMIFS(Comparison_Lookup,site_level_range_board,$B209,date_range_board,M196),TEXT(SUMIFS(Comparison_Lookup,site_level_range_board,$B209,date_range_board,M196)/SUMIFS(All_Attendances,site_level_range_board,$B209,date_range_board,M196),"0.0%"))),"")</f>
        <v>99.2%</v>
      </c>
      <c r="N209" s="171" t="str">
        <f ca="1">IFERROR(IF(ISNUMBER(FIND("ED only",$B$4)),IF(LEFT($B$7,6)="Number",SUMIFS(Comparison_Lookup,site_level_range_board,$B209,date_range_board,N196,inputdata!$F:$F,"ED"),TEXT(SUMIFS(Comparison_Lookup,site_level_range_board,$B209,date_range_board,N196,inputdata!$F:$F,"ED")/SUMIFS(All_Attendances,site_level_range_board,$B209,date_range_board,N196,inputdata!$F:$F,"ED"),"0.0%")),IF(LEFT($B$7,6)="Number",SUMIFS(Comparison_Lookup,site_level_range_board,$B209,date_range_board,N196),TEXT(SUMIFS(Comparison_Lookup,site_level_range_board,$B209,date_range_board,N196)/SUMIFS(All_Attendances,site_level_range_board,$B209,date_range_board,N196),"0.0%"))),"")</f>
        <v>99.0%</v>
      </c>
    </row>
    <row r="210" spans="1:14" ht="15" customHeight="1" x14ac:dyDescent="0.2">
      <c r="A210" s="132"/>
      <c r="B210" s="154" t="s">
        <v>594</v>
      </c>
      <c r="C210" s="168" t="str">
        <f ca="1">IFERROR(IF(ISNUMBER(FIND("ED only",$B$4)),IF(LEFT($B$7,6)="Number",SUMIFS(Comparison_Lookup,site_level_range_board,$B210,date_range_board,C196,inputdata!$F:$F,"ED"),TEXT(SUMIFS(Comparison_Lookup,site_level_range_board,$B210,date_range_board,C196,inputdata!$F:$F,"ED")/SUMIFS(All_Attendances,site_level_range_board,$B210,date_range_board,C196,inputdata!$F:$F,"ED"),"0.0%")),IF(LEFT($B$7,6)="Number",SUMIFS(Comparison_Lookup,site_level_range_board,$B210,date_range_board,C196),TEXT(SUMIFS(Comparison_Lookup,site_level_range_board,$B210,date_range_board,C196)/SUMIFS(All_Attendances,site_level_range_board,$B210,date_range_board,C196),"0.0%"))),"")</f>
        <v>97.6%</v>
      </c>
      <c r="D210" s="168" t="str">
        <f ca="1">IFERROR(IF(ISNUMBER(FIND("ED only",$B$4)),IF(LEFT($B$7,6)="Number",SUMIFS(Comparison_Lookup,site_level_range_board,$B210,date_range_board,D196,inputdata!$F:$F,"ED"),TEXT(SUMIFS(Comparison_Lookup,site_level_range_board,$B210,date_range_board,D196,inputdata!$F:$F,"ED")/SUMIFS(All_Attendances,site_level_range_board,$B210,date_range_board,D196,inputdata!$F:$F,"ED"),"0.0%")),IF(LEFT($B$7,6)="Number",SUMIFS(Comparison_Lookup,site_level_range_board,$B210,date_range_board,D196),TEXT(SUMIFS(Comparison_Lookup,site_level_range_board,$B210,date_range_board,D196)/SUMIFS(All_Attendances,site_level_range_board,$B210,date_range_board,D196),"0.0%"))),"")</f>
        <v>98.2%</v>
      </c>
      <c r="E210" s="168" t="str">
        <f ca="1">IFERROR(IF(ISNUMBER(FIND("ED only",$B$4)),IF(LEFT($B$7,6)="Number",SUMIFS(Comparison_Lookup,site_level_range_board,$B210,date_range_board,E196,inputdata!$F:$F,"ED"),TEXT(SUMIFS(Comparison_Lookup,site_level_range_board,$B210,date_range_board,E196,inputdata!$F:$F,"ED")/SUMIFS(All_Attendances,site_level_range_board,$B210,date_range_board,E196,inputdata!$F:$F,"ED"),"0.0%")),IF(LEFT($B$7,6)="Number",SUMIFS(Comparison_Lookup,site_level_range_board,$B210,date_range_board,E196),TEXT(SUMIFS(Comparison_Lookup,site_level_range_board,$B210,date_range_board,E196)/SUMIFS(All_Attendances,site_level_range_board,$B210,date_range_board,E196),"0.0%"))),"")</f>
        <v>98.5%</v>
      </c>
      <c r="F210" s="168" t="str">
        <f ca="1">IFERROR(IF(ISNUMBER(FIND("ED only",$B$4)),IF(LEFT($B$7,6)="Number",SUMIFS(Comparison_Lookup,site_level_range_board,$B210,date_range_board,F196,inputdata!$F:$F,"ED"),TEXT(SUMIFS(Comparison_Lookup,site_level_range_board,$B210,date_range_board,F196,inputdata!$F:$F,"ED")/SUMIFS(All_Attendances,site_level_range_board,$B210,date_range_board,F196,inputdata!$F:$F,"ED"),"0.0%")),IF(LEFT($B$7,6)="Number",SUMIFS(Comparison_Lookup,site_level_range_board,$B210,date_range_board,F196),TEXT(SUMIFS(Comparison_Lookup,site_level_range_board,$B210,date_range_board,F196)/SUMIFS(All_Attendances,site_level_range_board,$B210,date_range_board,F196),"0.0%"))),"")</f>
        <v>97.6%</v>
      </c>
      <c r="G210" s="168" t="str">
        <f ca="1">IFERROR(IF(ISNUMBER(FIND("ED only",$B$4)),IF(LEFT($B$7,6)="Number",SUMIFS(Comparison_Lookup,site_level_range_board,$B210,date_range_board,G196,inputdata!$F:$F,"ED"),TEXT(SUMIFS(Comparison_Lookup,site_level_range_board,$B210,date_range_board,G196,inputdata!$F:$F,"ED")/SUMIFS(All_Attendances,site_level_range_board,$B210,date_range_board,G196,inputdata!$F:$F,"ED"),"0.0%")),IF(LEFT($B$7,6)="Number",SUMIFS(Comparison_Lookup,site_level_range_board,$B210,date_range_board,G196),TEXT(SUMIFS(Comparison_Lookup,site_level_range_board,$B210,date_range_board,G196)/SUMIFS(All_Attendances,site_level_range_board,$B210,date_range_board,G196),"0.0%"))),"")</f>
        <v>98.8%</v>
      </c>
      <c r="H210" s="168" t="str">
        <f ca="1">IFERROR(IF(ISNUMBER(FIND("ED only",$B$4)),IF(LEFT($B$7,6)="Number",SUMIFS(Comparison_Lookup,site_level_range_board,$B210,date_range_board,H196,inputdata!$F:$F,"ED"),TEXT(SUMIFS(Comparison_Lookup,site_level_range_board,$B210,date_range_board,H196,inputdata!$F:$F,"ED")/SUMIFS(All_Attendances,site_level_range_board,$B210,date_range_board,H196,inputdata!$F:$F,"ED"),"0.0%")),IF(LEFT($B$7,6)="Number",SUMIFS(Comparison_Lookup,site_level_range_board,$B210,date_range_board,H196),TEXT(SUMIFS(Comparison_Lookup,site_level_range_board,$B210,date_range_board,H196)/SUMIFS(All_Attendances,site_level_range_board,$B210,date_range_board,H196),"0.0%"))),"")</f>
        <v>97.1%</v>
      </c>
      <c r="I210" s="168" t="str">
        <f ca="1">IFERROR(IF(ISNUMBER(FIND("ED only",$B$4)),IF(LEFT($B$7,6)="Number",SUMIFS(Comparison_Lookup,site_level_range_board,$B210,date_range_board,I196,inputdata!$F:$F,"ED"),TEXT(SUMIFS(Comparison_Lookup,site_level_range_board,$B210,date_range_board,I196,inputdata!$F:$F,"ED")/SUMIFS(All_Attendances,site_level_range_board,$B210,date_range_board,I196,inputdata!$F:$F,"ED"),"0.0%")),IF(LEFT($B$7,6)="Number",SUMIFS(Comparison_Lookup,site_level_range_board,$B210,date_range_board,I196),TEXT(SUMIFS(Comparison_Lookup,site_level_range_board,$B210,date_range_board,I196)/SUMIFS(All_Attendances,site_level_range_board,$B210,date_range_board,I196),"0.0%"))),"")</f>
        <v>96.8%</v>
      </c>
      <c r="J210" s="168" t="str">
        <f ca="1">IFERROR(IF(ISNUMBER(FIND("ED only",$B$4)),IF(LEFT($B$7,6)="Number",SUMIFS(Comparison_Lookup,site_level_range_board,$B210,date_range_board,J196,inputdata!$F:$F,"ED"),TEXT(SUMIFS(Comparison_Lookup,site_level_range_board,$B210,date_range_board,J196,inputdata!$F:$F,"ED")/SUMIFS(All_Attendances,site_level_range_board,$B210,date_range_board,J196,inputdata!$F:$F,"ED"),"0.0%")),IF(LEFT($B$7,6)="Number",SUMIFS(Comparison_Lookup,site_level_range_board,$B210,date_range_board,J196),TEXT(SUMIFS(Comparison_Lookup,site_level_range_board,$B210,date_range_board,J196)/SUMIFS(All_Attendances,site_level_range_board,$B210,date_range_board,J196),"0.0%"))),"")</f>
        <v>98.6%</v>
      </c>
      <c r="K210" s="168" t="str">
        <f ca="1">IFERROR(IF(ISNUMBER(FIND("ED only",$B$4)),IF(LEFT($B$7,6)="Number",SUMIFS(Comparison_Lookup,site_level_range_board,$B210,date_range_board,K196,inputdata!$F:$F,"ED"),TEXT(SUMIFS(Comparison_Lookup,site_level_range_board,$B210,date_range_board,K196,inputdata!$F:$F,"ED")/SUMIFS(All_Attendances,site_level_range_board,$B210,date_range_board,K196,inputdata!$F:$F,"ED"),"0.0%")),IF(LEFT($B$7,6)="Number",SUMIFS(Comparison_Lookup,site_level_range_board,$B210,date_range_board,K196),TEXT(SUMIFS(Comparison_Lookup,site_level_range_board,$B210,date_range_board,K196)/SUMIFS(All_Attendances,site_level_range_board,$B210,date_range_board,K196),"0.0%"))),"")</f>
        <v>96.0%</v>
      </c>
      <c r="L210" s="168" t="str">
        <f ca="1">IFERROR(IF(ISNUMBER(FIND("ED only",$B$4)),IF(LEFT($B$7,6)="Number",SUMIFS(Comparison_Lookup,site_level_range_board,$B210,date_range_board,L196,inputdata!$F:$F,"ED"),TEXT(SUMIFS(Comparison_Lookup,site_level_range_board,$B210,date_range_board,L196,inputdata!$F:$F,"ED")/SUMIFS(All_Attendances,site_level_range_board,$B210,date_range_board,L196,inputdata!$F:$F,"ED"),"0.0%")),IF(LEFT($B$7,6)="Number",SUMIFS(Comparison_Lookup,site_level_range_board,$B210,date_range_board,L196),TEXT(SUMIFS(Comparison_Lookup,site_level_range_board,$B210,date_range_board,L196)/SUMIFS(All_Attendances,site_level_range_board,$B210,date_range_board,L196),"0.0%"))),"")</f>
        <v>97.3%</v>
      </c>
      <c r="M210" s="168" t="str">
        <f ca="1">IFERROR(IF(ISNUMBER(FIND("ED only",$B$4)),IF(LEFT($B$7,6)="Number",SUMIFS(Comparison_Lookup,site_level_range_board,$B210,date_range_board,M196,inputdata!$F:$F,"ED"),TEXT(SUMIFS(Comparison_Lookup,site_level_range_board,$B210,date_range_board,M196,inputdata!$F:$F,"ED")/SUMIFS(All_Attendances,site_level_range_board,$B210,date_range_board,M196,inputdata!$F:$F,"ED"),"0.0%")),IF(LEFT($B$7,6)="Number",SUMIFS(Comparison_Lookup,site_level_range_board,$B210,date_range_board,M196),TEXT(SUMIFS(Comparison_Lookup,site_level_range_board,$B210,date_range_board,M196)/SUMIFS(All_Attendances,site_level_range_board,$B210,date_range_board,M196),"0.0%"))),"")</f>
        <v>97.8%</v>
      </c>
      <c r="N210" s="172" t="str">
        <f ca="1">IFERROR(IF(ISNUMBER(FIND("ED only",$B$4)),IF(LEFT($B$7,6)="Number",SUMIFS(Comparison_Lookup,site_level_range_board,$B210,date_range_board,N196,inputdata!$F:$F,"ED"),TEXT(SUMIFS(Comparison_Lookup,site_level_range_board,$B210,date_range_board,N196,inputdata!$F:$F,"ED")/SUMIFS(All_Attendances,site_level_range_board,$B210,date_range_board,N196,inputdata!$F:$F,"ED"),"0.0%")),IF(LEFT($B$7,6)="Number",SUMIFS(Comparison_Lookup,site_level_range_board,$B210,date_range_board,N196),TEXT(SUMIFS(Comparison_Lookup,site_level_range_board,$B210,date_range_board,N196)/SUMIFS(All_Attendances,site_level_range_board,$B210,date_range_board,N196),"0.0%"))),"")</f>
        <v>97.7%</v>
      </c>
    </row>
    <row r="211" spans="1:14" ht="15" customHeight="1" x14ac:dyDescent="0.2">
      <c r="A211" s="132"/>
      <c r="B211" s="170" t="s">
        <v>406</v>
      </c>
      <c r="C211" s="169" t="str">
        <f ca="1">IFERROR(IF(ISNUMBER(FIND("ED only",$B$4)),IF(LEFT($B$7,6)="Number",SUMIFS(Comparison_Lookup,date_range_board,C196,inputdata!$F:$F,"ED"),TEXT(SUMIFS(Comparison_Lookup,date_range_board,C196,inputdata!$F:$F,"ED")/SUMIFS(All_Attendances,date_range_board,C196,inputdata!$F:$F,"ED"),"0.0%")),IF(LEFT($B$7,6)="Number",SUMIFS(Comparison_Lookup,date_range_board,C196),TEXT(SUMIFS(Comparison_Lookup,date_range_board,C196)/SUMIFS(All_Attendances,date_range_board,C196
        ),"0.0%"))),"")</f>
        <v>95.9%</v>
      </c>
      <c r="D211" s="169" t="str">
        <f ca="1">IFERROR(IF(ISNUMBER(FIND("ED only",$B$4)),IF(LEFT($B$7,6)="Number",SUMIFS(Comparison_Lookup,date_range_board,D196,inputdata!$F:$F,"ED"),TEXT(SUMIFS(Comparison_Lookup,date_range_board,D196,inputdata!$F:$F,"ED")/SUMIFS(All_Attendances,date_range_board,D196,inputdata!$F:$F,"ED"),"0.0%")),IF(LEFT($B$7,6)="Number",SUMIFS(Comparison_Lookup,date_range_board,D196),TEXT(SUMIFS(Comparison_Lookup,date_range_board,D196)/SUMIFS(All_Attendances,date_range_board,D196
        ),"0.0%"))),"")</f>
        <v>95.9%</v>
      </c>
      <c r="E211" s="169" t="str">
        <f ca="1">IFERROR(IF(ISNUMBER(FIND("ED only",$B$4)),IF(LEFT($B$7,6)="Number",SUMIFS(Comparison_Lookup,date_range_board,E196,inputdata!$F:$F,"ED"),TEXT(SUMIFS(Comparison_Lookup,date_range_board,E196,inputdata!$F:$F,"ED")/SUMIFS(All_Attendances,date_range_board,E196,inputdata!$F:$F,"ED"),"0.0%")),IF(LEFT($B$7,6)="Number",SUMIFS(Comparison_Lookup,date_range_board,E196),TEXT(SUMIFS(Comparison_Lookup,date_range_board,E196)/SUMIFS(All_Attendances,date_range_board,E196
        ),"0.0%"))),"")</f>
        <v>96.0%</v>
      </c>
      <c r="F211" s="169" t="str">
        <f ca="1">IFERROR(IF(ISNUMBER(FIND("ED only",$B$4)),IF(LEFT($B$7,6)="Number",SUMIFS(Comparison_Lookup,date_range_board,F196,inputdata!$F:$F,"ED"),TEXT(SUMIFS(Comparison_Lookup,date_range_board,F196,inputdata!$F:$F,"ED")/SUMIFS(All_Attendances,date_range_board,F196,inputdata!$F:$F,"ED"),"0.0%")),IF(LEFT($B$7,6)="Number",SUMIFS(Comparison_Lookup,date_range_board,F196),TEXT(SUMIFS(Comparison_Lookup,date_range_board,F196)/SUMIFS(All_Attendances,date_range_board,F196
        ),"0.0%"))),"")</f>
        <v>97.1%</v>
      </c>
      <c r="G211" s="169" t="str">
        <f ca="1">IFERROR(IF(ISNUMBER(FIND("ED only",$B$4)),IF(LEFT($B$7,6)="Number",SUMIFS(Comparison_Lookup,date_range_board,G196,inputdata!$F:$F,"ED"),TEXT(SUMIFS(Comparison_Lookup,date_range_board,G196,inputdata!$F:$F,"ED")/SUMIFS(All_Attendances,date_range_board,G196,inputdata!$F:$F,"ED"),"0.0%")),IF(LEFT($B$7,6)="Number",SUMIFS(Comparison_Lookup,date_range_board,G196),TEXT(SUMIFS(Comparison_Lookup,date_range_board,G196)/SUMIFS(All_Attendances,date_range_board,G196
        ),"0.0%"))),"")</f>
        <v>97.0%</v>
      </c>
      <c r="H211" s="169" t="str">
        <f ca="1">IFERROR(IF(ISNUMBER(FIND("ED only",$B$4)),IF(LEFT($B$7,6)="Number",SUMIFS(Comparison_Lookup,date_range_board,H196,inputdata!$F:$F,"ED"),TEXT(SUMIFS(Comparison_Lookup,date_range_board,H196,inputdata!$F:$F,"ED")/SUMIFS(All_Attendances,date_range_board,H196,inputdata!$F:$F,"ED"),"0.0%")),IF(LEFT($B$7,6)="Number",SUMIFS(Comparison_Lookup,date_range_board,H196),TEXT(SUMIFS(Comparison_Lookup,date_range_board,H196)/SUMIFS(All_Attendances,date_range_board,H196
        ),"0.0%"))),"")</f>
        <v>96.0%</v>
      </c>
      <c r="I211" s="169" t="str">
        <f ca="1">IFERROR(IF(ISNUMBER(FIND("ED only",$B$4)),IF(LEFT($B$7,6)="Number",SUMIFS(Comparison_Lookup,date_range_board,I196,inputdata!$F:$F,"ED"),TEXT(SUMIFS(Comparison_Lookup,date_range_board,I196,inputdata!$F:$F,"ED")/SUMIFS(All_Attendances,date_range_board,I196,inputdata!$F:$F,"ED"),"0.0%")),IF(LEFT($B$7,6)="Number",SUMIFS(Comparison_Lookup,date_range_board,I196),TEXT(SUMIFS(Comparison_Lookup,date_range_board,I196)/SUMIFS(All_Attendances,date_range_board,I196
        ),"0.0%"))),"")</f>
        <v>95.9%</v>
      </c>
      <c r="J211" s="169" t="str">
        <f ca="1">IFERROR(IF(ISNUMBER(FIND("ED only",$B$4)),IF(LEFT($B$7,6)="Number",SUMIFS(Comparison_Lookup,date_range_board,J196,inputdata!$F:$F,"ED"),TEXT(SUMIFS(Comparison_Lookup,date_range_board,J196,inputdata!$F:$F,"ED")/SUMIFS(All_Attendances,date_range_board,J196,inputdata!$F:$F,"ED"),"0.0%")),IF(LEFT($B$7,6)="Number",SUMIFS(Comparison_Lookup,date_range_board,J196),TEXT(SUMIFS(Comparison_Lookup,date_range_board,J196)/SUMIFS(All_Attendances,date_range_board,J196
        ),"0.0%"))),"")</f>
        <v>96.3%</v>
      </c>
      <c r="K211" s="169" t="str">
        <f ca="1">IFERROR(IF(ISNUMBER(FIND("ED only",$B$4)),IF(LEFT($B$7,6)="Number",SUMIFS(Comparison_Lookup,date_range_board,K196,inputdata!$F:$F,"ED"),TEXT(SUMIFS(Comparison_Lookup,date_range_board,K196,inputdata!$F:$F,"ED")/SUMIFS(All_Attendances,date_range_board,K196,inputdata!$F:$F,"ED"),"0.0%")),IF(LEFT($B$7,6)="Number",SUMIFS(Comparison_Lookup,date_range_board,K196),TEXT(SUMIFS(Comparison_Lookup,date_range_board,K196)/SUMIFS(All_Attendances,date_range_board,K196
        ),"0.0%"))),"")</f>
        <v>94.7%</v>
      </c>
      <c r="L211" s="169" t="str">
        <f ca="1">IFERROR(IF(ISNUMBER(FIND("ED only",$B$4)),IF(LEFT($B$7,6)="Number",SUMIFS(Comparison_Lookup,date_range_board,L196,inputdata!$F:$F,"ED"),TEXT(SUMIFS(Comparison_Lookup,date_range_board,L196,inputdata!$F:$F,"ED")/SUMIFS(All_Attendances,date_range_board,L196,inputdata!$F:$F,"ED"),"0.0%")),IF(LEFT($B$7,6)="Number",SUMIFS(Comparison_Lookup,date_range_board,L196),TEXT(SUMIFS(Comparison_Lookup,date_range_board,L196)/SUMIFS(All_Attendances,date_range_board,L196
        ),"0.0%"))),"")</f>
        <v>94.3%</v>
      </c>
      <c r="M211" s="169" t="str">
        <f ca="1">IFERROR(IF(ISNUMBER(FIND("ED only",$B$4)),IF(LEFT($B$7,6)="Number",SUMIFS(Comparison_Lookup,date_range_board,M196,inputdata!$F:$F,"ED"),TEXT(SUMIFS(Comparison_Lookup,date_range_board,M196,inputdata!$F:$F,"ED")/SUMIFS(All_Attendances,date_range_board,M196,inputdata!$F:$F,"ED"),"0.0%")),IF(LEFT($B$7,6)="Number",SUMIFS(Comparison_Lookup,date_range_board,M196),TEXT(SUMIFS(Comparison_Lookup,date_range_board,M196)/SUMIFS(All_Attendances,date_range_board,M196
        ),"0.0%"))),"")</f>
        <v>94.4%</v>
      </c>
      <c r="N211" s="173" t="str">
        <f ca="1">IFERROR(IF(ISNUMBER(FIND("ED only",$B$4)),IF(LEFT($B$7,6)="Number",SUMIFS(Comparison_Lookup,date_range_board,N196,inputdata!$F:$F,"ED"),TEXT(SUMIFS(Comparison_Lookup,date_range_board,N196,inputdata!$F:$F,"ED")/SUMIFS(All_Attendances,date_range_board,N196,inputdata!$F:$F,"ED"),"0.0%")),IF(LEFT($B$7,6)="Number",SUMIFS(Comparison_Lookup,date_range_board,N196),TEXT(SUMIFS(Comparison_Lookup,date_range_board,N196)/SUMIFS(All_Attendances,date_range_board,N196
        ),"0.0%"))),"")</f>
        <v>95.4%</v>
      </c>
    </row>
  </sheetData>
  <mergeCells count="1">
    <mergeCell ref="L2:N2"/>
  </mergeCells>
  <dataValidations count="2">
    <dataValidation type="list" allowBlank="1" showInputMessage="1" showErrorMessage="1" sqref="B4" xr:uid="{00000000-0002-0000-0200-000000000000}">
      <formula1>$R$4:$R$5</formula1>
    </dataValidation>
    <dataValidation type="list" allowBlank="1" showInputMessage="1" showErrorMessage="1" sqref="B7" xr:uid="{00000000-0002-0000-0200-000001000000}">
      <formula1>$R$7:$R$10</formula1>
    </dataValidation>
  </dataValidations>
  <hyperlinks>
    <hyperlink ref="L2" location="'Contents&amp;Notes'!A1" display="Return to Contents &amp; Notes" xr:uid="{00000000-0004-0000-0200-000000000000}"/>
  </hyperlinks>
  <pageMargins left="0.70866141732283472" right="0.70866141732283472" top="0.74803149606299213" bottom="0.74803149606299213" header="0.31496062992125984" footer="0.31496062992125984"/>
  <pageSetup scale="71"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260"/>
  <sheetViews>
    <sheetView showGridLines="0" zoomScale="110" zoomScaleNormal="110" workbookViewId="0"/>
  </sheetViews>
  <sheetFormatPr defaultColWidth="11.42578125" defaultRowHeight="12.75" x14ac:dyDescent="0.2"/>
  <cols>
    <col min="1" max="1" width="2.28515625" customWidth="1"/>
    <col min="2" max="2" width="40.42578125" customWidth="1"/>
    <col min="3" max="14" width="10.7109375" customWidth="1"/>
    <col min="16" max="16" width="12.7109375" customWidth="1"/>
    <col min="17" max="17" width="14.42578125" customWidth="1"/>
    <col min="18" max="18" width="10.7109375" hidden="1" customWidth="1"/>
    <col min="19" max="21" width="10.140625" customWidth="1"/>
  </cols>
  <sheetData>
    <row r="1" spans="2:18" ht="20.100000000000001" customHeight="1" x14ac:dyDescent="0.3">
      <c r="B1" s="47" t="s">
        <v>205</v>
      </c>
      <c r="C1" s="49"/>
      <c r="D1" s="49"/>
      <c r="E1" s="49"/>
      <c r="F1" s="49"/>
      <c r="G1" s="49"/>
      <c r="H1" s="49"/>
      <c r="I1" s="49"/>
      <c r="J1" s="49"/>
      <c r="K1" s="49"/>
      <c r="L1" s="49"/>
      <c r="M1" s="49"/>
      <c r="N1" s="22" t="s">
        <v>637</v>
      </c>
    </row>
    <row r="2" spans="2:18" ht="15" customHeight="1" x14ac:dyDescent="0.2">
      <c r="L2" s="202" t="s">
        <v>19</v>
      </c>
      <c r="M2" s="202"/>
      <c r="N2" s="202"/>
    </row>
    <row r="3" spans="2:18" x14ac:dyDescent="0.2">
      <c r="B3" s="203" t="s">
        <v>20</v>
      </c>
      <c r="C3" s="203"/>
      <c r="D3" s="204" t="str">
        <f>IF(VLOOKUP(Lookups!J5,Lookups!B4:F142,4,FALSE)=0,"",VLOOKUP(Lookups!J5,Lookups!B4:F142,4,FALSE))</f>
        <v>Please refer to all the notes when interpreting NHS Scotland level data</v>
      </c>
      <c r="E3" s="201"/>
      <c r="F3" s="201"/>
      <c r="G3" s="201"/>
      <c r="H3" s="201"/>
      <c r="I3" s="201"/>
      <c r="J3" s="201"/>
      <c r="K3" s="201"/>
      <c r="L3" s="201"/>
    </row>
    <row r="4" spans="2:18" ht="21.75" customHeight="1" x14ac:dyDescent="0.2">
      <c r="B4" s="48" t="s">
        <v>315</v>
      </c>
      <c r="C4" s="46"/>
      <c r="D4" s="201"/>
      <c r="E4" s="201"/>
      <c r="F4" s="201"/>
      <c r="G4" s="201"/>
      <c r="H4" s="201"/>
      <c r="I4" s="201"/>
      <c r="J4" s="201"/>
      <c r="K4" s="201"/>
      <c r="L4" s="201"/>
      <c r="R4" s="50" t="s">
        <v>315</v>
      </c>
    </row>
    <row r="5" spans="2:18" ht="14.25" x14ac:dyDescent="0.2">
      <c r="D5" s="201"/>
      <c r="E5" s="201"/>
      <c r="F5" s="201"/>
      <c r="G5" s="201"/>
      <c r="H5" s="201"/>
      <c r="I5" s="201"/>
      <c r="J5" s="201"/>
      <c r="K5" s="201"/>
      <c r="L5" s="201"/>
      <c r="R5" s="50" t="s">
        <v>316</v>
      </c>
    </row>
    <row r="6" spans="2:18" ht="18" customHeight="1" x14ac:dyDescent="0.25">
      <c r="B6" s="205" t="str">
        <f>Lookups!$T$6</f>
        <v>NHS Scotland: attendance and compliance with 4 hour waiting time standard</v>
      </c>
      <c r="C6" s="205"/>
      <c r="D6" s="205"/>
      <c r="E6" s="205"/>
      <c r="F6" s="205"/>
      <c r="G6" s="205"/>
      <c r="H6" s="205"/>
      <c r="I6" s="205"/>
      <c r="J6" s="205"/>
      <c r="K6" s="205"/>
      <c r="L6" s="205"/>
      <c r="R6" s="50" t="s">
        <v>199</v>
      </c>
    </row>
    <row r="7" spans="2:18" ht="14.25" x14ac:dyDescent="0.2">
      <c r="R7" s="50" t="s">
        <v>317</v>
      </c>
    </row>
    <row r="8" spans="2:18" ht="14.25" x14ac:dyDescent="0.2">
      <c r="R8" s="50" t="s">
        <v>22</v>
      </c>
    </row>
    <row r="9" spans="2:18" ht="15" x14ac:dyDescent="0.25">
      <c r="B9" s="51"/>
      <c r="R9" s="50" t="s">
        <v>230</v>
      </c>
    </row>
    <row r="10" spans="2:18" ht="15" x14ac:dyDescent="0.25">
      <c r="B10" s="51"/>
      <c r="R10" s="50" t="s">
        <v>23</v>
      </c>
    </row>
    <row r="11" spans="2:18" ht="15" x14ac:dyDescent="0.25">
      <c r="B11" s="51"/>
      <c r="R11" s="50" t="s">
        <v>231</v>
      </c>
    </row>
    <row r="12" spans="2:18" ht="15" x14ac:dyDescent="0.25">
      <c r="B12" s="51"/>
      <c r="R12" s="50" t="s">
        <v>109</v>
      </c>
    </row>
    <row r="13" spans="2:18" ht="15" x14ac:dyDescent="0.25">
      <c r="B13" s="51"/>
      <c r="R13" s="50" t="s">
        <v>110</v>
      </c>
    </row>
    <row r="14" spans="2:18" ht="15" x14ac:dyDescent="0.25">
      <c r="B14" s="51"/>
      <c r="R14" s="50" t="s">
        <v>98</v>
      </c>
    </row>
    <row r="15" spans="2:18" ht="15" x14ac:dyDescent="0.25">
      <c r="B15" s="51"/>
      <c r="R15" s="50" t="s">
        <v>318</v>
      </c>
    </row>
    <row r="16" spans="2:18" ht="15" x14ac:dyDescent="0.25">
      <c r="B16" s="51"/>
      <c r="R16" s="50" t="s">
        <v>319</v>
      </c>
    </row>
    <row r="17" spans="2:18" ht="15" x14ac:dyDescent="0.25">
      <c r="B17" s="51"/>
      <c r="R17" s="50" t="s">
        <v>25</v>
      </c>
    </row>
    <row r="18" spans="2:18" ht="15" x14ac:dyDescent="0.25">
      <c r="B18" s="51"/>
      <c r="R18" s="50" t="s">
        <v>320</v>
      </c>
    </row>
    <row r="19" spans="2:18" ht="15" x14ac:dyDescent="0.25">
      <c r="B19" s="51"/>
      <c r="R19" s="50" t="s">
        <v>26</v>
      </c>
    </row>
    <row r="20" spans="2:18" ht="15" x14ac:dyDescent="0.25">
      <c r="B20" s="51"/>
      <c r="R20" s="50" t="s">
        <v>232</v>
      </c>
    </row>
    <row r="21" spans="2:18" ht="15" x14ac:dyDescent="0.25">
      <c r="B21" s="51"/>
      <c r="R21" s="50" t="s">
        <v>321</v>
      </c>
    </row>
    <row r="22" spans="2:18" ht="15" x14ac:dyDescent="0.25">
      <c r="B22" s="51"/>
      <c r="R22" s="50" t="s">
        <v>322</v>
      </c>
    </row>
    <row r="23" spans="2:18" ht="15" x14ac:dyDescent="0.25">
      <c r="B23" s="51"/>
      <c r="R23" s="50" t="s">
        <v>323</v>
      </c>
    </row>
    <row r="24" spans="2:18" ht="15" x14ac:dyDescent="0.25">
      <c r="B24" s="51"/>
      <c r="R24" s="50" t="s">
        <v>324</v>
      </c>
    </row>
    <row r="25" spans="2:18" ht="15" x14ac:dyDescent="0.25">
      <c r="B25" s="51"/>
      <c r="R25" s="50" t="s">
        <v>325</v>
      </c>
    </row>
    <row r="26" spans="2:18" ht="15" x14ac:dyDescent="0.25">
      <c r="B26" s="51"/>
      <c r="R26" s="50" t="s">
        <v>28</v>
      </c>
    </row>
    <row r="27" spans="2:18" ht="15" x14ac:dyDescent="0.25">
      <c r="B27" s="51"/>
      <c r="R27" s="50" t="s">
        <v>233</v>
      </c>
    </row>
    <row r="28" spans="2:18" ht="15" x14ac:dyDescent="0.25">
      <c r="B28" s="51"/>
      <c r="R28" s="50" t="s">
        <v>234</v>
      </c>
    </row>
    <row r="29" spans="2:18" ht="15" x14ac:dyDescent="0.25">
      <c r="B29" s="51"/>
      <c r="R29" s="50" t="s">
        <v>99</v>
      </c>
    </row>
    <row r="30" spans="2:18" ht="15" x14ac:dyDescent="0.25">
      <c r="B30" s="51"/>
      <c r="R30" s="50" t="s">
        <v>326</v>
      </c>
    </row>
    <row r="31" spans="2:18" ht="15" x14ac:dyDescent="0.25">
      <c r="B31" s="51"/>
      <c r="R31" s="50" t="s">
        <v>327</v>
      </c>
    </row>
    <row r="32" spans="2:18" ht="15" x14ac:dyDescent="0.25">
      <c r="B32" s="51"/>
      <c r="R32" s="50" t="s">
        <v>29</v>
      </c>
    </row>
    <row r="33" spans="1:18" ht="15" x14ac:dyDescent="0.25">
      <c r="B33" s="51"/>
      <c r="R33" s="50" t="s">
        <v>31</v>
      </c>
    </row>
    <row r="34" spans="1:18" ht="15" x14ac:dyDescent="0.25">
      <c r="B34" s="51"/>
      <c r="R34" s="50" t="s">
        <v>235</v>
      </c>
    </row>
    <row r="35" spans="1:18" ht="15" x14ac:dyDescent="0.25">
      <c r="B35" s="51"/>
      <c r="R35" s="50" t="s">
        <v>30</v>
      </c>
    </row>
    <row r="36" spans="1:18" ht="4.5" customHeight="1" x14ac:dyDescent="0.25">
      <c r="B36" s="51"/>
      <c r="R36" s="50" t="s">
        <v>97</v>
      </c>
    </row>
    <row r="37" spans="1:18" ht="5.25" customHeight="1" x14ac:dyDescent="0.25">
      <c r="B37" s="126"/>
      <c r="C37" s="127"/>
      <c r="D37" s="127"/>
      <c r="E37" s="127"/>
      <c r="F37" s="127"/>
      <c r="G37" s="127"/>
      <c r="H37" s="127"/>
      <c r="I37" s="127"/>
      <c r="J37" s="127"/>
      <c r="K37" s="127"/>
      <c r="L37" s="127"/>
      <c r="M37" s="127"/>
      <c r="N37" s="127"/>
      <c r="R37" s="50" t="s">
        <v>328</v>
      </c>
    </row>
    <row r="38" spans="1:18" ht="15" customHeight="1" x14ac:dyDescent="0.25">
      <c r="A38" s="132"/>
      <c r="B38" s="136" t="s">
        <v>723</v>
      </c>
      <c r="C38" s="128">
        <v>44681</v>
      </c>
      <c r="D38" s="128">
        <v>44712</v>
      </c>
      <c r="E38" s="128">
        <v>44742</v>
      </c>
      <c r="F38" s="128">
        <v>44773</v>
      </c>
      <c r="G38" s="128">
        <v>44804</v>
      </c>
      <c r="H38" s="128">
        <v>44834</v>
      </c>
      <c r="I38" s="128">
        <v>44865</v>
      </c>
      <c r="J38" s="128">
        <v>44895</v>
      </c>
      <c r="K38" s="128">
        <v>44926</v>
      </c>
      <c r="L38" s="128">
        <v>44957</v>
      </c>
      <c r="M38" s="128"/>
      <c r="N38" s="143"/>
      <c r="R38" s="50" t="s">
        <v>33</v>
      </c>
    </row>
    <row r="39" spans="1:18" ht="15" customHeight="1" x14ac:dyDescent="0.2">
      <c r="A39" s="132"/>
      <c r="B39" s="133" t="s">
        <v>724</v>
      </c>
      <c r="C39" s="124">
        <f ca="1">IF(IF(ISNUMBER(FIND("ED only",$B$4)),SUMIFS(sum_range,site_level_range,LEFT($B$4,LEN($B$4)-10),date_range,C38,inputdata!$E:$E,"*- ED*"),SUMIFS(sum_range,site_level_range,$B$4,date_range,C38))=0,"-",IF(ISNUMBER(FIND("ED only",$B$4)),SUMIFS(sum_range,site_level_range,LEFT($B$4,LEN($B$4)-10),date_range,C38,inputdata!$E:$E,"*- ED*"),SUMIFS(sum_range,site_level_range,$B$4,date_range,C38)))</f>
        <v>122806</v>
      </c>
      <c r="D39" s="124">
        <f ca="1">IF(IF(ISNUMBER(FIND("ED only",$B$4)),SUMIFS(sum_range,site_level_range,LEFT($B$4,LEN($B$4)-10),date_range,D38,inputdata!$E:$E,"*- ED*"),SUMIFS(sum_range,site_level_range,$B$4,date_range,D38))=0,"-",IF(ISNUMBER(FIND("ED only",$B$4)),SUMIFS(sum_range,site_level_range,LEFT($B$4,LEN($B$4)-10),date_range,D38,inputdata!$E:$E,"*- ED*"),SUMIFS(sum_range,site_level_range,$B$4,date_range,D38)))</f>
        <v>138975</v>
      </c>
      <c r="E39" s="124">
        <f ca="1">IF(IF(ISNUMBER(FIND("ED only",$B$4)),SUMIFS(sum_range,site_level_range,LEFT($B$4,LEN($B$4)-10),date_range,E38,inputdata!$E:$E,"*- ED*"),SUMIFS(sum_range,site_level_range,$B$4,date_range,E38))=0,"-",IF(ISNUMBER(FIND("ED only",$B$4)),SUMIFS(sum_range,site_level_range,LEFT($B$4,LEN($B$4)-10),date_range,E38,inputdata!$E:$E,"*- ED*"),SUMIFS(sum_range,site_level_range,$B$4,date_range,E38)))</f>
        <v>135843</v>
      </c>
      <c r="F39" s="124">
        <f ca="1">IF(IF(ISNUMBER(FIND("ED only",$B$4)),SUMIFS(sum_range,site_level_range,LEFT($B$4,LEN($B$4)-10),date_range,F38,inputdata!$E:$E,"*- ED*"),SUMIFS(sum_range,site_level_range,$B$4,date_range,F38))=0,"-",IF(ISNUMBER(FIND("ED only",$B$4)),SUMIFS(sum_range,site_level_range,LEFT($B$4,LEN($B$4)-10),date_range,F38,inputdata!$E:$E,"*- ED*"),SUMIFS(sum_range,site_level_range,$B$4,date_range,F38)))</f>
        <v>129273</v>
      </c>
      <c r="G39" s="124">
        <f ca="1">IF(IF(ISNUMBER(FIND("ED only",$B$4)),SUMIFS(sum_range,site_level_range,LEFT($B$4,LEN($B$4)-10),date_range,G38,inputdata!$E:$E,"*- ED*"),SUMIFS(sum_range,site_level_range,$B$4,date_range,G38))=0,"-",IF(ISNUMBER(FIND("ED only",$B$4)),SUMIFS(sum_range,site_level_range,LEFT($B$4,LEN($B$4)-10),date_range,G38,inputdata!$E:$E,"*- ED*"),SUMIFS(sum_range,site_level_range,$B$4,date_range,G38)))</f>
        <v>135712</v>
      </c>
      <c r="H39" s="124">
        <f ca="1">IF(IF(ISNUMBER(FIND("ED only",$B$4)),SUMIFS(sum_range,site_level_range,LEFT($B$4,LEN($B$4)-10),date_range,H38,inputdata!$E:$E,"*- ED*"),SUMIFS(sum_range,site_level_range,$B$4,date_range,H38))=0,"-",IF(ISNUMBER(FIND("ED only",$B$4)),SUMIFS(sum_range,site_level_range,LEFT($B$4,LEN($B$4)-10),date_range,H38,inputdata!$E:$E,"*- ED*"),SUMIFS(sum_range,site_level_range,$B$4,date_range,H38)))</f>
        <v>131573</v>
      </c>
      <c r="I39" s="124">
        <f ca="1">IF(IF(ISNUMBER(FIND("ED only",$B$4)),SUMIFS(sum_range,site_level_range,LEFT($B$4,LEN($B$4)-10),date_range,I38,inputdata!$E:$E,"*- ED*"),SUMIFS(sum_range,site_level_range,$B$4,date_range,I38))=0,"-",IF(ISNUMBER(FIND("ED only",$B$4)),SUMIFS(sum_range,site_level_range,LEFT($B$4,LEN($B$4)-10),date_range,I38,inputdata!$E:$E,"*- ED*"),SUMIFS(sum_range,site_level_range,$B$4,date_range,I38)))</f>
        <v>129849</v>
      </c>
      <c r="J39" s="124">
        <f ca="1">IF(IF(ISNUMBER(FIND("ED only",$B$4)),SUMIFS(sum_range,site_level_range,LEFT($B$4,LEN($B$4)-10),date_range,J38,inputdata!$E:$E,"*- ED*"),SUMIFS(sum_range,site_level_range,$B$4,date_range,J38))=0,"-",IF(ISNUMBER(FIND("ED only",$B$4)),SUMIFS(sum_range,site_level_range,LEFT($B$4,LEN($B$4)-10),date_range,J38,inputdata!$E:$E,"*- ED*"),SUMIFS(sum_range,site_level_range,$B$4,date_range,J38)))</f>
        <v>126224</v>
      </c>
      <c r="K39" s="124">
        <f ca="1">IF(IF(ISNUMBER(FIND("ED only",$B$4)),SUMIFS(sum_range,site_level_range,LEFT($B$4,LEN($B$4)-10),date_range,K38,inputdata!$E:$E,"*- ED*"),SUMIFS(sum_range,site_level_range,$B$4,date_range,K38))=0,"-",IF(ISNUMBER(FIND("ED only",$B$4)),SUMIFS(sum_range,site_level_range,LEFT($B$4,LEN($B$4)-10),date_range,K38,inputdata!$E:$E,"*- ED*"),SUMIFS(sum_range,site_level_range,$B$4,date_range,K38)))</f>
        <v>130007</v>
      </c>
      <c r="L39" s="124">
        <f ca="1">IF(IF(ISNUMBER(FIND("ED only",$B$4)),SUMIFS(sum_range,site_level_range,LEFT($B$4,LEN($B$4)-10),date_range,L38,inputdata!$E:$E,"*- ED*"),SUMIFS(sum_range,site_level_range,$B$4,date_range,L38))=0,"-",IF(ISNUMBER(FIND("ED only",$B$4)),SUMIFS(sum_range,site_level_range,LEFT($B$4,LEN($B$4)-10),date_range,L38,inputdata!$E:$E,"*- ED*"),SUMIFS(sum_range,site_level_range,$B$4,date_range,L38)))</f>
        <v>114103</v>
      </c>
      <c r="M39" s="124"/>
      <c r="N39" s="141"/>
      <c r="R39" s="50" t="s">
        <v>238</v>
      </c>
    </row>
    <row r="40" spans="1:18" ht="15" customHeight="1" x14ac:dyDescent="0.2">
      <c r="A40" s="132"/>
      <c r="B40" s="134" t="s">
        <v>725</v>
      </c>
      <c r="C40" s="124">
        <f ca="1">IF(AND(MONTH(C38)=3,ISNUMBER($N39),ISNUMBER($C39)),SUM($C39:C39),IF(AND(MONTH(C38)&lt;&gt;3,ISNUMBER(C39),ISNUMBER(D53)),SUM($C39:C39,D53:$N53),"-"))</f>
        <v>1496478</v>
      </c>
      <c r="D40" s="124">
        <f ca="1">IF(AND(MONTH(D38)=3,ISNUMBER($N39),ISNUMBER($C39)),SUM($C39:D39),IF(AND(MONTH(D38)&lt;&gt;3,ISNUMBER(D39),ISNUMBER(E53)),SUM($C39:D39,E53:$N53),"-"))</f>
        <v>1505872</v>
      </c>
      <c r="E40" s="124">
        <f ca="1">IF(AND(MONTH(E38)=3,ISNUMBER($N39),ISNUMBER($C39)),SUM($C39:E39),IF(AND(MONTH(E38)&lt;&gt;3,ISNUMBER(E39),ISNUMBER(F53)),SUM($C39:E39,F53:$N53),"-"))</f>
        <v>1504615</v>
      </c>
      <c r="F40" s="124">
        <f ca="1">IF(AND(MONTH(F38)=3,ISNUMBER($N39),ISNUMBER($C39)),SUM($C39:F39),IF(AND(MONTH(F38)&lt;&gt;3,ISNUMBER(F39),ISNUMBER(G53)),SUM($C39:F39,G53:$N53),"-"))</f>
        <v>1501059</v>
      </c>
      <c r="G40" s="124">
        <f ca="1">IF(AND(MONTH(G38)=3,ISNUMBER($N39),ISNUMBER($C39)),SUM($C39:G39),IF(AND(MONTH(G38)&lt;&gt;3,ISNUMBER(G39),ISNUMBER(H53)),SUM($C39:G39,H53:$N53),"-"))</f>
        <v>1500233</v>
      </c>
      <c r="H40" s="124">
        <f ca="1">IF(AND(MONTH(H38)=3,ISNUMBER($N39),ISNUMBER($C39)),SUM($C39:H39),IF(AND(MONTH(H38)&lt;&gt;3,ISNUMBER(H39),ISNUMBER(I53)),SUM($C39:H39,I53:$N53),"-"))</f>
        <v>1500024</v>
      </c>
      <c r="I40" s="124">
        <f ca="1">IF(AND(MONTH(I38)=3,ISNUMBER($N39),ISNUMBER($C39)),SUM($C39:I39),IF(AND(MONTH(I38)&lt;&gt;3,ISNUMBER(I39),ISNUMBER(J53)),SUM($C39:I39,J53:$N53),"-"))</f>
        <v>1505417</v>
      </c>
      <c r="J40" s="124">
        <f ca="1">IF(AND(MONTH(J38)=3,ISNUMBER($N39),ISNUMBER($C39)),SUM($C39:J39),IF(AND(MONTH(J38)&lt;&gt;3,ISNUMBER(J39),ISNUMBER(K53)),SUM($C39:J39,K53:$N53),"-"))</f>
        <v>1512675</v>
      </c>
      <c r="K40" s="124">
        <f ca="1">IF(AND(MONTH(K38)=3,ISNUMBER($N39),ISNUMBER($C39)),SUM($C39:K39),IF(AND(MONTH(K38)&lt;&gt;3,ISNUMBER(K39),ISNUMBER(L53)),SUM($C39:K39,L53:$N53),"-"))</f>
        <v>1531638</v>
      </c>
      <c r="L40" s="124">
        <f ca="1">IF(AND(MONTH(L38)=3,ISNUMBER($N39),ISNUMBER($C39)),SUM($C39:L39),IF(AND(MONTH(L38)&lt;&gt;3,ISNUMBER(L39),ISNUMBER(M53)),SUM($C39:L39,M53:$N53),"-"))</f>
        <v>1534999</v>
      </c>
      <c r="M40" s="124"/>
      <c r="N40" s="141"/>
      <c r="R40" s="50" t="s">
        <v>329</v>
      </c>
    </row>
    <row r="41" spans="1:18" ht="15" customHeight="1" x14ac:dyDescent="0.2">
      <c r="A41" s="132"/>
      <c r="B41" s="137" t="s">
        <v>726</v>
      </c>
      <c r="C41" s="129">
        <f t="shared" ref="C41:L41" ca="1" si="0">IF(ISNUMBER(C40),C40/12,NA())</f>
        <v>124706.5</v>
      </c>
      <c r="D41" s="129">
        <f t="shared" ca="1" si="0"/>
        <v>125489.33333333333</v>
      </c>
      <c r="E41" s="129">
        <f t="shared" ca="1" si="0"/>
        <v>125384.58333333333</v>
      </c>
      <c r="F41" s="129">
        <f t="shared" ca="1" si="0"/>
        <v>125088.25</v>
      </c>
      <c r="G41" s="129">
        <f t="shared" ca="1" si="0"/>
        <v>125019.41666666667</v>
      </c>
      <c r="H41" s="129">
        <f t="shared" ca="1" si="0"/>
        <v>125002</v>
      </c>
      <c r="I41" s="129">
        <f t="shared" ca="1" si="0"/>
        <v>125451.41666666667</v>
      </c>
      <c r="J41" s="129">
        <f t="shared" ca="1" si="0"/>
        <v>126056.25</v>
      </c>
      <c r="K41" s="129">
        <f t="shared" ca="1" si="0"/>
        <v>127636.5</v>
      </c>
      <c r="L41" s="129">
        <f t="shared" ca="1" si="0"/>
        <v>127916.58333333333</v>
      </c>
      <c r="M41" s="129"/>
      <c r="N41" s="144"/>
      <c r="R41" s="50" t="s">
        <v>236</v>
      </c>
    </row>
    <row r="42" spans="1:18" ht="15" customHeight="1" x14ac:dyDescent="0.2">
      <c r="A42" s="132"/>
      <c r="B42" s="135" t="s">
        <v>727</v>
      </c>
      <c r="C42" s="124">
        <f ca="1">IF(C39="-","-",C39-IF(ISNUMBER(FIND("ED only",$B$4)),SUMIFS(sum_over_4_tot,site_level_range,LEFT($B$4,LEN($B$4)-10),date_range,C38,inputdata!$E:$E,"*- ED*"),SUMIFS(sum_over_4_tot,site_level_range,$B$4,date_range,C38)))</f>
        <v>34260</v>
      </c>
      <c r="D42" s="124">
        <f ca="1">IF(D39="-","-",D39-IF(ISNUMBER(FIND("ED only",$B$4)),SUMIFS(sum_over_4_tot,site_level_range,LEFT($B$4,LEN($B$4)-10),date_range,D38,inputdata!$E:$E,"*- ED*"),SUMIFS(sum_over_4_tot,site_level_range,$B$4,date_range,D38)))</f>
        <v>37527</v>
      </c>
      <c r="E42" s="124">
        <f ca="1">IF(E39="-","-",E39-IF(ISNUMBER(FIND("ED only",$B$4)),SUMIFS(sum_over_4_tot,site_level_range,LEFT($B$4,LEN($B$4)-10),date_range,E38,inputdata!$E:$E,"*- ED*"),SUMIFS(sum_over_4_tot,site_level_range,$B$4,date_range,E38)))</f>
        <v>38981</v>
      </c>
      <c r="F42" s="124">
        <f ca="1">IF(F39="-","-",F39-IF(ISNUMBER(FIND("ED only",$B$4)),SUMIFS(sum_over_4_tot,site_level_range,LEFT($B$4,LEN($B$4)-10),date_range,F38,inputdata!$E:$E,"*- ED*"),SUMIFS(sum_over_4_tot,site_level_range,$B$4,date_range,F38)))</f>
        <v>38826</v>
      </c>
      <c r="G42" s="124">
        <f ca="1">IF(G39="-","-",G39-IF(ISNUMBER(FIND("ED only",$B$4)),SUMIFS(sum_over_4_tot,site_level_range,LEFT($B$4,LEN($B$4)-10),date_range,G38,inputdata!$E:$E,"*- ED*"),SUMIFS(sum_over_4_tot,site_level_range,$B$4,date_range,G38)))</f>
        <v>41244</v>
      </c>
      <c r="H42" s="124">
        <f ca="1">IF(H39="-","-",H39-IF(ISNUMBER(FIND("ED only",$B$4)),SUMIFS(sum_over_4_tot,site_level_range,LEFT($B$4,LEN($B$4)-10),date_range,H38,inputdata!$E:$E,"*- ED*"),SUMIFS(sum_over_4_tot,site_level_range,$B$4,date_range,H38)))</f>
        <v>40793</v>
      </c>
      <c r="I42" s="124">
        <f ca="1">IF(I39="-","-",I39-IF(ISNUMBER(FIND("ED only",$B$4)),SUMIFS(sum_over_4_tot,site_level_range,LEFT($B$4,LEN($B$4)-10),date_range,I38,inputdata!$E:$E,"*- ED*"),SUMIFS(sum_over_4_tot,site_level_range,$B$4,date_range,I38)))</f>
        <v>42095</v>
      </c>
      <c r="J42" s="124">
        <f ca="1">IF(J39="-","-",J39-IF(ISNUMBER(FIND("ED only",$B$4)),SUMIFS(sum_over_4_tot,site_level_range,LEFT($B$4,LEN($B$4)-10),date_range,J38,inputdata!$E:$E,"*- ED*"),SUMIFS(sum_over_4_tot,site_level_range,$B$4,date_range,J38)))</f>
        <v>41083</v>
      </c>
      <c r="K42" s="124">
        <f ca="1">IF(K39="-","-",K39-IF(ISNUMBER(FIND("ED only",$B$4)),SUMIFS(sum_over_4_tot,site_level_range,LEFT($B$4,LEN($B$4)-10),date_range,K38,inputdata!$E:$E,"*- ED*"),SUMIFS(sum_over_4_tot,site_level_range,$B$4,date_range,K38)))</f>
        <v>49283</v>
      </c>
      <c r="L42" s="124">
        <f ca="1">IF(L39="-","-",L39-IF(ISNUMBER(FIND("ED only",$B$4)),SUMIFS(sum_over_4_tot,site_level_range,LEFT($B$4,LEN($B$4)-10),date_range,L38,inputdata!$E:$E,"*- ED*"),SUMIFS(sum_over_4_tot,site_level_range,$B$4,date_range,L38)))</f>
        <v>35716</v>
      </c>
      <c r="M42" s="124"/>
      <c r="N42" s="141"/>
      <c r="R42" s="50" t="s">
        <v>200</v>
      </c>
    </row>
    <row r="43" spans="1:18" ht="15" customHeight="1" x14ac:dyDescent="0.2">
      <c r="A43" s="132"/>
      <c r="B43" s="134" t="s">
        <v>728</v>
      </c>
      <c r="C43" s="125">
        <f t="shared" ref="C43:L43" ca="1" si="1">IF(ISERROR(1-C42/C39),NA(),(1-C42/C39))</f>
        <v>0.72102340276533727</v>
      </c>
      <c r="D43" s="125">
        <f t="shared" ca="1" si="1"/>
        <v>0.72997301672962767</v>
      </c>
      <c r="E43" s="125">
        <f t="shared" ca="1" si="1"/>
        <v>0.71304373431093249</v>
      </c>
      <c r="F43" s="125">
        <f t="shared" ca="1" si="1"/>
        <v>0.6996588614791952</v>
      </c>
      <c r="G43" s="125">
        <f t="shared" ca="1" si="1"/>
        <v>0.69609172365008254</v>
      </c>
      <c r="H43" s="125">
        <f t="shared" ca="1" si="1"/>
        <v>0.68995918615521423</v>
      </c>
      <c r="I43" s="125">
        <f t="shared" ca="1" si="1"/>
        <v>0.67581575522337478</v>
      </c>
      <c r="J43" s="125">
        <f t="shared" ca="1" si="1"/>
        <v>0.67452307009760426</v>
      </c>
      <c r="K43" s="125">
        <f t="shared" ca="1" si="1"/>
        <v>0.62092041197781656</v>
      </c>
      <c r="L43" s="125">
        <f t="shared" ca="1" si="1"/>
        <v>0.68698456657581308</v>
      </c>
      <c r="M43" s="125"/>
      <c r="N43" s="142"/>
      <c r="R43" s="50" t="s">
        <v>330</v>
      </c>
    </row>
    <row r="44" spans="1:18" ht="15" customHeight="1" x14ac:dyDescent="0.2">
      <c r="A44" s="132"/>
      <c r="B44" s="137" t="s">
        <v>729</v>
      </c>
      <c r="C44" s="130">
        <f ca="1">IF(ISERROR(C41),NA(),IF(AND(MONTH(C38)=3,ISNUMBER($N39),ISNUMBER($C39)),1-(SUM($C42:$N42)/SUM($C39:$N39)),IF(AND(MONTH(C38)&lt;&gt;3,ISNUMBER(C39),ISNUMBER(D53)),1-(SUM(D56:$N56,$C42:C42)/SUM($C39:C39,D53:$N53)),NA())))</f>
        <v>0.77394455514882277</v>
      </c>
      <c r="D44" s="130">
        <f ca="1">IF(ISERROR(D41),NA(),IF(AND(MONTH(D38)=3,ISNUMBER($N39),ISNUMBER($C39)),1-(SUM($C42:$N42)/SUM($C39:$N39)),IF(AND(MONTH(D38)&lt;&gt;3,ISNUMBER(D39),ISNUMBER(E53)),1-(SUM(E56:$N56,$C42:D42)/SUM($C39:D39,E53:$N53)),NA())))</f>
        <v>0.76148902429954202</v>
      </c>
      <c r="E44" s="130">
        <f ca="1">IF(ISERROR(E41),NA(),IF(AND(MONTH(E38)=3,ISNUMBER($N39),ISNUMBER($C39)),1-(SUM($C42:$N42)/SUM($C39:$N39)),IF(AND(MONTH(E38)&lt;&gt;3,ISNUMBER(E39),ISNUMBER(F53)),1-(SUM(F56:$N56,$C42:E42)/SUM($C39:E39,F53:$N53)),NA())))</f>
        <v>0.74897764544418344</v>
      </c>
      <c r="F44" s="130">
        <f ca="1">IF(ISERROR(F41),NA(),IF(AND(MONTH(F38)=3,ISNUMBER($N39),ISNUMBER($C39)),1-(SUM($C42:$N42)/SUM($C39:$N39)),IF(AND(MONTH(F38)&lt;&gt;3,ISNUMBER(F39),ISNUMBER(G53)),1-(SUM(G56:$N56,$C42:F42)/SUM($C39:F39,G53:$N53)),NA())))</f>
        <v>0.73885370261928407</v>
      </c>
      <c r="G44" s="130">
        <f ca="1">IF(ISERROR(G41),NA(),IF(AND(MONTH(G38)=3,ISNUMBER($N39),ISNUMBER($C39)),1-(SUM($C42:$N42)/SUM($C39:$N39)),IF(AND(MONTH(G38)&lt;&gt;3,ISNUMBER(G39),ISNUMBER(H53)),1-(SUM(H56:$N56,$C42:G42)/SUM($C39:G39,H53:$N53)),NA())))</f>
        <v>0.7313590622256676</v>
      </c>
      <c r="H44" s="130">
        <f ca="1">IF(ISERROR(H41),NA(),IF(AND(MONTH(H38)=3,ISNUMBER($N39),ISNUMBER($C39)),1-(SUM($C42:$N42)/SUM($C39:$N39)),IF(AND(MONTH(H38)&lt;&gt;3,ISNUMBER(H39),ISNUMBER(I53)),1-(SUM(I56:$N56,$C42:H42)/SUM($C39:H39,I53:$N53)),NA())))</f>
        <v>0.72508239868162105</v>
      </c>
      <c r="I44" s="130">
        <f ca="1">IF(ISERROR(I41),NA(),IF(AND(MONTH(I38)=3,ISNUMBER($N39),ISNUMBER($C39)),1-(SUM($C42:$N42)/SUM($C39:$N39)),IF(AND(MONTH(I38)&lt;&gt;3,ISNUMBER(I39),ISNUMBER(J53)),1-(SUM(J56:$N56,$C42:I42)/SUM($C39:I39,J53:$N53)),NA())))</f>
        <v>0.72001910434118921</v>
      </c>
      <c r="J44" s="130">
        <f ca="1">IF(ISERROR(J41),NA(),IF(AND(MONTH(J38)=3,ISNUMBER($N39),ISNUMBER($C39)),1-(SUM($C42:$N42)/SUM($C39:$N39)),IF(AND(MONTH(J38)&lt;&gt;3,ISNUMBER(J39),ISNUMBER(K53)),1-(SUM(K56:$N56,$C42:J42)/SUM($C39:J39,K53:$N53)),NA())))</f>
        <v>0.71313005106847149</v>
      </c>
      <c r="K44" s="130">
        <f ca="1">IF(ISERROR(K41),NA(),IF(AND(MONTH(K38)=3,ISNUMBER($N39),ISNUMBER($C39)),1-(SUM($C42:$N42)/SUM($C39:$N39)),IF(AND(MONTH(K38)&lt;&gt;3,ISNUMBER(K39),ISNUMBER(L53)),1-(SUM(L56:$N56,$C42:K42)/SUM($C39:K39,L53:$N53)),NA())))</f>
        <v>0.70214828830311071</v>
      </c>
      <c r="L44" s="130">
        <f ca="1">IF(ISERROR(L41),NA(),IF(AND(MONTH(L38)=3,ISNUMBER($N39),ISNUMBER($C39)),1-(SUM($C42:$N42)/SUM($C39:$N39)),IF(AND(MONTH(L38)&lt;&gt;3,ISNUMBER(L39),ISNUMBER(M53)),1-(SUM(M56:$N56,$C42:L42)/SUM($C39:L39,M53:$N53)),NA())))</f>
        <v>0.69684605657723553</v>
      </c>
      <c r="M44" s="130"/>
      <c r="N44" s="145"/>
      <c r="R44" s="50" t="s">
        <v>239</v>
      </c>
    </row>
    <row r="45" spans="1:18" ht="14.45" customHeight="1" x14ac:dyDescent="0.25">
      <c r="A45" s="132"/>
      <c r="B45" s="138" t="s">
        <v>730</v>
      </c>
      <c r="C45" s="131"/>
      <c r="D45" s="131"/>
      <c r="E45" s="131"/>
      <c r="F45" s="131"/>
      <c r="G45" s="131"/>
      <c r="H45" s="131"/>
      <c r="I45" s="131"/>
      <c r="J45" s="131"/>
      <c r="K45" s="131"/>
      <c r="L45" s="131"/>
      <c r="M45" s="131"/>
      <c r="N45" s="146"/>
      <c r="R45" s="50" t="s">
        <v>240</v>
      </c>
    </row>
    <row r="46" spans="1:18" ht="15" customHeight="1" x14ac:dyDescent="0.2">
      <c r="A46" s="132"/>
      <c r="B46" s="139" t="s">
        <v>724</v>
      </c>
      <c r="C46" s="129">
        <f ca="1">IF(IF(ISNUMBER(FIND("ED only",$B$4)),SUMIFS(Sum_total_epi,site_level_range,LEFT($B$4,LEN($B$4)-10),date_range,C38,inputdata!$E:$E,"*- ED*"),SUMIFS(Sum_total_epi,site_level_range,$B$4,date_range,C38))=0,"-",IF(ISNUMBER(FIND("ED only",$B$4)),SUMIFS(Sum_total_epi,site_level_range,LEFT($B$4,LEN($B$4)-10),date_range,C38,inputdata!$E:$E,"*- ED*"),SUMIFS(Sum_total_epi,site_level_range,$B$4,date_range,C38)))</f>
        <v>118648</v>
      </c>
      <c r="D46" s="129">
        <f ca="1">IF(IF(ISNUMBER(FIND("ED only",$B$4)),SUMIFS(Sum_total_epi,site_level_range,LEFT($B$4,LEN($B$4)-10),date_range,D38,inputdata!$E:$E,"*- ED*"),SUMIFS(Sum_total_epi,site_level_range,$B$4,date_range,D38))=0,"-",IF(ISNUMBER(FIND("ED only",$B$4)),SUMIFS(Sum_total_epi,site_level_range,LEFT($B$4,LEN($B$4)-10),date_range,D38,inputdata!$E:$E,"*- ED*"),SUMIFS(Sum_total_epi,site_level_range,$B$4,date_range,D38)))</f>
        <v>134205</v>
      </c>
      <c r="E46" s="129">
        <f ca="1">IF(IF(ISNUMBER(FIND("ED only",$B$4)),SUMIFS(Sum_total_epi,site_level_range,LEFT($B$4,LEN($B$4)-10),date_range,E38,inputdata!$E:$E,"*- ED*"),SUMIFS(Sum_total_epi,site_level_range,$B$4,date_range,E38))=0,"-",IF(ISNUMBER(FIND("ED only",$B$4)),SUMIFS(Sum_total_epi,site_level_range,LEFT($B$4,LEN($B$4)-10),date_range,E38,inputdata!$E:$E,"*- ED*"),SUMIFS(Sum_total_epi,site_level_range,$B$4,date_range,E38)))</f>
        <v>130868</v>
      </c>
      <c r="F46" s="129">
        <f ca="1">IF(IF(ISNUMBER(FIND("ED only",$B$4)),SUMIFS(Sum_total_epi,site_level_range,LEFT($B$4,LEN($B$4)-10),date_range,F38,inputdata!$E:$E,"*- ED*"),SUMIFS(Sum_total_epi,site_level_range,$B$4,date_range,F38))=0,"-",IF(ISNUMBER(FIND("ED only",$B$4)),SUMIFS(Sum_total_epi,site_level_range,LEFT($B$4,LEN($B$4)-10),date_range,F38,inputdata!$E:$E,"*- ED*"),SUMIFS(Sum_total_epi,site_level_range,$B$4,date_range,F38)))</f>
        <v>124500</v>
      </c>
      <c r="G46" s="129">
        <f ca="1">IF(IF(ISNUMBER(FIND("ED only",$B$4)),SUMIFS(Sum_total_epi,site_level_range,LEFT($B$4,LEN($B$4)-10),date_range,G38,inputdata!$E:$E,"*- ED*"),SUMIFS(Sum_total_epi,site_level_range,$B$4,date_range,G38))=0,"-",IF(ISNUMBER(FIND("ED only",$B$4)),SUMIFS(Sum_total_epi,site_level_range,LEFT($B$4,LEN($B$4)-10),date_range,G38,inputdata!$E:$E,"*- ED*"),SUMIFS(Sum_total_epi,site_level_range,$B$4,date_range,G38)))</f>
        <v>131018</v>
      </c>
      <c r="H46" s="129">
        <f ca="1">IF(IF(ISNUMBER(FIND("ED only",$B$4)),SUMIFS(Sum_total_epi,site_level_range,LEFT($B$4,LEN($B$4)-10),date_range,H38,inputdata!$E:$E,"*- ED*"),SUMIFS(Sum_total_epi,site_level_range,$B$4,date_range,H38))=0,"-",IF(ISNUMBER(FIND("ED only",$B$4)),SUMIFS(Sum_total_epi,site_level_range,LEFT($B$4,LEN($B$4)-10),date_range,H38,inputdata!$E:$E,"*- ED*"),SUMIFS(Sum_total_epi,site_level_range,$B$4,date_range,H38)))</f>
        <v>127456</v>
      </c>
      <c r="I46" s="129">
        <f ca="1">IF(IF(ISNUMBER(FIND("ED only",$B$4)),SUMIFS(Sum_total_epi,site_level_range,LEFT($B$4,LEN($B$4)-10),date_range,I38,inputdata!$E:$E,"*- ED*"),SUMIFS(Sum_total_epi,site_level_range,$B$4,date_range,I38))=0,"-",IF(ISNUMBER(FIND("ED only",$B$4)),SUMIFS(Sum_total_epi,site_level_range,LEFT($B$4,LEN($B$4)-10),date_range,I38,inputdata!$E:$E,"*- ED*"),SUMIFS(Sum_total_epi,site_level_range,$B$4,date_range,I38)))</f>
        <v>125486</v>
      </c>
      <c r="J46" s="129">
        <f ca="1">IF(IF(ISNUMBER(FIND("ED only",$B$4)),SUMIFS(Sum_total_epi,site_level_range,LEFT($B$4,LEN($B$4)-10),date_range,J38,inputdata!$E:$E,"*- ED*"),SUMIFS(Sum_total_epi,site_level_range,$B$4,date_range,J38))=0,"-",IF(ISNUMBER(FIND("ED only",$B$4)),SUMIFS(Sum_total_epi,site_level_range,LEFT($B$4,LEN($B$4)-10),date_range,J38,inputdata!$E:$E,"*- ED*"),SUMIFS(Sum_total_epi,site_level_range,$B$4,date_range,J38)))</f>
        <v>122376</v>
      </c>
      <c r="K46" s="129">
        <f ca="1">IF(IF(ISNUMBER(FIND("ED only",$B$4)),SUMIFS(Sum_total_epi,site_level_range,LEFT($B$4,LEN($B$4)-10),date_range,K38,inputdata!$E:$E,"*- ED*"),SUMIFS(Sum_total_epi,site_level_range,$B$4,date_range,K38))=0,"-",IF(ISNUMBER(FIND("ED only",$B$4)),SUMIFS(Sum_total_epi,site_level_range,LEFT($B$4,LEN($B$4)-10),date_range,K38,inputdata!$E:$E,"*- ED*"),SUMIFS(Sum_total_epi,site_level_range,$B$4,date_range,K38)))</f>
        <v>125799</v>
      </c>
      <c r="L46" s="129">
        <f ca="1">IF(IF(ISNUMBER(FIND("ED only",$B$4)),SUMIFS(Sum_total_epi,site_level_range,LEFT($B$4,LEN($B$4)-10),date_range,L38,inputdata!$E:$E,"*- ED*"),SUMIFS(Sum_total_epi,site_level_range,$B$4,date_range,L38))=0,"-",IF(ISNUMBER(FIND("ED only",$B$4)),SUMIFS(Sum_total_epi,site_level_range,LEFT($B$4,LEN($B$4)-10),date_range,L38,inputdata!$E:$E,"*- ED*"),SUMIFS(Sum_total_epi,site_level_range,$B$4,date_range,L38)))</f>
        <v>109866</v>
      </c>
      <c r="M46" s="129"/>
      <c r="N46" s="144"/>
      <c r="R46" s="50" t="s">
        <v>37</v>
      </c>
    </row>
    <row r="47" spans="1:18" ht="15" customHeight="1" x14ac:dyDescent="0.2">
      <c r="A47" s="132"/>
      <c r="B47" s="135" t="s">
        <v>731</v>
      </c>
      <c r="C47" s="124">
        <f ca="1">IF(C46="-","-",IF(ISNUMBER(FIND("ED only",$B$4)),SUMIFS(Sum_over_8,site_level_range,LEFT($B$4,LEN($B$4)-10),date_range,C38,inputdata!$E:$E,"*- ED*"),SUMIFS(Sum_over_8,site_level_range,$B$4,date_range,C38)))</f>
        <v>9566</v>
      </c>
      <c r="D47" s="124">
        <f ca="1">IF(D46="-","-",IF(ISNUMBER(FIND("ED only",$B$4)),SUMIFS(Sum_over_8,site_level_range,LEFT($B$4,LEN($B$4)-10),date_range,D38,inputdata!$E:$E,"*- ED*"),SUMIFS(Sum_over_8,site_level_range,$B$4,date_range,D38)))</f>
        <v>10087</v>
      </c>
      <c r="E47" s="124">
        <f ca="1">IF(E46="-","-",IF(ISNUMBER(FIND("ED only",$B$4)),SUMIFS(Sum_over_8,site_level_range,LEFT($B$4,LEN($B$4)-10),date_range,E38,inputdata!$E:$E,"*- ED*"),SUMIFS(Sum_over_8,site_level_range,$B$4,date_range,E38)))</f>
        <v>11075</v>
      </c>
      <c r="F47" s="124">
        <f ca="1">IF(F46="-","-",IF(ISNUMBER(FIND("ED only",$B$4)),SUMIFS(Sum_over_8,site_level_range,LEFT($B$4,LEN($B$4)-10),date_range,F38,inputdata!$E:$E,"*- ED*"),SUMIFS(Sum_over_8,site_level_range,$B$4,date_range,F38)))</f>
        <v>12036</v>
      </c>
      <c r="G47" s="124">
        <f ca="1">IF(G46="-","-",IF(ISNUMBER(FIND("ED only",$B$4)),SUMIFS(Sum_over_8,site_level_range,LEFT($B$4,LEN($B$4)-10),date_range,G38,inputdata!$E:$E,"*- ED*"),SUMIFS(Sum_over_8,site_level_range,$B$4,date_range,G38)))</f>
        <v>13131</v>
      </c>
      <c r="H47" s="124">
        <f ca="1">IF(H46="-","-",IF(ISNUMBER(FIND("ED only",$B$4)),SUMIFS(Sum_over_8,site_level_range,LEFT($B$4,LEN($B$4)-10),date_range,H38,inputdata!$E:$E,"*- ED*"),SUMIFS(Sum_over_8,site_level_range,$B$4,date_range,H38)))</f>
        <v>13506</v>
      </c>
      <c r="I47" s="124">
        <f ca="1">IF(I46="-","-",IF(ISNUMBER(FIND("ED only",$B$4)),SUMIFS(Sum_over_8,site_level_range,LEFT($B$4,LEN($B$4)-10),date_range,I38,inputdata!$E:$E,"*- ED*"),SUMIFS(Sum_over_8,site_level_range,$B$4,date_range,I38)))</f>
        <v>15684</v>
      </c>
      <c r="J47" s="124">
        <f ca="1">IF(J46="-","-",IF(ISNUMBER(FIND("ED only",$B$4)),SUMIFS(Sum_over_8,site_level_range,LEFT($B$4,LEN($B$4)-10),date_range,J38,inputdata!$E:$E,"*- ED*"),SUMIFS(Sum_over_8,site_level_range,$B$4,date_range,J38)))</f>
        <v>13769</v>
      </c>
      <c r="K47" s="124">
        <f ca="1">IF(K46="-","-",IF(ISNUMBER(FIND("ED only",$B$4)),SUMIFS(Sum_over_8,site_level_range,LEFT($B$4,LEN($B$4)-10),date_range,K38,inputdata!$E:$E,"*- ED*"),SUMIFS(Sum_over_8,site_level_range,$B$4,date_range,K38)))</f>
        <v>19313</v>
      </c>
      <c r="L47" s="124">
        <f ca="1">IF(L46="-","-",IF(ISNUMBER(FIND("ED only",$B$4)),SUMIFS(Sum_over_8,site_level_range,LEFT($B$4,LEN($B$4)-10),date_range,L38,inputdata!$E:$E,"*- ED*"),SUMIFS(Sum_over_8,site_level_range,$B$4,date_range,L38)))</f>
        <v>13751</v>
      </c>
      <c r="M47" s="124"/>
      <c r="N47" s="141"/>
      <c r="R47" s="50" t="s">
        <v>41</v>
      </c>
    </row>
    <row r="48" spans="1:18" ht="15" customHeight="1" x14ac:dyDescent="0.2">
      <c r="A48" s="132"/>
      <c r="B48" s="137" t="s">
        <v>732</v>
      </c>
      <c r="C48" s="130">
        <f t="shared" ref="C48:L48" ca="1" si="2">IF(ISERROR(1-C47/C46),"-",1-C47/C46)</f>
        <v>0.91937495785853951</v>
      </c>
      <c r="D48" s="130">
        <f t="shared" ca="1" si="2"/>
        <v>0.92483886591408671</v>
      </c>
      <c r="E48" s="130">
        <f t="shared" ca="1" si="2"/>
        <v>0.91537274199957208</v>
      </c>
      <c r="F48" s="130">
        <f t="shared" ca="1" si="2"/>
        <v>0.90332530120481924</v>
      </c>
      <c r="G48" s="130">
        <f t="shared" ca="1" si="2"/>
        <v>0.89977712986001923</v>
      </c>
      <c r="H48" s="130">
        <f t="shared" ca="1" si="2"/>
        <v>0.8940340195832287</v>
      </c>
      <c r="I48" s="130">
        <f t="shared" ca="1" si="2"/>
        <v>0.87501394577881197</v>
      </c>
      <c r="J48" s="130">
        <f t="shared" ca="1" si="2"/>
        <v>0.88748610838726549</v>
      </c>
      <c r="K48" s="130">
        <f t="shared" ca="1" si="2"/>
        <v>0.84647731698980122</v>
      </c>
      <c r="L48" s="130">
        <f t="shared" ca="1" si="2"/>
        <v>0.87483843955363805</v>
      </c>
      <c r="M48" s="130"/>
      <c r="N48" s="145"/>
      <c r="R48" s="50" t="s">
        <v>331</v>
      </c>
    </row>
    <row r="49" spans="1:18" ht="15" customHeight="1" x14ac:dyDescent="0.2">
      <c r="A49" s="132"/>
      <c r="B49" s="135" t="s">
        <v>733</v>
      </c>
      <c r="C49" s="124">
        <f ca="1">IF(C46="-","-",IF(ISNUMBER(FIND("ED only",$B$4)),SUMIFS(Sum_over_12,site_level_range,LEFT($B$4,LEN($B$4)-10),date_range,C38,inputdata!$E:$E,"*- ED*"),SUMIFS(Sum_over_12,site_level_range,$B$4,date_range,C38)))</f>
        <v>3714</v>
      </c>
      <c r="D49" s="124">
        <f ca="1">IF(D46="-","-",IF(ISNUMBER(FIND("ED only",$B$4)),SUMIFS(Sum_over_12,site_level_range,LEFT($B$4,LEN($B$4)-10),date_range,D38,inputdata!$E:$E,"*- ED*"),SUMIFS(Sum_over_12,site_level_range,$B$4,date_range,D38)))</f>
        <v>3411</v>
      </c>
      <c r="E49" s="124">
        <f ca="1">IF(E46="-","-",IF(ISNUMBER(FIND("ED only",$B$4)),SUMIFS(Sum_over_12,site_level_range,LEFT($B$4,LEN($B$4)-10),date_range,E38,inputdata!$E:$E,"*- ED*"),SUMIFS(Sum_over_12,site_level_range,$B$4,date_range,E38)))</f>
        <v>4055</v>
      </c>
      <c r="F49" s="124">
        <f ca="1">IF(F46="-","-",IF(ISNUMBER(FIND("ED only",$B$4)),SUMIFS(Sum_over_12,site_level_range,LEFT($B$4,LEN($B$4)-10),date_range,F38,inputdata!$E:$E,"*- ED*"),SUMIFS(Sum_over_12,site_level_range,$B$4,date_range,F38)))</f>
        <v>4634</v>
      </c>
      <c r="G49" s="124">
        <f ca="1">IF(G46="-","-",IF(ISNUMBER(FIND("ED only",$B$4)),SUMIFS(Sum_over_12,site_level_range,LEFT($B$4,LEN($B$4)-10),date_range,G38,inputdata!$E:$E,"*- ED*"),SUMIFS(Sum_over_12,site_level_range,$B$4,date_range,G38)))</f>
        <v>5118</v>
      </c>
      <c r="H49" s="124">
        <f ca="1">IF(H46="-","-",IF(ISNUMBER(FIND("ED only",$B$4)),SUMIFS(Sum_over_12,site_level_range,LEFT($B$4,LEN($B$4)-10),date_range,H38,inputdata!$E:$E,"*- ED*"),SUMIFS(Sum_over_12,site_level_range,$B$4,date_range,H38)))</f>
        <v>5295</v>
      </c>
      <c r="I49" s="124">
        <f ca="1">IF(I46="-","-",IF(ISNUMBER(FIND("ED only",$B$4)),SUMIFS(Sum_over_12,site_level_range,LEFT($B$4,LEN($B$4)-10),date_range,I38,inputdata!$E:$E,"*- ED*"),SUMIFS(Sum_over_12,site_level_range,$B$4,date_range,I38)))</f>
        <v>7014</v>
      </c>
      <c r="J49" s="124">
        <f ca="1">IF(J46="-","-",IF(ISNUMBER(FIND("ED only",$B$4)),SUMIFS(Sum_over_12,site_level_range,LEFT($B$4,LEN($B$4)-10),date_range,J38,inputdata!$E:$E,"*- ED*"),SUMIFS(Sum_over_12,site_level_range,$B$4,date_range,J38)))</f>
        <v>5408</v>
      </c>
      <c r="K49" s="124">
        <f ca="1">IF(K46="-","-",IF(ISNUMBER(FIND("ED only",$B$4)),SUMIFS(Sum_over_12,site_level_range,LEFT($B$4,LEN($B$4)-10),date_range,K38,inputdata!$E:$E,"*- ED*"),SUMIFS(Sum_over_12,site_level_range,$B$4,date_range,K38)))</f>
        <v>8821</v>
      </c>
      <c r="L49" s="124">
        <f ca="1">IF(L46="-","-",IF(ISNUMBER(FIND("ED only",$B$4)),SUMIFS(Sum_over_12,site_level_range,LEFT($B$4,LEN($B$4)-10),date_range,L38,inputdata!$E:$E,"*- ED*"),SUMIFS(Sum_over_12,site_level_range,$B$4,date_range,L38)))</f>
        <v>6668</v>
      </c>
      <c r="M49" s="124"/>
      <c r="N49" s="141"/>
      <c r="R49" s="50" t="s">
        <v>45</v>
      </c>
    </row>
    <row r="50" spans="1:18" ht="15" customHeight="1" x14ac:dyDescent="0.2">
      <c r="A50" s="132"/>
      <c r="B50" s="140" t="s">
        <v>734</v>
      </c>
      <c r="C50" s="130">
        <f t="shared" ref="C50:L50" ca="1" si="3">IF(ISERROR(1-C49/C46),"-",1-C49/C46)</f>
        <v>0.96869732317443191</v>
      </c>
      <c r="D50" s="130">
        <f t="shared" ca="1" si="3"/>
        <v>0.97458365932714874</v>
      </c>
      <c r="E50" s="130">
        <f t="shared" ca="1" si="3"/>
        <v>0.96901457957636705</v>
      </c>
      <c r="F50" s="130">
        <f t="shared" ca="1" si="3"/>
        <v>0.96277911646586345</v>
      </c>
      <c r="G50" s="130">
        <f t="shared" ca="1" si="3"/>
        <v>0.96093666519104248</v>
      </c>
      <c r="H50" s="130">
        <f t="shared" ca="1" si="3"/>
        <v>0.95845625156916903</v>
      </c>
      <c r="I50" s="130">
        <f t="shared" ca="1" si="3"/>
        <v>0.94410531852158808</v>
      </c>
      <c r="J50" s="130">
        <f t="shared" ca="1" si="3"/>
        <v>0.95580832843041119</v>
      </c>
      <c r="K50" s="130">
        <f t="shared" ca="1" si="3"/>
        <v>0.92988020572500574</v>
      </c>
      <c r="L50" s="130">
        <f t="shared" ca="1" si="3"/>
        <v>0.9393078841497825</v>
      </c>
      <c r="M50" s="130"/>
      <c r="N50" s="145"/>
      <c r="R50" s="50" t="s">
        <v>40</v>
      </c>
    </row>
    <row r="51" spans="1:18" ht="14.45" customHeight="1" x14ac:dyDescent="0.2">
      <c r="B51" s="127"/>
      <c r="C51" s="127"/>
      <c r="D51" s="127"/>
      <c r="E51" s="127"/>
      <c r="F51" s="127"/>
      <c r="G51" s="127"/>
      <c r="H51" s="127"/>
      <c r="I51" s="127"/>
      <c r="J51" s="127"/>
      <c r="K51" s="127"/>
      <c r="L51" s="127"/>
      <c r="M51" s="127"/>
      <c r="N51" s="127"/>
      <c r="R51" s="50" t="s">
        <v>42</v>
      </c>
    </row>
    <row r="52" spans="1:18" ht="15" customHeight="1" x14ac:dyDescent="0.25">
      <c r="A52" s="132"/>
      <c r="B52" s="153" t="s">
        <v>723</v>
      </c>
      <c r="C52" s="149">
        <v>44316</v>
      </c>
      <c r="D52" s="149">
        <v>44347</v>
      </c>
      <c r="E52" s="149">
        <v>44377</v>
      </c>
      <c r="F52" s="149">
        <v>44408</v>
      </c>
      <c r="G52" s="149">
        <v>44439</v>
      </c>
      <c r="H52" s="149">
        <v>44469</v>
      </c>
      <c r="I52" s="149">
        <v>44500</v>
      </c>
      <c r="J52" s="149">
        <v>44530</v>
      </c>
      <c r="K52" s="149">
        <v>44561</v>
      </c>
      <c r="L52" s="149">
        <v>44592</v>
      </c>
      <c r="M52" s="149">
        <v>44620</v>
      </c>
      <c r="N52" s="158">
        <v>44651</v>
      </c>
      <c r="R52" s="50" t="s">
        <v>332</v>
      </c>
    </row>
    <row r="53" spans="1:18" ht="15" customHeight="1" x14ac:dyDescent="0.2">
      <c r="A53" s="132"/>
      <c r="B53" s="152" t="s">
        <v>724</v>
      </c>
      <c r="C53" s="147">
        <f ca="1">IF(IF(ISNUMBER(FIND("ED only",$B$4)),SUMIFS(sum_range,site_level_range,LEFT($B$4,LEN($B$4)-10),date_range,C52,inputdata!$E:$E,"*- ED*"),SUMIFS(sum_range,site_level_range,$B$4,date_range,C52))=0,"-",IF(ISNUMBER(FIND("ED only",$B$4)),SUMIFS(sum_range,site_level_range,LEFT($B$4,LEN($B$4)-10),date_range,C52,inputdata!$E:$E,"*- ED*"),SUMIFS(sum_range,site_level_range,$B$4,date_range,C52)))</f>
        <v>115665</v>
      </c>
      <c r="D53" s="147">
        <f ca="1">IF(IF(ISNUMBER(FIND("ED only",$B$4)),SUMIFS(sum_range,site_level_range,LEFT($B$4,LEN($B$4)-10),date_range,D52,inputdata!$E:$E,"*- ED*"),SUMIFS(sum_range,site_level_range,$B$4,date_range,D52))=0,"-",IF(ISNUMBER(FIND("ED only",$B$4)),SUMIFS(sum_range,site_level_range,LEFT($B$4,LEN($B$4)-10),date_range,D52,inputdata!$E:$E,"*- ED*"),SUMIFS(sum_range,site_level_range,$B$4,date_range,D52)))</f>
        <v>129581</v>
      </c>
      <c r="E53" s="147">
        <f ca="1">IF(IF(ISNUMBER(FIND("ED only",$B$4)),SUMIFS(sum_range,site_level_range,LEFT($B$4,LEN($B$4)-10),date_range,E52,inputdata!$E:$E,"*- ED*"),SUMIFS(sum_range,site_level_range,$B$4,date_range,E52))=0,"-",IF(ISNUMBER(FIND("ED only",$B$4)),SUMIFS(sum_range,site_level_range,LEFT($B$4,LEN($B$4)-10),date_range,E52,inputdata!$E:$E,"*- ED*"),SUMIFS(sum_range,site_level_range,$B$4,date_range,E52)))</f>
        <v>137100</v>
      </c>
      <c r="F53" s="147">
        <f ca="1">IF(IF(ISNUMBER(FIND("ED only",$B$4)),SUMIFS(sum_range,site_level_range,LEFT($B$4,LEN($B$4)-10),date_range,F52,inputdata!$E:$E,"*- ED*"),SUMIFS(sum_range,site_level_range,$B$4,date_range,F52))=0,"-",IF(ISNUMBER(FIND("ED only",$B$4)),SUMIFS(sum_range,site_level_range,LEFT($B$4,LEN($B$4)-10),date_range,F52,inputdata!$E:$E,"*- ED*"),SUMIFS(sum_range,site_level_range,$B$4,date_range,F52)))</f>
        <v>132829</v>
      </c>
      <c r="G53" s="147">
        <f ca="1">IF(IF(ISNUMBER(FIND("ED only",$B$4)),SUMIFS(sum_range,site_level_range,LEFT($B$4,LEN($B$4)-10),date_range,G52,inputdata!$E:$E,"*- ED*"),SUMIFS(sum_range,site_level_range,$B$4,date_range,G52))=0,"-",IF(ISNUMBER(FIND("ED only",$B$4)),SUMIFS(sum_range,site_level_range,LEFT($B$4,LEN($B$4)-10),date_range,G52,inputdata!$E:$E,"*- ED*"),SUMIFS(sum_range,site_level_range,$B$4,date_range,G52)))</f>
        <v>136538</v>
      </c>
      <c r="H53" s="147">
        <f ca="1">IF(IF(ISNUMBER(FIND("ED only",$B$4)),SUMIFS(sum_range,site_level_range,LEFT($B$4,LEN($B$4)-10),date_range,H52,inputdata!$E:$E,"*- ED*"),SUMIFS(sum_range,site_level_range,$B$4,date_range,H52))=0,"-",IF(ISNUMBER(FIND("ED only",$B$4)),SUMIFS(sum_range,site_level_range,LEFT($B$4,LEN($B$4)-10),date_range,H52,inputdata!$E:$E,"*- ED*"),SUMIFS(sum_range,site_level_range,$B$4,date_range,H52)))</f>
        <v>131782</v>
      </c>
      <c r="I53" s="147">
        <f ca="1">IF(IF(ISNUMBER(FIND("ED only",$B$4)),SUMIFS(sum_range,site_level_range,LEFT($B$4,LEN($B$4)-10),date_range,I52,inputdata!$E:$E,"*- ED*"),SUMIFS(sum_range,site_level_range,$B$4,date_range,I52))=0,"-",IF(ISNUMBER(FIND("ED only",$B$4)),SUMIFS(sum_range,site_level_range,LEFT($B$4,LEN($B$4)-10),date_range,I52,inputdata!$E:$E,"*- ED*"),SUMIFS(sum_range,site_level_range,$B$4,date_range,I52)))</f>
        <v>124456</v>
      </c>
      <c r="J53" s="147">
        <f ca="1">IF(IF(ISNUMBER(FIND("ED only",$B$4)),SUMIFS(sum_range,site_level_range,LEFT($B$4,LEN($B$4)-10),date_range,J52,inputdata!$E:$E,"*- ED*"),SUMIFS(sum_range,site_level_range,$B$4,date_range,J52))=0,"-",IF(ISNUMBER(FIND("ED only",$B$4)),SUMIFS(sum_range,site_level_range,LEFT($B$4,LEN($B$4)-10),date_range,J52,inputdata!$E:$E,"*- ED*"),SUMIFS(sum_range,site_level_range,$B$4,date_range,J52)))</f>
        <v>118966</v>
      </c>
      <c r="K53" s="147">
        <f ca="1">IF(IF(ISNUMBER(FIND("ED only",$B$4)),SUMIFS(sum_range,site_level_range,LEFT($B$4,LEN($B$4)-10),date_range,K52,inputdata!$E:$E,"*- ED*"),SUMIFS(sum_range,site_level_range,$B$4,date_range,K52))=0,"-",IF(ISNUMBER(FIND("ED only",$B$4)),SUMIFS(sum_range,site_level_range,LEFT($B$4,LEN($B$4)-10),date_range,K52,inputdata!$E:$E,"*- ED*"),SUMIFS(sum_range,site_level_range,$B$4,date_range,K52)))</f>
        <v>111044</v>
      </c>
      <c r="L53" s="147">
        <f ca="1">IF(IF(ISNUMBER(FIND("ED only",$B$4)),SUMIFS(sum_range,site_level_range,LEFT($B$4,LEN($B$4)-10),date_range,L52,inputdata!$E:$E,"*- ED*"),SUMIFS(sum_range,site_level_range,$B$4,date_range,L52))=0,"-",IF(ISNUMBER(FIND("ED only",$B$4)),SUMIFS(sum_range,site_level_range,LEFT($B$4,LEN($B$4)-10),date_range,L52,inputdata!$E:$E,"*- ED*"),SUMIFS(sum_range,site_level_range,$B$4,date_range,L52)))</f>
        <v>110742</v>
      </c>
      <c r="M53" s="147">
        <f ca="1">IF(IF(ISNUMBER(FIND("ED only",$B$4)),SUMIFS(sum_range,site_level_range,LEFT($B$4,LEN($B$4)-10),date_range,M52,inputdata!$E:$E,"*- ED*"),SUMIFS(sum_range,site_level_range,$B$4,date_range,M52))=0,"-",IF(ISNUMBER(FIND("ED only",$B$4)),SUMIFS(sum_range,site_level_range,LEFT($B$4,LEN($B$4)-10),date_range,M52,inputdata!$E:$E,"*- ED*"),SUMIFS(sum_range,site_level_range,$B$4,date_range,M52)))</f>
        <v>110294</v>
      </c>
      <c r="N53" s="156">
        <f ca="1">IF(IF(ISNUMBER(FIND("ED only",$B$4)),SUMIFS(sum_range,site_level_range,LEFT($B$4,LEN($B$4)-10),date_range,N52,inputdata!$E:$E,"*- ED*"),SUMIFS(sum_range,site_level_range,$B$4,date_range,N52))=0,"-",IF(ISNUMBER(FIND("ED only",$B$4)),SUMIFS(sum_range,site_level_range,LEFT($B$4,LEN($B$4)-10),date_range,N52,inputdata!$E:$E,"*- ED*"),SUMIFS(sum_range,site_level_range,$B$4,date_range,N52)))</f>
        <v>130340</v>
      </c>
      <c r="R53" s="50" t="s">
        <v>38</v>
      </c>
    </row>
    <row r="54" spans="1:18" ht="15" customHeight="1" x14ac:dyDescent="0.2">
      <c r="A54" s="132"/>
      <c r="B54" s="152" t="s">
        <v>725</v>
      </c>
      <c r="C54" s="147">
        <f ca="1">IF(AND(MONTH(C52)=3,ISNUMBER($N53),ISNUMBER($C53)),SUM($C53:C53),IF(AND(MONTH(C52)&lt;&gt;3,ISNUMBER(C53),ISNUMBER(D67)),SUM($C53:C53,D67:$N67),"-"))</f>
        <v>1227500</v>
      </c>
      <c r="D54" s="147">
        <f ca="1">IF(AND(MONTH(D52)=3,ISNUMBER($N53),ISNUMBER($C53)),SUM($C53:D53),IF(AND(MONTH(D52)&lt;&gt;3,ISNUMBER(D53),ISNUMBER(E67)),SUM($C53:D53,E67:$N67),"-"))</f>
        <v>1268467</v>
      </c>
      <c r="E54" s="147">
        <f ca="1">IF(AND(MONTH(E52)=3,ISNUMBER($N53),ISNUMBER($C53)),SUM($C53:E53),IF(AND(MONTH(E52)&lt;&gt;3,ISNUMBER(E53),ISNUMBER(F67)),SUM($C53:E53,F67:$N67),"-"))</f>
        <v>1304336</v>
      </c>
      <c r="F54" s="147">
        <f ca="1">IF(AND(MONTH(F52)=3,ISNUMBER($N53),ISNUMBER($C53)),SUM($C53:F53),IF(AND(MONTH(F52)&lt;&gt;3,ISNUMBER(F53),ISNUMBER(G67)),SUM($C53:F53,G67:$N67),"-"))</f>
        <v>1324980</v>
      </c>
      <c r="G54" s="147">
        <f ca="1">IF(AND(MONTH(G52)=3,ISNUMBER($N53),ISNUMBER($C53)),SUM($C53:G53),IF(AND(MONTH(G52)&lt;&gt;3,ISNUMBER(G53),ISNUMBER(H67)),SUM($C53:G53,H67:$N67),"-"))</f>
        <v>1338777</v>
      </c>
      <c r="H54" s="147">
        <f ca="1">IF(AND(MONTH(H52)=3,ISNUMBER($N53),ISNUMBER($C53)),SUM($C53:H53),IF(AND(MONTH(H52)&lt;&gt;3,ISNUMBER(H53),ISNUMBER(I67)),SUM($C53:H53,I67:$N67),"-"))</f>
        <v>1354329</v>
      </c>
      <c r="I54" s="147">
        <f ca="1">IF(AND(MONTH(I52)=3,ISNUMBER($N53),ISNUMBER($C53)),SUM($C53:I53),IF(AND(MONTH(I52)&lt;&gt;3,ISNUMBER(I53),ISNUMBER(J67)),SUM($C53:I53,J67:$N67),"-"))</f>
        <v>1371379</v>
      </c>
      <c r="J54" s="147">
        <f ca="1">IF(AND(MONTH(J52)=3,ISNUMBER($N53),ISNUMBER($C53)),SUM($C53:J53),IF(AND(MONTH(J52)&lt;&gt;3,ISNUMBER(J53),ISNUMBER(K67)),SUM($C53:J53,K67:$N67),"-"))</f>
        <v>1390547</v>
      </c>
      <c r="K54" s="147">
        <f ca="1">IF(AND(MONTH(K52)=3,ISNUMBER($N53),ISNUMBER($C53)),SUM($C53:K53),IF(AND(MONTH(K52)&lt;&gt;3,ISNUMBER(K53),ISNUMBER(L67)),SUM($C53:K53,L67:$N67),"-"))</f>
        <v>1408116</v>
      </c>
      <c r="L54" s="147">
        <f ca="1">IF(AND(MONTH(L52)=3,ISNUMBER($N53),ISNUMBER($C53)),SUM($C53:L53),IF(AND(MONTH(L52)&lt;&gt;3,ISNUMBER(L53),ISNUMBER(M67)),SUM($C53:L53,M67:$N67),"-"))</f>
        <v>1433287</v>
      </c>
      <c r="M54" s="147">
        <f ca="1">IF(AND(MONTH(M52)=3,ISNUMBER($N53),ISNUMBER($C53)),SUM($C53:M53),IF(AND(MONTH(M52)&lt;&gt;3,ISNUMBER(M53),ISNUMBER(N67)),SUM($C53:M53,N67:$N67),"-"))</f>
        <v>1463105</v>
      </c>
      <c r="N54" s="156">
        <f ca="1">IF(AND(MONTH(N52)=3,ISNUMBER($N53),ISNUMBER($C53)),SUM($C53:N53),IF(AND(MONTH(N52)&lt;&gt;3,ISNUMBER(N53),ISNUMBER(O67)),SUM($C53:N53,$N67:O67),"-"))</f>
        <v>1489337</v>
      </c>
      <c r="R54" s="50" t="s">
        <v>241</v>
      </c>
    </row>
    <row r="55" spans="1:18" ht="15" customHeight="1" x14ac:dyDescent="0.2">
      <c r="A55" s="132"/>
      <c r="B55" s="154" t="s">
        <v>726</v>
      </c>
      <c r="C55" s="150">
        <f t="shared" ref="C55:N55" ca="1" si="4">IF(ISNUMBER(C54),C54/12,NA())</f>
        <v>102291.66666666667</v>
      </c>
      <c r="D55" s="150">
        <f t="shared" ca="1" si="4"/>
        <v>105705.58333333333</v>
      </c>
      <c r="E55" s="150">
        <f t="shared" ca="1" si="4"/>
        <v>108694.66666666667</v>
      </c>
      <c r="F55" s="150">
        <f t="shared" ca="1" si="4"/>
        <v>110415</v>
      </c>
      <c r="G55" s="150">
        <f t="shared" ca="1" si="4"/>
        <v>111564.75</v>
      </c>
      <c r="H55" s="150">
        <f t="shared" ca="1" si="4"/>
        <v>112860.75</v>
      </c>
      <c r="I55" s="150">
        <f t="shared" ca="1" si="4"/>
        <v>114281.58333333333</v>
      </c>
      <c r="J55" s="150">
        <f t="shared" ca="1" si="4"/>
        <v>115878.91666666667</v>
      </c>
      <c r="K55" s="150">
        <f t="shared" ca="1" si="4"/>
        <v>117343</v>
      </c>
      <c r="L55" s="150">
        <f t="shared" ca="1" si="4"/>
        <v>119440.58333333333</v>
      </c>
      <c r="M55" s="150">
        <f t="shared" ca="1" si="4"/>
        <v>121925.41666666667</v>
      </c>
      <c r="N55" s="159">
        <f t="shared" ca="1" si="4"/>
        <v>124111.41666666667</v>
      </c>
      <c r="R55" s="50" t="s">
        <v>47</v>
      </c>
    </row>
    <row r="56" spans="1:18" ht="15" customHeight="1" x14ac:dyDescent="0.2">
      <c r="A56" s="132"/>
      <c r="B56" s="152" t="s">
        <v>727</v>
      </c>
      <c r="C56" s="147">
        <f ca="1">IF(C53="-","-",C53-IF(ISNUMBER(FIND("ED only",$B$4)),SUMIFS(sum_over_4_tot,site_level_range,LEFT($B$4,LEN($B$4)-10),date_range,C52,inputdata!$E:$E,"*- ED*"),SUMIFS(sum_over_4_tot,site_level_range,$B$4,date_range,C52)))</f>
        <v>13055</v>
      </c>
      <c r="D56" s="147">
        <f ca="1">IF(D53="-","-",D53-IF(ISNUMBER(FIND("ED only",$B$4)),SUMIFS(sum_over_4_tot,site_level_range,LEFT($B$4,LEN($B$4)-10),date_range,D52,inputdata!$E:$E,"*- ED*"),SUMIFS(sum_over_4_tot,site_level_range,$B$4,date_range,D52)))</f>
        <v>16647</v>
      </c>
      <c r="E56" s="147">
        <f ca="1">IF(E53="-","-",E53-IF(ISNUMBER(FIND("ED only",$B$4)),SUMIFS(sum_over_4_tot,site_level_range,LEFT($B$4,LEN($B$4)-10),date_range,E52,inputdata!$E:$E,"*- ED*"),SUMIFS(sum_over_4_tot,site_level_range,$B$4,date_range,E52)))</f>
        <v>20456</v>
      </c>
      <c r="F56" s="147">
        <f ca="1">IF(F53="-","-",F53-IF(ISNUMBER(FIND("ED only",$B$4)),SUMIFS(sum_over_4_tot,site_level_range,LEFT($B$4,LEN($B$4)-10),date_range,F52,inputdata!$E:$E,"*- ED*"),SUMIFS(sum_over_4_tot,site_level_range,$B$4,date_range,F52)))</f>
        <v>24522</v>
      </c>
      <c r="G56" s="147">
        <f ca="1">IF(G53="-","-",G53-IF(ISNUMBER(FIND("ED only",$B$4)),SUMIFS(sum_over_4_tot,site_level_range,LEFT($B$4,LEN($B$4)-10),date_range,G52,inputdata!$E:$E,"*- ED*"),SUMIFS(sum_over_4_tot,site_level_range,$B$4,date_range,G52)))</f>
        <v>30216</v>
      </c>
      <c r="H56" s="147">
        <f ca="1">IF(H53="-","-",H53-IF(ISNUMBER(FIND("ED only",$B$4)),SUMIFS(sum_over_4_tot,site_level_range,LEFT($B$4,LEN($B$4)-10),date_range,H52,inputdata!$E:$E,"*- ED*"),SUMIFS(sum_over_4_tot,site_level_range,$B$4,date_range,H52)))</f>
        <v>31434</v>
      </c>
      <c r="I56" s="147">
        <f ca="1">IF(I53="-","-",I53-IF(ISNUMBER(FIND("ED only",$B$4)),SUMIFS(sum_over_4_tot,site_level_range,LEFT($B$4,LEN($B$4)-10),date_range,I52,inputdata!$E:$E,"*- ED*"),SUMIFS(sum_over_4_tot,site_level_range,$B$4,date_range,I52)))</f>
        <v>32990</v>
      </c>
      <c r="J56" s="147">
        <f ca="1">IF(J53="-","-",J53-IF(ISNUMBER(FIND("ED only",$B$4)),SUMIFS(sum_over_4_tot,site_level_range,LEFT($B$4,LEN($B$4)-10),date_range,J52,inputdata!$E:$E,"*- ED*"),SUMIFS(sum_over_4_tot,site_level_range,$B$4,date_range,J52)))</f>
        <v>28630</v>
      </c>
      <c r="K56" s="147">
        <f ca="1">IF(K53="-","-",K53-IF(ISNUMBER(FIND("ED only",$B$4)),SUMIFS(sum_over_4_tot,site_level_range,LEFT($B$4,LEN($B$4)-10),date_range,K52,inputdata!$E:$E,"*- ED*"),SUMIFS(sum_over_4_tot,site_level_range,$B$4,date_range,K52)))</f>
        <v>27023</v>
      </c>
      <c r="L56" s="147">
        <f ca="1">IF(L53="-","-",L53-IF(ISNUMBER(FIND("ED only",$B$4)),SUMIFS(sum_over_4_tot,site_level_range,LEFT($B$4,LEN($B$4)-10),date_range,L52,inputdata!$E:$E,"*- ED*"),SUMIFS(sum_over_4_tot,site_level_range,$B$4,date_range,L52)))</f>
        <v>26576</v>
      </c>
      <c r="M56" s="147">
        <f ca="1">IF(M53="-","-",M53-IF(ISNUMBER(FIND("ED only",$B$4)),SUMIFS(sum_over_4_tot,site_level_range,LEFT($B$4,LEN($B$4)-10),date_range,M52,inputdata!$E:$E,"*- ED*"),SUMIFS(sum_over_4_tot,site_level_range,$B$4,date_range,M52)))</f>
        <v>28467</v>
      </c>
      <c r="N56" s="156">
        <f ca="1">IF(N53="-","-",N53-IF(ISNUMBER(FIND("ED only",$B$4)),SUMIFS(sum_over_4_tot,site_level_range,LEFT($B$4,LEN($B$4)-10),date_range,N52,inputdata!$E:$E,"*- ED*"),SUMIFS(sum_over_4_tot,site_level_range,$B$4,date_range,N52)))</f>
        <v>37066</v>
      </c>
      <c r="R56" s="50" t="s">
        <v>333</v>
      </c>
    </row>
    <row r="57" spans="1:18" ht="15" customHeight="1" x14ac:dyDescent="0.2">
      <c r="A57" s="132"/>
      <c r="B57" s="152" t="s">
        <v>728</v>
      </c>
      <c r="C57" s="148">
        <f t="shared" ref="C57:N57" ca="1" si="5">IF(ISERROR(1-C56/C53),NA(),(1-C56/C53))</f>
        <v>0.88713093848614533</v>
      </c>
      <c r="D57" s="148">
        <f t="shared" ca="1" si="5"/>
        <v>0.87153209189618852</v>
      </c>
      <c r="E57" s="148">
        <f t="shared" ca="1" si="5"/>
        <v>0.85079504011670315</v>
      </c>
      <c r="F57" s="148">
        <f t="shared" ca="1" si="5"/>
        <v>0.81538670019348181</v>
      </c>
      <c r="G57" s="148">
        <f t="shared" ca="1" si="5"/>
        <v>0.77869897025004031</v>
      </c>
      <c r="H57" s="148">
        <f t="shared" ca="1" si="5"/>
        <v>0.76146969995902325</v>
      </c>
      <c r="I57" s="148">
        <f t="shared" ca="1" si="5"/>
        <v>0.73492639969145723</v>
      </c>
      <c r="J57" s="148">
        <f t="shared" ca="1" si="5"/>
        <v>0.75934300556461509</v>
      </c>
      <c r="K57" s="148">
        <f t="shared" ca="1" si="5"/>
        <v>0.75664601419257238</v>
      </c>
      <c r="L57" s="148">
        <f t="shared" ca="1" si="5"/>
        <v>0.76001878239511655</v>
      </c>
      <c r="M57" s="148">
        <f t="shared" ca="1" si="5"/>
        <v>0.74189892469218632</v>
      </c>
      <c r="N57" s="157">
        <f t="shared" ca="1" si="5"/>
        <v>0.71562068436397119</v>
      </c>
      <c r="R57" s="50" t="s">
        <v>48</v>
      </c>
    </row>
    <row r="58" spans="1:18" ht="15" customHeight="1" x14ac:dyDescent="0.2">
      <c r="A58" s="132"/>
      <c r="B58" s="154" t="s">
        <v>729</v>
      </c>
      <c r="C58" s="151">
        <f ca="1">IF(ISERROR(C55),NA(),IF(AND(MONTH(C52)=3,ISNUMBER($N53),ISNUMBER($C53)),1-(SUM($C56:$N56)/SUM($C53:$N53)),IF(AND(MONTH(C52)&lt;&gt;3,ISNUMBER(C53),ISNUMBER(D67)),1-(SUM(D70:$N70,$C56:C56)/SUM($C53:C53,D67:$N67)),NA())))</f>
        <v>0.90721059063136456</v>
      </c>
      <c r="D58" s="151">
        <f ca="1">IF(ISERROR(D55),NA(),IF(AND(MONTH(D52)=3,ISNUMBER($N53),ISNUMBER($C53)),1-(SUM($C56:$N56)/SUM($C53:$N53)),IF(AND(MONTH(D52)&lt;&gt;3,ISNUMBER(D53),ISNUMBER(E67)),1-(SUM(E70:$N70,$C56:D56)/SUM($C53:D53,E67:$N67)),NA())))</f>
        <v>0.90007465704665557</v>
      </c>
      <c r="E58" s="151">
        <f ca="1">IF(ISERROR(E55),NA(),IF(AND(MONTH(E52)=3,ISNUMBER($N53),ISNUMBER($C53)),1-(SUM($C56:$N56)/SUM($C53:$N53)),IF(AND(MONTH(E52)&lt;&gt;3,ISNUMBER(E53),ISNUMBER(F67)),1-(SUM(F70:$N70,$C56:E56)/SUM($C53:E53,F67:$N67)),NA())))</f>
        <v>0.89055504103237204</v>
      </c>
      <c r="F58" s="151">
        <f ca="1">IF(ISERROR(F55),NA(),IF(AND(MONTH(F52)=3,ISNUMBER($N53),ISNUMBER($C53)),1-(SUM($C56:$N56)/SUM($C53:$N53)),IF(AND(MONTH(F52)&lt;&gt;3,ISNUMBER(F53),ISNUMBER(G67)),1-(SUM(G70:$N70,$C56:F56)/SUM($C53:F53,G67:$N67)),NA())))</f>
        <v>0.87790004377424569</v>
      </c>
      <c r="G58" s="151">
        <f ca="1">IF(ISERROR(G55),NA(),IF(AND(MONTH(G52)=3,ISNUMBER($N53),ISNUMBER($C53)),1-(SUM($C56:$N56)/SUM($C53:$N53)),IF(AND(MONTH(G52)&lt;&gt;3,ISNUMBER(G53),ISNUMBER(H67)),1-(SUM(H70:$N70,$C56:G56)/SUM($C53:G53,H67:$N67)),NA())))</f>
        <v>0.8630548627590704</v>
      </c>
      <c r="H58" s="151">
        <f ca="1">IF(ISERROR(H55),NA(),IF(AND(MONTH(H52)=3,ISNUMBER($N53),ISNUMBER($C53)),1-(SUM($C56:$N56)/SUM($C53:$N53)),IF(AND(MONTH(H52)&lt;&gt;3,ISNUMBER(H53),ISNUMBER(I67)),1-(SUM(I70:$N70,$C56:H56)/SUM($C53:H53,I67:$N67)),NA())))</f>
        <v>0.84817943055195599</v>
      </c>
      <c r="I58" s="151">
        <f ca="1">IF(ISERROR(I55),NA(),IF(AND(MONTH(I52)=3,ISNUMBER($N53),ISNUMBER($C53)),1-(SUM($C56:$N56)/SUM($C53:$N53)),IF(AND(MONTH(I52)&lt;&gt;3,ISNUMBER(I53),ISNUMBER(J67)),1-(SUM(J70:$N70,$C56:I56)/SUM($C53:I53,J67:$N67)),NA())))</f>
        <v>0.83416765168490992</v>
      </c>
      <c r="J58" s="151">
        <f ca="1">IF(ISERROR(J55),NA(),IF(AND(MONTH(J52)=3,ISNUMBER($N53),ISNUMBER($C53)),1-(SUM($C56:$N56)/SUM($C53:$N53)),IF(AND(MONTH(J52)&lt;&gt;3,ISNUMBER(J53),ISNUMBER(K67)),1-(SUM(K70:$N70,$C56:J56)/SUM($C53:J53,K67:$N67)),NA())))</f>
        <v>0.82320338686862082</v>
      </c>
      <c r="K58" s="151">
        <f ca="1">IF(ISERROR(K55),NA(),IF(AND(MONTH(K52)=3,ISNUMBER($N53),ISNUMBER($C53)),1-(SUM($C56:$N56)/SUM($C53:$N53)),IF(AND(MONTH(K52)&lt;&gt;3,ISNUMBER(K53),ISNUMBER(L67)),1-(SUM(L70:$N70,$C56:K56)/SUM($C53:K53,L67:$N67)),NA())))</f>
        <v>0.81530214840254644</v>
      </c>
      <c r="L58" s="151">
        <f ca="1">IF(ISERROR(L55),NA(),IF(AND(MONTH(L52)=3,ISNUMBER($N53),ISNUMBER($C53)),1-(SUM($C56:$N56)/SUM($C53:$N53)),IF(AND(MONTH(L52)&lt;&gt;3,ISNUMBER(L53),ISNUMBER(M67)),1-(SUM(M70:$N70,$C56:L56)/SUM($C53:L53,M67:$N67)),NA())))</f>
        <v>0.80837264274356779</v>
      </c>
      <c r="M58" s="151">
        <f ca="1">IF(ISERROR(M55),NA(),IF(AND(MONTH(M52)=3,ISNUMBER($N53),ISNUMBER($C53)),1-(SUM($C56:$N56)/SUM($C53:$N53)),IF(AND(MONTH(M52)&lt;&gt;3,ISNUMBER(M53),ISNUMBER(N67)),1-(SUM(N70:$N70,$C56:M56)/SUM($C53:M53,N67:$N67)),NA())))</f>
        <v>0.80044289370892718</v>
      </c>
      <c r="N58" s="160">
        <f ca="1">IF(ISERROR(N55),NA(),IF(AND(MONTH(N52)=3,ISNUMBER($N53),ISNUMBER($C53)),1-(SUM($C56:$N56)/SUM($C53:$N53)),IF(AND(MONTH(N52)&lt;&gt;3,ISNUMBER(N53),ISNUMBER(O67)),1-(SUM($N70:O70,$C56:N56)/SUM($C53:N53,$N67:O67)),NA())))</f>
        <v>0.78709855459174116</v>
      </c>
      <c r="R58" s="50" t="s">
        <v>44</v>
      </c>
    </row>
    <row r="59" spans="1:18" ht="14.45" customHeight="1" x14ac:dyDescent="0.25">
      <c r="A59" s="132"/>
      <c r="B59" s="155" t="s">
        <v>730</v>
      </c>
      <c r="C59" s="127"/>
      <c r="D59" s="127"/>
      <c r="E59" s="127"/>
      <c r="F59" s="127"/>
      <c r="G59" s="127"/>
      <c r="H59" s="127"/>
      <c r="I59" s="127"/>
      <c r="J59" s="127"/>
      <c r="K59" s="127"/>
      <c r="L59" s="127"/>
      <c r="M59" s="127"/>
      <c r="N59" s="161"/>
      <c r="R59" s="50" t="s">
        <v>334</v>
      </c>
    </row>
    <row r="60" spans="1:18" ht="15" customHeight="1" x14ac:dyDescent="0.2">
      <c r="A60" s="132"/>
      <c r="B60" s="154" t="s">
        <v>724</v>
      </c>
      <c r="C60" s="150">
        <f ca="1">IF(IF(ISNUMBER(FIND("ED only",$B$4)),SUMIFS(Sum_total_epi,site_level_range,LEFT($B$4,LEN($B$4)-10),date_range,C52,inputdata!$E:$E,"*- ED*"),SUMIFS(Sum_total_epi,site_level_range,$B$4,date_range,C52))=0,"-",IF(ISNUMBER(FIND("ED only",$B$4)),SUMIFS(Sum_total_epi,site_level_range,LEFT($B$4,LEN($B$4)-10),date_range,C52,inputdata!$E:$E,"*- ED*"),SUMIFS(Sum_total_epi,site_level_range,$B$4,date_range,C52)))</f>
        <v>112056</v>
      </c>
      <c r="D60" s="150">
        <f ca="1">IF(IF(ISNUMBER(FIND("ED only",$B$4)),SUMIFS(Sum_total_epi,site_level_range,LEFT($B$4,LEN($B$4)-10),date_range,D52,inputdata!$E:$E,"*- ED*"),SUMIFS(Sum_total_epi,site_level_range,$B$4,date_range,D52))=0,"-",IF(ISNUMBER(FIND("ED only",$B$4)),SUMIFS(Sum_total_epi,site_level_range,LEFT($B$4,LEN($B$4)-10),date_range,D52,inputdata!$E:$E,"*- ED*"),SUMIFS(Sum_total_epi,site_level_range,$B$4,date_range,D52)))</f>
        <v>125063</v>
      </c>
      <c r="E60" s="150">
        <f ca="1">IF(IF(ISNUMBER(FIND("ED only",$B$4)),SUMIFS(Sum_total_epi,site_level_range,LEFT($B$4,LEN($B$4)-10),date_range,E52,inputdata!$E:$E,"*- ED*"),SUMIFS(Sum_total_epi,site_level_range,$B$4,date_range,E52))=0,"-",IF(ISNUMBER(FIND("ED only",$B$4)),SUMIFS(Sum_total_epi,site_level_range,LEFT($B$4,LEN($B$4)-10),date_range,E52,inputdata!$E:$E,"*- ED*"),SUMIFS(Sum_total_epi,site_level_range,$B$4,date_range,E52)))</f>
        <v>132217</v>
      </c>
      <c r="F60" s="150">
        <f ca="1">IF(IF(ISNUMBER(FIND("ED only",$B$4)),SUMIFS(Sum_total_epi,site_level_range,LEFT($B$4,LEN($B$4)-10),date_range,F52,inputdata!$E:$E,"*- ED*"),SUMIFS(Sum_total_epi,site_level_range,$B$4,date_range,F52))=0,"-",IF(ISNUMBER(FIND("ED only",$B$4)),SUMIFS(Sum_total_epi,site_level_range,LEFT($B$4,LEN($B$4)-10),date_range,F52,inputdata!$E:$E,"*- ED*"),SUMIFS(Sum_total_epi,site_level_range,$B$4,date_range,F52)))</f>
        <v>128408</v>
      </c>
      <c r="G60" s="150">
        <f ca="1">IF(IF(ISNUMBER(FIND("ED only",$B$4)),SUMIFS(Sum_total_epi,site_level_range,LEFT($B$4,LEN($B$4)-10),date_range,G52,inputdata!$E:$E,"*- ED*"),SUMIFS(Sum_total_epi,site_level_range,$B$4,date_range,G52))=0,"-",IF(ISNUMBER(FIND("ED only",$B$4)),SUMIFS(Sum_total_epi,site_level_range,LEFT($B$4,LEN($B$4)-10),date_range,G52,inputdata!$E:$E,"*- ED*"),SUMIFS(Sum_total_epi,site_level_range,$B$4,date_range,G52)))</f>
        <v>131896</v>
      </c>
      <c r="H60" s="150">
        <f ca="1">IF(IF(ISNUMBER(FIND("ED only",$B$4)),SUMIFS(Sum_total_epi,site_level_range,LEFT($B$4,LEN($B$4)-10),date_range,H52,inputdata!$E:$E,"*- ED*"),SUMIFS(Sum_total_epi,site_level_range,$B$4,date_range,H52))=0,"-",IF(ISNUMBER(FIND("ED only",$B$4)),SUMIFS(Sum_total_epi,site_level_range,LEFT($B$4,LEN($B$4)-10),date_range,H52,inputdata!$E:$E,"*- ED*"),SUMIFS(Sum_total_epi,site_level_range,$B$4,date_range,H52)))</f>
        <v>128105</v>
      </c>
      <c r="I60" s="150">
        <f ca="1">IF(IF(ISNUMBER(FIND("ED only",$B$4)),SUMIFS(Sum_total_epi,site_level_range,LEFT($B$4,LEN($B$4)-10),date_range,I52,inputdata!$E:$E,"*- ED*"),SUMIFS(Sum_total_epi,site_level_range,$B$4,date_range,I52))=0,"-",IF(ISNUMBER(FIND("ED only",$B$4)),SUMIFS(Sum_total_epi,site_level_range,LEFT($B$4,LEN($B$4)-10),date_range,I52,inputdata!$E:$E,"*- ED*"),SUMIFS(Sum_total_epi,site_level_range,$B$4,date_range,I52)))</f>
        <v>121029</v>
      </c>
      <c r="J60" s="150">
        <f ca="1">IF(IF(ISNUMBER(FIND("ED only",$B$4)),SUMIFS(Sum_total_epi,site_level_range,LEFT($B$4,LEN($B$4)-10),date_range,J52,inputdata!$E:$E,"*- ED*"),SUMIFS(Sum_total_epi,site_level_range,$B$4,date_range,J52))=0,"-",IF(ISNUMBER(FIND("ED only",$B$4)),SUMIFS(Sum_total_epi,site_level_range,LEFT($B$4,LEN($B$4)-10),date_range,J52,inputdata!$E:$E,"*- ED*"),SUMIFS(Sum_total_epi,site_level_range,$B$4,date_range,J52)))</f>
        <v>115872</v>
      </c>
      <c r="K60" s="150">
        <f ca="1">IF(IF(ISNUMBER(FIND("ED only",$B$4)),SUMIFS(Sum_total_epi,site_level_range,LEFT($B$4,LEN($B$4)-10),date_range,K52,inputdata!$E:$E,"*- ED*"),SUMIFS(Sum_total_epi,site_level_range,$B$4,date_range,K52))=0,"-",IF(ISNUMBER(FIND("ED only",$B$4)),SUMIFS(Sum_total_epi,site_level_range,LEFT($B$4,LEN($B$4)-10),date_range,K52,inputdata!$E:$E,"*- ED*"),SUMIFS(Sum_total_epi,site_level_range,$B$4,date_range,K52)))</f>
        <v>108081</v>
      </c>
      <c r="L60" s="150">
        <f ca="1">IF(IF(ISNUMBER(FIND("ED only",$B$4)),SUMIFS(Sum_total_epi,site_level_range,LEFT($B$4,LEN($B$4)-10),date_range,L52,inputdata!$E:$E,"*- ED*"),SUMIFS(Sum_total_epi,site_level_range,$B$4,date_range,L52))=0,"-",IF(ISNUMBER(FIND("ED only",$B$4)),SUMIFS(Sum_total_epi,site_level_range,LEFT($B$4,LEN($B$4)-10),date_range,L52,inputdata!$E:$E,"*- ED*"),SUMIFS(Sum_total_epi,site_level_range,$B$4,date_range,L52)))</f>
        <v>107583</v>
      </c>
      <c r="M60" s="150">
        <f ca="1">IF(IF(ISNUMBER(FIND("ED only",$B$4)),SUMIFS(Sum_total_epi,site_level_range,LEFT($B$4,LEN($B$4)-10),date_range,M52,inputdata!$E:$E,"*- ED*"),SUMIFS(Sum_total_epi,site_level_range,$B$4,date_range,M52))=0,"-",IF(ISNUMBER(FIND("ED only",$B$4)),SUMIFS(Sum_total_epi,site_level_range,LEFT($B$4,LEN($B$4)-10),date_range,M52,inputdata!$E:$E,"*- ED*"),SUMIFS(Sum_total_epi,site_level_range,$B$4,date_range,M52)))</f>
        <v>107100</v>
      </c>
      <c r="N60" s="159">
        <f ca="1">IF(IF(ISNUMBER(FIND("ED only",$B$4)),SUMIFS(Sum_total_epi,site_level_range,LEFT($B$4,LEN($B$4)-10),date_range,N52,inputdata!$E:$E,"*- ED*"),SUMIFS(Sum_total_epi,site_level_range,$B$4,date_range,N52))=0,"-",IF(ISNUMBER(FIND("ED only",$B$4)),SUMIFS(Sum_total_epi,site_level_range,LEFT($B$4,LEN($B$4)-10),date_range,N52,inputdata!$E:$E,"*- ED*"),SUMIFS(Sum_total_epi,site_level_range,$B$4,date_range,N52)))</f>
        <v>126285</v>
      </c>
      <c r="R60" s="50" t="s">
        <v>43</v>
      </c>
    </row>
    <row r="61" spans="1:18" ht="15" customHeight="1" x14ac:dyDescent="0.2">
      <c r="A61" s="132"/>
      <c r="B61" s="152" t="s">
        <v>731</v>
      </c>
      <c r="C61" s="147">
        <f ca="1">IF(C60="-","-",IF(ISNUMBER(FIND("ED only",$B$4)),SUMIFS(Sum_over_8,site_level_range,LEFT($B$4,LEN($B$4)-10),date_range,C52,inputdata!$E:$E,"*- ED*"),SUMIFS(Sum_over_8,site_level_range,$B$4,date_range,C52)))</f>
        <v>1180</v>
      </c>
      <c r="D61" s="147">
        <f ca="1">IF(D60="-","-",IF(ISNUMBER(FIND("ED only",$B$4)),SUMIFS(Sum_over_8,site_level_range,LEFT($B$4,LEN($B$4)-10),date_range,D52,inputdata!$E:$E,"*- ED*"),SUMIFS(Sum_over_8,site_level_range,$B$4,date_range,D52)))</f>
        <v>1798</v>
      </c>
      <c r="E61" s="147">
        <f ca="1">IF(E60="-","-",IF(ISNUMBER(FIND("ED only",$B$4)),SUMIFS(Sum_over_8,site_level_range,LEFT($B$4,LEN($B$4)-10),date_range,E52,inputdata!$E:$E,"*- ED*"),SUMIFS(Sum_over_8,site_level_range,$B$4,date_range,E52)))</f>
        <v>2399</v>
      </c>
      <c r="F61" s="147">
        <f ca="1">IF(F60="-","-",IF(ISNUMBER(FIND("ED only",$B$4)),SUMIFS(Sum_over_8,site_level_range,LEFT($B$4,LEN($B$4)-10),date_range,F52,inputdata!$E:$E,"*- ED*"),SUMIFS(Sum_over_8,site_level_range,$B$4,date_range,F52)))</f>
        <v>3592</v>
      </c>
      <c r="G61" s="147">
        <f ca="1">IF(G60="-","-",IF(ISNUMBER(FIND("ED only",$B$4)),SUMIFS(Sum_over_8,site_level_range,LEFT($B$4,LEN($B$4)-10),date_range,G52,inputdata!$E:$E,"*- ED*"),SUMIFS(Sum_over_8,site_level_range,$B$4,date_range,G52)))</f>
        <v>5521</v>
      </c>
      <c r="H61" s="147">
        <f ca="1">IF(H60="-","-",IF(ISNUMBER(FIND("ED only",$B$4)),SUMIFS(Sum_over_8,site_level_range,LEFT($B$4,LEN($B$4)-10),date_range,H52,inputdata!$E:$E,"*- ED*"),SUMIFS(Sum_over_8,site_level_range,$B$4,date_range,H52)))</f>
        <v>6837</v>
      </c>
      <c r="I61" s="147">
        <f ca="1">IF(I60="-","-",IF(ISNUMBER(FIND("ED only",$B$4)),SUMIFS(Sum_over_8,site_level_range,LEFT($B$4,LEN($B$4)-10),date_range,I52,inputdata!$E:$E,"*- ED*"),SUMIFS(Sum_over_8,site_level_range,$B$4,date_range,I52)))</f>
        <v>8298</v>
      </c>
      <c r="J61" s="147">
        <f ca="1">IF(J60="-","-",IF(ISNUMBER(FIND("ED only",$B$4)),SUMIFS(Sum_over_8,site_level_range,LEFT($B$4,LEN($B$4)-10),date_range,J52,inputdata!$E:$E,"*- ED*"),SUMIFS(Sum_over_8,site_level_range,$B$4,date_range,J52)))</f>
        <v>6117</v>
      </c>
      <c r="K61" s="147">
        <f ca="1">IF(K60="-","-",IF(ISNUMBER(FIND("ED only",$B$4)),SUMIFS(Sum_over_8,site_level_range,LEFT($B$4,LEN($B$4)-10),date_range,K52,inputdata!$E:$E,"*- ED*"),SUMIFS(Sum_over_8,site_level_range,$B$4,date_range,K52)))</f>
        <v>5751</v>
      </c>
      <c r="L61" s="147">
        <f ca="1">IF(L60="-","-",IF(ISNUMBER(FIND("ED only",$B$4)),SUMIFS(Sum_over_8,site_level_range,LEFT($B$4,LEN($B$4)-10),date_range,L52,inputdata!$E:$E,"*- ED*"),SUMIFS(Sum_over_8,site_level_range,$B$4,date_range,L52)))</f>
        <v>6750</v>
      </c>
      <c r="M61" s="147">
        <f ca="1">IF(M60="-","-",IF(ISNUMBER(FIND("ED only",$B$4)),SUMIFS(Sum_over_8,site_level_range,LEFT($B$4,LEN($B$4)-10),date_range,M52,inputdata!$E:$E,"*- ED*"),SUMIFS(Sum_over_8,site_level_range,$B$4,date_range,M52)))</f>
        <v>6691</v>
      </c>
      <c r="N61" s="156">
        <f ca="1">IF(N60="-","-",IF(ISNUMBER(FIND("ED only",$B$4)),SUMIFS(Sum_over_8,site_level_range,LEFT($B$4,LEN($B$4)-10),date_range,N52,inputdata!$E:$E,"*- ED*"),SUMIFS(Sum_over_8,site_level_range,$B$4,date_range,N52)))</f>
        <v>11148</v>
      </c>
      <c r="R61" s="50" t="s">
        <v>114</v>
      </c>
    </row>
    <row r="62" spans="1:18" ht="15" customHeight="1" x14ac:dyDescent="0.2">
      <c r="A62" s="132"/>
      <c r="B62" s="154" t="s">
        <v>732</v>
      </c>
      <c r="C62" s="151">
        <f t="shared" ref="C62:N62" ca="1" si="6">IF(ISERROR(1-C61/C60),"-",1-C61/C60)</f>
        <v>0.98946955093881628</v>
      </c>
      <c r="D62" s="151">
        <f t="shared" ca="1" si="6"/>
        <v>0.98562324588407446</v>
      </c>
      <c r="E62" s="151">
        <f t="shared" ca="1" si="6"/>
        <v>0.98185558589288824</v>
      </c>
      <c r="F62" s="151">
        <f t="shared" ca="1" si="6"/>
        <v>0.97202666500529566</v>
      </c>
      <c r="G62" s="151">
        <f t="shared" ca="1" si="6"/>
        <v>0.9581412628131255</v>
      </c>
      <c r="H62" s="151">
        <f t="shared" ca="1" si="6"/>
        <v>0.94662971780960925</v>
      </c>
      <c r="I62" s="151">
        <f t="shared" ca="1" si="6"/>
        <v>0.93143791983739432</v>
      </c>
      <c r="J62" s="151">
        <f t="shared" ca="1" si="6"/>
        <v>0.94720898922949459</v>
      </c>
      <c r="K62" s="151">
        <f t="shared" ca="1" si="6"/>
        <v>0.94678990756932302</v>
      </c>
      <c r="L62" s="151">
        <f t="shared" ca="1" si="6"/>
        <v>0.93725774518278915</v>
      </c>
      <c r="M62" s="151">
        <f t="shared" ca="1" si="6"/>
        <v>0.9375256769374416</v>
      </c>
      <c r="N62" s="160">
        <f t="shared" ca="1" si="6"/>
        <v>0.91172348259888347</v>
      </c>
      <c r="R62" s="50" t="s">
        <v>100</v>
      </c>
    </row>
    <row r="63" spans="1:18" ht="15" customHeight="1" x14ac:dyDescent="0.2">
      <c r="A63" s="132"/>
      <c r="B63" s="152" t="s">
        <v>733</v>
      </c>
      <c r="C63" s="147">
        <f ca="1">IF(C60="-","-",IF(ISNUMBER(FIND("ED only",$B$4)),SUMIFS(Sum_over_12,site_level_range,LEFT($B$4,LEN($B$4)-10),date_range,C52,inputdata!$E:$E,"*- ED*"),SUMIFS(Sum_over_12,site_level_range,$B$4,date_range,C52)))</f>
        <v>205</v>
      </c>
      <c r="D63" s="147">
        <f ca="1">IF(D60="-","-",IF(ISNUMBER(FIND("ED only",$B$4)),SUMIFS(Sum_over_12,site_level_range,LEFT($B$4,LEN($B$4)-10),date_range,D52,inputdata!$E:$E,"*- ED*"),SUMIFS(Sum_over_12,site_level_range,$B$4,date_range,D52)))</f>
        <v>417</v>
      </c>
      <c r="E63" s="147">
        <f ca="1">IF(E60="-","-",IF(ISNUMBER(FIND("ED only",$B$4)),SUMIFS(Sum_over_12,site_level_range,LEFT($B$4,LEN($B$4)-10),date_range,E52,inputdata!$E:$E,"*- ED*"),SUMIFS(Sum_over_12,site_level_range,$B$4,date_range,E52)))</f>
        <v>534</v>
      </c>
      <c r="F63" s="147">
        <f ca="1">IF(F60="-","-",IF(ISNUMBER(FIND("ED only",$B$4)),SUMIFS(Sum_over_12,site_level_range,LEFT($B$4,LEN($B$4)-10),date_range,F52,inputdata!$E:$E,"*- ED*"),SUMIFS(Sum_over_12,site_level_range,$B$4,date_range,F52)))</f>
        <v>784</v>
      </c>
      <c r="G63" s="147">
        <f ca="1">IF(G60="-","-",IF(ISNUMBER(FIND("ED only",$B$4)),SUMIFS(Sum_over_12,site_level_range,LEFT($B$4,LEN($B$4)-10),date_range,G52,inputdata!$E:$E,"*- ED*"),SUMIFS(Sum_over_12,site_level_range,$B$4,date_range,G52)))</f>
        <v>1463</v>
      </c>
      <c r="H63" s="147">
        <f ca="1">IF(H60="-","-",IF(ISNUMBER(FIND("ED only",$B$4)),SUMIFS(Sum_over_12,site_level_range,LEFT($B$4,LEN($B$4)-10),date_range,H52,inputdata!$E:$E,"*- ED*"),SUMIFS(Sum_over_12,site_level_range,$B$4,date_range,H52)))</f>
        <v>1997</v>
      </c>
      <c r="I63" s="147">
        <f ca="1">IF(I60="-","-",IF(ISNUMBER(FIND("ED only",$B$4)),SUMIFS(Sum_over_12,site_level_range,LEFT($B$4,LEN($B$4)-10),date_range,I52,inputdata!$E:$E,"*- ED*"),SUMIFS(Sum_over_12,site_level_range,$B$4,date_range,I52)))</f>
        <v>2638</v>
      </c>
      <c r="J63" s="147">
        <f ca="1">IF(J60="-","-",IF(ISNUMBER(FIND("ED only",$B$4)),SUMIFS(Sum_over_12,site_level_range,LEFT($B$4,LEN($B$4)-10),date_range,J52,inputdata!$E:$E,"*- ED*"),SUMIFS(Sum_over_12,site_level_range,$B$4,date_range,J52)))</f>
        <v>1954</v>
      </c>
      <c r="K63" s="147">
        <f ca="1">IF(K60="-","-",IF(ISNUMBER(FIND("ED only",$B$4)),SUMIFS(Sum_over_12,site_level_range,LEFT($B$4,LEN($B$4)-10),date_range,K52,inputdata!$E:$E,"*- ED*"),SUMIFS(Sum_over_12,site_level_range,$B$4,date_range,K52)))</f>
        <v>1841</v>
      </c>
      <c r="L63" s="147">
        <f ca="1">IF(L60="-","-",IF(ISNUMBER(FIND("ED only",$B$4)),SUMIFS(Sum_over_12,site_level_range,LEFT($B$4,LEN($B$4)-10),date_range,L52,inputdata!$E:$E,"*- ED*"),SUMIFS(Sum_over_12,site_level_range,$B$4,date_range,L52)))</f>
        <v>2330</v>
      </c>
      <c r="M63" s="147">
        <f ca="1">IF(M60="-","-",IF(ISNUMBER(FIND("ED only",$B$4)),SUMIFS(Sum_over_12,site_level_range,LEFT($B$4,LEN($B$4)-10),date_range,M52,inputdata!$E:$E,"*- ED*"),SUMIFS(Sum_over_12,site_level_range,$B$4,date_range,M52)))</f>
        <v>2482</v>
      </c>
      <c r="N63" s="156">
        <f ca="1">IF(N60="-","-",IF(ISNUMBER(FIND("ED only",$B$4)),SUMIFS(Sum_over_12,site_level_range,LEFT($B$4,LEN($B$4)-10),date_range,N52,inputdata!$E:$E,"*- ED*"),SUMIFS(Sum_over_12,site_level_range,$B$4,date_range,N52)))</f>
        <v>4243</v>
      </c>
      <c r="R63" s="50" t="s">
        <v>335</v>
      </c>
    </row>
    <row r="64" spans="1:18" ht="15" customHeight="1" x14ac:dyDescent="0.2">
      <c r="A64" s="132"/>
      <c r="B64" s="154" t="s">
        <v>734</v>
      </c>
      <c r="C64" s="151">
        <f t="shared" ref="C64:N64" ca="1" si="7">IF(ISERROR(1-C63/C60),"-",1-C63/C60)</f>
        <v>0.99817055757835371</v>
      </c>
      <c r="D64" s="151">
        <f t="shared" ca="1" si="7"/>
        <v>0.99666568049702953</v>
      </c>
      <c r="E64" s="151">
        <f t="shared" ca="1" si="7"/>
        <v>0.99596118502159325</v>
      </c>
      <c r="F64" s="151">
        <f t="shared" ca="1" si="7"/>
        <v>0.99389446140427384</v>
      </c>
      <c r="G64" s="151">
        <f t="shared" ca="1" si="7"/>
        <v>0.98890792745799716</v>
      </c>
      <c r="H64" s="151">
        <f t="shared" ca="1" si="7"/>
        <v>0.98441122516685531</v>
      </c>
      <c r="I64" s="151">
        <f t="shared" ca="1" si="7"/>
        <v>0.97820357104495614</v>
      </c>
      <c r="J64" s="151">
        <f t="shared" ca="1" si="7"/>
        <v>0.9831365644849489</v>
      </c>
      <c r="K64" s="151">
        <f t="shared" ca="1" si="7"/>
        <v>0.98296647884457022</v>
      </c>
      <c r="L64" s="151">
        <f t="shared" ca="1" si="7"/>
        <v>0.978342303151985</v>
      </c>
      <c r="M64" s="151">
        <f t="shared" ca="1" si="7"/>
        <v>0.97682539682539682</v>
      </c>
      <c r="N64" s="160">
        <f t="shared" ca="1" si="7"/>
        <v>0.96640139367304112</v>
      </c>
      <c r="R64" s="50" t="s">
        <v>336</v>
      </c>
    </row>
    <row r="65" spans="1:21" ht="14.45" customHeight="1" x14ac:dyDescent="0.2">
      <c r="B65" s="127"/>
      <c r="C65" s="127"/>
      <c r="D65" s="127"/>
      <c r="E65" s="127"/>
      <c r="F65" s="127"/>
      <c r="G65" s="127"/>
      <c r="H65" s="127"/>
      <c r="I65" s="127"/>
      <c r="J65" s="127"/>
      <c r="K65" s="127"/>
      <c r="L65" s="127"/>
      <c r="M65" s="127"/>
      <c r="N65" s="127"/>
      <c r="R65" s="50" t="s">
        <v>244</v>
      </c>
    </row>
    <row r="66" spans="1:21" ht="15" customHeight="1" x14ac:dyDescent="0.25">
      <c r="A66" s="132"/>
      <c r="B66" s="153" t="s">
        <v>723</v>
      </c>
      <c r="C66" s="149">
        <v>43951</v>
      </c>
      <c r="D66" s="149">
        <v>43982</v>
      </c>
      <c r="E66" s="149">
        <v>44012</v>
      </c>
      <c r="F66" s="149">
        <v>44043</v>
      </c>
      <c r="G66" s="149">
        <v>44074</v>
      </c>
      <c r="H66" s="149">
        <v>44104</v>
      </c>
      <c r="I66" s="149">
        <v>44135</v>
      </c>
      <c r="J66" s="149">
        <v>44165</v>
      </c>
      <c r="K66" s="149">
        <v>44196</v>
      </c>
      <c r="L66" s="149">
        <v>44227</v>
      </c>
      <c r="M66" s="149">
        <v>44255</v>
      </c>
      <c r="N66" s="158">
        <v>44286</v>
      </c>
      <c r="P66" s="50"/>
      <c r="R66" s="50" t="s">
        <v>245</v>
      </c>
    </row>
    <row r="67" spans="1:21" ht="15" customHeight="1" x14ac:dyDescent="0.2">
      <c r="A67" s="132"/>
      <c r="B67" s="152" t="s">
        <v>724</v>
      </c>
      <c r="C67" s="147">
        <f ca="1">IF(IF(ISNUMBER(FIND("ED only",$B$4)),SUMIFS(sum_range,site_level_range,LEFT($B$4,LEN($B$4)-10),date_range,C66,inputdata!$E:$E,"*- ED*"),SUMIFS(sum_range,site_level_range,$B$4,date_range,C66))=0,"-",IF(ISNUMBER(FIND("ED only",$B$4)),SUMIFS(sum_range,site_level_range,LEFT($B$4,LEN($B$4)-10),date_range,C66,inputdata!$E:$E,"*- ED*"),SUMIFS(sum_range,site_level_range,$B$4,date_range,C66)))</f>
        <v>65117</v>
      </c>
      <c r="D67" s="147">
        <f ca="1">IF(IF(ISNUMBER(FIND("ED only",$B$4)),SUMIFS(sum_range,site_level_range,LEFT($B$4,LEN($B$4)-10),date_range,D66,inputdata!$E:$E,"*- ED*"),SUMIFS(sum_range,site_level_range,$B$4,date_range,D66))=0,"-",IF(ISNUMBER(FIND("ED only",$B$4)),SUMIFS(sum_range,site_level_range,LEFT($B$4,LEN($B$4)-10),date_range,D66,inputdata!$E:$E,"*- ED*"),SUMIFS(sum_range,site_level_range,$B$4,date_range,D66)))</f>
        <v>88614</v>
      </c>
      <c r="E67" s="147">
        <f ca="1">IF(IF(ISNUMBER(FIND("ED only",$B$4)),SUMIFS(sum_range,site_level_range,LEFT($B$4,LEN($B$4)-10),date_range,E66,inputdata!$E:$E,"*- ED*"),SUMIFS(sum_range,site_level_range,$B$4,date_range,E66))=0,"-",IF(ISNUMBER(FIND("ED only",$B$4)),SUMIFS(sum_range,site_level_range,LEFT($B$4,LEN($B$4)-10),date_range,E66,inputdata!$E:$E,"*- ED*"),SUMIFS(sum_range,site_level_range,$B$4,date_range,E66)))</f>
        <v>101231</v>
      </c>
      <c r="F67" s="147">
        <f ca="1">IF(IF(ISNUMBER(FIND("ED only",$B$4)),SUMIFS(sum_range,site_level_range,LEFT($B$4,LEN($B$4)-10),date_range,F66,inputdata!$E:$E,"*- ED*"),SUMIFS(sum_range,site_level_range,$B$4,date_range,F66))=0,"-",IF(ISNUMBER(FIND("ED only",$B$4)),SUMIFS(sum_range,site_level_range,LEFT($B$4,LEN($B$4)-10),date_range,F66,inputdata!$E:$E,"*- ED*"),SUMIFS(sum_range,site_level_range,$B$4,date_range,F66)))</f>
        <v>112185</v>
      </c>
      <c r="G67" s="147">
        <f ca="1">IF(IF(ISNUMBER(FIND("ED only",$B$4)),SUMIFS(sum_range,site_level_range,LEFT($B$4,LEN($B$4)-10),date_range,G66,inputdata!$E:$E,"*- ED*"),SUMIFS(sum_range,site_level_range,$B$4,date_range,G66))=0,"-",IF(ISNUMBER(FIND("ED only",$B$4)),SUMIFS(sum_range,site_level_range,LEFT($B$4,LEN($B$4)-10),date_range,G66,inputdata!$E:$E,"*- ED*"),SUMIFS(sum_range,site_level_range,$B$4,date_range,G66)))</f>
        <v>122741</v>
      </c>
      <c r="H67" s="147">
        <f ca="1">IF(IF(ISNUMBER(FIND("ED only",$B$4)),SUMIFS(sum_range,site_level_range,LEFT($B$4,LEN($B$4)-10),date_range,H66,inputdata!$E:$E,"*- ED*"),SUMIFS(sum_range,site_level_range,$B$4,date_range,H66))=0,"-",IF(ISNUMBER(FIND("ED only",$B$4)),SUMIFS(sum_range,site_level_range,LEFT($B$4,LEN($B$4)-10),date_range,H66,inputdata!$E:$E,"*- ED*"),SUMIFS(sum_range,site_level_range,$B$4,date_range,H66)))</f>
        <v>116230</v>
      </c>
      <c r="I67" s="147">
        <f ca="1">IF(IF(ISNUMBER(FIND("ED only",$B$4)),SUMIFS(sum_range,site_level_range,LEFT($B$4,LEN($B$4)-10),date_range,I66,inputdata!$E:$E,"*- ED*"),SUMIFS(sum_range,site_level_range,$B$4,date_range,I66))=0,"-",IF(ISNUMBER(FIND("ED only",$B$4)),SUMIFS(sum_range,site_level_range,LEFT($B$4,LEN($B$4)-10),date_range,I66,inputdata!$E:$E,"*- ED*"),SUMIFS(sum_range,site_level_range,$B$4,date_range,I66)))</f>
        <v>107406</v>
      </c>
      <c r="J67" s="147">
        <f ca="1">IF(IF(ISNUMBER(FIND("ED only",$B$4)),SUMIFS(sum_range,site_level_range,LEFT($B$4,LEN($B$4)-10),date_range,J66,inputdata!$E:$E,"*- ED*"),SUMIFS(sum_range,site_level_range,$B$4,date_range,J66))=0,"-",IF(ISNUMBER(FIND("ED only",$B$4)),SUMIFS(sum_range,site_level_range,LEFT($B$4,LEN($B$4)-10),date_range,J66,inputdata!$E:$E,"*- ED*"),SUMIFS(sum_range,site_level_range,$B$4,date_range,J66)))</f>
        <v>99798</v>
      </c>
      <c r="K67" s="147">
        <f ca="1">IF(IF(ISNUMBER(FIND("ED only",$B$4)),SUMIFS(sum_range,site_level_range,LEFT($B$4,LEN($B$4)-10),date_range,K66,inputdata!$E:$E,"*- ED*"),SUMIFS(sum_range,site_level_range,$B$4,date_range,K66))=0,"-",IF(ISNUMBER(FIND("ED only",$B$4)),SUMIFS(sum_range,site_level_range,LEFT($B$4,LEN($B$4)-10),date_range,K66,inputdata!$E:$E,"*- ED*"),SUMIFS(sum_range,site_level_range,$B$4,date_range,K66)))</f>
        <v>93475</v>
      </c>
      <c r="L67" s="147">
        <f ca="1">IF(IF(ISNUMBER(FIND("ED only",$B$4)),SUMIFS(sum_range,site_level_range,LEFT($B$4,LEN($B$4)-10),date_range,L66,inputdata!$E:$E,"*- ED*"),SUMIFS(sum_range,site_level_range,$B$4,date_range,L66))=0,"-",IF(ISNUMBER(FIND("ED only",$B$4)),SUMIFS(sum_range,site_level_range,LEFT($B$4,LEN($B$4)-10),date_range,L66,inputdata!$E:$E,"*- ED*"),SUMIFS(sum_range,site_level_range,$B$4,date_range,L66)))</f>
        <v>85571</v>
      </c>
      <c r="M67" s="147">
        <f ca="1">IF(IF(ISNUMBER(FIND("ED only",$B$4)),SUMIFS(sum_range,site_level_range,LEFT($B$4,LEN($B$4)-10),date_range,M66,inputdata!$E:$E,"*- ED*"),SUMIFS(sum_range,site_level_range,$B$4,date_range,M66))=0,"-",IF(ISNUMBER(FIND("ED only",$B$4)),SUMIFS(sum_range,site_level_range,LEFT($B$4,LEN($B$4)-10),date_range,M66,inputdata!$E:$E,"*- ED*"),SUMIFS(sum_range,site_level_range,$B$4,date_range,M66)))</f>
        <v>80476</v>
      </c>
      <c r="N67" s="156">
        <f ca="1">IF(IF(ISNUMBER(FIND("ED only",$B$4)),SUMIFS(sum_range,site_level_range,LEFT($B$4,LEN($B$4)-10),date_range,N66,inputdata!$E:$E,"*- ED*"),SUMIFS(sum_range,site_level_range,$B$4,date_range,N66))=0,"-",IF(ISNUMBER(FIND("ED only",$B$4)),SUMIFS(sum_range,site_level_range,LEFT($B$4,LEN($B$4)-10),date_range,N66,inputdata!$E:$E,"*- ED*"),SUMIFS(sum_range,site_level_range,$B$4,date_range,N66)))</f>
        <v>104108</v>
      </c>
      <c r="P67" s="50"/>
      <c r="Q67" s="50"/>
      <c r="R67" s="50" t="s">
        <v>246</v>
      </c>
      <c r="S67" s="50"/>
      <c r="T67" s="50"/>
      <c r="U67" s="50"/>
    </row>
    <row r="68" spans="1:21" ht="15" customHeight="1" x14ac:dyDescent="0.2">
      <c r="A68" s="132"/>
      <c r="B68" s="152" t="s">
        <v>725</v>
      </c>
      <c r="C68" s="147">
        <f ca="1">IF(AND(MONTH(C66)=3,ISNUMBER($N67),ISNUMBER($C67)),SUM($C67:C67),IF(AND(MONTH(C66)&lt;&gt;3,ISNUMBER(C67),ISNUMBER(D81)),SUM($C67:C67,D81:$N81),"-"))</f>
        <v>1615331</v>
      </c>
      <c r="D68" s="147">
        <f ca="1">IF(AND(MONTH(D66)=3,ISNUMBER($N67),ISNUMBER($C67)),SUM($C67:D67),IF(AND(MONTH(D66)&lt;&gt;3,ISNUMBER(D67),ISNUMBER(E81)),SUM($C67:D67,E81:$N81),"-"))</f>
        <v>1553231</v>
      </c>
      <c r="E68" s="147">
        <f ca="1">IF(AND(MONTH(E66)=3,ISNUMBER($N67),ISNUMBER($C67)),SUM($C67:E67),IF(AND(MONTH(E66)&lt;&gt;3,ISNUMBER(E67),ISNUMBER(F81)),SUM($C67:E67,F81:$N81),"-"))</f>
        <v>1506835</v>
      </c>
      <c r="F68" s="147">
        <f ca="1">IF(AND(MONTH(F66)=3,ISNUMBER($N67),ISNUMBER($C67)),SUM($C67:F67),IF(AND(MONTH(F66)&lt;&gt;3,ISNUMBER(F67),ISNUMBER(G81)),SUM($C67:F67,G81:$N81),"-"))</f>
        <v>1468319</v>
      </c>
      <c r="G68" s="147">
        <f ca="1">IF(AND(MONTH(G66)=3,ISNUMBER($N67),ISNUMBER($C67)),SUM($C67:G67),IF(AND(MONTH(G66)&lt;&gt;3,ISNUMBER(G67),ISNUMBER(H81)),SUM($C67:G67,H81:$N81),"-"))</f>
        <v>1438546</v>
      </c>
      <c r="H68" s="147">
        <f ca="1">IF(AND(MONTH(H66)=3,ISNUMBER($N67),ISNUMBER($C67)),SUM($C67:H67),IF(AND(MONTH(H66)&lt;&gt;3,ISNUMBER(H67),ISNUMBER(I81)),SUM($C67:H67,I81:$N81),"-"))</f>
        <v>1403868</v>
      </c>
      <c r="I68" s="147">
        <f ca="1">IF(AND(MONTH(I66)=3,ISNUMBER($N67),ISNUMBER($C67)),SUM($C67:I67),IF(AND(MONTH(I66)&lt;&gt;3,ISNUMBER(I67),ISNUMBER(J81)),SUM($C67:I67,J81:$N81),"-"))</f>
        <v>1365206</v>
      </c>
      <c r="J68" s="147">
        <f ca="1">IF(AND(MONTH(J66)=3,ISNUMBER($N67),ISNUMBER($C67)),SUM($C67:J67),IF(AND(MONTH(J66)&lt;&gt;3,ISNUMBER(J67),ISNUMBER(K81)),SUM($C67:J67,K81:$N81),"-"))</f>
        <v>1323031</v>
      </c>
      <c r="K68" s="147">
        <f ca="1">IF(AND(MONTH(K66)=3,ISNUMBER($N67),ISNUMBER($C67)),SUM($C67:K67),IF(AND(MONTH(K66)&lt;&gt;3,ISNUMBER(K67),ISNUMBER(L81)),SUM($C67:K67,L81:$N81),"-"))</f>
        <v>1275088</v>
      </c>
      <c r="L68" s="147">
        <f ca="1">IF(AND(MONTH(L66)=3,ISNUMBER($N67),ISNUMBER($C67)),SUM($C67:L67),IF(AND(MONTH(L66)&lt;&gt;3,ISNUMBER(L67),ISNUMBER(M81)),SUM($C67:L67,M81:$N81),"-"))</f>
        <v>1221934</v>
      </c>
      <c r="M68" s="147">
        <f ca="1">IF(AND(MONTH(M66)=3,ISNUMBER($N67),ISNUMBER($C67)),SUM($C67:M67),IF(AND(MONTH(M66)&lt;&gt;3,ISNUMBER(M67),ISNUMBER(N81)),SUM($C67:M67,N81:$N81),"-"))</f>
        <v>1174069</v>
      </c>
      <c r="N68" s="156">
        <f ca="1">IF(AND(MONTH(N66)=3,ISNUMBER($N67),ISNUMBER($C67)),SUM($C67:N67),IF(AND(MONTH(N66)&lt;&gt;3,ISNUMBER(N67),ISNUMBER(O81)),SUM($C67:N67,$N81:O81),"-"))</f>
        <v>1176952</v>
      </c>
      <c r="P68" s="54"/>
      <c r="Q68" s="54"/>
      <c r="R68" s="54" t="s">
        <v>243</v>
      </c>
      <c r="S68" s="54"/>
      <c r="T68" s="54"/>
      <c r="U68" s="54"/>
    </row>
    <row r="69" spans="1:21" ht="15" customHeight="1" x14ac:dyDescent="0.2">
      <c r="A69" s="132"/>
      <c r="B69" s="154" t="s">
        <v>726</v>
      </c>
      <c r="C69" s="150">
        <f t="shared" ref="C69:N69" ca="1" si="8">IF(ISNUMBER(C68),C68/12,NA())</f>
        <v>134610.91666666666</v>
      </c>
      <c r="D69" s="150">
        <f t="shared" ca="1" si="8"/>
        <v>129435.91666666667</v>
      </c>
      <c r="E69" s="150">
        <f t="shared" ca="1" si="8"/>
        <v>125569.58333333333</v>
      </c>
      <c r="F69" s="150">
        <f t="shared" ca="1" si="8"/>
        <v>122359.91666666667</v>
      </c>
      <c r="G69" s="150">
        <f t="shared" ca="1" si="8"/>
        <v>119878.83333333333</v>
      </c>
      <c r="H69" s="150">
        <f t="shared" ca="1" si="8"/>
        <v>116989</v>
      </c>
      <c r="I69" s="150">
        <f t="shared" ca="1" si="8"/>
        <v>113767.16666666667</v>
      </c>
      <c r="J69" s="150">
        <f t="shared" ca="1" si="8"/>
        <v>110252.58333333333</v>
      </c>
      <c r="K69" s="150">
        <f t="shared" ca="1" si="8"/>
        <v>106257.33333333333</v>
      </c>
      <c r="L69" s="150">
        <f t="shared" ca="1" si="8"/>
        <v>101827.83333333333</v>
      </c>
      <c r="M69" s="150">
        <f t="shared" ca="1" si="8"/>
        <v>97839.083333333328</v>
      </c>
      <c r="N69" s="159">
        <f t="shared" ca="1" si="8"/>
        <v>98079.333333333328</v>
      </c>
      <c r="P69" s="53"/>
      <c r="Q69" s="53"/>
      <c r="R69" s="53" t="s">
        <v>242</v>
      </c>
      <c r="S69" s="53"/>
      <c r="T69" s="53"/>
      <c r="U69" s="53"/>
    </row>
    <row r="70" spans="1:21" ht="15" customHeight="1" x14ac:dyDescent="0.2">
      <c r="A70" s="132"/>
      <c r="B70" s="152" t="s">
        <v>727</v>
      </c>
      <c r="C70" s="147">
        <f ca="1">IF(C67="-","-",C67-IF(ISNUMBER(FIND("ED only",$B$4)),SUMIFS(sum_over_4_tot,site_level_range,LEFT($B$4,LEN($B$4)-10),date_range,C66,inputdata!$E:$E,"*- ED*"),SUMIFS(sum_over_4_tot,site_level_range,$B$4,date_range,C66)))</f>
        <v>3341</v>
      </c>
      <c r="D70" s="147">
        <f ca="1">IF(D67="-","-",D67-IF(ISNUMBER(FIND("ED only",$B$4)),SUMIFS(sum_over_4_tot,site_level_range,LEFT($B$4,LEN($B$4)-10),date_range,D66,inputdata!$E:$E,"*- ED*"),SUMIFS(sum_over_4_tot,site_level_range,$B$4,date_range,D66)))</f>
        <v>3794</v>
      </c>
      <c r="E70" s="147">
        <f ca="1">IF(E67="-","-",E67-IF(ISNUMBER(FIND("ED only",$B$4)),SUMIFS(sum_over_4_tot,site_level_range,LEFT($B$4,LEN($B$4)-10),date_range,E66,inputdata!$E:$E,"*- ED*"),SUMIFS(sum_over_4_tot,site_level_range,$B$4,date_range,E66)))</f>
        <v>4455</v>
      </c>
      <c r="F70" s="147">
        <f ca="1">IF(F67="-","-",F67-IF(ISNUMBER(FIND("ED only",$B$4)),SUMIFS(sum_over_4_tot,site_level_range,LEFT($B$4,LEN($B$4)-10),date_range,F66,inputdata!$E:$E,"*- ED*"),SUMIFS(sum_over_4_tot,site_level_range,$B$4,date_range,F66)))</f>
        <v>5495</v>
      </c>
      <c r="G70" s="147">
        <f ca="1">IF(G67="-","-",G67-IF(ISNUMBER(FIND("ED only",$B$4)),SUMIFS(sum_over_4_tot,site_level_range,LEFT($B$4,LEN($B$4)-10),date_range,G66,inputdata!$E:$E,"*- ED*"),SUMIFS(sum_over_4_tot,site_level_range,$B$4,date_range,G66)))</f>
        <v>8657</v>
      </c>
      <c r="H70" s="147">
        <f ca="1">IF(H67="-","-",H67-IF(ISNUMBER(FIND("ED only",$B$4)),SUMIFS(sum_over_4_tot,site_level_range,LEFT($B$4,LEN($B$4)-10),date_range,H66,inputdata!$E:$E,"*- ED*"),SUMIFS(sum_over_4_tot,site_level_range,$B$4,date_range,H66)))</f>
        <v>9158</v>
      </c>
      <c r="I70" s="147">
        <f ca="1">IF(I67="-","-",I67-IF(ISNUMBER(FIND("ED only",$B$4)),SUMIFS(sum_over_4_tot,site_level_range,LEFT($B$4,LEN($B$4)-10),date_range,I66,inputdata!$E:$E,"*- ED*"),SUMIFS(sum_over_4_tot,site_level_range,$B$4,date_range,I66)))</f>
        <v>11186</v>
      </c>
      <c r="J70" s="147">
        <f ca="1">IF(J67="-","-",J67-IF(ISNUMBER(FIND("ED only",$B$4)),SUMIFS(sum_over_4_tot,site_level_range,LEFT($B$4,LEN($B$4)-10),date_range,J66,inputdata!$E:$E,"*- ED*"),SUMIFS(sum_over_4_tot,site_level_range,$B$4,date_range,J66)))</f>
        <v>10205</v>
      </c>
      <c r="K70" s="147">
        <f ca="1">IF(K67="-","-",K67-IF(ISNUMBER(FIND("ED only",$B$4)),SUMIFS(sum_over_4_tot,site_level_range,LEFT($B$4,LEN($B$4)-10),date_range,K66,inputdata!$E:$E,"*- ED*"),SUMIFS(sum_over_4_tot,site_level_range,$B$4,date_range,K66)))</f>
        <v>12791</v>
      </c>
      <c r="L70" s="147">
        <f ca="1">IF(L67="-","-",L67-IF(ISNUMBER(FIND("ED only",$B$4)),SUMIFS(sum_over_4_tot,site_level_range,LEFT($B$4,LEN($B$4)-10),date_range,L66,inputdata!$E:$E,"*- ED*"),SUMIFS(sum_over_4_tot,site_level_range,$B$4,date_range,L66)))</f>
        <v>11995</v>
      </c>
      <c r="M70" s="147">
        <f ca="1">IF(M67="-","-",M67-IF(ISNUMBER(FIND("ED only",$B$4)),SUMIFS(sum_over_4_tot,site_level_range,LEFT($B$4,LEN($B$4)-10),date_range,M66,inputdata!$E:$E,"*- ED*"),SUMIFS(sum_over_4_tot,site_level_range,$B$4,date_range,M66)))</f>
        <v>11151</v>
      </c>
      <c r="N70" s="156">
        <f ca="1">IF(N67="-","-",N67-IF(ISNUMBER(FIND("ED only",$B$4)),SUMIFS(sum_over_4_tot,site_level_range,LEFT($B$4,LEN($B$4)-10),date_range,N66,inputdata!$E:$E,"*- ED*"),SUMIFS(sum_over_4_tot,site_level_range,$B$4,date_range,N66)))</f>
        <v>11957</v>
      </c>
      <c r="R70" s="50" t="s">
        <v>247</v>
      </c>
      <c r="U70" s="53"/>
    </row>
    <row r="71" spans="1:21" ht="15" customHeight="1" x14ac:dyDescent="0.2">
      <c r="A71" s="132"/>
      <c r="B71" s="152" t="s">
        <v>728</v>
      </c>
      <c r="C71" s="148">
        <f t="shared" ref="C71:N71" ca="1" si="9">IF(ISERROR(1-C70/C67),NA(),(1-C70/C67))</f>
        <v>0.94869235376322614</v>
      </c>
      <c r="D71" s="148">
        <f t="shared" ca="1" si="9"/>
        <v>0.95718509490599679</v>
      </c>
      <c r="E71" s="148">
        <f t="shared" ca="1" si="9"/>
        <v>0.95599174166016343</v>
      </c>
      <c r="F71" s="148">
        <f t="shared" ca="1" si="9"/>
        <v>0.95101840709542274</v>
      </c>
      <c r="G71" s="148">
        <f t="shared" ca="1" si="9"/>
        <v>0.92946937046300748</v>
      </c>
      <c r="H71" s="148">
        <f t="shared" ca="1" si="9"/>
        <v>0.92120794975479647</v>
      </c>
      <c r="I71" s="148">
        <f t="shared" ca="1" si="9"/>
        <v>0.89585311807534029</v>
      </c>
      <c r="J71" s="148">
        <f t="shared" ca="1" si="9"/>
        <v>0.89774344175233978</v>
      </c>
      <c r="K71" s="148">
        <f t="shared" ca="1" si="9"/>
        <v>0.86316127306766521</v>
      </c>
      <c r="L71" s="148">
        <f t="shared" ca="1" si="9"/>
        <v>0.85982400579635621</v>
      </c>
      <c r="M71" s="148">
        <f t="shared" ca="1" si="9"/>
        <v>0.86143695014662758</v>
      </c>
      <c r="N71" s="157">
        <f t="shared" ca="1" si="9"/>
        <v>0.88514811541860372</v>
      </c>
      <c r="R71" s="50" t="s">
        <v>337</v>
      </c>
      <c r="U71" s="53"/>
    </row>
    <row r="72" spans="1:21" ht="15" customHeight="1" x14ac:dyDescent="0.2">
      <c r="A72" s="132"/>
      <c r="B72" s="154" t="s">
        <v>729</v>
      </c>
      <c r="C72" s="151">
        <f ca="1">IF(ISERROR(C69),NA(),IF(AND(MONTH(C66)=3,ISNUMBER($N67),ISNUMBER($C67)),1-(SUM($C70:$N70)/SUM($C67:$N67)),IF(AND(MONTH(C66)&lt;&gt;3,ISNUMBER(C67),ISNUMBER(D81)),1-(SUM(D84:$N84,$C70:C70)/SUM($C67:C67,D81:$N81)),NA())))</f>
        <v>0.8863712762275967</v>
      </c>
      <c r="D72" s="151">
        <f ca="1">IF(ISERROR(D69),NA(),IF(AND(MONTH(D66)=3,ISNUMBER($N67),ISNUMBER($C67)),1-(SUM($C70:$N70)/SUM($C67:$N67)),IF(AND(MONTH(D66)&lt;&gt;3,ISNUMBER(D67),ISNUMBER(E81)),1-(SUM(E84:$N84,$C70:D70)/SUM($C67:D67,E81:$N81)),NA())))</f>
        <v>0.88840616753077939</v>
      </c>
      <c r="E72" s="151">
        <f ca="1">IF(ISERROR(E69),NA(),IF(AND(MONTH(E66)=3,ISNUMBER($N67),ISNUMBER($C67)),1-(SUM($C70:$N70)/SUM($C67:$N67)),IF(AND(MONTH(E66)&lt;&gt;3,ISNUMBER(E67),ISNUMBER(F81)),1-(SUM(F84:$N84,$C70:E70)/SUM($C67:E67,F81:$N81)),NA())))</f>
        <v>0.89148911460113411</v>
      </c>
      <c r="F72" s="151">
        <f ca="1">IF(ISERROR(F69),NA(),IF(AND(MONTH(F66)=3,ISNUMBER($N67),ISNUMBER($C67)),1-(SUM($C70:$N70)/SUM($C67:$N67)),IF(AND(MONTH(F66)&lt;&gt;3,ISNUMBER(F67),ISNUMBER(G81)),1-(SUM(G84:$N84,$C70:F70)/SUM($C67:F67,G81:$N81)),NA())))</f>
        <v>0.89392563877468045</v>
      </c>
      <c r="G72" s="151">
        <f ca="1">IF(ISERROR(G69),NA(),IF(AND(MONTH(G66)=3,ISNUMBER($N67),ISNUMBER($C67)),1-(SUM($C70:$N70)/SUM($C67:$N67)),IF(AND(MONTH(G66)&lt;&gt;3,ISNUMBER(G67),ISNUMBER(H81)),1-(SUM(H84:$N84,$C70:G70)/SUM($C67:G67,H81:$N81)),NA())))</f>
        <v>0.89570302235729693</v>
      </c>
      <c r="H72" s="151">
        <f ca="1">IF(ISERROR(H69),NA(),IF(AND(MONTH(H66)=3,ISNUMBER($N67),ISNUMBER($C67)),1-(SUM($C70:$N70)/SUM($C67:$N67)),IF(AND(MONTH(H66)&lt;&gt;3,ISNUMBER(H67),ISNUMBER(I81)),1-(SUM(I84:$N84,$C70:H70)/SUM($C67:H67,I81:$N81)),NA())))</f>
        <v>0.89813358520886577</v>
      </c>
      <c r="I72" s="151">
        <f ca="1">IF(ISERROR(I69),NA(),IF(AND(MONTH(I66)=3,ISNUMBER($N67),ISNUMBER($C67)),1-(SUM($C70:$N70)/SUM($C67:$N67)),IF(AND(MONTH(I66)&lt;&gt;3,ISNUMBER(I67),ISNUMBER(J81)),1-(SUM(J84:$N84,$C70:I70)/SUM($C67:I67,J81:$N81)),NA())))</f>
        <v>0.90018356204118644</v>
      </c>
      <c r="J72" s="151">
        <f ca="1">IF(ISERROR(J69),NA(),IF(AND(MONTH(J66)=3,ISNUMBER($N67),ISNUMBER($C67)),1-(SUM($C70:$N70)/SUM($C67:$N67)),IF(AND(MONTH(J66)&lt;&gt;3,ISNUMBER(J67),ISNUMBER(K81)),1-(SUM(K84:$N84,$C70:J70)/SUM($C67:J67,K81:$N81)),NA())))</f>
        <v>0.90481402174249881</v>
      </c>
      <c r="K72" s="151">
        <f ca="1">IF(ISERROR(K69),NA(),IF(AND(MONTH(K66)=3,ISNUMBER($N67),ISNUMBER($C67)),1-(SUM($C70:$N70)/SUM($C67:$N67)),IF(AND(MONTH(K66)&lt;&gt;3,ISNUMBER(K67),ISNUMBER(L81)),1-(SUM(L84:$N84,$C70:K70)/SUM($C67:K67,L81:$N81)),NA())))</f>
        <v>0.90914038874179659</v>
      </c>
      <c r="L72" s="151">
        <f ca="1">IF(ISERROR(L69),NA(),IF(AND(MONTH(L66)=3,ISNUMBER($N67),ISNUMBER($C67)),1-(SUM($C70:$N70)/SUM($C67:$N67)),IF(AND(MONTH(L66)&lt;&gt;3,ISNUMBER(L67),ISNUMBER(M81)),1-(SUM(M84:$N84,$C70:L70)/SUM($C67:L67,M81:$N81)),NA())))</f>
        <v>0.91115313920391772</v>
      </c>
      <c r="M72" s="151">
        <f ca="1">IF(ISERROR(M69),NA(),IF(AND(MONTH(M66)=3,ISNUMBER($N67),ISNUMBER($C67)),1-(SUM($C70:$N70)/SUM($C67:$N67)),IF(AND(MONTH(M66)&lt;&gt;3,ISNUMBER(M67),ISNUMBER(N81)),1-(SUM(N84:$N84,$C70:M70)/SUM($C67:M67,N81:$N81)),NA())))</f>
        <v>0.91217381601933112</v>
      </c>
      <c r="N72" s="160">
        <f ca="1">IF(ISERROR(N69),NA(),IF(AND(MONTH(N66)=3,ISNUMBER($N67),ISNUMBER($C67)),1-(SUM($C70:$N70)/SUM($C67:$N67)),IF(AND(MONTH(N66)&lt;&gt;3,ISNUMBER(N67),ISNUMBER(O81)),1-(SUM($N84:O84,$C70:N70)/SUM($C67:N67,$N81:O81)),NA())))</f>
        <v>0.91147897280432844</v>
      </c>
      <c r="R72" s="50" t="s">
        <v>248</v>
      </c>
    </row>
    <row r="73" spans="1:21" ht="14.45" customHeight="1" x14ac:dyDescent="0.25">
      <c r="A73" s="132"/>
      <c r="B73" s="155" t="s">
        <v>730</v>
      </c>
      <c r="C73" s="127"/>
      <c r="D73" s="127"/>
      <c r="E73" s="127"/>
      <c r="F73" s="127"/>
      <c r="G73" s="127"/>
      <c r="H73" s="127"/>
      <c r="I73" s="127"/>
      <c r="J73" s="127"/>
      <c r="K73" s="127"/>
      <c r="L73" s="127"/>
      <c r="M73" s="127"/>
      <c r="N73" s="161"/>
      <c r="R73" s="50" t="s">
        <v>338</v>
      </c>
    </row>
    <row r="74" spans="1:21" ht="15" customHeight="1" x14ac:dyDescent="0.2">
      <c r="A74" s="132"/>
      <c r="B74" s="154" t="s">
        <v>724</v>
      </c>
      <c r="C74" s="150">
        <f ca="1">IF(IF(ISNUMBER(FIND("ED only",$B$4)),SUMIFS(Sum_total_epi,site_level_range,LEFT($B$4,LEN($B$4)-10),date_range,C66,inputdata!$E:$E,"*- ED*"),SUMIFS(Sum_total_epi,site_level_range,$B$4,date_range,C66))=0,"-",IF(ISNUMBER(FIND("ED only",$B$4)),SUMIFS(Sum_total_epi,site_level_range,LEFT($B$4,LEN($B$4)-10),date_range,C66,inputdata!$E:$E,"*- ED*"),SUMIFS(Sum_total_epi,site_level_range,$B$4,date_range,C66)))</f>
        <v>62876</v>
      </c>
      <c r="D74" s="150">
        <f ca="1">IF(IF(ISNUMBER(FIND("ED only",$B$4)),SUMIFS(Sum_total_epi,site_level_range,LEFT($B$4,LEN($B$4)-10),date_range,D66,inputdata!$E:$E,"*- ED*"),SUMIFS(Sum_total_epi,site_level_range,$B$4,date_range,D66))=0,"-",IF(ISNUMBER(FIND("ED only",$B$4)),SUMIFS(Sum_total_epi,site_level_range,LEFT($B$4,LEN($B$4)-10),date_range,D66,inputdata!$E:$E,"*- ED*"),SUMIFS(Sum_total_epi,site_level_range,$B$4,date_range,D66)))</f>
        <v>85594</v>
      </c>
      <c r="E74" s="150">
        <f ca="1">IF(IF(ISNUMBER(FIND("ED only",$B$4)),SUMIFS(Sum_total_epi,site_level_range,LEFT($B$4,LEN($B$4)-10),date_range,E66,inputdata!$E:$E,"*- ED*"),SUMIFS(Sum_total_epi,site_level_range,$B$4,date_range,E66))=0,"-",IF(ISNUMBER(FIND("ED only",$B$4)),SUMIFS(Sum_total_epi,site_level_range,LEFT($B$4,LEN($B$4)-10),date_range,E66,inputdata!$E:$E,"*- ED*"),SUMIFS(Sum_total_epi,site_level_range,$B$4,date_range,E66)))</f>
        <v>97847</v>
      </c>
      <c r="F74" s="150">
        <f ca="1">IF(IF(ISNUMBER(FIND("ED only",$B$4)),SUMIFS(Sum_total_epi,site_level_range,LEFT($B$4,LEN($B$4)-10),date_range,F66,inputdata!$E:$E,"*- ED*"),SUMIFS(Sum_total_epi,site_level_range,$B$4,date_range,F66))=0,"-",IF(ISNUMBER(FIND("ED only",$B$4)),SUMIFS(Sum_total_epi,site_level_range,LEFT($B$4,LEN($B$4)-10),date_range,F66,inputdata!$E:$E,"*- ED*"),SUMIFS(Sum_total_epi,site_level_range,$B$4,date_range,F66)))</f>
        <v>108068</v>
      </c>
      <c r="G74" s="150">
        <f ca="1">IF(IF(ISNUMBER(FIND("ED only",$B$4)),SUMIFS(Sum_total_epi,site_level_range,LEFT($B$4,LEN($B$4)-10),date_range,G66,inputdata!$E:$E,"*- ED*"),SUMIFS(Sum_total_epi,site_level_range,$B$4,date_range,G66))=0,"-",IF(ISNUMBER(FIND("ED only",$B$4)),SUMIFS(Sum_total_epi,site_level_range,LEFT($B$4,LEN($B$4)-10),date_range,G66,inputdata!$E:$E,"*- ED*"),SUMIFS(Sum_total_epi,site_level_range,$B$4,date_range,G66)))</f>
        <v>118035</v>
      </c>
      <c r="H74" s="150">
        <f ca="1">IF(IF(ISNUMBER(FIND("ED only",$B$4)),SUMIFS(Sum_total_epi,site_level_range,LEFT($B$4,LEN($B$4)-10),date_range,H66,inputdata!$E:$E,"*- ED*"),SUMIFS(Sum_total_epi,site_level_range,$B$4,date_range,H66))=0,"-",IF(ISNUMBER(FIND("ED only",$B$4)),SUMIFS(Sum_total_epi,site_level_range,LEFT($B$4,LEN($B$4)-10),date_range,H66,inputdata!$E:$E,"*- ED*"),SUMIFS(Sum_total_epi,site_level_range,$B$4,date_range,H66)))</f>
        <v>111922</v>
      </c>
      <c r="I74" s="150">
        <f ca="1">IF(IF(ISNUMBER(FIND("ED only",$B$4)),SUMIFS(Sum_total_epi,site_level_range,LEFT($B$4,LEN($B$4)-10),date_range,I66,inputdata!$E:$E,"*- ED*"),SUMIFS(Sum_total_epi,site_level_range,$B$4,date_range,I66))=0,"-",IF(ISNUMBER(FIND("ED only",$B$4)),SUMIFS(Sum_total_epi,site_level_range,LEFT($B$4,LEN($B$4)-10),date_range,I66,inputdata!$E:$E,"*- ED*"),SUMIFS(Sum_total_epi,site_level_range,$B$4,date_range,I66)))</f>
        <v>103273</v>
      </c>
      <c r="J74" s="150">
        <f ca="1">IF(IF(ISNUMBER(FIND("ED only",$B$4)),SUMIFS(Sum_total_epi,site_level_range,LEFT($B$4,LEN($B$4)-10),date_range,J66,inputdata!$E:$E,"*- ED*"),SUMIFS(Sum_total_epi,site_level_range,$B$4,date_range,J66))=0,"-",IF(ISNUMBER(FIND("ED only",$B$4)),SUMIFS(Sum_total_epi,site_level_range,LEFT($B$4,LEN($B$4)-10),date_range,J66,inputdata!$E:$E,"*- ED*"),SUMIFS(Sum_total_epi,site_level_range,$B$4,date_range,J66)))</f>
        <v>95995</v>
      </c>
      <c r="K74" s="150">
        <f ca="1">IF(IF(ISNUMBER(FIND("ED only",$B$4)),SUMIFS(Sum_total_epi,site_level_range,LEFT($B$4,LEN($B$4)-10),date_range,K66,inputdata!$E:$E,"*- ED*"),SUMIFS(Sum_total_epi,site_level_range,$B$4,date_range,K66))=0,"-",IF(ISNUMBER(FIND("ED only",$B$4)),SUMIFS(Sum_total_epi,site_level_range,LEFT($B$4,LEN($B$4)-10),date_range,K66,inputdata!$E:$E,"*- ED*"),SUMIFS(Sum_total_epi,site_level_range,$B$4,date_range,K66)))</f>
        <v>90005</v>
      </c>
      <c r="L74" s="150">
        <f ca="1">IF(IF(ISNUMBER(FIND("ED only",$B$4)),SUMIFS(Sum_total_epi,site_level_range,LEFT($B$4,LEN($B$4)-10),date_range,L66,inputdata!$E:$E,"*- ED*"),SUMIFS(Sum_total_epi,site_level_range,$B$4,date_range,L66))=0,"-",IF(ISNUMBER(FIND("ED only",$B$4)),SUMIFS(Sum_total_epi,site_level_range,LEFT($B$4,LEN($B$4)-10),date_range,L66,inputdata!$E:$E,"*- ED*"),SUMIFS(Sum_total_epi,site_level_range,$B$4,date_range,L66)))</f>
        <v>82761</v>
      </c>
      <c r="M74" s="150">
        <f ca="1">IF(IF(ISNUMBER(FIND("ED only",$B$4)),SUMIFS(Sum_total_epi,site_level_range,LEFT($B$4,LEN($B$4)-10),date_range,M66,inputdata!$E:$E,"*- ED*"),SUMIFS(Sum_total_epi,site_level_range,$B$4,date_range,M66))=0,"-",IF(ISNUMBER(FIND("ED only",$B$4)),SUMIFS(Sum_total_epi,site_level_range,LEFT($B$4,LEN($B$4)-10),date_range,M66,inputdata!$E:$E,"*- ED*"),SUMIFS(Sum_total_epi,site_level_range,$B$4,date_range,M66)))</f>
        <v>77778</v>
      </c>
      <c r="N74" s="159">
        <f ca="1">IF(IF(ISNUMBER(FIND("ED only",$B$4)),SUMIFS(Sum_total_epi,site_level_range,LEFT($B$4,LEN($B$4)-10),date_range,N66,inputdata!$E:$E,"*- ED*"),SUMIFS(Sum_total_epi,site_level_range,$B$4,date_range,N66))=0,"-",IF(ISNUMBER(FIND("ED only",$B$4)),SUMIFS(Sum_total_epi,site_level_range,LEFT($B$4,LEN($B$4)-10),date_range,N66,inputdata!$E:$E,"*- ED*"),SUMIFS(Sum_total_epi,site_level_range,$B$4,date_range,N66)))</f>
        <v>100939</v>
      </c>
      <c r="P74" s="54"/>
      <c r="R74" s="50" t="s">
        <v>339</v>
      </c>
    </row>
    <row r="75" spans="1:21" ht="15" customHeight="1" x14ac:dyDescent="0.2">
      <c r="A75" s="132"/>
      <c r="B75" s="152" t="s">
        <v>731</v>
      </c>
      <c r="C75" s="147">
        <f ca="1">IF(C74="-","-",IF(ISNUMBER(FIND("ED only",$B$4)),SUMIFS(Sum_over_8,site_level_range,LEFT($B$4,LEN($B$4)-10),date_range,C66,inputdata!$E:$E,"*- ED*"),SUMIFS(Sum_over_8,site_level_range,$B$4,date_range,C66)))</f>
        <v>159</v>
      </c>
      <c r="D75" s="147">
        <f ca="1">IF(D74="-","-",IF(ISNUMBER(FIND("ED only",$B$4)),SUMIFS(Sum_over_8,site_level_range,LEFT($B$4,LEN($B$4)-10),date_range,D66,inputdata!$E:$E,"*- ED*"),SUMIFS(Sum_over_8,site_level_range,$B$4,date_range,D66)))</f>
        <v>168</v>
      </c>
      <c r="E75" s="147">
        <f ca="1">IF(E74="-","-",IF(ISNUMBER(FIND("ED only",$B$4)),SUMIFS(Sum_over_8,site_level_range,LEFT($B$4,LEN($B$4)-10),date_range,E66,inputdata!$E:$E,"*- ED*"),SUMIFS(Sum_over_8,site_level_range,$B$4,date_range,E66)))</f>
        <v>243</v>
      </c>
      <c r="F75" s="147">
        <f ca="1">IF(F74="-","-",IF(ISNUMBER(FIND("ED only",$B$4)),SUMIFS(Sum_over_8,site_level_range,LEFT($B$4,LEN($B$4)-10),date_range,F66,inputdata!$E:$E,"*- ED*"),SUMIFS(Sum_over_8,site_level_range,$B$4,date_range,F66)))</f>
        <v>293</v>
      </c>
      <c r="G75" s="147">
        <f ca="1">IF(G74="-","-",IF(ISNUMBER(FIND("ED only",$B$4)),SUMIFS(Sum_over_8,site_level_range,LEFT($B$4,LEN($B$4)-10),date_range,G66,inputdata!$E:$E,"*- ED*"),SUMIFS(Sum_over_8,site_level_range,$B$4,date_range,G66)))</f>
        <v>544</v>
      </c>
      <c r="H75" s="147">
        <f ca="1">IF(H74="-","-",IF(ISNUMBER(FIND("ED only",$B$4)),SUMIFS(Sum_over_8,site_level_range,LEFT($B$4,LEN($B$4)-10),date_range,H66,inputdata!$E:$E,"*- ED*"),SUMIFS(Sum_over_8,site_level_range,$B$4,date_range,H66)))</f>
        <v>780</v>
      </c>
      <c r="I75" s="147">
        <f ca="1">IF(I74="-","-",IF(ISNUMBER(FIND("ED only",$B$4)),SUMIFS(Sum_over_8,site_level_range,LEFT($B$4,LEN($B$4)-10),date_range,I66,inputdata!$E:$E,"*- ED*"),SUMIFS(Sum_over_8,site_level_range,$B$4,date_range,I66)))</f>
        <v>1409</v>
      </c>
      <c r="J75" s="147">
        <f ca="1">IF(J74="-","-",IF(ISNUMBER(FIND("ED only",$B$4)),SUMIFS(Sum_over_8,site_level_range,LEFT($B$4,LEN($B$4)-10),date_range,J66,inputdata!$E:$E,"*- ED*"),SUMIFS(Sum_over_8,site_level_range,$B$4,date_range,J66)))</f>
        <v>1474</v>
      </c>
      <c r="K75" s="147">
        <f ca="1">IF(K74="-","-",IF(ISNUMBER(FIND("ED only",$B$4)),SUMIFS(Sum_over_8,site_level_range,LEFT($B$4,LEN($B$4)-10),date_range,K66,inputdata!$E:$E,"*- ED*"),SUMIFS(Sum_over_8,site_level_range,$B$4,date_range,K66)))</f>
        <v>2285</v>
      </c>
      <c r="L75" s="147">
        <f ca="1">IF(L74="-","-",IF(ISNUMBER(FIND("ED only",$B$4)),SUMIFS(Sum_over_8,site_level_range,LEFT($B$4,LEN($B$4)-10),date_range,L66,inputdata!$E:$E,"*- ED*"),SUMIFS(Sum_over_8,site_level_range,$B$4,date_range,L66)))</f>
        <v>1979</v>
      </c>
      <c r="M75" s="147">
        <f ca="1">IF(M74="-","-",IF(ISNUMBER(FIND("ED only",$B$4)),SUMIFS(Sum_over_8,site_level_range,LEFT($B$4,LEN($B$4)-10),date_range,M66,inputdata!$E:$E,"*- ED*"),SUMIFS(Sum_over_8,site_level_range,$B$4,date_range,M66)))</f>
        <v>1785</v>
      </c>
      <c r="N75" s="156">
        <f ca="1">IF(N74="-","-",IF(ISNUMBER(FIND("ED only",$B$4)),SUMIFS(Sum_over_8,site_level_range,LEFT($B$4,LEN($B$4)-10),date_range,N66,inputdata!$E:$E,"*- ED*"),SUMIFS(Sum_over_8,site_level_range,$B$4,date_range,N66)))</f>
        <v>1390</v>
      </c>
      <c r="O75" s="54"/>
      <c r="R75" s="50" t="s">
        <v>275</v>
      </c>
    </row>
    <row r="76" spans="1:21" ht="15" customHeight="1" x14ac:dyDescent="0.2">
      <c r="A76" s="132"/>
      <c r="B76" s="154" t="s">
        <v>732</v>
      </c>
      <c r="C76" s="151">
        <f t="shared" ref="C76:N76" ca="1" si="10">IF(ISERROR(1-C75/C74),"-",1-C75/C74)</f>
        <v>0.99747121318150012</v>
      </c>
      <c r="D76" s="151">
        <f t="shared" ca="1" si="10"/>
        <v>0.99803724560132723</v>
      </c>
      <c r="E76" s="151">
        <f t="shared" ca="1" si="10"/>
        <v>0.99751653091050319</v>
      </c>
      <c r="F76" s="151">
        <f t="shared" ca="1" si="10"/>
        <v>0.99728874412406998</v>
      </c>
      <c r="G76" s="151">
        <f t="shared" ca="1" si="10"/>
        <v>0.99539119752615746</v>
      </c>
      <c r="H76" s="151">
        <f t="shared" ca="1" si="10"/>
        <v>0.99303086077804181</v>
      </c>
      <c r="I76" s="151">
        <f t="shared" ca="1" si="10"/>
        <v>0.98635655011474443</v>
      </c>
      <c r="J76" s="151">
        <f t="shared" ca="1" si="10"/>
        <v>0.98464503359549982</v>
      </c>
      <c r="K76" s="151">
        <f t="shared" ca="1" si="10"/>
        <v>0.97461252152658184</v>
      </c>
      <c r="L76" s="151">
        <f t="shared" ca="1" si="10"/>
        <v>0.97608777080992259</v>
      </c>
      <c r="M76" s="151">
        <f t="shared" ca="1" si="10"/>
        <v>0.97705006557124119</v>
      </c>
      <c r="N76" s="160">
        <f t="shared" ca="1" si="10"/>
        <v>0.98622930680906284</v>
      </c>
      <c r="O76" s="54"/>
      <c r="R76" s="50" t="s">
        <v>369</v>
      </c>
    </row>
    <row r="77" spans="1:21" ht="15" customHeight="1" x14ac:dyDescent="0.2">
      <c r="A77" s="132"/>
      <c r="B77" s="152" t="s">
        <v>733</v>
      </c>
      <c r="C77" s="147">
        <f ca="1">IF(C74="-","-",IF(ISNUMBER(FIND("ED only",$B$4)),SUMIFS(Sum_over_12,site_level_range,LEFT($B$4,LEN($B$4)-10),date_range,C66,inputdata!$E:$E,"*- ED*"),SUMIFS(Sum_over_12,site_level_range,$B$4,date_range,C66)))</f>
        <v>11</v>
      </c>
      <c r="D77" s="147">
        <f ca="1">IF(D74="-","-",IF(ISNUMBER(FIND("ED only",$B$4)),SUMIFS(Sum_over_12,site_level_range,LEFT($B$4,LEN($B$4)-10),date_range,D66,inputdata!$E:$E,"*- ED*"),SUMIFS(Sum_over_12,site_level_range,$B$4,date_range,D66)))</f>
        <v>17</v>
      </c>
      <c r="E77" s="147">
        <f ca="1">IF(E74="-","-",IF(ISNUMBER(FIND("ED only",$B$4)),SUMIFS(Sum_over_12,site_level_range,LEFT($B$4,LEN($B$4)-10),date_range,E66,inputdata!$E:$E,"*- ED*"),SUMIFS(Sum_over_12,site_level_range,$B$4,date_range,E66)))</f>
        <v>22</v>
      </c>
      <c r="F77" s="147">
        <f ca="1">IF(F74="-","-",IF(ISNUMBER(FIND("ED only",$B$4)),SUMIFS(Sum_over_12,site_level_range,LEFT($B$4,LEN($B$4)-10),date_range,F66,inputdata!$E:$E,"*- ED*"),SUMIFS(Sum_over_12,site_level_range,$B$4,date_range,F66)))</f>
        <v>24</v>
      </c>
      <c r="G77" s="147">
        <f ca="1">IF(G74="-","-",IF(ISNUMBER(FIND("ED only",$B$4)),SUMIFS(Sum_over_12,site_level_range,LEFT($B$4,LEN($B$4)-10),date_range,G66,inputdata!$E:$E,"*- ED*"),SUMIFS(Sum_over_12,site_level_range,$B$4,date_range,G66)))</f>
        <v>50</v>
      </c>
      <c r="H77" s="147">
        <f ca="1">IF(H74="-","-",IF(ISNUMBER(FIND("ED only",$B$4)),SUMIFS(Sum_over_12,site_level_range,LEFT($B$4,LEN($B$4)-10),date_range,H66,inputdata!$E:$E,"*- ED*"),SUMIFS(Sum_over_12,site_level_range,$B$4,date_range,H66)))</f>
        <v>178</v>
      </c>
      <c r="I77" s="147">
        <f ca="1">IF(I74="-","-",IF(ISNUMBER(FIND("ED only",$B$4)),SUMIFS(Sum_over_12,site_level_range,LEFT($B$4,LEN($B$4)-10),date_range,I66,inputdata!$E:$E,"*- ED*"),SUMIFS(Sum_over_12,site_level_range,$B$4,date_range,I66)))</f>
        <v>246</v>
      </c>
      <c r="J77" s="147">
        <f ca="1">IF(J74="-","-",IF(ISNUMBER(FIND("ED only",$B$4)),SUMIFS(Sum_over_12,site_level_range,LEFT($B$4,LEN($B$4)-10),date_range,J66,inputdata!$E:$E,"*- ED*"),SUMIFS(Sum_over_12,site_level_range,$B$4,date_range,J66)))</f>
        <v>302</v>
      </c>
      <c r="K77" s="147">
        <f ca="1">IF(K74="-","-",IF(ISNUMBER(FIND("ED only",$B$4)),SUMIFS(Sum_over_12,site_level_range,LEFT($B$4,LEN($B$4)-10),date_range,K66,inputdata!$E:$E,"*- ED*"),SUMIFS(Sum_over_12,site_level_range,$B$4,date_range,K66)))</f>
        <v>632</v>
      </c>
      <c r="L77" s="147">
        <f ca="1">IF(L74="-","-",IF(ISNUMBER(FIND("ED only",$B$4)),SUMIFS(Sum_over_12,site_level_range,LEFT($B$4,LEN($B$4)-10),date_range,L66,inputdata!$E:$E,"*- ED*"),SUMIFS(Sum_over_12,site_level_range,$B$4,date_range,L66)))</f>
        <v>593</v>
      </c>
      <c r="M77" s="147">
        <f ca="1">IF(M74="-","-",IF(ISNUMBER(FIND("ED only",$B$4)),SUMIFS(Sum_over_12,site_level_range,LEFT($B$4,LEN($B$4)-10),date_range,M66,inputdata!$E:$E,"*- ED*"),SUMIFS(Sum_over_12,site_level_range,$B$4,date_range,M66)))</f>
        <v>481</v>
      </c>
      <c r="N77" s="156">
        <f ca="1">IF(N74="-","-",IF(ISNUMBER(FIND("ED only",$B$4)),SUMIFS(Sum_over_12,site_level_range,LEFT($B$4,LEN($B$4)-10),date_range,N66,inputdata!$E:$E,"*- ED*"),SUMIFS(Sum_over_12,site_level_range,$B$4,date_range,N66)))</f>
        <v>322</v>
      </c>
      <c r="R77" s="50" t="s">
        <v>223</v>
      </c>
    </row>
    <row r="78" spans="1:21" ht="15" customHeight="1" x14ac:dyDescent="0.2">
      <c r="A78" s="132"/>
      <c r="B78" s="154" t="s">
        <v>734</v>
      </c>
      <c r="C78" s="151">
        <f t="shared" ref="C78:N78" ca="1" si="11">IF(ISERROR(1-C77/C74),"-",1-C77/C74)</f>
        <v>0.99982505248425468</v>
      </c>
      <c r="D78" s="151">
        <f t="shared" ca="1" si="11"/>
        <v>0.99980138794775331</v>
      </c>
      <c r="E78" s="151">
        <f t="shared" ca="1" si="11"/>
        <v>0.9997751591770826</v>
      </c>
      <c r="F78" s="151">
        <f t="shared" ca="1" si="11"/>
        <v>0.9997779176074324</v>
      </c>
      <c r="G78" s="151">
        <f t="shared" ca="1" si="11"/>
        <v>0.99957639683144828</v>
      </c>
      <c r="H78" s="151">
        <f t="shared" ca="1" si="11"/>
        <v>0.99840960669037371</v>
      </c>
      <c r="I78" s="151">
        <f t="shared" ca="1" si="11"/>
        <v>0.99761796403706682</v>
      </c>
      <c r="J78" s="151">
        <f t="shared" ca="1" si="11"/>
        <v>0.99685400281264647</v>
      </c>
      <c r="K78" s="151">
        <f t="shared" ca="1" si="11"/>
        <v>0.99297816787956228</v>
      </c>
      <c r="L78" s="151">
        <f t="shared" ca="1" si="11"/>
        <v>0.99283478933313996</v>
      </c>
      <c r="M78" s="151">
        <f t="shared" ca="1" si="11"/>
        <v>0.99381573195505157</v>
      </c>
      <c r="N78" s="160">
        <f t="shared" ca="1" si="11"/>
        <v>0.9968099545269915</v>
      </c>
      <c r="R78" s="50" t="s">
        <v>340</v>
      </c>
    </row>
    <row r="79" spans="1:21" ht="14.45" customHeight="1" x14ac:dyDescent="0.2">
      <c r="B79" s="127"/>
      <c r="C79" s="127"/>
      <c r="D79" s="127"/>
      <c r="E79" s="127"/>
      <c r="F79" s="127"/>
      <c r="G79" s="127"/>
      <c r="H79" s="127"/>
      <c r="I79" s="127"/>
      <c r="J79" s="127"/>
      <c r="K79" s="127"/>
      <c r="L79" s="127"/>
      <c r="M79" s="127"/>
      <c r="N79" s="127"/>
      <c r="R79" s="50" t="s">
        <v>341</v>
      </c>
    </row>
    <row r="80" spans="1:21" ht="15" customHeight="1" x14ac:dyDescent="0.25">
      <c r="A80" s="132"/>
      <c r="B80" s="153" t="s">
        <v>723</v>
      </c>
      <c r="C80" s="149">
        <v>43585</v>
      </c>
      <c r="D80" s="149">
        <v>43616</v>
      </c>
      <c r="E80" s="149">
        <v>43646</v>
      </c>
      <c r="F80" s="149">
        <v>43677</v>
      </c>
      <c r="G80" s="149">
        <v>43708</v>
      </c>
      <c r="H80" s="149">
        <v>43738</v>
      </c>
      <c r="I80" s="149">
        <v>43769</v>
      </c>
      <c r="J80" s="149">
        <v>43799</v>
      </c>
      <c r="K80" s="149">
        <v>43830</v>
      </c>
      <c r="L80" s="149">
        <v>43861</v>
      </c>
      <c r="M80" s="149">
        <v>43890</v>
      </c>
      <c r="N80" s="158">
        <v>43921</v>
      </c>
      <c r="P80" s="50"/>
      <c r="R80" s="50" t="s">
        <v>111</v>
      </c>
    </row>
    <row r="81" spans="1:21" ht="15" customHeight="1" x14ac:dyDescent="0.2">
      <c r="A81" s="132"/>
      <c r="B81" s="152" t="s">
        <v>724</v>
      </c>
      <c r="C81" s="147">
        <f ca="1">IF(IF(ISNUMBER(FIND("ED only",$B$4)),SUMIFS(sum_range,site_level_range,LEFT($B$4,LEN($B$4)-10),date_range,C80,inputdata!$E:$E,"*- ED*"),SUMIFS(sum_range,site_level_range,$B$4,date_range,C80))=0,"-",IF(ISNUMBER(FIND("ED only",$B$4)),SUMIFS(sum_range,site_level_range,LEFT($B$4,LEN($B$4)-10),date_range,C80,inputdata!$E:$E,"*- ED*"),SUMIFS(sum_range,site_level_range,$B$4,date_range,C80)))</f>
        <v>145340</v>
      </c>
      <c r="D81" s="147">
        <f ca="1">IF(IF(ISNUMBER(FIND("ED only",$B$4)),SUMIFS(sum_range,site_level_range,LEFT($B$4,LEN($B$4)-10),date_range,D80,inputdata!$E:$E,"*- ED*"),SUMIFS(sum_range,site_level_range,$B$4,date_range,D80))=0,"-",IF(ISNUMBER(FIND("ED only",$B$4)),SUMIFS(sum_range,site_level_range,LEFT($B$4,LEN($B$4)-10),date_range,D80,inputdata!$E:$E,"*- ED*"),SUMIFS(sum_range,site_level_range,$B$4,date_range,D80)))</f>
        <v>150714</v>
      </c>
      <c r="E81" s="147">
        <f ca="1">IF(IF(ISNUMBER(FIND("ED only",$B$4)),SUMIFS(sum_range,site_level_range,LEFT($B$4,LEN($B$4)-10),date_range,E80,inputdata!$E:$E,"*- ED*"),SUMIFS(sum_range,site_level_range,$B$4,date_range,E80))=0,"-",IF(ISNUMBER(FIND("ED only",$B$4)),SUMIFS(sum_range,site_level_range,LEFT($B$4,LEN($B$4)-10),date_range,E80,inputdata!$E:$E,"*- ED*"),SUMIFS(sum_range,site_level_range,$B$4,date_range,E80)))</f>
        <v>147627</v>
      </c>
      <c r="F81" s="147">
        <f ca="1">IF(IF(ISNUMBER(FIND("ED only",$B$4)),SUMIFS(sum_range,site_level_range,LEFT($B$4,LEN($B$4)-10),date_range,F80,inputdata!$E:$E,"*- ED*"),SUMIFS(sum_range,site_level_range,$B$4,date_range,F80))=0,"-",IF(ISNUMBER(FIND("ED only",$B$4)),SUMIFS(sum_range,site_level_range,LEFT($B$4,LEN($B$4)-10),date_range,F80,inputdata!$E:$E,"*- ED*"),SUMIFS(sum_range,site_level_range,$B$4,date_range,F80)))</f>
        <v>150701</v>
      </c>
      <c r="G81" s="147">
        <f ca="1">IF(IF(ISNUMBER(FIND("ED only",$B$4)),SUMIFS(sum_range,site_level_range,LEFT($B$4,LEN($B$4)-10),date_range,G80,inputdata!$E:$E,"*- ED*"),SUMIFS(sum_range,site_level_range,$B$4,date_range,G80))=0,"-",IF(ISNUMBER(FIND("ED only",$B$4)),SUMIFS(sum_range,site_level_range,LEFT($B$4,LEN($B$4)-10),date_range,G80,inputdata!$E:$E,"*- ED*"),SUMIFS(sum_range,site_level_range,$B$4,date_range,G80)))</f>
        <v>152514</v>
      </c>
      <c r="H81" s="147">
        <f ca="1">IF(IF(ISNUMBER(FIND("ED only",$B$4)),SUMIFS(sum_range,site_level_range,LEFT($B$4,LEN($B$4)-10),date_range,H80,inputdata!$E:$E,"*- ED*"),SUMIFS(sum_range,site_level_range,$B$4,date_range,H80))=0,"-",IF(ISNUMBER(FIND("ED only",$B$4)),SUMIFS(sum_range,site_level_range,LEFT($B$4,LEN($B$4)-10),date_range,H80,inputdata!$E:$E,"*- ED*"),SUMIFS(sum_range,site_level_range,$B$4,date_range,H80)))</f>
        <v>150908</v>
      </c>
      <c r="I81" s="147">
        <f ca="1">IF(IF(ISNUMBER(FIND("ED only",$B$4)),SUMIFS(sum_range,site_level_range,LEFT($B$4,LEN($B$4)-10),date_range,I80,inputdata!$E:$E,"*- ED*"),SUMIFS(sum_range,site_level_range,$B$4,date_range,I80))=0,"-",IF(ISNUMBER(FIND("ED only",$B$4)),SUMIFS(sum_range,site_level_range,LEFT($B$4,LEN($B$4)-10),date_range,I80,inputdata!$E:$E,"*- ED*"),SUMIFS(sum_range,site_level_range,$B$4,date_range,I80)))</f>
        <v>146068</v>
      </c>
      <c r="J81" s="147">
        <f ca="1">IF(IF(ISNUMBER(FIND("ED only",$B$4)),SUMIFS(sum_range,site_level_range,LEFT($B$4,LEN($B$4)-10),date_range,J80,inputdata!$E:$E,"*- ED*"),SUMIFS(sum_range,site_level_range,$B$4,date_range,J80))=0,"-",IF(ISNUMBER(FIND("ED only",$B$4)),SUMIFS(sum_range,site_level_range,LEFT($B$4,LEN($B$4)-10),date_range,J80,inputdata!$E:$E,"*- ED*"),SUMIFS(sum_range,site_level_range,$B$4,date_range,J80)))</f>
        <v>141973</v>
      </c>
      <c r="K81" s="147">
        <f ca="1">IF(IF(ISNUMBER(FIND("ED only",$B$4)),SUMIFS(sum_range,site_level_range,LEFT($B$4,LEN($B$4)-10),date_range,K80,inputdata!$E:$E,"*- ED*"),SUMIFS(sum_range,site_level_range,$B$4,date_range,K80))=0,"-",IF(ISNUMBER(FIND("ED only",$B$4)),SUMIFS(sum_range,site_level_range,LEFT($B$4,LEN($B$4)-10),date_range,K80,inputdata!$E:$E,"*- ED*"),SUMIFS(sum_range,site_level_range,$B$4,date_range,K80)))</f>
        <v>141418</v>
      </c>
      <c r="L81" s="147">
        <f ca="1">IF(IF(ISNUMBER(FIND("ED only",$B$4)),SUMIFS(sum_range,site_level_range,LEFT($B$4,LEN($B$4)-10),date_range,L80,inputdata!$E:$E,"*- ED*"),SUMIFS(sum_range,site_level_range,$B$4,date_range,L80))=0,"-",IF(ISNUMBER(FIND("ED only",$B$4)),SUMIFS(sum_range,site_level_range,LEFT($B$4,LEN($B$4)-10),date_range,L80,inputdata!$E:$E,"*- ED*"),SUMIFS(sum_range,site_level_range,$B$4,date_range,L80)))</f>
        <v>138725</v>
      </c>
      <c r="M81" s="147">
        <f ca="1">IF(IF(ISNUMBER(FIND("ED only",$B$4)),SUMIFS(sum_range,site_level_range,LEFT($B$4,LEN($B$4)-10),date_range,M80,inputdata!$E:$E,"*- ED*"),SUMIFS(sum_range,site_level_range,$B$4,date_range,M80))=0,"-",IF(ISNUMBER(FIND("ED only",$B$4)),SUMIFS(sum_range,site_level_range,LEFT($B$4,LEN($B$4)-10),date_range,M80,inputdata!$E:$E,"*- ED*"),SUMIFS(sum_range,site_level_range,$B$4,date_range,M80)))</f>
        <v>128341</v>
      </c>
      <c r="N81" s="156">
        <f ca="1">IF(IF(ISNUMBER(FIND("ED only",$B$4)),SUMIFS(sum_range,site_level_range,LEFT($B$4,LEN($B$4)-10),date_range,N80,inputdata!$E:$E,"*- ED*"),SUMIFS(sum_range,site_level_range,$B$4,date_range,N80))=0,"-",IF(ISNUMBER(FIND("ED only",$B$4)),SUMIFS(sum_range,site_level_range,LEFT($B$4,LEN($B$4)-10),date_range,N80,inputdata!$E:$E,"*- ED*"),SUMIFS(sum_range,site_level_range,$B$4,date_range,N80)))</f>
        <v>101225</v>
      </c>
      <c r="P81" s="50"/>
      <c r="Q81" s="50"/>
      <c r="R81" s="50" t="s">
        <v>63</v>
      </c>
      <c r="S81" s="50"/>
      <c r="T81" s="50"/>
      <c r="U81" s="50"/>
    </row>
    <row r="82" spans="1:21" ht="15" customHeight="1" x14ac:dyDescent="0.2">
      <c r="A82" s="132"/>
      <c r="B82" s="152" t="s">
        <v>725</v>
      </c>
      <c r="C82" s="147">
        <f ca="1">IF(AND(MONTH(C80)=3,ISNUMBER($N81),ISNUMBER($C81)),SUM($C81:C81),IF(AND(MONTH(C80)&lt;&gt;3,ISNUMBER(C81),ISNUMBER(D95)),SUM($C81:C81,D95:$N95),"-"))</f>
        <v>1701360</v>
      </c>
      <c r="D82" s="147">
        <f ca="1">IF(AND(MONTH(D80)=3,ISNUMBER($N81),ISNUMBER($C81)),SUM($C81:D81),IF(AND(MONTH(D80)&lt;&gt;3,ISNUMBER(D81),ISNUMBER(E95)),SUM($C81:D81,E95:$N95),"-"))</f>
        <v>1698991</v>
      </c>
      <c r="E82" s="147">
        <f ca="1">IF(AND(MONTH(E80)=3,ISNUMBER($N81),ISNUMBER($C81)),SUM($C81:E81),IF(AND(MONTH(E80)&lt;&gt;3,ISNUMBER(E81),ISNUMBER(F95)),SUM($C81:E81,F95:$N95),"-"))</f>
        <v>1699979</v>
      </c>
      <c r="F82" s="147">
        <f ca="1">IF(AND(MONTH(F80)=3,ISNUMBER($N81),ISNUMBER($C81)),SUM($C81:F81),IF(AND(MONTH(F80)&lt;&gt;3,ISNUMBER(F81),ISNUMBER(G95)),SUM($C81:F81,G95:$N95),"-"))</f>
        <v>1705039</v>
      </c>
      <c r="G82" s="147">
        <f ca="1">IF(AND(MONTH(G80)=3,ISNUMBER($N81),ISNUMBER($C81)),SUM($C81:G81),IF(AND(MONTH(G80)&lt;&gt;3,ISNUMBER(G81),ISNUMBER(H95)),SUM($C81:G81,H95:$N95),"-"))</f>
        <v>1712675</v>
      </c>
      <c r="H82" s="147">
        <f ca="1">IF(AND(MONTH(H80)=3,ISNUMBER($N81),ISNUMBER($C81)),SUM($C81:H81),IF(AND(MONTH(H80)&lt;&gt;3,ISNUMBER(H81),ISNUMBER(I95)),SUM($C81:H81,I95:$N95),"-"))</f>
        <v>1722987</v>
      </c>
      <c r="I82" s="147">
        <f ca="1">IF(AND(MONTH(I80)=3,ISNUMBER($N81),ISNUMBER($C81)),SUM($C81:I81),IF(AND(MONTH(I80)&lt;&gt;3,ISNUMBER(I81),ISNUMBER(J95)),SUM($C81:I81,J95:$N95),"-"))</f>
        <v>1730890</v>
      </c>
      <c r="J82" s="147">
        <f ca="1">IF(AND(MONTH(J80)=3,ISNUMBER($N81),ISNUMBER($C81)),SUM($C81:J81),IF(AND(MONTH(J80)&lt;&gt;3,ISNUMBER(J81),ISNUMBER(K95)),SUM($C81:J81,K95:$N95),"-"))</f>
        <v>1737468</v>
      </c>
      <c r="K82" s="147">
        <f ca="1">IF(AND(MONTH(K80)=3,ISNUMBER($N81),ISNUMBER($C81)),SUM($C81:K81),IF(AND(MONTH(K80)&lt;&gt;3,ISNUMBER(K81),ISNUMBER(L95)),SUM($C81:K81,L95:$N95),"-"))</f>
        <v>1740759</v>
      </c>
      <c r="L82" s="147">
        <f ca="1">IF(AND(MONTH(L80)=3,ISNUMBER($N81),ISNUMBER($C81)),SUM($C81:L81),IF(AND(MONTH(L80)&lt;&gt;3,ISNUMBER(L81),ISNUMBER(M95)),SUM($C81:L81,M95:$N95),"-"))</f>
        <v>1740599</v>
      </c>
      <c r="M82" s="147">
        <f ca="1">IF(AND(MONTH(M80)=3,ISNUMBER($N81),ISNUMBER($C81)),SUM($C81:M81),IF(AND(MONTH(M80)&lt;&gt;3,ISNUMBER(M81),ISNUMBER(N95)),SUM($C81:M81,N95:$N95),"-"))</f>
        <v>1738893</v>
      </c>
      <c r="N82" s="156">
        <f ca="1">IF(AND(MONTH(N80)=3,ISNUMBER($N81),ISNUMBER($C81)),SUM($C81:N81),IF(AND(MONTH(N80)&lt;&gt;3,ISNUMBER(N81),ISNUMBER(O95)),SUM($C81:N81,$N95:O95),"-"))</f>
        <v>1695554</v>
      </c>
      <c r="P82" s="54"/>
      <c r="Q82" s="54"/>
      <c r="R82" s="54" t="s">
        <v>342</v>
      </c>
      <c r="S82" s="54"/>
      <c r="T82" s="54"/>
      <c r="U82" s="54"/>
    </row>
    <row r="83" spans="1:21" ht="15" customHeight="1" x14ac:dyDescent="0.2">
      <c r="A83" s="132"/>
      <c r="B83" s="154" t="s">
        <v>726</v>
      </c>
      <c r="C83" s="150">
        <f t="shared" ref="C83:N83" ca="1" si="12">IF(ISNUMBER(C82),C82/12,NA())</f>
        <v>141780</v>
      </c>
      <c r="D83" s="150">
        <f t="shared" ca="1" si="12"/>
        <v>141582.58333333334</v>
      </c>
      <c r="E83" s="150">
        <f t="shared" ca="1" si="12"/>
        <v>141664.91666666666</v>
      </c>
      <c r="F83" s="150">
        <f t="shared" ca="1" si="12"/>
        <v>142086.58333333334</v>
      </c>
      <c r="G83" s="150">
        <f t="shared" ca="1" si="12"/>
        <v>142722.91666666666</v>
      </c>
      <c r="H83" s="150">
        <f t="shared" ca="1" si="12"/>
        <v>143582.25</v>
      </c>
      <c r="I83" s="150">
        <f t="shared" ca="1" si="12"/>
        <v>144240.83333333334</v>
      </c>
      <c r="J83" s="150">
        <f t="shared" ca="1" si="12"/>
        <v>144789</v>
      </c>
      <c r="K83" s="150">
        <f t="shared" ca="1" si="12"/>
        <v>145063.25</v>
      </c>
      <c r="L83" s="150">
        <f t="shared" ca="1" si="12"/>
        <v>145049.91666666666</v>
      </c>
      <c r="M83" s="150">
        <f t="shared" ca="1" si="12"/>
        <v>144907.75</v>
      </c>
      <c r="N83" s="159">
        <f t="shared" ca="1" si="12"/>
        <v>141296.16666666666</v>
      </c>
      <c r="P83" s="53"/>
      <c r="Q83" s="53"/>
      <c r="R83" s="53" t="s">
        <v>343</v>
      </c>
      <c r="S83" s="53"/>
      <c r="T83" s="53"/>
      <c r="U83" s="53"/>
    </row>
    <row r="84" spans="1:21" ht="15" customHeight="1" x14ac:dyDescent="0.2">
      <c r="A84" s="132"/>
      <c r="B84" s="152" t="s">
        <v>727</v>
      </c>
      <c r="C84" s="147">
        <f ca="1">IF(C81="-","-",C81-IF(ISNUMBER(FIND("ED only",$B$4)),SUMIFS(sum_over_4_tot,site_level_range,LEFT($B$4,LEN($B$4)-10),date_range,C80,inputdata!$E:$E,"*- ED*"),SUMIFS(sum_over_4_tot,site_level_range,$B$4,date_range,C80)))</f>
        <v>14643</v>
      </c>
      <c r="D84" s="147">
        <f ca="1">IF(D81="-","-",D81-IF(ISNUMBER(FIND("ED only",$B$4)),SUMIFS(sum_over_4_tot,site_level_range,LEFT($B$4,LEN($B$4)-10),date_range,D80,inputdata!$E:$E,"*- ED*"),SUMIFS(sum_over_4_tot,site_level_range,$B$4,date_range,D80)))</f>
        <v>14011</v>
      </c>
      <c r="E84" s="147">
        <f ca="1">IF(E81="-","-",E81-IF(ISNUMBER(FIND("ED only",$B$4)),SUMIFS(sum_over_4_tot,site_level_range,LEFT($B$4,LEN($B$4)-10),date_range,E80,inputdata!$E:$E,"*- ED*"),SUMIFS(sum_over_4_tot,site_level_range,$B$4,date_range,E80)))</f>
        <v>14278</v>
      </c>
      <c r="F84" s="147">
        <f ca="1">IF(F81="-","-",F81-IF(ISNUMBER(FIND("ED only",$B$4)),SUMIFS(sum_over_4_tot,site_level_range,LEFT($B$4,LEN($B$4)-10),date_range,F80,inputdata!$E:$E,"*- ED*"),SUMIFS(sum_over_4_tot,site_level_range,$B$4,date_range,F80)))</f>
        <v>13252</v>
      </c>
      <c r="G84" s="147">
        <f ca="1">IF(G81="-","-",G81-IF(ISNUMBER(FIND("ED only",$B$4)),SUMIFS(sum_over_4_tot,site_level_range,LEFT($B$4,LEN($B$4)-10),date_range,G80,inputdata!$E:$E,"*- ED*"),SUMIFS(sum_over_4_tot,site_level_range,$B$4,date_range,G80)))</f>
        <v>14372</v>
      </c>
      <c r="H84" s="147">
        <f ca="1">IF(H81="-","-",H81-IF(ISNUMBER(FIND("ED only",$B$4)),SUMIFS(sum_over_4_tot,site_level_range,LEFT($B$4,LEN($B$4)-10),date_range,H80,inputdata!$E:$E,"*- ED*"),SUMIFS(sum_over_4_tot,site_level_range,$B$4,date_range,H80)))</f>
        <v>16187</v>
      </c>
      <c r="I84" s="147">
        <f ca="1">IF(I81="-","-",I81-IF(ISNUMBER(FIND("ED only",$B$4)),SUMIFS(sum_over_4_tot,site_level_range,LEFT($B$4,LEN($B$4)-10),date_range,I80,inputdata!$E:$E,"*- ED*"),SUMIFS(sum_over_4_tot,site_level_range,$B$4,date_range,I80)))</f>
        <v>17923</v>
      </c>
      <c r="J84" s="147">
        <f ca="1">IF(J81="-","-",J81-IF(ISNUMBER(FIND("ED only",$B$4)),SUMIFS(sum_over_4_tot,site_level_range,LEFT($B$4,LEN($B$4)-10),date_range,J80,inputdata!$E:$E,"*- ED*"),SUMIFS(sum_over_4_tot,site_level_range,$B$4,date_range,J80)))</f>
        <v>20541</v>
      </c>
      <c r="K84" s="147">
        <f ca="1">IF(K81="-","-",K81-IF(ISNUMBER(FIND("ED only",$B$4)),SUMIFS(sum_over_4_tot,site_level_range,LEFT($B$4,LEN($B$4)-10),date_range,K80,inputdata!$E:$E,"*- ED*"),SUMIFS(sum_over_4_tot,site_level_range,$B$4,date_range,K80)))</f>
        <v>22871</v>
      </c>
      <c r="L84" s="147">
        <f ca="1">IF(L81="-","-",L81-IF(ISNUMBER(FIND("ED only",$B$4)),SUMIFS(sum_over_4_tot,site_level_range,LEFT($B$4,LEN($B$4)-10),date_range,L80,inputdata!$E:$E,"*- ED*"),SUMIFS(sum_over_4_tot,site_level_range,$B$4,date_range,L80)))</f>
        <v>19284</v>
      </c>
      <c r="M84" s="147">
        <f ca="1">IF(M81="-","-",M81-IF(ISNUMBER(FIND("ED only",$B$4)),SUMIFS(sum_over_4_tot,site_level_range,LEFT($B$4,LEN($B$4)-10),date_range,M80,inputdata!$E:$E,"*- ED*"),SUMIFS(sum_over_4_tot,site_level_range,$B$4,date_range,M80)))</f>
        <v>16602</v>
      </c>
      <c r="N84" s="156">
        <f ca="1">IF(N81="-","-",N81-IF(ISNUMBER(FIND("ED only",$B$4)),SUMIFS(sum_over_4_tot,site_level_range,LEFT($B$4,LEN($B$4)-10),date_range,N80,inputdata!$E:$E,"*- ED*"),SUMIFS(sum_over_4_tot,site_level_range,$B$4,date_range,N80)))</f>
        <v>10886</v>
      </c>
      <c r="R84" s="50" t="s">
        <v>344</v>
      </c>
      <c r="U84" s="53"/>
    </row>
    <row r="85" spans="1:21" ht="15" customHeight="1" x14ac:dyDescent="0.2">
      <c r="A85" s="132"/>
      <c r="B85" s="152" t="s">
        <v>728</v>
      </c>
      <c r="C85" s="148">
        <f t="shared" ref="C85:N85" ca="1" si="13">IF(ISERROR(1-C84/C81),NA(),(1-C84/C81))</f>
        <v>0.89925003440209161</v>
      </c>
      <c r="D85" s="148">
        <f t="shared" ca="1" si="13"/>
        <v>0.90703584272197668</v>
      </c>
      <c r="E85" s="148">
        <f t="shared" ca="1" si="13"/>
        <v>0.90328327473971559</v>
      </c>
      <c r="F85" s="148">
        <f t="shared" ca="1" si="13"/>
        <v>0.91206428623565872</v>
      </c>
      <c r="G85" s="148">
        <f t="shared" ca="1" si="13"/>
        <v>0.90576602803677042</v>
      </c>
      <c r="H85" s="148">
        <f t="shared" ca="1" si="13"/>
        <v>0.8927359715853368</v>
      </c>
      <c r="I85" s="148">
        <f t="shared" ca="1" si="13"/>
        <v>0.87729687542788293</v>
      </c>
      <c r="J85" s="148">
        <f t="shared" ca="1" si="13"/>
        <v>0.85531756038119922</v>
      </c>
      <c r="K85" s="148">
        <f t="shared" ca="1" si="13"/>
        <v>0.83827376995856251</v>
      </c>
      <c r="L85" s="148">
        <f t="shared" ca="1" si="13"/>
        <v>0.86099116958010447</v>
      </c>
      <c r="M85" s="148">
        <f t="shared" ca="1" si="13"/>
        <v>0.87064149414450565</v>
      </c>
      <c r="N85" s="157">
        <f t="shared" ca="1" si="13"/>
        <v>0.89245739688812054</v>
      </c>
      <c r="R85" s="50" t="s">
        <v>252</v>
      </c>
      <c r="U85" s="53"/>
    </row>
    <row r="86" spans="1:21" ht="15" customHeight="1" x14ac:dyDescent="0.2">
      <c r="A86" s="132"/>
      <c r="B86" s="154" t="s">
        <v>729</v>
      </c>
      <c r="C86" s="151">
        <f ca="1">IF(ISERROR(C83),NA(),IF(AND(MONTH(C80)=3,ISNUMBER($N81),ISNUMBER($C81)),1-(SUM($C84:$N84)/SUM($C81:$N81)),IF(AND(MONTH(C80)&lt;&gt;3,ISNUMBER(C81),ISNUMBER(D95)),1-(SUM(D98:$N98,$C84:C84)/SUM($C81:C81,D95:$N95)),NA())))</f>
        <v>0.91217555367470726</v>
      </c>
      <c r="D86" s="151">
        <f ca="1">IF(ISERROR(D83),NA(),IF(AND(MONTH(D80)=3,ISNUMBER($N81),ISNUMBER($C81)),1-(SUM($C84:$N84)/SUM($C81:$N81)),IF(AND(MONTH(D80)&lt;&gt;3,ISNUMBER(D81),ISNUMBER(E95)),1-(SUM(E98:$N98,$C84:D84)/SUM($C81:D81,E95:$N95)),NA())))</f>
        <v>0.91006485614108612</v>
      </c>
      <c r="E86" s="151">
        <f ca="1">IF(ISERROR(E83),NA(),IF(AND(MONTH(E80)=3,ISNUMBER($N81),ISNUMBER($C81)),1-(SUM($C84:$N84)/SUM($C81:$N81)),IF(AND(MONTH(E80)&lt;&gt;3,ISNUMBER(E81),ISNUMBER(F95)),1-(SUM(F98:$N98,$C84:E84)/SUM($C81:E81,F95:$N95)),NA())))</f>
        <v>0.90792239198248925</v>
      </c>
      <c r="F86" s="151">
        <f ca="1">IF(ISERROR(F83),NA(),IF(AND(MONTH(F80)=3,ISNUMBER($N81),ISNUMBER($C81)),1-(SUM($C84:$N84)/SUM($C81:$N81)),IF(AND(MONTH(F80)&lt;&gt;3,ISNUMBER(F81),ISNUMBER(G95)),1-(SUM(G98:$N98,$C84:F84)/SUM($C81:F81,G95:$N95)),NA())))</f>
        <v>0.90639275699852029</v>
      </c>
      <c r="G86" s="151">
        <f ca="1">IF(ISERROR(G83),NA(),IF(AND(MONTH(G80)=3,ISNUMBER($N81),ISNUMBER($C81)),1-(SUM($C84:$N84)/SUM($C81:$N81)),IF(AND(MONTH(G80)&lt;&gt;3,ISNUMBER(G81),ISNUMBER(H95)),1-(SUM(H98:$N98,$C84:G84)/SUM($C81:G81,H95:$N95)),NA())))</f>
        <v>0.90520034449034403</v>
      </c>
      <c r="H86" s="151">
        <f ca="1">IF(ISERROR(H83),NA(),IF(AND(MONTH(H80)=3,ISNUMBER($N81),ISNUMBER($C81)),1-(SUM($C84:$N84)/SUM($C81:$N81)),IF(AND(MONTH(H80)&lt;&gt;3,ISNUMBER(H81),ISNUMBER(I95)),1-(SUM(I98:$N98,$C84:H84)/SUM($C81:H81,I95:$N95)),NA())))</f>
        <v>0.90379555968791403</v>
      </c>
      <c r="I86" s="151">
        <f ca="1">IF(ISERROR(I83),NA(),IF(AND(MONTH(I80)=3,ISNUMBER($N81),ISNUMBER($C81)),1-(SUM($C84:$N84)/SUM($C81:$N81)),IF(AND(MONTH(I80)&lt;&gt;3,ISNUMBER(I81),ISNUMBER(J95)),1-(SUM(J98:$N98,$C84:I84)/SUM($C81:I81,J95:$N95)),NA())))</f>
        <v>0.90008666061968123</v>
      </c>
      <c r="J86" s="151">
        <f ca="1">IF(ISERROR(J83),NA(),IF(AND(MONTH(J80)=3,ISNUMBER($N81),ISNUMBER($C81)),1-(SUM($C84:$N84)/SUM($C81:$N81)),IF(AND(MONTH(J80)&lt;&gt;3,ISNUMBER(J81),ISNUMBER(K95)),1-(SUM(K98:$N98,$C84:J84)/SUM($C81:J81,K95:$N95)),NA())))</f>
        <v>0.89544958525854867</v>
      </c>
      <c r="K86" s="151">
        <f ca="1">IF(ISERROR(K83),NA(),IF(AND(MONTH(K80)=3,ISNUMBER($N81),ISNUMBER($C81)),1-(SUM($C84:$N84)/SUM($C81:$N81)),IF(AND(MONTH(K80)&lt;&gt;3,ISNUMBER(K81),ISNUMBER(L95)),1-(SUM(L98:$N98,$C84:K84)/SUM($C81:K81,L95:$N95)),NA())))</f>
        <v>0.8907861455836219</v>
      </c>
      <c r="L86" s="151">
        <f ca="1">IF(ISERROR(L83),NA(),IF(AND(MONTH(L80)=3,ISNUMBER($N81),ISNUMBER($C81)),1-(SUM($C84:$N84)/SUM($C81:$N81)),IF(AND(MONTH(L80)&lt;&gt;3,ISNUMBER(L81),ISNUMBER(M95)),1-(SUM(M98:$N98,$C84:L84)/SUM($C81:L81,M95:$N95)),NA())))</f>
        <v>0.88866706231590387</v>
      </c>
      <c r="M86" s="151">
        <f ca="1">IF(ISERROR(M83),NA(),IF(AND(MONTH(M80)=3,ISNUMBER($N81),ISNUMBER($C81)),1-(SUM($C84:$N84)/SUM($C81:$N81)),IF(AND(MONTH(M80)&lt;&gt;3,ISNUMBER(M81),ISNUMBER(N95)),1-(SUM(N98:$N98,$C84:M84)/SUM($C81:M81,N95:$N95)),NA())))</f>
        <v>0.88699592211826717</v>
      </c>
      <c r="N86" s="160">
        <f ca="1">IF(ISERROR(N83),NA(),IF(AND(MONTH(N80)=3,ISNUMBER($N81),ISNUMBER($C81)),1-(SUM($C84:$N84)/SUM($C81:$N81)),IF(AND(MONTH(N80)&lt;&gt;3,ISNUMBER(N81),ISNUMBER(O95)),1-(SUM($N98:O98,$C84:N84)/SUM($C81:N81,$N95:O95)),NA())))</f>
        <v>0.88508180806981085</v>
      </c>
      <c r="R86" s="50" t="s">
        <v>61</v>
      </c>
    </row>
    <row r="87" spans="1:21" ht="14.45" customHeight="1" x14ac:dyDescent="0.25">
      <c r="A87" s="132"/>
      <c r="B87" s="155" t="s">
        <v>730</v>
      </c>
      <c r="C87" s="127"/>
      <c r="D87" s="127"/>
      <c r="E87" s="127"/>
      <c r="F87" s="127"/>
      <c r="G87" s="127"/>
      <c r="H87" s="127"/>
      <c r="I87" s="127"/>
      <c r="J87" s="127"/>
      <c r="K87" s="127"/>
      <c r="L87" s="127"/>
      <c r="M87" s="127"/>
      <c r="N87" s="161"/>
      <c r="R87" s="50" t="s">
        <v>62</v>
      </c>
    </row>
    <row r="88" spans="1:21" ht="15" customHeight="1" x14ac:dyDescent="0.2">
      <c r="A88" s="132"/>
      <c r="B88" s="154" t="s">
        <v>724</v>
      </c>
      <c r="C88" s="150">
        <f ca="1">IF(IF(ISNUMBER(FIND("ED only",$B$4)),SUMIFS(Sum_total_epi,site_level_range,LEFT($B$4,LEN($B$4)-10),date_range,C80,inputdata!$E:$E,"*- ED*"),SUMIFS(Sum_total_epi,site_level_range,$B$4,date_range,C80))=0,"-",IF(ISNUMBER(FIND("ED only",$B$4)),SUMIFS(Sum_total_epi,site_level_range,LEFT($B$4,LEN($B$4)-10),date_range,C80,inputdata!$E:$E,"*- ED*"),SUMIFS(Sum_total_epi,site_level_range,$B$4,date_range,C80)))</f>
        <v>137544</v>
      </c>
      <c r="D88" s="150">
        <f ca="1">IF(IF(ISNUMBER(FIND("ED only",$B$4)),SUMIFS(Sum_total_epi,site_level_range,LEFT($B$4,LEN($B$4)-10),date_range,D80,inputdata!$E:$E,"*- ED*"),SUMIFS(Sum_total_epi,site_level_range,$B$4,date_range,D80))=0,"-",IF(ISNUMBER(FIND("ED only",$B$4)),SUMIFS(Sum_total_epi,site_level_range,LEFT($B$4,LEN($B$4)-10),date_range,D80,inputdata!$E:$E,"*- ED*"),SUMIFS(Sum_total_epi,site_level_range,$B$4,date_range,D80)))</f>
        <v>142439</v>
      </c>
      <c r="E88" s="150">
        <f ca="1">IF(IF(ISNUMBER(FIND("ED only",$B$4)),SUMIFS(Sum_total_epi,site_level_range,LEFT($B$4,LEN($B$4)-10),date_range,E80,inputdata!$E:$E,"*- ED*"),SUMIFS(Sum_total_epi,site_level_range,$B$4,date_range,E80))=0,"-",IF(ISNUMBER(FIND("ED only",$B$4)),SUMIFS(Sum_total_epi,site_level_range,LEFT($B$4,LEN($B$4)-10),date_range,E80,inputdata!$E:$E,"*- ED*"),SUMIFS(Sum_total_epi,site_level_range,$B$4,date_range,E80)))</f>
        <v>139376</v>
      </c>
      <c r="F88" s="150">
        <f ca="1">IF(IF(ISNUMBER(FIND("ED only",$B$4)),SUMIFS(Sum_total_epi,site_level_range,LEFT($B$4,LEN($B$4)-10),date_range,F80,inputdata!$E:$E,"*- ED*"),SUMIFS(Sum_total_epi,site_level_range,$B$4,date_range,F80))=0,"-",IF(ISNUMBER(FIND("ED only",$B$4)),SUMIFS(Sum_total_epi,site_level_range,LEFT($B$4,LEN($B$4)-10),date_range,F80,inputdata!$E:$E,"*- ED*"),SUMIFS(Sum_total_epi,site_level_range,$B$4,date_range,F80)))</f>
        <v>141769</v>
      </c>
      <c r="G88" s="150">
        <f ca="1">IF(IF(ISNUMBER(FIND("ED only",$B$4)),SUMIFS(Sum_total_epi,site_level_range,LEFT($B$4,LEN($B$4)-10),date_range,G80,inputdata!$E:$E,"*- ED*"),SUMIFS(Sum_total_epi,site_level_range,$B$4,date_range,G80))=0,"-",IF(ISNUMBER(FIND("ED only",$B$4)),SUMIFS(Sum_total_epi,site_level_range,LEFT($B$4,LEN($B$4)-10),date_range,G80,inputdata!$E:$E,"*- ED*"),SUMIFS(Sum_total_epi,site_level_range,$B$4,date_range,G80)))</f>
        <v>143881</v>
      </c>
      <c r="H88" s="150">
        <f ca="1">IF(IF(ISNUMBER(FIND("ED only",$B$4)),SUMIFS(Sum_total_epi,site_level_range,LEFT($B$4,LEN($B$4)-10),date_range,H80,inputdata!$E:$E,"*- ED*"),SUMIFS(Sum_total_epi,site_level_range,$B$4,date_range,H80))=0,"-",IF(ISNUMBER(FIND("ED only",$B$4)),SUMIFS(Sum_total_epi,site_level_range,LEFT($B$4,LEN($B$4)-10),date_range,H80,inputdata!$E:$E,"*- ED*"),SUMIFS(Sum_total_epi,site_level_range,$B$4,date_range,H80)))</f>
        <v>142738</v>
      </c>
      <c r="I88" s="150">
        <f ca="1">IF(IF(ISNUMBER(FIND("ED only",$B$4)),SUMIFS(Sum_total_epi,site_level_range,LEFT($B$4,LEN($B$4)-10),date_range,I80,inputdata!$E:$E,"*- ED*"),SUMIFS(Sum_total_epi,site_level_range,$B$4,date_range,I80))=0,"-",IF(ISNUMBER(FIND("ED only",$B$4)),SUMIFS(Sum_total_epi,site_level_range,LEFT($B$4,LEN($B$4)-10),date_range,I80,inputdata!$E:$E,"*- ED*"),SUMIFS(Sum_total_epi,site_level_range,$B$4,date_range,I80)))</f>
        <v>138850</v>
      </c>
      <c r="J88" s="150">
        <f ca="1">IF(IF(ISNUMBER(FIND("ED only",$B$4)),SUMIFS(Sum_total_epi,site_level_range,LEFT($B$4,LEN($B$4)-10),date_range,J80,inputdata!$E:$E,"*- ED*"),SUMIFS(Sum_total_epi,site_level_range,$B$4,date_range,J80))=0,"-",IF(ISNUMBER(FIND("ED only",$B$4)),SUMIFS(Sum_total_epi,site_level_range,LEFT($B$4,LEN($B$4)-10),date_range,J80,inputdata!$E:$E,"*- ED*"),SUMIFS(Sum_total_epi,site_level_range,$B$4,date_range,J80)))</f>
        <v>135215</v>
      </c>
      <c r="K88" s="150">
        <f ca="1">IF(IF(ISNUMBER(FIND("ED only",$B$4)),SUMIFS(Sum_total_epi,site_level_range,LEFT($B$4,LEN($B$4)-10),date_range,K80,inputdata!$E:$E,"*- ED*"),SUMIFS(Sum_total_epi,site_level_range,$B$4,date_range,K80))=0,"-",IF(ISNUMBER(FIND("ED only",$B$4)),SUMIFS(Sum_total_epi,site_level_range,LEFT($B$4,LEN($B$4)-10),date_range,K80,inputdata!$E:$E,"*- ED*"),SUMIFS(Sum_total_epi,site_level_range,$B$4,date_range,K80)))</f>
        <v>134185</v>
      </c>
      <c r="L88" s="150">
        <f ca="1">IF(IF(ISNUMBER(FIND("ED only",$B$4)),SUMIFS(Sum_total_epi,site_level_range,LEFT($B$4,LEN($B$4)-10),date_range,L80,inputdata!$E:$E,"*- ED*"),SUMIFS(Sum_total_epi,site_level_range,$B$4,date_range,L80))=0,"-",IF(ISNUMBER(FIND("ED only",$B$4)),SUMIFS(Sum_total_epi,site_level_range,LEFT($B$4,LEN($B$4)-10),date_range,L80,inputdata!$E:$E,"*- ED*"),SUMIFS(Sum_total_epi,site_level_range,$B$4,date_range,L80)))</f>
        <v>131968</v>
      </c>
      <c r="M88" s="150">
        <f ca="1">IF(IF(ISNUMBER(FIND("ED only",$B$4)),SUMIFS(Sum_total_epi,site_level_range,LEFT($B$4,LEN($B$4)-10),date_range,M80,inputdata!$E:$E,"*- ED*"),SUMIFS(Sum_total_epi,site_level_range,$B$4,date_range,M80))=0,"-",IF(ISNUMBER(FIND("ED only",$B$4)),SUMIFS(Sum_total_epi,site_level_range,LEFT($B$4,LEN($B$4)-10),date_range,M80,inputdata!$E:$E,"*- ED*"),SUMIFS(Sum_total_epi,site_level_range,$B$4,date_range,M80)))</f>
        <v>122010</v>
      </c>
      <c r="N88" s="159">
        <f ca="1">IF(IF(ISNUMBER(FIND("ED only",$B$4)),SUMIFS(Sum_total_epi,site_level_range,LEFT($B$4,LEN($B$4)-10),date_range,N80,inputdata!$E:$E,"*- ED*"),SUMIFS(Sum_total_epi,site_level_range,$B$4,date_range,N80))=0,"-",IF(ISNUMBER(FIND("ED only",$B$4)),SUMIFS(Sum_total_epi,site_level_range,LEFT($B$4,LEN($B$4)-10),date_range,N80,inputdata!$E:$E,"*- ED*"),SUMIFS(Sum_total_epi,site_level_range,$B$4,date_range,N80)))</f>
        <v>96406</v>
      </c>
      <c r="R88" s="50" t="s">
        <v>250</v>
      </c>
    </row>
    <row r="89" spans="1:21" ht="15" customHeight="1" x14ac:dyDescent="0.2">
      <c r="A89" s="132"/>
      <c r="B89" s="152" t="s">
        <v>731</v>
      </c>
      <c r="C89" s="147">
        <f ca="1">IF(C88="-","-",IF(ISNUMBER(FIND("ED only",$B$4)),SUMIFS(Sum_over_8,site_level_range,LEFT($B$4,LEN($B$4)-10),date_range,C80,inputdata!$E:$E,"*- ED*"),SUMIFS(Sum_over_8,site_level_range,$B$4,date_range,C80)))</f>
        <v>1391</v>
      </c>
      <c r="D89" s="147">
        <f ca="1">IF(D88="-","-",IF(ISNUMBER(FIND("ED only",$B$4)),SUMIFS(Sum_over_8,site_level_range,LEFT($B$4,LEN($B$4)-10),date_range,D80,inputdata!$E:$E,"*- ED*"),SUMIFS(Sum_over_8,site_level_range,$B$4,date_range,D80)))</f>
        <v>1163</v>
      </c>
      <c r="E89" s="147">
        <f ca="1">IF(E88="-","-",IF(ISNUMBER(FIND("ED only",$B$4)),SUMIFS(Sum_over_8,site_level_range,LEFT($B$4,LEN($B$4)-10),date_range,E80,inputdata!$E:$E,"*- ED*"),SUMIFS(Sum_over_8,site_level_range,$B$4,date_range,E80)))</f>
        <v>1283</v>
      </c>
      <c r="F89" s="147">
        <f ca="1">IF(F88="-","-",IF(ISNUMBER(FIND("ED only",$B$4)),SUMIFS(Sum_over_8,site_level_range,LEFT($B$4,LEN($B$4)-10),date_range,F80,inputdata!$E:$E,"*- ED*"),SUMIFS(Sum_over_8,site_level_range,$B$4,date_range,F80)))</f>
        <v>1180</v>
      </c>
      <c r="G89" s="147">
        <f ca="1">IF(G88="-","-",IF(ISNUMBER(FIND("ED only",$B$4)),SUMIFS(Sum_over_8,site_level_range,LEFT($B$4,LEN($B$4)-10),date_range,G80,inputdata!$E:$E,"*- ED*"),SUMIFS(Sum_over_8,site_level_range,$B$4,date_range,G80)))</f>
        <v>1406</v>
      </c>
      <c r="H89" s="147">
        <f ca="1">IF(H88="-","-",IF(ISNUMBER(FIND("ED only",$B$4)),SUMIFS(Sum_over_8,site_level_range,LEFT($B$4,LEN($B$4)-10),date_range,H80,inputdata!$E:$E,"*- ED*"),SUMIFS(Sum_over_8,site_level_range,$B$4,date_range,H80)))</f>
        <v>1618</v>
      </c>
      <c r="I89" s="147">
        <f ca="1">IF(I88="-","-",IF(ISNUMBER(FIND("ED only",$B$4)),SUMIFS(Sum_over_8,site_level_range,LEFT($B$4,LEN($B$4)-10),date_range,I80,inputdata!$E:$E,"*- ED*"),SUMIFS(Sum_over_8,site_level_range,$B$4,date_range,I80)))</f>
        <v>2467</v>
      </c>
      <c r="J89" s="147">
        <f ca="1">IF(J88="-","-",IF(ISNUMBER(FIND("ED only",$B$4)),SUMIFS(Sum_over_8,site_level_range,LEFT($B$4,LEN($B$4)-10),date_range,J80,inputdata!$E:$E,"*- ED*"),SUMIFS(Sum_over_8,site_level_range,$B$4,date_range,J80)))</f>
        <v>3320</v>
      </c>
      <c r="K89" s="147">
        <f ca="1">IF(K88="-","-",IF(ISNUMBER(FIND("ED only",$B$4)),SUMIFS(Sum_over_8,site_level_range,LEFT($B$4,LEN($B$4)-10),date_range,K80,inputdata!$E:$E,"*- ED*"),SUMIFS(Sum_over_8,site_level_range,$B$4,date_range,K80)))</f>
        <v>3899</v>
      </c>
      <c r="L89" s="147">
        <f ca="1">IF(L88="-","-",IF(ISNUMBER(FIND("ED only",$B$4)),SUMIFS(Sum_over_8,site_level_range,LEFT($B$4,LEN($B$4)-10),date_range,L80,inputdata!$E:$E,"*- ED*"),SUMIFS(Sum_over_8,site_level_range,$B$4,date_range,L80)))</f>
        <v>3479</v>
      </c>
      <c r="M89" s="147">
        <f ca="1">IF(M88="-","-",IF(ISNUMBER(FIND("ED only",$B$4)),SUMIFS(Sum_over_8,site_level_range,LEFT($B$4,LEN($B$4)-10),date_range,M80,inputdata!$E:$E,"*- ED*"),SUMIFS(Sum_over_8,site_level_range,$B$4,date_range,M80)))</f>
        <v>3161</v>
      </c>
      <c r="N89" s="156">
        <f ca="1">IF(N88="-","-",IF(ISNUMBER(FIND("ED only",$B$4)),SUMIFS(Sum_over_8,site_level_range,LEFT($B$4,LEN($B$4)-10),date_range,N80,inputdata!$E:$E,"*- ED*"),SUMIFS(Sum_over_8,site_level_range,$B$4,date_range,N80)))</f>
        <v>1512</v>
      </c>
      <c r="O89" s="54"/>
      <c r="R89" s="50" t="s">
        <v>64</v>
      </c>
    </row>
    <row r="90" spans="1:21" ht="15" customHeight="1" x14ac:dyDescent="0.2">
      <c r="A90" s="132"/>
      <c r="B90" s="154" t="s">
        <v>732</v>
      </c>
      <c r="C90" s="151">
        <f t="shared" ref="C90:N90" ca="1" si="14">IF(ISERROR(1-C89/C88),"-",1-C89/C88)</f>
        <v>0.98988687256441577</v>
      </c>
      <c r="D90" s="151">
        <f t="shared" ca="1" si="14"/>
        <v>0.99183510134162689</v>
      </c>
      <c r="E90" s="151">
        <f t="shared" ca="1" si="14"/>
        <v>0.99079468488118472</v>
      </c>
      <c r="F90" s="151">
        <f t="shared" ca="1" si="14"/>
        <v>0.99167660066728269</v>
      </c>
      <c r="G90" s="151">
        <f t="shared" ca="1" si="14"/>
        <v>0.99022803566836481</v>
      </c>
      <c r="H90" s="151">
        <f t="shared" ca="1" si="14"/>
        <v>0.98866454623155708</v>
      </c>
      <c r="I90" s="151">
        <f t="shared" ca="1" si="14"/>
        <v>0.98223262513503784</v>
      </c>
      <c r="J90" s="151">
        <f t="shared" ca="1" si="14"/>
        <v>0.97544651111193281</v>
      </c>
      <c r="K90" s="151">
        <f t="shared" ca="1" si="14"/>
        <v>0.97094310094272829</v>
      </c>
      <c r="L90" s="151">
        <f t="shared" ca="1" si="14"/>
        <v>0.97363754849660522</v>
      </c>
      <c r="M90" s="151">
        <f t="shared" ca="1" si="14"/>
        <v>0.97409228751741661</v>
      </c>
      <c r="N90" s="160">
        <f t="shared" ca="1" si="14"/>
        <v>0.98431632885919962</v>
      </c>
      <c r="O90" s="54"/>
      <c r="R90" s="50" t="s">
        <v>251</v>
      </c>
    </row>
    <row r="91" spans="1:21" ht="15" customHeight="1" x14ac:dyDescent="0.2">
      <c r="A91" s="132"/>
      <c r="B91" s="152" t="s">
        <v>733</v>
      </c>
      <c r="C91" s="147">
        <f ca="1">IF(C88="-","-",IF(ISNUMBER(FIND("ED only",$B$4)),SUMIFS(Sum_over_12,site_level_range,LEFT($B$4,LEN($B$4)-10),date_range,C80,inputdata!$E:$E,"*- ED*"),SUMIFS(Sum_over_12,site_level_range,$B$4,date_range,C80)))</f>
        <v>301</v>
      </c>
      <c r="D91" s="147">
        <f ca="1">IF(D88="-","-",IF(ISNUMBER(FIND("ED only",$B$4)),SUMIFS(Sum_over_12,site_level_range,LEFT($B$4,LEN($B$4)-10),date_range,D80,inputdata!$E:$E,"*- ED*"),SUMIFS(Sum_over_12,site_level_range,$B$4,date_range,D80)))</f>
        <v>204</v>
      </c>
      <c r="E91" s="147">
        <f ca="1">IF(E88="-","-",IF(ISNUMBER(FIND("ED only",$B$4)),SUMIFS(Sum_over_12,site_level_range,LEFT($B$4,LEN($B$4)-10),date_range,E80,inputdata!$E:$E,"*- ED*"),SUMIFS(Sum_over_12,site_level_range,$B$4,date_range,E80)))</f>
        <v>214</v>
      </c>
      <c r="F91" s="147">
        <f ca="1">IF(F88="-","-",IF(ISNUMBER(FIND("ED only",$B$4)),SUMIFS(Sum_over_12,site_level_range,LEFT($B$4,LEN($B$4)-10),date_range,F80,inputdata!$E:$E,"*- ED*"),SUMIFS(Sum_over_12,site_level_range,$B$4,date_range,F80)))</f>
        <v>268</v>
      </c>
      <c r="G91" s="147">
        <f ca="1">IF(G88="-","-",IF(ISNUMBER(FIND("ED only",$B$4)),SUMIFS(Sum_over_12,site_level_range,LEFT($B$4,LEN($B$4)-10),date_range,G80,inputdata!$E:$E,"*- ED*"),SUMIFS(Sum_over_12,site_level_range,$B$4,date_range,G80)))</f>
        <v>354</v>
      </c>
      <c r="H91" s="147">
        <f ca="1">IF(H88="-","-",IF(ISNUMBER(FIND("ED only",$B$4)),SUMIFS(Sum_over_12,site_level_range,LEFT($B$4,LEN($B$4)-10),date_range,H80,inputdata!$E:$E,"*- ED*"),SUMIFS(Sum_over_12,site_level_range,$B$4,date_range,H80)))</f>
        <v>369</v>
      </c>
      <c r="I91" s="147">
        <f ca="1">IF(I88="-","-",IF(ISNUMBER(FIND("ED only",$B$4)),SUMIFS(Sum_over_12,site_level_range,LEFT($B$4,LEN($B$4)-10),date_range,I80,inputdata!$E:$E,"*- ED*"),SUMIFS(Sum_over_12,site_level_range,$B$4,date_range,I80)))</f>
        <v>657</v>
      </c>
      <c r="J91" s="147">
        <f ca="1">IF(J88="-","-",IF(ISNUMBER(FIND("ED only",$B$4)),SUMIFS(Sum_over_12,site_level_range,LEFT($B$4,LEN($B$4)-10),date_range,J80,inputdata!$E:$E,"*- ED*"),SUMIFS(Sum_over_12,site_level_range,$B$4,date_range,J80)))</f>
        <v>987</v>
      </c>
      <c r="K91" s="147">
        <f ca="1">IF(K88="-","-",IF(ISNUMBER(FIND("ED only",$B$4)),SUMIFS(Sum_over_12,site_level_range,LEFT($B$4,LEN($B$4)-10),date_range,K80,inputdata!$E:$E,"*- ED*"),SUMIFS(Sum_over_12,site_level_range,$B$4,date_range,K80)))</f>
        <v>1107</v>
      </c>
      <c r="L91" s="147">
        <f ca="1">IF(L88="-","-",IF(ISNUMBER(FIND("ED only",$B$4)),SUMIFS(Sum_over_12,site_level_range,LEFT($B$4,LEN($B$4)-10),date_range,L80,inputdata!$E:$E,"*- ED*"),SUMIFS(Sum_over_12,site_level_range,$B$4,date_range,L80)))</f>
        <v>1213</v>
      </c>
      <c r="M91" s="147">
        <f ca="1">IF(M88="-","-",IF(ISNUMBER(FIND("ED only",$B$4)),SUMIFS(Sum_over_12,site_level_range,LEFT($B$4,LEN($B$4)-10),date_range,M80,inputdata!$E:$E,"*- ED*"),SUMIFS(Sum_over_12,site_level_range,$B$4,date_range,M80)))</f>
        <v>1093</v>
      </c>
      <c r="N91" s="156">
        <f ca="1">IF(N88="-","-",IF(ISNUMBER(FIND("ED only",$B$4)),SUMIFS(Sum_over_12,site_level_range,LEFT($B$4,LEN($B$4)-10),date_range,N80,inputdata!$E:$E,"*- ED*"),SUMIFS(Sum_over_12,site_level_range,$B$4,date_range,N80)))</f>
        <v>478</v>
      </c>
      <c r="R91" s="50" t="s">
        <v>345</v>
      </c>
    </row>
    <row r="92" spans="1:21" ht="15" customHeight="1" x14ac:dyDescent="0.2">
      <c r="A92" s="132"/>
      <c r="B92" s="154" t="s">
        <v>734</v>
      </c>
      <c r="C92" s="151">
        <f t="shared" ref="C92:N92" ca="1" si="15">IF(ISERROR(1-C91/C88),"-",1-C91/C88)</f>
        <v>0.99781160937590885</v>
      </c>
      <c r="D92" s="151">
        <f t="shared" ca="1" si="15"/>
        <v>0.99856780797393974</v>
      </c>
      <c r="E92" s="151">
        <f t="shared" ca="1" si="15"/>
        <v>0.99846458500746182</v>
      </c>
      <c r="F92" s="151">
        <f t="shared" ca="1" si="15"/>
        <v>0.9981096008295185</v>
      </c>
      <c r="G92" s="151">
        <f t="shared" ca="1" si="15"/>
        <v>0.99753963344708474</v>
      </c>
      <c r="H92" s="151">
        <f t="shared" ca="1" si="15"/>
        <v>0.99741484397987923</v>
      </c>
      <c r="I92" s="151">
        <f t="shared" ca="1" si="15"/>
        <v>0.99526827511703275</v>
      </c>
      <c r="J92" s="151">
        <f t="shared" ca="1" si="15"/>
        <v>0.99270051399622827</v>
      </c>
      <c r="K92" s="151">
        <f t="shared" ca="1" si="15"/>
        <v>0.99175019562544253</v>
      </c>
      <c r="L92" s="151">
        <f t="shared" ca="1" si="15"/>
        <v>0.99080837778855479</v>
      </c>
      <c r="M92" s="151">
        <f t="shared" ca="1" si="15"/>
        <v>0.99104171789197604</v>
      </c>
      <c r="N92" s="160">
        <f t="shared" ca="1" si="15"/>
        <v>0.99504180237744544</v>
      </c>
      <c r="R92" s="50" t="s">
        <v>308</v>
      </c>
    </row>
    <row r="93" spans="1:21" ht="14.45" customHeight="1" x14ac:dyDescent="0.2">
      <c r="B93" s="127"/>
      <c r="C93" s="127"/>
      <c r="D93" s="127"/>
      <c r="E93" s="127"/>
      <c r="F93" s="127"/>
      <c r="G93" s="127"/>
      <c r="H93" s="127"/>
      <c r="I93" s="127"/>
      <c r="J93" s="127"/>
      <c r="K93" s="127"/>
      <c r="L93" s="127"/>
      <c r="M93" s="127"/>
      <c r="N93" s="127"/>
      <c r="R93" s="50" t="s">
        <v>249</v>
      </c>
    </row>
    <row r="94" spans="1:21" ht="15" customHeight="1" x14ac:dyDescent="0.25">
      <c r="A94" s="132"/>
      <c r="B94" s="153" t="s">
        <v>723</v>
      </c>
      <c r="C94" s="149">
        <v>43220</v>
      </c>
      <c r="D94" s="149">
        <v>43251</v>
      </c>
      <c r="E94" s="149">
        <v>43281</v>
      </c>
      <c r="F94" s="149">
        <v>43312</v>
      </c>
      <c r="G94" s="149">
        <v>43343</v>
      </c>
      <c r="H94" s="149">
        <v>43373</v>
      </c>
      <c r="I94" s="149">
        <v>43404</v>
      </c>
      <c r="J94" s="149">
        <v>43434</v>
      </c>
      <c r="K94" s="149">
        <v>43465</v>
      </c>
      <c r="L94" s="149">
        <v>43496</v>
      </c>
      <c r="M94" s="149">
        <v>43524</v>
      </c>
      <c r="N94" s="158">
        <v>43555</v>
      </c>
      <c r="R94" s="50" t="s">
        <v>346</v>
      </c>
    </row>
    <row r="95" spans="1:21" ht="15" customHeight="1" x14ac:dyDescent="0.2">
      <c r="A95" s="132"/>
      <c r="B95" s="152" t="s">
        <v>724</v>
      </c>
      <c r="C95" s="147">
        <f ca="1">IF(IF(ISNUMBER(FIND("ED only",$B$4)),SUMIFS(sum_range,site_level_range,LEFT($B$4,LEN($B$4)-10),date_range,C94,inputdata!$E:$E,"*- ED*"),SUMIFS(sum_range,site_level_range,$B$4,date_range,C94))=0,"-",IF(ISNUMBER(FIND("ED only",$B$4)),SUMIFS(sum_range,site_level_range,LEFT($B$4,LEN($B$4)-10),date_range,C94,inputdata!$E:$E,"*- ED*"),SUMIFS(sum_range,site_level_range,$B$4,date_range,C94)))</f>
        <v>137763</v>
      </c>
      <c r="D95" s="147">
        <f ca="1">IF(IF(ISNUMBER(FIND("ED only",$B$4)),SUMIFS(sum_range,site_level_range,LEFT($B$4,LEN($B$4)-10),date_range,D94,inputdata!$E:$E,"*- ED*"),SUMIFS(sum_range,site_level_range,$B$4,date_range,D94))=0,"-",IF(ISNUMBER(FIND("ED only",$B$4)),SUMIFS(sum_range,site_level_range,LEFT($B$4,LEN($B$4)-10),date_range,D94,inputdata!$E:$E,"*- ED*"),SUMIFS(sum_range,site_level_range,$B$4,date_range,D94)))</f>
        <v>153083</v>
      </c>
      <c r="E95" s="147">
        <f ca="1">IF(IF(ISNUMBER(FIND("ED only",$B$4)),SUMIFS(sum_range,site_level_range,LEFT($B$4,LEN($B$4)-10),date_range,E94,inputdata!$E:$E,"*- ED*"),SUMIFS(sum_range,site_level_range,$B$4,date_range,E94))=0,"-",IF(ISNUMBER(FIND("ED only",$B$4)),SUMIFS(sum_range,site_level_range,LEFT($B$4,LEN($B$4)-10),date_range,E94,inputdata!$E:$E,"*- ED*"),SUMIFS(sum_range,site_level_range,$B$4,date_range,E94)))</f>
        <v>146639</v>
      </c>
      <c r="F95" s="147">
        <f ca="1">IF(IF(ISNUMBER(FIND("ED only",$B$4)),SUMIFS(sum_range,site_level_range,LEFT($B$4,LEN($B$4)-10),date_range,F94,inputdata!$E:$E,"*- ED*"),SUMIFS(sum_range,site_level_range,$B$4,date_range,F94))=0,"-",IF(ISNUMBER(FIND("ED only",$B$4)),SUMIFS(sum_range,site_level_range,LEFT($B$4,LEN($B$4)-10),date_range,F94,inputdata!$E:$E,"*- ED*"),SUMIFS(sum_range,site_level_range,$B$4,date_range,F94)))</f>
        <v>145641</v>
      </c>
      <c r="G95" s="147">
        <f ca="1">IF(IF(ISNUMBER(FIND("ED only",$B$4)),SUMIFS(sum_range,site_level_range,LEFT($B$4,LEN($B$4)-10),date_range,G94,inputdata!$E:$E,"*- ED*"),SUMIFS(sum_range,site_level_range,$B$4,date_range,G94))=0,"-",IF(ISNUMBER(FIND("ED only",$B$4)),SUMIFS(sum_range,site_level_range,LEFT($B$4,LEN($B$4)-10),date_range,G94,inputdata!$E:$E,"*- ED*"),SUMIFS(sum_range,site_level_range,$B$4,date_range,G94)))</f>
        <v>144878</v>
      </c>
      <c r="H95" s="147">
        <f ca="1">IF(IF(ISNUMBER(FIND("ED only",$B$4)),SUMIFS(sum_range,site_level_range,LEFT($B$4,LEN($B$4)-10),date_range,H94,inputdata!$E:$E,"*- ED*"),SUMIFS(sum_range,site_level_range,$B$4,date_range,H94))=0,"-",IF(ISNUMBER(FIND("ED only",$B$4)),SUMIFS(sum_range,site_level_range,LEFT($B$4,LEN($B$4)-10),date_range,H94,inputdata!$E:$E,"*- ED*"),SUMIFS(sum_range,site_level_range,$B$4,date_range,H94)))</f>
        <v>140596</v>
      </c>
      <c r="I95" s="147">
        <f ca="1">IF(IF(ISNUMBER(FIND("ED only",$B$4)),SUMIFS(sum_range,site_level_range,LEFT($B$4,LEN($B$4)-10),date_range,I94,inputdata!$E:$E,"*- ED*"),SUMIFS(sum_range,site_level_range,$B$4,date_range,I94))=0,"-",IF(ISNUMBER(FIND("ED only",$B$4)),SUMIFS(sum_range,site_level_range,LEFT($B$4,LEN($B$4)-10),date_range,I94,inputdata!$E:$E,"*- ED*"),SUMIFS(sum_range,site_level_range,$B$4,date_range,I94)))</f>
        <v>138165</v>
      </c>
      <c r="J95" s="147">
        <f ca="1">IF(IF(ISNUMBER(FIND("ED only",$B$4)),SUMIFS(sum_range,site_level_range,LEFT($B$4,LEN($B$4)-10),date_range,J94,inputdata!$E:$E,"*- ED*"),SUMIFS(sum_range,site_level_range,$B$4,date_range,J94))=0,"-",IF(ISNUMBER(FIND("ED only",$B$4)),SUMIFS(sum_range,site_level_range,LEFT($B$4,LEN($B$4)-10),date_range,J94,inputdata!$E:$E,"*- ED*"),SUMIFS(sum_range,site_level_range,$B$4,date_range,J94)))</f>
        <v>135395</v>
      </c>
      <c r="K95" s="147">
        <f ca="1">IF(IF(ISNUMBER(FIND("ED only",$B$4)),SUMIFS(sum_range,site_level_range,LEFT($B$4,LEN($B$4)-10),date_range,K94,inputdata!$E:$E,"*- ED*"),SUMIFS(sum_range,site_level_range,$B$4,date_range,K94))=0,"-",IF(ISNUMBER(FIND("ED only",$B$4)),SUMIFS(sum_range,site_level_range,LEFT($B$4,LEN($B$4)-10),date_range,K94,inputdata!$E:$E,"*- ED*"),SUMIFS(sum_range,site_level_range,$B$4,date_range,K94)))</f>
        <v>138127</v>
      </c>
      <c r="L95" s="147">
        <f ca="1">IF(IF(ISNUMBER(FIND("ED only",$B$4)),SUMIFS(sum_range,site_level_range,LEFT($B$4,LEN($B$4)-10),date_range,L94,inputdata!$E:$E,"*- ED*"),SUMIFS(sum_range,site_level_range,$B$4,date_range,L94))=0,"-",IF(ISNUMBER(FIND("ED only",$B$4)),SUMIFS(sum_range,site_level_range,LEFT($B$4,LEN($B$4)-10),date_range,L94,inputdata!$E:$E,"*- ED*"),SUMIFS(sum_range,site_level_range,$B$4,date_range,L94)))</f>
        <v>138885</v>
      </c>
      <c r="M95" s="147">
        <f ca="1">IF(IF(ISNUMBER(FIND("ED only",$B$4)),SUMIFS(sum_range,site_level_range,LEFT($B$4,LEN($B$4)-10),date_range,M94,inputdata!$E:$E,"*- ED*"),SUMIFS(sum_range,site_level_range,$B$4,date_range,M94))=0,"-",IF(ISNUMBER(FIND("ED only",$B$4)),SUMIFS(sum_range,site_level_range,LEFT($B$4,LEN($B$4)-10),date_range,M94,inputdata!$E:$E,"*- ED*"),SUMIFS(sum_range,site_level_range,$B$4,date_range,M94)))</f>
        <v>130047</v>
      </c>
      <c r="N95" s="156">
        <f ca="1">IF(IF(ISNUMBER(FIND("ED only",$B$4)),SUMIFS(sum_range,site_level_range,LEFT($B$4,LEN($B$4)-10),date_range,N94,inputdata!$E:$E,"*- ED*"),SUMIFS(sum_range,site_level_range,$B$4,date_range,N94))=0,"-",IF(ISNUMBER(FIND("ED only",$B$4)),SUMIFS(sum_range,site_level_range,LEFT($B$4,LEN($B$4)-10),date_range,N94,inputdata!$E:$E,"*- ED*"),SUMIFS(sum_range,site_level_range,$B$4,date_range,N94)))</f>
        <v>144564</v>
      </c>
      <c r="R95" s="40" t="s">
        <v>386</v>
      </c>
    </row>
    <row r="96" spans="1:21" ht="15" customHeight="1" x14ac:dyDescent="0.2">
      <c r="A96" s="132"/>
      <c r="B96" s="152" t="s">
        <v>725</v>
      </c>
      <c r="C96" s="147">
        <f ca="1">IF(AND(MONTH(C94)=3,ISNUMBER($N95),ISNUMBER($C95)),SUM($C95:C95),IF(AND(MONTH(C94)&lt;&gt;3,ISNUMBER(C95),ISNUMBER(D109)),SUM($C95:C95,D109:$N109),"-"))</f>
        <v>1647426</v>
      </c>
      <c r="D96" s="147">
        <f ca="1">IF(AND(MONTH(D94)=3,ISNUMBER($N95),ISNUMBER($C95)),SUM($C95:D95),IF(AND(MONTH(D94)&lt;&gt;3,ISNUMBER(D95),ISNUMBER(E109)),SUM($C95:D95,E109:$N109),"-"))</f>
        <v>1650090</v>
      </c>
      <c r="E96" s="147">
        <f ca="1">IF(AND(MONTH(E94)=3,ISNUMBER($N95),ISNUMBER($C95)),SUM($C95:E95),IF(AND(MONTH(E94)&lt;&gt;3,ISNUMBER(E95),ISNUMBER(F109)),SUM($C95:E95,F109:$N109),"-"))</f>
        <v>1657928</v>
      </c>
      <c r="F96" s="147">
        <f ca="1">IF(AND(MONTH(F94)=3,ISNUMBER($N95),ISNUMBER($C95)),SUM($C95:F95),IF(AND(MONTH(F94)&lt;&gt;3,ISNUMBER(F95),ISNUMBER(G109)),SUM($C95:F95,G109:$N109),"-"))</f>
        <v>1665942</v>
      </c>
      <c r="G96" s="147">
        <f ca="1">IF(AND(MONTH(G94)=3,ISNUMBER($N95),ISNUMBER($C95)),SUM($C95:G95),IF(AND(MONTH(G94)&lt;&gt;3,ISNUMBER(G95),ISNUMBER(H109)),SUM($C95:G95,H109:$N109),"-"))</f>
        <v>1669472</v>
      </c>
      <c r="H96" s="147">
        <f ca="1">IF(AND(MONTH(H94)=3,ISNUMBER($N95),ISNUMBER($C95)),SUM($C95:H95),IF(AND(MONTH(H94)&lt;&gt;3,ISNUMBER(H95),ISNUMBER(I109)),SUM($C95:H95,I109:$N109),"-"))</f>
        <v>1669133</v>
      </c>
      <c r="I96" s="147">
        <f ca="1">IF(AND(MONTH(I94)=3,ISNUMBER($N95),ISNUMBER($C95)),SUM($C95:I95),IF(AND(MONTH(I94)&lt;&gt;3,ISNUMBER(I95),ISNUMBER(J109)),SUM($C95:I95,J109:$N109),"-"))</f>
        <v>1669469</v>
      </c>
      <c r="J96" s="147">
        <f ca="1">IF(AND(MONTH(J94)=3,ISNUMBER($N95),ISNUMBER($C95)),SUM($C95:J95),IF(AND(MONTH(J94)&lt;&gt;3,ISNUMBER(J95),ISNUMBER(K109)),SUM($C95:J95,K109:$N109),"-"))</f>
        <v>1672650</v>
      </c>
      <c r="K96" s="147">
        <f ca="1">IF(AND(MONTH(K94)=3,ISNUMBER($N95),ISNUMBER($C95)),SUM($C95:K95),IF(AND(MONTH(K94)&lt;&gt;3,ISNUMBER(K95),ISNUMBER(L109)),SUM($C95:K95,L109:$N109),"-"))</f>
        <v>1668799</v>
      </c>
      <c r="L96" s="147">
        <f ca="1">IF(AND(MONTH(L94)=3,ISNUMBER($N95),ISNUMBER($C95)),SUM($C95:L95),IF(AND(MONTH(L94)&lt;&gt;3,ISNUMBER(L95),ISNUMBER(M109)),SUM($C95:L95,M109:$N109),"-"))</f>
        <v>1678643</v>
      </c>
      <c r="M96" s="147">
        <f ca="1">IF(AND(MONTH(M94)=3,ISNUMBER($N95),ISNUMBER($C95)),SUM($C95:M95),IF(AND(MONTH(M94)&lt;&gt;3,ISNUMBER(M95),ISNUMBER(N109)),SUM($C95:M95,N109:$N109),"-"))</f>
        <v>1687024</v>
      </c>
      <c r="N96" s="156">
        <f ca="1">IF(AND(MONTH(N94)=3,ISNUMBER($N95),ISNUMBER($C95)),SUM($C95:N95),IF(AND(MONTH(N94)&lt;&gt;3,ISNUMBER(N95),ISNUMBER(O109)),SUM($C95:N95,$N109:O109),"-"))</f>
        <v>1693783</v>
      </c>
      <c r="R96" s="50" t="s">
        <v>347</v>
      </c>
    </row>
    <row r="97" spans="1:18" ht="15" customHeight="1" x14ac:dyDescent="0.2">
      <c r="A97" s="132"/>
      <c r="B97" s="154" t="s">
        <v>726</v>
      </c>
      <c r="C97" s="150">
        <f t="shared" ref="C97:N97" ca="1" si="16">IF(ISNUMBER(C96),C96/12,NA())</f>
        <v>137285.5</v>
      </c>
      <c r="D97" s="150">
        <f t="shared" ca="1" si="16"/>
        <v>137507.5</v>
      </c>
      <c r="E97" s="150">
        <f t="shared" ca="1" si="16"/>
        <v>138160.66666666666</v>
      </c>
      <c r="F97" s="150">
        <f t="shared" ca="1" si="16"/>
        <v>138828.5</v>
      </c>
      <c r="G97" s="150">
        <f t="shared" ca="1" si="16"/>
        <v>139122.66666666666</v>
      </c>
      <c r="H97" s="150">
        <f t="shared" ca="1" si="16"/>
        <v>139094.41666666666</v>
      </c>
      <c r="I97" s="150">
        <f t="shared" ca="1" si="16"/>
        <v>139122.41666666666</v>
      </c>
      <c r="J97" s="150">
        <f t="shared" ca="1" si="16"/>
        <v>139387.5</v>
      </c>
      <c r="K97" s="150">
        <f t="shared" ca="1" si="16"/>
        <v>139066.58333333334</v>
      </c>
      <c r="L97" s="150">
        <f t="shared" ca="1" si="16"/>
        <v>139886.91666666666</v>
      </c>
      <c r="M97" s="150">
        <f t="shared" ca="1" si="16"/>
        <v>140585.33333333334</v>
      </c>
      <c r="N97" s="159">
        <f t="shared" ca="1" si="16"/>
        <v>141148.58333333334</v>
      </c>
      <c r="R97" s="50" t="s">
        <v>68</v>
      </c>
    </row>
    <row r="98" spans="1:18" ht="15" customHeight="1" x14ac:dyDescent="0.2">
      <c r="A98" s="132"/>
      <c r="B98" s="152" t="s">
        <v>727</v>
      </c>
      <c r="C98" s="147">
        <f ca="1">IF(C95="-","-",C95-IF(ISNUMBER(FIND("ED only",$B$4)),SUMIFS(sum_over_4_tot,site_level_range,LEFT($B$4,LEN($B$4)-10),date_range,C94,inputdata!$E:$E,"*- ED*"),SUMIFS(sum_over_4_tot,site_level_range,$B$4,date_range,C94)))</f>
        <v>13791</v>
      </c>
      <c r="D98" s="147">
        <f ca="1">IF(D95="-","-",D95-IF(ISNUMBER(FIND("ED only",$B$4)),SUMIFS(sum_over_4_tot,site_level_range,LEFT($B$4,LEN($B$4)-10),date_range,D94,inputdata!$E:$E,"*- ED*"),SUMIFS(sum_over_4_tot,site_level_range,$B$4,date_range,D94)))</f>
        <v>10633</v>
      </c>
      <c r="E98" s="147">
        <f ca="1">IF(E95="-","-",E95-IF(ISNUMBER(FIND("ED only",$B$4)),SUMIFS(sum_over_4_tot,site_level_range,LEFT($B$4,LEN($B$4)-10),date_range,E94,inputdata!$E:$E,"*- ED*"),SUMIFS(sum_over_4_tot,site_level_range,$B$4,date_range,E94)))</f>
        <v>10547</v>
      </c>
      <c r="F98" s="147">
        <f ca="1">IF(F95="-","-",F95-IF(ISNUMBER(FIND("ED only",$B$4)),SUMIFS(sum_over_4_tot,site_level_range,LEFT($B$4,LEN($B$4)-10),date_range,F94,inputdata!$E:$E,"*- ED*"),SUMIFS(sum_over_4_tot,site_level_range,$B$4,date_range,F94)))</f>
        <v>10178</v>
      </c>
      <c r="G98" s="147">
        <f ca="1">IF(G95="-","-",G95-IF(ISNUMBER(FIND("ED only",$B$4)),SUMIFS(sum_over_4_tot,site_level_range,LEFT($B$4,LEN($B$4)-10),date_range,G94,inputdata!$E:$E,"*- ED*"),SUMIFS(sum_over_4_tot,site_level_range,$B$4,date_range,G94)))</f>
        <v>11615</v>
      </c>
      <c r="H98" s="147">
        <f ca="1">IF(H95="-","-",H95-IF(ISNUMBER(FIND("ED only",$B$4)),SUMIFS(sum_over_4_tot,site_level_range,LEFT($B$4,LEN($B$4)-10),date_range,H94,inputdata!$E:$E,"*- ED*"),SUMIFS(sum_over_4_tot,site_level_range,$B$4,date_range,H94)))</f>
        <v>12789</v>
      </c>
      <c r="I98" s="147">
        <f ca="1">IF(I95="-","-",I95-IF(ISNUMBER(FIND("ED only",$B$4)),SUMIFS(sum_over_4_tot,site_level_range,LEFT($B$4,LEN($B$4)-10),date_range,I94,inputdata!$E:$E,"*- ED*"),SUMIFS(sum_over_4_tot,site_level_range,$B$4,date_range,I94)))</f>
        <v>10743</v>
      </c>
      <c r="J98" s="147">
        <f ca="1">IF(J95="-","-",J95-IF(ISNUMBER(FIND("ED only",$B$4)),SUMIFS(sum_over_4_tot,site_level_range,LEFT($B$4,LEN($B$4)-10),date_range,J94,inputdata!$E:$E,"*- ED*"),SUMIFS(sum_over_4_tot,site_level_range,$B$4,date_range,J94)))</f>
        <v>11827</v>
      </c>
      <c r="K98" s="147">
        <f ca="1">IF(K95="-","-",K95-IF(ISNUMBER(FIND("ED only",$B$4)),SUMIFS(sum_over_4_tot,site_level_range,LEFT($B$4,LEN($B$4)-10),date_range,K94,inputdata!$E:$E,"*- ED*"),SUMIFS(sum_over_4_tot,site_level_range,$B$4,date_range,K94)))</f>
        <v>14409</v>
      </c>
      <c r="L98" s="147">
        <f ca="1">IF(L95="-","-",L95-IF(ISNUMBER(FIND("ED only",$B$4)),SUMIFS(sum_over_4_tot,site_level_range,LEFT($B$4,LEN($B$4)-10),date_range,L94,inputdata!$E:$E,"*- ED*"),SUMIFS(sum_over_4_tot,site_level_range,$B$4,date_range,L94)))</f>
        <v>15613</v>
      </c>
      <c r="M98" s="147">
        <f ca="1">IF(M95="-","-",M95-IF(ISNUMBER(FIND("ED only",$B$4)),SUMIFS(sum_over_4_tot,site_level_range,LEFT($B$4,LEN($B$4)-10),date_range,M94,inputdata!$E:$E,"*- ED*"),SUMIFS(sum_over_4_tot,site_level_range,$B$4,date_range,M94)))</f>
        <v>13886</v>
      </c>
      <c r="N98" s="156">
        <f ca="1">IF(N95="-","-",N95-IF(ISNUMBER(FIND("ED only",$B$4)),SUMIFS(sum_over_4_tot,site_level_range,LEFT($B$4,LEN($B$4)-10),date_range,N94,inputdata!$E:$E,"*- ED*"),SUMIFS(sum_over_4_tot,site_level_range,$B$4,date_range,N94)))</f>
        <v>12538</v>
      </c>
      <c r="R98" s="50" t="s">
        <v>348</v>
      </c>
    </row>
    <row r="99" spans="1:18" ht="15" customHeight="1" x14ac:dyDescent="0.2">
      <c r="A99" s="132"/>
      <c r="B99" s="152" t="s">
        <v>728</v>
      </c>
      <c r="C99" s="148">
        <f t="shared" ref="C99:N99" ca="1" si="17">IF(ISERROR(1-C98/C95),NA(),(1-C98/C95))</f>
        <v>0.89989329500664184</v>
      </c>
      <c r="D99" s="148">
        <f t="shared" ca="1" si="17"/>
        <v>0.93054094837441126</v>
      </c>
      <c r="E99" s="148">
        <f t="shared" ca="1" si="17"/>
        <v>0.92807506870614231</v>
      </c>
      <c r="F99" s="148">
        <f t="shared" ca="1" si="17"/>
        <v>0.93011583276687193</v>
      </c>
      <c r="G99" s="148">
        <f t="shared" ca="1" si="17"/>
        <v>0.91982909758555476</v>
      </c>
      <c r="H99" s="148">
        <f t="shared" ca="1" si="17"/>
        <v>0.90903724145779397</v>
      </c>
      <c r="I99" s="148">
        <f t="shared" ca="1" si="17"/>
        <v>0.92224514167842797</v>
      </c>
      <c r="J99" s="148">
        <f t="shared" ca="1" si="17"/>
        <v>0.91264817755456262</v>
      </c>
      <c r="K99" s="148">
        <f t="shared" ca="1" si="17"/>
        <v>0.8956829584368009</v>
      </c>
      <c r="L99" s="148">
        <f t="shared" ca="1" si="17"/>
        <v>0.88758325233106528</v>
      </c>
      <c r="M99" s="148">
        <f t="shared" ca="1" si="17"/>
        <v>0.89322321929763859</v>
      </c>
      <c r="N99" s="157">
        <f t="shared" ca="1" si="17"/>
        <v>0.91327024708779503</v>
      </c>
      <c r="R99" s="50" t="s">
        <v>58</v>
      </c>
    </row>
    <row r="100" spans="1:18" ht="15" customHeight="1" x14ac:dyDescent="0.2">
      <c r="A100" s="132"/>
      <c r="B100" s="154" t="s">
        <v>729</v>
      </c>
      <c r="C100" s="151">
        <f ca="1">IF(ISERROR(C97),NA(),IF(AND(MONTH(C94)=3,ISNUMBER($N95),ISNUMBER($C95)),1-(SUM($C98:$N98)/SUM($C95:$N95)),IF(AND(MONTH(C94)&lt;&gt;3,ISNUMBER(C95),ISNUMBER(D109)),1-(SUM(D112:$N112,$C98:C98)/SUM($C95:C95,D109:$N109)),NA())))</f>
        <v>0.91870165943720683</v>
      </c>
      <c r="D100" s="151">
        <f ca="1">IF(ISERROR(D97),NA(),IF(AND(MONTH(D94)=3,ISNUMBER($N95),ISNUMBER($C95)),1-(SUM($C98:$N98)/SUM($C95:$N95)),IF(AND(MONTH(D94)&lt;&gt;3,ISNUMBER(D95),ISNUMBER(E109)),1-(SUM(E112:$N112,$C98:D98)/SUM($C95:D95,E109:$N109)),NA())))</f>
        <v>0.91789841766206692</v>
      </c>
      <c r="E100" s="151">
        <f ca="1">IF(ISERROR(E97),NA(),IF(AND(MONTH(E94)=3,ISNUMBER($N95),ISNUMBER($C95)),1-(SUM($C98:$N98)/SUM($C95:$N95)),IF(AND(MONTH(E94)&lt;&gt;3,ISNUMBER(E95),ISNUMBER(F109)),1-(SUM(F112:$N112,$C98:E98)/SUM($C95:E95,F109:$N109)),NA())))</f>
        <v>0.91573277005997844</v>
      </c>
      <c r="F100" s="151">
        <f ca="1">IF(ISERROR(F97),NA(),IF(AND(MONTH(F94)=3,ISNUMBER($N95),ISNUMBER($C95)),1-(SUM($C98:$N98)/SUM($C95:$N95)),IF(AND(MONTH(F94)&lt;&gt;3,ISNUMBER(F95),ISNUMBER(G109)),1-(SUM(G112:$N112,$C98:F98)/SUM($C95:F95,G109:$N109)),NA())))</f>
        <v>0.91354560963106757</v>
      </c>
      <c r="G100" s="151">
        <f ca="1">IF(ISERROR(G97),NA(),IF(AND(MONTH(G94)=3,ISNUMBER($N95),ISNUMBER($C95)),1-(SUM($C98:$N98)/SUM($C95:$N95)),IF(AND(MONTH(G94)&lt;&gt;3,ISNUMBER(G95),ISNUMBER(H109)),1-(SUM(H112:$N112,$C98:G98)/SUM($C95:G95,H109:$N109)),NA())))</f>
        <v>0.910967659235974</v>
      </c>
      <c r="H100" s="151">
        <f ca="1">IF(ISERROR(H97),NA(),IF(AND(MONTH(H94)=3,ISNUMBER($N95),ISNUMBER($C95)),1-(SUM($C98:$N98)/SUM($C95:$N95)),IF(AND(MONTH(H94)&lt;&gt;3,ISNUMBER(H95),ISNUMBER(I109)),1-(SUM(I112:$N112,$C98:H98)/SUM($C95:H95,I109:$N109)),NA())))</f>
        <v>0.90878378175975194</v>
      </c>
      <c r="I100" s="151">
        <f ca="1">IF(ISERROR(I97),NA(),IF(AND(MONTH(I94)=3,ISNUMBER($N95),ISNUMBER($C95)),1-(SUM($C98:$N98)/SUM($C95:$N95)),IF(AND(MONTH(I94)&lt;&gt;3,ISNUMBER(I95),ISNUMBER(J109)),1-(SUM(J112:$N112,$C98:I98)/SUM($C95:I95,J109:$N109)),NA())))</f>
        <v>0.90696502900023901</v>
      </c>
      <c r="J100" s="151">
        <f ca="1">IF(ISERROR(J97),NA(),IF(AND(MONTH(J94)=3,ISNUMBER($N95),ISNUMBER($C95)),1-(SUM($C98:$N98)/SUM($C95:$N95)),IF(AND(MONTH(J94)&lt;&gt;3,ISNUMBER(J95),ISNUMBER(K109)),1-(SUM(K112:$N112,$C98:J98)/SUM($C95:J95,K109:$N109)),NA())))</f>
        <v>0.90538307476160584</v>
      </c>
      <c r="K100" s="151">
        <f ca="1">IF(ISERROR(K97),NA(),IF(AND(MONTH(K94)=3,ISNUMBER($N95),ISNUMBER($C95)),1-(SUM($C98:$N98)/SUM($C95:$N95)),IF(AND(MONTH(K94)&lt;&gt;3,ISNUMBER(K95),ISNUMBER(L109)),1-(SUM(L112:$N112,$C98:K98)/SUM($C95:K95,L109:$N109)),NA())))</f>
        <v>0.90924431282617024</v>
      </c>
      <c r="L100" s="151">
        <f ca="1">IF(ISERROR(L97),NA(),IF(AND(MONTH(L94)=3,ISNUMBER($N95),ISNUMBER($C95)),1-(SUM($C98:$N98)/SUM($C95:$N95)),IF(AND(MONTH(L94)&lt;&gt;3,ISNUMBER(L95),ISNUMBER(M109)),1-(SUM(M112:$N112,$C98:L98)/SUM($C95:L95,M109:$N109)),NA())))</f>
        <v>0.91034543973912263</v>
      </c>
      <c r="M100" s="151">
        <f ca="1">IF(ISERROR(M97),NA(),IF(AND(MONTH(M94)=3,ISNUMBER($N95),ISNUMBER($C95)),1-(SUM($C98:$N98)/SUM($C95:$N95)),IF(AND(MONTH(M94)&lt;&gt;3,ISNUMBER(M95),ISNUMBER(N109)),1-(SUM(N112:$N112,$C98:M98)/SUM($C95:M95,N109:$N109)),NA())))</f>
        <v>0.90952173768719358</v>
      </c>
      <c r="N100" s="160">
        <f ca="1">IF(ISERROR(N97),NA(),IF(AND(MONTH(N94)=3,ISNUMBER($N95),ISNUMBER($C95)),1-(SUM($C98:$N98)/SUM($C95:$N95)),IF(AND(MONTH(N94)&lt;&gt;3,ISNUMBER(N95),ISNUMBER(O109)),1-(SUM($N112:O112,$C98:N98)/SUM($C95:N95,$N109:O109)),NA())))</f>
        <v>0.91228569421230465</v>
      </c>
      <c r="R100" s="50" t="s">
        <v>349</v>
      </c>
    </row>
    <row r="101" spans="1:18" ht="14.45" customHeight="1" x14ac:dyDescent="0.25">
      <c r="A101" s="132"/>
      <c r="B101" s="155" t="s">
        <v>730</v>
      </c>
      <c r="C101" s="127"/>
      <c r="D101" s="127"/>
      <c r="E101" s="127"/>
      <c r="F101" s="127"/>
      <c r="G101" s="127"/>
      <c r="H101" s="127"/>
      <c r="I101" s="127"/>
      <c r="J101" s="127"/>
      <c r="K101" s="127"/>
      <c r="L101" s="127"/>
      <c r="M101" s="127"/>
      <c r="N101" s="161"/>
      <c r="R101" s="50" t="s">
        <v>350</v>
      </c>
    </row>
    <row r="102" spans="1:18" ht="15" customHeight="1" x14ac:dyDescent="0.2">
      <c r="A102" s="132"/>
      <c r="B102" s="154" t="s">
        <v>724</v>
      </c>
      <c r="C102" s="150">
        <f ca="1">IF(IF(ISNUMBER(FIND("ED only",$B$4)),SUMIFS(Sum_total_epi,site_level_range,LEFT($B$4,LEN($B$4)-10),date_range,C94,inputdata!$E:$E,"*- ED*"),SUMIFS(Sum_total_epi,site_level_range,$B$4,date_range,C94))=0,"-",IF(ISNUMBER(FIND("ED only",$B$4)),SUMIFS(Sum_total_epi,site_level_range,LEFT($B$4,LEN($B$4)-10),date_range,C94,inputdata!$E:$E,"*- ED*"),SUMIFS(Sum_total_epi,site_level_range,$B$4,date_range,C94)))</f>
        <v>130050</v>
      </c>
      <c r="D102" s="150">
        <f ca="1">IF(IF(ISNUMBER(FIND("ED only",$B$4)),SUMIFS(Sum_total_epi,site_level_range,LEFT($B$4,LEN($B$4)-10),date_range,D94,inputdata!$E:$E,"*- ED*"),SUMIFS(Sum_total_epi,site_level_range,$B$4,date_range,D94))=0,"-",IF(ISNUMBER(FIND("ED only",$B$4)),SUMIFS(Sum_total_epi,site_level_range,LEFT($B$4,LEN($B$4)-10),date_range,D94,inputdata!$E:$E,"*- ED*"),SUMIFS(Sum_total_epi,site_level_range,$B$4,date_range,D94)))</f>
        <v>143943</v>
      </c>
      <c r="E102" s="150">
        <f ca="1">IF(IF(ISNUMBER(FIND("ED only",$B$4)),SUMIFS(Sum_total_epi,site_level_range,LEFT($B$4,LEN($B$4)-10),date_range,E94,inputdata!$E:$E,"*- ED*"),SUMIFS(Sum_total_epi,site_level_range,$B$4,date_range,E94))=0,"-",IF(ISNUMBER(FIND("ED only",$B$4)),SUMIFS(Sum_total_epi,site_level_range,LEFT($B$4,LEN($B$4)-10),date_range,E94,inputdata!$E:$E,"*- ED*"),SUMIFS(Sum_total_epi,site_level_range,$B$4,date_range,E94)))</f>
        <v>137458</v>
      </c>
      <c r="F102" s="150">
        <f ca="1">IF(IF(ISNUMBER(FIND("ED only",$B$4)),SUMIFS(Sum_total_epi,site_level_range,LEFT($B$4,LEN($B$4)-10),date_range,F94,inputdata!$E:$E,"*- ED*"),SUMIFS(Sum_total_epi,site_level_range,$B$4,date_range,F94))=0,"-",IF(ISNUMBER(FIND("ED only",$B$4)),SUMIFS(Sum_total_epi,site_level_range,LEFT($B$4,LEN($B$4)-10),date_range,F94,inputdata!$E:$E,"*- ED*"),SUMIFS(Sum_total_epi,site_level_range,$B$4,date_range,F94)))</f>
        <v>136693</v>
      </c>
      <c r="G102" s="150">
        <f ca="1">IF(IF(ISNUMBER(FIND("ED only",$B$4)),SUMIFS(Sum_total_epi,site_level_range,LEFT($B$4,LEN($B$4)-10),date_range,G94,inputdata!$E:$E,"*- ED*"),SUMIFS(Sum_total_epi,site_level_range,$B$4,date_range,G94))=0,"-",IF(ISNUMBER(FIND("ED only",$B$4)),SUMIFS(Sum_total_epi,site_level_range,LEFT($B$4,LEN($B$4)-10),date_range,G94,inputdata!$E:$E,"*- ED*"),SUMIFS(Sum_total_epi,site_level_range,$B$4,date_range,G94)))</f>
        <v>136202</v>
      </c>
      <c r="H102" s="150">
        <f ca="1">IF(IF(ISNUMBER(FIND("ED only",$B$4)),SUMIFS(Sum_total_epi,site_level_range,LEFT($B$4,LEN($B$4)-10),date_range,H94,inputdata!$E:$E,"*- ED*"),SUMIFS(Sum_total_epi,site_level_range,$B$4,date_range,H94))=0,"-",IF(ISNUMBER(FIND("ED only",$B$4)),SUMIFS(Sum_total_epi,site_level_range,LEFT($B$4,LEN($B$4)-10),date_range,H94,inputdata!$E:$E,"*- ED*"),SUMIFS(Sum_total_epi,site_level_range,$B$4,date_range,H94)))</f>
        <v>132796</v>
      </c>
      <c r="I102" s="150">
        <f ca="1">IF(IF(ISNUMBER(FIND("ED only",$B$4)),SUMIFS(Sum_total_epi,site_level_range,LEFT($B$4,LEN($B$4)-10),date_range,I94,inputdata!$E:$E,"*- ED*"),SUMIFS(Sum_total_epi,site_level_range,$B$4,date_range,I94))=0,"-",IF(ISNUMBER(FIND("ED only",$B$4)),SUMIFS(Sum_total_epi,site_level_range,LEFT($B$4,LEN($B$4)-10),date_range,I94,inputdata!$E:$E,"*- ED*"),SUMIFS(Sum_total_epi,site_level_range,$B$4,date_range,I94)))</f>
        <v>131022</v>
      </c>
      <c r="J102" s="150">
        <f ca="1">IF(IF(ISNUMBER(FIND("ED only",$B$4)),SUMIFS(Sum_total_epi,site_level_range,LEFT($B$4,LEN($B$4)-10),date_range,J94,inputdata!$E:$E,"*- ED*"),SUMIFS(Sum_total_epi,site_level_range,$B$4,date_range,J94))=0,"-",IF(ISNUMBER(FIND("ED only",$B$4)),SUMIFS(Sum_total_epi,site_level_range,LEFT($B$4,LEN($B$4)-10),date_range,J94,inputdata!$E:$E,"*- ED*"),SUMIFS(Sum_total_epi,site_level_range,$B$4,date_range,J94)))</f>
        <v>128697</v>
      </c>
      <c r="K102" s="150">
        <f ca="1">IF(IF(ISNUMBER(FIND("ED only",$B$4)),SUMIFS(Sum_total_epi,site_level_range,LEFT($B$4,LEN($B$4)-10),date_range,K94,inputdata!$E:$E,"*- ED*"),SUMIFS(Sum_total_epi,site_level_range,$B$4,date_range,K94))=0,"-",IF(ISNUMBER(FIND("ED only",$B$4)),SUMIFS(Sum_total_epi,site_level_range,LEFT($B$4,LEN($B$4)-10),date_range,K94,inputdata!$E:$E,"*- ED*"),SUMIFS(Sum_total_epi,site_level_range,$B$4,date_range,K94)))</f>
        <v>131081</v>
      </c>
      <c r="L102" s="150">
        <f ca="1">IF(IF(ISNUMBER(FIND("ED only",$B$4)),SUMIFS(Sum_total_epi,site_level_range,LEFT($B$4,LEN($B$4)-10),date_range,L94,inputdata!$E:$E,"*- ED*"),SUMIFS(Sum_total_epi,site_level_range,$B$4,date_range,L94))=0,"-",IF(ISNUMBER(FIND("ED only",$B$4)),SUMIFS(Sum_total_epi,site_level_range,LEFT($B$4,LEN($B$4)-10),date_range,L94,inputdata!$E:$E,"*- ED*"),SUMIFS(Sum_total_epi,site_level_range,$B$4,date_range,L94)))</f>
        <v>131960</v>
      </c>
      <c r="M102" s="150">
        <f ca="1">IF(IF(ISNUMBER(FIND("ED only",$B$4)),SUMIFS(Sum_total_epi,site_level_range,LEFT($B$4,LEN($B$4)-10),date_range,M94,inputdata!$E:$E,"*- ED*"),SUMIFS(Sum_total_epi,site_level_range,$B$4,date_range,M94))=0,"-",IF(ISNUMBER(FIND("ED only",$B$4)),SUMIFS(Sum_total_epi,site_level_range,LEFT($B$4,LEN($B$4)-10),date_range,M94,inputdata!$E:$E,"*- ED*"),SUMIFS(Sum_total_epi,site_level_range,$B$4,date_range,M94)))</f>
        <v>123398</v>
      </c>
      <c r="N102" s="159">
        <f ca="1">IF(IF(ISNUMBER(FIND("ED only",$B$4)),SUMIFS(Sum_total_epi,site_level_range,LEFT($B$4,LEN($B$4)-10),date_range,N94,inputdata!$E:$E,"*- ED*"),SUMIFS(Sum_total_epi,site_level_range,$B$4,date_range,N94))=0,"-",IF(ISNUMBER(FIND("ED only",$B$4)),SUMIFS(Sum_total_epi,site_level_range,LEFT($B$4,LEN($B$4)-10),date_range,N94,inputdata!$E:$E,"*- ED*"),SUMIFS(Sum_total_epi,site_level_range,$B$4,date_range,N94)))</f>
        <v>137182</v>
      </c>
      <c r="R102" s="50" t="s">
        <v>101</v>
      </c>
    </row>
    <row r="103" spans="1:18" ht="15" customHeight="1" x14ac:dyDescent="0.2">
      <c r="A103" s="132"/>
      <c r="B103" s="152" t="s">
        <v>731</v>
      </c>
      <c r="C103" s="147">
        <f ca="1">IF(C102="-","-",IF(ISNUMBER(FIND("ED only",$B$4)),SUMIFS(Sum_over_8,site_level_range,LEFT($B$4,LEN($B$4)-10),date_range,C94,inputdata!$E:$E,"*- ED*"),SUMIFS(Sum_over_8,site_level_range,$B$4,date_range,C94)))</f>
        <v>1682</v>
      </c>
      <c r="D103" s="147">
        <f ca="1">IF(D102="-","-",IF(ISNUMBER(FIND("ED only",$B$4)),SUMIFS(Sum_over_8,site_level_range,LEFT($B$4,LEN($B$4)-10),date_range,D94,inputdata!$E:$E,"*- ED*"),SUMIFS(Sum_over_8,site_level_range,$B$4,date_range,D94)))</f>
        <v>662</v>
      </c>
      <c r="E103" s="147">
        <f ca="1">IF(E102="-","-",IF(ISNUMBER(FIND("ED only",$B$4)),SUMIFS(Sum_over_8,site_level_range,LEFT($B$4,LEN($B$4)-10),date_range,E94,inputdata!$E:$E,"*- ED*"),SUMIFS(Sum_over_8,site_level_range,$B$4,date_range,E94)))</f>
        <v>764</v>
      </c>
      <c r="F103" s="147">
        <f ca="1">IF(F102="-","-",IF(ISNUMBER(FIND("ED only",$B$4)),SUMIFS(Sum_over_8,site_level_range,LEFT($B$4,LEN($B$4)-10),date_range,F94,inputdata!$E:$E,"*- ED*"),SUMIFS(Sum_over_8,site_level_range,$B$4,date_range,F94)))</f>
        <v>603</v>
      </c>
      <c r="G103" s="147">
        <f ca="1">IF(G102="-","-",IF(ISNUMBER(FIND("ED only",$B$4)),SUMIFS(Sum_over_8,site_level_range,LEFT($B$4,LEN($B$4)-10),date_range,G94,inputdata!$E:$E,"*- ED*"),SUMIFS(Sum_over_8,site_level_range,$B$4,date_range,G94)))</f>
        <v>805</v>
      </c>
      <c r="H103" s="147">
        <f ca="1">IF(H102="-","-",IF(ISNUMBER(FIND("ED only",$B$4)),SUMIFS(Sum_over_8,site_level_range,LEFT($B$4,LEN($B$4)-10),date_range,H94,inputdata!$E:$E,"*- ED*"),SUMIFS(Sum_over_8,site_level_range,$B$4,date_range,H94)))</f>
        <v>1116</v>
      </c>
      <c r="I103" s="147">
        <f ca="1">IF(I102="-","-",IF(ISNUMBER(FIND("ED only",$B$4)),SUMIFS(Sum_over_8,site_level_range,LEFT($B$4,LEN($B$4)-10),date_range,I94,inputdata!$E:$E,"*- ED*"),SUMIFS(Sum_over_8,site_level_range,$B$4,date_range,I94)))</f>
        <v>969</v>
      </c>
      <c r="J103" s="147">
        <f ca="1">IF(J102="-","-",IF(ISNUMBER(FIND("ED only",$B$4)),SUMIFS(Sum_over_8,site_level_range,LEFT($B$4,LEN($B$4)-10),date_range,J94,inputdata!$E:$E,"*- ED*"),SUMIFS(Sum_over_8,site_level_range,$B$4,date_range,J94)))</f>
        <v>1218</v>
      </c>
      <c r="K103" s="147">
        <f ca="1">IF(K102="-","-",IF(ISNUMBER(FIND("ED only",$B$4)),SUMIFS(Sum_over_8,site_level_range,LEFT($B$4,LEN($B$4)-10),date_range,K94,inputdata!$E:$E,"*- ED*"),SUMIFS(Sum_over_8,site_level_range,$B$4,date_range,K94)))</f>
        <v>1362</v>
      </c>
      <c r="L103" s="147">
        <f ca="1">IF(L102="-","-",IF(ISNUMBER(FIND("ED only",$B$4)),SUMIFS(Sum_over_8,site_level_range,LEFT($B$4,LEN($B$4)-10),date_range,L94,inputdata!$E:$E,"*- ED*"),SUMIFS(Sum_over_8,site_level_range,$B$4,date_range,L94)))</f>
        <v>2230</v>
      </c>
      <c r="M103" s="147">
        <f ca="1">IF(M102="-","-",IF(ISNUMBER(FIND("ED only",$B$4)),SUMIFS(Sum_over_8,site_level_range,LEFT($B$4,LEN($B$4)-10),date_range,M94,inputdata!$E:$E,"*- ED*"),SUMIFS(Sum_over_8,site_level_range,$B$4,date_range,M94)))</f>
        <v>1639</v>
      </c>
      <c r="N103" s="156">
        <f ca="1">IF(N102="-","-",IF(ISNUMBER(FIND("ED only",$B$4)),SUMIFS(Sum_over_8,site_level_range,LEFT($B$4,LEN($B$4)-10),date_range,N94,inputdata!$E:$E,"*- ED*"),SUMIFS(Sum_over_8,site_level_range,$B$4,date_range,N94)))</f>
        <v>1107</v>
      </c>
      <c r="O103" s="54"/>
      <c r="R103" s="50" t="s">
        <v>351</v>
      </c>
    </row>
    <row r="104" spans="1:18" ht="15" customHeight="1" x14ac:dyDescent="0.2">
      <c r="A104" s="132"/>
      <c r="B104" s="154" t="s">
        <v>732</v>
      </c>
      <c r="C104" s="151">
        <f t="shared" ref="C104:N104" ca="1" si="18">IF(ISERROR(1-C103/C102),"-",1-C103/C102)</f>
        <v>0.98706651287966163</v>
      </c>
      <c r="D104" s="151">
        <f t="shared" ca="1" si="18"/>
        <v>0.99540095732338496</v>
      </c>
      <c r="E104" s="151">
        <f t="shared" ca="1" si="18"/>
        <v>0.99444193862852648</v>
      </c>
      <c r="F104" s="151">
        <f t="shared" ca="1" si="18"/>
        <v>0.99558865486893988</v>
      </c>
      <c r="G104" s="151">
        <f t="shared" ca="1" si="18"/>
        <v>0.99408966094477325</v>
      </c>
      <c r="H104" s="151">
        <f t="shared" ca="1" si="18"/>
        <v>0.99159613241362687</v>
      </c>
      <c r="I104" s="151">
        <f t="shared" ca="1" si="18"/>
        <v>0.99260429546183082</v>
      </c>
      <c r="J104" s="151">
        <f t="shared" ca="1" si="18"/>
        <v>0.99053590992797036</v>
      </c>
      <c r="K104" s="151">
        <f t="shared" ca="1" si="18"/>
        <v>0.9896094781089555</v>
      </c>
      <c r="L104" s="151">
        <f t="shared" ca="1" si="18"/>
        <v>0.9831009396786905</v>
      </c>
      <c r="M104" s="151">
        <f t="shared" ca="1" si="18"/>
        <v>0.98671777500445712</v>
      </c>
      <c r="N104" s="160">
        <f t="shared" ca="1" si="18"/>
        <v>0.99193042819028732</v>
      </c>
      <c r="O104" s="54"/>
      <c r="R104" s="50" t="s">
        <v>352</v>
      </c>
    </row>
    <row r="105" spans="1:18" ht="15" customHeight="1" x14ac:dyDescent="0.2">
      <c r="A105" s="132"/>
      <c r="B105" s="152" t="s">
        <v>733</v>
      </c>
      <c r="C105" s="147">
        <f ca="1">IF(C102="-","-",IF(ISNUMBER(FIND("ED only",$B$4)),SUMIFS(Sum_over_12,site_level_range,LEFT($B$4,LEN($B$4)-10),date_range,C94,inputdata!$E:$E,"*- ED*"),SUMIFS(Sum_over_12,site_level_range,$B$4,date_range,C94)))</f>
        <v>456</v>
      </c>
      <c r="D105" s="147">
        <f ca="1">IF(D102="-","-",IF(ISNUMBER(FIND("ED only",$B$4)),SUMIFS(Sum_over_12,site_level_range,LEFT($B$4,LEN($B$4)-10),date_range,D94,inputdata!$E:$E,"*- ED*"),SUMIFS(Sum_over_12,site_level_range,$B$4,date_range,D94)))</f>
        <v>110</v>
      </c>
      <c r="E105" s="147">
        <f ca="1">IF(E102="-","-",IF(ISNUMBER(FIND("ED only",$B$4)),SUMIFS(Sum_over_12,site_level_range,LEFT($B$4,LEN($B$4)-10),date_range,E94,inputdata!$E:$E,"*- ED*"),SUMIFS(Sum_over_12,site_level_range,$B$4,date_range,E94)))</f>
        <v>115</v>
      </c>
      <c r="F105" s="147">
        <f ca="1">IF(F102="-","-",IF(ISNUMBER(FIND("ED only",$B$4)),SUMIFS(Sum_over_12,site_level_range,LEFT($B$4,LEN($B$4)-10),date_range,F94,inputdata!$E:$E,"*- ED*"),SUMIFS(Sum_over_12,site_level_range,$B$4,date_range,F94)))</f>
        <v>107</v>
      </c>
      <c r="G105" s="147">
        <f ca="1">IF(G102="-","-",IF(ISNUMBER(FIND("ED only",$B$4)),SUMIFS(Sum_over_12,site_level_range,LEFT($B$4,LEN($B$4)-10),date_range,G94,inputdata!$E:$E,"*- ED*"),SUMIFS(Sum_over_12,site_level_range,$B$4,date_range,G94)))</f>
        <v>114</v>
      </c>
      <c r="H105" s="147">
        <f ca="1">IF(H102="-","-",IF(ISNUMBER(FIND("ED only",$B$4)),SUMIFS(Sum_over_12,site_level_range,LEFT($B$4,LEN($B$4)-10),date_range,H94,inputdata!$E:$E,"*- ED*"),SUMIFS(Sum_over_12,site_level_range,$B$4,date_range,H94)))</f>
        <v>237</v>
      </c>
      <c r="I105" s="147">
        <f ca="1">IF(I102="-","-",IF(ISNUMBER(FIND("ED only",$B$4)),SUMIFS(Sum_over_12,site_level_range,LEFT($B$4,LEN($B$4)-10),date_range,I94,inputdata!$E:$E,"*- ED*"),SUMIFS(Sum_over_12,site_level_range,$B$4,date_range,I94)))</f>
        <v>159</v>
      </c>
      <c r="J105" s="147">
        <f ca="1">IF(J102="-","-",IF(ISNUMBER(FIND("ED only",$B$4)),SUMIFS(Sum_over_12,site_level_range,LEFT($B$4,LEN($B$4)-10),date_range,J94,inputdata!$E:$E,"*- ED*"),SUMIFS(Sum_over_12,site_level_range,$B$4,date_range,J94)))</f>
        <v>210</v>
      </c>
      <c r="K105" s="147">
        <f ca="1">IF(K102="-","-",IF(ISNUMBER(FIND("ED only",$B$4)),SUMIFS(Sum_over_12,site_level_range,LEFT($B$4,LEN($B$4)-10),date_range,K94,inputdata!$E:$E,"*- ED*"),SUMIFS(Sum_over_12,site_level_range,$B$4,date_range,K94)))</f>
        <v>199</v>
      </c>
      <c r="L105" s="147">
        <f ca="1">IF(L102="-","-",IF(ISNUMBER(FIND("ED only",$B$4)),SUMIFS(Sum_over_12,site_level_range,LEFT($B$4,LEN($B$4)-10),date_range,L94,inputdata!$E:$E,"*- ED*"),SUMIFS(Sum_over_12,site_level_range,$B$4,date_range,L94)))</f>
        <v>503</v>
      </c>
      <c r="M105" s="147">
        <f ca="1">IF(M102="-","-",IF(ISNUMBER(FIND("ED only",$B$4)),SUMIFS(Sum_over_12,site_level_range,LEFT($B$4,LEN($B$4)-10),date_range,M94,inputdata!$E:$E,"*- ED*"),SUMIFS(Sum_over_12,site_level_range,$B$4,date_range,M94)))</f>
        <v>369</v>
      </c>
      <c r="N105" s="156">
        <f ca="1">IF(N102="-","-",IF(ISNUMBER(FIND("ED only",$B$4)),SUMIFS(Sum_over_12,site_level_range,LEFT($B$4,LEN($B$4)-10),date_range,N94,inputdata!$E:$E,"*- ED*"),SUMIFS(Sum_over_12,site_level_range,$B$4,date_range,N94)))</f>
        <v>231</v>
      </c>
      <c r="R105" s="50" t="s">
        <v>70</v>
      </c>
    </row>
    <row r="106" spans="1:18" ht="15" customHeight="1" x14ac:dyDescent="0.2">
      <c r="A106" s="132"/>
      <c r="B106" s="154" t="s">
        <v>734</v>
      </c>
      <c r="C106" s="151">
        <f t="shared" ref="C106:N106" ca="1" si="19">IF(ISERROR(1-C105/C102),"-",1-C105/C102)</f>
        <v>0.99649365628604381</v>
      </c>
      <c r="D106" s="151">
        <f t="shared" ca="1" si="19"/>
        <v>0.99923580861868933</v>
      </c>
      <c r="E106" s="151">
        <f t="shared" ca="1" si="19"/>
        <v>0.99916338081450329</v>
      </c>
      <c r="F106" s="151">
        <f t="shared" ca="1" si="19"/>
        <v>0.99921722399830282</v>
      </c>
      <c r="G106" s="151">
        <f t="shared" ca="1" si="19"/>
        <v>0.99916300788534673</v>
      </c>
      <c r="H106" s="151">
        <f t="shared" ca="1" si="19"/>
        <v>0.99821530768999067</v>
      </c>
      <c r="I106" s="151">
        <f t="shared" ca="1" si="19"/>
        <v>0.99878646334203414</v>
      </c>
      <c r="J106" s="151">
        <f t="shared" ca="1" si="19"/>
        <v>0.99836826033240866</v>
      </c>
      <c r="K106" s="151">
        <f t="shared" ca="1" si="19"/>
        <v>0.99848185473104412</v>
      </c>
      <c r="L106" s="151">
        <f t="shared" ca="1" si="19"/>
        <v>0.99618823886026064</v>
      </c>
      <c r="M106" s="151">
        <f t="shared" ca="1" si="19"/>
        <v>0.99700967600771484</v>
      </c>
      <c r="N106" s="160">
        <f t="shared" ca="1" si="19"/>
        <v>0.9983161056115234</v>
      </c>
      <c r="R106" s="50" t="s">
        <v>353</v>
      </c>
    </row>
    <row r="107" spans="1:18" ht="14.45" customHeight="1" x14ac:dyDescent="0.2">
      <c r="B107" s="127"/>
      <c r="C107" s="127"/>
      <c r="D107" s="127"/>
      <c r="E107" s="127"/>
      <c r="F107" s="127"/>
      <c r="G107" s="127"/>
      <c r="H107" s="127"/>
      <c r="I107" s="127"/>
      <c r="J107" s="127"/>
      <c r="K107" s="127"/>
      <c r="L107" s="127"/>
      <c r="M107" s="127"/>
      <c r="N107" s="127"/>
      <c r="R107" s="50" t="s">
        <v>354</v>
      </c>
    </row>
    <row r="108" spans="1:18" ht="15" customHeight="1" x14ac:dyDescent="0.25">
      <c r="A108" s="132"/>
      <c r="B108" s="153" t="s">
        <v>723</v>
      </c>
      <c r="C108" s="149">
        <v>42855</v>
      </c>
      <c r="D108" s="149">
        <v>42886</v>
      </c>
      <c r="E108" s="149">
        <v>42916</v>
      </c>
      <c r="F108" s="149">
        <v>42947</v>
      </c>
      <c r="G108" s="149">
        <v>42978</v>
      </c>
      <c r="H108" s="149">
        <v>43008</v>
      </c>
      <c r="I108" s="149">
        <v>43039</v>
      </c>
      <c r="J108" s="149">
        <v>43069</v>
      </c>
      <c r="K108" s="149">
        <v>43100</v>
      </c>
      <c r="L108" s="149">
        <v>43131</v>
      </c>
      <c r="M108" s="149">
        <v>43159</v>
      </c>
      <c r="N108" s="158">
        <v>43190</v>
      </c>
      <c r="R108" s="50" t="s">
        <v>355</v>
      </c>
    </row>
    <row r="109" spans="1:18" ht="15" customHeight="1" x14ac:dyDescent="0.2">
      <c r="A109" s="132"/>
      <c r="B109" s="152" t="s">
        <v>724</v>
      </c>
      <c r="C109" s="147">
        <f ca="1">IF(IF(ISNUMBER(FIND("ED only",$B$4)),SUMIFS(sum_range,site_level_range,LEFT($B$4,LEN($B$4)-10),date_range,C108,inputdata!$E:$E,"*- ED*"),SUMIFS(sum_range,site_level_range,$B$4,date_range,C108))=0,"-",IF(ISNUMBER(FIND("ED only",$B$4)),SUMIFS(sum_range,site_level_range,LEFT($B$4,LEN($B$4)-10),date_range,C108,inputdata!$E:$E,"*- ED*"),SUMIFS(sum_range,site_level_range,$B$4,date_range,C108)))</f>
        <v>136073</v>
      </c>
      <c r="D109" s="147">
        <f ca="1">IF(IF(ISNUMBER(FIND("ED only",$B$4)),SUMIFS(sum_range,site_level_range,LEFT($B$4,LEN($B$4)-10),date_range,D108,inputdata!$E:$E,"*- ED*"),SUMIFS(sum_range,site_level_range,$B$4,date_range,D108))=0,"-",IF(ISNUMBER(FIND("ED only",$B$4)),SUMIFS(sum_range,site_level_range,LEFT($B$4,LEN($B$4)-10),date_range,D108,inputdata!$E:$E,"*- ED*"),SUMIFS(sum_range,site_level_range,$B$4,date_range,D108)))</f>
        <v>150419</v>
      </c>
      <c r="E109" s="147">
        <f ca="1">IF(IF(ISNUMBER(FIND("ED only",$B$4)),SUMIFS(sum_range,site_level_range,LEFT($B$4,LEN($B$4)-10),date_range,E108,inputdata!$E:$E,"*- ED*"),SUMIFS(sum_range,site_level_range,$B$4,date_range,E108))=0,"-",IF(ISNUMBER(FIND("ED only",$B$4)),SUMIFS(sum_range,site_level_range,LEFT($B$4,LEN($B$4)-10),date_range,E108,inputdata!$E:$E,"*- ED*"),SUMIFS(sum_range,site_level_range,$B$4,date_range,E108)))</f>
        <v>138801</v>
      </c>
      <c r="F109" s="147">
        <f ca="1">IF(IF(ISNUMBER(FIND("ED only",$B$4)),SUMIFS(sum_range,site_level_range,LEFT($B$4,LEN($B$4)-10),date_range,F108,inputdata!$E:$E,"*- ED*"),SUMIFS(sum_range,site_level_range,$B$4,date_range,F108))=0,"-",IF(ISNUMBER(FIND("ED only",$B$4)),SUMIFS(sum_range,site_level_range,LEFT($B$4,LEN($B$4)-10),date_range,F108,inputdata!$E:$E,"*- ED*"),SUMIFS(sum_range,site_level_range,$B$4,date_range,F108)))</f>
        <v>137627</v>
      </c>
      <c r="G109" s="147">
        <f ca="1">IF(IF(ISNUMBER(FIND("ED only",$B$4)),SUMIFS(sum_range,site_level_range,LEFT($B$4,LEN($B$4)-10),date_range,G108,inputdata!$E:$E,"*- ED*"),SUMIFS(sum_range,site_level_range,$B$4,date_range,G108))=0,"-",IF(ISNUMBER(FIND("ED only",$B$4)),SUMIFS(sum_range,site_level_range,LEFT($B$4,LEN($B$4)-10),date_range,G108,inputdata!$E:$E,"*- ED*"),SUMIFS(sum_range,site_level_range,$B$4,date_range,G108)))</f>
        <v>141348</v>
      </c>
      <c r="H109" s="147">
        <f ca="1">IF(IF(ISNUMBER(FIND("ED only",$B$4)),SUMIFS(sum_range,site_level_range,LEFT($B$4,LEN($B$4)-10),date_range,H108,inputdata!$E:$E,"*- ED*"),SUMIFS(sum_range,site_level_range,$B$4,date_range,H108))=0,"-",IF(ISNUMBER(FIND("ED only",$B$4)),SUMIFS(sum_range,site_level_range,LEFT($B$4,LEN($B$4)-10),date_range,H108,inputdata!$E:$E,"*- ED*"),SUMIFS(sum_range,site_level_range,$B$4,date_range,H108)))</f>
        <v>140935</v>
      </c>
      <c r="I109" s="147">
        <f ca="1">IF(IF(ISNUMBER(FIND("ED only",$B$4)),SUMIFS(sum_range,site_level_range,LEFT($B$4,LEN($B$4)-10),date_range,I108,inputdata!$E:$E,"*- ED*"),SUMIFS(sum_range,site_level_range,$B$4,date_range,I108))=0,"-",IF(ISNUMBER(FIND("ED only",$B$4)),SUMIFS(sum_range,site_level_range,LEFT($B$4,LEN($B$4)-10),date_range,I108,inputdata!$E:$E,"*- ED*"),SUMIFS(sum_range,site_level_range,$B$4,date_range,I108)))</f>
        <v>137829</v>
      </c>
      <c r="J109" s="147">
        <f ca="1">IF(IF(ISNUMBER(FIND("ED only",$B$4)),SUMIFS(sum_range,site_level_range,LEFT($B$4,LEN($B$4)-10),date_range,J108,inputdata!$E:$E,"*- ED*"),SUMIFS(sum_range,site_level_range,$B$4,date_range,J108))=0,"-",IF(ISNUMBER(FIND("ED only",$B$4)),SUMIFS(sum_range,site_level_range,LEFT($B$4,LEN($B$4)-10),date_range,J108,inputdata!$E:$E,"*- ED*"),SUMIFS(sum_range,site_level_range,$B$4,date_range,J108)))</f>
        <v>132214</v>
      </c>
      <c r="K109" s="147">
        <f ca="1">IF(IF(ISNUMBER(FIND("ED only",$B$4)),SUMIFS(sum_range,site_level_range,LEFT($B$4,LEN($B$4)-10),date_range,K108,inputdata!$E:$E,"*- ED*"),SUMIFS(sum_range,site_level_range,$B$4,date_range,K108))=0,"-",IF(ISNUMBER(FIND("ED only",$B$4)),SUMIFS(sum_range,site_level_range,LEFT($B$4,LEN($B$4)-10),date_range,K108,inputdata!$E:$E,"*- ED*"),SUMIFS(sum_range,site_level_range,$B$4,date_range,K108)))</f>
        <v>141978</v>
      </c>
      <c r="L109" s="147">
        <f ca="1">IF(IF(ISNUMBER(FIND("ED only",$B$4)),SUMIFS(sum_range,site_level_range,LEFT($B$4,LEN($B$4)-10),date_range,L108,inputdata!$E:$E,"*- ED*"),SUMIFS(sum_range,site_level_range,$B$4,date_range,L108))=0,"-",IF(ISNUMBER(FIND("ED only",$B$4)),SUMIFS(sum_range,site_level_range,LEFT($B$4,LEN($B$4)-10),date_range,L108,inputdata!$E:$E,"*- ED*"),SUMIFS(sum_range,site_level_range,$B$4,date_range,L108)))</f>
        <v>129041</v>
      </c>
      <c r="M109" s="147">
        <f ca="1">IF(IF(ISNUMBER(FIND("ED only",$B$4)),SUMIFS(sum_range,site_level_range,LEFT($B$4,LEN($B$4)-10),date_range,M108,inputdata!$E:$E,"*- ED*"),SUMIFS(sum_range,site_level_range,$B$4,date_range,M108))=0,"-",IF(ISNUMBER(FIND("ED only",$B$4)),SUMIFS(sum_range,site_level_range,LEFT($B$4,LEN($B$4)-10),date_range,M108,inputdata!$E:$E,"*- ED*"),SUMIFS(sum_range,site_level_range,$B$4,date_range,M108)))</f>
        <v>121666</v>
      </c>
      <c r="N109" s="156">
        <f ca="1">IF(IF(ISNUMBER(FIND("ED only",$B$4)),SUMIFS(sum_range,site_level_range,LEFT($B$4,LEN($B$4)-10),date_range,N108,inputdata!$E:$E,"*- ED*"),SUMIFS(sum_range,site_level_range,$B$4,date_range,N108))=0,"-",IF(ISNUMBER(FIND("ED only",$B$4)),SUMIFS(sum_range,site_level_range,LEFT($B$4,LEN($B$4)-10),date_range,N108,inputdata!$E:$E,"*- ED*"),SUMIFS(sum_range,site_level_range,$B$4,date_range,N108)))</f>
        <v>137805</v>
      </c>
      <c r="R109" s="50" t="s">
        <v>201</v>
      </c>
    </row>
    <row r="110" spans="1:18" ht="15" customHeight="1" x14ac:dyDescent="0.2">
      <c r="A110" s="132"/>
      <c r="B110" s="152" t="s">
        <v>725</v>
      </c>
      <c r="C110" s="147">
        <f ca="1">IF(AND(MONTH(C108)=3,ISNUMBER($N109),ISNUMBER($C109)),SUM($C109:C109),IF(AND(MONTH(C108)&lt;&gt;3,ISNUMBER(C109),ISNUMBER(D123)),SUM($C109:C109,D123:$N123),"-"))</f>
        <v>1626490</v>
      </c>
      <c r="D110" s="147">
        <f ca="1">IF(AND(MONTH(D108)=3,ISNUMBER($N109),ISNUMBER($C109)),SUM($C109:D109),IF(AND(MONTH(D108)&lt;&gt;3,ISNUMBER(D109),ISNUMBER(E123)),SUM($C109:D109,E123:$N123),"-"))</f>
        <v>1628395</v>
      </c>
      <c r="E110" s="147">
        <f ca="1">IF(AND(MONTH(E108)=3,ISNUMBER($N109),ISNUMBER($C109)),SUM($C109:E109),IF(AND(MONTH(E108)&lt;&gt;3,ISNUMBER(E109),ISNUMBER(F123)),SUM($C109:E109,F123:$N123),"-"))</f>
        <v>1627908</v>
      </c>
      <c r="F110" s="147">
        <f ca="1">IF(AND(MONTH(F108)=3,ISNUMBER($N109),ISNUMBER($C109)),SUM($C109:F109),IF(AND(MONTH(F108)&lt;&gt;3,ISNUMBER(F109),ISNUMBER(G123)),SUM($C109:F109,G123:$N123),"-"))</f>
        <v>1630014</v>
      </c>
      <c r="G110" s="147">
        <f ca="1">IF(AND(MONTH(G108)=3,ISNUMBER($N109),ISNUMBER($C109)),SUM($C109:G109),IF(AND(MONTH(G108)&lt;&gt;3,ISNUMBER(G109),ISNUMBER(H123)),SUM($C109:G109,H123:$N123),"-"))</f>
        <v>1628423</v>
      </c>
      <c r="H110" s="147">
        <f ca="1">IF(AND(MONTH(H108)=3,ISNUMBER($N109),ISNUMBER($C109)),SUM($C109:H109),IF(AND(MONTH(H108)&lt;&gt;3,ISNUMBER(H109),ISNUMBER(I123)),SUM($C109:H109,I123:$N123),"-"))</f>
        <v>1628253</v>
      </c>
      <c r="I110" s="147">
        <f ca="1">IF(AND(MONTH(I108)=3,ISNUMBER($N109),ISNUMBER($C109)),SUM($C109:I109),IF(AND(MONTH(I108)&lt;&gt;3,ISNUMBER(I109),ISNUMBER(J123)),SUM($C109:I109,J123:$N123),"-"))</f>
        <v>1629340</v>
      </c>
      <c r="J110" s="147">
        <f ca="1">IF(AND(MONTH(J108)=3,ISNUMBER($N109),ISNUMBER($C109)),SUM($C109:J109),IF(AND(MONTH(J108)&lt;&gt;3,ISNUMBER(J109),ISNUMBER(K123)),SUM($C109:J109,K123:$N123),"-"))</f>
        <v>1632327</v>
      </c>
      <c r="K110" s="147">
        <f ca="1">IF(AND(MONTH(K108)=3,ISNUMBER($N109),ISNUMBER($C109)),SUM($C109:K109),IF(AND(MONTH(K108)&lt;&gt;3,ISNUMBER(K109),ISNUMBER(L123)),SUM($C109:K109,L123:$N123),"-"))</f>
        <v>1643466</v>
      </c>
      <c r="L110" s="147">
        <f ca="1">IF(AND(MONTH(L108)=3,ISNUMBER($N109),ISNUMBER($C109)),SUM($C109:L109),IF(AND(MONTH(L108)&lt;&gt;3,ISNUMBER(L109),ISNUMBER(M123)),SUM($C109:L109,M123:$N123),"-"))</f>
        <v>1643864</v>
      </c>
      <c r="M110" s="147">
        <f ca="1">IF(AND(MONTH(M108)=3,ISNUMBER($N109),ISNUMBER($C109)),SUM($C109:M109),IF(AND(MONTH(M108)&lt;&gt;3,ISNUMBER(M109),ISNUMBER(N123)),SUM($C109:M109,N123:$N123),"-"))</f>
        <v>1646738</v>
      </c>
      <c r="N110" s="156">
        <f ca="1">IF(AND(MONTH(N108)=3,ISNUMBER($N109),ISNUMBER($C109)),SUM($C109:N109),IF(AND(MONTH(N108)&lt;&gt;3,ISNUMBER(N109),ISNUMBER(O123)),SUM($C109:N109,$N123:O123),"-"))</f>
        <v>1645736</v>
      </c>
      <c r="P110" s="52"/>
      <c r="R110" s="50" t="s">
        <v>356</v>
      </c>
    </row>
    <row r="111" spans="1:18" ht="15" customHeight="1" x14ac:dyDescent="0.2">
      <c r="A111" s="132"/>
      <c r="B111" s="154" t="s">
        <v>726</v>
      </c>
      <c r="C111" s="150">
        <f t="shared" ref="C111:N111" ca="1" si="20">IF(ISNUMBER(C110),C110/12,NA())</f>
        <v>135540.83333333334</v>
      </c>
      <c r="D111" s="150">
        <f t="shared" ca="1" si="20"/>
        <v>135699.58333333334</v>
      </c>
      <c r="E111" s="150">
        <f t="shared" ca="1" si="20"/>
        <v>135659</v>
      </c>
      <c r="F111" s="150">
        <f t="shared" ca="1" si="20"/>
        <v>135834.5</v>
      </c>
      <c r="G111" s="150">
        <f t="shared" ca="1" si="20"/>
        <v>135701.91666666666</v>
      </c>
      <c r="H111" s="150">
        <f t="shared" ca="1" si="20"/>
        <v>135687.75</v>
      </c>
      <c r="I111" s="150">
        <f t="shared" ca="1" si="20"/>
        <v>135778.33333333334</v>
      </c>
      <c r="J111" s="150">
        <f t="shared" ca="1" si="20"/>
        <v>136027.25</v>
      </c>
      <c r="K111" s="150">
        <f t="shared" ca="1" si="20"/>
        <v>136955.5</v>
      </c>
      <c r="L111" s="150">
        <f t="shared" ca="1" si="20"/>
        <v>136988.66666666666</v>
      </c>
      <c r="M111" s="150">
        <f t="shared" ca="1" si="20"/>
        <v>137228.16666666666</v>
      </c>
      <c r="N111" s="159">
        <f t="shared" ca="1" si="20"/>
        <v>137144.66666666666</v>
      </c>
      <c r="R111" s="50" t="s">
        <v>74</v>
      </c>
    </row>
    <row r="112" spans="1:18" ht="15" customHeight="1" x14ac:dyDescent="0.2">
      <c r="A112" s="132"/>
      <c r="B112" s="152" t="s">
        <v>727</v>
      </c>
      <c r="C112" s="147">
        <f ca="1">IF(C109="-","-",C109-IF(ISNUMBER(FIND("ED only",$B$4)),SUMIFS(sum_over_4_tot,site_level_range,LEFT($B$4,LEN($B$4)-10),date_range,C108,inputdata!$E:$E,"*- ED*"),SUMIFS(sum_over_4_tot,site_level_range,$B$4,date_range,C108)))</f>
        <v>9011</v>
      </c>
      <c r="D112" s="147">
        <f ca="1">IF(D109="-","-",D109-IF(ISNUMBER(FIND("ED only",$B$4)),SUMIFS(sum_over_4_tot,site_level_range,LEFT($B$4,LEN($B$4)-10),date_range,D108,inputdata!$E:$E,"*- ED*"),SUMIFS(sum_over_4_tot,site_level_range,$B$4,date_range,D108)))</f>
        <v>9091</v>
      </c>
      <c r="E112" s="147">
        <f ca="1">IF(E109="-","-",E109-IF(ISNUMBER(FIND("ED only",$B$4)),SUMIFS(sum_over_4_tot,site_level_range,LEFT($B$4,LEN($B$4)-10),date_range,E108,inputdata!$E:$E,"*- ED*"),SUMIFS(sum_over_4_tot,site_level_range,$B$4,date_range,E108)))</f>
        <v>6313</v>
      </c>
      <c r="F112" s="147">
        <f ca="1">IF(F109="-","-",F109-IF(ISNUMBER(FIND("ED only",$B$4)),SUMIFS(sum_over_4_tot,site_level_range,LEFT($B$4,LEN($B$4)-10),date_range,F108,inputdata!$E:$E,"*- ED*"),SUMIFS(sum_over_4_tot,site_level_range,$B$4,date_range,F108)))</f>
        <v>5859</v>
      </c>
      <c r="G112" s="147">
        <f ca="1">IF(G109="-","-",G109-IF(ISNUMBER(FIND("ED only",$B$4)),SUMIFS(sum_over_4_tot,site_level_range,LEFT($B$4,LEN($B$4)-10),date_range,G108,inputdata!$E:$E,"*- ED*"),SUMIFS(sum_over_4_tot,site_level_range,$B$4,date_range,G108)))</f>
        <v>7006</v>
      </c>
      <c r="H112" s="147">
        <f ca="1">IF(H109="-","-",H109-IF(ISNUMBER(FIND("ED only",$B$4)),SUMIFS(sum_over_4_tot,site_level_range,LEFT($B$4,LEN($B$4)-10),date_range,H108,inputdata!$E:$E,"*- ED*"),SUMIFS(sum_over_4_tot,site_level_range,$B$4,date_range,H108)))</f>
        <v>9174</v>
      </c>
      <c r="I112" s="147">
        <f ca="1">IF(I109="-","-",I109-IF(ISNUMBER(FIND("ED only",$B$4)),SUMIFS(sum_over_4_tot,site_level_range,LEFT($B$4,LEN($B$4)-10),date_range,I108,inputdata!$E:$E,"*- ED*"),SUMIFS(sum_over_4_tot,site_level_range,$B$4,date_range,I108)))</f>
        <v>7676</v>
      </c>
      <c r="J112" s="147">
        <f ca="1">IF(J109="-","-",J109-IF(ISNUMBER(FIND("ED only",$B$4)),SUMIFS(sum_over_4_tot,site_level_range,LEFT($B$4,LEN($B$4)-10),date_range,J108,inputdata!$E:$E,"*- ED*"),SUMIFS(sum_over_4_tot,site_level_range,$B$4,date_range,J108)))</f>
        <v>8885</v>
      </c>
      <c r="K112" s="147">
        <f ca="1">IF(K109="-","-",K109-IF(ISNUMBER(FIND("ED only",$B$4)),SUMIFS(sum_over_4_tot,site_level_range,LEFT($B$4,LEN($B$4)-10),date_range,K108,inputdata!$E:$E,"*- ED*"),SUMIFS(sum_over_4_tot,site_level_range,$B$4,date_range,K108)))</f>
        <v>21217</v>
      </c>
      <c r="L112" s="147">
        <f ca="1">IF(L109="-","-",L109-IF(ISNUMBER(FIND("ED only",$B$4)),SUMIFS(sum_over_4_tot,site_level_range,LEFT($B$4,LEN($B$4)-10),date_range,L108,inputdata!$E:$E,"*- ED*"),SUMIFS(sum_over_4_tot,site_level_range,$B$4,date_range,L108)))</f>
        <v>16568</v>
      </c>
      <c r="M112" s="147">
        <f ca="1">IF(M109="-","-",M109-IF(ISNUMBER(FIND("ED only",$B$4)),SUMIFS(sum_over_4_tot,site_level_range,LEFT($B$4,LEN($B$4)-10),date_range,M108,inputdata!$E:$E,"*- ED*"),SUMIFS(sum_over_4_tot,site_level_range,$B$4,date_range,M108)))</f>
        <v>11745</v>
      </c>
      <c r="N112" s="156">
        <f ca="1">IF(N109="-","-",N109-IF(ISNUMBER(FIND("ED only",$B$4)),SUMIFS(sum_over_4_tot,site_level_range,LEFT($B$4,LEN($B$4)-10),date_range,N108,inputdata!$E:$E,"*- ED*"),SUMIFS(sum_over_4_tot,site_level_range,$B$4,date_range,N108)))</f>
        <v>16608</v>
      </c>
      <c r="R112" s="50" t="s">
        <v>357</v>
      </c>
    </row>
    <row r="113" spans="1:18" ht="15" customHeight="1" x14ac:dyDescent="0.2">
      <c r="A113" s="132"/>
      <c r="B113" s="152" t="s">
        <v>728</v>
      </c>
      <c r="C113" s="148">
        <f t="shared" ref="C113:N113" ca="1" si="21">IF(ISERROR(1-C112/C109),NA(),(1-C112/C109))</f>
        <v>0.93377819258780215</v>
      </c>
      <c r="D113" s="148">
        <f t="shared" ca="1" si="21"/>
        <v>0.93956215637652163</v>
      </c>
      <c r="E113" s="148">
        <f t="shared" ca="1" si="21"/>
        <v>0.95451761874914443</v>
      </c>
      <c r="F113" s="148">
        <f t="shared" ca="1" si="21"/>
        <v>0.95742841157621683</v>
      </c>
      <c r="G113" s="148">
        <f t="shared" ca="1" si="21"/>
        <v>0.95043438888417242</v>
      </c>
      <c r="H113" s="148">
        <f t="shared" ca="1" si="21"/>
        <v>0.93490616241529789</v>
      </c>
      <c r="I113" s="148">
        <f t="shared" ca="1" si="21"/>
        <v>0.94430780169630479</v>
      </c>
      <c r="J113" s="148">
        <f t="shared" ca="1" si="21"/>
        <v>0.93279834208177648</v>
      </c>
      <c r="K113" s="148">
        <f t="shared" ca="1" si="21"/>
        <v>0.85056135457606108</v>
      </c>
      <c r="L113" s="148">
        <f t="shared" ca="1" si="21"/>
        <v>0.87160669864616669</v>
      </c>
      <c r="M113" s="148">
        <f t="shared" ca="1" si="21"/>
        <v>0.90346522446698341</v>
      </c>
      <c r="N113" s="157">
        <f t="shared" ca="1" si="21"/>
        <v>0.879481876564711</v>
      </c>
      <c r="P113" s="52"/>
      <c r="R113" s="50" t="s">
        <v>253</v>
      </c>
    </row>
    <row r="114" spans="1:18" ht="15" customHeight="1" x14ac:dyDescent="0.2">
      <c r="A114" s="132"/>
      <c r="B114" s="154" t="s">
        <v>729</v>
      </c>
      <c r="C114" s="151">
        <f ca="1">IF(ISERROR(C111),NA(),IF(AND(MONTH(C108)=3,ISNUMBER($N109),ISNUMBER($C109)),1-(SUM($C112:$N112)/SUM($C109:$N109)),IF(AND(MONTH(C108)&lt;&gt;3,ISNUMBER(C109),ISNUMBER(D123)),1-(SUM(D126:$N126,$C112:C112)/SUM($C109:C109,D123:$N123)),NA())))</f>
        <v>0.93976353989265227</v>
      </c>
      <c r="D114" s="151">
        <f ca="1">IF(ISERROR(D111),NA(),IF(AND(MONTH(D108)=3,ISNUMBER($N109),ISNUMBER($C109)),1-(SUM($C112:$N112)/SUM($C109:$N109)),IF(AND(MONTH(D108)&lt;&gt;3,ISNUMBER(D109),ISNUMBER(E123)),1-(SUM(E126:$N126,$C112:D112)/SUM($C109:D109,E123:$N123)),NA())))</f>
        <v>0.93928991430211961</v>
      </c>
      <c r="E114" s="151">
        <f ca="1">IF(ISERROR(E111),NA(),IF(AND(MONTH(E108)=3,ISNUMBER($N109),ISNUMBER($C109)),1-(SUM($C112:$N112)/SUM($C109:$N109)),IF(AND(MONTH(E108)&lt;&gt;3,ISNUMBER(E109),ISNUMBER(F123)),1-(SUM(F126:$N126,$C112:E112)/SUM($C109:E109,F123:$N123)),NA())))</f>
        <v>0.93908009543536863</v>
      </c>
      <c r="F114" s="151">
        <f ca="1">IF(ISERROR(F111),NA(),IF(AND(MONTH(F108)=3,ISNUMBER($N109),ISNUMBER($C109)),1-(SUM($C112:$N112)/SUM($C109:$N109)),IF(AND(MONTH(F108)&lt;&gt;3,ISNUMBER(F109),ISNUMBER(G123)),1-(SUM(G126:$N126,$C112:F112)/SUM($C109:F109,G123:$N123)),NA())))</f>
        <v>0.93909377465469623</v>
      </c>
      <c r="G114" s="151">
        <f ca="1">IF(ISERROR(G111),NA(),IF(AND(MONTH(G108)=3,ISNUMBER($N109),ISNUMBER($C109)),1-(SUM($C112:$N112)/SUM($C109:$N109)),IF(AND(MONTH(G108)&lt;&gt;3,ISNUMBER(G109),ISNUMBER(H123)),1-(SUM(H126:$N126,$C112:G112)/SUM($C109:G109,H123:$N123)),NA())))</f>
        <v>0.9393370150139122</v>
      </c>
      <c r="H114" s="151">
        <f ca="1">IF(ISERROR(H111),NA(),IF(AND(MONTH(H108)=3,ISNUMBER($N109),ISNUMBER($C109)),1-(SUM($C112:$N112)/SUM($C109:$N109)),IF(AND(MONTH(H108)&lt;&gt;3,ISNUMBER(H109),ISNUMBER(I123)),1-(SUM(I126:$N126,$C112:H112)/SUM($C109:H109,I123:$N123)),NA())))</f>
        <v>0.93815641672393668</v>
      </c>
      <c r="I114" s="151">
        <f ca="1">IF(ISERROR(I111),NA(),IF(AND(MONTH(I108)=3,ISNUMBER($N109),ISNUMBER($C109)),1-(SUM($C112:$N112)/SUM($C109:$N109)),IF(AND(MONTH(I108)&lt;&gt;3,ISNUMBER(I109),ISNUMBER(J123)),1-(SUM(J126:$N126,$C112:I112)/SUM($C109:I109,J123:$N123)),NA())))</f>
        <v>0.93858617599764327</v>
      </c>
      <c r="J114" s="151">
        <f ca="1">IF(ISERROR(J111),NA(),IF(AND(MONTH(J108)=3,ISNUMBER($N109),ISNUMBER($C109)),1-(SUM($C112:$N112)/SUM($C109:$N109)),IF(AND(MONTH(J108)&lt;&gt;3,ISNUMBER(J109),ISNUMBER(K123)),1-(SUM(K126:$N126,$C112:J112)/SUM($C109:J109,K123:$N123)),NA())))</f>
        <v>0.93835242570881938</v>
      </c>
      <c r="K114" s="151">
        <f ca="1">IF(ISERROR(K111),NA(),IF(AND(MONTH(K108)=3,ISNUMBER($N109),ISNUMBER($C109)),1-(SUM($C112:$N112)/SUM($C109:$N109)),IF(AND(MONTH(K108)&lt;&gt;3,ISNUMBER(K109),ISNUMBER(L123)),1-(SUM(L126:$N126,$C112:K112)/SUM($C109:K109,L123:$N123)),NA())))</f>
        <v>0.93174181881462714</v>
      </c>
      <c r="L114" s="151">
        <f ca="1">IF(ISERROR(L111),NA(),IF(AND(MONTH(L108)=3,ISNUMBER($N109),ISNUMBER($C109)),1-(SUM($C112:$N112)/SUM($C109:$N109)),IF(AND(MONTH(L108)&lt;&gt;3,ISNUMBER(L109),ISNUMBER(M123)),1-(SUM(M126:$N126,$C112:L112)/SUM($C109:L109,M123:$N123)),NA())))</f>
        <v>0.92805730887713334</v>
      </c>
      <c r="M114" s="151">
        <f ca="1">IF(ISERROR(M111),NA(),IF(AND(MONTH(M108)=3,ISNUMBER($N109),ISNUMBER($C109)),1-(SUM($C112:$N112)/SUM($C109:$N109)),IF(AND(MONTH(M108)&lt;&gt;3,ISNUMBER(M109),ISNUMBER(N123)),1-(SUM(N126:$N126,$C112:M112)/SUM($C109:M109,N123:$N123)),NA())))</f>
        <v>0.92643152705530574</v>
      </c>
      <c r="N114" s="160">
        <f ca="1">IF(ISERROR(N111),NA(),IF(AND(MONTH(N108)=3,ISNUMBER($N109),ISNUMBER($C109)),1-(SUM($C112:$N112)/SUM($C109:$N109)),IF(AND(MONTH(N108)&lt;&gt;3,ISNUMBER(N109),ISNUMBER(O123)),1-(SUM($N126:O126,$C112:N112)/SUM($C109:N109,$N123:O123)),NA())))</f>
        <v>0.92152265004836742</v>
      </c>
      <c r="R114" s="50" t="s">
        <v>358</v>
      </c>
    </row>
    <row r="115" spans="1:18" ht="14.45" customHeight="1" x14ac:dyDescent="0.25">
      <c r="A115" s="132"/>
      <c r="B115" s="155" t="s">
        <v>730</v>
      </c>
      <c r="C115" s="127"/>
      <c r="D115" s="127"/>
      <c r="E115" s="127"/>
      <c r="F115" s="127"/>
      <c r="G115" s="127"/>
      <c r="H115" s="127"/>
      <c r="I115" s="127"/>
      <c r="J115" s="127"/>
      <c r="K115" s="127"/>
      <c r="L115" s="127"/>
      <c r="M115" s="127"/>
      <c r="N115" s="161"/>
      <c r="R115" s="50" t="s">
        <v>115</v>
      </c>
    </row>
    <row r="116" spans="1:18" ht="15" customHeight="1" x14ac:dyDescent="0.2">
      <c r="A116" s="132"/>
      <c r="B116" s="154" t="s">
        <v>724</v>
      </c>
      <c r="C116" s="150">
        <f ca="1">IF(IF(ISNUMBER(FIND("ED only",$B$4)),SUMIFS(Sum_total_epi,site_level_range,LEFT($B$4,LEN($B$4)-10),date_range,C108,inputdata!$E:$E,"*- ED*"),SUMIFS(Sum_total_epi,site_level_range,$B$4,date_range,C108))=0,"-",IF(ISNUMBER(FIND("ED only",$B$4)),SUMIFS(Sum_total_epi,site_level_range,LEFT($B$4,LEN($B$4)-10),date_range,C108,inputdata!$E:$E,"*- ED*"),SUMIFS(Sum_total_epi,site_level_range,$B$4,date_range,C108)))</f>
        <v>128238</v>
      </c>
      <c r="D116" s="150">
        <f ca="1">IF(IF(ISNUMBER(FIND("ED only",$B$4)),SUMIFS(Sum_total_epi,site_level_range,LEFT($B$4,LEN($B$4)-10),date_range,D108,inputdata!$E:$E,"*- ED*"),SUMIFS(Sum_total_epi,site_level_range,$B$4,date_range,D108))=0,"-",IF(ISNUMBER(FIND("ED only",$B$4)),SUMIFS(Sum_total_epi,site_level_range,LEFT($B$4,LEN($B$4)-10),date_range,D108,inputdata!$E:$E,"*- ED*"),SUMIFS(Sum_total_epi,site_level_range,$B$4,date_range,D108)))</f>
        <v>141158</v>
      </c>
      <c r="E116" s="150">
        <f ca="1">IF(IF(ISNUMBER(FIND("ED only",$B$4)),SUMIFS(Sum_total_epi,site_level_range,LEFT($B$4,LEN($B$4)-10),date_range,E108,inputdata!$E:$E,"*- ED*"),SUMIFS(Sum_total_epi,site_level_range,$B$4,date_range,E108))=0,"-",IF(ISNUMBER(FIND("ED only",$B$4)),SUMIFS(Sum_total_epi,site_level_range,LEFT($B$4,LEN($B$4)-10),date_range,E108,inputdata!$E:$E,"*- ED*"),SUMIFS(Sum_total_epi,site_level_range,$B$4,date_range,E108)))</f>
        <v>130096</v>
      </c>
      <c r="F116" s="150">
        <f ca="1">IF(IF(ISNUMBER(FIND("ED only",$B$4)),SUMIFS(Sum_total_epi,site_level_range,LEFT($B$4,LEN($B$4)-10),date_range,F108,inputdata!$E:$E,"*- ED*"),SUMIFS(Sum_total_epi,site_level_range,$B$4,date_range,F108))=0,"-",IF(ISNUMBER(FIND("ED only",$B$4)),SUMIFS(Sum_total_epi,site_level_range,LEFT($B$4,LEN($B$4)-10),date_range,F108,inputdata!$E:$E,"*- ED*"),SUMIFS(Sum_total_epi,site_level_range,$B$4,date_range,F108)))</f>
        <v>128896</v>
      </c>
      <c r="G116" s="150">
        <f ca="1">IF(IF(ISNUMBER(FIND("ED only",$B$4)),SUMIFS(Sum_total_epi,site_level_range,LEFT($B$4,LEN($B$4)-10),date_range,G108,inputdata!$E:$E,"*- ED*"),SUMIFS(Sum_total_epi,site_level_range,$B$4,date_range,G108))=0,"-",IF(ISNUMBER(FIND("ED only",$B$4)),SUMIFS(Sum_total_epi,site_level_range,LEFT($B$4,LEN($B$4)-10),date_range,G108,inputdata!$E:$E,"*- ED*"),SUMIFS(Sum_total_epi,site_level_range,$B$4,date_range,G108)))</f>
        <v>132607</v>
      </c>
      <c r="H116" s="150">
        <f ca="1">IF(IF(ISNUMBER(FIND("ED only",$B$4)),SUMIFS(Sum_total_epi,site_level_range,LEFT($B$4,LEN($B$4)-10),date_range,H108,inputdata!$E:$E,"*- ED*"),SUMIFS(Sum_total_epi,site_level_range,$B$4,date_range,H108))=0,"-",IF(ISNUMBER(FIND("ED only",$B$4)),SUMIFS(Sum_total_epi,site_level_range,LEFT($B$4,LEN($B$4)-10),date_range,H108,inputdata!$E:$E,"*- ED*"),SUMIFS(Sum_total_epi,site_level_range,$B$4,date_range,H108)))</f>
        <v>132826</v>
      </c>
      <c r="I116" s="150">
        <f ca="1">IF(IF(ISNUMBER(FIND("ED only",$B$4)),SUMIFS(Sum_total_epi,site_level_range,LEFT($B$4,LEN($B$4)-10),date_range,I108,inputdata!$E:$E,"*- ED*"),SUMIFS(Sum_total_epi,site_level_range,$B$4,date_range,I108))=0,"-",IF(ISNUMBER(FIND("ED only",$B$4)),SUMIFS(Sum_total_epi,site_level_range,LEFT($B$4,LEN($B$4)-10),date_range,I108,inputdata!$E:$E,"*- ED*"),SUMIFS(Sum_total_epi,site_level_range,$B$4,date_range,I108)))</f>
        <v>130215</v>
      </c>
      <c r="J116" s="150">
        <f ca="1">IF(IF(ISNUMBER(FIND("ED only",$B$4)),SUMIFS(Sum_total_epi,site_level_range,LEFT($B$4,LEN($B$4)-10),date_range,J108,inputdata!$E:$E,"*- ED*"),SUMIFS(Sum_total_epi,site_level_range,$B$4,date_range,J108))=0,"-",IF(ISNUMBER(FIND("ED only",$B$4)),SUMIFS(Sum_total_epi,site_level_range,LEFT($B$4,LEN($B$4)-10),date_range,J108,inputdata!$E:$E,"*- ED*"),SUMIFS(Sum_total_epi,site_level_range,$B$4,date_range,J108)))</f>
        <v>125422</v>
      </c>
      <c r="K116" s="150">
        <f ca="1">IF(IF(ISNUMBER(FIND("ED only",$B$4)),SUMIFS(Sum_total_epi,site_level_range,LEFT($B$4,LEN($B$4)-10),date_range,K108,inputdata!$E:$E,"*- ED*"),SUMIFS(Sum_total_epi,site_level_range,$B$4,date_range,K108))=0,"-",IF(ISNUMBER(FIND("ED only",$B$4)),SUMIFS(Sum_total_epi,site_level_range,LEFT($B$4,LEN($B$4)-10),date_range,K108,inputdata!$E:$E,"*- ED*"),SUMIFS(Sum_total_epi,site_level_range,$B$4,date_range,K108)))</f>
        <v>134083</v>
      </c>
      <c r="L116" s="150">
        <f ca="1">IF(IF(ISNUMBER(FIND("ED only",$B$4)),SUMIFS(Sum_total_epi,site_level_range,LEFT($B$4,LEN($B$4)-10),date_range,L108,inputdata!$E:$E,"*- ED*"),SUMIFS(Sum_total_epi,site_level_range,$B$4,date_range,L108))=0,"-",IF(ISNUMBER(FIND("ED only",$B$4)),SUMIFS(Sum_total_epi,site_level_range,LEFT($B$4,LEN($B$4)-10),date_range,L108,inputdata!$E:$E,"*- ED*"),SUMIFS(Sum_total_epi,site_level_range,$B$4,date_range,L108)))</f>
        <v>121857</v>
      </c>
      <c r="M116" s="150">
        <f ca="1">IF(IF(ISNUMBER(FIND("ED only",$B$4)),SUMIFS(Sum_total_epi,site_level_range,LEFT($B$4,LEN($B$4)-10),date_range,M108,inputdata!$E:$E,"*- ED*"),SUMIFS(Sum_total_epi,site_level_range,$B$4,date_range,M108))=0,"-",IF(ISNUMBER(FIND("ED only",$B$4)),SUMIFS(Sum_total_epi,site_level_range,LEFT($B$4,LEN($B$4)-10),date_range,M108,inputdata!$E:$E,"*- ED*"),SUMIFS(Sum_total_epi,site_level_range,$B$4,date_range,M108)))</f>
        <v>115158</v>
      </c>
      <c r="N116" s="159">
        <f ca="1">IF(IF(ISNUMBER(FIND("ED only",$B$4)),SUMIFS(Sum_total_epi,site_level_range,LEFT($B$4,LEN($B$4)-10),date_range,N108,inputdata!$E:$E,"*- ED*"),SUMIFS(Sum_total_epi,site_level_range,$B$4,date_range,N108))=0,"-",IF(ISNUMBER(FIND("ED only",$B$4)),SUMIFS(Sum_total_epi,site_level_range,LEFT($B$4,LEN($B$4)-10),date_range,N108,inputdata!$E:$E,"*- ED*"),SUMIFS(Sum_total_epi,site_level_range,$B$4,date_range,N108)))</f>
        <v>130521</v>
      </c>
      <c r="R116" s="50" t="s">
        <v>116</v>
      </c>
    </row>
    <row r="117" spans="1:18" ht="15" customHeight="1" x14ac:dyDescent="0.2">
      <c r="A117" s="132"/>
      <c r="B117" s="152" t="s">
        <v>731</v>
      </c>
      <c r="C117" s="147">
        <f ca="1">IF(C116="-","-",IF(ISNUMBER(FIND("ED only",$B$4)),SUMIFS(Sum_over_8,site_level_range,LEFT($B$4,LEN($B$4)-10),date_range,C108,inputdata!$E:$E,"*- ED*"),SUMIFS(Sum_over_8,site_level_range,$B$4,date_range,C108)))</f>
        <v>689</v>
      </c>
      <c r="D117" s="147">
        <f ca="1">IF(D116="-","-",IF(ISNUMBER(FIND("ED only",$B$4)),SUMIFS(Sum_over_8,site_level_range,LEFT($B$4,LEN($B$4)-10),date_range,D108,inputdata!$E:$E,"*- ED*"),SUMIFS(Sum_over_8,site_level_range,$B$4,date_range,D108)))</f>
        <v>704</v>
      </c>
      <c r="E117" s="147">
        <f ca="1">IF(E116="-","-",IF(ISNUMBER(FIND("ED only",$B$4)),SUMIFS(Sum_over_8,site_level_range,LEFT($B$4,LEN($B$4)-10),date_range,E108,inputdata!$E:$E,"*- ED*"),SUMIFS(Sum_over_8,site_level_range,$B$4,date_range,E108)))</f>
        <v>371</v>
      </c>
      <c r="F117" s="147">
        <f ca="1">IF(F116="-","-",IF(ISNUMBER(FIND("ED only",$B$4)),SUMIFS(Sum_over_8,site_level_range,LEFT($B$4,LEN($B$4)-10),date_range,F108,inputdata!$E:$E,"*- ED*"),SUMIFS(Sum_over_8,site_level_range,$B$4,date_range,F108)))</f>
        <v>278</v>
      </c>
      <c r="G117" s="147">
        <f ca="1">IF(G116="-","-",IF(ISNUMBER(FIND("ED only",$B$4)),SUMIFS(Sum_over_8,site_level_range,LEFT($B$4,LEN($B$4)-10),date_range,G108,inputdata!$E:$E,"*- ED*"),SUMIFS(Sum_over_8,site_level_range,$B$4,date_range,G108)))</f>
        <v>356</v>
      </c>
      <c r="H117" s="147">
        <f ca="1">IF(H116="-","-",IF(ISNUMBER(FIND("ED only",$B$4)),SUMIFS(Sum_over_8,site_level_range,LEFT($B$4,LEN($B$4)-10),date_range,H108,inputdata!$E:$E,"*- ED*"),SUMIFS(Sum_over_8,site_level_range,$B$4,date_range,H108)))</f>
        <v>774</v>
      </c>
      <c r="I117" s="147">
        <f ca="1">IF(I116="-","-",IF(ISNUMBER(FIND("ED only",$B$4)),SUMIFS(Sum_over_8,site_level_range,LEFT($B$4,LEN($B$4)-10),date_range,I108,inputdata!$E:$E,"*- ED*"),SUMIFS(Sum_over_8,site_level_range,$B$4,date_range,I108)))</f>
        <v>667</v>
      </c>
      <c r="J117" s="147">
        <f ca="1">IF(J116="-","-",IF(ISNUMBER(FIND("ED only",$B$4)),SUMIFS(Sum_over_8,site_level_range,LEFT($B$4,LEN($B$4)-10),date_range,J108,inputdata!$E:$E,"*- ED*"),SUMIFS(Sum_over_8,site_level_range,$B$4,date_range,J108)))</f>
        <v>928</v>
      </c>
      <c r="K117" s="147">
        <f ca="1">IF(K116="-","-",IF(ISNUMBER(FIND("ED only",$B$4)),SUMIFS(Sum_over_8,site_level_range,LEFT($B$4,LEN($B$4)-10),date_range,K108,inputdata!$E:$E,"*- ED*"),SUMIFS(Sum_over_8,site_level_range,$B$4,date_range,K108)))</f>
        <v>3305</v>
      </c>
      <c r="L117" s="147">
        <f ca="1">IF(L116="-","-",IF(ISNUMBER(FIND("ED only",$B$4)),SUMIFS(Sum_over_8,site_level_range,LEFT($B$4,LEN($B$4)-10),date_range,L108,inputdata!$E:$E,"*- ED*"),SUMIFS(Sum_over_8,site_level_range,$B$4,date_range,L108)))</f>
        <v>3170</v>
      </c>
      <c r="M117" s="147">
        <f ca="1">IF(M116="-","-",IF(ISNUMBER(FIND("ED only",$B$4)),SUMIFS(Sum_over_8,site_level_range,LEFT($B$4,LEN($B$4)-10),date_range,M108,inputdata!$E:$E,"*- ED*"),SUMIFS(Sum_over_8,site_level_range,$B$4,date_range,M108)))</f>
        <v>1210</v>
      </c>
      <c r="N117" s="156">
        <f ca="1">IF(N116="-","-",IF(ISNUMBER(FIND("ED only",$B$4)),SUMIFS(Sum_over_8,site_level_range,LEFT($B$4,LEN($B$4)-10),date_range,N108,inputdata!$E:$E,"*- ED*"),SUMIFS(Sum_over_8,site_level_range,$B$4,date_range,N108)))</f>
        <v>2577</v>
      </c>
      <c r="R117" s="50" t="s">
        <v>191</v>
      </c>
    </row>
    <row r="118" spans="1:18" ht="15" customHeight="1" x14ac:dyDescent="0.2">
      <c r="A118" s="132"/>
      <c r="B118" s="154" t="s">
        <v>732</v>
      </c>
      <c r="C118" s="151">
        <f t="shared" ref="C118:N118" ca="1" si="22">IF(ISERROR(1-C117/C116),"-",1-C117/C116)</f>
        <v>0.99462717759166552</v>
      </c>
      <c r="D118" s="151">
        <f t="shared" ca="1" si="22"/>
        <v>0.99501268082574135</v>
      </c>
      <c r="E118" s="151">
        <f t="shared" ca="1" si="22"/>
        <v>0.99714825974664867</v>
      </c>
      <c r="F118" s="151">
        <f t="shared" ca="1" si="22"/>
        <v>0.99784322244289969</v>
      </c>
      <c r="G118" s="151">
        <f t="shared" ca="1" si="22"/>
        <v>0.99731537550808025</v>
      </c>
      <c r="H118" s="151">
        <f t="shared" ca="1" si="22"/>
        <v>0.99417282760905246</v>
      </c>
      <c r="I118" s="151">
        <f t="shared" ca="1" si="22"/>
        <v>0.99487770226164418</v>
      </c>
      <c r="J118" s="151">
        <f t="shared" ca="1" si="22"/>
        <v>0.99260097909457667</v>
      </c>
      <c r="K118" s="151">
        <f t="shared" ca="1" si="22"/>
        <v>0.97535108850488128</v>
      </c>
      <c r="L118" s="151">
        <f t="shared" ca="1" si="22"/>
        <v>0.97398590150750475</v>
      </c>
      <c r="M118" s="151">
        <f t="shared" ca="1" si="22"/>
        <v>0.98949269699022213</v>
      </c>
      <c r="N118" s="160">
        <f t="shared" ca="1" si="22"/>
        <v>0.98025605075045397</v>
      </c>
      <c r="R118" s="50" t="s">
        <v>359</v>
      </c>
    </row>
    <row r="119" spans="1:18" ht="15" customHeight="1" x14ac:dyDescent="0.2">
      <c r="A119" s="132"/>
      <c r="B119" s="152" t="s">
        <v>733</v>
      </c>
      <c r="C119" s="147">
        <f ca="1">IF(C116="-","-",IF(ISNUMBER(FIND("ED only",$B$4)),SUMIFS(Sum_over_12,site_level_range,LEFT($B$4,LEN($B$4)-10),date_range,C108,inputdata!$E:$E,"*- ED*"),SUMIFS(Sum_over_12,site_level_range,$B$4,date_range,C108)))</f>
        <v>99</v>
      </c>
      <c r="D119" s="147">
        <f ca="1">IF(D116="-","-",IF(ISNUMBER(FIND("ED only",$B$4)),SUMIFS(Sum_over_12,site_level_range,LEFT($B$4,LEN($B$4)-10),date_range,D108,inputdata!$E:$E,"*- ED*"),SUMIFS(Sum_over_12,site_level_range,$B$4,date_range,D108)))</f>
        <v>96</v>
      </c>
      <c r="E119" s="147">
        <f ca="1">IF(E116="-","-",IF(ISNUMBER(FIND("ED only",$B$4)),SUMIFS(Sum_over_12,site_level_range,LEFT($B$4,LEN($B$4)-10),date_range,E108,inputdata!$E:$E,"*- ED*"),SUMIFS(Sum_over_12,site_level_range,$B$4,date_range,E108)))</f>
        <v>73</v>
      </c>
      <c r="F119" s="147">
        <f ca="1">IF(F116="-","-",IF(ISNUMBER(FIND("ED only",$B$4)),SUMIFS(Sum_over_12,site_level_range,LEFT($B$4,LEN($B$4)-10),date_range,F108,inputdata!$E:$E,"*- ED*"),SUMIFS(Sum_over_12,site_level_range,$B$4,date_range,F108)))</f>
        <v>27</v>
      </c>
      <c r="G119" s="147">
        <f ca="1">IF(G116="-","-",IF(ISNUMBER(FIND("ED only",$B$4)),SUMIFS(Sum_over_12,site_level_range,LEFT($B$4,LEN($B$4)-10),date_range,G108,inputdata!$E:$E,"*- ED*"),SUMIFS(Sum_over_12,site_level_range,$B$4,date_range,G108)))</f>
        <v>43</v>
      </c>
      <c r="H119" s="147">
        <f ca="1">IF(H116="-","-",IF(ISNUMBER(FIND("ED only",$B$4)),SUMIFS(Sum_over_12,site_level_range,LEFT($B$4,LEN($B$4)-10),date_range,H108,inputdata!$E:$E,"*- ED*"),SUMIFS(Sum_over_12,site_level_range,$B$4,date_range,H108)))</f>
        <v>166</v>
      </c>
      <c r="I119" s="147">
        <f ca="1">IF(I116="-","-",IF(ISNUMBER(FIND("ED only",$B$4)),SUMIFS(Sum_over_12,site_level_range,LEFT($B$4,LEN($B$4)-10),date_range,I108,inputdata!$E:$E,"*- ED*"),SUMIFS(Sum_over_12,site_level_range,$B$4,date_range,I108)))</f>
        <v>75</v>
      </c>
      <c r="J119" s="147">
        <f ca="1">IF(J116="-","-",IF(ISNUMBER(FIND("ED only",$B$4)),SUMIFS(Sum_over_12,site_level_range,LEFT($B$4,LEN($B$4)-10),date_range,J108,inputdata!$E:$E,"*- ED*"),SUMIFS(Sum_over_12,site_level_range,$B$4,date_range,J108)))</f>
        <v>217</v>
      </c>
      <c r="K119" s="147">
        <f ca="1">IF(K116="-","-",IF(ISNUMBER(FIND("ED only",$B$4)),SUMIFS(Sum_over_12,site_level_range,LEFT($B$4,LEN($B$4)-10),date_range,K108,inputdata!$E:$E,"*- ED*"),SUMIFS(Sum_over_12,site_level_range,$B$4,date_range,K108)))</f>
        <v>818</v>
      </c>
      <c r="L119" s="147">
        <f ca="1">IF(L116="-","-",IF(ISNUMBER(FIND("ED only",$B$4)),SUMIFS(Sum_over_12,site_level_range,LEFT($B$4,LEN($B$4)-10),date_range,L108,inputdata!$E:$E,"*- ED*"),SUMIFS(Sum_over_12,site_level_range,$B$4,date_range,L108)))</f>
        <v>969</v>
      </c>
      <c r="M119" s="147">
        <f ca="1">IF(M116="-","-",IF(ISNUMBER(FIND("ED only",$B$4)),SUMIFS(Sum_over_12,site_level_range,LEFT($B$4,LEN($B$4)-10),date_range,M108,inputdata!$E:$E,"*- ED*"),SUMIFS(Sum_over_12,site_level_range,$B$4,date_range,M108)))</f>
        <v>262</v>
      </c>
      <c r="N119" s="156">
        <f ca="1">IF(N116="-","-",IF(ISNUMBER(FIND("ED only",$B$4)),SUMIFS(Sum_over_12,site_level_range,LEFT($B$4,LEN($B$4)-10),date_range,N108,inputdata!$E:$E,"*- ED*"),SUMIFS(Sum_over_12,site_level_range,$B$4,date_range,N108)))</f>
        <v>798</v>
      </c>
      <c r="R119" s="50" t="s">
        <v>266</v>
      </c>
    </row>
    <row r="120" spans="1:18" ht="15" customHeight="1" x14ac:dyDescent="0.2">
      <c r="A120" s="132"/>
      <c r="B120" s="154" t="s">
        <v>734</v>
      </c>
      <c r="C120" s="151">
        <f t="shared" ref="C120:N120" ca="1" si="23">IF(ISERROR(1-C119/C116),"-",1-C119/C116)</f>
        <v>0.99922799794132788</v>
      </c>
      <c r="D120" s="151">
        <f t="shared" ca="1" si="23"/>
        <v>0.99931991102169204</v>
      </c>
      <c r="E120" s="151">
        <f t="shared" ca="1" si="23"/>
        <v>0.99943887590702252</v>
      </c>
      <c r="F120" s="151">
        <f t="shared" ca="1" si="23"/>
        <v>0.99979052879841113</v>
      </c>
      <c r="G120" s="151">
        <f t="shared" ca="1" si="23"/>
        <v>0.99967573355856021</v>
      </c>
      <c r="H120" s="151">
        <f t="shared" ca="1" si="23"/>
        <v>0.99875024468101126</v>
      </c>
      <c r="I120" s="151">
        <f t="shared" ca="1" si="23"/>
        <v>0.99942402948969011</v>
      </c>
      <c r="J120" s="151">
        <f t="shared" ca="1" si="23"/>
        <v>0.99826984101672755</v>
      </c>
      <c r="K120" s="151">
        <f t="shared" ca="1" si="23"/>
        <v>0.9938993011791204</v>
      </c>
      <c r="L120" s="151">
        <f t="shared" ca="1" si="23"/>
        <v>0.99204805632831927</v>
      </c>
      <c r="M120" s="151">
        <f t="shared" ca="1" si="23"/>
        <v>0.99772486496813073</v>
      </c>
      <c r="N120" s="160">
        <f t="shared" ca="1" si="23"/>
        <v>0.99388604132668301</v>
      </c>
      <c r="R120" s="50" t="s">
        <v>254</v>
      </c>
    </row>
    <row r="121" spans="1:18" ht="14.45" customHeight="1" x14ac:dyDescent="0.2">
      <c r="B121" s="127"/>
      <c r="C121" s="127"/>
      <c r="D121" s="127"/>
      <c r="E121" s="127"/>
      <c r="F121" s="127"/>
      <c r="G121" s="127"/>
      <c r="H121" s="127"/>
      <c r="I121" s="127"/>
      <c r="J121" s="127"/>
      <c r="K121" s="127"/>
      <c r="L121" s="127"/>
      <c r="M121" s="127"/>
      <c r="N121" s="127"/>
      <c r="R121" s="50" t="s">
        <v>360</v>
      </c>
    </row>
    <row r="122" spans="1:18" ht="15" customHeight="1" x14ac:dyDescent="0.25">
      <c r="A122" s="132"/>
      <c r="B122" s="153" t="s">
        <v>723</v>
      </c>
      <c r="C122" s="149">
        <v>42490</v>
      </c>
      <c r="D122" s="149">
        <v>42521</v>
      </c>
      <c r="E122" s="149">
        <v>42551</v>
      </c>
      <c r="F122" s="149">
        <v>42582</v>
      </c>
      <c r="G122" s="149">
        <v>42613</v>
      </c>
      <c r="H122" s="149">
        <v>42643</v>
      </c>
      <c r="I122" s="149">
        <v>42674</v>
      </c>
      <c r="J122" s="149">
        <v>42704</v>
      </c>
      <c r="K122" s="149">
        <v>42735</v>
      </c>
      <c r="L122" s="149">
        <v>42766</v>
      </c>
      <c r="M122" s="149">
        <v>42794</v>
      </c>
      <c r="N122" s="158">
        <v>42825</v>
      </c>
      <c r="R122" s="50" t="s">
        <v>361</v>
      </c>
    </row>
    <row r="123" spans="1:18" ht="15" customHeight="1" x14ac:dyDescent="0.2">
      <c r="A123" s="132"/>
      <c r="B123" s="152" t="s">
        <v>724</v>
      </c>
      <c r="C123" s="147">
        <f ca="1">IF(IF(ISNUMBER(FIND("ED only",$B$4)),SUMIFS(sum_range,site_level_range,LEFT($B$4,LEN($B$4)-10),date_range,C122,inputdata!$E:$E,"*- ED*"),SUMIFS(sum_range,site_level_range,$B$4,date_range,C122))=0,"-",IF(ISNUMBER(FIND("ED only",$B$4)),SUMIFS(sum_range,site_level_range,LEFT($B$4,LEN($B$4)-10),date_range,C122,inputdata!$E:$E,"*- ED*"),SUMIFS(sum_range,site_level_range,$B$4,date_range,C122)))</f>
        <v>131751</v>
      </c>
      <c r="D123" s="147">
        <f ca="1">IF(IF(ISNUMBER(FIND("ED only",$B$4)),SUMIFS(sum_range,site_level_range,LEFT($B$4,LEN($B$4)-10),date_range,D122,inputdata!$E:$E,"*- ED*"),SUMIFS(sum_range,site_level_range,$B$4,date_range,D122))=0,"-",IF(ISNUMBER(FIND("ED only",$B$4)),SUMIFS(sum_range,site_level_range,LEFT($B$4,LEN($B$4)-10),date_range,D122,inputdata!$E:$E,"*- ED*"),SUMIFS(sum_range,site_level_range,$B$4,date_range,D122)))</f>
        <v>148514</v>
      </c>
      <c r="E123" s="147">
        <f ca="1">IF(IF(ISNUMBER(FIND("ED only",$B$4)),SUMIFS(sum_range,site_level_range,LEFT($B$4,LEN($B$4)-10),date_range,E122,inputdata!$E:$E,"*- ED*"),SUMIFS(sum_range,site_level_range,$B$4,date_range,E122))=0,"-",IF(ISNUMBER(FIND("ED only",$B$4)),SUMIFS(sum_range,site_level_range,LEFT($B$4,LEN($B$4)-10),date_range,E122,inputdata!$E:$E,"*- ED*"),SUMIFS(sum_range,site_level_range,$B$4,date_range,E122)))</f>
        <v>139288</v>
      </c>
      <c r="F123" s="147">
        <f ca="1">IF(IF(ISNUMBER(FIND("ED only",$B$4)),SUMIFS(sum_range,site_level_range,LEFT($B$4,LEN($B$4)-10),date_range,F122,inputdata!$E:$E,"*- ED*"),SUMIFS(sum_range,site_level_range,$B$4,date_range,F122))=0,"-",IF(ISNUMBER(FIND("ED only",$B$4)),SUMIFS(sum_range,site_level_range,LEFT($B$4,LEN($B$4)-10),date_range,F122,inputdata!$E:$E,"*- ED*"),SUMIFS(sum_range,site_level_range,$B$4,date_range,F122)))</f>
        <v>135521</v>
      </c>
      <c r="G123" s="147">
        <f ca="1">IF(IF(ISNUMBER(FIND("ED only",$B$4)),SUMIFS(sum_range,site_level_range,LEFT($B$4,LEN($B$4)-10),date_range,G122,inputdata!$E:$E,"*- ED*"),SUMIFS(sum_range,site_level_range,$B$4,date_range,G122))=0,"-",IF(ISNUMBER(FIND("ED only",$B$4)),SUMIFS(sum_range,site_level_range,LEFT($B$4,LEN($B$4)-10),date_range,G122,inputdata!$E:$E,"*- ED*"),SUMIFS(sum_range,site_level_range,$B$4,date_range,G122)))</f>
        <v>142939</v>
      </c>
      <c r="H123" s="147">
        <f ca="1">IF(IF(ISNUMBER(FIND("ED only",$B$4)),SUMIFS(sum_range,site_level_range,LEFT($B$4,LEN($B$4)-10),date_range,H122,inputdata!$E:$E,"*- ED*"),SUMIFS(sum_range,site_level_range,$B$4,date_range,H122))=0,"-",IF(ISNUMBER(FIND("ED only",$B$4)),SUMIFS(sum_range,site_level_range,LEFT($B$4,LEN($B$4)-10),date_range,H122,inputdata!$E:$E,"*- ED*"),SUMIFS(sum_range,site_level_range,$B$4,date_range,H122)))</f>
        <v>141105</v>
      </c>
      <c r="I123" s="147">
        <f ca="1">IF(IF(ISNUMBER(FIND("ED only",$B$4)),SUMIFS(sum_range,site_level_range,LEFT($B$4,LEN($B$4)-10),date_range,I122,inputdata!$E:$E,"*- ED*"),SUMIFS(sum_range,site_level_range,$B$4,date_range,I122))=0,"-",IF(ISNUMBER(FIND("ED only",$B$4)),SUMIFS(sum_range,site_level_range,LEFT($B$4,LEN($B$4)-10),date_range,I122,inputdata!$E:$E,"*- ED*"),SUMIFS(sum_range,site_level_range,$B$4,date_range,I122)))</f>
        <v>136742</v>
      </c>
      <c r="J123" s="147">
        <f ca="1">IF(IF(ISNUMBER(FIND("ED only",$B$4)),SUMIFS(sum_range,site_level_range,LEFT($B$4,LEN($B$4)-10),date_range,J122,inputdata!$E:$E,"*- ED*"),SUMIFS(sum_range,site_level_range,$B$4,date_range,J122))=0,"-",IF(ISNUMBER(FIND("ED only",$B$4)),SUMIFS(sum_range,site_level_range,LEFT($B$4,LEN($B$4)-10),date_range,J122,inputdata!$E:$E,"*- ED*"),SUMIFS(sum_range,site_level_range,$B$4,date_range,J122)))</f>
        <v>129227</v>
      </c>
      <c r="K123" s="147">
        <f ca="1">IF(IF(ISNUMBER(FIND("ED only",$B$4)),SUMIFS(sum_range,site_level_range,LEFT($B$4,LEN($B$4)-10),date_range,K122,inputdata!$E:$E,"*- ED*"),SUMIFS(sum_range,site_level_range,$B$4,date_range,K122))=0,"-",IF(ISNUMBER(FIND("ED only",$B$4)),SUMIFS(sum_range,site_level_range,LEFT($B$4,LEN($B$4)-10),date_range,K122,inputdata!$E:$E,"*- ED*"),SUMIFS(sum_range,site_level_range,$B$4,date_range,K122)))</f>
        <v>130839</v>
      </c>
      <c r="L123" s="147">
        <f ca="1">IF(IF(ISNUMBER(FIND("ED only",$B$4)),SUMIFS(sum_range,site_level_range,LEFT($B$4,LEN($B$4)-10),date_range,L122,inputdata!$E:$E,"*- ED*"),SUMIFS(sum_range,site_level_range,$B$4,date_range,L122))=0,"-",IF(ISNUMBER(FIND("ED only",$B$4)),SUMIFS(sum_range,site_level_range,LEFT($B$4,LEN($B$4)-10),date_range,L122,inputdata!$E:$E,"*- ED*"),SUMIFS(sum_range,site_level_range,$B$4,date_range,L122)))</f>
        <v>128643</v>
      </c>
      <c r="M123" s="147">
        <f ca="1">IF(IF(ISNUMBER(FIND("ED only",$B$4)),SUMIFS(sum_range,site_level_range,LEFT($B$4,LEN($B$4)-10),date_range,M122,inputdata!$E:$E,"*- ED*"),SUMIFS(sum_range,site_level_range,$B$4,date_range,M122))=0,"-",IF(ISNUMBER(FIND("ED only",$B$4)),SUMIFS(sum_range,site_level_range,LEFT($B$4,LEN($B$4)-10),date_range,M122,inputdata!$E:$E,"*- ED*"),SUMIFS(sum_range,site_level_range,$B$4,date_range,M122)))</f>
        <v>118792</v>
      </c>
      <c r="N123" s="156">
        <f ca="1">IF(IF(ISNUMBER(FIND("ED only",$B$4)),SUMIFS(sum_range,site_level_range,LEFT($B$4,LEN($B$4)-10),date_range,N122,inputdata!$E:$E,"*- ED*"),SUMIFS(sum_range,site_level_range,$B$4,date_range,N122))=0,"-",IF(ISNUMBER(FIND("ED only",$B$4)),SUMIFS(sum_range,site_level_range,LEFT($B$4,LEN($B$4)-10),date_range,N122,inputdata!$E:$E,"*- ED*"),SUMIFS(sum_range,site_level_range,$B$4,date_range,N122)))</f>
        <v>138807</v>
      </c>
      <c r="R123" s="50" t="s">
        <v>258</v>
      </c>
    </row>
    <row r="124" spans="1:18" ht="15" customHeight="1" x14ac:dyDescent="0.2">
      <c r="A124" s="132"/>
      <c r="B124" s="152" t="s">
        <v>725</v>
      </c>
      <c r="C124" s="147">
        <f ca="1">IF(AND(MONTH(C122)=3,ISNUMBER($N123),ISNUMBER($C123)),SUM($C123:C123),IF(AND(MONTH(C122)&lt;&gt;3,ISNUMBER(C123),ISNUMBER(D137)),SUM($C123:C123,D137:$N137),"-"))</f>
        <v>1603601</v>
      </c>
      <c r="D124" s="147">
        <f ca="1">IF(AND(MONTH(D122)=3,ISNUMBER($N123),ISNUMBER($C123)),SUM($C123:D123),IF(AND(MONTH(D122)&lt;&gt;3,ISNUMBER(D123),ISNUMBER(E137)),SUM($C123:D123,E137:$N137),"-"))</f>
        <v>1614049</v>
      </c>
      <c r="E124" s="147">
        <f ca="1">IF(AND(MONTH(E122)=3,ISNUMBER($N123),ISNUMBER($C123)),SUM($C123:E123),IF(AND(MONTH(E122)&lt;&gt;3,ISNUMBER(E123),ISNUMBER(F137)),SUM($C123:E123,F137:$N137),"-"))</f>
        <v>1618595</v>
      </c>
      <c r="F124" s="147">
        <f ca="1">IF(AND(MONTH(F122)=3,ISNUMBER($N123),ISNUMBER($C123)),SUM($C123:F123),IF(AND(MONTH(F122)&lt;&gt;3,ISNUMBER(F123),ISNUMBER(G137)),SUM($C123:F123,G137:$N137),"-"))</f>
        <v>1622194</v>
      </c>
      <c r="G124" s="147">
        <f ca="1">IF(AND(MONTH(G122)=3,ISNUMBER($N123),ISNUMBER($C123)),SUM($C123:G123),IF(AND(MONTH(G122)&lt;&gt;3,ISNUMBER(G123),ISNUMBER(H137)),SUM($C123:G123,H137:$N137),"-"))</f>
        <v>1623058</v>
      </c>
      <c r="H124" s="147">
        <f ca="1">IF(AND(MONTH(H122)=3,ISNUMBER($N123),ISNUMBER($C123)),SUM($C123:H123),IF(AND(MONTH(H122)&lt;&gt;3,ISNUMBER(H123),ISNUMBER(I137)),SUM($C123:H123,I137:$N137),"-"))</f>
        <v>1627096</v>
      </c>
      <c r="I124" s="147">
        <f ca="1">IF(AND(MONTH(I122)=3,ISNUMBER($N123),ISNUMBER($C123)),SUM($C123:I123),IF(AND(MONTH(I122)&lt;&gt;3,ISNUMBER(I123),ISNUMBER(J137)),SUM($C123:I123,J137:$N137),"-"))</f>
        <v>1630823</v>
      </c>
      <c r="J124" s="147">
        <f ca="1">IF(AND(MONTH(J122)=3,ISNUMBER($N123),ISNUMBER($C123)),SUM($C123:J123),IF(AND(MONTH(J122)&lt;&gt;3,ISNUMBER(J123),ISNUMBER(K137)),SUM($C123:J123,K137:$N137),"-"))</f>
        <v>1632527</v>
      </c>
      <c r="K124" s="147">
        <f ca="1">IF(AND(MONTH(K122)=3,ISNUMBER($N123),ISNUMBER($C123)),SUM($C123:K123),IF(AND(MONTH(K122)&lt;&gt;3,ISNUMBER(K123),ISNUMBER(L137)),SUM($C123:K123,L137:$N137),"-"))</f>
        <v>1638170</v>
      </c>
      <c r="L124" s="147">
        <f ca="1">IF(AND(MONTH(L122)=3,ISNUMBER($N123),ISNUMBER($C123)),SUM($C123:L123),IF(AND(MONTH(L122)&lt;&gt;3,ISNUMBER(L123),ISNUMBER(M137)),SUM($C123:L123,M137:$N137),"-"))</f>
        <v>1637293</v>
      </c>
      <c r="M124" s="147">
        <f ca="1">IF(AND(MONTH(M122)=3,ISNUMBER($N123),ISNUMBER($C123)),SUM($C123:M123),IF(AND(MONTH(M122)&lt;&gt;3,ISNUMBER(M123),ISNUMBER(N137)),SUM($C123:M123,N137:$N137),"-"))</f>
        <v>1628273</v>
      </c>
      <c r="N124" s="156">
        <f ca="1">IF(AND(MONTH(N122)=3,ISNUMBER($N123),ISNUMBER($C123)),SUM($C123:N123),IF(AND(MONTH(N122)&lt;&gt;3,ISNUMBER(N123),ISNUMBER(O137)),SUM($C123:N123,$N137:O137),"-"))</f>
        <v>1622168</v>
      </c>
      <c r="R124" s="50" t="s">
        <v>302</v>
      </c>
    </row>
    <row r="125" spans="1:18" ht="15" customHeight="1" x14ac:dyDescent="0.2">
      <c r="A125" s="132"/>
      <c r="B125" s="154" t="s">
        <v>726</v>
      </c>
      <c r="C125" s="150">
        <f t="shared" ref="C125:N125" ca="1" si="24">IF(ISNUMBER(C124),C124/12,NA())</f>
        <v>133633.41666666666</v>
      </c>
      <c r="D125" s="150">
        <f t="shared" ca="1" si="24"/>
        <v>134504.08333333334</v>
      </c>
      <c r="E125" s="150">
        <f t="shared" ca="1" si="24"/>
        <v>134882.91666666666</v>
      </c>
      <c r="F125" s="150">
        <f t="shared" ca="1" si="24"/>
        <v>135182.83333333334</v>
      </c>
      <c r="G125" s="150">
        <f t="shared" ca="1" si="24"/>
        <v>135254.83333333334</v>
      </c>
      <c r="H125" s="150">
        <f t="shared" ca="1" si="24"/>
        <v>135591.33333333334</v>
      </c>
      <c r="I125" s="150">
        <f t="shared" ca="1" si="24"/>
        <v>135901.91666666666</v>
      </c>
      <c r="J125" s="150">
        <f t="shared" ca="1" si="24"/>
        <v>136043.91666666666</v>
      </c>
      <c r="K125" s="150">
        <f t="shared" ca="1" si="24"/>
        <v>136514.16666666666</v>
      </c>
      <c r="L125" s="150">
        <f t="shared" ca="1" si="24"/>
        <v>136441.08333333334</v>
      </c>
      <c r="M125" s="150">
        <f t="shared" ca="1" si="24"/>
        <v>135689.41666666666</v>
      </c>
      <c r="N125" s="159">
        <f t="shared" ca="1" si="24"/>
        <v>135180.66666666666</v>
      </c>
      <c r="R125" s="50" t="s">
        <v>362</v>
      </c>
    </row>
    <row r="126" spans="1:18" ht="15" customHeight="1" x14ac:dyDescent="0.2">
      <c r="A126" s="132"/>
      <c r="B126" s="152" t="s">
        <v>727</v>
      </c>
      <c r="C126" s="147">
        <f ca="1">IF(C123="-","-",C123-IF(ISNUMBER(FIND("ED only",$B$4)),SUMIFS(sum_over_4_tot,site_level_range,LEFT($B$4,LEN($B$4)-10),date_range,C122,inputdata!$E:$E,"*- ED*"),SUMIFS(sum_over_4_tot,site_level_range,$B$4,date_range,C122)))</f>
        <v>6476</v>
      </c>
      <c r="D126" s="147">
        <f ca="1">IF(D123="-","-",D123-IF(ISNUMBER(FIND("ED only",$B$4)),SUMIFS(sum_over_4_tot,site_level_range,LEFT($B$4,LEN($B$4)-10),date_range,D122,inputdata!$E:$E,"*- ED*"),SUMIFS(sum_over_4_tot,site_level_range,$B$4,date_range,D122)))</f>
        <v>8205</v>
      </c>
      <c r="E126" s="147">
        <f ca="1">IF(E123="-","-",E123-IF(ISNUMBER(FIND("ED only",$B$4)),SUMIFS(sum_over_4_tot,site_level_range,LEFT($B$4,LEN($B$4)-10),date_range,E122,inputdata!$E:$E,"*- ED*"),SUMIFS(sum_over_4_tot,site_level_range,$B$4,date_range,E122)))</f>
        <v>6001</v>
      </c>
      <c r="F126" s="147">
        <f ca="1">IF(F123="-","-",F123-IF(ISNUMBER(FIND("ED only",$B$4)),SUMIFS(sum_over_4_tot,site_level_range,LEFT($B$4,LEN($B$4)-10),date_range,F122,inputdata!$E:$E,"*- ED*"),SUMIFS(sum_over_4_tot,site_level_range,$B$4,date_range,F122)))</f>
        <v>5753</v>
      </c>
      <c r="G126" s="147">
        <f ca="1">IF(G123="-","-",G123-IF(ISNUMBER(FIND("ED only",$B$4)),SUMIFS(sum_over_4_tot,site_level_range,LEFT($B$4,LEN($B$4)-10),date_range,G122,inputdata!$E:$E,"*- ED*"),SUMIFS(sum_over_4_tot,site_level_range,$B$4,date_range,G122)))</f>
        <v>7499</v>
      </c>
      <c r="H126" s="147">
        <f ca="1">IF(H123="-","-",H123-IF(ISNUMBER(FIND("ED only",$B$4)),SUMIFS(sum_over_4_tot,site_level_range,LEFT($B$4,LEN($B$4)-10),date_range,H122,inputdata!$E:$E,"*- ED*"),SUMIFS(sum_over_4_tot,site_level_range,$B$4,date_range,H122)))</f>
        <v>7262</v>
      </c>
      <c r="I126" s="147">
        <f ca="1">IF(I123="-","-",I123-IF(ISNUMBER(FIND("ED only",$B$4)),SUMIFS(sum_over_4_tot,site_level_range,LEFT($B$4,LEN($B$4)-10),date_range,I122,inputdata!$E:$E,"*- ED*"),SUMIFS(sum_over_4_tot,site_level_range,$B$4,date_range,I122)))</f>
        <v>8309</v>
      </c>
      <c r="J126" s="147">
        <f ca="1">IF(J123="-","-",J123-IF(ISNUMBER(FIND("ED only",$B$4)),SUMIFS(sum_over_4_tot,site_level_range,LEFT($B$4,LEN($B$4)-10),date_range,J122,inputdata!$E:$E,"*- ED*"),SUMIFS(sum_over_4_tot,site_level_range,$B$4,date_range,J122)))</f>
        <v>8320</v>
      </c>
      <c r="K126" s="147">
        <f ca="1">IF(K123="-","-",K123-IF(ISNUMBER(FIND("ED only",$B$4)),SUMIFS(sum_over_4_tot,site_level_range,LEFT($B$4,LEN($B$4)-10),date_range,K122,inputdata!$E:$E,"*- ED*"),SUMIFS(sum_over_4_tot,site_level_range,$B$4,date_range,K122)))</f>
        <v>9666</v>
      </c>
      <c r="L126" s="147">
        <f ca="1">IF(L123="-","-",L123-IF(ISNUMBER(FIND("ED only",$B$4)),SUMIFS(sum_over_4_tot,site_level_range,LEFT($B$4,LEN($B$4)-10),date_range,L122,inputdata!$E:$E,"*- ED*"),SUMIFS(sum_over_4_tot,site_level_range,$B$4,date_range,L122)))</f>
        <v>10484</v>
      </c>
      <c r="M126" s="147">
        <f ca="1">IF(M123="-","-",M123-IF(ISNUMBER(FIND("ED only",$B$4)),SUMIFS(sum_over_4_tot,site_level_range,LEFT($B$4,LEN($B$4)-10),date_range,M122,inputdata!$E:$E,"*- ED*"),SUMIFS(sum_over_4_tot,site_level_range,$B$4,date_range,M122)))</f>
        <v>8861</v>
      </c>
      <c r="N126" s="156">
        <f ca="1">IF(N123="-","-",N123-IF(ISNUMBER(FIND("ED only",$B$4)),SUMIFS(sum_over_4_tot,site_level_range,LEFT($B$4,LEN($B$4)-10),date_range,N122,inputdata!$E:$E,"*- ED*"),SUMIFS(sum_over_4_tot,site_level_range,$B$4,date_range,N122)))</f>
        <v>8603</v>
      </c>
      <c r="R126" s="50" t="s">
        <v>259</v>
      </c>
    </row>
    <row r="127" spans="1:18" ht="15" customHeight="1" x14ac:dyDescent="0.2">
      <c r="A127" s="132"/>
      <c r="B127" s="152" t="s">
        <v>728</v>
      </c>
      <c r="C127" s="148">
        <f t="shared" ref="C127:N127" ca="1" si="25">IF(ISERROR(1-C126/C123),NA(),(1-C126/C123))</f>
        <v>0.95084667289052838</v>
      </c>
      <c r="D127" s="148">
        <f t="shared" ca="1" si="25"/>
        <v>0.94475268324871731</v>
      </c>
      <c r="E127" s="148">
        <f t="shared" ca="1" si="25"/>
        <v>0.95691660444546556</v>
      </c>
      <c r="F127" s="148">
        <f t="shared" ca="1" si="25"/>
        <v>0.95754901454387142</v>
      </c>
      <c r="G127" s="148">
        <f t="shared" ca="1" si="25"/>
        <v>0.94753706126389581</v>
      </c>
      <c r="H127" s="148">
        <f t="shared" ca="1" si="25"/>
        <v>0.94853477906523509</v>
      </c>
      <c r="I127" s="148">
        <f t="shared" ca="1" si="25"/>
        <v>0.93923593336356059</v>
      </c>
      <c r="J127" s="148">
        <f t="shared" ca="1" si="25"/>
        <v>0.93561716978649967</v>
      </c>
      <c r="K127" s="148">
        <f t="shared" ca="1" si="25"/>
        <v>0.92612294499346526</v>
      </c>
      <c r="L127" s="148">
        <f t="shared" ca="1" si="25"/>
        <v>0.91850314436075031</v>
      </c>
      <c r="M127" s="148">
        <f t="shared" ca="1" si="25"/>
        <v>0.92540743484409727</v>
      </c>
      <c r="N127" s="157">
        <f t="shared" ca="1" si="25"/>
        <v>0.9380218576872924</v>
      </c>
      <c r="R127" s="50" t="s">
        <v>260</v>
      </c>
    </row>
    <row r="128" spans="1:18" ht="15" customHeight="1" x14ac:dyDescent="0.2">
      <c r="A128" s="132"/>
      <c r="B128" s="154" t="s">
        <v>729</v>
      </c>
      <c r="C128" s="151">
        <f ca="1">IF(ISERROR(C125),NA(),IF(AND(MONTH(C122)=3,ISNUMBER($N123),ISNUMBER($C123)),1-(SUM($C126:$N126)/SUM($C123:$N123)),IF(AND(MONTH(C122)&lt;&gt;3,ISNUMBER(C123),ISNUMBER(D137)),1-(SUM(D140:$N140,$C126:C126)/SUM($C123:C123,D137:$N137)),NA())))</f>
        <v>0.94306064912655951</v>
      </c>
      <c r="D128" s="151">
        <f ca="1">IF(ISERROR(D125),NA(),IF(AND(MONTH(D122)=3,ISNUMBER($N123),ISNUMBER($C123)),1-(SUM($C126:$N126)/SUM($C123:$N123)),IF(AND(MONTH(D122)&lt;&gt;3,ISNUMBER(D123),ISNUMBER(E137)),1-(SUM(E140:$N140,$C126:D126)/SUM($C123:D123,E137:$N137)),NA())))</f>
        <v>0.94391743992902322</v>
      </c>
      <c r="E128" s="151">
        <f ca="1">IF(ISERROR(E125),NA(),IF(AND(MONTH(E122)=3,ISNUMBER($N123),ISNUMBER($C123)),1-(SUM($C126:$N126)/SUM($C123:$N123)),IF(AND(MONTH(E122)&lt;&gt;3,ISNUMBER(E123),ISNUMBER(F137)),1-(SUM(F140:$N140,$C126:E126)/SUM($C123:E123,F137:$N137)),NA())))</f>
        <v>0.94508694268794846</v>
      </c>
      <c r="F128" s="151">
        <f ca="1">IF(ISERROR(F125),NA(),IF(AND(MONTH(F122)=3,ISNUMBER($N123),ISNUMBER($C123)),1-(SUM($C126:$N126)/SUM($C123:$N123)),IF(AND(MONTH(F122)&lt;&gt;3,ISNUMBER(F123),ISNUMBER(G137)),1-(SUM(G140:$N140,$C126:F126)/SUM($C123:F123,G137:$N137)),NA())))</f>
        <v>0.94504664670193572</v>
      </c>
      <c r="G128" s="151">
        <f ca="1">IF(ISERROR(G125),NA(),IF(AND(MONTH(G122)=3,ISNUMBER($N123),ISNUMBER($C123)),1-(SUM($C126:$N126)/SUM($C123:$N123)),IF(AND(MONTH(G122)&lt;&gt;3,ISNUMBER(G123),ISNUMBER(H137)),1-(SUM(H140:$N140,$C126:G126)/SUM($C123:G123,H137:$N137)),NA())))</f>
        <v>0.94463537347402249</v>
      </c>
      <c r="H128" s="151">
        <f ca="1">IF(ISERROR(H125),NA(),IF(AND(MONTH(H122)=3,ISNUMBER($N123),ISNUMBER($C123)),1-(SUM($C126:$N126)/SUM($C123:$N123)),IF(AND(MONTH(H122)&lt;&gt;3,ISNUMBER(H123),ISNUMBER(I137)),1-(SUM(I140:$N140,$C126:H126)/SUM($C123:H123,I137:$N137)),NA())))</f>
        <v>0.94417108763096957</v>
      </c>
      <c r="I128" s="151">
        <f ca="1">IF(ISERROR(I125),NA(),IF(AND(MONTH(I122)=3,ISNUMBER($N123),ISNUMBER($C123)),1-(SUM($C126:$N126)/SUM($C123:$N123)),IF(AND(MONTH(I122)&lt;&gt;3,ISNUMBER(I123),ISNUMBER(J137)),1-(SUM(J140:$N140,$C126:I126)/SUM($C123:I123,J137:$N137)),NA())))</f>
        <v>0.94356039864534658</v>
      </c>
      <c r="J128" s="151">
        <f ca="1">IF(ISERROR(J125),NA(),IF(AND(MONTH(J122)=3,ISNUMBER($N123),ISNUMBER($C123)),1-(SUM($C126:$N126)/SUM($C123:$N123)),IF(AND(MONTH(J122)&lt;&gt;3,ISNUMBER(J123),ISNUMBER(K137)),1-(SUM(K140:$N140,$C126:J126)/SUM($C123:J123,K137:$N137)),NA())))</f>
        <v>0.94251366133607595</v>
      </c>
      <c r="K128" s="151">
        <f ca="1">IF(ISERROR(K125),NA(),IF(AND(MONTH(K122)=3,ISNUMBER($N123),ISNUMBER($C123)),1-(SUM($C126:$N126)/SUM($C123:$N123)),IF(AND(MONTH(K122)&lt;&gt;3,ISNUMBER(K123),ISNUMBER(L137)),1-(SUM(L140:$N140,$C126:K126)/SUM($C123:K123,L137:$N137)),NA())))</f>
        <v>0.94068808487519606</v>
      </c>
      <c r="L128" s="151">
        <f ca="1">IF(ISERROR(L125),NA(),IF(AND(MONTH(L122)=3,ISNUMBER($N123),ISNUMBER($C123)),1-(SUM($C126:$N126)/SUM($C123:$N123)),IF(AND(MONTH(L122)&lt;&gt;3,ISNUMBER(L123),ISNUMBER(M137)),1-(SUM(M140:$N140,$C126:L126)/SUM($C123:L123,M137:$N137)),NA())))</f>
        <v>0.94073937896271465</v>
      </c>
      <c r="M128" s="151">
        <f ca="1">IF(ISERROR(M125),NA(),IF(AND(MONTH(M122)=3,ISNUMBER($N123),ISNUMBER($C123)),1-(SUM($C126:$N126)/SUM($C123:$N123)),IF(AND(MONTH(M122)&lt;&gt;3,ISNUMBER(M123),ISNUMBER(N137)),1-(SUM(N140:$N140,$C126:M126)/SUM($C123:M123,N137:$N137)),NA())))</f>
        <v>0.94050444857834037</v>
      </c>
      <c r="N128" s="160">
        <f ca="1">IF(ISERROR(N125),NA(),IF(AND(MONTH(N122)=3,ISNUMBER($N123),ISNUMBER($C123)),1-(SUM($C126:$N126)/SUM($C123:$N123)),IF(AND(MONTH(N122)&lt;&gt;3,ISNUMBER(N123),ISNUMBER(O137)),1-(SUM($N140:O140,$C126:N126)/SUM($C123:N123,$N137:O137)),NA())))</f>
        <v>0.94116577321214567</v>
      </c>
      <c r="R128" s="50" t="s">
        <v>80</v>
      </c>
    </row>
    <row r="129" spans="1:18" ht="14.45" customHeight="1" x14ac:dyDescent="0.25">
      <c r="A129" s="132"/>
      <c r="B129" s="155" t="s">
        <v>730</v>
      </c>
      <c r="C129" s="127"/>
      <c r="D129" s="127"/>
      <c r="E129" s="127"/>
      <c r="F129" s="127"/>
      <c r="G129" s="127"/>
      <c r="H129" s="127"/>
      <c r="I129" s="127"/>
      <c r="J129" s="127"/>
      <c r="K129" s="127"/>
      <c r="L129" s="127"/>
      <c r="M129" s="127"/>
      <c r="N129" s="161"/>
      <c r="R129" s="50" t="s">
        <v>363</v>
      </c>
    </row>
    <row r="130" spans="1:18" ht="15" customHeight="1" x14ac:dyDescent="0.2">
      <c r="A130" s="132"/>
      <c r="B130" s="154" t="s">
        <v>724</v>
      </c>
      <c r="C130" s="150">
        <f ca="1">IF(IF(ISNUMBER(FIND("ED only",$B$4)),SUMIFS(Sum_total_epi,site_level_range,LEFT($B$4,LEN($B$4)-10),date_range,C122,inputdata!$E:$E,"*- ED*"),SUMIFS(Sum_total_epi,site_level_range,$B$4,date_range,C122))=0,"-",IF(ISNUMBER(FIND("ED only",$B$4)),SUMIFS(Sum_total_epi,site_level_range,LEFT($B$4,LEN($B$4)-10),date_range,C122,inputdata!$E:$E,"*- ED*"),SUMIFS(Sum_total_epi,site_level_range,$B$4,date_range,C122)))</f>
        <v>123847</v>
      </c>
      <c r="D130" s="150">
        <f ca="1">IF(IF(ISNUMBER(FIND("ED only",$B$4)),SUMIFS(Sum_total_epi,site_level_range,LEFT($B$4,LEN($B$4)-10),date_range,D122,inputdata!$E:$E,"*- ED*"),SUMIFS(Sum_total_epi,site_level_range,$B$4,date_range,D122))=0,"-",IF(ISNUMBER(FIND("ED only",$B$4)),SUMIFS(Sum_total_epi,site_level_range,LEFT($B$4,LEN($B$4)-10),date_range,D122,inputdata!$E:$E,"*- ED*"),SUMIFS(Sum_total_epi,site_level_range,$B$4,date_range,D122)))</f>
        <v>139028</v>
      </c>
      <c r="E130" s="150">
        <f ca="1">IF(IF(ISNUMBER(FIND("ED only",$B$4)),SUMIFS(Sum_total_epi,site_level_range,LEFT($B$4,LEN($B$4)-10),date_range,E122,inputdata!$E:$E,"*- ED*"),SUMIFS(Sum_total_epi,site_level_range,$B$4,date_range,E122))=0,"-",IF(ISNUMBER(FIND("ED only",$B$4)),SUMIFS(Sum_total_epi,site_level_range,LEFT($B$4,LEN($B$4)-10),date_range,E122,inputdata!$E:$E,"*- ED*"),SUMIFS(Sum_total_epi,site_level_range,$B$4,date_range,E122)))</f>
        <v>129846</v>
      </c>
      <c r="F130" s="150">
        <f ca="1">IF(IF(ISNUMBER(FIND("ED only",$B$4)),SUMIFS(Sum_total_epi,site_level_range,LEFT($B$4,LEN($B$4)-10),date_range,F122,inputdata!$E:$E,"*- ED*"),SUMIFS(Sum_total_epi,site_level_range,$B$4,date_range,F122))=0,"-",IF(ISNUMBER(FIND("ED only",$B$4)),SUMIFS(Sum_total_epi,site_level_range,LEFT($B$4,LEN($B$4)-10),date_range,F122,inputdata!$E:$E,"*- ED*"),SUMIFS(Sum_total_epi,site_level_range,$B$4,date_range,F122)))</f>
        <v>126134</v>
      </c>
      <c r="G130" s="150">
        <f ca="1">IF(IF(ISNUMBER(FIND("ED only",$B$4)),SUMIFS(Sum_total_epi,site_level_range,LEFT($B$4,LEN($B$4)-10),date_range,G122,inputdata!$E:$E,"*- ED*"),SUMIFS(Sum_total_epi,site_level_range,$B$4,date_range,G122))=0,"-",IF(ISNUMBER(FIND("ED only",$B$4)),SUMIFS(Sum_total_epi,site_level_range,LEFT($B$4,LEN($B$4)-10),date_range,G122,inputdata!$E:$E,"*- ED*"),SUMIFS(Sum_total_epi,site_level_range,$B$4,date_range,G122)))</f>
        <v>133249</v>
      </c>
      <c r="H130" s="150">
        <f ca="1">IF(IF(ISNUMBER(FIND("ED only",$B$4)),SUMIFS(Sum_total_epi,site_level_range,LEFT($B$4,LEN($B$4)-10),date_range,H122,inputdata!$E:$E,"*- ED*"),SUMIFS(Sum_total_epi,site_level_range,$B$4,date_range,H122))=0,"-",IF(ISNUMBER(FIND("ED only",$B$4)),SUMIFS(Sum_total_epi,site_level_range,LEFT($B$4,LEN($B$4)-10),date_range,H122,inputdata!$E:$E,"*- ED*"),SUMIFS(Sum_total_epi,site_level_range,$B$4,date_range,H122)))</f>
        <v>131974</v>
      </c>
      <c r="I130" s="150">
        <f ca="1">IF(IF(ISNUMBER(FIND("ED only",$B$4)),SUMIFS(Sum_total_epi,site_level_range,LEFT($B$4,LEN($B$4)-10),date_range,I122,inputdata!$E:$E,"*- ED*"),SUMIFS(Sum_total_epi,site_level_range,$B$4,date_range,I122))=0,"-",IF(ISNUMBER(FIND("ED only",$B$4)),SUMIFS(Sum_total_epi,site_level_range,LEFT($B$4,LEN($B$4)-10),date_range,I122,inputdata!$E:$E,"*- ED*"),SUMIFS(Sum_total_epi,site_level_range,$B$4,date_range,I122)))</f>
        <v>128865</v>
      </c>
      <c r="J130" s="150">
        <f ca="1">IF(IF(ISNUMBER(FIND("ED only",$B$4)),SUMIFS(Sum_total_epi,site_level_range,LEFT($B$4,LEN($B$4)-10),date_range,J122,inputdata!$E:$E,"*- ED*"),SUMIFS(Sum_total_epi,site_level_range,$B$4,date_range,J122))=0,"-",IF(ISNUMBER(FIND("ED only",$B$4)),SUMIFS(Sum_total_epi,site_level_range,LEFT($B$4,LEN($B$4)-10),date_range,J122,inputdata!$E:$E,"*- ED*"),SUMIFS(Sum_total_epi,site_level_range,$B$4,date_range,J122)))</f>
        <v>121841</v>
      </c>
      <c r="K130" s="150">
        <f ca="1">IF(IF(ISNUMBER(FIND("ED only",$B$4)),SUMIFS(Sum_total_epi,site_level_range,LEFT($B$4,LEN($B$4)-10),date_range,K122,inputdata!$E:$E,"*- ED*"),SUMIFS(Sum_total_epi,site_level_range,$B$4,date_range,K122))=0,"-",IF(ISNUMBER(FIND("ED only",$B$4)),SUMIFS(Sum_total_epi,site_level_range,LEFT($B$4,LEN($B$4)-10),date_range,K122,inputdata!$E:$E,"*- ED*"),SUMIFS(Sum_total_epi,site_level_range,$B$4,date_range,K122)))</f>
        <v>123282</v>
      </c>
      <c r="L130" s="150">
        <f ca="1">IF(IF(ISNUMBER(FIND("ED only",$B$4)),SUMIFS(Sum_total_epi,site_level_range,LEFT($B$4,LEN($B$4)-10),date_range,L122,inputdata!$E:$E,"*- ED*"),SUMIFS(Sum_total_epi,site_level_range,$B$4,date_range,L122))=0,"-",IF(ISNUMBER(FIND("ED only",$B$4)),SUMIFS(Sum_total_epi,site_level_range,LEFT($B$4,LEN($B$4)-10),date_range,L122,inputdata!$E:$E,"*- ED*"),SUMIFS(Sum_total_epi,site_level_range,$B$4,date_range,L122)))</f>
        <v>121029</v>
      </c>
      <c r="M130" s="150">
        <f ca="1">IF(IF(ISNUMBER(FIND("ED only",$B$4)),SUMIFS(Sum_total_epi,site_level_range,LEFT($B$4,LEN($B$4)-10),date_range,M122,inputdata!$E:$E,"*- ED*"),SUMIFS(Sum_total_epi,site_level_range,$B$4,date_range,M122))=0,"-",IF(ISNUMBER(FIND("ED only",$B$4)),SUMIFS(Sum_total_epi,site_level_range,LEFT($B$4,LEN($B$4)-10),date_range,M122,inputdata!$E:$E,"*- ED*"),SUMIFS(Sum_total_epi,site_level_range,$B$4,date_range,M122)))</f>
        <v>112264</v>
      </c>
      <c r="N130" s="159">
        <f ca="1">IF(IF(ISNUMBER(FIND("ED only",$B$4)),SUMIFS(Sum_total_epi,site_level_range,LEFT($B$4,LEN($B$4)-10),date_range,N122,inputdata!$E:$E,"*- ED*"),SUMIFS(Sum_total_epi,site_level_range,$B$4,date_range,N122))=0,"-",IF(ISNUMBER(FIND("ED only",$B$4)),SUMIFS(Sum_total_epi,site_level_range,LEFT($B$4,LEN($B$4)-10),date_range,N122,inputdata!$E:$E,"*- ED*"),SUMIFS(Sum_total_epi,site_level_range,$B$4,date_range,N122)))</f>
        <v>131014</v>
      </c>
      <c r="R130" s="50" t="s">
        <v>77</v>
      </c>
    </row>
    <row r="131" spans="1:18" ht="15" customHeight="1" x14ac:dyDescent="0.2">
      <c r="A131" s="132"/>
      <c r="B131" s="152" t="s">
        <v>731</v>
      </c>
      <c r="C131" s="147">
        <f ca="1">IF(C130="-","-",IF(ISNUMBER(FIND("ED only",$B$4)),SUMIFS(Sum_over_8,site_level_range,LEFT($B$4,LEN($B$4)-10),date_range,C122,inputdata!$E:$E,"*- ED*"),SUMIFS(Sum_over_8,site_level_range,$B$4,date_range,C122)))</f>
        <v>568</v>
      </c>
      <c r="D131" s="147">
        <f ca="1">IF(D130="-","-",IF(ISNUMBER(FIND("ED only",$B$4)),SUMIFS(Sum_over_8,site_level_range,LEFT($B$4,LEN($B$4)-10),date_range,D122,inputdata!$E:$E,"*- ED*"),SUMIFS(Sum_over_8,site_level_range,$B$4,date_range,D122)))</f>
        <v>574</v>
      </c>
      <c r="E131" s="147">
        <f ca="1">IF(E130="-","-",IF(ISNUMBER(FIND("ED only",$B$4)),SUMIFS(Sum_over_8,site_level_range,LEFT($B$4,LEN($B$4)-10),date_range,E122,inputdata!$E:$E,"*- ED*"),SUMIFS(Sum_over_8,site_level_range,$B$4,date_range,E122)))</f>
        <v>368</v>
      </c>
      <c r="F131" s="147">
        <f ca="1">IF(F130="-","-",IF(ISNUMBER(FIND("ED only",$B$4)),SUMIFS(Sum_over_8,site_level_range,LEFT($B$4,LEN($B$4)-10),date_range,F122,inputdata!$E:$E,"*- ED*"),SUMIFS(Sum_over_8,site_level_range,$B$4,date_range,F122)))</f>
        <v>287</v>
      </c>
      <c r="G131" s="147">
        <f ca="1">IF(G130="-","-",IF(ISNUMBER(FIND("ED only",$B$4)),SUMIFS(Sum_over_8,site_level_range,LEFT($B$4,LEN($B$4)-10),date_range,G122,inputdata!$E:$E,"*- ED*"),SUMIFS(Sum_over_8,site_level_range,$B$4,date_range,G122)))</f>
        <v>391</v>
      </c>
      <c r="H131" s="147">
        <f ca="1">IF(H130="-","-",IF(ISNUMBER(FIND("ED only",$B$4)),SUMIFS(Sum_over_8,site_level_range,LEFT($B$4,LEN($B$4)-10),date_range,H122,inputdata!$E:$E,"*- ED*"),SUMIFS(Sum_over_8,site_level_range,$B$4,date_range,H122)))</f>
        <v>542</v>
      </c>
      <c r="I131" s="147">
        <f ca="1">IF(I130="-","-",IF(ISNUMBER(FIND("ED only",$B$4)),SUMIFS(Sum_over_8,site_level_range,LEFT($B$4,LEN($B$4)-10),date_range,I122,inputdata!$E:$E,"*- ED*"),SUMIFS(Sum_over_8,site_level_range,$B$4,date_range,I122)))</f>
        <v>742</v>
      </c>
      <c r="J131" s="147">
        <f ca="1">IF(J130="-","-",IF(ISNUMBER(FIND("ED only",$B$4)),SUMIFS(Sum_over_8,site_level_range,LEFT($B$4,LEN($B$4)-10),date_range,J122,inputdata!$E:$E,"*- ED*"),SUMIFS(Sum_over_8,site_level_range,$B$4,date_range,J122)))</f>
        <v>730</v>
      </c>
      <c r="K131" s="147">
        <f ca="1">IF(K130="-","-",IF(ISNUMBER(FIND("ED only",$B$4)),SUMIFS(Sum_over_8,site_level_range,LEFT($B$4,LEN($B$4)-10),date_range,K122,inputdata!$E:$E,"*- ED*"),SUMIFS(Sum_over_8,site_level_range,$B$4,date_range,K122)))</f>
        <v>891</v>
      </c>
      <c r="L131" s="147">
        <f ca="1">IF(L130="-","-",IF(ISNUMBER(FIND("ED only",$B$4)),SUMIFS(Sum_over_8,site_level_range,LEFT($B$4,LEN($B$4)-10),date_range,L122,inputdata!$E:$E,"*- ED*"),SUMIFS(Sum_over_8,site_level_range,$B$4,date_range,L122)))</f>
        <v>1480</v>
      </c>
      <c r="M131" s="147">
        <f ca="1">IF(M130="-","-",IF(ISNUMBER(FIND("ED only",$B$4)),SUMIFS(Sum_over_8,site_level_range,LEFT($B$4,LEN($B$4)-10),date_range,M122,inputdata!$E:$E,"*- ED*"),SUMIFS(Sum_over_8,site_level_range,$B$4,date_range,M122)))</f>
        <v>1110</v>
      </c>
      <c r="N131" s="156">
        <f ca="1">IF(N130="-","-",IF(ISNUMBER(FIND("ED only",$B$4)),SUMIFS(Sum_over_8,site_level_range,LEFT($B$4,LEN($B$4)-10),date_range,N122,inputdata!$E:$E,"*- ED*"),SUMIFS(Sum_over_8,site_level_range,$B$4,date_range,N122)))</f>
        <v>661</v>
      </c>
      <c r="R131" s="50" t="s">
        <v>79</v>
      </c>
    </row>
    <row r="132" spans="1:18" ht="15" customHeight="1" x14ac:dyDescent="0.2">
      <c r="A132" s="132"/>
      <c r="B132" s="154" t="s">
        <v>732</v>
      </c>
      <c r="C132" s="151">
        <f t="shared" ref="C132:N132" ca="1" si="26">IF(ISERROR(1-C131/C130),"-",1-C131/C130)</f>
        <v>0.99541369593127005</v>
      </c>
      <c r="D132" s="151">
        <f t="shared" ca="1" si="26"/>
        <v>0.99587133527059302</v>
      </c>
      <c r="E132" s="151">
        <f t="shared" ca="1" si="26"/>
        <v>0.99716587341928131</v>
      </c>
      <c r="F132" s="151">
        <f t="shared" ca="1" si="26"/>
        <v>0.99772464204734645</v>
      </c>
      <c r="G132" s="151">
        <f t="shared" ca="1" si="26"/>
        <v>0.99706564401984255</v>
      </c>
      <c r="H132" s="151">
        <f t="shared" ca="1" si="26"/>
        <v>0.99589313046509165</v>
      </c>
      <c r="I132" s="151">
        <f t="shared" ca="1" si="26"/>
        <v>0.99424203623947538</v>
      </c>
      <c r="J132" s="151">
        <f t="shared" ca="1" si="26"/>
        <v>0.99400858495908606</v>
      </c>
      <c r="K132" s="151">
        <f t="shared" ca="1" si="26"/>
        <v>0.99277266754270699</v>
      </c>
      <c r="L132" s="151">
        <f t="shared" ca="1" si="26"/>
        <v>0.98777152583265171</v>
      </c>
      <c r="M132" s="151">
        <f t="shared" ca="1" si="26"/>
        <v>0.99011259174802246</v>
      </c>
      <c r="N132" s="160">
        <f t="shared" ca="1" si="26"/>
        <v>0.9949547376616239</v>
      </c>
      <c r="R132" s="50" t="s">
        <v>364</v>
      </c>
    </row>
    <row r="133" spans="1:18" ht="15" customHeight="1" x14ac:dyDescent="0.2">
      <c r="A133" s="132"/>
      <c r="B133" s="152" t="s">
        <v>733</v>
      </c>
      <c r="C133" s="147">
        <f ca="1">IF(C130="-","-",IF(ISNUMBER(FIND("ED only",$B$4)),SUMIFS(Sum_over_12,site_level_range,LEFT($B$4,LEN($B$4)-10),date_range,C122,inputdata!$E:$E,"*- ED*"),SUMIFS(Sum_over_12,site_level_range,$B$4,date_range,C122)))</f>
        <v>158</v>
      </c>
      <c r="D133" s="147">
        <f ca="1">IF(D130="-","-",IF(ISNUMBER(FIND("ED only",$B$4)),SUMIFS(Sum_over_12,site_level_range,LEFT($B$4,LEN($B$4)-10),date_range,D122,inputdata!$E:$E,"*- ED*"),SUMIFS(Sum_over_12,site_level_range,$B$4,date_range,D122)))</f>
        <v>80</v>
      </c>
      <c r="E133" s="147">
        <f ca="1">IF(E130="-","-",IF(ISNUMBER(FIND("ED only",$B$4)),SUMIFS(Sum_over_12,site_level_range,LEFT($B$4,LEN($B$4)-10),date_range,E122,inputdata!$E:$E,"*- ED*"),SUMIFS(Sum_over_12,site_level_range,$B$4,date_range,E122)))</f>
        <v>51</v>
      </c>
      <c r="F133" s="147">
        <f ca="1">IF(F130="-","-",IF(ISNUMBER(FIND("ED only",$B$4)),SUMIFS(Sum_over_12,site_level_range,LEFT($B$4,LEN($B$4)-10),date_range,F122,inputdata!$E:$E,"*- ED*"),SUMIFS(Sum_over_12,site_level_range,$B$4,date_range,F122)))</f>
        <v>19</v>
      </c>
      <c r="G133" s="147">
        <f ca="1">IF(G130="-","-",IF(ISNUMBER(FIND("ED only",$B$4)),SUMIFS(Sum_over_12,site_level_range,LEFT($B$4,LEN($B$4)-10),date_range,G122,inputdata!$E:$E,"*- ED*"),SUMIFS(Sum_over_12,site_level_range,$B$4,date_range,G122)))</f>
        <v>63</v>
      </c>
      <c r="H133" s="147">
        <f ca="1">IF(H130="-","-",IF(ISNUMBER(FIND("ED only",$B$4)),SUMIFS(Sum_over_12,site_level_range,LEFT($B$4,LEN($B$4)-10),date_range,H122,inputdata!$E:$E,"*- ED*"),SUMIFS(Sum_over_12,site_level_range,$B$4,date_range,H122)))</f>
        <v>139</v>
      </c>
      <c r="I133" s="147">
        <f ca="1">IF(I130="-","-",IF(ISNUMBER(FIND("ED only",$B$4)),SUMIFS(Sum_over_12,site_level_range,LEFT($B$4,LEN($B$4)-10),date_range,I122,inputdata!$E:$E,"*- ED*"),SUMIFS(Sum_over_12,site_level_range,$B$4,date_range,I122)))</f>
        <v>148</v>
      </c>
      <c r="J133" s="147">
        <f ca="1">IF(J130="-","-",IF(ISNUMBER(FIND("ED only",$B$4)),SUMIFS(Sum_over_12,site_level_range,LEFT($B$4,LEN($B$4)-10),date_range,J122,inputdata!$E:$E,"*- ED*"),SUMIFS(Sum_over_12,site_level_range,$B$4,date_range,J122)))</f>
        <v>131</v>
      </c>
      <c r="K133" s="147">
        <f ca="1">IF(K130="-","-",IF(ISNUMBER(FIND("ED only",$B$4)),SUMIFS(Sum_over_12,site_level_range,LEFT($B$4,LEN($B$4)-10),date_range,K122,inputdata!$E:$E,"*- ED*"),SUMIFS(Sum_over_12,site_level_range,$B$4,date_range,K122)))</f>
        <v>144</v>
      </c>
      <c r="L133" s="147">
        <f ca="1">IF(L130="-","-",IF(ISNUMBER(FIND("ED only",$B$4)),SUMIFS(Sum_over_12,site_level_range,LEFT($B$4,LEN($B$4)-10),date_range,L122,inputdata!$E:$E,"*- ED*"),SUMIFS(Sum_over_12,site_level_range,$B$4,date_range,L122)))</f>
        <v>376</v>
      </c>
      <c r="M133" s="147">
        <f ca="1">IF(M130="-","-",IF(ISNUMBER(FIND("ED only",$B$4)),SUMIFS(Sum_over_12,site_level_range,LEFT($B$4,LEN($B$4)-10),date_range,M122,inputdata!$E:$E,"*- ED*"),SUMIFS(Sum_over_12,site_level_range,$B$4,date_range,M122)))</f>
        <v>286</v>
      </c>
      <c r="N133" s="156">
        <f ca="1">IF(N130="-","-",IF(ISNUMBER(FIND("ED only",$B$4)),SUMIFS(Sum_over_12,site_level_range,LEFT($B$4,LEN($B$4)-10),date_range,N122,inputdata!$E:$E,"*- ED*"),SUMIFS(Sum_over_12,site_level_range,$B$4,date_range,N122)))</f>
        <v>103</v>
      </c>
      <c r="R133" s="50" t="s">
        <v>81</v>
      </c>
    </row>
    <row r="134" spans="1:18" ht="15" customHeight="1" x14ac:dyDescent="0.2">
      <c r="A134" s="132"/>
      <c r="B134" s="154" t="s">
        <v>734</v>
      </c>
      <c r="C134" s="151">
        <f t="shared" ref="C134:N134" ca="1" si="27">IF(ISERROR(1-C133/C130),"-",1-C133/C130)</f>
        <v>0.99872423231890961</v>
      </c>
      <c r="D134" s="151">
        <f t="shared" ca="1" si="27"/>
        <v>0.99942457634433357</v>
      </c>
      <c r="E134" s="151">
        <f t="shared" ca="1" si="27"/>
        <v>0.99960722702278082</v>
      </c>
      <c r="F134" s="151">
        <f t="shared" ca="1" si="27"/>
        <v>0.99984936654668843</v>
      </c>
      <c r="G134" s="151">
        <f t="shared" ca="1" si="27"/>
        <v>0.99952720095460379</v>
      </c>
      <c r="H134" s="151">
        <f t="shared" ca="1" si="27"/>
        <v>0.9989467622410475</v>
      </c>
      <c r="I134" s="151">
        <f t="shared" ca="1" si="27"/>
        <v>0.99885151127148564</v>
      </c>
      <c r="J134" s="151">
        <f t="shared" ca="1" si="27"/>
        <v>0.99892482825978124</v>
      </c>
      <c r="K134" s="151">
        <f t="shared" ca="1" si="27"/>
        <v>0.99883194626952843</v>
      </c>
      <c r="L134" s="151">
        <f t="shared" ca="1" si="27"/>
        <v>0.99689330656288988</v>
      </c>
      <c r="M134" s="151">
        <f t="shared" ca="1" si="27"/>
        <v>0.99745243354949054</v>
      </c>
      <c r="N134" s="160">
        <f t="shared" ca="1" si="27"/>
        <v>0.99921382447677343</v>
      </c>
      <c r="R134" s="50" t="s">
        <v>121</v>
      </c>
    </row>
    <row r="135" spans="1:18" ht="14.45" customHeight="1" x14ac:dyDescent="0.2">
      <c r="B135" s="127"/>
      <c r="C135" s="127"/>
      <c r="D135" s="127"/>
      <c r="E135" s="127"/>
      <c r="F135" s="127"/>
      <c r="G135" s="127"/>
      <c r="H135" s="127"/>
      <c r="I135" s="127"/>
      <c r="J135" s="127"/>
      <c r="K135" s="127"/>
      <c r="L135" s="127"/>
      <c r="M135" s="127"/>
      <c r="N135" s="127"/>
      <c r="R135" s="50" t="s">
        <v>118</v>
      </c>
    </row>
    <row r="136" spans="1:18" ht="15" customHeight="1" x14ac:dyDescent="0.25">
      <c r="A136" s="132"/>
      <c r="B136" s="153" t="s">
        <v>723</v>
      </c>
      <c r="C136" s="149">
        <v>42124</v>
      </c>
      <c r="D136" s="149">
        <v>42155</v>
      </c>
      <c r="E136" s="149">
        <v>42185</v>
      </c>
      <c r="F136" s="149">
        <v>42216</v>
      </c>
      <c r="G136" s="149">
        <v>42247</v>
      </c>
      <c r="H136" s="149">
        <v>42277</v>
      </c>
      <c r="I136" s="149">
        <v>42308</v>
      </c>
      <c r="J136" s="149">
        <v>42338</v>
      </c>
      <c r="K136" s="149">
        <v>42369</v>
      </c>
      <c r="L136" s="149">
        <v>42400</v>
      </c>
      <c r="M136" s="149">
        <v>42429</v>
      </c>
      <c r="N136" s="158">
        <v>42460</v>
      </c>
      <c r="R136" s="50" t="s">
        <v>365</v>
      </c>
    </row>
    <row r="137" spans="1:18" ht="15" customHeight="1" x14ac:dyDescent="0.2">
      <c r="A137" s="132"/>
      <c r="B137" s="152" t="s">
        <v>724</v>
      </c>
      <c r="C137" s="147">
        <f ca="1">IF(IF(ISNUMBER(FIND("ED only",$B$4)),SUMIFS(sum_range,site_level_range,LEFT($B$4,LEN($B$4)-10),date_range,C136,inputdata!$E:$E,"*- ED*"),SUMIFS(sum_range,site_level_range,$B$4,date_range,C136))=0,"-",IF(ISNUMBER(FIND("ED only",$B$4)),SUMIFS(sum_range,site_level_range,LEFT($B$4,LEN($B$4)-10),date_range,C136,inputdata!$E:$E,"*- ED*"),SUMIFS(sum_range,site_level_range,$B$4,date_range,C136)))</f>
        <v>134698</v>
      </c>
      <c r="D137" s="147">
        <f ca="1">IF(IF(ISNUMBER(FIND("ED only",$B$4)),SUMIFS(sum_range,site_level_range,LEFT($B$4,LEN($B$4)-10),date_range,D136,inputdata!$E:$E,"*- ED*"),SUMIFS(sum_range,site_level_range,$B$4,date_range,D136))=0,"-",IF(ISNUMBER(FIND("ED only",$B$4)),SUMIFS(sum_range,site_level_range,LEFT($B$4,LEN($B$4)-10),date_range,D136,inputdata!$E:$E,"*- ED*"),SUMIFS(sum_range,site_level_range,$B$4,date_range,D136)))</f>
        <v>138066</v>
      </c>
      <c r="E137" s="147">
        <f ca="1">IF(IF(ISNUMBER(FIND("ED only",$B$4)),SUMIFS(sum_range,site_level_range,LEFT($B$4,LEN($B$4)-10),date_range,E136,inputdata!$E:$E,"*- ED*"),SUMIFS(sum_range,site_level_range,$B$4,date_range,E136))=0,"-",IF(ISNUMBER(FIND("ED only",$B$4)),SUMIFS(sum_range,site_level_range,LEFT($B$4,LEN($B$4)-10),date_range,E136,inputdata!$E:$E,"*- ED*"),SUMIFS(sum_range,site_level_range,$B$4,date_range,E136)))</f>
        <v>134742</v>
      </c>
      <c r="F137" s="147">
        <f ca="1">IF(IF(ISNUMBER(FIND("ED only",$B$4)),SUMIFS(sum_range,site_level_range,LEFT($B$4,LEN($B$4)-10),date_range,F136,inputdata!$E:$E,"*- ED*"),SUMIFS(sum_range,site_level_range,$B$4,date_range,F136))=0,"-",IF(ISNUMBER(FIND("ED only",$B$4)),SUMIFS(sum_range,site_level_range,LEFT($B$4,LEN($B$4)-10),date_range,F136,inputdata!$E:$E,"*- ED*"),SUMIFS(sum_range,site_level_range,$B$4,date_range,F136)))</f>
        <v>131922</v>
      </c>
      <c r="G137" s="147">
        <f ca="1">IF(IF(ISNUMBER(FIND("ED only",$B$4)),SUMIFS(sum_range,site_level_range,LEFT($B$4,LEN($B$4)-10),date_range,G136,inputdata!$E:$E,"*- ED*"),SUMIFS(sum_range,site_level_range,$B$4,date_range,G136))=0,"-",IF(ISNUMBER(FIND("ED only",$B$4)),SUMIFS(sum_range,site_level_range,LEFT($B$4,LEN($B$4)-10),date_range,G136,inputdata!$E:$E,"*- ED*"),SUMIFS(sum_range,site_level_range,$B$4,date_range,G136)))</f>
        <v>142075</v>
      </c>
      <c r="H137" s="147">
        <f ca="1">IF(IF(ISNUMBER(FIND("ED only",$B$4)),SUMIFS(sum_range,site_level_range,LEFT($B$4,LEN($B$4)-10),date_range,H136,inputdata!$E:$E,"*- ED*"),SUMIFS(sum_range,site_level_range,$B$4,date_range,H136))=0,"-",IF(ISNUMBER(FIND("ED only",$B$4)),SUMIFS(sum_range,site_level_range,LEFT($B$4,LEN($B$4)-10),date_range,H136,inputdata!$E:$E,"*- ED*"),SUMIFS(sum_range,site_level_range,$B$4,date_range,H136)))</f>
        <v>137067</v>
      </c>
      <c r="I137" s="147">
        <f ca="1">IF(IF(ISNUMBER(FIND("ED only",$B$4)),SUMIFS(sum_range,site_level_range,LEFT($B$4,LEN($B$4)-10),date_range,I136,inputdata!$E:$E,"*- ED*"),SUMIFS(sum_range,site_level_range,$B$4,date_range,I136))=0,"-",IF(ISNUMBER(FIND("ED only",$B$4)),SUMIFS(sum_range,site_level_range,LEFT($B$4,LEN($B$4)-10),date_range,I136,inputdata!$E:$E,"*- ED*"),SUMIFS(sum_range,site_level_range,$B$4,date_range,I136)))</f>
        <v>133015</v>
      </c>
      <c r="J137" s="147">
        <f ca="1">IF(IF(ISNUMBER(FIND("ED only",$B$4)),SUMIFS(sum_range,site_level_range,LEFT($B$4,LEN($B$4)-10),date_range,J136,inputdata!$E:$E,"*- ED*"),SUMIFS(sum_range,site_level_range,$B$4,date_range,J136))=0,"-",IF(ISNUMBER(FIND("ED only",$B$4)),SUMIFS(sum_range,site_level_range,LEFT($B$4,LEN($B$4)-10),date_range,J136,inputdata!$E:$E,"*- ED*"),SUMIFS(sum_range,site_level_range,$B$4,date_range,J136)))</f>
        <v>127523</v>
      </c>
      <c r="K137" s="147">
        <f ca="1">IF(IF(ISNUMBER(FIND("ED only",$B$4)),SUMIFS(sum_range,site_level_range,LEFT($B$4,LEN($B$4)-10),date_range,K136,inputdata!$E:$E,"*- ED*"),SUMIFS(sum_range,site_level_range,$B$4,date_range,K136))=0,"-",IF(ISNUMBER(FIND("ED only",$B$4)),SUMIFS(sum_range,site_level_range,LEFT($B$4,LEN($B$4)-10),date_range,K136,inputdata!$E:$E,"*- ED*"),SUMIFS(sum_range,site_level_range,$B$4,date_range,K136)))</f>
        <v>125196</v>
      </c>
      <c r="L137" s="147">
        <f ca="1">IF(IF(ISNUMBER(FIND("ED only",$B$4)),SUMIFS(sum_range,site_level_range,LEFT($B$4,LEN($B$4)-10),date_range,L136,inputdata!$E:$E,"*- ED*"),SUMIFS(sum_range,site_level_range,$B$4,date_range,L136))=0,"-",IF(ISNUMBER(FIND("ED only",$B$4)),SUMIFS(sum_range,site_level_range,LEFT($B$4,LEN($B$4)-10),date_range,L136,inputdata!$E:$E,"*- ED*"),SUMIFS(sum_range,site_level_range,$B$4,date_range,L136)))</f>
        <v>129520</v>
      </c>
      <c r="M137" s="147">
        <f ca="1">IF(IF(ISNUMBER(FIND("ED only",$B$4)),SUMIFS(sum_range,site_level_range,LEFT($B$4,LEN($B$4)-10),date_range,M136,inputdata!$E:$E,"*- ED*"),SUMIFS(sum_range,site_level_range,$B$4,date_range,M136))=0,"-",IF(ISNUMBER(FIND("ED only",$B$4)),SUMIFS(sum_range,site_level_range,LEFT($B$4,LEN($B$4)-10),date_range,M136,inputdata!$E:$E,"*- ED*"),SUMIFS(sum_range,site_level_range,$B$4,date_range,M136)))</f>
        <v>127812</v>
      </c>
      <c r="N137" s="156">
        <f ca="1">IF(IF(ISNUMBER(FIND("ED only",$B$4)),SUMIFS(sum_range,site_level_range,LEFT($B$4,LEN($B$4)-10),date_range,N136,inputdata!$E:$E,"*- ED*"),SUMIFS(sum_range,site_level_range,$B$4,date_range,N136))=0,"-",IF(ISNUMBER(FIND("ED only",$B$4)),SUMIFS(sum_range,site_level_range,LEFT($B$4,LEN($B$4)-10),date_range,N136,inputdata!$E:$E,"*- ED*"),SUMIFS(sum_range,site_level_range,$B$4,date_range,N136)))</f>
        <v>144912</v>
      </c>
      <c r="R137" s="50" t="s">
        <v>120</v>
      </c>
    </row>
    <row r="138" spans="1:18" ht="15" customHeight="1" x14ac:dyDescent="0.2">
      <c r="A138" s="132"/>
      <c r="B138" s="152" t="s">
        <v>725</v>
      </c>
      <c r="C138" s="147">
        <f ca="1">IF(AND(MONTH(C136)=3,ISNUMBER($N137),ISNUMBER($C137)),SUM($C137:C137),IF(AND(MONTH(C136)&lt;&gt;3,ISNUMBER(C137),ISNUMBER(D151)),SUM($C137:C137,D151:$N151),"-"))</f>
        <v>1636588</v>
      </c>
      <c r="D138" s="147">
        <f ca="1">IF(AND(MONTH(D136)=3,ISNUMBER($N137),ISNUMBER($C137)),SUM($C137:D137),IF(AND(MONTH(D136)&lt;&gt;3,ISNUMBER(D137),ISNUMBER(E151)),SUM($C137:D137,E151:$N151),"-"))</f>
        <v>1627979</v>
      </c>
      <c r="E138" s="147">
        <f ca="1">IF(AND(MONTH(E136)=3,ISNUMBER($N137),ISNUMBER($C137)),SUM($C137:E137),IF(AND(MONTH(E136)&lt;&gt;3,ISNUMBER(E137),ISNUMBER(F151)),SUM($C137:E137,F151:$N151),"-"))</f>
        <v>1617909</v>
      </c>
      <c r="F138" s="147">
        <f ca="1">IF(AND(MONTH(F136)=3,ISNUMBER($N137),ISNUMBER($C137)),SUM($C137:F137),IF(AND(MONTH(F136)&lt;&gt;3,ISNUMBER(F137),ISNUMBER(G151)),SUM($C137:F137,G151:$N151),"-"))</f>
        <v>1605630</v>
      </c>
      <c r="G138" s="147">
        <f ca="1">IF(AND(MONTH(G136)=3,ISNUMBER($N137),ISNUMBER($C137)),SUM($C137:G137),IF(AND(MONTH(G136)&lt;&gt;3,ISNUMBER(G137),ISNUMBER(H151)),SUM($C137:G137,H151:$N151),"-"))</f>
        <v>1605743</v>
      </c>
      <c r="H138" s="147">
        <f ca="1">IF(AND(MONTH(H136)=3,ISNUMBER($N137),ISNUMBER($C137)),SUM($C137:H137),IF(AND(MONTH(H136)&lt;&gt;3,ISNUMBER(H137),ISNUMBER(I151)),SUM($C137:H137,I151:$N151),"-"))</f>
        <v>1600268</v>
      </c>
      <c r="I138" s="147">
        <f ca="1">IF(AND(MONTH(I136)=3,ISNUMBER($N137),ISNUMBER($C137)),SUM($C137:I137),IF(AND(MONTH(I136)&lt;&gt;3,ISNUMBER(I137),ISNUMBER(J151)),SUM($C137:I137,J151:$N151),"-"))</f>
        <v>1599820</v>
      </c>
      <c r="J138" s="147">
        <f ca="1">IF(AND(MONTH(J136)=3,ISNUMBER($N137),ISNUMBER($C137)),SUM($C137:J137),IF(AND(MONTH(J136)&lt;&gt;3,ISNUMBER(J137),ISNUMBER(K151)),SUM($C137:J137,K151:$N151),"-"))</f>
        <v>1596402</v>
      </c>
      <c r="K138" s="147">
        <f ca="1">IF(AND(MONTH(K136)=3,ISNUMBER($N137),ISNUMBER($C137)),SUM($C137:K137),IF(AND(MONTH(K136)&lt;&gt;3,ISNUMBER(K137),ISNUMBER(L151)),SUM($C137:K137,L151:$N151),"-"))</f>
        <v>1592343</v>
      </c>
      <c r="L138" s="147">
        <f ca="1">IF(AND(MONTH(L136)=3,ISNUMBER($N137),ISNUMBER($C137)),SUM($C137:L137),IF(AND(MONTH(L136)&lt;&gt;3,ISNUMBER(L137),ISNUMBER(M151)),SUM($C137:L137,M151:$N151),"-"))</f>
        <v>1592655</v>
      </c>
      <c r="M138" s="147">
        <f ca="1">IF(AND(MONTH(M136)=3,ISNUMBER($N137),ISNUMBER($C137)),SUM($C137:M137),IF(AND(MONTH(M136)&lt;&gt;3,ISNUMBER(M137),ISNUMBER(N151)),SUM($C137:M137,N151:$N151),"-"))</f>
        <v>1599196</v>
      </c>
      <c r="N138" s="156">
        <f ca="1">IF(AND(MONTH(N136)=3,ISNUMBER($N137),ISNUMBER($C137)),SUM($C137:N137),IF(AND(MONTH(N136)&lt;&gt;3,ISNUMBER(N137),ISNUMBER(O151)),SUM($C137:N137,$N151:O151),"-"))</f>
        <v>1606548</v>
      </c>
      <c r="R138" s="50" t="s">
        <v>366</v>
      </c>
    </row>
    <row r="139" spans="1:18" ht="15" customHeight="1" x14ac:dyDescent="0.2">
      <c r="A139" s="132"/>
      <c r="B139" s="154" t="s">
        <v>726</v>
      </c>
      <c r="C139" s="150">
        <f t="shared" ref="C139:N139" ca="1" si="28">IF(ISNUMBER(C138),C138/12,NA())</f>
        <v>136382.33333333334</v>
      </c>
      <c r="D139" s="150">
        <f t="shared" ca="1" si="28"/>
        <v>135664.91666666666</v>
      </c>
      <c r="E139" s="150">
        <f t="shared" ca="1" si="28"/>
        <v>134825.75</v>
      </c>
      <c r="F139" s="150">
        <f t="shared" ca="1" si="28"/>
        <v>133802.5</v>
      </c>
      <c r="G139" s="150">
        <f t="shared" ca="1" si="28"/>
        <v>133811.91666666666</v>
      </c>
      <c r="H139" s="150">
        <f t="shared" ca="1" si="28"/>
        <v>133355.66666666666</v>
      </c>
      <c r="I139" s="150">
        <f t="shared" ca="1" si="28"/>
        <v>133318.33333333334</v>
      </c>
      <c r="J139" s="150">
        <f t="shared" ca="1" si="28"/>
        <v>133033.5</v>
      </c>
      <c r="K139" s="150">
        <f t="shared" ca="1" si="28"/>
        <v>132695.25</v>
      </c>
      <c r="L139" s="150">
        <f t="shared" ca="1" si="28"/>
        <v>132721.25</v>
      </c>
      <c r="M139" s="150">
        <f t="shared" ca="1" si="28"/>
        <v>133266.33333333334</v>
      </c>
      <c r="N139" s="159">
        <f t="shared" ca="1" si="28"/>
        <v>133879</v>
      </c>
      <c r="R139" s="50" t="s">
        <v>367</v>
      </c>
    </row>
    <row r="140" spans="1:18" ht="15" customHeight="1" x14ac:dyDescent="0.2">
      <c r="A140" s="132"/>
      <c r="B140" s="152" t="s">
        <v>727</v>
      </c>
      <c r="C140" s="147">
        <f ca="1">IF(C137="-","-",C137-IF(ISNUMBER(FIND("ED only",$B$4)),SUMIFS(sum_over_4_tot,site_level_range,LEFT($B$4,LEN($B$4)-10),date_range,C136,inputdata!$E:$E,"*- ED*"),SUMIFS(sum_over_4_tot,site_level_range,$B$4,date_range,C136)))</f>
        <v>9667</v>
      </c>
      <c r="D140" s="147">
        <f ca="1">IF(D137="-","-",D137-IF(ISNUMBER(FIND("ED only",$B$4)),SUMIFS(sum_over_4_tot,site_level_range,LEFT($B$4,LEN($B$4)-10),date_range,D136,inputdata!$E:$E,"*- ED*"),SUMIFS(sum_over_4_tot,site_level_range,$B$4,date_range,D136)))</f>
        <v>8993</v>
      </c>
      <c r="E140" s="147">
        <f ca="1">IF(E137="-","-",E137-IF(ISNUMBER(FIND("ED only",$B$4)),SUMIFS(sum_over_4_tot,site_level_range,LEFT($B$4,LEN($B$4)-10),date_range,E136,inputdata!$E:$E,"*- ED*"),SUMIFS(sum_over_4_tot,site_level_range,$B$4,date_range,E136)))</f>
        <v>7639</v>
      </c>
      <c r="F140" s="147">
        <f ca="1">IF(F137="-","-",F137-IF(ISNUMBER(FIND("ED only",$B$4)),SUMIFS(sum_over_4_tot,site_level_range,LEFT($B$4,LEN($B$4)-10),date_range,F136,inputdata!$E:$E,"*- ED*"),SUMIFS(sum_over_4_tot,site_level_range,$B$4,date_range,F136)))</f>
        <v>5490</v>
      </c>
      <c r="G140" s="147">
        <f ca="1">IF(G137="-","-",G137-IF(ISNUMBER(FIND("ED only",$B$4)),SUMIFS(sum_over_4_tot,site_level_range,LEFT($B$4,LEN($B$4)-10),date_range,G136,inputdata!$E:$E,"*- ED*"),SUMIFS(sum_over_4_tot,site_level_range,$B$4,date_range,G136)))</f>
        <v>6784</v>
      </c>
      <c r="H140" s="147">
        <f ca="1">IF(H137="-","-",H137-IF(ISNUMBER(FIND("ED only",$B$4)),SUMIFS(sum_over_4_tot,site_level_range,LEFT($B$4,LEN($B$4)-10),date_range,H136,inputdata!$E:$E,"*- ED*"),SUMIFS(sum_over_4_tot,site_level_range,$B$4,date_range,H136)))</f>
        <v>6283</v>
      </c>
      <c r="I140" s="147">
        <f ca="1">IF(I137="-","-",I137-IF(ISNUMBER(FIND("ED only",$B$4)),SUMIFS(sum_over_4_tot,site_level_range,LEFT($B$4,LEN($B$4)-10),date_range,I136,inputdata!$E:$E,"*- ED*"),SUMIFS(sum_over_4_tot,site_level_range,$B$4,date_range,I136)))</f>
        <v>7105</v>
      </c>
      <c r="J140" s="147">
        <f ca="1">IF(J137="-","-",J137-IF(ISNUMBER(FIND("ED only",$B$4)),SUMIFS(sum_over_4_tot,site_level_range,LEFT($B$4,LEN($B$4)-10),date_range,J136,inputdata!$E:$E,"*- ED*"),SUMIFS(sum_over_4_tot,site_level_range,$B$4,date_range,J136)))</f>
        <v>6515</v>
      </c>
      <c r="K140" s="147">
        <f ca="1">IF(K137="-","-",K137-IF(ISNUMBER(FIND("ED only",$B$4)),SUMIFS(sum_over_4_tot,site_level_range,LEFT($B$4,LEN($B$4)-10),date_range,K136,inputdata!$E:$E,"*- ED*"),SUMIFS(sum_over_4_tot,site_level_range,$B$4,date_range,K136)))</f>
        <v>6351</v>
      </c>
      <c r="L140" s="147">
        <f ca="1">IF(L137="-","-",L137-IF(ISNUMBER(FIND("ED only",$B$4)),SUMIFS(sum_over_4_tot,site_level_range,LEFT($B$4,LEN($B$4)-10),date_range,L136,inputdata!$E:$E,"*- ED*"),SUMIFS(sum_over_4_tot,site_level_range,$B$4,date_range,L136)))</f>
        <v>10620</v>
      </c>
      <c r="M140" s="147">
        <f ca="1">IF(M137="-","-",M137-IF(ISNUMBER(FIND("ED only",$B$4)),SUMIFS(sum_over_4_tot,site_level_range,LEFT($B$4,LEN($B$4)-10),date_range,M136,inputdata!$E:$E,"*- ED*"),SUMIFS(sum_over_4_tot,site_level_range,$B$4,date_range,M136)))</f>
        <v>9013</v>
      </c>
      <c r="N140" s="156">
        <f ca="1">IF(N137="-","-",N137-IF(ISNUMBER(FIND("ED only",$B$4)),SUMIFS(sum_over_4_tot,site_level_range,LEFT($B$4,LEN($B$4)-10),date_range,N136,inputdata!$E:$E,"*- ED*"),SUMIFS(sum_over_4_tot,site_level_range,$B$4,date_range,N136)))</f>
        <v>10039</v>
      </c>
      <c r="R140" s="50" t="s">
        <v>368</v>
      </c>
    </row>
    <row r="141" spans="1:18" ht="15" customHeight="1" x14ac:dyDescent="0.2">
      <c r="A141" s="132"/>
      <c r="B141" s="152" t="s">
        <v>728</v>
      </c>
      <c r="C141" s="148">
        <f t="shared" ref="C141:N141" ca="1" si="29">IF(ISERROR(1-C140/C137),NA(),(1-C140/C137))</f>
        <v>0.92823204501922818</v>
      </c>
      <c r="D141" s="148">
        <f t="shared" ca="1" si="29"/>
        <v>0.93486448510132836</v>
      </c>
      <c r="E141" s="148">
        <f t="shared" ca="1" si="29"/>
        <v>0.94330646717430344</v>
      </c>
      <c r="F141" s="148">
        <f t="shared" ca="1" si="29"/>
        <v>0.95838449993177788</v>
      </c>
      <c r="G141" s="148">
        <f t="shared" ca="1" si="29"/>
        <v>0.95225057188104878</v>
      </c>
      <c r="H141" s="148">
        <f t="shared" ca="1" si="29"/>
        <v>0.95416110369381402</v>
      </c>
      <c r="I141" s="148">
        <f t="shared" ca="1" si="29"/>
        <v>0.94658497161974209</v>
      </c>
      <c r="J141" s="148">
        <f t="shared" ca="1" si="29"/>
        <v>0.94891117680732107</v>
      </c>
      <c r="K141" s="148">
        <f t="shared" ca="1" si="29"/>
        <v>0.94927154222179622</v>
      </c>
      <c r="L141" s="148">
        <f t="shared" ca="1" si="29"/>
        <v>0.91800494132180355</v>
      </c>
      <c r="M141" s="148">
        <f t="shared" ca="1" si="29"/>
        <v>0.92948236472318713</v>
      </c>
      <c r="N141" s="157">
        <f t="shared" ca="1" si="29"/>
        <v>0.9307234735563652</v>
      </c>
      <c r="R141" s="50" t="s">
        <v>261</v>
      </c>
    </row>
    <row r="142" spans="1:18" ht="15" customHeight="1" x14ac:dyDescent="0.2">
      <c r="A142" s="132"/>
      <c r="B142" s="154" t="s">
        <v>729</v>
      </c>
      <c r="C142" s="151">
        <f ca="1">IF(ISERROR(C139),NA(),IF(AND(MONTH(C136)=3,ISNUMBER($N137),ISNUMBER($C137)),1-(SUM($C140:$N140)/SUM($C137:$N137)),IF(AND(MONTH(C136)&lt;&gt;3,ISNUMBER(C137),ISNUMBER(D151)),1-(SUM(D154:$N154,$C140:C140)/SUM($C137:C137,D151:$N151)),NA())))</f>
        <v>0.9190009947524973</v>
      </c>
      <c r="D142" s="151">
        <f ca="1">IF(ISERROR(D139),NA(),IF(AND(MONTH(D136)=3,ISNUMBER($N137),ISNUMBER($C137)),1-(SUM($C140:$N140)/SUM($C137:$N137)),IF(AND(MONTH(D136)&lt;&gt;3,ISNUMBER(D137),ISNUMBER(E151)),1-(SUM(E154:$N154,$C140:D140)/SUM($C137:D137,E151:$N151)),NA())))</f>
        <v>0.91958741482537554</v>
      </c>
      <c r="E142" s="151">
        <f ca="1">IF(ISERROR(E139),NA(),IF(AND(MONTH(E136)=3,ISNUMBER($N137),ISNUMBER($C137)),1-(SUM($C140:$N140)/SUM($C137:$N137)),IF(AND(MONTH(E136)&lt;&gt;3,ISNUMBER(E137),ISNUMBER(F151)),1-(SUM(F154:$N154,$C140:E140)/SUM($C137:E137,F151:$N151)),NA())))</f>
        <v>0.9197389964454119</v>
      </c>
      <c r="F142" s="151">
        <f ca="1">IF(ISERROR(F139),NA(),IF(AND(MONTH(F136)=3,ISNUMBER($N137),ISNUMBER($C137)),1-(SUM($C140:$N140)/SUM($C137:$N137)),IF(AND(MONTH(F136)&lt;&gt;3,ISNUMBER(F137),ISNUMBER(G151)),1-(SUM(G154:$N154,$C140:F140)/SUM($C137:F137,G151:$N151)),NA())))</f>
        <v>0.92059565404233856</v>
      </c>
      <c r="G142" s="151">
        <f ca="1">IF(ISERROR(G139),NA(),IF(AND(MONTH(G136)=3,ISNUMBER($N137),ISNUMBER($C137)),1-(SUM($C140:$N140)/SUM($C137:$N137)),IF(AND(MONTH(G136)&lt;&gt;3,ISNUMBER(G137),ISNUMBER(H151)),1-(SUM(H154:$N154,$C140:G140)/SUM($C137:G137,H151:$N151)),NA())))</f>
        <v>0.92242096026574616</v>
      </c>
      <c r="H142" s="151">
        <f ca="1">IF(ISERROR(H139),NA(),IF(AND(MONTH(H136)=3,ISNUMBER($N137),ISNUMBER($C137)),1-(SUM($C140:$N140)/SUM($C137:$N137)),IF(AND(MONTH(H136)&lt;&gt;3,ISNUMBER(H137),ISNUMBER(I151)),1-(SUM(I154:$N154,$C140:H140)/SUM($C137:H137,I151:$N151)),NA())))</f>
        <v>0.92401897682138245</v>
      </c>
      <c r="I142" s="151">
        <f ca="1">IF(ISERROR(I139),NA(),IF(AND(MONTH(I136)=3,ISNUMBER($N137),ISNUMBER($C137)),1-(SUM($C140:$N140)/SUM($C137:$N137)),IF(AND(MONTH(I136)&lt;&gt;3,ISNUMBER(I137),ISNUMBER(J151)),1-(SUM(J154:$N154,$C140:I140)/SUM($C137:I137,J151:$N151)),NA())))</f>
        <v>0.92637546724006448</v>
      </c>
      <c r="J142" s="151">
        <f ca="1">IF(ISERROR(J139),NA(),IF(AND(MONTH(J136)=3,ISNUMBER($N137),ISNUMBER($C137)),1-(SUM($C140:$N140)/SUM($C137:$N137)),IF(AND(MONTH(J136)&lt;&gt;3,ISNUMBER(J137),ISNUMBER(K151)),1-(SUM(K154:$N154,$C140:J140)/SUM($C137:J137,K151:$N151)),NA())))</f>
        <v>0.92886628806528682</v>
      </c>
      <c r="K142" s="151">
        <f ca="1">IF(ISERROR(K139),NA(),IF(AND(MONTH(K136)=3,ISNUMBER($N137),ISNUMBER($C137)),1-(SUM($C140:$N140)/SUM($C137:$N137)),IF(AND(MONTH(K136)&lt;&gt;3,ISNUMBER(K137),ISNUMBER(L151)),1-(SUM(L154:$N154,$C140:K140)/SUM($C137:K137,L151:$N151)),NA())))</f>
        <v>0.93290892728513897</v>
      </c>
      <c r="L142" s="151">
        <f ca="1">IF(ISERROR(L139),NA(),IF(AND(MONTH(L136)=3,ISNUMBER($N137),ISNUMBER($C137)),1-(SUM($C140:$N140)/SUM($C137:$N137)),IF(AND(MONTH(L136)&lt;&gt;3,ISNUMBER(L137),ISNUMBER(M151)),1-(SUM(M154:$N154,$C140:L140)/SUM($C137:L137,M151:$N151)),NA())))</f>
        <v>0.93669187614392324</v>
      </c>
      <c r="M142" s="151">
        <f ca="1">IF(ISERROR(M139),NA(),IF(AND(MONTH(M136)=3,ISNUMBER($N137),ISNUMBER($C137)),1-(SUM($C140:$N140)/SUM($C137:$N137)),IF(AND(MONTH(M136)&lt;&gt;3,ISNUMBER(M137),ISNUMBER(N151)),1-(SUM(N154:$N154,$C140:M140)/SUM($C137:M137,N151:$N151)),NA())))</f>
        <v>0.94045382804859445</v>
      </c>
      <c r="N142" s="160">
        <f ca="1">IF(ISERROR(N139),NA(),IF(AND(MONTH(N136)=3,ISNUMBER($N137),ISNUMBER($C137)),1-(SUM($C140:$N140)/SUM($C137:$N137)),IF(AND(MONTH(N136)&lt;&gt;3,ISNUMBER(N137),ISNUMBER(O151)),1-(SUM($N154:O154,$C140:N140)/SUM($C137:N137,$N151:O151)),NA())))</f>
        <v>0.94117885055410733</v>
      </c>
      <c r="R142" s="50" t="s">
        <v>85</v>
      </c>
    </row>
    <row r="143" spans="1:18" ht="14.45" customHeight="1" x14ac:dyDescent="0.25">
      <c r="A143" s="132"/>
      <c r="B143" s="155" t="s">
        <v>730</v>
      </c>
      <c r="C143" s="127"/>
      <c r="D143" s="127"/>
      <c r="E143" s="127"/>
      <c r="F143" s="127"/>
      <c r="G143" s="127"/>
      <c r="H143" s="127"/>
      <c r="I143" s="127"/>
      <c r="J143" s="127"/>
      <c r="K143" s="127"/>
      <c r="L143" s="127"/>
      <c r="M143" s="127"/>
      <c r="N143" s="161"/>
    </row>
    <row r="144" spans="1:18" ht="15" customHeight="1" x14ac:dyDescent="0.2">
      <c r="A144" s="132"/>
      <c r="B144" s="154" t="s">
        <v>724</v>
      </c>
      <c r="C144" s="150">
        <f ca="1">IF(IF(ISNUMBER(FIND("ED only",$B$4)),SUMIFS(Sum_total_epi,site_level_range,LEFT($B$4,LEN($B$4)-10),date_range,C136,inputdata!$E:$E,"*- ED*"),SUMIFS(Sum_total_epi,site_level_range,$B$4,date_range,C136))=0,"-",IF(ISNUMBER(FIND("ED only",$B$4)),SUMIFS(Sum_total_epi,site_level_range,LEFT($B$4,LEN($B$4)-10),date_range,C136,inputdata!$E:$E,"*- ED*"),SUMIFS(Sum_total_epi,site_level_range,$B$4,date_range,C136)))</f>
        <v>126239</v>
      </c>
      <c r="D144" s="150">
        <f ca="1">IF(IF(ISNUMBER(FIND("ED only",$B$4)),SUMIFS(Sum_total_epi,site_level_range,LEFT($B$4,LEN($B$4)-10),date_range,D136,inputdata!$E:$E,"*- ED*"),SUMIFS(Sum_total_epi,site_level_range,$B$4,date_range,D136))=0,"-",IF(ISNUMBER(FIND("ED only",$B$4)),SUMIFS(Sum_total_epi,site_level_range,LEFT($B$4,LEN($B$4)-10),date_range,D136,inputdata!$E:$E,"*- ED*"),SUMIFS(Sum_total_epi,site_level_range,$B$4,date_range,D136)))</f>
        <v>129209</v>
      </c>
      <c r="E144" s="150">
        <f ca="1">IF(IF(ISNUMBER(FIND("ED only",$B$4)),SUMIFS(Sum_total_epi,site_level_range,LEFT($B$4,LEN($B$4)-10),date_range,E136,inputdata!$E:$E,"*- ED*"),SUMIFS(Sum_total_epi,site_level_range,$B$4,date_range,E136))=0,"-",IF(ISNUMBER(FIND("ED only",$B$4)),SUMIFS(Sum_total_epi,site_level_range,LEFT($B$4,LEN($B$4)-10),date_range,E136,inputdata!$E:$E,"*- ED*"),SUMIFS(Sum_total_epi,site_level_range,$B$4,date_range,E136)))</f>
        <v>125659</v>
      </c>
      <c r="F144" s="150">
        <f ca="1">IF(IF(ISNUMBER(FIND("ED only",$B$4)),SUMIFS(Sum_total_epi,site_level_range,LEFT($B$4,LEN($B$4)-10),date_range,F136,inputdata!$E:$E,"*- ED*"),SUMIFS(Sum_total_epi,site_level_range,$B$4,date_range,F136))=0,"-",IF(ISNUMBER(FIND("ED only",$B$4)),SUMIFS(Sum_total_epi,site_level_range,LEFT($B$4,LEN($B$4)-10),date_range,F136,inputdata!$E:$E,"*- ED*"),SUMIFS(Sum_total_epi,site_level_range,$B$4,date_range,F136)))</f>
        <v>122606</v>
      </c>
      <c r="G144" s="150">
        <f ca="1">IF(IF(ISNUMBER(FIND("ED only",$B$4)),SUMIFS(Sum_total_epi,site_level_range,LEFT($B$4,LEN($B$4)-10),date_range,G136,inputdata!$E:$E,"*- ED*"),SUMIFS(Sum_total_epi,site_level_range,$B$4,date_range,G136))=0,"-",IF(ISNUMBER(FIND("ED only",$B$4)),SUMIFS(Sum_total_epi,site_level_range,LEFT($B$4,LEN($B$4)-10),date_range,G136,inputdata!$E:$E,"*- ED*"),SUMIFS(Sum_total_epi,site_level_range,$B$4,date_range,G136)))</f>
        <v>132175</v>
      </c>
      <c r="H144" s="150">
        <f ca="1">IF(IF(ISNUMBER(FIND("ED only",$B$4)),SUMIFS(Sum_total_epi,site_level_range,LEFT($B$4,LEN($B$4)-10),date_range,H136,inputdata!$E:$E,"*- ED*"),SUMIFS(Sum_total_epi,site_level_range,$B$4,date_range,H136))=0,"-",IF(ISNUMBER(FIND("ED only",$B$4)),SUMIFS(Sum_total_epi,site_level_range,LEFT($B$4,LEN($B$4)-10),date_range,H136,inputdata!$E:$E,"*- ED*"),SUMIFS(Sum_total_epi,site_level_range,$B$4,date_range,H136)))</f>
        <v>128189</v>
      </c>
      <c r="I144" s="150">
        <f ca="1">IF(IF(ISNUMBER(FIND("ED only",$B$4)),SUMIFS(Sum_total_epi,site_level_range,LEFT($B$4,LEN($B$4)-10),date_range,I136,inputdata!$E:$E,"*- ED*"),SUMIFS(Sum_total_epi,site_level_range,$B$4,date_range,I136))=0,"-",IF(ISNUMBER(FIND("ED only",$B$4)),SUMIFS(Sum_total_epi,site_level_range,LEFT($B$4,LEN($B$4)-10),date_range,I136,inputdata!$E:$E,"*- ED*"),SUMIFS(Sum_total_epi,site_level_range,$B$4,date_range,I136)))</f>
        <v>125027</v>
      </c>
      <c r="J144" s="150">
        <f ca="1">IF(IF(ISNUMBER(FIND("ED only",$B$4)),SUMIFS(Sum_total_epi,site_level_range,LEFT($B$4,LEN($B$4)-10),date_range,J136,inputdata!$E:$E,"*- ED*"),SUMIFS(Sum_total_epi,site_level_range,$B$4,date_range,J136))=0,"-",IF(ISNUMBER(FIND("ED only",$B$4)),SUMIFS(Sum_total_epi,site_level_range,LEFT($B$4,LEN($B$4)-10),date_range,J136,inputdata!$E:$E,"*- ED*"),SUMIFS(Sum_total_epi,site_level_range,$B$4,date_range,J136)))</f>
        <v>120058</v>
      </c>
      <c r="K144" s="150">
        <f ca="1">IF(IF(ISNUMBER(FIND("ED only",$B$4)),SUMIFS(Sum_total_epi,site_level_range,LEFT($B$4,LEN($B$4)-10),date_range,K136,inputdata!$E:$E,"*- ED*"),SUMIFS(Sum_total_epi,site_level_range,$B$4,date_range,K136))=0,"-",IF(ISNUMBER(FIND("ED only",$B$4)),SUMIFS(Sum_total_epi,site_level_range,LEFT($B$4,LEN($B$4)-10),date_range,K136,inputdata!$E:$E,"*- ED*"),SUMIFS(Sum_total_epi,site_level_range,$B$4,date_range,K136)))</f>
        <v>117539</v>
      </c>
      <c r="L144" s="150">
        <f ca="1">IF(IF(ISNUMBER(FIND("ED only",$B$4)),SUMIFS(Sum_total_epi,site_level_range,LEFT($B$4,LEN($B$4)-10),date_range,L136,inputdata!$E:$E,"*- ED*"),SUMIFS(Sum_total_epi,site_level_range,$B$4,date_range,L136))=0,"-",IF(ISNUMBER(FIND("ED only",$B$4)),SUMIFS(Sum_total_epi,site_level_range,LEFT($B$4,LEN($B$4)-10),date_range,L136,inputdata!$E:$E,"*- ED*"),SUMIFS(Sum_total_epi,site_level_range,$B$4,date_range,L136)))</f>
        <v>121846</v>
      </c>
      <c r="M144" s="150">
        <f ca="1">IF(IF(ISNUMBER(FIND("ED only",$B$4)),SUMIFS(Sum_total_epi,site_level_range,LEFT($B$4,LEN($B$4)-10),date_range,M136,inputdata!$E:$E,"*- ED*"),SUMIFS(Sum_total_epi,site_level_range,$B$4,date_range,M136))=0,"-",IF(ISNUMBER(FIND("ED only",$B$4)),SUMIFS(Sum_total_epi,site_level_range,LEFT($B$4,LEN($B$4)-10),date_range,M136,inputdata!$E:$E,"*- ED*"),SUMIFS(Sum_total_epi,site_level_range,$B$4,date_range,M136)))</f>
        <v>120267</v>
      </c>
      <c r="N144" s="159">
        <f ca="1">IF(IF(ISNUMBER(FIND("ED only",$B$4)),SUMIFS(Sum_total_epi,site_level_range,LEFT($B$4,LEN($B$4)-10),date_range,N136,inputdata!$E:$E,"*- ED*"),SUMIFS(Sum_total_epi,site_level_range,$B$4,date_range,N136))=0,"-",IF(ISNUMBER(FIND("ED only",$B$4)),SUMIFS(Sum_total_epi,site_level_range,LEFT($B$4,LEN($B$4)-10),date_range,N136,inputdata!$E:$E,"*- ED*"),SUMIFS(Sum_total_epi,site_level_range,$B$4,date_range,N136)))</f>
        <v>136094</v>
      </c>
    </row>
    <row r="145" spans="1:14" ht="15" customHeight="1" x14ac:dyDescent="0.2">
      <c r="A145" s="132"/>
      <c r="B145" s="152" t="s">
        <v>731</v>
      </c>
      <c r="C145" s="147">
        <f ca="1">IF(C144="-","-",IF(ISNUMBER(FIND("ED only",$B$4)),SUMIFS(Sum_over_8,site_level_range,LEFT($B$4,LEN($B$4)-10),date_range,C136,inputdata!$E:$E,"*- ED*"),SUMIFS(Sum_over_8,site_level_range,$B$4,date_range,C136)))</f>
        <v>840</v>
      </c>
      <c r="D145" s="147">
        <f ca="1">IF(D144="-","-",IF(ISNUMBER(FIND("ED only",$B$4)),SUMIFS(Sum_over_8,site_level_range,LEFT($B$4,LEN($B$4)-10),date_range,D136,inputdata!$E:$E,"*- ED*"),SUMIFS(Sum_over_8,site_level_range,$B$4,date_range,D136)))</f>
        <v>864</v>
      </c>
      <c r="E145" s="147">
        <f ca="1">IF(E144="-","-",IF(ISNUMBER(FIND("ED only",$B$4)),SUMIFS(Sum_over_8,site_level_range,LEFT($B$4,LEN($B$4)-10),date_range,E136,inputdata!$E:$E,"*- ED*"),SUMIFS(Sum_over_8,site_level_range,$B$4,date_range,E136)))</f>
        <v>579</v>
      </c>
      <c r="F145" s="147">
        <f ca="1">IF(F144="-","-",IF(ISNUMBER(FIND("ED only",$B$4)),SUMIFS(Sum_over_8,site_level_range,LEFT($B$4,LEN($B$4)-10),date_range,F136,inputdata!$E:$E,"*- ED*"),SUMIFS(Sum_over_8,site_level_range,$B$4,date_range,F136)))</f>
        <v>402</v>
      </c>
      <c r="G145" s="147">
        <f ca="1">IF(G144="-","-",IF(ISNUMBER(FIND("ED only",$B$4)),SUMIFS(Sum_over_8,site_level_range,LEFT($B$4,LEN($B$4)-10),date_range,G136,inputdata!$E:$E,"*- ED*"),SUMIFS(Sum_over_8,site_level_range,$B$4,date_range,G136)))</f>
        <v>401</v>
      </c>
      <c r="H145" s="147">
        <f ca="1">IF(H144="-","-",IF(ISNUMBER(FIND("ED only",$B$4)),SUMIFS(Sum_over_8,site_level_range,LEFT($B$4,LEN($B$4)-10),date_range,H136,inputdata!$E:$E,"*- ED*"),SUMIFS(Sum_over_8,site_level_range,$B$4,date_range,H136)))</f>
        <v>507</v>
      </c>
      <c r="I145" s="147">
        <f ca="1">IF(I144="-","-",IF(ISNUMBER(FIND("ED only",$B$4)),SUMIFS(Sum_over_8,site_level_range,LEFT($B$4,LEN($B$4)-10),date_range,I136,inputdata!$E:$E,"*- ED*"),SUMIFS(Sum_over_8,site_level_range,$B$4,date_range,I136)))</f>
        <v>527</v>
      </c>
      <c r="J145" s="147">
        <f ca="1">IF(J144="-","-",IF(ISNUMBER(FIND("ED only",$B$4)),SUMIFS(Sum_over_8,site_level_range,LEFT($B$4,LEN($B$4)-10),date_range,J136,inputdata!$E:$E,"*- ED*"),SUMIFS(Sum_over_8,site_level_range,$B$4,date_range,J136)))</f>
        <v>577</v>
      </c>
      <c r="K145" s="147">
        <f ca="1">IF(K144="-","-",IF(ISNUMBER(FIND("ED only",$B$4)),SUMIFS(Sum_over_8,site_level_range,LEFT($B$4,LEN($B$4)-10),date_range,K136,inputdata!$E:$E,"*- ED*"),SUMIFS(Sum_over_8,site_level_range,$B$4,date_range,K136)))</f>
        <v>631</v>
      </c>
      <c r="L145" s="147">
        <f ca="1">IF(L144="-","-",IF(ISNUMBER(FIND("ED only",$B$4)),SUMIFS(Sum_over_8,site_level_range,LEFT($B$4,LEN($B$4)-10),date_range,L136,inputdata!$E:$E,"*- ED*"),SUMIFS(Sum_over_8,site_level_range,$B$4,date_range,L136)))</f>
        <v>1635</v>
      </c>
      <c r="M145" s="147">
        <f ca="1">IF(M144="-","-",IF(ISNUMBER(FIND("ED only",$B$4)),SUMIFS(Sum_over_8,site_level_range,LEFT($B$4,LEN($B$4)-10),date_range,M136,inputdata!$E:$E,"*- ED*"),SUMIFS(Sum_over_8,site_level_range,$B$4,date_range,M136)))</f>
        <v>1085</v>
      </c>
      <c r="N145" s="156">
        <f ca="1">IF(N144="-","-",IF(ISNUMBER(FIND("ED only",$B$4)),SUMIFS(Sum_over_8,site_level_range,LEFT($B$4,LEN($B$4)-10),date_range,N136,inputdata!$E:$E,"*- ED*"),SUMIFS(Sum_over_8,site_level_range,$B$4,date_range,N136)))</f>
        <v>958</v>
      </c>
    </row>
    <row r="146" spans="1:14" ht="15" customHeight="1" x14ac:dyDescent="0.2">
      <c r="A146" s="132"/>
      <c r="B146" s="154" t="s">
        <v>732</v>
      </c>
      <c r="C146" s="151">
        <f t="shared" ref="C146:N146" ca="1" si="30">IF(ISERROR(1-C145/C144),"-",1-C145/C144)</f>
        <v>0.99334595489507993</v>
      </c>
      <c r="D146" s="151">
        <f t="shared" ca="1" si="30"/>
        <v>0.99331315930004871</v>
      </c>
      <c r="E146" s="151">
        <f t="shared" ca="1" si="30"/>
        <v>0.99539229183743305</v>
      </c>
      <c r="F146" s="151">
        <f t="shared" ca="1" si="30"/>
        <v>0.99672120450875157</v>
      </c>
      <c r="G146" s="151">
        <f t="shared" ca="1" si="30"/>
        <v>0.99696614337053147</v>
      </c>
      <c r="H146" s="151">
        <f t="shared" ca="1" si="30"/>
        <v>0.99604490244872801</v>
      </c>
      <c r="I146" s="151">
        <f t="shared" ca="1" si="30"/>
        <v>0.99578491045934081</v>
      </c>
      <c r="J146" s="151">
        <f t="shared" ca="1" si="30"/>
        <v>0.99519398957170702</v>
      </c>
      <c r="K146" s="151">
        <f t="shared" ca="1" si="30"/>
        <v>0.99463156909621486</v>
      </c>
      <c r="L146" s="151">
        <f t="shared" ca="1" si="30"/>
        <v>0.98658142245129099</v>
      </c>
      <c r="M146" s="151">
        <f t="shared" ca="1" si="30"/>
        <v>0.9909784063791397</v>
      </c>
      <c r="N146" s="160">
        <f t="shared" ca="1" si="30"/>
        <v>0.99296074771848875</v>
      </c>
    </row>
    <row r="147" spans="1:14" ht="15" customHeight="1" x14ac:dyDescent="0.2">
      <c r="A147" s="132"/>
      <c r="B147" s="152" t="s">
        <v>733</v>
      </c>
      <c r="C147" s="147">
        <f ca="1">IF(C144="-","-",IF(ISNUMBER(FIND("ED only",$B$4)),SUMIFS(Sum_over_12,site_level_range,LEFT($B$4,LEN($B$4)-10),date_range,C136,inputdata!$E:$E,"*- ED*"),SUMIFS(Sum_over_12,site_level_range,$B$4,date_range,C136)))</f>
        <v>136</v>
      </c>
      <c r="D147" s="147">
        <f ca="1">IF(D144="-","-",IF(ISNUMBER(FIND("ED only",$B$4)),SUMIFS(Sum_over_12,site_level_range,LEFT($B$4,LEN($B$4)-10),date_range,D136,inputdata!$E:$E,"*- ED*"),SUMIFS(Sum_over_12,site_level_range,$B$4,date_range,D136)))</f>
        <v>170</v>
      </c>
      <c r="E147" s="147">
        <f ca="1">IF(E144="-","-",IF(ISNUMBER(FIND("ED only",$B$4)),SUMIFS(Sum_over_12,site_level_range,LEFT($B$4,LEN($B$4)-10),date_range,E136,inputdata!$E:$E,"*- ED*"),SUMIFS(Sum_over_12,site_level_range,$B$4,date_range,E136)))</f>
        <v>81</v>
      </c>
      <c r="F147" s="147">
        <f ca="1">IF(F144="-","-",IF(ISNUMBER(FIND("ED only",$B$4)),SUMIFS(Sum_over_12,site_level_range,LEFT($B$4,LEN($B$4)-10),date_range,F136,inputdata!$E:$E,"*- ED*"),SUMIFS(Sum_over_12,site_level_range,$B$4,date_range,F136)))</f>
        <v>74</v>
      </c>
      <c r="G147" s="147">
        <f ca="1">IF(G144="-","-",IF(ISNUMBER(FIND("ED only",$B$4)),SUMIFS(Sum_over_12,site_level_range,LEFT($B$4,LEN($B$4)-10),date_range,G136,inputdata!$E:$E,"*- ED*"),SUMIFS(Sum_over_12,site_level_range,$B$4,date_range,G136)))</f>
        <v>32</v>
      </c>
      <c r="H147" s="147">
        <f ca="1">IF(H144="-","-",IF(ISNUMBER(FIND("ED only",$B$4)),SUMIFS(Sum_over_12,site_level_range,LEFT($B$4,LEN($B$4)-10),date_range,H136,inputdata!$E:$E,"*- ED*"),SUMIFS(Sum_over_12,site_level_range,$B$4,date_range,H136)))</f>
        <v>99</v>
      </c>
      <c r="I147" s="147">
        <f ca="1">IF(I144="-","-",IF(ISNUMBER(FIND("ED only",$B$4)),SUMIFS(Sum_over_12,site_level_range,LEFT($B$4,LEN($B$4)-10),date_range,I136,inputdata!$E:$E,"*- ED*"),SUMIFS(Sum_over_12,site_level_range,$B$4,date_range,I136)))</f>
        <v>76</v>
      </c>
      <c r="J147" s="147">
        <f ca="1">IF(J144="-","-",IF(ISNUMBER(FIND("ED only",$B$4)),SUMIFS(Sum_over_12,site_level_range,LEFT($B$4,LEN($B$4)-10),date_range,J136,inputdata!$E:$E,"*- ED*"),SUMIFS(Sum_over_12,site_level_range,$B$4,date_range,J136)))</f>
        <v>174</v>
      </c>
      <c r="K147" s="147">
        <f ca="1">IF(K144="-","-",IF(ISNUMBER(FIND("ED only",$B$4)),SUMIFS(Sum_over_12,site_level_range,LEFT($B$4,LEN($B$4)-10),date_range,K136,inputdata!$E:$E,"*- ED*"),SUMIFS(Sum_over_12,site_level_range,$B$4,date_range,K136)))</f>
        <v>141</v>
      </c>
      <c r="L147" s="147">
        <f ca="1">IF(L144="-","-",IF(ISNUMBER(FIND("ED only",$B$4)),SUMIFS(Sum_over_12,site_level_range,LEFT($B$4,LEN($B$4)-10),date_range,L136,inputdata!$E:$E,"*- ED*"),SUMIFS(Sum_over_12,site_level_range,$B$4,date_range,L136)))</f>
        <v>422</v>
      </c>
      <c r="M147" s="147">
        <f ca="1">IF(M144="-","-",IF(ISNUMBER(FIND("ED only",$B$4)),SUMIFS(Sum_over_12,site_level_range,LEFT($B$4,LEN($B$4)-10),date_range,M136,inputdata!$E:$E,"*- ED*"),SUMIFS(Sum_over_12,site_level_range,$B$4,date_range,M136)))</f>
        <v>269</v>
      </c>
      <c r="N147" s="156">
        <f ca="1">IF(N144="-","-",IF(ISNUMBER(FIND("ED only",$B$4)),SUMIFS(Sum_over_12,site_level_range,LEFT($B$4,LEN($B$4)-10),date_range,N136,inputdata!$E:$E,"*- ED*"),SUMIFS(Sum_over_12,site_level_range,$B$4,date_range,N136)))</f>
        <v>227</v>
      </c>
    </row>
    <row r="148" spans="1:14" ht="15" customHeight="1" x14ac:dyDescent="0.2">
      <c r="A148" s="132"/>
      <c r="B148" s="154" t="s">
        <v>734</v>
      </c>
      <c r="C148" s="151">
        <f t="shared" ref="C148:N148" ca="1" si="31">IF(ISERROR(1-C147/C144),"-",1-C147/C144)</f>
        <v>0.99892267841158433</v>
      </c>
      <c r="D148" s="151">
        <f t="shared" ca="1" si="31"/>
        <v>0.99868430217709292</v>
      </c>
      <c r="E148" s="151">
        <f t="shared" ca="1" si="31"/>
        <v>0.99935539833995179</v>
      </c>
      <c r="F148" s="151">
        <f t="shared" ca="1" si="31"/>
        <v>0.99939644063096422</v>
      </c>
      <c r="G148" s="151">
        <f t="shared" ca="1" si="31"/>
        <v>0.999757896727823</v>
      </c>
      <c r="H148" s="151">
        <f t="shared" ca="1" si="31"/>
        <v>0.99922770284501794</v>
      </c>
      <c r="I148" s="151">
        <f t="shared" ca="1" si="31"/>
        <v>0.99939213129963933</v>
      </c>
      <c r="J148" s="151">
        <f t="shared" ca="1" si="31"/>
        <v>0.99855070049476091</v>
      </c>
      <c r="K148" s="151">
        <f t="shared" ca="1" si="31"/>
        <v>0.9988003981657152</v>
      </c>
      <c r="L148" s="151">
        <f t="shared" ca="1" si="31"/>
        <v>0.99653661178865127</v>
      </c>
      <c r="M148" s="151">
        <f t="shared" ca="1" si="31"/>
        <v>0.99776330996865303</v>
      </c>
      <c r="N148" s="160">
        <f t="shared" ca="1" si="31"/>
        <v>0.99833203521095715</v>
      </c>
    </row>
    <row r="149" spans="1:14" ht="14.45" customHeight="1" x14ac:dyDescent="0.2">
      <c r="B149" s="127"/>
      <c r="C149" s="127"/>
      <c r="D149" s="127"/>
      <c r="E149" s="127"/>
      <c r="F149" s="127"/>
      <c r="G149" s="127"/>
      <c r="H149" s="127"/>
      <c r="I149" s="127"/>
      <c r="J149" s="127"/>
      <c r="K149" s="127"/>
      <c r="L149" s="127"/>
      <c r="M149" s="127"/>
      <c r="N149" s="127"/>
    </row>
    <row r="150" spans="1:14" ht="15" customHeight="1" x14ac:dyDescent="0.25">
      <c r="A150" s="132"/>
      <c r="B150" s="153" t="s">
        <v>723</v>
      </c>
      <c r="C150" s="149">
        <v>41759</v>
      </c>
      <c r="D150" s="149">
        <v>41790</v>
      </c>
      <c r="E150" s="149">
        <v>41820</v>
      </c>
      <c r="F150" s="149">
        <v>41851</v>
      </c>
      <c r="G150" s="149">
        <v>41882</v>
      </c>
      <c r="H150" s="149">
        <v>41912</v>
      </c>
      <c r="I150" s="149">
        <v>41943</v>
      </c>
      <c r="J150" s="149">
        <v>41973</v>
      </c>
      <c r="K150" s="149">
        <v>42004</v>
      </c>
      <c r="L150" s="149">
        <v>42035</v>
      </c>
      <c r="M150" s="149">
        <v>42063</v>
      </c>
      <c r="N150" s="158">
        <v>42094</v>
      </c>
    </row>
    <row r="151" spans="1:14" ht="15" customHeight="1" x14ac:dyDescent="0.2">
      <c r="A151" s="132"/>
      <c r="B151" s="152" t="s">
        <v>724</v>
      </c>
      <c r="C151" s="147">
        <f ca="1">IF(IF(ISNUMBER(FIND("ED only",$B$4)),SUMIFS(sum_range,site_level_range,LEFT($B$4,LEN($B$4)-10),date_range,C150,inputdata!$E:$E,"*- ED*"),SUMIFS(sum_range,site_level_range,$B$4,date_range,C150))=0,"-",IF(ISNUMBER(FIND("ED only",$B$4)),SUMIFS(sum_range,site_level_range,LEFT($B$4,LEN($B$4)-10),date_range,C150,inputdata!$E:$E,"*- ED*"),SUMIFS(sum_range,site_level_range,$B$4,date_range,C150)))</f>
        <v>137430</v>
      </c>
      <c r="D151" s="147">
        <f ca="1">IF(IF(ISNUMBER(FIND("ED only",$B$4)),SUMIFS(sum_range,site_level_range,LEFT($B$4,LEN($B$4)-10),date_range,D150,inputdata!$E:$E,"*- ED*"),SUMIFS(sum_range,site_level_range,$B$4,date_range,D150))=0,"-",IF(ISNUMBER(FIND("ED only",$B$4)),SUMIFS(sum_range,site_level_range,LEFT($B$4,LEN($B$4)-10),date_range,D150,inputdata!$E:$E,"*- ED*"),SUMIFS(sum_range,site_level_range,$B$4,date_range,D150)))</f>
        <v>146675</v>
      </c>
      <c r="E151" s="147">
        <f ca="1">IF(IF(ISNUMBER(FIND("ED only",$B$4)),SUMIFS(sum_range,site_level_range,LEFT($B$4,LEN($B$4)-10),date_range,E150,inputdata!$E:$E,"*- ED*"),SUMIFS(sum_range,site_level_range,$B$4,date_range,E150))=0,"-",IF(ISNUMBER(FIND("ED only",$B$4)),SUMIFS(sum_range,site_level_range,LEFT($B$4,LEN($B$4)-10),date_range,E150,inputdata!$E:$E,"*- ED*"),SUMIFS(sum_range,site_level_range,$B$4,date_range,E150)))</f>
        <v>144812</v>
      </c>
      <c r="F151" s="147">
        <f ca="1">IF(IF(ISNUMBER(FIND("ED only",$B$4)),SUMIFS(sum_range,site_level_range,LEFT($B$4,LEN($B$4)-10),date_range,F150,inputdata!$E:$E,"*- ED*"),SUMIFS(sum_range,site_level_range,$B$4,date_range,F150))=0,"-",IF(ISNUMBER(FIND("ED only",$B$4)),SUMIFS(sum_range,site_level_range,LEFT($B$4,LEN($B$4)-10),date_range,F150,inputdata!$E:$E,"*- ED*"),SUMIFS(sum_range,site_level_range,$B$4,date_range,F150)))</f>
        <v>144201</v>
      </c>
      <c r="G151" s="147">
        <f ca="1">IF(IF(ISNUMBER(FIND("ED only",$B$4)),SUMIFS(sum_range,site_level_range,LEFT($B$4,LEN($B$4)-10),date_range,G150,inputdata!$E:$E,"*- ED*"),SUMIFS(sum_range,site_level_range,$B$4,date_range,G150))=0,"-",IF(ISNUMBER(FIND("ED only",$B$4)),SUMIFS(sum_range,site_level_range,LEFT($B$4,LEN($B$4)-10),date_range,G150,inputdata!$E:$E,"*- ED*"),SUMIFS(sum_range,site_level_range,$B$4,date_range,G150)))</f>
        <v>141962</v>
      </c>
      <c r="H151" s="147">
        <f ca="1">IF(IF(ISNUMBER(FIND("ED only",$B$4)),SUMIFS(sum_range,site_level_range,LEFT($B$4,LEN($B$4)-10),date_range,H150,inputdata!$E:$E,"*- ED*"),SUMIFS(sum_range,site_level_range,$B$4,date_range,H150))=0,"-",IF(ISNUMBER(FIND("ED only",$B$4)),SUMIFS(sum_range,site_level_range,LEFT($B$4,LEN($B$4)-10),date_range,H150,inputdata!$E:$E,"*- ED*"),SUMIFS(sum_range,site_level_range,$B$4,date_range,H150)))</f>
        <v>142542</v>
      </c>
      <c r="I151" s="147">
        <f ca="1">IF(IF(ISNUMBER(FIND("ED only",$B$4)),SUMIFS(sum_range,site_level_range,LEFT($B$4,LEN($B$4)-10),date_range,I150,inputdata!$E:$E,"*- ED*"),SUMIFS(sum_range,site_level_range,$B$4,date_range,I150))=0,"-",IF(ISNUMBER(FIND("ED only",$B$4)),SUMIFS(sum_range,site_level_range,LEFT($B$4,LEN($B$4)-10),date_range,I150,inputdata!$E:$E,"*- ED*"),SUMIFS(sum_range,site_level_range,$B$4,date_range,I150)))</f>
        <v>133463</v>
      </c>
      <c r="J151" s="147">
        <f ca="1">IF(IF(ISNUMBER(FIND("ED only",$B$4)),SUMIFS(sum_range,site_level_range,LEFT($B$4,LEN($B$4)-10),date_range,J150,inputdata!$E:$E,"*- ED*"),SUMIFS(sum_range,site_level_range,$B$4,date_range,J150))=0,"-",IF(ISNUMBER(FIND("ED only",$B$4)),SUMIFS(sum_range,site_level_range,LEFT($B$4,LEN($B$4)-10),date_range,J150,inputdata!$E:$E,"*- ED*"),SUMIFS(sum_range,site_level_range,$B$4,date_range,J150)))</f>
        <v>130941</v>
      </c>
      <c r="K151" s="147">
        <f ca="1">IF(IF(ISNUMBER(FIND("ED only",$B$4)),SUMIFS(sum_range,site_level_range,LEFT($B$4,LEN($B$4)-10),date_range,K150,inputdata!$E:$E,"*- ED*"),SUMIFS(sum_range,site_level_range,$B$4,date_range,K150))=0,"-",IF(ISNUMBER(FIND("ED only",$B$4)),SUMIFS(sum_range,site_level_range,LEFT($B$4,LEN($B$4)-10),date_range,K150,inputdata!$E:$E,"*- ED*"),SUMIFS(sum_range,site_level_range,$B$4,date_range,K150)))</f>
        <v>129255</v>
      </c>
      <c r="L151" s="147">
        <f ca="1">IF(IF(ISNUMBER(FIND("ED only",$B$4)),SUMIFS(sum_range,site_level_range,LEFT($B$4,LEN($B$4)-10),date_range,L150,inputdata!$E:$E,"*- ED*"),SUMIFS(sum_range,site_level_range,$B$4,date_range,L150))=0,"-",IF(ISNUMBER(FIND("ED only",$B$4)),SUMIFS(sum_range,site_level_range,LEFT($B$4,LEN($B$4)-10),date_range,L150,inputdata!$E:$E,"*- ED*"),SUMIFS(sum_range,site_level_range,$B$4,date_range,L150)))</f>
        <v>129208</v>
      </c>
      <c r="M151" s="147">
        <f ca="1">IF(IF(ISNUMBER(FIND("ED only",$B$4)),SUMIFS(sum_range,site_level_range,LEFT($B$4,LEN($B$4)-10),date_range,M150,inputdata!$E:$E,"*- ED*"),SUMIFS(sum_range,site_level_range,$B$4,date_range,M150))=0,"-",IF(ISNUMBER(FIND("ED only",$B$4)),SUMIFS(sum_range,site_level_range,LEFT($B$4,LEN($B$4)-10),date_range,M150,inputdata!$E:$E,"*- ED*"),SUMIFS(sum_range,site_level_range,$B$4,date_range,M150)))</f>
        <v>121271</v>
      </c>
      <c r="N151" s="156">
        <f ca="1">IF(IF(ISNUMBER(FIND("ED only",$B$4)),SUMIFS(sum_range,site_level_range,LEFT($B$4,LEN($B$4)-10),date_range,N150,inputdata!$E:$E,"*- ED*"),SUMIFS(sum_range,site_level_range,$B$4,date_range,N150))=0,"-",IF(ISNUMBER(FIND("ED only",$B$4)),SUMIFS(sum_range,site_level_range,LEFT($B$4,LEN($B$4)-10),date_range,N150,inputdata!$E:$E,"*- ED*"),SUMIFS(sum_range,site_level_range,$B$4,date_range,N150)))</f>
        <v>137560</v>
      </c>
    </row>
    <row r="152" spans="1:14" ht="15" customHeight="1" x14ac:dyDescent="0.2">
      <c r="A152" s="132"/>
      <c r="B152" s="152" t="s">
        <v>725</v>
      </c>
      <c r="C152" s="147">
        <f ca="1">IF(AND(MONTH(C150)=3,ISNUMBER($N151),ISNUMBER($C151)),SUM($C151:C151),IF(AND(MONTH(C150)&lt;&gt;3,ISNUMBER(C151),ISNUMBER(D165)),SUM($C151:C151,D165:$N165),"-"))</f>
        <v>1623345</v>
      </c>
      <c r="D152" s="147">
        <f ca="1">IF(AND(MONTH(D150)=3,ISNUMBER($N151),ISNUMBER($C151)),SUM($C151:D151),IF(AND(MONTH(D150)&lt;&gt;3,ISNUMBER(D151),ISNUMBER(E165)),SUM($C151:D151,E165:$N165),"-"))</f>
        <v>1627982</v>
      </c>
      <c r="E152" s="147">
        <f ca="1">IF(AND(MONTH(E150)=3,ISNUMBER($N151),ISNUMBER($C151)),SUM($C151:E151),IF(AND(MONTH(E150)&lt;&gt;3,ISNUMBER(E151),ISNUMBER(F165)),SUM($C151:E151,F165:$N165),"-"))</f>
        <v>1632892</v>
      </c>
      <c r="F152" s="147">
        <f ca="1">IF(AND(MONTH(F150)=3,ISNUMBER($N151),ISNUMBER($C151)),SUM($C151:F151),IF(AND(MONTH(F150)&lt;&gt;3,ISNUMBER(F151),ISNUMBER(G165)),SUM($C151:F151,G165:$N165),"-"))</f>
        <v>1631778</v>
      </c>
      <c r="G152" s="147">
        <f ca="1">IF(AND(MONTH(G150)=3,ISNUMBER($N151),ISNUMBER($C151)),SUM($C151:G151),IF(AND(MONTH(G150)&lt;&gt;3,ISNUMBER(G151),ISNUMBER(H165)),SUM($C151:G151,H165:$N165),"-"))</f>
        <v>1629632</v>
      </c>
      <c r="H152" s="147">
        <f ca="1">IF(AND(MONTH(H150)=3,ISNUMBER($N151),ISNUMBER($C151)),SUM($C151:H151),IF(AND(MONTH(H150)&lt;&gt;3,ISNUMBER(H151),ISNUMBER(I165)),SUM($C151:H151,I165:$N165),"-"))</f>
        <v>1635516</v>
      </c>
      <c r="I152" s="147">
        <f ca="1">IF(AND(MONTH(I150)=3,ISNUMBER($N151),ISNUMBER($C151)),SUM($C151:I151),IF(AND(MONTH(I150)&lt;&gt;3,ISNUMBER(I151),ISNUMBER(J165)),SUM($C151:I151,J165:$N165),"-"))</f>
        <v>1636929</v>
      </c>
      <c r="J152" s="147">
        <f ca="1">IF(AND(MONTH(J150)=3,ISNUMBER($N151),ISNUMBER($C151)),SUM($C151:J151),IF(AND(MONTH(J150)&lt;&gt;3,ISNUMBER(J151),ISNUMBER(K165)),SUM($C151:J151,K165:$N165),"-"))</f>
        <v>1642053</v>
      </c>
      <c r="K152" s="147">
        <f ca="1">IF(AND(MONTH(K150)=3,ISNUMBER($N151),ISNUMBER($C151)),SUM($C151:K151),IF(AND(MONTH(K150)&lt;&gt;3,ISNUMBER(K151),ISNUMBER(L165)),SUM($C151:K151,L165:$N165),"-"))</f>
        <v>1644517</v>
      </c>
      <c r="L152" s="147">
        <f ca="1">IF(AND(MONTH(L150)=3,ISNUMBER($N151),ISNUMBER($C151)),SUM($C151:L151),IF(AND(MONTH(L150)&lt;&gt;3,ISNUMBER(L151),ISNUMBER(M165)),SUM($C151:L151,M165:$N165),"-"))</f>
        <v>1644940</v>
      </c>
      <c r="M152" s="147">
        <f ca="1">IF(AND(MONTH(M150)=3,ISNUMBER($N151),ISNUMBER($C151)),SUM($C151:M151),IF(AND(MONTH(M150)&lt;&gt;3,ISNUMBER(M151),ISNUMBER(N165)),SUM($C151:M151,N165:$N165),"-"))</f>
        <v>1643655</v>
      </c>
      <c r="N152" s="156">
        <f ca="1">IF(AND(MONTH(N150)=3,ISNUMBER($N151),ISNUMBER($C151)),SUM($C151:N151),IF(AND(MONTH(N150)&lt;&gt;3,ISNUMBER(N151),ISNUMBER(O165)),SUM($C151:N151,$N165:O165),"-"))</f>
        <v>1639320</v>
      </c>
    </row>
    <row r="153" spans="1:14" ht="15" customHeight="1" x14ac:dyDescent="0.2">
      <c r="A153" s="132"/>
      <c r="B153" s="154" t="s">
        <v>726</v>
      </c>
      <c r="C153" s="150">
        <f t="shared" ref="C153:N153" ca="1" si="32">IF(ISNUMBER(C152),C152/12,NA())</f>
        <v>135278.75</v>
      </c>
      <c r="D153" s="150">
        <f t="shared" ca="1" si="32"/>
        <v>135665.16666666666</v>
      </c>
      <c r="E153" s="150">
        <f t="shared" ca="1" si="32"/>
        <v>136074.33333333334</v>
      </c>
      <c r="F153" s="150">
        <f t="shared" ca="1" si="32"/>
        <v>135981.5</v>
      </c>
      <c r="G153" s="150">
        <f t="shared" ca="1" si="32"/>
        <v>135802.66666666666</v>
      </c>
      <c r="H153" s="150">
        <f t="shared" ca="1" si="32"/>
        <v>136293</v>
      </c>
      <c r="I153" s="150">
        <f t="shared" ca="1" si="32"/>
        <v>136410.75</v>
      </c>
      <c r="J153" s="150">
        <f t="shared" ca="1" si="32"/>
        <v>136837.75</v>
      </c>
      <c r="K153" s="150">
        <f t="shared" ca="1" si="32"/>
        <v>137043.08333333334</v>
      </c>
      <c r="L153" s="150">
        <f t="shared" ca="1" si="32"/>
        <v>137078.33333333334</v>
      </c>
      <c r="M153" s="150">
        <f t="shared" ca="1" si="32"/>
        <v>136971.25</v>
      </c>
      <c r="N153" s="159">
        <f t="shared" ca="1" si="32"/>
        <v>136610</v>
      </c>
    </row>
    <row r="154" spans="1:14" ht="15" customHeight="1" x14ac:dyDescent="0.2">
      <c r="A154" s="132"/>
      <c r="B154" s="152" t="s">
        <v>727</v>
      </c>
      <c r="C154" s="147">
        <f ca="1">IF(C151="-","-",C151-IF(ISNUMBER(FIND("ED only",$B$4)),SUMIFS(sum_over_4_tot,site_level_range,LEFT($B$4,LEN($B$4)-10),date_range,C150,inputdata!$E:$E,"*- ED*"),SUMIFS(sum_over_4_tot,site_level_range,$B$4,date_range,C150)))</f>
        <v>9653</v>
      </c>
      <c r="D154" s="147">
        <f ca="1">IF(D151="-","-",D151-IF(ISNUMBER(FIND("ED only",$B$4)),SUMIFS(sum_over_4_tot,site_level_range,LEFT($B$4,LEN($B$4)-10),date_range,D150,inputdata!$E:$E,"*- ED*"),SUMIFS(sum_over_4_tot,site_level_range,$B$4,date_range,D150)))</f>
        <v>10645</v>
      </c>
      <c r="E154" s="147">
        <f ca="1">IF(E151="-","-",E151-IF(ISNUMBER(FIND("ED only",$B$4)),SUMIFS(sum_over_4_tot,site_level_range,LEFT($B$4,LEN($B$4)-10),date_range,E150,inputdata!$E:$E,"*- ED*"),SUMIFS(sum_over_4_tot,site_level_range,$B$4,date_range,E150)))</f>
        <v>8694</v>
      </c>
      <c r="F154" s="147">
        <f ca="1">IF(F151="-","-",F151-IF(ISNUMBER(FIND("ED only",$B$4)),SUMIFS(sum_over_4_tot,site_level_range,LEFT($B$4,LEN($B$4)-10),date_range,F150,inputdata!$E:$E,"*- ED*"),SUMIFS(sum_over_4_tot,site_level_range,$B$4,date_range,F150)))</f>
        <v>7851</v>
      </c>
      <c r="G154" s="147">
        <f ca="1">IF(G151="-","-",G151-IF(ISNUMBER(FIND("ED only",$B$4)),SUMIFS(sum_over_4_tot,site_level_range,LEFT($B$4,LEN($B$4)-10),date_range,G150,inputdata!$E:$E,"*- ED*"),SUMIFS(sum_over_4_tot,site_level_range,$B$4,date_range,G150)))</f>
        <v>9706</v>
      </c>
      <c r="H154" s="147">
        <f ca="1">IF(H151="-","-",H151-IF(ISNUMBER(FIND("ED only",$B$4)),SUMIFS(sum_over_4_tot,site_level_range,LEFT($B$4,LEN($B$4)-10),date_range,H150,inputdata!$E:$E,"*- ED*"),SUMIFS(sum_over_4_tot,site_level_range,$B$4,date_range,H150)))</f>
        <v>9265</v>
      </c>
      <c r="I154" s="147">
        <f ca="1">IF(I151="-","-",I151-IF(ISNUMBER(FIND("ED only",$B$4)),SUMIFS(sum_over_4_tot,site_level_range,LEFT($B$4,LEN($B$4)-10),date_range,I150,inputdata!$E:$E,"*- ED*"),SUMIFS(sum_over_4_tot,site_level_range,$B$4,date_range,I150)))</f>
        <v>10909</v>
      </c>
      <c r="J154" s="147">
        <f ca="1">IF(J151="-","-",J151-IF(ISNUMBER(FIND("ED only",$B$4)),SUMIFS(sum_over_4_tot,site_level_range,LEFT($B$4,LEN($B$4)-10),date_range,J150,inputdata!$E:$E,"*- ED*"),SUMIFS(sum_over_4_tot,site_level_range,$B$4,date_range,J150)))</f>
        <v>10743</v>
      </c>
      <c r="K154" s="147">
        <f ca="1">IF(K151="-","-",K151-IF(ISNUMBER(FIND("ED only",$B$4)),SUMIFS(sum_over_4_tot,site_level_range,LEFT($B$4,LEN($B$4)-10),date_range,K150,inputdata!$E:$E,"*- ED*"),SUMIFS(sum_over_4_tot,site_level_range,$B$4,date_range,K150)))</f>
        <v>13077</v>
      </c>
      <c r="L154" s="147">
        <f ca="1">IF(L151="-","-",L151-IF(ISNUMBER(FIND("ED only",$B$4)),SUMIFS(sum_over_4_tot,site_level_range,LEFT($B$4,LEN($B$4)-10),date_range,L150,inputdata!$E:$E,"*- ED*"),SUMIFS(sum_over_4_tot,site_level_range,$B$4,date_range,L150)))</f>
        <v>16624</v>
      </c>
      <c r="M154" s="147">
        <f ca="1">IF(M151="-","-",M151-IF(ISNUMBER(FIND("ED only",$B$4)),SUMIFS(sum_over_4_tot,site_level_range,LEFT($B$4,LEN($B$4)-10),date_range,M150,inputdata!$E:$E,"*- ED*"),SUMIFS(sum_over_4_tot,site_level_range,$B$4,date_range,M150)))</f>
        <v>14615</v>
      </c>
      <c r="N154" s="156">
        <f ca="1">IF(N151="-","-",N151-IF(ISNUMBER(FIND("ED only",$B$4)),SUMIFS(sum_over_4_tot,site_level_range,LEFT($B$4,LEN($B$4)-10),date_range,N150,inputdata!$E:$E,"*- ED*"),SUMIFS(sum_over_4_tot,site_level_range,$B$4,date_range,N150)))</f>
        <v>10766</v>
      </c>
    </row>
    <row r="155" spans="1:14" ht="15" customHeight="1" x14ac:dyDescent="0.2">
      <c r="A155" s="132"/>
      <c r="B155" s="152" t="s">
        <v>728</v>
      </c>
      <c r="C155" s="148">
        <f t="shared" ref="C155:N155" ca="1" si="33">IF(ISERROR(1-C154/C151),NA(),(1-C154/C151))</f>
        <v>0.92976060539911232</v>
      </c>
      <c r="D155" s="148">
        <f t="shared" ca="1" si="33"/>
        <v>0.92742457814896884</v>
      </c>
      <c r="E155" s="148">
        <f t="shared" ca="1" si="33"/>
        <v>0.93996353893323759</v>
      </c>
      <c r="F155" s="148">
        <f t="shared" ca="1" si="33"/>
        <v>0.94555516258555761</v>
      </c>
      <c r="G155" s="148">
        <f t="shared" ca="1" si="33"/>
        <v>0.93162959101731446</v>
      </c>
      <c r="H155" s="148">
        <f t="shared" ca="1" si="33"/>
        <v>0.93500161355951228</v>
      </c>
      <c r="I155" s="148">
        <f t="shared" ca="1" si="33"/>
        <v>0.91826199021451638</v>
      </c>
      <c r="J155" s="148">
        <f t="shared" ca="1" si="33"/>
        <v>0.91795541503425204</v>
      </c>
      <c r="K155" s="148">
        <f t="shared" ca="1" si="33"/>
        <v>0.89882789834048971</v>
      </c>
      <c r="L155" s="148">
        <f t="shared" ca="1" si="33"/>
        <v>0.87133923596062157</v>
      </c>
      <c r="M155" s="148">
        <f t="shared" ca="1" si="33"/>
        <v>0.87948479026312965</v>
      </c>
      <c r="N155" s="157">
        <f t="shared" ca="1" si="33"/>
        <v>0.9217359697586508</v>
      </c>
    </row>
    <row r="156" spans="1:14" ht="15" customHeight="1" x14ac:dyDescent="0.2">
      <c r="A156" s="132"/>
      <c r="B156" s="154" t="s">
        <v>729</v>
      </c>
      <c r="C156" s="151">
        <f ca="1">IF(ISERROR(C153),NA(),IF(AND(MONTH(C150)=3,ISNUMBER($N151),ISNUMBER($C151)),1-(SUM($C154:$N154)/SUM($C151:$N151)),IF(AND(MONTH(C150)&lt;&gt;3,ISNUMBER(C151),ISNUMBER(D165)),1-(SUM(D168:$N168,$C154:C154)/SUM($C151:C151,D165:$N165)),NA())))</f>
        <v>0.93998564692040198</v>
      </c>
      <c r="D156" s="151">
        <f ca="1">IF(ISERROR(D153),NA(),IF(AND(MONTH(D150)=3,ISNUMBER($N151),ISNUMBER($C151)),1-(SUM($C154:$N154)/SUM($C151:$N151)),IF(AND(MONTH(D150)&lt;&gt;3,ISNUMBER(D151),ISNUMBER(E165)),1-(SUM(E168:$N168,$C154:D154)/SUM($C151:D151,E165:$N165)),NA())))</f>
        <v>0.93835189823966114</v>
      </c>
      <c r="E156" s="151">
        <f ca="1">IF(ISERROR(E153),NA(),IF(AND(MONTH(E150)=3,ISNUMBER($N151),ISNUMBER($C151)),1-(SUM($C154:$N154)/SUM($C151:$N151)),IF(AND(MONTH(E150)&lt;&gt;3,ISNUMBER(E151),ISNUMBER(F165)),1-(SUM(F168:$N168,$C154:E154)/SUM($C151:E151,F165:$N165)),NA())))</f>
        <v>0.93783789742371204</v>
      </c>
      <c r="F156" s="151">
        <f ca="1">IF(ISERROR(F153),NA(),IF(AND(MONTH(F150)=3,ISNUMBER($N151),ISNUMBER($C151)),1-(SUM($C154:$N154)/SUM($C151:$N151)),IF(AND(MONTH(F150)&lt;&gt;3,ISNUMBER(F151),ISNUMBER(G165)),1-(SUM(G168:$N168,$C154:F154)/SUM($C151:F151,G165:$N165)),NA())))</f>
        <v>0.9366605016123517</v>
      </c>
      <c r="G156" s="151">
        <f ca="1">IF(ISERROR(G153),NA(),IF(AND(MONTH(G150)=3,ISNUMBER($N151),ISNUMBER($C151)),1-(SUM($C154:$N154)/SUM($C151:$N151)),IF(AND(MONTH(G150)&lt;&gt;3,ISNUMBER(G151),ISNUMBER(H165)),1-(SUM(H168:$N168,$C154:G154)/SUM($C151:G151,H165:$N165)),NA())))</f>
        <v>0.93491966284412675</v>
      </c>
      <c r="H156" s="151">
        <f ca="1">IF(ISERROR(H153),NA(),IF(AND(MONTH(H150)=3,ISNUMBER($N151),ISNUMBER($C151)),1-(SUM($C154:$N154)/SUM($C151:$N151)),IF(AND(MONTH(H150)&lt;&gt;3,ISNUMBER(H151),ISNUMBER(I165)),1-(SUM(I168:$N168,$C154:H154)/SUM($C151:H151,I165:$N165)),NA())))</f>
        <v>0.93381293732375592</v>
      </c>
      <c r="I156" s="151">
        <f ca="1">IF(ISERROR(I153),NA(),IF(AND(MONTH(I150)=3,ISNUMBER($N151),ISNUMBER($C151)),1-(SUM($C154:$N154)/SUM($C151:$N151)),IF(AND(MONTH(I150)&lt;&gt;3,ISNUMBER(I151),ISNUMBER(J165)),1-(SUM(J168:$N168,$C154:I154)/SUM($C151:I151,J165:$N165)),NA())))</f>
        <v>0.93212106328374655</v>
      </c>
      <c r="J156" s="151">
        <f ca="1">IF(ISERROR(J153),NA(),IF(AND(MONTH(J150)=3,ISNUMBER($N151),ISNUMBER($C151)),1-(SUM($C154:$N154)/SUM($C151:$N151)),IF(AND(MONTH(J150)&lt;&gt;3,ISNUMBER(J151),ISNUMBER(K165)),1-(SUM(K168:$N168,$C154:J154)/SUM($C151:J151,K165:$N165)),NA())))</f>
        <v>0.92982686916926549</v>
      </c>
      <c r="K156" s="151">
        <f ca="1">IF(ISERROR(K153),NA(),IF(AND(MONTH(K150)=3,ISNUMBER($N151),ISNUMBER($C151)),1-(SUM($C154:$N154)/SUM($C151:$N151)),IF(AND(MONTH(K150)&lt;&gt;3,ISNUMBER(K151),ISNUMBER(L165)),1-(SUM(L168:$N168,$C154:K154)/SUM($C151:K151,L165:$N165)),NA())))</f>
        <v>0.92701930110786324</v>
      </c>
      <c r="L156" s="151">
        <f ca="1">IF(ISERROR(L153),NA(),IF(AND(MONTH(L150)=3,ISNUMBER($N151),ISNUMBER($C151)),1-(SUM($C154:$N154)/SUM($C151:$N151)),IF(AND(MONTH(L150)&lt;&gt;3,ISNUMBER(L151),ISNUMBER(M165)),1-(SUM(M168:$N168,$C154:L154)/SUM($C151:L151,M165:$N165)),NA())))</f>
        <v>0.92303001933201212</v>
      </c>
      <c r="M156" s="151">
        <f ca="1">IF(ISERROR(M153),NA(),IF(AND(MONTH(M150)=3,ISNUMBER($N151),ISNUMBER($C151)),1-(SUM($C154:$N154)/SUM($C151:$N151)),IF(AND(MONTH(M150)&lt;&gt;3,ISNUMBER(M151),ISNUMBER(N165)),1-(SUM(N168:$N168,$C154:M154)/SUM($C151:M151,N165:$N165)),NA())))</f>
        <v>0.92016633660956826</v>
      </c>
      <c r="N156" s="160">
        <f ca="1">IF(ISERROR(N153),NA(),IF(AND(MONTH(N150)=3,ISNUMBER($N151),ISNUMBER($C151)),1-(SUM($C154:$N154)/SUM($C151:$N151)),IF(AND(MONTH(N150)&lt;&gt;3,ISNUMBER(N151),ISNUMBER(O165)),1-(SUM($N168:O168,$C154:N154)/SUM($C151:N151,$N165:O165)),NA())))</f>
        <v>0.91914452333894547</v>
      </c>
    </row>
    <row r="157" spans="1:14" ht="14.45" customHeight="1" x14ac:dyDescent="0.25">
      <c r="A157" s="132"/>
      <c r="B157" s="155" t="s">
        <v>730</v>
      </c>
      <c r="C157" s="127"/>
      <c r="D157" s="127"/>
      <c r="E157" s="127"/>
      <c r="F157" s="127"/>
      <c r="G157" s="127"/>
      <c r="H157" s="127"/>
      <c r="I157" s="127"/>
      <c r="J157" s="127"/>
      <c r="K157" s="127"/>
      <c r="L157" s="127"/>
      <c r="M157" s="127"/>
      <c r="N157" s="161"/>
    </row>
    <row r="158" spans="1:14" ht="15" customHeight="1" x14ac:dyDescent="0.2">
      <c r="A158" s="132"/>
      <c r="B158" s="154" t="s">
        <v>724</v>
      </c>
      <c r="C158" s="150">
        <f ca="1">IF(IF(ISNUMBER(FIND("ED only",$B$4)),SUMIFS(Sum_total_epi,site_level_range,LEFT($B$4,LEN($B$4)-10),date_range,C150,inputdata!$E:$E,"*- ED*"),SUMIFS(Sum_total_epi,site_level_range,$B$4,date_range,C150))=0,"-",IF(ISNUMBER(FIND("ED only",$B$4)),SUMIFS(Sum_total_epi,site_level_range,LEFT($B$4,LEN($B$4)-10),date_range,C150,inputdata!$E:$E,"*- ED*"),SUMIFS(Sum_total_epi,site_level_range,$B$4,date_range,C150)))</f>
        <v>128578</v>
      </c>
      <c r="D158" s="150">
        <f ca="1">IF(IF(ISNUMBER(FIND("ED only",$B$4)),SUMIFS(Sum_total_epi,site_level_range,LEFT($B$4,LEN($B$4)-10),date_range,D150,inputdata!$E:$E,"*- ED*"),SUMIFS(Sum_total_epi,site_level_range,$B$4,date_range,D150))=0,"-",IF(ISNUMBER(FIND("ED only",$B$4)),SUMIFS(Sum_total_epi,site_level_range,LEFT($B$4,LEN($B$4)-10),date_range,D150,inputdata!$E:$E,"*- ED*"),SUMIFS(Sum_total_epi,site_level_range,$B$4,date_range,D150)))</f>
        <v>137076</v>
      </c>
      <c r="E158" s="150">
        <f ca="1">IF(IF(ISNUMBER(FIND("ED only",$B$4)),SUMIFS(Sum_total_epi,site_level_range,LEFT($B$4,LEN($B$4)-10),date_range,E150,inputdata!$E:$E,"*- ED*"),SUMIFS(Sum_total_epi,site_level_range,$B$4,date_range,E150))=0,"-",IF(ISNUMBER(FIND("ED only",$B$4)),SUMIFS(Sum_total_epi,site_level_range,LEFT($B$4,LEN($B$4)-10),date_range,E150,inputdata!$E:$E,"*- ED*"),SUMIFS(Sum_total_epi,site_level_range,$B$4,date_range,E150)))</f>
        <v>135058</v>
      </c>
      <c r="F158" s="150">
        <f ca="1">IF(IF(ISNUMBER(FIND("ED only",$B$4)),SUMIFS(Sum_total_epi,site_level_range,LEFT($B$4,LEN($B$4)-10),date_range,F150,inputdata!$E:$E,"*- ED*"),SUMIFS(Sum_total_epi,site_level_range,$B$4,date_range,F150))=0,"-",IF(ISNUMBER(FIND("ED only",$B$4)),SUMIFS(Sum_total_epi,site_level_range,LEFT($B$4,LEN($B$4)-10),date_range,F150,inputdata!$E:$E,"*- ED*"),SUMIFS(Sum_total_epi,site_level_range,$B$4,date_range,F150)))</f>
        <v>134083</v>
      </c>
      <c r="G158" s="150">
        <f ca="1">IF(IF(ISNUMBER(FIND("ED only",$B$4)),SUMIFS(Sum_total_epi,site_level_range,LEFT($B$4,LEN($B$4)-10),date_range,G150,inputdata!$E:$E,"*- ED*"),SUMIFS(Sum_total_epi,site_level_range,$B$4,date_range,G150))=0,"-",IF(ISNUMBER(FIND("ED only",$B$4)),SUMIFS(Sum_total_epi,site_level_range,LEFT($B$4,LEN($B$4)-10),date_range,G150,inputdata!$E:$E,"*- ED*"),SUMIFS(Sum_total_epi,site_level_range,$B$4,date_range,G150)))</f>
        <v>132241</v>
      </c>
      <c r="H158" s="150">
        <f ca="1">IF(IF(ISNUMBER(FIND("ED only",$B$4)),SUMIFS(Sum_total_epi,site_level_range,LEFT($B$4,LEN($B$4)-10),date_range,H150,inputdata!$E:$E,"*- ED*"),SUMIFS(Sum_total_epi,site_level_range,$B$4,date_range,H150))=0,"-",IF(ISNUMBER(FIND("ED only",$B$4)),SUMIFS(Sum_total_epi,site_level_range,LEFT($B$4,LEN($B$4)-10),date_range,H150,inputdata!$E:$E,"*- ED*"),SUMIFS(Sum_total_epi,site_level_range,$B$4,date_range,H150)))</f>
        <v>133334</v>
      </c>
      <c r="I158" s="150">
        <f ca="1">IF(IF(ISNUMBER(FIND("ED only",$B$4)),SUMIFS(Sum_total_epi,site_level_range,LEFT($B$4,LEN($B$4)-10),date_range,I150,inputdata!$E:$E,"*- ED*"),SUMIFS(Sum_total_epi,site_level_range,$B$4,date_range,I150))=0,"-",IF(ISNUMBER(FIND("ED only",$B$4)),SUMIFS(Sum_total_epi,site_level_range,LEFT($B$4,LEN($B$4)-10),date_range,I150,inputdata!$E:$E,"*- ED*"),SUMIFS(Sum_total_epi,site_level_range,$B$4,date_range,I150)))</f>
        <v>125396</v>
      </c>
      <c r="J158" s="150">
        <f ca="1">IF(IF(ISNUMBER(FIND("ED only",$B$4)),SUMIFS(Sum_total_epi,site_level_range,LEFT($B$4,LEN($B$4)-10),date_range,J150,inputdata!$E:$E,"*- ED*"),SUMIFS(Sum_total_epi,site_level_range,$B$4,date_range,J150))=0,"-",IF(ISNUMBER(FIND("ED only",$B$4)),SUMIFS(Sum_total_epi,site_level_range,LEFT($B$4,LEN($B$4)-10),date_range,J150,inputdata!$E:$E,"*- ED*"),SUMIFS(Sum_total_epi,site_level_range,$B$4,date_range,J150)))</f>
        <v>123192</v>
      </c>
      <c r="K158" s="150">
        <f ca="1">IF(IF(ISNUMBER(FIND("ED only",$B$4)),SUMIFS(Sum_total_epi,site_level_range,LEFT($B$4,LEN($B$4)-10),date_range,K150,inputdata!$E:$E,"*- ED*"),SUMIFS(Sum_total_epi,site_level_range,$B$4,date_range,K150))=0,"-",IF(ISNUMBER(FIND("ED only",$B$4)),SUMIFS(Sum_total_epi,site_level_range,LEFT($B$4,LEN($B$4)-10),date_range,K150,inputdata!$E:$E,"*- ED*"),SUMIFS(Sum_total_epi,site_level_range,$B$4,date_range,K150)))</f>
        <v>121706</v>
      </c>
      <c r="L158" s="150">
        <f ca="1">IF(IF(ISNUMBER(FIND("ED only",$B$4)),SUMIFS(Sum_total_epi,site_level_range,LEFT($B$4,LEN($B$4)-10),date_range,L150,inputdata!$E:$E,"*- ED*"),SUMIFS(Sum_total_epi,site_level_range,$B$4,date_range,L150))=0,"-",IF(ISNUMBER(FIND("ED only",$B$4)),SUMIFS(Sum_total_epi,site_level_range,LEFT($B$4,LEN($B$4)-10),date_range,L150,inputdata!$E:$E,"*- ED*"),SUMIFS(Sum_total_epi,site_level_range,$B$4,date_range,L150)))</f>
        <v>121352</v>
      </c>
      <c r="M158" s="150">
        <f ca="1">IF(IF(ISNUMBER(FIND("ED only",$B$4)),SUMIFS(Sum_total_epi,site_level_range,LEFT($B$4,LEN($B$4)-10),date_range,M150,inputdata!$E:$E,"*- ED*"),SUMIFS(Sum_total_epi,site_level_range,$B$4,date_range,M150))=0,"-",IF(ISNUMBER(FIND("ED only",$B$4)),SUMIFS(Sum_total_epi,site_level_range,LEFT($B$4,LEN($B$4)-10),date_range,M150,inputdata!$E:$E,"*- ED*"),SUMIFS(Sum_total_epi,site_level_range,$B$4,date_range,M150)))</f>
        <v>114031</v>
      </c>
      <c r="N158" s="159">
        <f ca="1">IF(IF(ISNUMBER(FIND("ED only",$B$4)),SUMIFS(Sum_total_epi,site_level_range,LEFT($B$4,LEN($B$4)-10),date_range,N150,inputdata!$E:$E,"*- ED*"),SUMIFS(Sum_total_epi,site_level_range,$B$4,date_range,N150))=0,"-",IF(ISNUMBER(FIND("ED only",$B$4)),SUMIFS(Sum_total_epi,site_level_range,LEFT($B$4,LEN($B$4)-10),date_range,N150,inputdata!$E:$E,"*- ED*"),SUMIFS(Sum_total_epi,site_level_range,$B$4,date_range,N150)))</f>
        <v>129216</v>
      </c>
    </row>
    <row r="159" spans="1:14" ht="15" customHeight="1" x14ac:dyDescent="0.2">
      <c r="A159" s="132"/>
      <c r="B159" s="152" t="s">
        <v>731</v>
      </c>
      <c r="C159" s="147">
        <f ca="1">IF(C158="-","-",IF(ISNUMBER(FIND("ED only",$B$4)),SUMIFS(Sum_over_8,site_level_range,LEFT($B$4,LEN($B$4)-10),date_range,C150,inputdata!$E:$E,"*- ED*"),SUMIFS(Sum_over_8,site_level_range,$B$4,date_range,C150)))</f>
        <v>696</v>
      </c>
      <c r="D159" s="147">
        <f ca="1">IF(D158="-","-",IF(ISNUMBER(FIND("ED only",$B$4)),SUMIFS(Sum_over_8,site_level_range,LEFT($B$4,LEN($B$4)-10),date_range,D150,inputdata!$E:$E,"*- ED*"),SUMIFS(Sum_over_8,site_level_range,$B$4,date_range,D150)))</f>
        <v>789</v>
      </c>
      <c r="E159" s="147">
        <f ca="1">IF(E158="-","-",IF(ISNUMBER(FIND("ED only",$B$4)),SUMIFS(Sum_over_8,site_level_range,LEFT($B$4,LEN($B$4)-10),date_range,E150,inputdata!$E:$E,"*- ED*"),SUMIFS(Sum_over_8,site_level_range,$B$4,date_range,E150)))</f>
        <v>571</v>
      </c>
      <c r="F159" s="147">
        <f ca="1">IF(F158="-","-",IF(ISNUMBER(FIND("ED only",$B$4)),SUMIFS(Sum_over_8,site_level_range,LEFT($B$4,LEN($B$4)-10),date_range,F150,inputdata!$E:$E,"*- ED*"),SUMIFS(Sum_over_8,site_level_range,$B$4,date_range,F150)))</f>
        <v>388</v>
      </c>
      <c r="G159" s="147">
        <f ca="1">IF(G158="-","-",IF(ISNUMBER(FIND("ED only",$B$4)),SUMIFS(Sum_over_8,site_level_range,LEFT($B$4,LEN($B$4)-10),date_range,G150,inputdata!$E:$E,"*- ED*"),SUMIFS(Sum_over_8,site_level_range,$B$4,date_range,G150)))</f>
        <v>720</v>
      </c>
      <c r="H159" s="147">
        <f ca="1">IF(H158="-","-",IF(ISNUMBER(FIND("ED only",$B$4)),SUMIFS(Sum_over_8,site_level_range,LEFT($B$4,LEN($B$4)-10),date_range,H150,inputdata!$E:$E,"*- ED*"),SUMIFS(Sum_over_8,site_level_range,$B$4,date_range,H150)))</f>
        <v>812</v>
      </c>
      <c r="I159" s="147">
        <f ca="1">IF(I158="-","-",IF(ISNUMBER(FIND("ED only",$B$4)),SUMIFS(Sum_over_8,site_level_range,LEFT($B$4,LEN($B$4)-10),date_range,I150,inputdata!$E:$E,"*- ED*"),SUMIFS(Sum_over_8,site_level_range,$B$4,date_range,I150)))</f>
        <v>1132</v>
      </c>
      <c r="J159" s="147">
        <f ca="1">IF(J158="-","-",IF(ISNUMBER(FIND("ED only",$B$4)),SUMIFS(Sum_over_8,site_level_range,LEFT($B$4,LEN($B$4)-10),date_range,J150,inputdata!$E:$E,"*- ED*"),SUMIFS(Sum_over_8,site_level_range,$B$4,date_range,J150)))</f>
        <v>1178</v>
      </c>
      <c r="K159" s="147">
        <f ca="1">IF(K158="-","-",IF(ISNUMBER(FIND("ED only",$B$4)),SUMIFS(Sum_over_8,site_level_range,LEFT($B$4,LEN($B$4)-10),date_range,K150,inputdata!$E:$E,"*- ED*"),SUMIFS(Sum_over_8,site_level_range,$B$4,date_range,K150)))</f>
        <v>1717</v>
      </c>
      <c r="L159" s="147">
        <f ca="1">IF(L158="-","-",IF(ISNUMBER(FIND("ED only",$B$4)),SUMIFS(Sum_over_8,site_level_range,LEFT($B$4,LEN($B$4)-10),date_range,L150,inputdata!$E:$E,"*- ED*"),SUMIFS(Sum_over_8,site_level_range,$B$4,date_range,L150)))</f>
        <v>3214</v>
      </c>
      <c r="M159" s="147">
        <f ca="1">IF(M158="-","-",IF(ISNUMBER(FIND("ED only",$B$4)),SUMIFS(Sum_over_8,site_level_range,LEFT($B$4,LEN($B$4)-10),date_range,M150,inputdata!$E:$E,"*- ED*"),SUMIFS(Sum_over_8,site_level_range,$B$4,date_range,M150)))</f>
        <v>2753</v>
      </c>
      <c r="N159" s="156">
        <f ca="1">IF(N158="-","-",IF(ISNUMBER(FIND("ED only",$B$4)),SUMIFS(Sum_over_8,site_level_range,LEFT($B$4,LEN($B$4)-10),date_range,N150,inputdata!$E:$E,"*- ED*"),SUMIFS(Sum_over_8,site_level_range,$B$4,date_range,N150)))</f>
        <v>1058</v>
      </c>
    </row>
    <row r="160" spans="1:14" ht="15" customHeight="1" x14ac:dyDescent="0.2">
      <c r="A160" s="132"/>
      <c r="B160" s="154" t="s">
        <v>732</v>
      </c>
      <c r="C160" s="151">
        <f t="shared" ref="C160:N160" ca="1" si="34">IF(ISERROR(1-C159/C158),"-",1-C159/C158)</f>
        <v>0.99458694333400732</v>
      </c>
      <c r="D160" s="151">
        <f t="shared" ca="1" si="34"/>
        <v>0.99424406898362949</v>
      </c>
      <c r="E160" s="151">
        <f t="shared" ca="1" si="34"/>
        <v>0.99577218676420498</v>
      </c>
      <c r="F160" s="151">
        <f t="shared" ca="1" si="34"/>
        <v>0.99710626999694218</v>
      </c>
      <c r="G160" s="151">
        <f t="shared" ca="1" si="34"/>
        <v>0.99455539507414492</v>
      </c>
      <c r="H160" s="151">
        <f t="shared" ca="1" si="34"/>
        <v>0.99391003044984771</v>
      </c>
      <c r="I160" s="151">
        <f t="shared" ca="1" si="34"/>
        <v>0.99097259880697952</v>
      </c>
      <c r="J160" s="151">
        <f t="shared" ca="1" si="34"/>
        <v>0.99043769075914023</v>
      </c>
      <c r="K160" s="151">
        <f t="shared" ca="1" si="34"/>
        <v>0.9858922321003073</v>
      </c>
      <c r="L160" s="151">
        <f t="shared" ca="1" si="34"/>
        <v>0.97351506361658646</v>
      </c>
      <c r="M160" s="151">
        <f t="shared" ca="1" si="34"/>
        <v>0.97585744227446924</v>
      </c>
      <c r="N160" s="160">
        <f t="shared" ca="1" si="34"/>
        <v>0.99181215948489354</v>
      </c>
    </row>
    <row r="161" spans="1:14" ht="15" customHeight="1" x14ac:dyDescent="0.2">
      <c r="A161" s="132"/>
      <c r="B161" s="152" t="s">
        <v>733</v>
      </c>
      <c r="C161" s="147">
        <f ca="1">IF(C158="-","-",IF(ISNUMBER(FIND("ED only",$B$4)),SUMIFS(Sum_over_12,site_level_range,LEFT($B$4,LEN($B$4)-10),date_range,C150,inputdata!$E:$E,"*- ED*"),SUMIFS(Sum_over_12,site_level_range,$B$4,date_range,C150)))</f>
        <v>64</v>
      </c>
      <c r="D161" s="147">
        <f ca="1">IF(D158="-","-",IF(ISNUMBER(FIND("ED only",$B$4)),SUMIFS(Sum_over_12,site_level_range,LEFT($B$4,LEN($B$4)-10),date_range,D150,inputdata!$E:$E,"*- ED*"),SUMIFS(Sum_over_12,site_level_range,$B$4,date_range,D150)))</f>
        <v>90</v>
      </c>
      <c r="E161" s="147">
        <f ca="1">IF(E158="-","-",IF(ISNUMBER(FIND("ED only",$B$4)),SUMIFS(Sum_over_12,site_level_range,LEFT($B$4,LEN($B$4)-10),date_range,E150,inputdata!$E:$E,"*- ED*"),SUMIFS(Sum_over_12,site_level_range,$B$4,date_range,E150)))</f>
        <v>76</v>
      </c>
      <c r="F161" s="147">
        <f ca="1">IF(F158="-","-",IF(ISNUMBER(FIND("ED only",$B$4)),SUMIFS(Sum_over_12,site_level_range,LEFT($B$4,LEN($B$4)-10),date_range,F150,inputdata!$E:$E,"*- ED*"),SUMIFS(Sum_over_12,site_level_range,$B$4,date_range,F150)))</f>
        <v>31</v>
      </c>
      <c r="G161" s="147">
        <f ca="1">IF(G158="-","-",IF(ISNUMBER(FIND("ED only",$B$4)),SUMIFS(Sum_over_12,site_level_range,LEFT($B$4,LEN($B$4)-10),date_range,G150,inputdata!$E:$E,"*- ED*"),SUMIFS(Sum_over_12,site_level_range,$B$4,date_range,G150)))</f>
        <v>61</v>
      </c>
      <c r="H161" s="147">
        <f ca="1">IF(H158="-","-",IF(ISNUMBER(FIND("ED only",$B$4)),SUMIFS(Sum_over_12,site_level_range,LEFT($B$4,LEN($B$4)-10),date_range,H150,inputdata!$E:$E,"*- ED*"),SUMIFS(Sum_over_12,site_level_range,$B$4,date_range,H150)))</f>
        <v>148</v>
      </c>
      <c r="I161" s="147">
        <f ca="1">IF(I158="-","-",IF(ISNUMBER(FIND("ED only",$B$4)),SUMIFS(Sum_over_12,site_level_range,LEFT($B$4,LEN($B$4)-10),date_range,I150,inputdata!$E:$E,"*- ED*"),SUMIFS(Sum_over_12,site_level_range,$B$4,date_range,I150)))</f>
        <v>166</v>
      </c>
      <c r="J161" s="147">
        <f ca="1">IF(J158="-","-",IF(ISNUMBER(FIND("ED only",$B$4)),SUMIFS(Sum_over_12,site_level_range,LEFT($B$4,LEN($B$4)-10),date_range,J150,inputdata!$E:$E,"*- ED*"),SUMIFS(Sum_over_12,site_level_range,$B$4,date_range,J150)))</f>
        <v>148</v>
      </c>
      <c r="K161" s="147">
        <f ca="1">IF(K158="-","-",IF(ISNUMBER(FIND("ED only",$B$4)),SUMIFS(Sum_over_12,site_level_range,LEFT($B$4,LEN($B$4)-10),date_range,K150,inputdata!$E:$E,"*- ED*"),SUMIFS(Sum_over_12,site_level_range,$B$4,date_range,K150)))</f>
        <v>202</v>
      </c>
      <c r="L161" s="147">
        <f ca="1">IF(L158="-","-",IF(ISNUMBER(FIND("ED only",$B$4)),SUMIFS(Sum_over_12,site_level_range,LEFT($B$4,LEN($B$4)-10),date_range,L150,inputdata!$E:$E,"*- ED*"),SUMIFS(Sum_over_12,site_level_range,$B$4,date_range,L150)))</f>
        <v>703</v>
      </c>
      <c r="M161" s="147">
        <f ca="1">IF(M158="-","-",IF(ISNUMBER(FIND("ED only",$B$4)),SUMIFS(Sum_over_12,site_level_range,LEFT($B$4,LEN($B$4)-10),date_range,M150,inputdata!$E:$E,"*- ED*"),SUMIFS(Sum_over_12,site_level_range,$B$4,date_range,M150)))</f>
        <v>660</v>
      </c>
      <c r="N161" s="156">
        <f ca="1">IF(N158="-","-",IF(ISNUMBER(FIND("ED only",$B$4)),SUMIFS(Sum_over_12,site_level_range,LEFT($B$4,LEN($B$4)-10),date_range,N150,inputdata!$E:$E,"*- ED*"),SUMIFS(Sum_over_12,site_level_range,$B$4,date_range,N150)))</f>
        <v>114</v>
      </c>
    </row>
    <row r="162" spans="1:14" ht="15" customHeight="1" x14ac:dyDescent="0.2">
      <c r="A162" s="132"/>
      <c r="B162" s="154" t="s">
        <v>734</v>
      </c>
      <c r="C162" s="151">
        <f t="shared" ref="C162:N162" ca="1" si="35">IF(ISERROR(1-C161/C158),"-",1-C161/C158)</f>
        <v>0.99950224766289719</v>
      </c>
      <c r="D162" s="151">
        <f t="shared" ca="1" si="35"/>
        <v>0.99934342992208702</v>
      </c>
      <c r="E162" s="151">
        <f t="shared" ca="1" si="35"/>
        <v>0.99943727879873834</v>
      </c>
      <c r="F162" s="151">
        <f t="shared" ca="1" si="35"/>
        <v>0.99976879992243606</v>
      </c>
      <c r="G162" s="151">
        <f t="shared" ca="1" si="35"/>
        <v>0.99953872097155949</v>
      </c>
      <c r="H162" s="151">
        <f t="shared" ca="1" si="35"/>
        <v>0.9988900055499722</v>
      </c>
      <c r="I162" s="151">
        <f t="shared" ca="1" si="35"/>
        <v>0.99867619381798467</v>
      </c>
      <c r="J162" s="151">
        <f t="shared" ca="1" si="35"/>
        <v>0.99879862328722646</v>
      </c>
      <c r="K162" s="151">
        <f t="shared" ca="1" si="35"/>
        <v>0.99834026260003617</v>
      </c>
      <c r="L162" s="151">
        <f t="shared" ca="1" si="35"/>
        <v>0.99420693519678294</v>
      </c>
      <c r="M162" s="151">
        <f t="shared" ca="1" si="35"/>
        <v>0.99421210021836171</v>
      </c>
      <c r="N162" s="160">
        <f t="shared" ca="1" si="35"/>
        <v>0.99911775631500743</v>
      </c>
    </row>
    <row r="163" spans="1:14" ht="14.45" customHeight="1" x14ac:dyDescent="0.2">
      <c r="B163" s="127"/>
      <c r="C163" s="127"/>
      <c r="D163" s="127"/>
      <c r="E163" s="127"/>
      <c r="F163" s="127"/>
      <c r="G163" s="127"/>
      <c r="H163" s="127"/>
      <c r="I163" s="127"/>
      <c r="J163" s="127"/>
      <c r="K163" s="127"/>
      <c r="L163" s="127"/>
      <c r="M163" s="127"/>
      <c r="N163" s="127"/>
    </row>
    <row r="164" spans="1:14" ht="15" customHeight="1" x14ac:dyDescent="0.25">
      <c r="A164" s="132"/>
      <c r="B164" s="153" t="s">
        <v>723</v>
      </c>
      <c r="C164" s="149">
        <v>41394</v>
      </c>
      <c r="D164" s="149">
        <v>41425</v>
      </c>
      <c r="E164" s="149">
        <v>41455</v>
      </c>
      <c r="F164" s="149">
        <v>41486</v>
      </c>
      <c r="G164" s="149">
        <v>41517</v>
      </c>
      <c r="H164" s="149">
        <v>41547</v>
      </c>
      <c r="I164" s="149">
        <v>41578</v>
      </c>
      <c r="J164" s="149">
        <v>41608</v>
      </c>
      <c r="K164" s="149">
        <v>41639</v>
      </c>
      <c r="L164" s="149">
        <v>41670</v>
      </c>
      <c r="M164" s="149">
        <v>41698</v>
      </c>
      <c r="N164" s="158">
        <v>41729</v>
      </c>
    </row>
    <row r="165" spans="1:14" ht="15" customHeight="1" x14ac:dyDescent="0.2">
      <c r="A165" s="132"/>
      <c r="B165" s="152" t="s">
        <v>724</v>
      </c>
      <c r="C165" s="147">
        <f ca="1">IF(IF(ISNUMBER(FIND("ED only",$B$4)),SUMIFS(sum_range,site_level_range,LEFT($B$4,LEN($B$4)-10),date_range,C164,inputdata!$E:$E,"*- ED*"),SUMIFS(sum_range,site_level_range,$B$4,date_range,C164))=0,"-",IF(ISNUMBER(FIND("ED only",$B$4)),SUMIFS(sum_range,site_level_range,LEFT($B$4,LEN($B$4)-10),date_range,C164,inputdata!$E:$E,"*- ED*"),SUMIFS(sum_range,site_level_range,$B$4,date_range,C164)))</f>
        <v>135542</v>
      </c>
      <c r="D165" s="147">
        <f ca="1">IF(IF(ISNUMBER(FIND("ED only",$B$4)),SUMIFS(sum_range,site_level_range,LEFT($B$4,LEN($B$4)-10),date_range,D164,inputdata!$E:$E,"*- ED*"),SUMIFS(sum_range,site_level_range,$B$4,date_range,D164))=0,"-",IF(ISNUMBER(FIND("ED only",$B$4)),SUMIFS(sum_range,site_level_range,LEFT($B$4,LEN($B$4)-10),date_range,D164,inputdata!$E:$E,"*- ED*"),SUMIFS(sum_range,site_level_range,$B$4,date_range,D164)))</f>
        <v>142038</v>
      </c>
      <c r="E165" s="147">
        <f ca="1">IF(IF(ISNUMBER(FIND("ED only",$B$4)),SUMIFS(sum_range,site_level_range,LEFT($B$4,LEN($B$4)-10),date_range,E164,inputdata!$E:$E,"*- ED*"),SUMIFS(sum_range,site_level_range,$B$4,date_range,E164))=0,"-",IF(ISNUMBER(FIND("ED only",$B$4)),SUMIFS(sum_range,site_level_range,LEFT($B$4,LEN($B$4)-10),date_range,E164,inputdata!$E:$E,"*- ED*"),SUMIFS(sum_range,site_level_range,$B$4,date_range,E164)))</f>
        <v>139902</v>
      </c>
      <c r="F165" s="147">
        <f ca="1">IF(IF(ISNUMBER(FIND("ED only",$B$4)),SUMIFS(sum_range,site_level_range,LEFT($B$4,LEN($B$4)-10),date_range,F164,inputdata!$E:$E,"*- ED*"),SUMIFS(sum_range,site_level_range,$B$4,date_range,F164))=0,"-",IF(ISNUMBER(FIND("ED only",$B$4)),SUMIFS(sum_range,site_level_range,LEFT($B$4,LEN($B$4)-10),date_range,F164,inputdata!$E:$E,"*- ED*"),SUMIFS(sum_range,site_level_range,$B$4,date_range,F164)))</f>
        <v>145315</v>
      </c>
      <c r="G165" s="147">
        <f ca="1">IF(IF(ISNUMBER(FIND("ED only",$B$4)),SUMIFS(sum_range,site_level_range,LEFT($B$4,LEN($B$4)-10),date_range,G164,inputdata!$E:$E,"*- ED*"),SUMIFS(sum_range,site_level_range,$B$4,date_range,G164))=0,"-",IF(ISNUMBER(FIND("ED only",$B$4)),SUMIFS(sum_range,site_level_range,LEFT($B$4,LEN($B$4)-10),date_range,G164,inputdata!$E:$E,"*- ED*"),SUMIFS(sum_range,site_level_range,$B$4,date_range,G164)))</f>
        <v>144108</v>
      </c>
      <c r="H165" s="147">
        <f ca="1">IF(IF(ISNUMBER(FIND("ED only",$B$4)),SUMIFS(sum_range,site_level_range,LEFT($B$4,LEN($B$4)-10),date_range,H164,inputdata!$E:$E,"*- ED*"),SUMIFS(sum_range,site_level_range,$B$4,date_range,H164))=0,"-",IF(ISNUMBER(FIND("ED only",$B$4)),SUMIFS(sum_range,site_level_range,LEFT($B$4,LEN($B$4)-10),date_range,H164,inputdata!$E:$E,"*- ED*"),SUMIFS(sum_range,site_level_range,$B$4,date_range,H164)))</f>
        <v>136658</v>
      </c>
      <c r="I165" s="147">
        <f ca="1">IF(IF(ISNUMBER(FIND("ED only",$B$4)),SUMIFS(sum_range,site_level_range,LEFT($B$4,LEN($B$4)-10),date_range,I164,inputdata!$E:$E,"*- ED*"),SUMIFS(sum_range,site_level_range,$B$4,date_range,I164))=0,"-",IF(ISNUMBER(FIND("ED only",$B$4)),SUMIFS(sum_range,site_level_range,LEFT($B$4,LEN($B$4)-10),date_range,I164,inputdata!$E:$E,"*- ED*"),SUMIFS(sum_range,site_level_range,$B$4,date_range,I164)))</f>
        <v>132050</v>
      </c>
      <c r="J165" s="147">
        <f ca="1">IF(IF(ISNUMBER(FIND("ED only",$B$4)),SUMIFS(sum_range,site_level_range,LEFT($B$4,LEN($B$4)-10),date_range,J164,inputdata!$E:$E,"*- ED*"),SUMIFS(sum_range,site_level_range,$B$4,date_range,J164))=0,"-",IF(ISNUMBER(FIND("ED only",$B$4)),SUMIFS(sum_range,site_level_range,LEFT($B$4,LEN($B$4)-10),date_range,J164,inputdata!$E:$E,"*- ED*"),SUMIFS(sum_range,site_level_range,$B$4,date_range,J164)))</f>
        <v>125817</v>
      </c>
      <c r="K165" s="147">
        <f ca="1">IF(IF(ISNUMBER(FIND("ED only",$B$4)),SUMIFS(sum_range,site_level_range,LEFT($B$4,LEN($B$4)-10),date_range,K164,inputdata!$E:$E,"*- ED*"),SUMIFS(sum_range,site_level_range,$B$4,date_range,K164))=0,"-",IF(ISNUMBER(FIND("ED only",$B$4)),SUMIFS(sum_range,site_level_range,LEFT($B$4,LEN($B$4)-10),date_range,K164,inputdata!$E:$E,"*- ED*"),SUMIFS(sum_range,site_level_range,$B$4,date_range,K164)))</f>
        <v>126791</v>
      </c>
      <c r="L165" s="147">
        <f ca="1">IF(IF(ISNUMBER(FIND("ED only",$B$4)),SUMIFS(sum_range,site_level_range,LEFT($B$4,LEN($B$4)-10),date_range,L164,inputdata!$E:$E,"*- ED*"),SUMIFS(sum_range,site_level_range,$B$4,date_range,L164))=0,"-",IF(ISNUMBER(FIND("ED only",$B$4)),SUMIFS(sum_range,site_level_range,LEFT($B$4,LEN($B$4)-10),date_range,L164,inputdata!$E:$E,"*- ED*"),SUMIFS(sum_range,site_level_range,$B$4,date_range,L164)))</f>
        <v>128785</v>
      </c>
      <c r="M165" s="147">
        <f ca="1">IF(IF(ISNUMBER(FIND("ED only",$B$4)),SUMIFS(sum_range,site_level_range,LEFT($B$4,LEN($B$4)-10),date_range,M164,inputdata!$E:$E,"*- ED*"),SUMIFS(sum_range,site_level_range,$B$4,date_range,M164))=0,"-",IF(ISNUMBER(FIND("ED only",$B$4)),SUMIFS(sum_range,site_level_range,LEFT($B$4,LEN($B$4)-10),date_range,M164,inputdata!$E:$E,"*- ED*"),SUMIFS(sum_range,site_level_range,$B$4,date_range,M164)))</f>
        <v>122556</v>
      </c>
      <c r="N165" s="156">
        <f ca="1">IF(IF(ISNUMBER(FIND("ED only",$B$4)),SUMIFS(sum_range,site_level_range,LEFT($B$4,LEN($B$4)-10),date_range,N164,inputdata!$E:$E,"*- ED*"),SUMIFS(sum_range,site_level_range,$B$4,date_range,N164))=0,"-",IF(ISNUMBER(FIND("ED only",$B$4)),SUMIFS(sum_range,site_level_range,LEFT($B$4,LEN($B$4)-10),date_range,N164,inputdata!$E:$E,"*- ED*"),SUMIFS(sum_range,site_level_range,$B$4,date_range,N164)))</f>
        <v>141895</v>
      </c>
    </row>
    <row r="166" spans="1:14" ht="15" customHeight="1" x14ac:dyDescent="0.2">
      <c r="A166" s="132"/>
      <c r="B166" s="152" t="s">
        <v>725</v>
      </c>
      <c r="C166" s="147">
        <f ca="1">IF(AND(MONTH(C164)=3,ISNUMBER($N165),ISNUMBER($C165)),SUM($C165:C165),IF(AND(MONTH(C164)&lt;&gt;3,ISNUMBER(C165),ISNUMBER(D179)),SUM($C165:C165,D179:$N179),"-"))</f>
        <v>1616633</v>
      </c>
      <c r="D166" s="147">
        <f ca="1">IF(AND(MONTH(D164)=3,ISNUMBER($N165),ISNUMBER($C165)),SUM($C165:D165),IF(AND(MONTH(D164)&lt;&gt;3,ISNUMBER(D165),ISNUMBER(E179)),SUM($C165:D165,E179:$N179),"-"))</f>
        <v>1610524</v>
      </c>
      <c r="E166" s="147">
        <f ca="1">IF(AND(MONTH(E164)=3,ISNUMBER($N165),ISNUMBER($C165)),SUM($C165:E165),IF(AND(MONTH(E164)&lt;&gt;3,ISNUMBER(E165),ISNUMBER(F179)),SUM($C165:E165,F179:$N179),"-"))</f>
        <v>1611575</v>
      </c>
      <c r="F166" s="147">
        <f ca="1">IF(AND(MONTH(F164)=3,ISNUMBER($N165),ISNUMBER($C165)),SUM($C165:F165),IF(AND(MONTH(F164)&lt;&gt;3,ISNUMBER(F165),ISNUMBER(G179)),SUM($C165:F165,G179:$N179),"-"))</f>
        <v>1621383</v>
      </c>
      <c r="G166" s="147">
        <f ca="1">IF(AND(MONTH(G164)=3,ISNUMBER($N165),ISNUMBER($C165)),SUM($C165:G165),IF(AND(MONTH(G164)&lt;&gt;3,ISNUMBER(G165),ISNUMBER(H179)),SUM($C165:G165,H179:$N179),"-"))</f>
        <v>1620556</v>
      </c>
      <c r="H166" s="147">
        <f ca="1">IF(AND(MONTH(H164)=3,ISNUMBER($N165),ISNUMBER($C165)),SUM($C165:H165),IF(AND(MONTH(H164)&lt;&gt;3,ISNUMBER(H165),ISNUMBER(I179)),SUM($C165:H165,I179:$N179),"-"))</f>
        <v>1618071</v>
      </c>
      <c r="I166" s="147">
        <f ca="1">IF(AND(MONTH(I164)=3,ISNUMBER($N165),ISNUMBER($C165)),SUM($C165:I165),IF(AND(MONTH(I164)&lt;&gt;3,ISNUMBER(I165),ISNUMBER(J179)),SUM($C165:I165,J179:$N179),"-"))</f>
        <v>1616697</v>
      </c>
      <c r="J166" s="147">
        <f ca="1">IF(AND(MONTH(J164)=3,ISNUMBER($N165),ISNUMBER($C165)),SUM($C165:J165),IF(AND(MONTH(J164)&lt;&gt;3,ISNUMBER(J165),ISNUMBER(K179)),SUM($C165:J165,K179:$N179),"-"))</f>
        <v>1614118</v>
      </c>
      <c r="K166" s="147">
        <f ca="1">IF(AND(MONTH(K164)=3,ISNUMBER($N165),ISNUMBER($C165)),SUM($C165:K165),IF(AND(MONTH(K164)&lt;&gt;3,ISNUMBER(K165),ISNUMBER(L179)),SUM($C165:K165,L179:$N179),"-"))</f>
        <v>1608456</v>
      </c>
      <c r="L166" s="147">
        <f ca="1">IF(AND(MONTH(L164)=3,ISNUMBER($N165),ISNUMBER($C165)),SUM($C165:L165),IF(AND(MONTH(L164)&lt;&gt;3,ISNUMBER(L165),ISNUMBER(M179)),SUM($C165:L165,M179:$N179),"-"))</f>
        <v>1611553</v>
      </c>
      <c r="M166" s="147">
        <f ca="1">IF(AND(MONTH(M164)=3,ISNUMBER($N165),ISNUMBER($C165)),SUM($C165:M165),IF(AND(MONTH(M164)&lt;&gt;3,ISNUMBER(M165),ISNUMBER(N179)),SUM($C165:M165,N179:$N179),"-"))</f>
        <v>1613416</v>
      </c>
      <c r="N166" s="156">
        <f ca="1">IF(AND(MONTH(N164)=3,ISNUMBER($N165),ISNUMBER($C165)),SUM($C165:N165),IF(AND(MONTH(N164)&lt;&gt;3,ISNUMBER(N165),ISNUMBER(O179)),SUM($C165:N165,$N179:O179),"-"))</f>
        <v>1621457</v>
      </c>
    </row>
    <row r="167" spans="1:14" ht="15" customHeight="1" x14ac:dyDescent="0.2">
      <c r="A167" s="132"/>
      <c r="B167" s="154" t="s">
        <v>726</v>
      </c>
      <c r="C167" s="150">
        <f t="shared" ref="C167:N167" ca="1" si="36">IF(ISNUMBER(C166),C166/12,NA())</f>
        <v>134719.41666666666</v>
      </c>
      <c r="D167" s="150">
        <f t="shared" ca="1" si="36"/>
        <v>134210.33333333334</v>
      </c>
      <c r="E167" s="150">
        <f t="shared" ca="1" si="36"/>
        <v>134297.91666666666</v>
      </c>
      <c r="F167" s="150">
        <f t="shared" ca="1" si="36"/>
        <v>135115.25</v>
      </c>
      <c r="G167" s="150">
        <f t="shared" ca="1" si="36"/>
        <v>135046.33333333334</v>
      </c>
      <c r="H167" s="150">
        <f t="shared" ca="1" si="36"/>
        <v>134839.25</v>
      </c>
      <c r="I167" s="150">
        <f t="shared" ca="1" si="36"/>
        <v>134724.75</v>
      </c>
      <c r="J167" s="150">
        <f t="shared" ca="1" si="36"/>
        <v>134509.83333333334</v>
      </c>
      <c r="K167" s="150">
        <f t="shared" ca="1" si="36"/>
        <v>134038</v>
      </c>
      <c r="L167" s="150">
        <f t="shared" ca="1" si="36"/>
        <v>134296.08333333334</v>
      </c>
      <c r="M167" s="150">
        <f t="shared" ca="1" si="36"/>
        <v>134451.33333333334</v>
      </c>
      <c r="N167" s="159">
        <f t="shared" ca="1" si="36"/>
        <v>135121.41666666666</v>
      </c>
    </row>
    <row r="168" spans="1:14" ht="15" customHeight="1" x14ac:dyDescent="0.2">
      <c r="A168" s="132"/>
      <c r="B168" s="152" t="s">
        <v>727</v>
      </c>
      <c r="C168" s="147">
        <f ca="1">IF(C165="-","-",C165-IF(ISNUMBER(FIND("ED only",$B$4)),SUMIFS(sum_over_4_tot,site_level_range,LEFT($B$4,LEN($B$4)-10),date_range,C164,inputdata!$E:$E,"*- ED*"),SUMIFS(sum_over_4_tot,site_level_range,$B$4,date_range,C164)))</f>
        <v>11363</v>
      </c>
      <c r="D168" s="147">
        <f ca="1">IF(D165="-","-",D165-IF(ISNUMBER(FIND("ED only",$B$4)),SUMIFS(sum_over_4_tot,site_level_range,LEFT($B$4,LEN($B$4)-10),date_range,D164,inputdata!$E:$E,"*- ED*"),SUMIFS(sum_over_4_tot,site_level_range,$B$4,date_range,D164)))</f>
        <v>7707</v>
      </c>
      <c r="E168" s="147">
        <f ca="1">IF(E165="-","-",E165-IF(ISNUMBER(FIND("ED only",$B$4)),SUMIFS(sum_over_4_tot,site_level_range,LEFT($B$4,LEN($B$4)-10),date_range,E164,inputdata!$E:$E,"*- ED*"),SUMIFS(sum_over_4_tot,site_level_range,$B$4,date_range,E164)))</f>
        <v>7552</v>
      </c>
      <c r="F168" s="147">
        <f ca="1">IF(F165="-","-",F165-IF(ISNUMBER(FIND("ED only",$B$4)),SUMIFS(sum_over_4_tot,site_level_range,LEFT($B$4,LEN($B$4)-10),date_range,F164,inputdata!$E:$E,"*- ED*"),SUMIFS(sum_over_4_tot,site_level_range,$B$4,date_range,F164)))</f>
        <v>5999</v>
      </c>
      <c r="G168" s="147">
        <f ca="1">IF(G165="-","-",G165-IF(ISNUMBER(FIND("ED only",$B$4)),SUMIFS(sum_over_4_tot,site_level_range,LEFT($B$4,LEN($B$4)-10),date_range,G164,inputdata!$E:$E,"*- ED*"),SUMIFS(sum_over_4_tot,site_level_range,$B$4,date_range,G164)))</f>
        <v>7005</v>
      </c>
      <c r="H168" s="147">
        <f ca="1">IF(H165="-","-",H165-IF(ISNUMBER(FIND("ED only",$B$4)),SUMIFS(sum_over_4_tot,site_level_range,LEFT($B$4,LEN($B$4)-10),date_range,H164,inputdata!$E:$E,"*- ED*"),SUMIFS(sum_over_4_tot,site_level_range,$B$4,date_range,H164)))</f>
        <v>7072</v>
      </c>
      <c r="I168" s="147">
        <f ca="1">IF(I165="-","-",I165-IF(ISNUMBER(FIND("ED only",$B$4)),SUMIFS(sum_over_4_tot,site_level_range,LEFT($B$4,LEN($B$4)-10),date_range,I164,inputdata!$E:$E,"*- ED*"),SUMIFS(sum_over_4_tot,site_level_range,$B$4,date_range,I164)))</f>
        <v>8046</v>
      </c>
      <c r="J168" s="147">
        <f ca="1">IF(J165="-","-",J165-IF(ISNUMBER(FIND("ED only",$B$4)),SUMIFS(sum_over_4_tot,site_level_range,LEFT($B$4,LEN($B$4)-10),date_range,J164,inputdata!$E:$E,"*- ED*"),SUMIFS(sum_over_4_tot,site_level_range,$B$4,date_range,J164)))</f>
        <v>6628</v>
      </c>
      <c r="K168" s="147">
        <f ca="1">IF(K165="-","-",K165-IF(ISNUMBER(FIND("ED only",$B$4)),SUMIFS(sum_over_4_tot,site_level_range,LEFT($B$4,LEN($B$4)-10),date_range,K164,inputdata!$E:$E,"*- ED*"),SUMIFS(sum_over_4_tot,site_level_range,$B$4,date_range,K164)))</f>
        <v>8287</v>
      </c>
      <c r="L168" s="147">
        <f ca="1">IF(L165="-","-",L165-IF(ISNUMBER(FIND("ED only",$B$4)),SUMIFS(sum_over_4_tot,site_level_range,LEFT($B$4,LEN($B$4)-10),date_range,L164,inputdata!$E:$E,"*- ED*"),SUMIFS(sum_over_4_tot,site_level_range,$B$4,date_range,L164)))</f>
        <v>10031</v>
      </c>
      <c r="M168" s="147">
        <f ca="1">IF(M165="-","-",M165-IF(ISNUMBER(FIND("ED only",$B$4)),SUMIFS(sum_over_4_tot,site_level_range,LEFT($B$4,LEN($B$4)-10),date_range,M164,inputdata!$E:$E,"*- ED*"),SUMIFS(sum_over_4_tot,site_level_range,$B$4,date_range,M164)))</f>
        <v>10007</v>
      </c>
      <c r="N168" s="156">
        <f ca="1">IF(N165="-","-",N165-IF(ISNUMBER(FIND("ED only",$B$4)),SUMIFS(sum_over_4_tot,site_level_range,LEFT($B$4,LEN($B$4)-10),date_range,N164,inputdata!$E:$E,"*- ED*"),SUMIFS(sum_over_4_tot,site_level_range,$B$4,date_range,N164)))</f>
        <v>9437</v>
      </c>
    </row>
    <row r="169" spans="1:14" ht="15" customHeight="1" x14ac:dyDescent="0.2">
      <c r="A169" s="132"/>
      <c r="B169" s="152" t="s">
        <v>728</v>
      </c>
      <c r="C169" s="148">
        <f t="shared" ref="C169:N169" ca="1" si="37">IF(ISERROR(1-C168/C165),NA(),(1-C168/C165))</f>
        <v>0.91616620678461291</v>
      </c>
      <c r="D169" s="148">
        <f t="shared" ca="1" si="37"/>
        <v>0.9457398724285051</v>
      </c>
      <c r="E169" s="148">
        <f t="shared" ca="1" si="37"/>
        <v>0.94601935640662749</v>
      </c>
      <c r="F169" s="148">
        <f t="shared" ca="1" si="37"/>
        <v>0.95871726938031177</v>
      </c>
      <c r="G169" s="148">
        <f t="shared" ca="1" si="37"/>
        <v>0.95139062369889249</v>
      </c>
      <c r="H169" s="148">
        <f t="shared" ca="1" si="37"/>
        <v>0.94825037685316627</v>
      </c>
      <c r="I169" s="148">
        <f t="shared" ca="1" si="37"/>
        <v>0.9390685346459674</v>
      </c>
      <c r="J169" s="148">
        <f t="shared" ca="1" si="37"/>
        <v>0.94732031442491871</v>
      </c>
      <c r="K169" s="148">
        <f t="shared" ca="1" si="37"/>
        <v>0.93464047132682915</v>
      </c>
      <c r="L169" s="148">
        <f t="shared" ca="1" si="37"/>
        <v>0.92211049423457703</v>
      </c>
      <c r="M169" s="148">
        <f t="shared" ca="1" si="37"/>
        <v>0.9183475309246385</v>
      </c>
      <c r="N169" s="157">
        <f t="shared" ca="1" si="37"/>
        <v>0.9334930758659572</v>
      </c>
    </row>
    <row r="170" spans="1:14" ht="15" customHeight="1" x14ac:dyDescent="0.2">
      <c r="A170" s="132"/>
      <c r="B170" s="154" t="s">
        <v>729</v>
      </c>
      <c r="C170" s="151">
        <f ca="1">IF(ISERROR(C167),NA(),IF(AND(MONTH(C164)=3,ISNUMBER($N165),ISNUMBER($C165)),1-(SUM($C168:$N168)/SUM($C165:$N165)),IF(AND(MONTH(C164)&lt;&gt;3,ISNUMBER(C165),ISNUMBER(D179)),1-(SUM(D182:$N182,$C168:C168)/SUM($C165:C165,D179:$N179)),NA())))</f>
        <v>0.93368315505127009</v>
      </c>
      <c r="D170" s="151">
        <f ca="1">IF(ISERROR(D167),NA(),IF(AND(MONTH(D164)=3,ISNUMBER($N165),ISNUMBER($C165)),1-(SUM($C168:$N168)/SUM($C165:$N165)),IF(AND(MONTH(D164)&lt;&gt;3,ISNUMBER(D165),ISNUMBER(E179)),1-(SUM(E182:$N182,$C168:D168)/SUM($C165:D165,E179:$N179)),NA())))</f>
        <v>0.93355516589631693</v>
      </c>
      <c r="E170" s="151">
        <f ca="1">IF(ISERROR(E167),NA(),IF(AND(MONTH(E164)=3,ISNUMBER($N165),ISNUMBER($C165)),1-(SUM($C168:$N168)/SUM($C165:$N165)),IF(AND(MONTH(E164)&lt;&gt;3,ISNUMBER(E165),ISNUMBER(F179)),1-(SUM(F182:$N182,$C168:E168)/SUM($C165:E165,F179:$N179)),NA())))</f>
        <v>0.93314490482912682</v>
      </c>
      <c r="F170" s="151">
        <f ca="1">IF(ISERROR(F167),NA(),IF(AND(MONTH(F164)=3,ISNUMBER($N165),ISNUMBER($C165)),1-(SUM($C168:$N168)/SUM($C165:$N165)),IF(AND(MONTH(F164)&lt;&gt;3,ISNUMBER(F165),ISNUMBER(G179)),1-(SUM(G182:$N182,$C168:F168)/SUM($C165:F165,G179:$N179)),NA())))</f>
        <v>0.93302816176066972</v>
      </c>
      <c r="G170" s="151">
        <f ca="1">IF(ISERROR(G167),NA(),IF(AND(MONTH(G164)=3,ISNUMBER($N165),ISNUMBER($C165)),1-(SUM($C168:$N168)/SUM($C165:$N165)),IF(AND(MONTH(G164)&lt;&gt;3,ISNUMBER(G165),ISNUMBER(H179)),1-(SUM(H182:$N182,$C168:G168)/SUM($C165:G165,H179:$N179)),NA())))</f>
        <v>0.93273481447108275</v>
      </c>
      <c r="H170" s="151">
        <f ca="1">IF(ISERROR(H167),NA(),IF(AND(MONTH(H164)=3,ISNUMBER($N165),ISNUMBER($C165)),1-(SUM($C168:$N168)/SUM($C165:$N165)),IF(AND(MONTH(H164)&lt;&gt;3,ISNUMBER(H165),ISNUMBER(I179)),1-(SUM(I182:$N182,$C168:H168)/SUM($C165:H165,I179:$N179)),NA())))</f>
        <v>0.93258268642105324</v>
      </c>
      <c r="I170" s="151">
        <f ca="1">IF(ISERROR(I167),NA(),IF(AND(MONTH(I164)=3,ISNUMBER($N165),ISNUMBER($C165)),1-(SUM($C168:$N168)/SUM($C165:$N165)),IF(AND(MONTH(I164)&lt;&gt;3,ISNUMBER(I165),ISNUMBER(J179)),1-(SUM(J182:$N182,$C168:I168)/SUM($C165:I165,J179:$N179)),NA())))</f>
        <v>0.93217714884112479</v>
      </c>
      <c r="J170" s="151">
        <f ca="1">IF(ISERROR(J167),NA(),IF(AND(MONTH(J164)=3,ISNUMBER($N165),ISNUMBER($C165)),1-(SUM($C168:$N168)/SUM($C165:$N165)),IF(AND(MONTH(J164)&lt;&gt;3,ISNUMBER(J165),ISNUMBER(K179)),1-(SUM(K182:$N182,$C168:J168)/SUM($C165:J165,K179:$N179)),NA())))</f>
        <v>0.93316163997923329</v>
      </c>
      <c r="K170" s="151">
        <f ca="1">IF(ISERROR(K167),NA(),IF(AND(MONTH(K164)=3,ISNUMBER($N165),ISNUMBER($C165)),1-(SUM($C168:$N168)/SUM($C165:$N165)),IF(AND(MONTH(K164)&lt;&gt;3,ISNUMBER(K165),ISNUMBER(L179)),1-(SUM(L182:$N182,$C168:K168)/SUM($C165:K165,L179:$N179)),NA())))</f>
        <v>0.93577567555469343</v>
      </c>
      <c r="L170" s="151">
        <f ca="1">IF(ISERROR(L167),NA(),IF(AND(MONTH(L164)=3,ISNUMBER($N165),ISNUMBER($C165)),1-(SUM($C168:$N168)/SUM($C165:$N165)),IF(AND(MONTH(L164)&lt;&gt;3,ISNUMBER(L165),ISNUMBER(M179)),1-(SUM(M182:$N182,$C168:L168)/SUM($C165:L165,M179:$N179)),NA())))</f>
        <v>0.93773583617789802</v>
      </c>
      <c r="M170" s="151">
        <f ca="1">IF(ISERROR(M167),NA(),IF(AND(MONTH(M164)=3,ISNUMBER($N165),ISNUMBER($C165)),1-(SUM($C168:$N168)/SUM($C165:$N165)),IF(AND(MONTH(M164)&lt;&gt;3,ISNUMBER(M165),ISNUMBER(N179)),1-(SUM(N182:$N182,$C168:M168)/SUM($C165:M165,N179:$N179)),NA())))</f>
        <v>0.9376633180779167</v>
      </c>
      <c r="N170" s="160">
        <f ca="1">IF(ISERROR(N167),NA(),IF(AND(MONTH(N164)=3,ISNUMBER($N165),ISNUMBER($C165)),1-(SUM($C168:$N168)/SUM($C165:$N165)),IF(AND(MONTH(N164)&lt;&gt;3,ISNUMBER(N165),ISNUMBER(O179)),1-(SUM($N182:O182,$C168:N168)/SUM($C165:N165,$N179:O179)),NA())))</f>
        <v>0.93886116005543163</v>
      </c>
    </row>
    <row r="171" spans="1:14" ht="14.45" customHeight="1" x14ac:dyDescent="0.25">
      <c r="A171" s="132"/>
      <c r="B171" s="155" t="s">
        <v>730</v>
      </c>
      <c r="C171" s="127"/>
      <c r="D171" s="127"/>
      <c r="E171" s="127"/>
      <c r="F171" s="127"/>
      <c r="G171" s="127"/>
      <c r="H171" s="127"/>
      <c r="I171" s="127"/>
      <c r="J171" s="127"/>
      <c r="K171" s="127"/>
      <c r="L171" s="127"/>
      <c r="M171" s="127"/>
      <c r="N171" s="161"/>
    </row>
    <row r="172" spans="1:14" ht="15" customHeight="1" x14ac:dyDescent="0.2">
      <c r="A172" s="132"/>
      <c r="B172" s="154" t="s">
        <v>724</v>
      </c>
      <c r="C172" s="150">
        <f ca="1">IF(IF(ISNUMBER(FIND("ED only",$B$4)),SUMIFS(Sum_total_epi,site_level_range,LEFT($B$4,LEN($B$4)-10),date_range,C164,inputdata!$E:$E,"*- ED*"),SUMIFS(Sum_total_epi,site_level_range,$B$4,date_range,C164))=0,"-",IF(ISNUMBER(FIND("ED only",$B$4)),SUMIFS(Sum_total_epi,site_level_range,LEFT($B$4,LEN($B$4)-10),date_range,C164,inputdata!$E:$E,"*- ED*"),SUMIFS(Sum_total_epi,site_level_range,$B$4,date_range,C164)))</f>
        <v>126921</v>
      </c>
      <c r="D172" s="150">
        <f ca="1">IF(IF(ISNUMBER(FIND("ED only",$B$4)),SUMIFS(Sum_total_epi,site_level_range,LEFT($B$4,LEN($B$4)-10),date_range,D164,inputdata!$E:$E,"*- ED*"),SUMIFS(Sum_total_epi,site_level_range,$B$4,date_range,D164))=0,"-",IF(ISNUMBER(FIND("ED only",$B$4)),SUMIFS(Sum_total_epi,site_level_range,LEFT($B$4,LEN($B$4)-10),date_range,D164,inputdata!$E:$E,"*- ED*"),SUMIFS(Sum_total_epi,site_level_range,$B$4,date_range,D164)))</f>
        <v>132595</v>
      </c>
      <c r="E172" s="150">
        <f ca="1">IF(IF(ISNUMBER(FIND("ED only",$B$4)),SUMIFS(Sum_total_epi,site_level_range,LEFT($B$4,LEN($B$4)-10),date_range,E164,inputdata!$E:$E,"*- ED*"),SUMIFS(Sum_total_epi,site_level_range,$B$4,date_range,E164))=0,"-",IF(ISNUMBER(FIND("ED only",$B$4)),SUMIFS(Sum_total_epi,site_level_range,LEFT($B$4,LEN($B$4)-10),date_range,E164,inputdata!$E:$E,"*- ED*"),SUMIFS(Sum_total_epi,site_level_range,$B$4,date_range,E164)))</f>
        <v>130390</v>
      </c>
      <c r="F172" s="150">
        <f ca="1">IF(IF(ISNUMBER(FIND("ED only",$B$4)),SUMIFS(Sum_total_epi,site_level_range,LEFT($B$4,LEN($B$4)-10),date_range,F164,inputdata!$E:$E,"*- ED*"),SUMIFS(Sum_total_epi,site_level_range,$B$4,date_range,F164))=0,"-",IF(ISNUMBER(FIND("ED only",$B$4)),SUMIFS(Sum_total_epi,site_level_range,LEFT($B$4,LEN($B$4)-10),date_range,F164,inputdata!$E:$E,"*- ED*"),SUMIFS(Sum_total_epi,site_level_range,$B$4,date_range,F164)))</f>
        <v>134530</v>
      </c>
      <c r="G172" s="150">
        <f ca="1">IF(IF(ISNUMBER(FIND("ED only",$B$4)),SUMIFS(Sum_total_epi,site_level_range,LEFT($B$4,LEN($B$4)-10),date_range,G164,inputdata!$E:$E,"*- ED*"),SUMIFS(Sum_total_epi,site_level_range,$B$4,date_range,G164))=0,"-",IF(ISNUMBER(FIND("ED only",$B$4)),SUMIFS(Sum_total_epi,site_level_range,LEFT($B$4,LEN($B$4)-10),date_range,G164,inputdata!$E:$E,"*- ED*"),SUMIFS(Sum_total_epi,site_level_range,$B$4,date_range,G164)))</f>
        <v>134084</v>
      </c>
      <c r="H172" s="150">
        <f ca="1">IF(IF(ISNUMBER(FIND("ED only",$B$4)),SUMIFS(Sum_total_epi,site_level_range,LEFT($B$4,LEN($B$4)-10),date_range,H164,inputdata!$E:$E,"*- ED*"),SUMIFS(Sum_total_epi,site_level_range,$B$4,date_range,H164))=0,"-",IF(ISNUMBER(FIND("ED only",$B$4)),SUMIFS(Sum_total_epi,site_level_range,LEFT($B$4,LEN($B$4)-10),date_range,H164,inputdata!$E:$E,"*- ED*"),SUMIFS(Sum_total_epi,site_level_range,$B$4,date_range,H164)))</f>
        <v>127473</v>
      </c>
      <c r="I172" s="150">
        <f ca="1">IF(IF(ISNUMBER(FIND("ED only",$B$4)),SUMIFS(Sum_total_epi,site_level_range,LEFT($B$4,LEN($B$4)-10),date_range,I164,inputdata!$E:$E,"*- ED*"),SUMIFS(Sum_total_epi,site_level_range,$B$4,date_range,I164))=0,"-",IF(ISNUMBER(FIND("ED only",$B$4)),SUMIFS(Sum_total_epi,site_level_range,LEFT($B$4,LEN($B$4)-10),date_range,I164,inputdata!$E:$E,"*- ED*"),SUMIFS(Sum_total_epi,site_level_range,$B$4,date_range,I164)))</f>
        <v>123955</v>
      </c>
      <c r="J172" s="150">
        <f ca="1">IF(IF(ISNUMBER(FIND("ED only",$B$4)),SUMIFS(Sum_total_epi,site_level_range,LEFT($B$4,LEN($B$4)-10),date_range,J164,inputdata!$E:$E,"*- ED*"),SUMIFS(Sum_total_epi,site_level_range,$B$4,date_range,J164))=0,"-",IF(ISNUMBER(FIND("ED only",$B$4)),SUMIFS(Sum_total_epi,site_level_range,LEFT($B$4,LEN($B$4)-10),date_range,J164,inputdata!$E:$E,"*- ED*"),SUMIFS(Sum_total_epi,site_level_range,$B$4,date_range,J164)))</f>
        <v>118009</v>
      </c>
      <c r="K172" s="150">
        <f ca="1">IF(IF(ISNUMBER(FIND("ED only",$B$4)),SUMIFS(Sum_total_epi,site_level_range,LEFT($B$4,LEN($B$4)-10),date_range,K164,inputdata!$E:$E,"*- ED*"),SUMIFS(Sum_total_epi,site_level_range,$B$4,date_range,K164))=0,"-",IF(ISNUMBER(FIND("ED only",$B$4)),SUMIFS(Sum_total_epi,site_level_range,LEFT($B$4,LEN($B$4)-10),date_range,K164,inputdata!$E:$E,"*- ED*"),SUMIFS(Sum_total_epi,site_level_range,$B$4,date_range,K164)))</f>
        <v>118833</v>
      </c>
      <c r="L172" s="150">
        <f ca="1">IF(IF(ISNUMBER(FIND("ED only",$B$4)),SUMIFS(Sum_total_epi,site_level_range,LEFT($B$4,LEN($B$4)-10),date_range,L164,inputdata!$E:$E,"*- ED*"),SUMIFS(Sum_total_epi,site_level_range,$B$4,date_range,L164))=0,"-",IF(ISNUMBER(FIND("ED only",$B$4)),SUMIFS(Sum_total_epi,site_level_range,LEFT($B$4,LEN($B$4)-10),date_range,L164,inputdata!$E:$E,"*- ED*"),SUMIFS(Sum_total_epi,site_level_range,$B$4,date_range,L164)))</f>
        <v>121295</v>
      </c>
      <c r="M172" s="150">
        <f ca="1">IF(IF(ISNUMBER(FIND("ED only",$B$4)),SUMIFS(Sum_total_epi,site_level_range,LEFT($B$4,LEN($B$4)-10),date_range,M164,inputdata!$E:$E,"*- ED*"),SUMIFS(Sum_total_epi,site_level_range,$B$4,date_range,M164))=0,"-",IF(ISNUMBER(FIND("ED only",$B$4)),SUMIFS(Sum_total_epi,site_level_range,LEFT($B$4,LEN($B$4)-10),date_range,M164,inputdata!$E:$E,"*- ED*"),SUMIFS(Sum_total_epi,site_level_range,$B$4,date_range,M164)))</f>
        <v>115368</v>
      </c>
      <c r="N172" s="159">
        <f ca="1">IF(IF(ISNUMBER(FIND("ED only",$B$4)),SUMIFS(Sum_total_epi,site_level_range,LEFT($B$4,LEN($B$4)-10),date_range,N164,inputdata!$E:$E,"*- ED*"),SUMIFS(Sum_total_epi,site_level_range,$B$4,date_range,N164))=0,"-",IF(ISNUMBER(FIND("ED only",$B$4)),SUMIFS(Sum_total_epi,site_level_range,LEFT($B$4,LEN($B$4)-10),date_range,N164,inputdata!$E:$E,"*- ED*"),SUMIFS(Sum_total_epi,site_level_range,$B$4,date_range,N164)))</f>
        <v>133296</v>
      </c>
    </row>
    <row r="173" spans="1:14" ht="15" customHeight="1" x14ac:dyDescent="0.2">
      <c r="A173" s="132"/>
      <c r="B173" s="152" t="s">
        <v>731</v>
      </c>
      <c r="C173" s="147">
        <f ca="1">IF(C172="-","-",IF(ISNUMBER(FIND("ED only",$B$4)),SUMIFS(Sum_over_8,site_level_range,LEFT($B$4,LEN($B$4)-10),date_range,C164,inputdata!$E:$E,"*- ED*"),SUMIFS(Sum_over_8,site_level_range,$B$4,date_range,C164)))</f>
        <v>1072</v>
      </c>
      <c r="D173" s="147">
        <f ca="1">IF(D172="-","-",IF(ISNUMBER(FIND("ED only",$B$4)),SUMIFS(Sum_over_8,site_level_range,LEFT($B$4,LEN($B$4)-10),date_range,D164,inputdata!$E:$E,"*- ED*"),SUMIFS(Sum_over_8,site_level_range,$B$4,date_range,D164)))</f>
        <v>346</v>
      </c>
      <c r="E173" s="147">
        <f ca="1">IF(E172="-","-",IF(ISNUMBER(FIND("ED only",$B$4)),SUMIFS(Sum_over_8,site_level_range,LEFT($B$4,LEN($B$4)-10),date_range,E164,inputdata!$E:$E,"*- ED*"),SUMIFS(Sum_over_8,site_level_range,$B$4,date_range,E164)))</f>
        <v>312</v>
      </c>
      <c r="F173" s="147">
        <f ca="1">IF(F172="-","-",IF(ISNUMBER(FIND("ED only",$B$4)),SUMIFS(Sum_over_8,site_level_range,LEFT($B$4,LEN($B$4)-10),date_range,F164,inputdata!$E:$E,"*- ED*"),SUMIFS(Sum_over_8,site_level_range,$B$4,date_range,F164)))</f>
        <v>147</v>
      </c>
      <c r="G173" s="147">
        <f ca="1">IF(G172="-","-",IF(ISNUMBER(FIND("ED only",$B$4)),SUMIFS(Sum_over_8,site_level_range,LEFT($B$4,LEN($B$4)-10),date_range,G164,inputdata!$E:$E,"*- ED*"),SUMIFS(Sum_over_8,site_level_range,$B$4,date_range,G164)))</f>
        <v>200</v>
      </c>
      <c r="H173" s="147">
        <f ca="1">IF(H172="-","-",IF(ISNUMBER(FIND("ED only",$B$4)),SUMIFS(Sum_over_8,site_level_range,LEFT($B$4,LEN($B$4)-10),date_range,H164,inputdata!$E:$E,"*- ED*"),SUMIFS(Sum_over_8,site_level_range,$B$4,date_range,H164)))</f>
        <v>440</v>
      </c>
      <c r="I173" s="147">
        <f ca="1">IF(I172="-","-",IF(ISNUMBER(FIND("ED only",$B$4)),SUMIFS(Sum_over_8,site_level_range,LEFT($B$4,LEN($B$4)-10),date_range,I164,inputdata!$E:$E,"*- ED*"),SUMIFS(Sum_over_8,site_level_range,$B$4,date_range,I164)))</f>
        <v>415</v>
      </c>
      <c r="J173" s="147">
        <f ca="1">IF(J172="-","-",IF(ISNUMBER(FIND("ED only",$B$4)),SUMIFS(Sum_over_8,site_level_range,LEFT($B$4,LEN($B$4)-10),date_range,J164,inputdata!$E:$E,"*- ED*"),SUMIFS(Sum_over_8,site_level_range,$B$4,date_range,J164)))</f>
        <v>403</v>
      </c>
      <c r="K173" s="147">
        <f ca="1">IF(K172="-","-",IF(ISNUMBER(FIND("ED only",$B$4)),SUMIFS(Sum_over_8,site_level_range,LEFT($B$4,LEN($B$4)-10),date_range,K164,inputdata!$E:$E,"*- ED*"),SUMIFS(Sum_over_8,site_level_range,$B$4,date_range,K164)))</f>
        <v>480</v>
      </c>
      <c r="L173" s="147">
        <f ca="1">IF(L172="-","-",IF(ISNUMBER(FIND("ED only",$B$4)),SUMIFS(Sum_over_8,site_level_range,LEFT($B$4,LEN($B$4)-10),date_range,L164,inputdata!$E:$E,"*- ED*"),SUMIFS(Sum_over_8,site_level_range,$B$4,date_range,L164)))</f>
        <v>944</v>
      </c>
      <c r="M173" s="147">
        <f ca="1">IF(M172="-","-",IF(ISNUMBER(FIND("ED only",$B$4)),SUMIFS(Sum_over_8,site_level_range,LEFT($B$4,LEN($B$4)-10),date_range,M164,inputdata!$E:$E,"*- ED*"),SUMIFS(Sum_over_8,site_level_range,$B$4,date_range,M164)))</f>
        <v>877</v>
      </c>
      <c r="N173" s="156">
        <f ca="1">IF(N172="-","-",IF(ISNUMBER(FIND("ED only",$B$4)),SUMIFS(Sum_over_8,site_level_range,LEFT($B$4,LEN($B$4)-10),date_range,N164,inputdata!$E:$E,"*- ED*"),SUMIFS(Sum_over_8,site_level_range,$B$4,date_range,N164)))</f>
        <v>742</v>
      </c>
    </row>
    <row r="174" spans="1:14" ht="15" customHeight="1" x14ac:dyDescent="0.2">
      <c r="A174" s="132"/>
      <c r="B174" s="154" t="s">
        <v>732</v>
      </c>
      <c r="C174" s="151">
        <f t="shared" ref="C174:N174" ca="1" si="38">IF(ISERROR(1-C173/C172),"-",1-C173/C172)</f>
        <v>0.9915538011834133</v>
      </c>
      <c r="D174" s="151">
        <f t="shared" ca="1" si="38"/>
        <v>0.99739055017157507</v>
      </c>
      <c r="E174" s="151">
        <f t="shared" ca="1" si="38"/>
        <v>0.99760717846460623</v>
      </c>
      <c r="F174" s="151">
        <f t="shared" ca="1" si="38"/>
        <v>0.99890730692038954</v>
      </c>
      <c r="G174" s="151">
        <f t="shared" ca="1" si="38"/>
        <v>0.99850839772083166</v>
      </c>
      <c r="H174" s="151">
        <f t="shared" ca="1" si="38"/>
        <v>0.99654828865720579</v>
      </c>
      <c r="I174" s="151">
        <f t="shared" ca="1" si="38"/>
        <v>0.99665201081037469</v>
      </c>
      <c r="J174" s="151">
        <f t="shared" ca="1" si="38"/>
        <v>0.99658500622833857</v>
      </c>
      <c r="K174" s="151">
        <f t="shared" ca="1" si="38"/>
        <v>0.99596071798237862</v>
      </c>
      <c r="L174" s="151">
        <f t="shared" ca="1" si="38"/>
        <v>0.99221732140648833</v>
      </c>
      <c r="M174" s="151">
        <f t="shared" ca="1" si="38"/>
        <v>0.99239823867970323</v>
      </c>
      <c r="N174" s="160">
        <f t="shared" ca="1" si="38"/>
        <v>0.9944334413635818</v>
      </c>
    </row>
    <row r="175" spans="1:14" ht="15" customHeight="1" x14ac:dyDescent="0.2">
      <c r="A175" s="132"/>
      <c r="B175" s="152" t="s">
        <v>733</v>
      </c>
      <c r="C175" s="147">
        <f ca="1">IF(C172="-","-",IF(ISNUMBER(FIND("ED only",$B$4)),SUMIFS(Sum_over_12,site_level_range,LEFT($B$4,LEN($B$4)-10),date_range,C164,inputdata!$E:$E,"*- ED*"),SUMIFS(Sum_over_12,site_level_range,$B$4,date_range,C164)))</f>
        <v>161</v>
      </c>
      <c r="D175" s="147">
        <f ca="1">IF(D172="-","-",IF(ISNUMBER(FIND("ED only",$B$4)),SUMIFS(Sum_over_12,site_level_range,LEFT($B$4,LEN($B$4)-10),date_range,D164,inputdata!$E:$E,"*- ED*"),SUMIFS(Sum_over_12,site_level_range,$B$4,date_range,D164)))</f>
        <v>23</v>
      </c>
      <c r="E175" s="147">
        <f ca="1">IF(E172="-","-",IF(ISNUMBER(FIND("ED only",$B$4)),SUMIFS(Sum_over_12,site_level_range,LEFT($B$4,LEN($B$4)-10),date_range,E164,inputdata!$E:$E,"*- ED*"),SUMIFS(Sum_over_12,site_level_range,$B$4,date_range,E164)))</f>
        <v>24</v>
      </c>
      <c r="F175" s="147">
        <f ca="1">IF(F172="-","-",IF(ISNUMBER(FIND("ED only",$B$4)),SUMIFS(Sum_over_12,site_level_range,LEFT($B$4,LEN($B$4)-10),date_range,F164,inputdata!$E:$E,"*- ED*"),SUMIFS(Sum_over_12,site_level_range,$B$4,date_range,F164)))</f>
        <v>4</v>
      </c>
      <c r="G175" s="147">
        <f ca="1">IF(G172="-","-",IF(ISNUMBER(FIND("ED only",$B$4)),SUMIFS(Sum_over_12,site_level_range,LEFT($B$4,LEN($B$4)-10),date_range,G164,inputdata!$E:$E,"*- ED*"),SUMIFS(Sum_over_12,site_level_range,$B$4,date_range,G164)))</f>
        <v>6</v>
      </c>
      <c r="H175" s="147">
        <f ca="1">IF(H172="-","-",IF(ISNUMBER(FIND("ED only",$B$4)),SUMIFS(Sum_over_12,site_level_range,LEFT($B$4,LEN($B$4)-10),date_range,H164,inputdata!$E:$E,"*- ED*"),SUMIFS(Sum_over_12,site_level_range,$B$4,date_range,H164)))</f>
        <v>27</v>
      </c>
      <c r="I175" s="147">
        <f ca="1">IF(I172="-","-",IF(ISNUMBER(FIND("ED only",$B$4)),SUMIFS(Sum_over_12,site_level_range,LEFT($B$4,LEN($B$4)-10),date_range,I164,inputdata!$E:$E,"*- ED*"),SUMIFS(Sum_over_12,site_level_range,$B$4,date_range,I164)))</f>
        <v>45</v>
      </c>
      <c r="J175" s="147">
        <f ca="1">IF(J172="-","-",IF(ISNUMBER(FIND("ED only",$B$4)),SUMIFS(Sum_over_12,site_level_range,LEFT($B$4,LEN($B$4)-10),date_range,J164,inputdata!$E:$E,"*- ED*"),SUMIFS(Sum_over_12,site_level_range,$B$4,date_range,J164)))</f>
        <v>56</v>
      </c>
      <c r="K175" s="147">
        <f ca="1">IF(K172="-","-",IF(ISNUMBER(FIND("ED only",$B$4)),SUMIFS(Sum_over_12,site_level_range,LEFT($B$4,LEN($B$4)-10),date_range,K164,inputdata!$E:$E,"*- ED*"),SUMIFS(Sum_over_12,site_level_range,$B$4,date_range,K164)))</f>
        <v>42</v>
      </c>
      <c r="L175" s="147">
        <f ca="1">IF(L172="-","-",IF(ISNUMBER(FIND("ED only",$B$4)),SUMIFS(Sum_over_12,site_level_range,LEFT($B$4,LEN($B$4)-10),date_range,L164,inputdata!$E:$E,"*- ED*"),SUMIFS(Sum_over_12,site_level_range,$B$4,date_range,L164)))</f>
        <v>146</v>
      </c>
      <c r="M175" s="147">
        <f ca="1">IF(M172="-","-",IF(ISNUMBER(FIND("ED only",$B$4)),SUMIFS(Sum_over_12,site_level_range,LEFT($B$4,LEN($B$4)-10),date_range,M164,inputdata!$E:$E,"*- ED*"),SUMIFS(Sum_over_12,site_level_range,$B$4,date_range,M164)))</f>
        <v>75</v>
      </c>
      <c r="N175" s="156">
        <f ca="1">IF(N172="-","-",IF(ISNUMBER(FIND("ED only",$B$4)),SUMIFS(Sum_over_12,site_level_range,LEFT($B$4,LEN($B$4)-10),date_range,N164,inputdata!$E:$E,"*- ED*"),SUMIFS(Sum_over_12,site_level_range,$B$4,date_range,N164)))</f>
        <v>39</v>
      </c>
    </row>
    <row r="176" spans="1:14" ht="15" customHeight="1" x14ac:dyDescent="0.2">
      <c r="A176" s="132"/>
      <c r="B176" s="154" t="s">
        <v>734</v>
      </c>
      <c r="C176" s="151">
        <f t="shared" ref="C176:N176" ca="1" si="39">IF(ISERROR(1-C175/C172),"-",1-C175/C172)</f>
        <v>0.99873149439415065</v>
      </c>
      <c r="D176" s="151">
        <f t="shared" ca="1" si="39"/>
        <v>0.99982653946227229</v>
      </c>
      <c r="E176" s="151">
        <f t="shared" ca="1" si="39"/>
        <v>0.99981593680496972</v>
      </c>
      <c r="F176" s="151">
        <f t="shared" ca="1" si="39"/>
        <v>0.99997026685497659</v>
      </c>
      <c r="G176" s="151">
        <f t="shared" ca="1" si="39"/>
        <v>0.99995525193162493</v>
      </c>
      <c r="H176" s="151">
        <f t="shared" ca="1" si="39"/>
        <v>0.99978819044032852</v>
      </c>
      <c r="I176" s="151">
        <f t="shared" ca="1" si="39"/>
        <v>0.999636965027631</v>
      </c>
      <c r="J176" s="151">
        <f t="shared" ca="1" si="39"/>
        <v>0.99952545992254827</v>
      </c>
      <c r="K176" s="151">
        <f t="shared" ca="1" si="39"/>
        <v>0.9996465628234581</v>
      </c>
      <c r="L176" s="151">
        <f t="shared" ca="1" si="39"/>
        <v>0.99879632301413912</v>
      </c>
      <c r="M176" s="151">
        <f t="shared" ca="1" si="39"/>
        <v>0.99934990638651966</v>
      </c>
      <c r="N176" s="160">
        <f t="shared" ca="1" si="39"/>
        <v>0.99970741807706154</v>
      </c>
    </row>
    <row r="177" spans="1:14" ht="14.45" customHeight="1" x14ac:dyDescent="0.2">
      <c r="B177" s="127"/>
      <c r="C177" s="127"/>
      <c r="D177" s="127"/>
      <c r="E177" s="127"/>
      <c r="F177" s="127"/>
      <c r="G177" s="127"/>
      <c r="H177" s="127"/>
      <c r="I177" s="127"/>
      <c r="J177" s="127"/>
      <c r="K177" s="127"/>
      <c r="L177" s="127"/>
      <c r="M177" s="127"/>
      <c r="N177" s="127"/>
    </row>
    <row r="178" spans="1:14" ht="15" customHeight="1" x14ac:dyDescent="0.25">
      <c r="A178" s="132"/>
      <c r="B178" s="153" t="s">
        <v>723</v>
      </c>
      <c r="C178" s="149">
        <v>41029</v>
      </c>
      <c r="D178" s="149">
        <v>41060</v>
      </c>
      <c r="E178" s="149">
        <v>41090</v>
      </c>
      <c r="F178" s="149">
        <v>41121</v>
      </c>
      <c r="G178" s="149">
        <v>41152</v>
      </c>
      <c r="H178" s="149">
        <v>41182</v>
      </c>
      <c r="I178" s="149">
        <v>41213</v>
      </c>
      <c r="J178" s="149">
        <v>41243</v>
      </c>
      <c r="K178" s="149">
        <v>41274</v>
      </c>
      <c r="L178" s="149">
        <v>41305</v>
      </c>
      <c r="M178" s="149">
        <v>41333</v>
      </c>
      <c r="N178" s="158">
        <v>41364</v>
      </c>
    </row>
    <row r="179" spans="1:14" ht="15" customHeight="1" x14ac:dyDescent="0.2">
      <c r="A179" s="132"/>
      <c r="B179" s="152" t="s">
        <v>724</v>
      </c>
      <c r="C179" s="147">
        <f ca="1">IF(IF(ISNUMBER(FIND("ED only",$B$4)),SUMIFS(sum_range,site_level_range,LEFT($B$4,LEN($B$4)-10),date_range,C178,inputdata!$E:$E,"*- ED*"),SUMIFS(sum_range,site_level_range,$B$4,date_range,C178))=0,"-",IF(ISNUMBER(FIND("ED only",$B$4)),SUMIFS(sum_range,site_level_range,LEFT($B$4,LEN($B$4)-10),date_range,C178,inputdata!$E:$E,"*- ED*"),SUMIFS(sum_range,site_level_range,$B$4,date_range,C178)))</f>
        <v>137337</v>
      </c>
      <c r="D179" s="147">
        <f ca="1">IF(IF(ISNUMBER(FIND("ED only",$B$4)),SUMIFS(sum_range,site_level_range,LEFT($B$4,LEN($B$4)-10),date_range,D178,inputdata!$E:$E,"*- ED*"),SUMIFS(sum_range,site_level_range,$B$4,date_range,D178))=0,"-",IF(ISNUMBER(FIND("ED only",$B$4)),SUMIFS(sum_range,site_level_range,LEFT($B$4,LEN($B$4)-10),date_range,D178,inputdata!$E:$E,"*- ED*"),SUMIFS(sum_range,site_level_range,$B$4,date_range,D178)))</f>
        <v>148147</v>
      </c>
      <c r="E179" s="147">
        <f ca="1">IF(IF(ISNUMBER(FIND("ED only",$B$4)),SUMIFS(sum_range,site_level_range,LEFT($B$4,LEN($B$4)-10),date_range,E178,inputdata!$E:$E,"*- ED*"),SUMIFS(sum_range,site_level_range,$B$4,date_range,E178))=0,"-",IF(ISNUMBER(FIND("ED only",$B$4)),SUMIFS(sum_range,site_level_range,LEFT($B$4,LEN($B$4)-10),date_range,E178,inputdata!$E:$E,"*- ED*"),SUMIFS(sum_range,site_level_range,$B$4,date_range,E178)))</f>
        <v>138851</v>
      </c>
      <c r="F179" s="147">
        <f ca="1">IF(IF(ISNUMBER(FIND("ED only",$B$4)),SUMIFS(sum_range,site_level_range,LEFT($B$4,LEN($B$4)-10),date_range,F178,inputdata!$E:$E,"*- ED*"),SUMIFS(sum_range,site_level_range,$B$4,date_range,F178))=0,"-",IF(ISNUMBER(FIND("ED only",$B$4)),SUMIFS(sum_range,site_level_range,LEFT($B$4,LEN($B$4)-10),date_range,F178,inputdata!$E:$E,"*- ED*"),SUMIFS(sum_range,site_level_range,$B$4,date_range,F178)))</f>
        <v>135507</v>
      </c>
      <c r="G179" s="147">
        <f ca="1">IF(IF(ISNUMBER(FIND("ED only",$B$4)),SUMIFS(sum_range,site_level_range,LEFT($B$4,LEN($B$4)-10),date_range,G178,inputdata!$E:$E,"*- ED*"),SUMIFS(sum_range,site_level_range,$B$4,date_range,G178))=0,"-",IF(ISNUMBER(FIND("ED only",$B$4)),SUMIFS(sum_range,site_level_range,LEFT($B$4,LEN($B$4)-10),date_range,G178,inputdata!$E:$E,"*- ED*"),SUMIFS(sum_range,site_level_range,$B$4,date_range,G178)))</f>
        <v>144935</v>
      </c>
      <c r="H179" s="147">
        <f ca="1">IF(IF(ISNUMBER(FIND("ED only",$B$4)),SUMIFS(sum_range,site_level_range,LEFT($B$4,LEN($B$4)-10),date_range,H178,inputdata!$E:$E,"*- ED*"),SUMIFS(sum_range,site_level_range,$B$4,date_range,H178))=0,"-",IF(ISNUMBER(FIND("ED only",$B$4)),SUMIFS(sum_range,site_level_range,LEFT($B$4,LEN($B$4)-10),date_range,H178,inputdata!$E:$E,"*- ED*"),SUMIFS(sum_range,site_level_range,$B$4,date_range,H178)))</f>
        <v>139143</v>
      </c>
      <c r="I179" s="147">
        <f ca="1">IF(IF(ISNUMBER(FIND("ED only",$B$4)),SUMIFS(sum_range,site_level_range,LEFT($B$4,LEN($B$4)-10),date_range,I178,inputdata!$E:$E,"*- ED*"),SUMIFS(sum_range,site_level_range,$B$4,date_range,I178))=0,"-",IF(ISNUMBER(FIND("ED only",$B$4)),SUMIFS(sum_range,site_level_range,LEFT($B$4,LEN($B$4)-10),date_range,I178,inputdata!$E:$E,"*- ED*"),SUMIFS(sum_range,site_level_range,$B$4,date_range,I178)))</f>
        <v>133424</v>
      </c>
      <c r="J179" s="147">
        <f ca="1">IF(IF(ISNUMBER(FIND("ED only",$B$4)),SUMIFS(sum_range,site_level_range,LEFT($B$4,LEN($B$4)-10),date_range,J178,inputdata!$E:$E,"*- ED*"),SUMIFS(sum_range,site_level_range,$B$4,date_range,J178))=0,"-",IF(ISNUMBER(FIND("ED only",$B$4)),SUMIFS(sum_range,site_level_range,LEFT($B$4,LEN($B$4)-10),date_range,J178,inputdata!$E:$E,"*- ED*"),SUMIFS(sum_range,site_level_range,$B$4,date_range,J178)))</f>
        <v>128396</v>
      </c>
      <c r="K179" s="147">
        <f ca="1">IF(IF(ISNUMBER(FIND("ED only",$B$4)),SUMIFS(sum_range,site_level_range,LEFT($B$4,LEN($B$4)-10),date_range,K178,inputdata!$E:$E,"*- ED*"),SUMIFS(sum_range,site_level_range,$B$4,date_range,K178))=0,"-",IF(ISNUMBER(FIND("ED only",$B$4)),SUMIFS(sum_range,site_level_range,LEFT($B$4,LEN($B$4)-10),date_range,K178,inputdata!$E:$E,"*- ED*"),SUMIFS(sum_range,site_level_range,$B$4,date_range,K178)))</f>
        <v>132453</v>
      </c>
      <c r="L179" s="147">
        <f ca="1">IF(IF(ISNUMBER(FIND("ED only",$B$4)),SUMIFS(sum_range,site_level_range,LEFT($B$4,LEN($B$4)-10),date_range,L178,inputdata!$E:$E,"*- ED*"),SUMIFS(sum_range,site_level_range,$B$4,date_range,L178))=0,"-",IF(ISNUMBER(FIND("ED only",$B$4)),SUMIFS(sum_range,site_level_range,LEFT($B$4,LEN($B$4)-10),date_range,L178,inputdata!$E:$E,"*- ED*"),SUMIFS(sum_range,site_level_range,$B$4,date_range,L178)))</f>
        <v>125688</v>
      </c>
      <c r="M179" s="147">
        <f ca="1">IF(IF(ISNUMBER(FIND("ED only",$B$4)),SUMIFS(sum_range,site_level_range,LEFT($B$4,LEN($B$4)-10),date_range,M178,inputdata!$E:$E,"*- ED*"),SUMIFS(sum_range,site_level_range,$B$4,date_range,M178))=0,"-",IF(ISNUMBER(FIND("ED only",$B$4)),SUMIFS(sum_range,site_level_range,LEFT($B$4,LEN($B$4)-10),date_range,M178,inputdata!$E:$E,"*- ED*"),SUMIFS(sum_range,site_level_range,$B$4,date_range,M178)))</f>
        <v>120693</v>
      </c>
      <c r="N179" s="156">
        <f ca="1">IF(IF(ISNUMBER(FIND("ED only",$B$4)),SUMIFS(sum_range,site_level_range,LEFT($B$4,LEN($B$4)-10),date_range,N178,inputdata!$E:$E,"*- ED*"),SUMIFS(sum_range,site_level_range,$B$4,date_range,N178))=0,"-",IF(ISNUMBER(FIND("ED only",$B$4)),SUMIFS(sum_range,site_level_range,LEFT($B$4,LEN($B$4)-10),date_range,N178,inputdata!$E:$E,"*- ED*"),SUMIFS(sum_range,site_level_range,$B$4,date_range,N178)))</f>
        <v>133854</v>
      </c>
    </row>
    <row r="180" spans="1:14" ht="15" customHeight="1" x14ac:dyDescent="0.2">
      <c r="A180" s="132"/>
      <c r="B180" s="152" t="s">
        <v>725</v>
      </c>
      <c r="C180" s="147">
        <f ca="1">IF(AND(MONTH(C178)=3,ISNUMBER($N179),ISNUMBER($C179)),SUM($C179:C179),IF(AND(MONTH(C178)&lt;&gt;3,ISNUMBER(C179),ISNUMBER(D193)),SUM($C179:C179,D193:$N193),"-"))</f>
        <v>1631923</v>
      </c>
      <c r="D180" s="147">
        <f ca="1">IF(AND(MONTH(D178)=3,ISNUMBER($N179),ISNUMBER($C179)),SUM($C179:D179),IF(AND(MONTH(D178)&lt;&gt;3,ISNUMBER(D179),ISNUMBER(E193)),SUM($C179:D179,E193:$N193),"-"))</f>
        <v>1636760</v>
      </c>
      <c r="E180" s="147">
        <f ca="1">IF(AND(MONTH(E178)=3,ISNUMBER($N179),ISNUMBER($C179)),SUM($C179:E179),IF(AND(MONTH(E178)&lt;&gt;3,ISNUMBER(E179),ISNUMBER(F193)),SUM($C179:E179,F193:$N193),"-"))</f>
        <v>1638558</v>
      </c>
      <c r="F180" s="147">
        <f ca="1">IF(AND(MONTH(F178)=3,ISNUMBER($N179),ISNUMBER($C179)),SUM($C179:F179),IF(AND(MONTH(F178)&lt;&gt;3,ISNUMBER(F179),ISNUMBER(G193)),SUM($C179:F179,G193:$N193),"-"))</f>
        <v>1633166</v>
      </c>
      <c r="G180" s="147">
        <f ca="1">IF(AND(MONTH(G178)=3,ISNUMBER($N179),ISNUMBER($C179)),SUM($C179:G179),IF(AND(MONTH(G178)&lt;&gt;3,ISNUMBER(G179),ISNUMBER(H193)),SUM($C179:G179,H193:$N193),"-"))</f>
        <v>1638024</v>
      </c>
      <c r="H180" s="147">
        <f ca="1">IF(AND(MONTH(H178)=3,ISNUMBER($N179),ISNUMBER($C179)),SUM($C179:H179),IF(AND(MONTH(H178)&lt;&gt;3,ISNUMBER(H179),ISNUMBER(I193)),SUM($C179:H179,I193:$N193),"-"))</f>
        <v>1638606</v>
      </c>
      <c r="I180" s="147">
        <f ca="1">IF(AND(MONTH(I178)=3,ISNUMBER($N179),ISNUMBER($C179)),SUM($C179:I179),IF(AND(MONTH(I178)&lt;&gt;3,ISNUMBER(I179),ISNUMBER(J193)),SUM($C179:I179,J193:$N193),"-"))</f>
        <v>1637701</v>
      </c>
      <c r="J180" s="147">
        <f ca="1">IF(AND(MONTH(J178)=3,ISNUMBER($N179),ISNUMBER($C179)),SUM($C179:J179),IF(AND(MONTH(J178)&lt;&gt;3,ISNUMBER(J179),ISNUMBER(K193)),SUM($C179:J179,K193:$N193),"-"))</f>
        <v>1638708</v>
      </c>
      <c r="K180" s="147">
        <f ca="1">IF(AND(MONTH(K178)=3,ISNUMBER($N179),ISNUMBER($C179)),SUM($C179:K179),IF(AND(MONTH(K178)&lt;&gt;3,ISNUMBER(K179),ISNUMBER(L193)),SUM($C179:K179,L193:$N193),"-"))</f>
        <v>1641910</v>
      </c>
      <c r="L180" s="147">
        <f ca="1">IF(AND(MONTH(L178)=3,ISNUMBER($N179),ISNUMBER($C179)),SUM($C179:L179),IF(AND(MONTH(L178)&lt;&gt;3,ISNUMBER(L179),ISNUMBER(M193)),SUM($C179:L179,M193:$N193),"-"))</f>
        <v>1638568</v>
      </c>
      <c r="M180" s="147">
        <f ca="1">IF(AND(MONTH(M178)=3,ISNUMBER($N179),ISNUMBER($C179)),SUM($C179:M179),IF(AND(MONTH(M178)&lt;&gt;3,ISNUMBER(M179),ISNUMBER(N193)),SUM($C179:M179,N193:$N193),"-"))</f>
        <v>1632249</v>
      </c>
      <c r="N180" s="156">
        <f ca="1">IF(AND(MONTH(N178)=3,ISNUMBER($N179),ISNUMBER($C179)),SUM($C179:N179),IF(AND(MONTH(N178)&lt;&gt;3,ISNUMBER(N179),ISNUMBER(O193)),SUM($C179:N179,$N193:O193),"-"))</f>
        <v>1618428</v>
      </c>
    </row>
    <row r="181" spans="1:14" ht="15" customHeight="1" x14ac:dyDescent="0.2">
      <c r="A181" s="132"/>
      <c r="B181" s="154" t="s">
        <v>726</v>
      </c>
      <c r="C181" s="150">
        <f t="shared" ref="C181:N181" ca="1" si="40">IF(ISNUMBER(C180),C180/12,NA())</f>
        <v>135993.58333333334</v>
      </c>
      <c r="D181" s="150">
        <f t="shared" ca="1" si="40"/>
        <v>136396.66666666666</v>
      </c>
      <c r="E181" s="150">
        <f t="shared" ca="1" si="40"/>
        <v>136546.5</v>
      </c>
      <c r="F181" s="150">
        <f t="shared" ca="1" si="40"/>
        <v>136097.16666666666</v>
      </c>
      <c r="G181" s="150">
        <f t="shared" ca="1" si="40"/>
        <v>136502</v>
      </c>
      <c r="H181" s="150">
        <f t="shared" ca="1" si="40"/>
        <v>136550.5</v>
      </c>
      <c r="I181" s="150">
        <f t="shared" ca="1" si="40"/>
        <v>136475.08333333334</v>
      </c>
      <c r="J181" s="150">
        <f t="shared" ca="1" si="40"/>
        <v>136559</v>
      </c>
      <c r="K181" s="150">
        <f t="shared" ca="1" si="40"/>
        <v>136825.83333333334</v>
      </c>
      <c r="L181" s="150">
        <f t="shared" ca="1" si="40"/>
        <v>136547.33333333334</v>
      </c>
      <c r="M181" s="150">
        <f t="shared" ca="1" si="40"/>
        <v>136020.75</v>
      </c>
      <c r="N181" s="159">
        <f t="shared" ca="1" si="40"/>
        <v>134869</v>
      </c>
    </row>
    <row r="182" spans="1:14" ht="15" customHeight="1" x14ac:dyDescent="0.2">
      <c r="A182" s="132"/>
      <c r="B182" s="152" t="s">
        <v>727</v>
      </c>
      <c r="C182" s="147">
        <f ca="1">IF(C179="-","-",C179-IF(ISNUMBER(FIND("ED only",$B$4)),SUMIFS(sum_over_4_tot,site_level_range,LEFT($B$4,LEN($B$4)-10),date_range,C178,inputdata!$E:$E,"*- ED*"),SUMIFS(sum_over_4_tot,site_level_range,$B$4,date_range,C178)))</f>
        <v>7913</v>
      </c>
      <c r="D182" s="147">
        <f ca="1">IF(D179="-","-",D179-IF(ISNUMBER(FIND("ED only",$B$4)),SUMIFS(sum_over_4_tot,site_level_range,LEFT($B$4,LEN($B$4)-10),date_range,D178,inputdata!$E:$E,"*- ED*"),SUMIFS(sum_over_4_tot,site_level_range,$B$4,date_range,D178)))</f>
        <v>7906</v>
      </c>
      <c r="E182" s="147">
        <f ca="1">IF(E179="-","-",E179-IF(ISNUMBER(FIND("ED only",$B$4)),SUMIFS(sum_over_4_tot,site_level_range,LEFT($B$4,LEN($B$4)-10),date_range,E178,inputdata!$E:$E,"*- ED*"),SUMIFS(sum_over_4_tot,site_level_range,$B$4,date_range,E178)))</f>
        <v>6821</v>
      </c>
      <c r="F182" s="147">
        <f ca="1">IF(F179="-","-",F179-IF(ISNUMBER(FIND("ED only",$B$4)),SUMIFS(sum_over_4_tot,site_level_range,LEFT($B$4,LEN($B$4)-10),date_range,F178,inputdata!$E:$E,"*- ED*"),SUMIFS(sum_over_4_tot,site_level_range,$B$4,date_range,F178)))</f>
        <v>5154</v>
      </c>
      <c r="G182" s="147">
        <f ca="1">IF(G179="-","-",G179-IF(ISNUMBER(FIND("ED only",$B$4)),SUMIFS(sum_over_4_tot,site_level_range,LEFT($B$4,LEN($B$4)-10),date_range,G178,inputdata!$E:$E,"*- ED*"),SUMIFS(sum_over_4_tot,site_level_range,$B$4,date_range,G178)))</f>
        <v>6585</v>
      </c>
      <c r="H182" s="147">
        <f ca="1">IF(H179="-","-",H179-IF(ISNUMBER(FIND("ED only",$B$4)),SUMIFS(sum_over_4_tot,site_level_range,LEFT($B$4,LEN($B$4)-10),date_range,H178,inputdata!$E:$E,"*- ED*"),SUMIFS(sum_over_4_tot,site_level_range,$B$4,date_range,H178)))</f>
        <v>6993</v>
      </c>
      <c r="I182" s="147">
        <f ca="1">IF(I179="-","-",I179-IF(ISNUMBER(FIND("ED only",$B$4)),SUMIFS(sum_over_4_tot,site_level_range,LEFT($B$4,LEN($B$4)-10),date_range,I178,inputdata!$E:$E,"*- ED*"),SUMIFS(sum_over_4_tot,site_level_range,$B$4,date_range,I178)))</f>
        <v>7483</v>
      </c>
      <c r="J182" s="147">
        <f ca="1">IF(J179="-","-",J179-IF(ISNUMBER(FIND("ED only",$B$4)),SUMIFS(sum_over_4_tot,site_level_range,LEFT($B$4,LEN($B$4)-10),date_range,J178,inputdata!$E:$E,"*- ED*"),SUMIFS(sum_over_4_tot,site_level_range,$B$4,date_range,J178)))</f>
        <v>8392</v>
      </c>
      <c r="K182" s="147">
        <f ca="1">IF(K179="-","-",K179-IF(ISNUMBER(FIND("ED only",$B$4)),SUMIFS(sum_over_4_tot,site_level_range,LEFT($B$4,LEN($B$4)-10),date_range,K178,inputdata!$E:$E,"*- ED*"),SUMIFS(sum_over_4_tot,site_level_range,$B$4,date_range,K178)))</f>
        <v>12870</v>
      </c>
      <c r="L182" s="147">
        <f ca="1">IF(L179="-","-",L179-IF(ISNUMBER(FIND("ED only",$B$4)),SUMIFS(sum_over_4_tot,site_level_range,LEFT($B$4,LEN($B$4)-10),date_range,L178,inputdata!$E:$E,"*- ED*"),SUMIFS(sum_over_4_tot,site_level_range,$B$4,date_range,L178)))</f>
        <v>12991</v>
      </c>
      <c r="M182" s="147">
        <f ca="1">IF(M179="-","-",M179-IF(ISNUMBER(FIND("ED only",$B$4)),SUMIFS(sum_over_4_tot,site_level_range,LEFT($B$4,LEN($B$4)-10),date_range,M178,inputdata!$E:$E,"*- ED*"),SUMIFS(sum_over_4_tot,site_level_range,$B$4,date_range,M178)))</f>
        <v>9774</v>
      </c>
      <c r="N182" s="156">
        <f ca="1">IF(N179="-","-",N179-IF(ISNUMBER(FIND("ED only",$B$4)),SUMIFS(sum_over_4_tot,site_level_range,LEFT($B$4,LEN($B$4)-10),date_range,N178,inputdata!$E:$E,"*- ED*"),SUMIFS(sum_over_4_tot,site_level_range,$B$4,date_range,N178)))</f>
        <v>10878</v>
      </c>
    </row>
    <row r="183" spans="1:14" ht="15" customHeight="1" x14ac:dyDescent="0.2">
      <c r="A183" s="132"/>
      <c r="B183" s="152" t="s">
        <v>728</v>
      </c>
      <c r="C183" s="148">
        <f t="shared" ref="C183:N183" ca="1" si="41">IF(ISERROR(1-C182/C179),NA(),(1-C182/C179))</f>
        <v>0.94238260628963788</v>
      </c>
      <c r="D183" s="148">
        <f t="shared" ca="1" si="41"/>
        <v>0.94663408641416968</v>
      </c>
      <c r="E183" s="148">
        <f t="shared" ca="1" si="41"/>
        <v>0.95087539880879501</v>
      </c>
      <c r="F183" s="148">
        <f t="shared" ca="1" si="41"/>
        <v>0.96196506453541142</v>
      </c>
      <c r="G183" s="148">
        <f t="shared" ca="1" si="41"/>
        <v>0.95456583985924726</v>
      </c>
      <c r="H183" s="148">
        <f t="shared" ca="1" si="41"/>
        <v>0.94974235139388974</v>
      </c>
      <c r="I183" s="148">
        <f t="shared" ca="1" si="41"/>
        <v>0.94391563736659068</v>
      </c>
      <c r="J183" s="148">
        <f t="shared" ca="1" si="41"/>
        <v>0.93463970840213095</v>
      </c>
      <c r="K183" s="148">
        <f t="shared" ca="1" si="41"/>
        <v>0.90283345790582326</v>
      </c>
      <c r="L183" s="148">
        <f t="shared" ca="1" si="41"/>
        <v>0.89664088854942392</v>
      </c>
      <c r="M183" s="148">
        <f t="shared" ca="1" si="41"/>
        <v>0.91901767293877856</v>
      </c>
      <c r="N183" s="157">
        <f t="shared" ca="1" si="41"/>
        <v>0.91873235017257615</v>
      </c>
    </row>
    <row r="184" spans="1:14" ht="15" customHeight="1" x14ac:dyDescent="0.2">
      <c r="A184" s="132"/>
      <c r="B184" s="154" t="s">
        <v>729</v>
      </c>
      <c r="C184" s="151">
        <f ca="1">IF(ISERROR(C181),NA(),IF(AND(MONTH(C178)=3,ISNUMBER($N179),ISNUMBER($C179)),1-(SUM($C182:$N182)/SUM($C179:$N179)),IF(AND(MONTH(C178)&lt;&gt;3,ISNUMBER(C179),ISNUMBER(D193)),1-(SUM(D196:$N196,$C182:C182)/SUM($C179:C179,D193:$N193)),NA())))</f>
        <v>0.95630063428237733</v>
      </c>
      <c r="D184" s="151">
        <f ca="1">IF(ISERROR(D181),NA(),IF(AND(MONTH(D178)=3,ISNUMBER($N179),ISNUMBER($C179)),1-(SUM($C182:$N182)/SUM($C179:$N179)),IF(AND(MONTH(D178)&lt;&gt;3,ISNUMBER(D179),ISNUMBER(E193)),1-(SUM(E196:$N196,$C182:D182)/SUM($C179:D179,E193:$N193)),NA())))</f>
        <v>0.95515103008382418</v>
      </c>
      <c r="E184" s="151">
        <f ca="1">IF(ISERROR(E181),NA(),IF(AND(MONTH(E178)=3,ISNUMBER($N179),ISNUMBER($C179)),1-(SUM($C182:$N182)/SUM($C179:$N179)),IF(AND(MONTH(E178)&lt;&gt;3,ISNUMBER(E179),ISNUMBER(F193)),1-(SUM(F196:$N196,$C182:E182)/SUM($C179:E179,F193:$N193)),NA())))</f>
        <v>0.95438733325277469</v>
      </c>
      <c r="F184" s="151">
        <f ca="1">IF(ISERROR(F181),NA(),IF(AND(MONTH(F178)=3,ISNUMBER($N179),ISNUMBER($C179)),1-(SUM($C182:$N182)/SUM($C179:$N179)),IF(AND(MONTH(F178)&lt;&gt;3,ISNUMBER(F179),ISNUMBER(G193)),1-(SUM(G196:$N196,$C182:F182)/SUM($C179:F179,G193:$N193)),NA())))</f>
        <v>0.95354973101325891</v>
      </c>
      <c r="G184" s="151">
        <f ca="1">IF(ISERROR(G181),NA(),IF(AND(MONTH(G178)=3,ISNUMBER($N179),ISNUMBER($C179)),1-(SUM($C182:$N182)/SUM($C179:$N179)),IF(AND(MONTH(G178)&lt;&gt;3,ISNUMBER(G179),ISNUMBER(H193)),1-(SUM(H196:$N196,$C182:G182)/SUM($C179:G179,H193:$N193)),NA())))</f>
        <v>0.95224123700263241</v>
      </c>
      <c r="H184" s="151">
        <f ca="1">IF(ISERROR(H181),NA(),IF(AND(MONTH(H178)=3,ISNUMBER($N179),ISNUMBER($C179)),1-(SUM($C182:$N182)/SUM($C179:$N179)),IF(AND(MONTH(H178)&lt;&gt;3,ISNUMBER(H179),ISNUMBER(I193)),1-(SUM(I196:$N196,$C182:H182)/SUM($C179:H179,I193:$N193)),NA())))</f>
        <v>0.95140076381997873</v>
      </c>
      <c r="I184" s="151">
        <f ca="1">IF(ISERROR(I181),NA(),IF(AND(MONTH(I178)=3,ISNUMBER($N179),ISNUMBER($C179)),1-(SUM($C182:$N182)/SUM($C179:$N179)),IF(AND(MONTH(I178)&lt;&gt;3,ISNUMBER(I179),ISNUMBER(J193)),1-(SUM(J196:$N196,$C182:I182)/SUM($C179:I179,J193:$N193)),NA())))</f>
        <v>0.9501740549709623</v>
      </c>
      <c r="J184" s="151">
        <f ca="1">IF(ISERROR(J181),NA(),IF(AND(MONTH(J178)=3,ISNUMBER($N179),ISNUMBER($C179)),1-(SUM($C182:$N182)/SUM($C179:$N179)),IF(AND(MONTH(J178)&lt;&gt;3,ISNUMBER(J179),ISNUMBER(K193)),1-(SUM(K196:$N196,$C182:J182)/SUM($C179:J179,K193:$N193)),NA())))</f>
        <v>0.94798585226898269</v>
      </c>
      <c r="K184" s="151">
        <f ca="1">IF(ISERROR(K181),NA(),IF(AND(MONTH(K178)=3,ISNUMBER($N179),ISNUMBER($C179)),1-(SUM($C182:$N182)/SUM($C179:$N179)),IF(AND(MONTH(K178)&lt;&gt;3,ISNUMBER(K179),ISNUMBER(L193)),1-(SUM(L196:$N196,$C182:K182)/SUM($C179:K179,L193:$N193)),NA())))</f>
        <v>0.94438550225042783</v>
      </c>
      <c r="L184" s="151">
        <f ca="1">IF(ISERROR(L181),NA(),IF(AND(MONTH(L178)=3,ISNUMBER($N179),ISNUMBER($C179)),1-(SUM($C182:$N182)/SUM($C179:$N179)),IF(AND(MONTH(L178)&lt;&gt;3,ISNUMBER(L179),ISNUMBER(M193)),1-(SUM(M196:$N196,$C182:L182)/SUM($C179:L179,M193:$N193)),NA())))</f>
        <v>0.94080257883713092</v>
      </c>
      <c r="M184" s="151">
        <f ca="1">IF(ISERROR(M181),NA(),IF(AND(MONTH(M178)=3,ISNUMBER($N179),ISNUMBER($C179)),1-(SUM($C182:$N182)/SUM($C179:$N179)),IF(AND(MONTH(M178)&lt;&gt;3,ISNUMBER(M179),ISNUMBER(N193)),1-(SUM(N196:$N196,$C182:M182)/SUM($C179:M179,N193:$N193)),NA())))</f>
        <v>0.93891066865410855</v>
      </c>
      <c r="N184" s="160">
        <f ca="1">IF(ISERROR(N181),NA(),IF(AND(MONTH(N178)=3,ISNUMBER($N179),ISNUMBER($C179)),1-(SUM($C182:$N182)/SUM($C179:$N179)),IF(AND(MONTH(N178)&lt;&gt;3,ISNUMBER(N179),ISNUMBER(O193)),1-(SUM($N196:O196,$C182:N182)/SUM($C179:N179,$N193:O193)),NA())))</f>
        <v>0.93588840529204886</v>
      </c>
    </row>
    <row r="185" spans="1:14" ht="14.45" customHeight="1" x14ac:dyDescent="0.25">
      <c r="A185" s="132"/>
      <c r="B185" s="155" t="s">
        <v>730</v>
      </c>
      <c r="C185" s="127"/>
      <c r="D185" s="127"/>
      <c r="E185" s="127"/>
      <c r="F185" s="127"/>
      <c r="G185" s="127"/>
      <c r="H185" s="127"/>
      <c r="I185" s="127"/>
      <c r="J185" s="127"/>
      <c r="K185" s="127"/>
      <c r="L185" s="127"/>
      <c r="M185" s="127"/>
      <c r="N185" s="161"/>
    </row>
    <row r="186" spans="1:14" ht="15" customHeight="1" x14ac:dyDescent="0.2">
      <c r="A186" s="132"/>
      <c r="B186" s="154" t="s">
        <v>724</v>
      </c>
      <c r="C186" s="150">
        <f ca="1">IF(IF(ISNUMBER(FIND("ED only",$B$4)),SUMIFS(Sum_total_epi,site_level_range,LEFT($B$4,LEN($B$4)-10),date_range,C178,inputdata!$E:$E,"*- ED*"),SUMIFS(Sum_total_epi,site_level_range,$B$4,date_range,C178))=0,"-",IF(ISNUMBER(FIND("ED only",$B$4)),SUMIFS(Sum_total_epi,site_level_range,LEFT($B$4,LEN($B$4)-10),date_range,C178,inputdata!$E:$E,"*- ED*"),SUMIFS(Sum_total_epi,site_level_range,$B$4,date_range,C178)))</f>
        <v>129020</v>
      </c>
      <c r="D186" s="150">
        <f ca="1">IF(IF(ISNUMBER(FIND("ED only",$B$4)),SUMIFS(Sum_total_epi,site_level_range,LEFT($B$4,LEN($B$4)-10),date_range,D178,inputdata!$E:$E,"*- ED*"),SUMIFS(Sum_total_epi,site_level_range,$B$4,date_range,D178))=0,"-",IF(ISNUMBER(FIND("ED only",$B$4)),SUMIFS(Sum_total_epi,site_level_range,LEFT($B$4,LEN($B$4)-10),date_range,D178,inputdata!$E:$E,"*- ED*"),SUMIFS(Sum_total_epi,site_level_range,$B$4,date_range,D178)))</f>
        <v>138625</v>
      </c>
      <c r="E186" s="150">
        <f ca="1">IF(IF(ISNUMBER(FIND("ED only",$B$4)),SUMIFS(Sum_total_epi,site_level_range,LEFT($B$4,LEN($B$4)-10),date_range,E178,inputdata!$E:$E,"*- ED*"),SUMIFS(Sum_total_epi,site_level_range,$B$4,date_range,E178))=0,"-",IF(ISNUMBER(FIND("ED only",$B$4)),SUMIFS(Sum_total_epi,site_level_range,LEFT($B$4,LEN($B$4)-10),date_range,E178,inputdata!$E:$E,"*- ED*"),SUMIFS(Sum_total_epi,site_level_range,$B$4,date_range,E178)))</f>
        <v>129726</v>
      </c>
      <c r="F186" s="150">
        <f ca="1">IF(IF(ISNUMBER(FIND("ED only",$B$4)),SUMIFS(Sum_total_epi,site_level_range,LEFT($B$4,LEN($B$4)-10),date_range,F178,inputdata!$E:$E,"*- ED*"),SUMIFS(Sum_total_epi,site_level_range,$B$4,date_range,F178))=0,"-",IF(ISNUMBER(FIND("ED only",$B$4)),SUMIFS(Sum_total_epi,site_level_range,LEFT($B$4,LEN($B$4)-10),date_range,F178,inputdata!$E:$E,"*- ED*"),SUMIFS(Sum_total_epi,site_level_range,$B$4,date_range,F178)))</f>
        <v>126094</v>
      </c>
      <c r="G186" s="150">
        <f ca="1">IF(IF(ISNUMBER(FIND("ED only",$B$4)),SUMIFS(Sum_total_epi,site_level_range,LEFT($B$4,LEN($B$4)-10),date_range,G178,inputdata!$E:$E,"*- ED*"),SUMIFS(Sum_total_epi,site_level_range,$B$4,date_range,G178))=0,"-",IF(ISNUMBER(FIND("ED only",$B$4)),SUMIFS(Sum_total_epi,site_level_range,LEFT($B$4,LEN($B$4)-10),date_range,G178,inputdata!$E:$E,"*- ED*"),SUMIFS(Sum_total_epi,site_level_range,$B$4,date_range,G178)))</f>
        <v>134885</v>
      </c>
      <c r="H186" s="150">
        <f ca="1">IF(IF(ISNUMBER(FIND("ED only",$B$4)),SUMIFS(Sum_total_epi,site_level_range,LEFT($B$4,LEN($B$4)-10),date_range,H178,inputdata!$E:$E,"*- ED*"),SUMIFS(Sum_total_epi,site_level_range,$B$4,date_range,H178))=0,"-",IF(ISNUMBER(FIND("ED only",$B$4)),SUMIFS(Sum_total_epi,site_level_range,LEFT($B$4,LEN($B$4)-10),date_range,H178,inputdata!$E:$E,"*- ED*"),SUMIFS(Sum_total_epi,site_level_range,$B$4,date_range,H178)))</f>
        <v>129944</v>
      </c>
      <c r="I186" s="150">
        <f ca="1">IF(IF(ISNUMBER(FIND("ED only",$B$4)),SUMIFS(Sum_total_epi,site_level_range,LEFT($B$4,LEN($B$4)-10),date_range,I178,inputdata!$E:$E,"*- ED*"),SUMIFS(Sum_total_epi,site_level_range,$B$4,date_range,I178))=0,"-",IF(ISNUMBER(FIND("ED only",$B$4)),SUMIFS(Sum_total_epi,site_level_range,LEFT($B$4,LEN($B$4)-10),date_range,I178,inputdata!$E:$E,"*- ED*"),SUMIFS(Sum_total_epi,site_level_range,$B$4,date_range,I178)))</f>
        <v>125474</v>
      </c>
      <c r="J186" s="150">
        <f ca="1">IF(IF(ISNUMBER(FIND("ED only",$B$4)),SUMIFS(Sum_total_epi,site_level_range,LEFT($B$4,LEN($B$4)-10),date_range,J178,inputdata!$E:$E,"*- ED*"),SUMIFS(Sum_total_epi,site_level_range,$B$4,date_range,J178))=0,"-",IF(ISNUMBER(FIND("ED only",$B$4)),SUMIFS(Sum_total_epi,site_level_range,LEFT($B$4,LEN($B$4)-10),date_range,J178,inputdata!$E:$E,"*- ED*"),SUMIFS(Sum_total_epi,site_level_range,$B$4,date_range,J178)))</f>
        <v>120904</v>
      </c>
      <c r="K186" s="150">
        <f ca="1">IF(IF(ISNUMBER(FIND("ED only",$B$4)),SUMIFS(Sum_total_epi,site_level_range,LEFT($B$4,LEN($B$4)-10),date_range,K178,inputdata!$E:$E,"*- ED*"),SUMIFS(Sum_total_epi,site_level_range,$B$4,date_range,K178))=0,"-",IF(ISNUMBER(FIND("ED only",$B$4)),SUMIFS(Sum_total_epi,site_level_range,LEFT($B$4,LEN($B$4)-10),date_range,K178,inputdata!$E:$E,"*- ED*"),SUMIFS(Sum_total_epi,site_level_range,$B$4,date_range,K178)))</f>
        <v>124649</v>
      </c>
      <c r="L186" s="150">
        <f ca="1">IF(IF(ISNUMBER(FIND("ED only",$B$4)),SUMIFS(Sum_total_epi,site_level_range,LEFT($B$4,LEN($B$4)-10),date_range,L178,inputdata!$E:$E,"*- ED*"),SUMIFS(Sum_total_epi,site_level_range,$B$4,date_range,L178))=0,"-",IF(ISNUMBER(FIND("ED only",$B$4)),SUMIFS(Sum_total_epi,site_level_range,LEFT($B$4,LEN($B$4)-10),date_range,L178,inputdata!$E:$E,"*- ED*"),SUMIFS(Sum_total_epi,site_level_range,$B$4,date_range,L178)))</f>
        <v>118352</v>
      </c>
      <c r="M186" s="150">
        <f ca="1">IF(IF(ISNUMBER(FIND("ED only",$B$4)),SUMIFS(Sum_total_epi,site_level_range,LEFT($B$4,LEN($B$4)-10),date_range,M178,inputdata!$E:$E,"*- ED*"),SUMIFS(Sum_total_epi,site_level_range,$B$4,date_range,M178))=0,"-",IF(ISNUMBER(FIND("ED only",$B$4)),SUMIFS(Sum_total_epi,site_level_range,LEFT($B$4,LEN($B$4)-10),date_range,M178,inputdata!$E:$E,"*- ED*"),SUMIFS(Sum_total_epi,site_level_range,$B$4,date_range,M178)))</f>
        <v>113367</v>
      </c>
      <c r="N186" s="159">
        <f ca="1">IF(IF(ISNUMBER(FIND("ED only",$B$4)),SUMIFS(Sum_total_epi,site_level_range,LEFT($B$4,LEN($B$4)-10),date_range,N178,inputdata!$E:$E,"*- ED*"),SUMIFS(Sum_total_epi,site_level_range,$B$4,date_range,N178))=0,"-",IF(ISNUMBER(FIND("ED only",$B$4)),SUMIFS(Sum_total_epi,site_level_range,LEFT($B$4,LEN($B$4)-10),date_range,N178,inputdata!$E:$E,"*- ED*"),SUMIFS(Sum_total_epi,site_level_range,$B$4,date_range,N178)))</f>
        <v>125473</v>
      </c>
    </row>
    <row r="187" spans="1:14" ht="15" customHeight="1" x14ac:dyDescent="0.2">
      <c r="A187" s="132"/>
      <c r="B187" s="152" t="s">
        <v>731</v>
      </c>
      <c r="C187" s="147">
        <f ca="1">IF(C186="-","-",IF(ISNUMBER(FIND("ED only",$B$4)),SUMIFS(Sum_over_8,site_level_range,LEFT($B$4,LEN($B$4)-10),date_range,C178,inputdata!$E:$E,"*- ED*"),SUMIFS(Sum_over_8,site_level_range,$B$4,date_range,C178)))</f>
        <v>644</v>
      </c>
      <c r="D187" s="147">
        <f ca="1">IF(D186="-","-",IF(ISNUMBER(FIND("ED only",$B$4)),SUMIFS(Sum_over_8,site_level_range,LEFT($B$4,LEN($B$4)-10),date_range,D178,inputdata!$E:$E,"*- ED*"),SUMIFS(Sum_over_8,site_level_range,$B$4,date_range,D178)))</f>
        <v>459</v>
      </c>
      <c r="E187" s="147">
        <f ca="1">IF(E186="-","-",IF(ISNUMBER(FIND("ED only",$B$4)),SUMIFS(Sum_over_8,site_level_range,LEFT($B$4,LEN($B$4)-10),date_range,E178,inputdata!$E:$E,"*- ED*"),SUMIFS(Sum_over_8,site_level_range,$B$4,date_range,E178)))</f>
        <v>436</v>
      </c>
      <c r="F187" s="147">
        <f ca="1">IF(F186="-","-",IF(ISNUMBER(FIND("ED only",$B$4)),SUMIFS(Sum_over_8,site_level_range,LEFT($B$4,LEN($B$4)-10),date_range,F178,inputdata!$E:$E,"*- ED*"),SUMIFS(Sum_over_8,site_level_range,$B$4,date_range,F178)))</f>
        <v>239</v>
      </c>
      <c r="G187" s="147">
        <f ca="1">IF(G186="-","-",IF(ISNUMBER(FIND("ED only",$B$4)),SUMIFS(Sum_over_8,site_level_range,LEFT($B$4,LEN($B$4)-10),date_range,G178,inputdata!$E:$E,"*- ED*"),SUMIFS(Sum_over_8,site_level_range,$B$4,date_range,G178)))</f>
        <v>254</v>
      </c>
      <c r="H187" s="147">
        <f ca="1">IF(H186="-","-",IF(ISNUMBER(FIND("ED only",$B$4)),SUMIFS(Sum_over_8,site_level_range,LEFT($B$4,LEN($B$4)-10),date_range,H178,inputdata!$E:$E,"*- ED*"),SUMIFS(Sum_over_8,site_level_range,$B$4,date_range,H178)))</f>
        <v>447</v>
      </c>
      <c r="I187" s="147">
        <f ca="1">IF(I186="-","-",IF(ISNUMBER(FIND("ED only",$B$4)),SUMIFS(Sum_over_8,site_level_range,LEFT($B$4,LEN($B$4)-10),date_range,I178,inputdata!$E:$E,"*- ED*"),SUMIFS(Sum_over_8,site_level_range,$B$4,date_range,I178)))</f>
        <v>585</v>
      </c>
      <c r="J187" s="147">
        <f ca="1">IF(J186="-","-",IF(ISNUMBER(FIND("ED only",$B$4)),SUMIFS(Sum_over_8,site_level_range,LEFT($B$4,LEN($B$4)-10),date_range,J178,inputdata!$E:$E,"*- ED*"),SUMIFS(Sum_over_8,site_level_range,$B$4,date_range,J178)))</f>
        <v>772</v>
      </c>
      <c r="K187" s="147">
        <f ca="1">IF(K186="-","-",IF(ISNUMBER(FIND("ED only",$B$4)),SUMIFS(Sum_over_8,site_level_range,LEFT($B$4,LEN($B$4)-10),date_range,K178,inputdata!$E:$E,"*- ED*"),SUMIFS(Sum_over_8,site_level_range,$B$4,date_range,K178)))</f>
        <v>1554</v>
      </c>
      <c r="L187" s="147">
        <f ca="1">IF(L186="-","-",IF(ISNUMBER(FIND("ED only",$B$4)),SUMIFS(Sum_over_8,site_level_range,LEFT($B$4,LEN($B$4)-10),date_range,L178,inputdata!$E:$E,"*- ED*"),SUMIFS(Sum_over_8,site_level_range,$B$4,date_range,L178)))</f>
        <v>1880</v>
      </c>
      <c r="M187" s="147">
        <f ca="1">IF(M186="-","-",IF(ISNUMBER(FIND("ED only",$B$4)),SUMIFS(Sum_over_8,site_level_range,LEFT($B$4,LEN($B$4)-10),date_range,M178,inputdata!$E:$E,"*- ED*"),SUMIFS(Sum_over_8,site_level_range,$B$4,date_range,M178)))</f>
        <v>900</v>
      </c>
      <c r="N187" s="156">
        <f ca="1">IF(N186="-","-",IF(ISNUMBER(FIND("ED only",$B$4)),SUMIFS(Sum_over_8,site_level_range,LEFT($B$4,LEN($B$4)-10),date_range,N178,inputdata!$E:$E,"*- ED*"),SUMIFS(Sum_over_8,site_level_range,$B$4,date_range,N178)))</f>
        <v>878</v>
      </c>
    </row>
    <row r="188" spans="1:14" ht="15" customHeight="1" x14ac:dyDescent="0.2">
      <c r="A188" s="132"/>
      <c r="B188" s="154" t="s">
        <v>732</v>
      </c>
      <c r="C188" s="151">
        <f t="shared" ref="C188:N188" ca="1" si="42">IF(ISERROR(1-C187/C186),"-",1-C187/C186)</f>
        <v>0.99500852580995192</v>
      </c>
      <c r="D188" s="151">
        <f t="shared" ca="1" si="42"/>
        <v>0.99668890892696127</v>
      </c>
      <c r="E188" s="151">
        <f t="shared" ca="1" si="42"/>
        <v>0.99663907003993035</v>
      </c>
      <c r="F188" s="151">
        <f t="shared" ca="1" si="42"/>
        <v>0.99810458864022078</v>
      </c>
      <c r="G188" s="151">
        <f t="shared" ca="1" si="42"/>
        <v>0.99811691440857031</v>
      </c>
      <c r="H188" s="151">
        <f t="shared" ca="1" si="42"/>
        <v>0.99656005663978331</v>
      </c>
      <c r="I188" s="151">
        <f t="shared" ca="1" si="42"/>
        <v>0.995337679519263</v>
      </c>
      <c r="J188" s="151">
        <f t="shared" ca="1" si="42"/>
        <v>0.9936147687421425</v>
      </c>
      <c r="K188" s="151">
        <f t="shared" ca="1" si="42"/>
        <v>0.98753299264334249</v>
      </c>
      <c r="L188" s="151">
        <f t="shared" ca="1" si="42"/>
        <v>0.98411518183047186</v>
      </c>
      <c r="M188" s="151">
        <f t="shared" ca="1" si="42"/>
        <v>0.99206118182539893</v>
      </c>
      <c r="N188" s="160">
        <f t="shared" ca="1" si="42"/>
        <v>0.99300247862089852</v>
      </c>
    </row>
    <row r="189" spans="1:14" ht="15" customHeight="1" x14ac:dyDescent="0.2">
      <c r="A189" s="132"/>
      <c r="B189" s="152" t="s">
        <v>733</v>
      </c>
      <c r="C189" s="147">
        <f ca="1">IF(C186="-","-",IF(ISNUMBER(FIND("ED only",$B$4)),SUMIFS(Sum_over_12,site_level_range,LEFT($B$4,LEN($B$4)-10),date_range,C178,inputdata!$E:$E,"*- ED*"),SUMIFS(Sum_over_12,site_level_range,$B$4,date_range,C178)))</f>
        <v>96</v>
      </c>
      <c r="D189" s="147">
        <f ca="1">IF(D186="-","-",IF(ISNUMBER(FIND("ED only",$B$4)),SUMIFS(Sum_over_12,site_level_range,LEFT($B$4,LEN($B$4)-10),date_range,D178,inputdata!$E:$E,"*- ED*"),SUMIFS(Sum_over_12,site_level_range,$B$4,date_range,D178)))</f>
        <v>65</v>
      </c>
      <c r="E189" s="147">
        <f ca="1">IF(E186="-","-",IF(ISNUMBER(FIND("ED only",$B$4)),SUMIFS(Sum_over_12,site_level_range,LEFT($B$4,LEN($B$4)-10),date_range,E178,inputdata!$E:$E,"*- ED*"),SUMIFS(Sum_over_12,site_level_range,$B$4,date_range,E178)))</f>
        <v>50</v>
      </c>
      <c r="F189" s="147">
        <f ca="1">IF(F186="-","-",IF(ISNUMBER(FIND("ED only",$B$4)),SUMIFS(Sum_over_12,site_level_range,LEFT($B$4,LEN($B$4)-10),date_range,F178,inputdata!$E:$E,"*- ED*"),SUMIFS(Sum_over_12,site_level_range,$B$4,date_range,F178)))</f>
        <v>40</v>
      </c>
      <c r="G189" s="147">
        <f ca="1">IF(G186="-","-",IF(ISNUMBER(FIND("ED only",$B$4)),SUMIFS(Sum_over_12,site_level_range,LEFT($B$4,LEN($B$4)-10),date_range,G178,inputdata!$E:$E,"*- ED*"),SUMIFS(Sum_over_12,site_level_range,$B$4,date_range,G178)))</f>
        <v>16</v>
      </c>
      <c r="H189" s="147">
        <f ca="1">IF(H186="-","-",IF(ISNUMBER(FIND("ED only",$B$4)),SUMIFS(Sum_over_12,site_level_range,LEFT($B$4,LEN($B$4)-10),date_range,H178,inputdata!$E:$E,"*- ED*"),SUMIFS(Sum_over_12,site_level_range,$B$4,date_range,H178)))</f>
        <v>61</v>
      </c>
      <c r="I189" s="147">
        <f ca="1">IF(I186="-","-",IF(ISNUMBER(FIND("ED only",$B$4)),SUMIFS(Sum_over_12,site_level_range,LEFT($B$4,LEN($B$4)-10),date_range,I178,inputdata!$E:$E,"*- ED*"),SUMIFS(Sum_over_12,site_level_range,$B$4,date_range,I178)))</f>
        <v>98</v>
      </c>
      <c r="J189" s="147">
        <f ca="1">IF(J186="-","-",IF(ISNUMBER(FIND("ED only",$B$4)),SUMIFS(Sum_over_12,site_level_range,LEFT($B$4,LEN($B$4)-10),date_range,J178,inputdata!$E:$E,"*- ED*"),SUMIFS(Sum_over_12,site_level_range,$B$4,date_range,J178)))</f>
        <v>138</v>
      </c>
      <c r="K189" s="147">
        <f ca="1">IF(K186="-","-",IF(ISNUMBER(FIND("ED only",$B$4)),SUMIFS(Sum_over_12,site_level_range,LEFT($B$4,LEN($B$4)-10),date_range,K178,inputdata!$E:$E,"*- ED*"),SUMIFS(Sum_over_12,site_level_range,$B$4,date_range,K178)))</f>
        <v>323</v>
      </c>
      <c r="L189" s="147">
        <f ca="1">IF(L186="-","-",IF(ISNUMBER(FIND("ED only",$B$4)),SUMIFS(Sum_over_12,site_level_range,LEFT($B$4,LEN($B$4)-10),date_range,L178,inputdata!$E:$E,"*- ED*"),SUMIFS(Sum_over_12,site_level_range,$B$4,date_range,L178)))</f>
        <v>424</v>
      </c>
      <c r="M189" s="147">
        <f ca="1">IF(M186="-","-",IF(ISNUMBER(FIND("ED only",$B$4)),SUMIFS(Sum_over_12,site_level_range,LEFT($B$4,LEN($B$4)-10),date_range,M178,inputdata!$E:$E,"*- ED*"),SUMIFS(Sum_over_12,site_level_range,$B$4,date_range,M178)))</f>
        <v>89</v>
      </c>
      <c r="N189" s="156">
        <f ca="1">IF(N186="-","-",IF(ISNUMBER(FIND("ED only",$B$4)),SUMIFS(Sum_over_12,site_level_range,LEFT($B$4,LEN($B$4)-10),date_range,N178,inputdata!$E:$E,"*- ED*"),SUMIFS(Sum_over_12,site_level_range,$B$4,date_range,N178)))</f>
        <v>89</v>
      </c>
    </row>
    <row r="190" spans="1:14" ht="15" customHeight="1" x14ac:dyDescent="0.2">
      <c r="A190" s="132"/>
      <c r="B190" s="154" t="s">
        <v>734</v>
      </c>
      <c r="C190" s="151">
        <f t="shared" ref="C190:N190" ca="1" si="43">IF(ISERROR(1-C189/C186),"-",1-C189/C186)</f>
        <v>0.99925592931328477</v>
      </c>
      <c r="D190" s="151">
        <f t="shared" ca="1" si="43"/>
        <v>0.99953110910730392</v>
      </c>
      <c r="E190" s="151">
        <f t="shared" ca="1" si="43"/>
        <v>0.99961457225228556</v>
      </c>
      <c r="F190" s="151">
        <f t="shared" ca="1" si="43"/>
        <v>0.99968277634145952</v>
      </c>
      <c r="G190" s="151">
        <f t="shared" ca="1" si="43"/>
        <v>0.99988138043518549</v>
      </c>
      <c r="H190" s="151">
        <f t="shared" ca="1" si="43"/>
        <v>0.99953056701348275</v>
      </c>
      <c r="I190" s="151">
        <f t="shared" ca="1" si="43"/>
        <v>0.999218961697244</v>
      </c>
      <c r="J190" s="151">
        <f t="shared" ca="1" si="43"/>
        <v>0.99885859855753323</v>
      </c>
      <c r="K190" s="151">
        <f t="shared" ca="1" si="43"/>
        <v>0.99740872369613875</v>
      </c>
      <c r="L190" s="151">
        <f t="shared" ca="1" si="43"/>
        <v>0.99641746654048935</v>
      </c>
      <c r="M190" s="151">
        <f t="shared" ca="1" si="43"/>
        <v>0.99921493909162273</v>
      </c>
      <c r="N190" s="160">
        <f t="shared" ca="1" si="43"/>
        <v>0.99929068405154897</v>
      </c>
    </row>
    <row r="191" spans="1:14" ht="14.45" customHeight="1" x14ac:dyDescent="0.2">
      <c r="B191" s="127"/>
      <c r="C191" s="127"/>
      <c r="D191" s="127"/>
      <c r="E191" s="127"/>
      <c r="F191" s="127"/>
      <c r="G191" s="127"/>
      <c r="H191" s="127"/>
      <c r="I191" s="127"/>
      <c r="J191" s="127"/>
      <c r="K191" s="127"/>
      <c r="L191" s="127"/>
      <c r="M191" s="127"/>
      <c r="N191" s="127"/>
    </row>
    <row r="192" spans="1:14" ht="15" customHeight="1" x14ac:dyDescent="0.25">
      <c r="A192" s="132"/>
      <c r="B192" s="153" t="s">
        <v>723</v>
      </c>
      <c r="C192" s="149">
        <v>40663</v>
      </c>
      <c r="D192" s="149">
        <v>40694</v>
      </c>
      <c r="E192" s="149">
        <v>40724</v>
      </c>
      <c r="F192" s="149">
        <v>40755</v>
      </c>
      <c r="G192" s="149">
        <v>40786</v>
      </c>
      <c r="H192" s="149">
        <v>40816</v>
      </c>
      <c r="I192" s="149">
        <v>40847</v>
      </c>
      <c r="J192" s="149">
        <v>40877</v>
      </c>
      <c r="K192" s="149">
        <v>40908</v>
      </c>
      <c r="L192" s="149">
        <v>40939</v>
      </c>
      <c r="M192" s="149">
        <v>40968</v>
      </c>
      <c r="N192" s="158">
        <v>40999</v>
      </c>
    </row>
    <row r="193" spans="1:14" ht="15" customHeight="1" x14ac:dyDescent="0.2">
      <c r="A193" s="132"/>
      <c r="B193" s="152" t="s">
        <v>724</v>
      </c>
      <c r="C193" s="147">
        <f ca="1">IF(IF(ISNUMBER(FIND("ED only",$B$4)),SUMIFS(sum_range,site_level_range,LEFT($B$4,LEN($B$4)-10),date_range,C192,inputdata!$E:$E,"*- ED*"),SUMIFS(sum_range,site_level_range,$B$4,date_range,C192))=0,"-",IF(ISNUMBER(FIND("ED only",$B$4)),SUMIFS(sum_range,site_level_range,LEFT($B$4,LEN($B$4)-10),date_range,C192,inputdata!$E:$E,"*- ED*"),SUMIFS(sum_range,site_level_range,$B$4,date_range,C192)))</f>
        <v>139320</v>
      </c>
      <c r="D193" s="147">
        <f ca="1">IF(IF(ISNUMBER(FIND("ED only",$B$4)),SUMIFS(sum_range,site_level_range,LEFT($B$4,LEN($B$4)-10),date_range,D192,inputdata!$E:$E,"*- ED*"),SUMIFS(sum_range,site_level_range,$B$4,date_range,D192))=0,"-",IF(ISNUMBER(FIND("ED only",$B$4)),SUMIFS(sum_range,site_level_range,LEFT($B$4,LEN($B$4)-10),date_range,D192,inputdata!$E:$E,"*- ED*"),SUMIFS(sum_range,site_level_range,$B$4,date_range,D192)))</f>
        <v>143310</v>
      </c>
      <c r="E193" s="147">
        <f ca="1">IF(IF(ISNUMBER(FIND("ED only",$B$4)),SUMIFS(sum_range,site_level_range,LEFT($B$4,LEN($B$4)-10),date_range,E192,inputdata!$E:$E,"*- ED*"),SUMIFS(sum_range,site_level_range,$B$4,date_range,E192))=0,"-",IF(ISNUMBER(FIND("ED only",$B$4)),SUMIFS(sum_range,site_level_range,LEFT($B$4,LEN($B$4)-10),date_range,E192,inputdata!$E:$E,"*- ED*"),SUMIFS(sum_range,site_level_range,$B$4,date_range,E192)))</f>
        <v>137053</v>
      </c>
      <c r="F193" s="147">
        <f ca="1">IF(IF(ISNUMBER(FIND("ED only",$B$4)),SUMIFS(sum_range,site_level_range,LEFT($B$4,LEN($B$4)-10),date_range,F192,inputdata!$E:$E,"*- ED*"),SUMIFS(sum_range,site_level_range,$B$4,date_range,F192))=0,"-",IF(ISNUMBER(FIND("ED only",$B$4)),SUMIFS(sum_range,site_level_range,LEFT($B$4,LEN($B$4)-10),date_range,F192,inputdata!$E:$E,"*- ED*"),SUMIFS(sum_range,site_level_range,$B$4,date_range,F192)))</f>
        <v>140899</v>
      </c>
      <c r="G193" s="147">
        <f ca="1">IF(IF(ISNUMBER(FIND("ED only",$B$4)),SUMIFS(sum_range,site_level_range,LEFT($B$4,LEN($B$4)-10),date_range,G192,inputdata!$E:$E,"*- ED*"),SUMIFS(sum_range,site_level_range,$B$4,date_range,G192))=0,"-",IF(ISNUMBER(FIND("ED only",$B$4)),SUMIFS(sum_range,site_level_range,LEFT($B$4,LEN($B$4)-10),date_range,G192,inputdata!$E:$E,"*- ED*"),SUMIFS(sum_range,site_level_range,$B$4,date_range,G192)))</f>
        <v>140077</v>
      </c>
      <c r="H193" s="147">
        <f ca="1">IF(IF(ISNUMBER(FIND("ED only",$B$4)),SUMIFS(sum_range,site_level_range,LEFT($B$4,LEN($B$4)-10),date_range,H192,inputdata!$E:$E,"*- ED*"),SUMIFS(sum_range,site_level_range,$B$4,date_range,H192))=0,"-",IF(ISNUMBER(FIND("ED only",$B$4)),SUMIFS(sum_range,site_level_range,LEFT($B$4,LEN($B$4)-10),date_range,H192,inputdata!$E:$E,"*- ED*"),SUMIFS(sum_range,site_level_range,$B$4,date_range,H192)))</f>
        <v>138561</v>
      </c>
      <c r="I193" s="147">
        <f ca="1">IF(IF(ISNUMBER(FIND("ED only",$B$4)),SUMIFS(sum_range,site_level_range,LEFT($B$4,LEN($B$4)-10),date_range,I192,inputdata!$E:$E,"*- ED*"),SUMIFS(sum_range,site_level_range,$B$4,date_range,I192))=0,"-",IF(ISNUMBER(FIND("ED only",$B$4)),SUMIFS(sum_range,site_level_range,LEFT($B$4,LEN($B$4)-10),date_range,I192,inputdata!$E:$E,"*- ED*"),SUMIFS(sum_range,site_level_range,$B$4,date_range,I192)))</f>
        <v>134329</v>
      </c>
      <c r="J193" s="147">
        <f ca="1">IF(IF(ISNUMBER(FIND("ED only",$B$4)),SUMIFS(sum_range,site_level_range,LEFT($B$4,LEN($B$4)-10),date_range,J192,inputdata!$E:$E,"*- ED*"),SUMIFS(sum_range,site_level_range,$B$4,date_range,J192))=0,"-",IF(ISNUMBER(FIND("ED only",$B$4)),SUMIFS(sum_range,site_level_range,LEFT($B$4,LEN($B$4)-10),date_range,J192,inputdata!$E:$E,"*- ED*"),SUMIFS(sum_range,site_level_range,$B$4,date_range,J192)))</f>
        <v>127389</v>
      </c>
      <c r="K193" s="147">
        <f ca="1">IF(IF(ISNUMBER(FIND("ED only",$B$4)),SUMIFS(sum_range,site_level_range,LEFT($B$4,LEN($B$4)-10),date_range,K192,inputdata!$E:$E,"*- ED*"),SUMIFS(sum_range,site_level_range,$B$4,date_range,K192))=0,"-",IF(ISNUMBER(FIND("ED only",$B$4)),SUMIFS(sum_range,site_level_range,LEFT($B$4,LEN($B$4)-10),date_range,K192,inputdata!$E:$E,"*- ED*"),SUMIFS(sum_range,site_level_range,$B$4,date_range,K192)))</f>
        <v>129251</v>
      </c>
      <c r="L193" s="147">
        <f ca="1">IF(IF(ISNUMBER(FIND("ED only",$B$4)),SUMIFS(sum_range,site_level_range,LEFT($B$4,LEN($B$4)-10),date_range,L192,inputdata!$E:$E,"*- ED*"),SUMIFS(sum_range,site_level_range,$B$4,date_range,L192))=0,"-",IF(ISNUMBER(FIND("ED only",$B$4)),SUMIFS(sum_range,site_level_range,LEFT($B$4,LEN($B$4)-10),date_range,L192,inputdata!$E:$E,"*- ED*"),SUMIFS(sum_range,site_level_range,$B$4,date_range,L192)))</f>
        <v>129030</v>
      </c>
      <c r="M193" s="147">
        <f ca="1">IF(IF(ISNUMBER(FIND("ED only",$B$4)),SUMIFS(sum_range,site_level_range,LEFT($B$4,LEN($B$4)-10),date_range,M192,inputdata!$E:$E,"*- ED*"),SUMIFS(sum_range,site_level_range,$B$4,date_range,M192))=0,"-",IF(ISNUMBER(FIND("ED only",$B$4)),SUMIFS(sum_range,site_level_range,LEFT($B$4,LEN($B$4)-10),date_range,M192,inputdata!$E:$E,"*- ED*"),SUMIFS(sum_range,site_level_range,$B$4,date_range,M192)))</f>
        <v>127012</v>
      </c>
      <c r="N193" s="156">
        <f ca="1">IF(IF(ISNUMBER(FIND("ED only",$B$4)),SUMIFS(sum_range,site_level_range,LEFT($B$4,LEN($B$4)-10),date_range,N192,inputdata!$E:$E,"*- ED*"),SUMIFS(sum_range,site_level_range,$B$4,date_range,N192))=0,"-",IF(ISNUMBER(FIND("ED only",$B$4)),SUMIFS(sum_range,site_level_range,LEFT($B$4,LEN($B$4)-10),date_range,N192,inputdata!$E:$E,"*- ED*"),SUMIFS(sum_range,site_level_range,$B$4,date_range,N192)))</f>
        <v>147675</v>
      </c>
    </row>
    <row r="194" spans="1:14" ht="15" customHeight="1" x14ac:dyDescent="0.2">
      <c r="A194" s="132"/>
      <c r="B194" s="152" t="s">
        <v>725</v>
      </c>
      <c r="C194" s="147">
        <f ca="1">IF(AND(MONTH(C192)=3,ISNUMBER($N193),ISNUMBER($C193)),SUM($C193:C193),IF(AND(MONTH(C192)&lt;&gt;3,ISNUMBER(C193),ISNUMBER(D207)),SUM($C193:C193,D207:$N207),"-"))</f>
        <v>1615367</v>
      </c>
      <c r="D194" s="147">
        <f ca="1">IF(AND(MONTH(D192)=3,ISNUMBER($N193),ISNUMBER($C193)),SUM($C193:D193),IF(AND(MONTH(D192)&lt;&gt;3,ISNUMBER(D193),ISNUMBER(E207)),SUM($C193:D193,E207:$N207),"-"))</f>
        <v>1609147</v>
      </c>
      <c r="E194" s="147">
        <f ca="1">IF(AND(MONTH(E192)=3,ISNUMBER($N193),ISNUMBER($C193)),SUM($C193:E193),IF(AND(MONTH(E192)&lt;&gt;3,ISNUMBER(E193),ISNUMBER(F207)),SUM($C193:E193,F207:$N207),"-"))</f>
        <v>1603258</v>
      </c>
      <c r="F194" s="147">
        <f ca="1">IF(AND(MONTH(F192)=3,ISNUMBER($N193),ISNUMBER($C193)),SUM($C193:F193),IF(AND(MONTH(F192)&lt;&gt;3,ISNUMBER(F193),ISNUMBER(G207)),SUM($C193:F193,G207:$N207),"-"))</f>
        <v>1609575</v>
      </c>
      <c r="G194" s="147">
        <f ca="1">IF(AND(MONTH(G192)=3,ISNUMBER($N193),ISNUMBER($C193)),SUM($C193:G193),IF(AND(MONTH(G192)&lt;&gt;3,ISNUMBER(G193),ISNUMBER(H207)),SUM($C193:G193,H207:$N207),"-"))</f>
        <v>1605299</v>
      </c>
      <c r="H194" s="147">
        <f ca="1">IF(AND(MONTH(H192)=3,ISNUMBER($N193),ISNUMBER($C193)),SUM($C193:H193),IF(AND(MONTH(H192)&lt;&gt;3,ISNUMBER(H193),ISNUMBER(I207)),SUM($C193:H193,I207:$N207),"-"))</f>
        <v>1607230</v>
      </c>
      <c r="I194" s="147">
        <f ca="1">IF(AND(MONTH(I192)=3,ISNUMBER($N193),ISNUMBER($C193)),SUM($C193:I193),IF(AND(MONTH(I192)&lt;&gt;3,ISNUMBER(I193),ISNUMBER(J207)),SUM($C193:I193,J207:$N207),"-"))</f>
        <v>1609662</v>
      </c>
      <c r="J194" s="147">
        <f ca="1">IF(AND(MONTH(J192)=3,ISNUMBER($N193),ISNUMBER($C193)),SUM($C193:J193),IF(AND(MONTH(J192)&lt;&gt;3,ISNUMBER(J193),ISNUMBER(K207)),SUM($C193:J193,K207:$N207),"-"))</f>
        <v>1614032</v>
      </c>
      <c r="K194" s="147">
        <f ca="1">IF(AND(MONTH(K192)=3,ISNUMBER($N193),ISNUMBER($C193)),SUM($C193:K193),IF(AND(MONTH(K192)&lt;&gt;3,ISNUMBER(K193),ISNUMBER(L207)),SUM($C193:K193,L207:$N207),"-"))</f>
        <v>1621509</v>
      </c>
      <c r="L194" s="147">
        <f ca="1">IF(AND(MONTH(L192)=3,ISNUMBER($N193),ISNUMBER($C193)),SUM($C193:L193),IF(AND(MONTH(L192)&lt;&gt;3,ISNUMBER(L193),ISNUMBER(M207)),SUM($C193:L193,M207:$N207),"-"))</f>
        <v>1616848</v>
      </c>
      <c r="M194" s="147">
        <f ca="1">IF(AND(MONTH(M192)=3,ISNUMBER($N193),ISNUMBER($C193)),SUM($C193:M193),IF(AND(MONTH(M192)&lt;&gt;3,ISNUMBER(M193),ISNUMBER(N207)),SUM($C193:M193,N207:$N207),"-"))</f>
        <v>1624221</v>
      </c>
      <c r="N194" s="156">
        <f ca="1">IF(AND(MONTH(N192)=3,ISNUMBER($N193),ISNUMBER($C193)),SUM($C193:N193),IF(AND(MONTH(N192)&lt;&gt;3,ISNUMBER(N193),ISNUMBER(O207)),SUM($C193:N193,$N207:O207),"-"))</f>
        <v>1633906</v>
      </c>
    </row>
    <row r="195" spans="1:14" ht="15" customHeight="1" x14ac:dyDescent="0.2">
      <c r="A195" s="132"/>
      <c r="B195" s="154" t="s">
        <v>726</v>
      </c>
      <c r="C195" s="150">
        <f t="shared" ref="C195:N195" ca="1" si="44">IF(ISNUMBER(C194),C194/12,NA())</f>
        <v>134613.91666666666</v>
      </c>
      <c r="D195" s="150">
        <f t="shared" ca="1" si="44"/>
        <v>134095.58333333334</v>
      </c>
      <c r="E195" s="150">
        <f t="shared" ca="1" si="44"/>
        <v>133604.83333333334</v>
      </c>
      <c r="F195" s="150">
        <f t="shared" ca="1" si="44"/>
        <v>134131.25</v>
      </c>
      <c r="G195" s="150">
        <f t="shared" ca="1" si="44"/>
        <v>133774.91666666666</v>
      </c>
      <c r="H195" s="150">
        <f t="shared" ca="1" si="44"/>
        <v>133935.83333333334</v>
      </c>
      <c r="I195" s="150">
        <f t="shared" ca="1" si="44"/>
        <v>134138.5</v>
      </c>
      <c r="J195" s="150">
        <f t="shared" ca="1" si="44"/>
        <v>134502.66666666666</v>
      </c>
      <c r="K195" s="150">
        <f t="shared" ca="1" si="44"/>
        <v>135125.75</v>
      </c>
      <c r="L195" s="150">
        <f t="shared" ca="1" si="44"/>
        <v>134737.33333333334</v>
      </c>
      <c r="M195" s="150">
        <f t="shared" ca="1" si="44"/>
        <v>135351.75</v>
      </c>
      <c r="N195" s="159">
        <f t="shared" ca="1" si="44"/>
        <v>136158.83333333334</v>
      </c>
    </row>
    <row r="196" spans="1:14" ht="15" customHeight="1" x14ac:dyDescent="0.2">
      <c r="A196" s="132"/>
      <c r="B196" s="152" t="s">
        <v>727</v>
      </c>
      <c r="C196" s="147">
        <f ca="1">IF(C193="-","-",C193-IF(ISNUMBER(FIND("ED only",$B$4)),SUMIFS(sum_over_4_tot,site_level_range,LEFT($B$4,LEN($B$4)-10),date_range,C192,inputdata!$E:$E,"*- ED*"),SUMIFS(sum_over_4_tot,site_level_range,$B$4,date_range,C192)))</f>
        <v>5736</v>
      </c>
      <c r="D196" s="147">
        <f ca="1">IF(D193="-","-",D193-IF(ISNUMBER(FIND("ED only",$B$4)),SUMIFS(sum_over_4_tot,site_level_range,LEFT($B$4,LEN($B$4)-10),date_range,D192,inputdata!$E:$E,"*- ED*"),SUMIFS(sum_over_4_tot,site_level_range,$B$4,date_range,D192)))</f>
        <v>5813</v>
      </c>
      <c r="E196" s="147">
        <f ca="1">IF(E193="-","-",E193-IF(ISNUMBER(FIND("ED only",$B$4)),SUMIFS(sum_over_4_tot,site_level_range,LEFT($B$4,LEN($B$4)-10),date_range,E192,inputdata!$E:$E,"*- ED*"),SUMIFS(sum_over_4_tot,site_level_range,$B$4,date_range,E192)))</f>
        <v>5489</v>
      </c>
      <c r="F196" s="147">
        <f ca="1">IF(F193="-","-",F193-IF(ISNUMBER(FIND("ED only",$B$4)),SUMIFS(sum_over_4_tot,site_level_range,LEFT($B$4,LEN($B$4)-10),date_range,F192,inputdata!$E:$E,"*- ED*"),SUMIFS(sum_over_4_tot,site_level_range,$B$4,date_range,F192)))</f>
        <v>4032</v>
      </c>
      <c r="G196" s="147">
        <f ca="1">IF(G193="-","-",G193-IF(ISNUMBER(FIND("ED only",$B$4)),SUMIFS(sum_over_4_tot,site_level_range,LEFT($B$4,LEN($B$4)-10),date_range,G192,inputdata!$E:$E,"*- ED*"),SUMIFS(sum_over_4_tot,site_level_range,$B$4,date_range,G192)))</f>
        <v>4216</v>
      </c>
      <c r="H196" s="147">
        <f ca="1">IF(H193="-","-",H193-IF(ISNUMBER(FIND("ED only",$B$4)),SUMIFS(sum_over_4_tot,site_level_range,LEFT($B$4,LEN($B$4)-10),date_range,H192,inputdata!$E:$E,"*- ED*"),SUMIFS(sum_over_4_tot,site_level_range,$B$4,date_range,H192)))</f>
        <v>5588</v>
      </c>
      <c r="I196" s="147">
        <f ca="1">IF(I193="-","-",I193-IF(ISNUMBER(FIND("ED only",$B$4)),SUMIFS(sum_over_4_tot,site_level_range,LEFT($B$4,LEN($B$4)-10),date_range,I192,inputdata!$E:$E,"*- ED*"),SUMIFS(sum_over_4_tot,site_level_range,$B$4,date_range,I192)))</f>
        <v>5518</v>
      </c>
      <c r="J196" s="147">
        <f ca="1">IF(J193="-","-",J193-IF(ISNUMBER(FIND("ED only",$B$4)),SUMIFS(sum_over_4_tot,site_level_range,LEFT($B$4,LEN($B$4)-10),date_range,J192,inputdata!$E:$E,"*- ED*"),SUMIFS(sum_over_4_tot,site_level_range,$B$4,date_range,J192)))</f>
        <v>4756</v>
      </c>
      <c r="K196" s="147">
        <f ca="1">IF(K193="-","-",K193-IF(ISNUMBER(FIND("ED only",$B$4)),SUMIFS(sum_over_4_tot,site_level_range,LEFT($B$4,LEN($B$4)-10),date_range,K192,inputdata!$E:$E,"*- ED*"),SUMIFS(sum_over_4_tot,site_level_range,$B$4,date_range,K192)))</f>
        <v>6792</v>
      </c>
      <c r="L196" s="147">
        <f ca="1">IF(L193="-","-",L193-IF(ISNUMBER(FIND("ED only",$B$4)),SUMIFS(sum_over_4_tot,site_level_range,LEFT($B$4,LEN($B$4)-10),date_range,L192,inputdata!$E:$E,"*- ED*"),SUMIFS(sum_over_4_tot,site_level_range,$B$4,date_range,L192)))</f>
        <v>7306</v>
      </c>
      <c r="M196" s="147">
        <f ca="1">IF(M193="-","-",M193-IF(ISNUMBER(FIND("ED only",$B$4)),SUMIFS(sum_over_4_tot,site_level_range,LEFT($B$4,LEN($B$4)-10),date_range,M192,inputdata!$E:$E,"*- ED*"),SUMIFS(sum_over_4_tot,site_level_range,$B$4,date_range,M192)))</f>
        <v>7060</v>
      </c>
      <c r="N196" s="156">
        <f ca="1">IF(N193="-","-",N193-IF(ISNUMBER(FIND("ED only",$B$4)),SUMIFS(sum_over_4_tot,site_level_range,LEFT($B$4,LEN($B$4)-10),date_range,N192,inputdata!$E:$E,"*- ED*"),SUMIFS(sum_over_4_tot,site_level_range,$B$4,date_range,N192)))</f>
        <v>6831</v>
      </c>
    </row>
    <row r="197" spans="1:14" ht="15" customHeight="1" x14ac:dyDescent="0.2">
      <c r="A197" s="132"/>
      <c r="B197" s="152" t="s">
        <v>728</v>
      </c>
      <c r="C197" s="148">
        <f t="shared" ref="C197:N197" ca="1" si="45">IF(ISERROR(1-C196/C193),NA(),(1-C196/C193))</f>
        <v>0.95882859603789838</v>
      </c>
      <c r="D197" s="148">
        <f t="shared" ca="1" si="45"/>
        <v>0.95943758286232639</v>
      </c>
      <c r="E197" s="148">
        <f t="shared" ca="1" si="45"/>
        <v>0.95994980044216471</v>
      </c>
      <c r="F197" s="148">
        <f t="shared" ca="1" si="45"/>
        <v>0.97138375715938363</v>
      </c>
      <c r="G197" s="148">
        <f t="shared" ca="1" si="45"/>
        <v>0.96990226803829327</v>
      </c>
      <c r="H197" s="148">
        <f t="shared" ca="1" si="45"/>
        <v>0.95967119174948223</v>
      </c>
      <c r="I197" s="148">
        <f t="shared" ca="1" si="45"/>
        <v>0.95892175181829686</v>
      </c>
      <c r="J197" s="148">
        <f t="shared" ca="1" si="45"/>
        <v>0.96266553627079265</v>
      </c>
      <c r="K197" s="148">
        <f t="shared" ca="1" si="45"/>
        <v>0.94745108355061081</v>
      </c>
      <c r="L197" s="148">
        <f t="shared" ca="1" si="45"/>
        <v>0.94337750910640938</v>
      </c>
      <c r="M197" s="148">
        <f t="shared" ca="1" si="45"/>
        <v>0.9444147009731364</v>
      </c>
      <c r="N197" s="157">
        <f t="shared" ca="1" si="45"/>
        <v>0.95374301675977657</v>
      </c>
    </row>
    <row r="198" spans="1:14" ht="15" customHeight="1" x14ac:dyDescent="0.2">
      <c r="A198" s="132"/>
      <c r="B198" s="154" t="s">
        <v>729</v>
      </c>
      <c r="C198" s="151">
        <f ca="1">IF(ISERROR(C195),NA(),IF(AND(MONTH(C192)=3,ISNUMBER($N193),ISNUMBER($C193)),1-(SUM($C196:$N196)/SUM($C193:$N193)),IF(AND(MONTH(C192)&lt;&gt;3,ISNUMBER(C193),ISNUMBER(D207)),1-(SUM(D210:$N210,$C196:C196)/SUM($C193:C193,D207:$N207)),NA())))</f>
        <v>0.96221168316549743</v>
      </c>
      <c r="D198" s="151">
        <f ca="1">IF(ISERROR(D195),NA(),IF(AND(MONTH(D192)=3,ISNUMBER($N193),ISNUMBER($C193)),1-(SUM($C196:$N196)/SUM($C193:$N193)),IF(AND(MONTH(D192)&lt;&gt;3,ISNUMBER(D193),ISNUMBER(E207)),1-(SUM(E210:$N210,$C196:D196)/SUM($C193:D193,E207:$N207)),NA())))</f>
        <v>0.96102220617507284</v>
      </c>
      <c r="E198" s="151">
        <f ca="1">IF(ISERROR(E195),NA(),IF(AND(MONTH(E192)=3,ISNUMBER($N193),ISNUMBER($C193)),1-(SUM($C196:$N196)/SUM($C193:$N193)),IF(AND(MONTH(E192)&lt;&gt;3,ISNUMBER(E193),ISNUMBER(F207)),1-(SUM(F210:$N210,$C196:E196)/SUM($C193:E193,F207:$N207)),NA())))</f>
        <v>0.9597750330888728</v>
      </c>
      <c r="F198" s="151">
        <f ca="1">IF(ISERROR(F195),NA(),IF(AND(MONTH(F192)=3,ISNUMBER($N193),ISNUMBER($C193)),1-(SUM($C196:$N196)/SUM($C193:$N193)),IF(AND(MONTH(F192)&lt;&gt;3,ISNUMBER(F193),ISNUMBER(G207)),1-(SUM(G210:$N210,$C196:F196)/SUM($C193:F193,G207:$N207)),NA())))</f>
        <v>0.95921532081450067</v>
      </c>
      <c r="G198" s="151">
        <f ca="1">IF(ISERROR(G195),NA(),IF(AND(MONTH(G192)=3,ISNUMBER($N193),ISNUMBER($C193)),1-(SUM($C196:$N196)/SUM($C193:$N193)),IF(AND(MONTH(G192)&lt;&gt;3,ISNUMBER(G193),ISNUMBER(H207)),1-(SUM(H210:$N210,$C196:G196)/SUM($C193:G193,H207:$N207)),NA())))</f>
        <v>0.95921382870107064</v>
      </c>
      <c r="H198" s="151">
        <f ca="1">IF(ISERROR(H195),NA(),IF(AND(MONTH(H192)=3,ISNUMBER($N193),ISNUMBER($C193)),1-(SUM($C196:$N196)/SUM($C193:$N193)),IF(AND(MONTH(H192)&lt;&gt;3,ISNUMBER(H193),ISNUMBER(I207)),1-(SUM(I210:$N210,$C196:H196)/SUM($C193:H193,I207:$N207)),NA())))</f>
        <v>0.95823808664596855</v>
      </c>
      <c r="I198" s="151">
        <f ca="1">IF(ISERROR(I195),NA(),IF(AND(MONTH(I192)=3,ISNUMBER($N193),ISNUMBER($C193)),1-(SUM($C196:$N196)/SUM($C193:$N193)),IF(AND(MONTH(I192)&lt;&gt;3,ISNUMBER(I193),ISNUMBER(J207)),1-(SUM(J210:$N210,$C196:I196)/SUM($C193:I193,J207:$N207)),NA())))</f>
        <v>0.95752586567863318</v>
      </c>
      <c r="J198" s="151">
        <f ca="1">IF(ISERROR(J195),NA(),IF(AND(MONTH(J192)=3,ISNUMBER($N193),ISNUMBER($C193)),1-(SUM($C196:$N196)/SUM($C193:$N193)),IF(AND(MONTH(J192)&lt;&gt;3,ISNUMBER(J193),ISNUMBER(K207)),1-(SUM(K210:$N210,$C196:J196)/SUM($C193:J193,K207:$N207)),NA())))</f>
        <v>0.957637766785293</v>
      </c>
      <c r="K198" s="151">
        <f ca="1">IF(ISERROR(K195),NA(),IF(AND(MONTH(K192)=3,ISNUMBER($N193),ISNUMBER($C193)),1-(SUM($C196:$N196)/SUM($C193:$N193)),IF(AND(MONTH(K192)&lt;&gt;3,ISNUMBER(K193),ISNUMBER(L207)),1-(SUM(L210:$N210,$C196:K196)/SUM($C193:K193,L207:$N207)),NA())))</f>
        <v>0.95752536680339118</v>
      </c>
      <c r="L198" s="151">
        <f ca="1">IF(ISERROR(L195),NA(),IF(AND(MONTH(L192)=3,ISNUMBER($N193),ISNUMBER($C193)),1-(SUM($C196:$N196)/SUM($C193:$N193)),IF(AND(MONTH(L192)&lt;&gt;3,ISNUMBER(L193),ISNUMBER(M207)),1-(SUM(M210:$N210,$C196:L196)/SUM($C193:L193,M207:$N207)),NA())))</f>
        <v>0.95813335576380709</v>
      </c>
      <c r="M198" s="151">
        <f ca="1">IF(ISERROR(M195),NA(),IF(AND(MONTH(M192)=3,ISNUMBER($N193),ISNUMBER($C193)),1-(SUM($C196:$N196)/SUM($C193:$N193)),IF(AND(MONTH(M192)&lt;&gt;3,ISNUMBER(M193),ISNUMBER(N207)),1-(SUM(N210:$N210,$C196:M196)/SUM($C193:M193,N207:$N207)),NA())))</f>
        <v>0.95768556126290694</v>
      </c>
      <c r="N198" s="160">
        <f ca="1">IF(ISERROR(N195),NA(),IF(AND(MONTH(N192)=3,ISNUMBER($N193),ISNUMBER($C193)),1-(SUM($C196:$N196)/SUM($C193:$N193)),IF(AND(MONTH(N192)&lt;&gt;3,ISNUMBER(N193),ISNUMBER(O207)),1-(SUM($N210:O210,$C196:N196)/SUM($C193:N193,$N207:O207)),NA())))</f>
        <v>0.95768606027519332</v>
      </c>
    </row>
    <row r="199" spans="1:14" ht="14.45" customHeight="1" x14ac:dyDescent="0.25">
      <c r="A199" s="132"/>
      <c r="B199" s="155" t="s">
        <v>730</v>
      </c>
      <c r="C199" s="127"/>
      <c r="D199" s="127"/>
      <c r="E199" s="127"/>
      <c r="F199" s="127"/>
      <c r="G199" s="127"/>
      <c r="H199" s="127"/>
      <c r="I199" s="127"/>
      <c r="J199" s="127"/>
      <c r="K199" s="127"/>
      <c r="L199" s="127"/>
      <c r="M199" s="127"/>
      <c r="N199" s="161"/>
    </row>
    <row r="200" spans="1:14" ht="15" customHeight="1" x14ac:dyDescent="0.2">
      <c r="A200" s="132"/>
      <c r="B200" s="154" t="s">
        <v>724</v>
      </c>
      <c r="C200" s="150">
        <f ca="1">IF(IF(ISNUMBER(FIND("ED only",$B$4)),SUMIFS(Sum_total_epi,site_level_range,LEFT($B$4,LEN($B$4)-10),date_range,C192,inputdata!$E:$E,"*- ED*"),SUMIFS(Sum_total_epi,site_level_range,$B$4,date_range,C192))=0,"-",IF(ISNUMBER(FIND("ED only",$B$4)),SUMIFS(Sum_total_epi,site_level_range,LEFT($B$4,LEN($B$4)-10),date_range,C192,inputdata!$E:$E,"*- ED*"),SUMIFS(Sum_total_epi,site_level_range,$B$4,date_range,C192)))</f>
        <v>129509</v>
      </c>
      <c r="D200" s="150">
        <f ca="1">IF(IF(ISNUMBER(FIND("ED only",$B$4)),SUMIFS(Sum_total_epi,site_level_range,LEFT($B$4,LEN($B$4)-10),date_range,D192,inputdata!$E:$E,"*- ED*"),SUMIFS(Sum_total_epi,site_level_range,$B$4,date_range,D192))=0,"-",IF(ISNUMBER(FIND("ED only",$B$4)),SUMIFS(Sum_total_epi,site_level_range,LEFT($B$4,LEN($B$4)-10),date_range,D192,inputdata!$E:$E,"*- ED*"),SUMIFS(Sum_total_epi,site_level_range,$B$4,date_range,D192)))</f>
        <v>133613</v>
      </c>
      <c r="E200" s="150">
        <f ca="1">IF(IF(ISNUMBER(FIND("ED only",$B$4)),SUMIFS(Sum_total_epi,site_level_range,LEFT($B$4,LEN($B$4)-10),date_range,E192,inputdata!$E:$E,"*- ED*"),SUMIFS(Sum_total_epi,site_level_range,$B$4,date_range,E192))=0,"-",IF(ISNUMBER(FIND("ED only",$B$4)),SUMIFS(Sum_total_epi,site_level_range,LEFT($B$4,LEN($B$4)-10),date_range,E192,inputdata!$E:$E,"*- ED*"),SUMIFS(Sum_total_epi,site_level_range,$B$4,date_range,E192)))</f>
        <v>127759</v>
      </c>
      <c r="F200" s="150">
        <f ca="1">IF(IF(ISNUMBER(FIND("ED only",$B$4)),SUMIFS(Sum_total_epi,site_level_range,LEFT($B$4,LEN($B$4)-10),date_range,F192,inputdata!$E:$E,"*- ED*"),SUMIFS(Sum_total_epi,site_level_range,$B$4,date_range,F192))=0,"-",IF(ISNUMBER(FIND("ED only",$B$4)),SUMIFS(Sum_total_epi,site_level_range,LEFT($B$4,LEN($B$4)-10),date_range,F192,inputdata!$E:$E,"*- ED*"),SUMIFS(Sum_total_epi,site_level_range,$B$4,date_range,F192)))</f>
        <v>130290</v>
      </c>
      <c r="G200" s="150">
        <f ca="1">IF(IF(ISNUMBER(FIND("ED only",$B$4)),SUMIFS(Sum_total_epi,site_level_range,LEFT($B$4,LEN($B$4)-10),date_range,G192,inputdata!$E:$E,"*- ED*"),SUMIFS(Sum_total_epi,site_level_range,$B$4,date_range,G192))=0,"-",IF(ISNUMBER(FIND("ED only",$B$4)),SUMIFS(Sum_total_epi,site_level_range,LEFT($B$4,LEN($B$4)-10),date_range,G192,inputdata!$E:$E,"*- ED*"),SUMIFS(Sum_total_epi,site_level_range,$B$4,date_range,G192)))</f>
        <v>130117</v>
      </c>
      <c r="H200" s="150">
        <f ca="1">IF(IF(ISNUMBER(FIND("ED only",$B$4)),SUMIFS(Sum_total_epi,site_level_range,LEFT($B$4,LEN($B$4)-10),date_range,H192,inputdata!$E:$E,"*- ED*"),SUMIFS(Sum_total_epi,site_level_range,$B$4,date_range,H192))=0,"-",IF(ISNUMBER(FIND("ED only",$B$4)),SUMIFS(Sum_total_epi,site_level_range,LEFT($B$4,LEN($B$4)-10),date_range,H192,inputdata!$E:$E,"*- ED*"),SUMIFS(Sum_total_epi,site_level_range,$B$4,date_range,H192)))</f>
        <v>128413</v>
      </c>
      <c r="I200" s="150">
        <f ca="1">IF(IF(ISNUMBER(FIND("ED only",$B$4)),SUMIFS(Sum_total_epi,site_level_range,LEFT($B$4,LEN($B$4)-10),date_range,I192,inputdata!$E:$E,"*- ED*"),SUMIFS(Sum_total_epi,site_level_range,$B$4,date_range,I192))=0,"-",IF(ISNUMBER(FIND("ED only",$B$4)),SUMIFS(Sum_total_epi,site_level_range,LEFT($B$4,LEN($B$4)-10),date_range,I192,inputdata!$E:$E,"*- ED*"),SUMIFS(Sum_total_epi,site_level_range,$B$4,date_range,I192)))</f>
        <v>125805</v>
      </c>
      <c r="J200" s="150">
        <f ca="1">IF(IF(ISNUMBER(FIND("ED only",$B$4)),SUMIFS(Sum_total_epi,site_level_range,LEFT($B$4,LEN($B$4)-10),date_range,J192,inputdata!$E:$E,"*- ED*"),SUMIFS(Sum_total_epi,site_level_range,$B$4,date_range,J192))=0,"-",IF(ISNUMBER(FIND("ED only",$B$4)),SUMIFS(Sum_total_epi,site_level_range,LEFT($B$4,LEN($B$4)-10),date_range,J192,inputdata!$E:$E,"*- ED*"),SUMIFS(Sum_total_epi,site_level_range,$B$4,date_range,J192)))</f>
        <v>119365</v>
      </c>
      <c r="K200" s="150">
        <f ca="1">IF(IF(ISNUMBER(FIND("ED only",$B$4)),SUMIFS(Sum_total_epi,site_level_range,LEFT($B$4,LEN($B$4)-10),date_range,K192,inputdata!$E:$E,"*- ED*"),SUMIFS(Sum_total_epi,site_level_range,$B$4,date_range,K192))=0,"-",IF(ISNUMBER(FIND("ED only",$B$4)),SUMIFS(Sum_total_epi,site_level_range,LEFT($B$4,LEN($B$4)-10),date_range,K192,inputdata!$E:$E,"*- ED*"),SUMIFS(Sum_total_epi,site_level_range,$B$4,date_range,K192)))</f>
        <v>121105</v>
      </c>
      <c r="L200" s="150">
        <f ca="1">IF(IF(ISNUMBER(FIND("ED only",$B$4)),SUMIFS(Sum_total_epi,site_level_range,LEFT($B$4,LEN($B$4)-10),date_range,L192,inputdata!$E:$E,"*- ED*"),SUMIFS(Sum_total_epi,site_level_range,$B$4,date_range,L192))=0,"-",IF(ISNUMBER(FIND("ED only",$B$4)),SUMIFS(Sum_total_epi,site_level_range,LEFT($B$4,LEN($B$4)-10),date_range,L192,inputdata!$E:$E,"*- ED*"),SUMIFS(Sum_total_epi,site_level_range,$B$4,date_range,L192)))</f>
        <v>121379</v>
      </c>
      <c r="M200" s="150">
        <f ca="1">IF(IF(ISNUMBER(FIND("ED only",$B$4)),SUMIFS(Sum_total_epi,site_level_range,LEFT($B$4,LEN($B$4)-10),date_range,M192,inputdata!$E:$E,"*- ED*"),SUMIFS(Sum_total_epi,site_level_range,$B$4,date_range,M192))=0,"-",IF(ISNUMBER(FIND("ED only",$B$4)),SUMIFS(Sum_total_epi,site_level_range,LEFT($B$4,LEN($B$4)-10),date_range,M192,inputdata!$E:$E,"*- ED*"),SUMIFS(Sum_total_epi,site_level_range,$B$4,date_range,M192)))</f>
        <v>119293</v>
      </c>
      <c r="N200" s="159">
        <f ca="1">IF(IF(ISNUMBER(FIND("ED only",$B$4)),SUMIFS(Sum_total_epi,site_level_range,LEFT($B$4,LEN($B$4)-10),date_range,N192,inputdata!$E:$E,"*- ED*"),SUMIFS(Sum_total_epi,site_level_range,$B$4,date_range,N192))=0,"-",IF(ISNUMBER(FIND("ED only",$B$4)),SUMIFS(Sum_total_epi,site_level_range,LEFT($B$4,LEN($B$4)-10),date_range,N192,inputdata!$E:$E,"*- ED*"),SUMIFS(Sum_total_epi,site_level_range,$B$4,date_range,N192)))</f>
        <v>138362</v>
      </c>
    </row>
    <row r="201" spans="1:14" ht="15" customHeight="1" x14ac:dyDescent="0.2">
      <c r="A201" s="132"/>
      <c r="B201" s="152" t="s">
        <v>731</v>
      </c>
      <c r="C201" s="147">
        <f ca="1">IF(C200="-","-",IF(ISNUMBER(FIND("ED only",$B$4)),SUMIFS(Sum_over_8,site_level_range,LEFT($B$4,LEN($B$4)-10),date_range,C192,inputdata!$E:$E,"*- ED*"),SUMIFS(Sum_over_8,site_level_range,$B$4,date_range,C192)))</f>
        <v>404</v>
      </c>
      <c r="D201" s="147">
        <f ca="1">IF(D200="-","-",IF(ISNUMBER(FIND("ED only",$B$4)),SUMIFS(Sum_over_8,site_level_range,LEFT($B$4,LEN($B$4)-10),date_range,D192,inputdata!$E:$E,"*- ED*"),SUMIFS(Sum_over_8,site_level_range,$B$4,date_range,D192)))</f>
        <v>464</v>
      </c>
      <c r="E201" s="147">
        <f ca="1">IF(E200="-","-",IF(ISNUMBER(FIND("ED only",$B$4)),SUMIFS(Sum_over_8,site_level_range,LEFT($B$4,LEN($B$4)-10),date_range,E192,inputdata!$E:$E,"*- ED*"),SUMIFS(Sum_over_8,site_level_range,$B$4,date_range,E192)))</f>
        <v>293</v>
      </c>
      <c r="F201" s="147">
        <f ca="1">IF(F200="-","-",IF(ISNUMBER(FIND("ED only",$B$4)),SUMIFS(Sum_over_8,site_level_range,LEFT($B$4,LEN($B$4)-10),date_range,F192,inputdata!$E:$E,"*- ED*"),SUMIFS(Sum_over_8,site_level_range,$B$4,date_range,F192)))</f>
        <v>150</v>
      </c>
      <c r="G201" s="147">
        <f ca="1">IF(G200="-","-",IF(ISNUMBER(FIND("ED only",$B$4)),SUMIFS(Sum_over_8,site_level_range,LEFT($B$4,LEN($B$4)-10),date_range,G192,inputdata!$E:$E,"*- ED*"),SUMIFS(Sum_over_8,site_level_range,$B$4,date_range,G192)))</f>
        <v>154</v>
      </c>
      <c r="H201" s="147">
        <f ca="1">IF(H200="-","-",IF(ISNUMBER(FIND("ED only",$B$4)),SUMIFS(Sum_over_8,site_level_range,LEFT($B$4,LEN($B$4)-10),date_range,H192,inputdata!$E:$E,"*- ED*"),SUMIFS(Sum_over_8,site_level_range,$B$4,date_range,H192)))</f>
        <v>296</v>
      </c>
      <c r="I201" s="147">
        <f ca="1">IF(I200="-","-",IF(ISNUMBER(FIND("ED only",$B$4)),SUMIFS(Sum_over_8,site_level_range,LEFT($B$4,LEN($B$4)-10),date_range,I192,inputdata!$E:$E,"*- ED*"),SUMIFS(Sum_over_8,site_level_range,$B$4,date_range,I192)))</f>
        <v>365</v>
      </c>
      <c r="J201" s="147">
        <f ca="1">IF(J200="-","-",IF(ISNUMBER(FIND("ED only",$B$4)),SUMIFS(Sum_over_8,site_level_range,LEFT($B$4,LEN($B$4)-10),date_range,J192,inputdata!$E:$E,"*- ED*"),SUMIFS(Sum_over_8,site_level_range,$B$4,date_range,J192)))</f>
        <v>330</v>
      </c>
      <c r="K201" s="147">
        <f ca="1">IF(K200="-","-",IF(ISNUMBER(FIND("ED only",$B$4)),SUMIFS(Sum_over_8,site_level_range,LEFT($B$4,LEN($B$4)-10),date_range,K192,inputdata!$E:$E,"*- ED*"),SUMIFS(Sum_over_8,site_level_range,$B$4,date_range,K192)))</f>
        <v>618</v>
      </c>
      <c r="L201" s="147">
        <f ca="1">IF(L200="-","-",IF(ISNUMBER(FIND("ED only",$B$4)),SUMIFS(Sum_over_8,site_level_range,LEFT($B$4,LEN($B$4)-10),date_range,L192,inputdata!$E:$E,"*- ED*"),SUMIFS(Sum_over_8,site_level_range,$B$4,date_range,L192)))</f>
        <v>682</v>
      </c>
      <c r="M201" s="147">
        <f ca="1">IF(M200="-","-",IF(ISNUMBER(FIND("ED only",$B$4)),SUMIFS(Sum_over_8,site_level_range,LEFT($B$4,LEN($B$4)-10),date_range,M192,inputdata!$E:$E,"*- ED*"),SUMIFS(Sum_over_8,site_level_range,$B$4,date_range,M192)))</f>
        <v>753</v>
      </c>
      <c r="N201" s="156">
        <f ca="1">IF(N200="-","-",IF(ISNUMBER(FIND("ED only",$B$4)),SUMIFS(Sum_over_8,site_level_range,LEFT($B$4,LEN($B$4)-10),date_range,N192,inputdata!$E:$E,"*- ED*"),SUMIFS(Sum_over_8,site_level_range,$B$4,date_range,N192)))</f>
        <v>389</v>
      </c>
    </row>
    <row r="202" spans="1:14" ht="15" customHeight="1" x14ac:dyDescent="0.2">
      <c r="A202" s="132"/>
      <c r="B202" s="154" t="s">
        <v>732</v>
      </c>
      <c r="C202" s="151">
        <f t="shared" ref="C202:N202" ca="1" si="46">IF(ISERROR(1-C201/C200),"-",1-C201/C200)</f>
        <v>0.99688052567775209</v>
      </c>
      <c r="D202" s="151">
        <f t="shared" ca="1" si="46"/>
        <v>0.99652728402176438</v>
      </c>
      <c r="E202" s="151">
        <f t="shared" ca="1" si="46"/>
        <v>0.997706619494517</v>
      </c>
      <c r="F202" s="151">
        <f t="shared" ca="1" si="46"/>
        <v>0.99884872208151043</v>
      </c>
      <c r="G202" s="151">
        <f t="shared" ca="1" si="46"/>
        <v>0.99881644981055506</v>
      </c>
      <c r="H202" s="151">
        <f t="shared" ca="1" si="46"/>
        <v>0.9976949374284535</v>
      </c>
      <c r="I202" s="151">
        <f t="shared" ca="1" si="46"/>
        <v>0.99709868447200034</v>
      </c>
      <c r="J202" s="151">
        <f t="shared" ca="1" si="46"/>
        <v>0.99723537050224098</v>
      </c>
      <c r="K202" s="151">
        <f t="shared" ca="1" si="46"/>
        <v>0.99489699021510258</v>
      </c>
      <c r="L202" s="151">
        <f t="shared" ca="1" si="46"/>
        <v>0.99438123563384107</v>
      </c>
      <c r="M202" s="151">
        <f t="shared" ca="1" si="46"/>
        <v>0.99368781068461687</v>
      </c>
      <c r="N202" s="160">
        <f t="shared" ca="1" si="46"/>
        <v>0.99718853442419164</v>
      </c>
    </row>
    <row r="203" spans="1:14" ht="15" customHeight="1" x14ac:dyDescent="0.2">
      <c r="A203" s="132"/>
      <c r="B203" s="152" t="s">
        <v>733</v>
      </c>
      <c r="C203" s="147">
        <f ca="1">IF(C200="-","-",IF(ISNUMBER(FIND("ED only",$B$4)),SUMIFS(Sum_over_12,site_level_range,LEFT($B$4,LEN($B$4)-10),date_range,C192,inputdata!$E:$E,"*- ED*"),SUMIFS(Sum_over_12,site_level_range,$B$4,date_range,C192)))</f>
        <v>71</v>
      </c>
      <c r="D203" s="147">
        <f ca="1">IF(D200="-","-",IF(ISNUMBER(FIND("ED only",$B$4)),SUMIFS(Sum_over_12,site_level_range,LEFT($B$4,LEN($B$4)-10),date_range,D192,inputdata!$E:$E,"*- ED*"),SUMIFS(Sum_over_12,site_level_range,$B$4,date_range,D192)))</f>
        <v>119</v>
      </c>
      <c r="E203" s="147">
        <f ca="1">IF(E200="-","-",IF(ISNUMBER(FIND("ED only",$B$4)),SUMIFS(Sum_over_12,site_level_range,LEFT($B$4,LEN($B$4)-10),date_range,E192,inputdata!$E:$E,"*- ED*"),SUMIFS(Sum_over_12,site_level_range,$B$4,date_range,E192)))</f>
        <v>38</v>
      </c>
      <c r="F203" s="147">
        <f ca="1">IF(F200="-","-",IF(ISNUMBER(FIND("ED only",$B$4)),SUMIFS(Sum_over_12,site_level_range,LEFT($B$4,LEN($B$4)-10),date_range,F192,inputdata!$E:$E,"*- ED*"),SUMIFS(Sum_over_12,site_level_range,$B$4,date_range,F192)))</f>
        <v>22</v>
      </c>
      <c r="G203" s="147">
        <f ca="1">IF(G200="-","-",IF(ISNUMBER(FIND("ED only",$B$4)),SUMIFS(Sum_over_12,site_level_range,LEFT($B$4,LEN($B$4)-10),date_range,G192,inputdata!$E:$E,"*- ED*"),SUMIFS(Sum_over_12,site_level_range,$B$4,date_range,G192)))</f>
        <v>19</v>
      </c>
      <c r="H203" s="147">
        <f ca="1">IF(H200="-","-",IF(ISNUMBER(FIND("ED only",$B$4)),SUMIFS(Sum_over_12,site_level_range,LEFT($B$4,LEN($B$4)-10),date_range,H192,inputdata!$E:$E,"*- ED*"),SUMIFS(Sum_over_12,site_level_range,$B$4,date_range,H192)))</f>
        <v>39</v>
      </c>
      <c r="I203" s="147">
        <f ca="1">IF(I200="-","-",IF(ISNUMBER(FIND("ED only",$B$4)),SUMIFS(Sum_over_12,site_level_range,LEFT($B$4,LEN($B$4)-10),date_range,I192,inputdata!$E:$E,"*- ED*"),SUMIFS(Sum_over_12,site_level_range,$B$4,date_range,I192)))</f>
        <v>49</v>
      </c>
      <c r="J203" s="147">
        <f ca="1">IF(J200="-","-",IF(ISNUMBER(FIND("ED only",$B$4)),SUMIFS(Sum_over_12,site_level_range,LEFT($B$4,LEN($B$4)-10),date_range,J192,inputdata!$E:$E,"*- ED*"),SUMIFS(Sum_over_12,site_level_range,$B$4,date_range,J192)))</f>
        <v>47</v>
      </c>
      <c r="K203" s="147">
        <f ca="1">IF(K200="-","-",IF(ISNUMBER(FIND("ED only",$B$4)),SUMIFS(Sum_over_12,site_level_range,LEFT($B$4,LEN($B$4)-10),date_range,K192,inputdata!$E:$E,"*- ED*"),SUMIFS(Sum_over_12,site_level_range,$B$4,date_range,K192)))</f>
        <v>78</v>
      </c>
      <c r="L203" s="147">
        <f ca="1">IF(L200="-","-",IF(ISNUMBER(FIND("ED only",$B$4)),SUMIFS(Sum_over_12,site_level_range,LEFT($B$4,LEN($B$4)-10),date_range,L192,inputdata!$E:$E,"*- ED*"),SUMIFS(Sum_over_12,site_level_range,$B$4,date_range,L192)))</f>
        <v>128</v>
      </c>
      <c r="M203" s="147">
        <f ca="1">IF(M200="-","-",IF(ISNUMBER(FIND("ED only",$B$4)),SUMIFS(Sum_over_12,site_level_range,LEFT($B$4,LEN($B$4)-10),date_range,M192,inputdata!$E:$E,"*- ED*"),SUMIFS(Sum_over_12,site_level_range,$B$4,date_range,M192)))</f>
        <v>106</v>
      </c>
      <c r="N203" s="156">
        <f ca="1">IF(N200="-","-",IF(ISNUMBER(FIND("ED only",$B$4)),SUMIFS(Sum_over_12,site_level_range,LEFT($B$4,LEN($B$4)-10),date_range,N192,inputdata!$E:$E,"*- ED*"),SUMIFS(Sum_over_12,site_level_range,$B$4,date_range,N192)))</f>
        <v>38</v>
      </c>
    </row>
    <row r="204" spans="1:14" ht="15" customHeight="1" x14ac:dyDescent="0.2">
      <c r="A204" s="132"/>
      <c r="B204" s="154" t="s">
        <v>734</v>
      </c>
      <c r="C204" s="151">
        <f t="shared" ref="C204:N204" ca="1" si="47">IF(ISERROR(1-C203/C200),"-",1-C203/C200)</f>
        <v>0.99945177555227827</v>
      </c>
      <c r="D204" s="151">
        <f t="shared" ca="1" si="47"/>
        <v>0.9991093681004094</v>
      </c>
      <c r="E204" s="151">
        <f t="shared" ca="1" si="47"/>
        <v>0.99970256498563703</v>
      </c>
      <c r="F204" s="151">
        <f t="shared" ca="1" si="47"/>
        <v>0.99983114590528821</v>
      </c>
      <c r="G204" s="151">
        <f t="shared" ca="1" si="47"/>
        <v>0.9998539775740295</v>
      </c>
      <c r="H204" s="151">
        <f t="shared" ca="1" si="47"/>
        <v>0.99969629243145164</v>
      </c>
      <c r="I204" s="151">
        <f t="shared" ca="1" si="47"/>
        <v>0.9996105083263781</v>
      </c>
      <c r="J204" s="151">
        <f t="shared" ca="1" si="47"/>
        <v>0.999606249738198</v>
      </c>
      <c r="K204" s="151">
        <f t="shared" ca="1" si="47"/>
        <v>0.99935593080384788</v>
      </c>
      <c r="L204" s="151">
        <f t="shared" ca="1" si="47"/>
        <v>0.99894545184916661</v>
      </c>
      <c r="M204" s="151">
        <f t="shared" ca="1" si="47"/>
        <v>0.99911143151735637</v>
      </c>
      <c r="N204" s="160">
        <f t="shared" ca="1" si="47"/>
        <v>0.99972535811855856</v>
      </c>
    </row>
    <row r="205" spans="1:14" ht="14.45" customHeight="1" x14ac:dyDescent="0.2">
      <c r="B205" s="127"/>
      <c r="C205" s="127"/>
      <c r="D205" s="127"/>
      <c r="E205" s="127"/>
      <c r="F205" s="127"/>
      <c r="G205" s="127"/>
      <c r="H205" s="127"/>
      <c r="I205" s="127"/>
      <c r="J205" s="127"/>
      <c r="K205" s="127"/>
      <c r="L205" s="127"/>
      <c r="M205" s="127"/>
      <c r="N205" s="127"/>
    </row>
    <row r="206" spans="1:14" ht="15" customHeight="1" x14ac:dyDescent="0.25">
      <c r="A206" s="132"/>
      <c r="B206" s="153" t="s">
        <v>723</v>
      </c>
      <c r="C206" s="149">
        <v>40298</v>
      </c>
      <c r="D206" s="149">
        <v>40329</v>
      </c>
      <c r="E206" s="149">
        <v>40359</v>
      </c>
      <c r="F206" s="149">
        <v>40390</v>
      </c>
      <c r="G206" s="149">
        <v>40421</v>
      </c>
      <c r="H206" s="149">
        <v>40451</v>
      </c>
      <c r="I206" s="149">
        <v>40482</v>
      </c>
      <c r="J206" s="149">
        <v>40512</v>
      </c>
      <c r="K206" s="149">
        <v>40543</v>
      </c>
      <c r="L206" s="149">
        <v>40574</v>
      </c>
      <c r="M206" s="149">
        <v>40602</v>
      </c>
      <c r="N206" s="158">
        <v>40633</v>
      </c>
    </row>
    <row r="207" spans="1:14" ht="15" customHeight="1" x14ac:dyDescent="0.2">
      <c r="A207" s="132"/>
      <c r="B207" s="152" t="s">
        <v>724</v>
      </c>
      <c r="C207" s="147">
        <f ca="1">IF(IF(ISNUMBER(FIND("ED only",$B$4)),SUMIFS(sum_range,site_level_range,LEFT($B$4,LEN($B$4)-10),date_range,C206,inputdata!$E:$E,"*- ED*"),SUMIFS(sum_range,site_level_range,$B$4,date_range,C206))=0,"-",IF(ISNUMBER(FIND("ED only",$B$4)),SUMIFS(sum_range,site_level_range,LEFT($B$4,LEN($B$4)-10),date_range,C206,inputdata!$E:$E,"*- ED*"),SUMIFS(sum_range,site_level_range,$B$4,date_range,C206)))</f>
        <v>136503</v>
      </c>
      <c r="D207" s="147">
        <f ca="1">IF(IF(ISNUMBER(FIND("ED only",$B$4)),SUMIFS(sum_range,site_level_range,LEFT($B$4,LEN($B$4)-10),date_range,D206,inputdata!$E:$E,"*- ED*"),SUMIFS(sum_range,site_level_range,$B$4,date_range,D206))=0,"-",IF(ISNUMBER(FIND("ED only",$B$4)),SUMIFS(sum_range,site_level_range,LEFT($B$4,LEN($B$4)-10),date_range,D206,inputdata!$E:$E,"*- ED*"),SUMIFS(sum_range,site_level_range,$B$4,date_range,D206)))</f>
        <v>149530</v>
      </c>
      <c r="E207" s="147">
        <f ca="1">IF(IF(ISNUMBER(FIND("ED only",$B$4)),SUMIFS(sum_range,site_level_range,LEFT($B$4,LEN($B$4)-10),date_range,E206,inputdata!$E:$E,"*- ED*"),SUMIFS(sum_range,site_level_range,$B$4,date_range,E206))=0,"-",IF(ISNUMBER(FIND("ED only",$B$4)),SUMIFS(sum_range,site_level_range,LEFT($B$4,LEN($B$4)-10),date_range,E206,inputdata!$E:$E,"*- ED*"),SUMIFS(sum_range,site_level_range,$B$4,date_range,E206)))</f>
        <v>142942</v>
      </c>
      <c r="F207" s="147">
        <f ca="1">IF(IF(ISNUMBER(FIND("ED only",$B$4)),SUMIFS(sum_range,site_level_range,LEFT($B$4,LEN($B$4)-10),date_range,F206,inputdata!$E:$E,"*- ED*"),SUMIFS(sum_range,site_level_range,$B$4,date_range,F206))=0,"-",IF(ISNUMBER(FIND("ED only",$B$4)),SUMIFS(sum_range,site_level_range,LEFT($B$4,LEN($B$4)-10),date_range,F206,inputdata!$E:$E,"*- ED*"),SUMIFS(sum_range,site_level_range,$B$4,date_range,F206)))</f>
        <v>134582</v>
      </c>
      <c r="G207" s="147">
        <f ca="1">IF(IF(ISNUMBER(FIND("ED only",$B$4)),SUMIFS(sum_range,site_level_range,LEFT($B$4,LEN($B$4)-10),date_range,G206,inputdata!$E:$E,"*- ED*"),SUMIFS(sum_range,site_level_range,$B$4,date_range,G206))=0,"-",IF(ISNUMBER(FIND("ED only",$B$4)),SUMIFS(sum_range,site_level_range,LEFT($B$4,LEN($B$4)-10),date_range,G206,inputdata!$E:$E,"*- ED*"),SUMIFS(sum_range,site_level_range,$B$4,date_range,G206)))</f>
        <v>144353</v>
      </c>
      <c r="H207" s="147">
        <f ca="1">IF(IF(ISNUMBER(FIND("ED only",$B$4)),SUMIFS(sum_range,site_level_range,LEFT($B$4,LEN($B$4)-10),date_range,H206,inputdata!$E:$E,"*- ED*"),SUMIFS(sum_range,site_level_range,$B$4,date_range,H206))=0,"-",IF(ISNUMBER(FIND("ED only",$B$4)),SUMIFS(sum_range,site_level_range,LEFT($B$4,LEN($B$4)-10),date_range,H206,inputdata!$E:$E,"*- ED*"),SUMIFS(sum_range,site_level_range,$B$4,date_range,H206)))</f>
        <v>136630</v>
      </c>
      <c r="I207" s="147">
        <f ca="1">IF(IF(ISNUMBER(FIND("ED only",$B$4)),SUMIFS(sum_range,site_level_range,LEFT($B$4,LEN($B$4)-10),date_range,I206,inputdata!$E:$E,"*- ED*"),SUMIFS(sum_range,site_level_range,$B$4,date_range,I206))=0,"-",IF(ISNUMBER(FIND("ED only",$B$4)),SUMIFS(sum_range,site_level_range,LEFT($B$4,LEN($B$4)-10),date_range,I206,inputdata!$E:$E,"*- ED*"),SUMIFS(sum_range,site_level_range,$B$4,date_range,I206)))</f>
        <v>131897</v>
      </c>
      <c r="J207" s="147">
        <f ca="1">IF(IF(ISNUMBER(FIND("ED only",$B$4)),SUMIFS(sum_range,site_level_range,LEFT($B$4,LEN($B$4)-10),date_range,J206,inputdata!$E:$E,"*- ED*"),SUMIFS(sum_range,site_level_range,$B$4,date_range,J206))=0,"-",IF(ISNUMBER(FIND("ED only",$B$4)),SUMIFS(sum_range,site_level_range,LEFT($B$4,LEN($B$4)-10),date_range,J206,inputdata!$E:$E,"*- ED*"),SUMIFS(sum_range,site_level_range,$B$4,date_range,J206)))</f>
        <v>123019</v>
      </c>
      <c r="K207" s="147">
        <f ca="1">IF(IF(ISNUMBER(FIND("ED only",$B$4)),SUMIFS(sum_range,site_level_range,LEFT($B$4,LEN($B$4)-10),date_range,K206,inputdata!$E:$E,"*- ED*"),SUMIFS(sum_range,site_level_range,$B$4,date_range,K206))=0,"-",IF(ISNUMBER(FIND("ED only",$B$4)),SUMIFS(sum_range,site_level_range,LEFT($B$4,LEN($B$4)-10),date_range,K206,inputdata!$E:$E,"*- ED*"),SUMIFS(sum_range,site_level_range,$B$4,date_range,K206)))</f>
        <v>121774</v>
      </c>
      <c r="L207" s="147">
        <f ca="1">IF(IF(ISNUMBER(FIND("ED only",$B$4)),SUMIFS(sum_range,site_level_range,LEFT($B$4,LEN($B$4)-10),date_range,L206,inputdata!$E:$E,"*- ED*"),SUMIFS(sum_range,site_level_range,$B$4,date_range,L206))=0,"-",IF(ISNUMBER(FIND("ED only",$B$4)),SUMIFS(sum_range,site_level_range,LEFT($B$4,LEN($B$4)-10),date_range,L206,inputdata!$E:$E,"*- ED*"),SUMIFS(sum_range,site_level_range,$B$4,date_range,L206)))</f>
        <v>133691</v>
      </c>
      <c r="M207" s="147">
        <f ca="1">IF(IF(ISNUMBER(FIND("ED only",$B$4)),SUMIFS(sum_range,site_level_range,LEFT($B$4,LEN($B$4)-10),date_range,M206,inputdata!$E:$E,"*- ED*"),SUMIFS(sum_range,site_level_range,$B$4,date_range,M206))=0,"-",IF(ISNUMBER(FIND("ED only",$B$4)),SUMIFS(sum_range,site_level_range,LEFT($B$4,LEN($B$4)-10),date_range,M206,inputdata!$E:$E,"*- ED*"),SUMIFS(sum_range,site_level_range,$B$4,date_range,M206)))</f>
        <v>119639</v>
      </c>
      <c r="N207" s="156">
        <f ca="1">IF(IF(ISNUMBER(FIND("ED only",$B$4)),SUMIFS(sum_range,site_level_range,LEFT($B$4,LEN($B$4)-10),date_range,N206,inputdata!$E:$E,"*- ED*"),SUMIFS(sum_range,site_level_range,$B$4,date_range,N206))=0,"-",IF(ISNUMBER(FIND("ED only",$B$4)),SUMIFS(sum_range,site_level_range,LEFT($B$4,LEN($B$4)-10),date_range,N206,inputdata!$E:$E,"*- ED*"),SUMIFS(sum_range,site_level_range,$B$4,date_range,N206)))</f>
        <v>137990</v>
      </c>
    </row>
    <row r="208" spans="1:14" ht="15" customHeight="1" x14ac:dyDescent="0.2">
      <c r="A208" s="132"/>
      <c r="B208" s="152" t="s">
        <v>725</v>
      </c>
      <c r="C208" s="147">
        <f ca="1">IF(AND(MONTH(C206)=3,ISNUMBER($N207),ISNUMBER($C207)),SUM($C207:C207),IF(AND(MONTH(C206)&lt;&gt;3,ISNUMBER(C207),ISNUMBER(D221)),SUM($C207:C207,D221:$N221),"-"))</f>
        <v>1612078</v>
      </c>
      <c r="D208" s="147">
        <f ca="1">IF(AND(MONTH(D206)=3,ISNUMBER($N207),ISNUMBER($C207)),SUM($C207:D207),IF(AND(MONTH(D206)&lt;&gt;3,ISNUMBER(D207),ISNUMBER(E221)),SUM($C207:D207,E221:$N221),"-"))</f>
        <v>1618302</v>
      </c>
      <c r="E208" s="147">
        <f ca="1">IF(AND(MONTH(E206)=3,ISNUMBER($N207),ISNUMBER($C207)),SUM($C207:E207),IF(AND(MONTH(E206)&lt;&gt;3,ISNUMBER(E207),ISNUMBER(F221)),SUM($C207:E207,F221:$N221),"-"))</f>
        <v>1618832</v>
      </c>
      <c r="F208" s="147">
        <f ca="1">IF(AND(MONTH(F206)=3,ISNUMBER($N207),ISNUMBER($C207)),SUM($C207:F207),IF(AND(MONTH(F206)&lt;&gt;3,ISNUMBER(F207),ISNUMBER(G221)),SUM($C207:F207,G221:$N221),"-"))</f>
        <v>1614025</v>
      </c>
      <c r="G208" s="147">
        <f ca="1">IF(AND(MONTH(G206)=3,ISNUMBER($N207),ISNUMBER($C207)),SUM($C207:G207),IF(AND(MONTH(G206)&lt;&gt;3,ISNUMBER(G207),ISNUMBER(H221)),SUM($C207:G207,H221:$N221),"-"))</f>
        <v>1618663</v>
      </c>
      <c r="H208" s="147">
        <f ca="1">IF(AND(MONTH(H206)=3,ISNUMBER($N207),ISNUMBER($C207)),SUM($C207:H207),IF(AND(MONTH(H206)&lt;&gt;3,ISNUMBER(H207),ISNUMBER(I221)),SUM($C207:H207,I221:$N221),"-"))</f>
        <v>1618128</v>
      </c>
      <c r="I208" s="147">
        <f ca="1">IF(AND(MONTH(I206)=3,ISNUMBER($N207),ISNUMBER($C207)),SUM($C207:I207),IF(AND(MONTH(I206)&lt;&gt;3,ISNUMBER(I207),ISNUMBER(J221)),SUM($C207:I207,J221:$N221),"-"))</f>
        <v>1616027</v>
      </c>
      <c r="J208" s="147">
        <f ca="1">IF(AND(MONTH(J206)=3,ISNUMBER($N207),ISNUMBER($C207)),SUM($C207:J207),IF(AND(MONTH(J206)&lt;&gt;3,ISNUMBER(J207),ISNUMBER(K221)),SUM($C207:J207,K221:$N221),"-"))</f>
        <v>1609086</v>
      </c>
      <c r="K208" s="147">
        <f ca="1">IF(AND(MONTH(K206)=3,ISNUMBER($N207),ISNUMBER($C207)),SUM($C207:K207),IF(AND(MONTH(K206)&lt;&gt;3,ISNUMBER(K207),ISNUMBER(L221)),SUM($C207:K207,L221:$N221),"-"))</f>
        <v>1601270</v>
      </c>
      <c r="L208" s="147">
        <f ca="1">IF(AND(MONTH(L206)=3,ISNUMBER($N207),ISNUMBER($C207)),SUM($C207:L207),IF(AND(MONTH(L206)&lt;&gt;3,ISNUMBER(L207),ISNUMBER(M221)),SUM($C207:L207,M221:$N221),"-"))</f>
        <v>1609160</v>
      </c>
      <c r="M208" s="147">
        <f ca="1">IF(AND(MONTH(M206)=3,ISNUMBER($N207),ISNUMBER($C207)),SUM($C207:M207),IF(AND(MONTH(M206)&lt;&gt;3,ISNUMBER(M207),ISNUMBER(N221)),SUM($C207:M207,N221:$N221),"-"))</f>
        <v>1612255</v>
      </c>
      <c r="N208" s="156">
        <f ca="1">IF(AND(MONTH(N206)=3,ISNUMBER($N207),ISNUMBER($C207)),SUM($C207:N207),IF(AND(MONTH(N206)&lt;&gt;3,ISNUMBER(N207),ISNUMBER(O221)),SUM($C207:N207,$N221:O221),"-"))</f>
        <v>1612550</v>
      </c>
    </row>
    <row r="209" spans="1:14" ht="15" customHeight="1" x14ac:dyDescent="0.2">
      <c r="A209" s="132"/>
      <c r="B209" s="154" t="s">
        <v>726</v>
      </c>
      <c r="C209" s="150">
        <f t="shared" ref="C209:N209" ca="1" si="48">IF(ISNUMBER(C208),C208/12,NA())</f>
        <v>134339.83333333334</v>
      </c>
      <c r="D209" s="150">
        <f t="shared" ca="1" si="48"/>
        <v>134858.5</v>
      </c>
      <c r="E209" s="150">
        <f t="shared" ca="1" si="48"/>
        <v>134902.66666666666</v>
      </c>
      <c r="F209" s="150">
        <f t="shared" ca="1" si="48"/>
        <v>134502.08333333334</v>
      </c>
      <c r="G209" s="150">
        <f t="shared" ca="1" si="48"/>
        <v>134888.58333333334</v>
      </c>
      <c r="H209" s="150">
        <f t="shared" ca="1" si="48"/>
        <v>134844</v>
      </c>
      <c r="I209" s="150">
        <f t="shared" ca="1" si="48"/>
        <v>134668.91666666666</v>
      </c>
      <c r="J209" s="150">
        <f t="shared" ca="1" si="48"/>
        <v>134090.5</v>
      </c>
      <c r="K209" s="150">
        <f t="shared" ca="1" si="48"/>
        <v>133439.16666666666</v>
      </c>
      <c r="L209" s="150">
        <f t="shared" ca="1" si="48"/>
        <v>134096.66666666666</v>
      </c>
      <c r="M209" s="150">
        <f t="shared" ca="1" si="48"/>
        <v>134354.58333333334</v>
      </c>
      <c r="N209" s="159">
        <f t="shared" ca="1" si="48"/>
        <v>134379.16666666666</v>
      </c>
    </row>
    <row r="210" spans="1:14" ht="15" customHeight="1" x14ac:dyDescent="0.2">
      <c r="A210" s="132"/>
      <c r="B210" s="152" t="s">
        <v>727</v>
      </c>
      <c r="C210" s="147">
        <f ca="1">IF(C207="-","-",C207-IF(ISNUMBER(FIND("ED only",$B$4)),SUMIFS(sum_over_4_tot,site_level_range,LEFT($B$4,LEN($B$4)-10),date_range,C206,inputdata!$E:$E,"*- ED*"),SUMIFS(sum_over_4_tot,site_level_range,$B$4,date_range,C206)))</f>
        <v>3904</v>
      </c>
      <c r="D210" s="147">
        <f ca="1">IF(D207="-","-",D207-IF(ISNUMBER(FIND("ED only",$B$4)),SUMIFS(sum_over_4_tot,site_level_range,LEFT($B$4,LEN($B$4)-10),date_range,D206,inputdata!$E:$E,"*- ED*"),SUMIFS(sum_over_4_tot,site_level_range,$B$4,date_range,D206)))</f>
        <v>4134</v>
      </c>
      <c r="E210" s="147">
        <f ca="1">IF(E207="-","-",E207-IF(ISNUMBER(FIND("ED only",$B$4)),SUMIFS(sum_over_4_tot,site_level_range,LEFT($B$4,LEN($B$4)-10),date_range,E206,inputdata!$E:$E,"*- ED*"),SUMIFS(sum_over_4_tot,site_level_range,$B$4,date_range,E206)))</f>
        <v>3719</v>
      </c>
      <c r="F210" s="147">
        <f ca="1">IF(F207="-","-",F207-IF(ISNUMBER(FIND("ED only",$B$4)),SUMIFS(sum_over_4_tot,site_level_range,LEFT($B$4,LEN($B$4)-10),date_range,F206,inputdata!$E:$E,"*- ED*"),SUMIFS(sum_over_4_tot,site_level_range,$B$4,date_range,F206)))</f>
        <v>2877</v>
      </c>
      <c r="G210" s="147">
        <f ca="1">IF(G207="-","-",G207-IF(ISNUMBER(FIND("ED only",$B$4)),SUMIFS(sum_over_4_tot,site_level_range,LEFT($B$4,LEN($B$4)-10),date_range,G206,inputdata!$E:$E,"*- ED*"),SUMIFS(sum_over_4_tot,site_level_range,$B$4,date_range,G206)))</f>
        <v>4388</v>
      </c>
      <c r="H210" s="147">
        <f ca="1">IF(H207="-","-",H207-IF(ISNUMBER(FIND("ED only",$B$4)),SUMIFS(sum_over_4_tot,site_level_range,LEFT($B$4,LEN($B$4)-10),date_range,H206,inputdata!$E:$E,"*- ED*"),SUMIFS(sum_over_4_tot,site_level_range,$B$4,date_range,H206)))</f>
        <v>3941</v>
      </c>
      <c r="I210" s="147">
        <f ca="1">IF(I207="-","-",I207-IF(ISNUMBER(FIND("ED only",$B$4)),SUMIFS(sum_over_4_tot,site_level_range,LEFT($B$4,LEN($B$4)-10),date_range,I206,inputdata!$E:$E,"*- ED*"),SUMIFS(sum_over_4_tot,site_level_range,$B$4,date_range,I206)))</f>
        <v>4270</v>
      </c>
      <c r="J210" s="147">
        <f ca="1">IF(J207="-","-",J207-IF(ISNUMBER(FIND("ED only",$B$4)),SUMIFS(sum_over_4_tot,site_level_range,LEFT($B$4,LEN($B$4)-10),date_range,J206,inputdata!$E:$E,"*- ED*"),SUMIFS(sum_over_4_tot,site_level_range,$B$4,date_range,J206)))</f>
        <v>4751</v>
      </c>
      <c r="K210" s="147">
        <f ca="1">IF(K207="-","-",K207-IF(ISNUMBER(FIND("ED only",$B$4)),SUMIFS(sum_over_4_tot,site_level_range,LEFT($B$4,LEN($B$4)-10),date_range,K206,inputdata!$E:$E,"*- ED*"),SUMIFS(sum_over_4_tot,site_level_range,$B$4,date_range,K206)))</f>
        <v>6293</v>
      </c>
      <c r="L210" s="147">
        <f ca="1">IF(L207="-","-",L207-IF(ISNUMBER(FIND("ED only",$B$4)),SUMIFS(sum_over_4_tot,site_level_range,LEFT($B$4,LEN($B$4)-10),date_range,L206,inputdata!$E:$E,"*- ED*"),SUMIFS(sum_over_4_tot,site_level_range,$B$4,date_range,L206)))</f>
        <v>8487</v>
      </c>
      <c r="M210" s="147">
        <f ca="1">IF(M207="-","-",M207-IF(ISNUMBER(FIND("ED only",$B$4)),SUMIFS(sum_over_4_tot,site_level_range,LEFT($B$4,LEN($B$4)-10),date_range,M206,inputdata!$E:$E,"*- ED*"),SUMIFS(sum_over_4_tot,site_level_range,$B$4,date_range,M206)))</f>
        <v>6024</v>
      </c>
      <c r="N210" s="156">
        <f ca="1">IF(N207="-","-",N207-IF(ISNUMBER(FIND("ED only",$B$4)),SUMIFS(sum_over_4_tot,site_level_range,LEFT($B$4,LEN($B$4)-10),date_range,N206,inputdata!$E:$E,"*- ED*"),SUMIFS(sum_over_4_tot,site_level_range,$B$4,date_range,N206)))</f>
        <v>6422</v>
      </c>
    </row>
    <row r="211" spans="1:14" ht="15" customHeight="1" x14ac:dyDescent="0.2">
      <c r="A211" s="132"/>
      <c r="B211" s="152" t="s">
        <v>728</v>
      </c>
      <c r="C211" s="148">
        <f t="shared" ref="C211:N211" ca="1" si="49">IF(ISERROR(1-C210/C207),NA(),(1-C210/C207))</f>
        <v>0.97139989597298226</v>
      </c>
      <c r="D211" s="148">
        <f t="shared" ca="1" si="49"/>
        <v>0.97235337390490206</v>
      </c>
      <c r="E211" s="148">
        <f t="shared" ca="1" si="49"/>
        <v>0.97398245442207332</v>
      </c>
      <c r="F211" s="148">
        <f t="shared" ca="1" si="49"/>
        <v>0.97862269842921046</v>
      </c>
      <c r="G211" s="148">
        <f t="shared" ca="1" si="49"/>
        <v>0.9696022943755932</v>
      </c>
      <c r="H211" s="148">
        <f t="shared" ca="1" si="49"/>
        <v>0.97115567591304985</v>
      </c>
      <c r="I211" s="148">
        <f t="shared" ca="1" si="49"/>
        <v>0.96762625381926803</v>
      </c>
      <c r="J211" s="148">
        <f t="shared" ca="1" si="49"/>
        <v>0.96137994943870464</v>
      </c>
      <c r="K211" s="148">
        <f t="shared" ca="1" si="49"/>
        <v>0.94832230196922163</v>
      </c>
      <c r="L211" s="148">
        <f t="shared" ca="1" si="49"/>
        <v>0.93651779102557386</v>
      </c>
      <c r="M211" s="148">
        <f t="shared" ca="1" si="49"/>
        <v>0.94964852598233018</v>
      </c>
      <c r="N211" s="157">
        <f t="shared" ca="1" si="49"/>
        <v>0.9534603956808464</v>
      </c>
    </row>
    <row r="212" spans="1:14" ht="15" customHeight="1" x14ac:dyDescent="0.2">
      <c r="A212" s="132"/>
      <c r="B212" s="154" t="s">
        <v>729</v>
      </c>
      <c r="C212" s="151">
        <f ca="1">IF(ISERROR(C209),NA(),IF(AND(MONTH(C206)=3,ISNUMBER($N207),ISNUMBER($C207)),1-(SUM($C210:$N210)/SUM($C207:$N207)),IF(AND(MONTH(C206)&lt;&gt;3,ISNUMBER(C207),ISNUMBER(D221)),1-(SUM(D224:$N224,$C210:C210)/SUM($C207:C207,D221:$N221)),NA())))</f>
        <v>0.97358502504221256</v>
      </c>
      <c r="D212" s="151">
        <f ca="1">IF(ISERROR(D209),NA(),IF(AND(MONTH(D206)=3,ISNUMBER($N207),ISNUMBER($C207)),1-(SUM($C210:$N210)/SUM($C207:$N207)),IF(AND(MONTH(D206)&lt;&gt;3,ISNUMBER(D207),ISNUMBER(E221)),1-(SUM(E224:$N224,$C210:D210)/SUM($C207:D207,E221:$N221)),NA())))</f>
        <v>0.97306188832492324</v>
      </c>
      <c r="E212" s="151">
        <f ca="1">IF(ISERROR(E209),NA(),IF(AND(MONTH(E206)=3,ISNUMBER($N207),ISNUMBER($C207)),1-(SUM($C210:$N210)/SUM($C207:$N207)),IF(AND(MONTH(E206)&lt;&gt;3,ISNUMBER(E207),ISNUMBER(F221)),1-(SUM(F224:$N224,$C210:E210)/SUM($C207:E207,F221:$N221)),NA())))</f>
        <v>0.97259134981270445</v>
      </c>
      <c r="F212" s="151">
        <f ca="1">IF(ISERROR(F209),NA(),IF(AND(MONTH(F206)=3,ISNUMBER($N207),ISNUMBER($C207)),1-(SUM($C210:$N210)/SUM($C207:$N207)),IF(AND(MONTH(F206)&lt;&gt;3,ISNUMBER(F207),ISNUMBER(G221)),1-(SUM(G224:$N224,$C210:F210)/SUM($C207:F207,G221:$N221)),NA())))</f>
        <v>0.9722705658214712</v>
      </c>
      <c r="G212" s="151">
        <f ca="1">IF(ISERROR(G209),NA(),IF(AND(MONTH(G206)=3,ISNUMBER($N207),ISNUMBER($C207)),1-(SUM($C210:$N210)/SUM($C207:$N207)),IF(AND(MONTH(G206)&lt;&gt;3,ISNUMBER(G207),ISNUMBER(H221)),1-(SUM(H224:$N224,$C210:G210)/SUM($C207:G207,H221:$N221)),NA())))</f>
        <v>0.97134363360378284</v>
      </c>
      <c r="H212" s="151">
        <f ca="1">IF(ISERROR(H209),NA(),IF(AND(MONTH(H206)=3,ISNUMBER($N207),ISNUMBER($C207)),1-(SUM($C210:$N210)/SUM($C207:$N207)),IF(AND(MONTH(H206)&lt;&gt;3,ISNUMBER(H207),ISNUMBER(I221)),1-(SUM(I224:$N224,$C210:H210)/SUM($C207:H207,I221:$N221)),NA())))</f>
        <v>0.97062778717134868</v>
      </c>
      <c r="I212" s="151">
        <f ca="1">IF(ISERROR(I209),NA(),IF(AND(MONTH(I206)=3,ISNUMBER($N207),ISNUMBER($C207)),1-(SUM($C210:$N210)/SUM($C207:$N207)),IF(AND(MONTH(I206)&lt;&gt;3,ISNUMBER(I207),ISNUMBER(J221)),1-(SUM(J224:$N224,$C210:I210)/SUM($C207:I207,J221:$N221)),NA())))</f>
        <v>0.97009022745288287</v>
      </c>
      <c r="J212" s="151">
        <f ca="1">IF(ISERROR(J209),NA(),IF(AND(MONTH(J206)=3,ISNUMBER($N207),ISNUMBER($C207)),1-(SUM($C210:$N210)/SUM($C207:$N207)),IF(AND(MONTH(J206)&lt;&gt;3,ISNUMBER(J207),ISNUMBER(K221)),1-(SUM(K224:$N224,$C210:J210)/SUM($C207:J207,K221:$N221)),NA())))</f>
        <v>0.96910544246858155</v>
      </c>
      <c r="K212" s="151">
        <f ca="1">IF(ISERROR(K209),NA(),IF(AND(MONTH(K206)=3,ISNUMBER($N207),ISNUMBER($C207)),1-(SUM($C210:$N210)/SUM($C207:$N207)),IF(AND(MONTH(K206)&lt;&gt;3,ISNUMBER(K207),ISNUMBER(L221)),1-(SUM(L224:$N224,$C210:K210)/SUM($C207:K207,L221:$N221)),NA())))</f>
        <v>0.96731032243156989</v>
      </c>
      <c r="L212" s="151">
        <f ca="1">IF(ISERROR(L209),NA(),IF(AND(MONTH(L206)=3,ISNUMBER($N207),ISNUMBER($C207)),1-(SUM($C210:$N210)/SUM($C207:$N207)),IF(AND(MONTH(L206)&lt;&gt;3,ISNUMBER(L207),ISNUMBER(M221)),1-(SUM(M224:$N224,$C210:L210)/SUM($C207:L207,M221:$N221)),NA())))</f>
        <v>0.96532849436973323</v>
      </c>
      <c r="M212" s="151">
        <f ca="1">IF(ISERROR(M209),NA(),IF(AND(MONTH(M206)=3,ISNUMBER($N207),ISNUMBER($C207)),1-(SUM($C210:$N210)/SUM($C207:$N207)),IF(AND(MONTH(M206)&lt;&gt;3,ISNUMBER(M207),ISNUMBER(N221)),1-(SUM(N224:$N224,$C210:M210)/SUM($C207:M207,N221:$N221)),NA())))</f>
        <v>0.96426681883448961</v>
      </c>
      <c r="N212" s="160">
        <f ca="1">IF(ISERROR(N209),NA(),IF(AND(MONTH(N206)=3,ISNUMBER($N207),ISNUMBER($C207)),1-(SUM($C210:$N210)/SUM($C207:$N207)),IF(AND(MONTH(N206)&lt;&gt;3,ISNUMBER(N207),ISNUMBER(O221)),1-(SUM($N224:O224,$C210:N210)/SUM($C207:N207,$N221:O221)),NA())))</f>
        <v>0.96328175870515642</v>
      </c>
    </row>
    <row r="213" spans="1:14" ht="14.45" customHeight="1" x14ac:dyDescent="0.25">
      <c r="A213" s="132"/>
      <c r="B213" s="155" t="s">
        <v>730</v>
      </c>
      <c r="C213" s="127"/>
      <c r="D213" s="127"/>
      <c r="E213" s="127"/>
      <c r="F213" s="127"/>
      <c r="G213" s="127"/>
      <c r="H213" s="127"/>
      <c r="I213" s="127"/>
      <c r="J213" s="127"/>
      <c r="K213" s="127"/>
      <c r="L213" s="127"/>
      <c r="M213" s="127"/>
      <c r="N213" s="161"/>
    </row>
    <row r="214" spans="1:14" ht="15" customHeight="1" x14ac:dyDescent="0.2">
      <c r="A214" s="132"/>
      <c r="B214" s="154" t="s">
        <v>724</v>
      </c>
      <c r="C214" s="150">
        <f ca="1">IF(IF(ISNUMBER(FIND("ED only",$B$4)),SUMIFS(Sum_total_epi,site_level_range,LEFT($B$4,LEN($B$4)-10),date_range,C206,inputdata!$E:$E,"*- ED*"),SUMIFS(Sum_total_epi,site_level_range,$B$4,date_range,C206))=0,"-",IF(ISNUMBER(FIND("ED only",$B$4)),SUMIFS(Sum_total_epi,site_level_range,LEFT($B$4,LEN($B$4)-10),date_range,C206,inputdata!$E:$E,"*- ED*"),SUMIFS(Sum_total_epi,site_level_range,$B$4,date_range,C206)))</f>
        <v>126178</v>
      </c>
      <c r="D214" s="150">
        <f ca="1">IF(IF(ISNUMBER(FIND("ED only",$B$4)),SUMIFS(Sum_total_epi,site_level_range,LEFT($B$4,LEN($B$4)-10),date_range,D206,inputdata!$E:$E,"*- ED*"),SUMIFS(Sum_total_epi,site_level_range,$B$4,date_range,D206))=0,"-",IF(ISNUMBER(FIND("ED only",$B$4)),SUMIFS(Sum_total_epi,site_level_range,LEFT($B$4,LEN($B$4)-10),date_range,D206,inputdata!$E:$E,"*- ED*"),SUMIFS(Sum_total_epi,site_level_range,$B$4,date_range,D206)))</f>
        <v>137464</v>
      </c>
      <c r="E214" s="150">
        <f ca="1">IF(IF(ISNUMBER(FIND("ED only",$B$4)),SUMIFS(Sum_total_epi,site_level_range,LEFT($B$4,LEN($B$4)-10),date_range,E206,inputdata!$E:$E,"*- ED*"),SUMIFS(Sum_total_epi,site_level_range,$B$4,date_range,E206))=0,"-",IF(ISNUMBER(FIND("ED only",$B$4)),SUMIFS(Sum_total_epi,site_level_range,LEFT($B$4,LEN($B$4)-10),date_range,E206,inputdata!$E:$E,"*- ED*"),SUMIFS(Sum_total_epi,site_level_range,$B$4,date_range,E206)))</f>
        <v>131001</v>
      </c>
      <c r="F214" s="150">
        <f ca="1">IF(IF(ISNUMBER(FIND("ED only",$B$4)),SUMIFS(Sum_total_epi,site_level_range,LEFT($B$4,LEN($B$4)-10),date_range,F206,inputdata!$E:$E,"*- ED*"),SUMIFS(Sum_total_epi,site_level_range,$B$4,date_range,F206))=0,"-",IF(ISNUMBER(FIND("ED only",$B$4)),SUMIFS(Sum_total_epi,site_level_range,LEFT($B$4,LEN($B$4)-10),date_range,F206,inputdata!$E:$E,"*- ED*"),SUMIFS(Sum_total_epi,site_level_range,$B$4,date_range,F206)))</f>
        <v>123030</v>
      </c>
      <c r="G214" s="150">
        <f ca="1">IF(IF(ISNUMBER(FIND("ED only",$B$4)),SUMIFS(Sum_total_epi,site_level_range,LEFT($B$4,LEN($B$4)-10),date_range,G206,inputdata!$E:$E,"*- ED*"),SUMIFS(Sum_total_epi,site_level_range,$B$4,date_range,G206))=0,"-",IF(ISNUMBER(FIND("ED only",$B$4)),SUMIFS(Sum_total_epi,site_level_range,LEFT($B$4,LEN($B$4)-10),date_range,G206,inputdata!$E:$E,"*- ED*"),SUMIFS(Sum_total_epi,site_level_range,$B$4,date_range,G206)))</f>
        <v>132117</v>
      </c>
      <c r="H214" s="150">
        <f ca="1">IF(IF(ISNUMBER(FIND("ED only",$B$4)),SUMIFS(Sum_total_epi,site_level_range,LEFT($B$4,LEN($B$4)-10),date_range,H206,inputdata!$E:$E,"*- ED*"),SUMIFS(Sum_total_epi,site_level_range,$B$4,date_range,H206))=0,"-",IF(ISNUMBER(FIND("ED only",$B$4)),SUMIFS(Sum_total_epi,site_level_range,LEFT($B$4,LEN($B$4)-10),date_range,H206,inputdata!$E:$E,"*- ED*"),SUMIFS(Sum_total_epi,site_level_range,$B$4,date_range,H206)))</f>
        <v>125685</v>
      </c>
      <c r="I214" s="150">
        <f ca="1">IF(IF(ISNUMBER(FIND("ED only",$B$4)),SUMIFS(Sum_total_epi,site_level_range,LEFT($B$4,LEN($B$4)-10),date_range,I206,inputdata!$E:$E,"*- ED*"),SUMIFS(Sum_total_epi,site_level_range,$B$4,date_range,I206))=0,"-",IF(ISNUMBER(FIND("ED only",$B$4)),SUMIFS(Sum_total_epi,site_level_range,LEFT($B$4,LEN($B$4)-10),date_range,I206,inputdata!$E:$E,"*- ED*"),SUMIFS(Sum_total_epi,site_level_range,$B$4,date_range,I206)))</f>
        <v>122106</v>
      </c>
      <c r="J214" s="150">
        <f ca="1">IF(IF(ISNUMBER(FIND("ED only",$B$4)),SUMIFS(Sum_total_epi,site_level_range,LEFT($B$4,LEN($B$4)-10),date_range,J206,inputdata!$E:$E,"*- ED*"),SUMIFS(Sum_total_epi,site_level_range,$B$4,date_range,J206))=0,"-",IF(ISNUMBER(FIND("ED only",$B$4)),SUMIFS(Sum_total_epi,site_level_range,LEFT($B$4,LEN($B$4)-10),date_range,J206,inputdata!$E:$E,"*- ED*"),SUMIFS(Sum_total_epi,site_level_range,$B$4,date_range,J206)))</f>
        <v>114480</v>
      </c>
      <c r="K214" s="150">
        <f ca="1">IF(IF(ISNUMBER(FIND("ED only",$B$4)),SUMIFS(Sum_total_epi,site_level_range,LEFT($B$4,LEN($B$4)-10),date_range,K206,inputdata!$E:$E,"*- ED*"),SUMIFS(Sum_total_epi,site_level_range,$B$4,date_range,K206))=0,"-",IF(ISNUMBER(FIND("ED only",$B$4)),SUMIFS(Sum_total_epi,site_level_range,LEFT($B$4,LEN($B$4)-10),date_range,K206,inputdata!$E:$E,"*- ED*"),SUMIFS(Sum_total_epi,site_level_range,$B$4,date_range,K206)))</f>
        <v>113423</v>
      </c>
      <c r="L214" s="150">
        <f ca="1">IF(IF(ISNUMBER(FIND("ED only",$B$4)),SUMIFS(Sum_total_epi,site_level_range,LEFT($B$4,LEN($B$4)-10),date_range,L206,inputdata!$E:$E,"*- ED*"),SUMIFS(Sum_total_epi,site_level_range,$B$4,date_range,L206))=0,"-",IF(ISNUMBER(FIND("ED only",$B$4)),SUMIFS(Sum_total_epi,site_level_range,LEFT($B$4,LEN($B$4)-10),date_range,L206,inputdata!$E:$E,"*- ED*"),SUMIFS(Sum_total_epi,site_level_range,$B$4,date_range,L206)))</f>
        <v>124467</v>
      </c>
      <c r="M214" s="150">
        <f ca="1">IF(IF(ISNUMBER(FIND("ED only",$B$4)),SUMIFS(Sum_total_epi,site_level_range,LEFT($B$4,LEN($B$4)-10),date_range,M206,inputdata!$E:$E,"*- ED*"),SUMIFS(Sum_total_epi,site_level_range,$B$4,date_range,M206))=0,"-",IF(ISNUMBER(FIND("ED only",$B$4)),SUMIFS(Sum_total_epi,site_level_range,LEFT($B$4,LEN($B$4)-10),date_range,M206,inputdata!$E:$E,"*- ED*"),SUMIFS(Sum_total_epi,site_level_range,$B$4,date_range,M206)))</f>
        <v>111350</v>
      </c>
      <c r="N214" s="159">
        <f ca="1">IF(IF(ISNUMBER(FIND("ED only",$B$4)),SUMIFS(Sum_total_epi,site_level_range,LEFT($B$4,LEN($B$4)-10),date_range,N206,inputdata!$E:$E,"*- ED*"),SUMIFS(Sum_total_epi,site_level_range,$B$4,date_range,N206))=0,"-",IF(ISNUMBER(FIND("ED only",$B$4)),SUMIFS(Sum_total_epi,site_level_range,LEFT($B$4,LEN($B$4)-10),date_range,N206,inputdata!$E:$E,"*- ED*"),SUMIFS(Sum_total_epi,site_level_range,$B$4,date_range,N206)))</f>
        <v>129213</v>
      </c>
    </row>
    <row r="215" spans="1:14" ht="15" customHeight="1" x14ac:dyDescent="0.2">
      <c r="A215" s="132"/>
      <c r="B215" s="152" t="s">
        <v>731</v>
      </c>
      <c r="C215" s="147">
        <f ca="1">IF(C214="-","-",IF(ISNUMBER(FIND("ED only",$B$4)),SUMIFS(Sum_over_8,site_level_range,LEFT($B$4,LEN($B$4)-10),date_range,C206,inputdata!$E:$E,"*- ED*"),SUMIFS(Sum_over_8,site_level_range,$B$4,date_range,C206)))</f>
        <v>180</v>
      </c>
      <c r="D215" s="147">
        <f ca="1">IF(D214="-","-",IF(ISNUMBER(FIND("ED only",$B$4)),SUMIFS(Sum_over_8,site_level_range,LEFT($B$4,LEN($B$4)-10),date_range,D206,inputdata!$E:$E,"*- ED*"),SUMIFS(Sum_over_8,site_level_range,$B$4,date_range,D206)))</f>
        <v>160</v>
      </c>
      <c r="E215" s="147">
        <f ca="1">IF(E214="-","-",IF(ISNUMBER(FIND("ED only",$B$4)),SUMIFS(Sum_over_8,site_level_range,LEFT($B$4,LEN($B$4)-10),date_range,E206,inputdata!$E:$E,"*- ED*"),SUMIFS(Sum_over_8,site_level_range,$B$4,date_range,E206)))</f>
        <v>182</v>
      </c>
      <c r="F215" s="147">
        <f ca="1">IF(F214="-","-",IF(ISNUMBER(FIND("ED only",$B$4)),SUMIFS(Sum_over_8,site_level_range,LEFT($B$4,LEN($B$4)-10),date_range,F206,inputdata!$E:$E,"*- ED*"),SUMIFS(Sum_over_8,site_level_range,$B$4,date_range,F206)))</f>
        <v>130</v>
      </c>
      <c r="G215" s="147">
        <f ca="1">IF(G214="-","-",IF(ISNUMBER(FIND("ED only",$B$4)),SUMIFS(Sum_over_8,site_level_range,LEFT($B$4,LEN($B$4)-10),date_range,G206,inputdata!$E:$E,"*- ED*"),SUMIFS(Sum_over_8,site_level_range,$B$4,date_range,G206)))</f>
        <v>177</v>
      </c>
      <c r="H215" s="147">
        <f ca="1">IF(H214="-","-",IF(ISNUMBER(FIND("ED only",$B$4)),SUMIFS(Sum_over_8,site_level_range,LEFT($B$4,LEN($B$4)-10),date_range,H206,inputdata!$E:$E,"*- ED*"),SUMIFS(Sum_over_8,site_level_range,$B$4,date_range,H206)))</f>
        <v>182</v>
      </c>
      <c r="I215" s="147">
        <f ca="1">IF(I214="-","-",IF(ISNUMBER(FIND("ED only",$B$4)),SUMIFS(Sum_over_8,site_level_range,LEFT($B$4,LEN($B$4)-10),date_range,I206,inputdata!$E:$E,"*- ED*"),SUMIFS(Sum_over_8,site_level_range,$B$4,date_range,I206)))</f>
        <v>259</v>
      </c>
      <c r="J215" s="147">
        <f ca="1">IF(J214="-","-",IF(ISNUMBER(FIND("ED only",$B$4)),SUMIFS(Sum_over_8,site_level_range,LEFT($B$4,LEN($B$4)-10),date_range,J206,inputdata!$E:$E,"*- ED*"),SUMIFS(Sum_over_8,site_level_range,$B$4,date_range,J206)))</f>
        <v>407</v>
      </c>
      <c r="K215" s="147">
        <f ca="1">IF(K214="-","-",IF(ISNUMBER(FIND("ED only",$B$4)),SUMIFS(Sum_over_8,site_level_range,LEFT($B$4,LEN($B$4)-10),date_range,K206,inputdata!$E:$E,"*- ED*"),SUMIFS(Sum_over_8,site_level_range,$B$4,date_range,K206)))</f>
        <v>580</v>
      </c>
      <c r="L215" s="147">
        <f ca="1">IF(L214="-","-",IF(ISNUMBER(FIND("ED only",$B$4)),SUMIFS(Sum_over_8,site_level_range,LEFT($B$4,LEN($B$4)-10),date_range,L206,inputdata!$E:$E,"*- ED*"),SUMIFS(Sum_over_8,site_level_range,$B$4,date_range,L206)))</f>
        <v>949</v>
      </c>
      <c r="M215" s="147">
        <f ca="1">IF(M214="-","-",IF(ISNUMBER(FIND("ED only",$B$4)),SUMIFS(Sum_over_8,site_level_range,LEFT($B$4,LEN($B$4)-10),date_range,M206,inputdata!$E:$E,"*- ED*"),SUMIFS(Sum_over_8,site_level_range,$B$4,date_range,M206)))</f>
        <v>492</v>
      </c>
      <c r="N215" s="156">
        <f ca="1">IF(N214="-","-",IF(ISNUMBER(FIND("ED only",$B$4)),SUMIFS(Sum_over_8,site_level_range,LEFT($B$4,LEN($B$4)-10),date_range,N206,inputdata!$E:$E,"*- ED*"),SUMIFS(Sum_over_8,site_level_range,$B$4,date_range,N206)))</f>
        <v>492</v>
      </c>
    </row>
    <row r="216" spans="1:14" ht="15" customHeight="1" x14ac:dyDescent="0.2">
      <c r="A216" s="132"/>
      <c r="B216" s="154" t="s">
        <v>732</v>
      </c>
      <c r="C216" s="151">
        <f t="shared" ref="C216:N216" ca="1" si="50">IF(ISERROR(1-C215/C214),"-",1-C215/C214)</f>
        <v>0.99857344386501612</v>
      </c>
      <c r="D216" s="151">
        <f t="shared" ca="1" si="50"/>
        <v>0.99883605889541993</v>
      </c>
      <c r="E216" s="151">
        <f t="shared" ca="1" si="50"/>
        <v>0.99861069762826238</v>
      </c>
      <c r="F216" s="151">
        <f t="shared" ca="1" si="50"/>
        <v>0.99894334715110134</v>
      </c>
      <c r="G216" s="151">
        <f t="shared" ca="1" si="50"/>
        <v>0.99866027838960925</v>
      </c>
      <c r="H216" s="151">
        <f t="shared" ca="1" si="50"/>
        <v>0.99855193539404064</v>
      </c>
      <c r="I216" s="151">
        <f t="shared" ca="1" si="50"/>
        <v>0.99787889211013381</v>
      </c>
      <c r="J216" s="151">
        <f t="shared" ca="1" si="50"/>
        <v>0.99644479385045426</v>
      </c>
      <c r="K216" s="151">
        <f t="shared" ca="1" si="50"/>
        <v>0.9948863987022033</v>
      </c>
      <c r="L216" s="151">
        <f t="shared" ca="1" si="50"/>
        <v>0.99237548908546036</v>
      </c>
      <c r="M216" s="151">
        <f t="shared" ca="1" si="50"/>
        <v>0.99558149977548271</v>
      </c>
      <c r="N216" s="160">
        <f t="shared" ca="1" si="50"/>
        <v>0.99619233358872561</v>
      </c>
    </row>
    <row r="217" spans="1:14" ht="15" customHeight="1" x14ac:dyDescent="0.2">
      <c r="A217" s="132"/>
      <c r="B217" s="152" t="s">
        <v>733</v>
      </c>
      <c r="C217" s="147">
        <f ca="1">IF(C214="-","-",IF(ISNUMBER(FIND("ED only",$B$4)),SUMIFS(Sum_over_12,site_level_range,LEFT($B$4,LEN($B$4)-10),date_range,C206,inputdata!$E:$E,"*- ED*"),SUMIFS(Sum_over_12,site_level_range,$B$4,date_range,C206)))</f>
        <v>21</v>
      </c>
      <c r="D217" s="147">
        <f ca="1">IF(D214="-","-",IF(ISNUMBER(FIND("ED only",$B$4)),SUMIFS(Sum_over_12,site_level_range,LEFT($B$4,LEN($B$4)-10),date_range,D206,inputdata!$E:$E,"*- ED*"),SUMIFS(Sum_over_12,site_level_range,$B$4,date_range,D206)))</f>
        <v>22</v>
      </c>
      <c r="E217" s="147">
        <f ca="1">IF(E214="-","-",IF(ISNUMBER(FIND("ED only",$B$4)),SUMIFS(Sum_over_12,site_level_range,LEFT($B$4,LEN($B$4)-10),date_range,E206,inputdata!$E:$E,"*- ED*"),SUMIFS(Sum_over_12,site_level_range,$B$4,date_range,E206)))</f>
        <v>12</v>
      </c>
      <c r="F217" s="147">
        <f ca="1">IF(F214="-","-",IF(ISNUMBER(FIND("ED only",$B$4)),SUMIFS(Sum_over_12,site_level_range,LEFT($B$4,LEN($B$4)-10),date_range,F206,inputdata!$E:$E,"*- ED*"),SUMIFS(Sum_over_12,site_level_range,$B$4,date_range,F206)))</f>
        <v>7</v>
      </c>
      <c r="G217" s="147">
        <f ca="1">IF(G214="-","-",IF(ISNUMBER(FIND("ED only",$B$4)),SUMIFS(Sum_over_12,site_level_range,LEFT($B$4,LEN($B$4)-10),date_range,G206,inputdata!$E:$E,"*- ED*"),SUMIFS(Sum_over_12,site_level_range,$B$4,date_range,G206)))</f>
        <v>9</v>
      </c>
      <c r="H217" s="147">
        <f ca="1">IF(H214="-","-",IF(ISNUMBER(FIND("ED only",$B$4)),SUMIFS(Sum_over_12,site_level_range,LEFT($B$4,LEN($B$4)-10),date_range,H206,inputdata!$E:$E,"*- ED*"),SUMIFS(Sum_over_12,site_level_range,$B$4,date_range,H206)))</f>
        <v>24</v>
      </c>
      <c r="I217" s="147">
        <f ca="1">IF(I214="-","-",IF(ISNUMBER(FIND("ED only",$B$4)),SUMIFS(Sum_over_12,site_level_range,LEFT($B$4,LEN($B$4)-10),date_range,I206,inputdata!$E:$E,"*- ED*"),SUMIFS(Sum_over_12,site_level_range,$B$4,date_range,I206)))</f>
        <v>42</v>
      </c>
      <c r="J217" s="147">
        <f ca="1">IF(J214="-","-",IF(ISNUMBER(FIND("ED only",$B$4)),SUMIFS(Sum_over_12,site_level_range,LEFT($B$4,LEN($B$4)-10),date_range,J206,inputdata!$E:$E,"*- ED*"),SUMIFS(Sum_over_12,site_level_range,$B$4,date_range,J206)))</f>
        <v>59</v>
      </c>
      <c r="K217" s="147">
        <f ca="1">IF(K214="-","-",IF(ISNUMBER(FIND("ED only",$B$4)),SUMIFS(Sum_over_12,site_level_range,LEFT($B$4,LEN($B$4)-10),date_range,K206,inputdata!$E:$E,"*- ED*"),SUMIFS(Sum_over_12,site_level_range,$B$4,date_range,K206)))</f>
        <v>92</v>
      </c>
      <c r="L217" s="147">
        <f ca="1">IF(L214="-","-",IF(ISNUMBER(FIND("ED only",$B$4)),SUMIFS(Sum_over_12,site_level_range,LEFT($B$4,LEN($B$4)-10),date_range,L206,inputdata!$E:$E,"*- ED*"),SUMIFS(Sum_over_12,site_level_range,$B$4,date_range,L206)))</f>
        <v>187</v>
      </c>
      <c r="M217" s="147">
        <f ca="1">IF(M214="-","-",IF(ISNUMBER(FIND("ED only",$B$4)),SUMIFS(Sum_over_12,site_level_range,LEFT($B$4,LEN($B$4)-10),date_range,M206,inputdata!$E:$E,"*- ED*"),SUMIFS(Sum_over_12,site_level_range,$B$4,date_range,M206)))</f>
        <v>48</v>
      </c>
      <c r="N217" s="156">
        <f ca="1">IF(N214="-","-",IF(ISNUMBER(FIND("ED only",$B$4)),SUMIFS(Sum_over_12,site_level_range,LEFT($B$4,LEN($B$4)-10),date_range,N206,inputdata!$E:$E,"*- ED*"),SUMIFS(Sum_over_12,site_level_range,$B$4,date_range,N206)))</f>
        <v>74</v>
      </c>
    </row>
    <row r="218" spans="1:14" ht="15" customHeight="1" x14ac:dyDescent="0.2">
      <c r="A218" s="132"/>
      <c r="B218" s="154" t="s">
        <v>734</v>
      </c>
      <c r="C218" s="151">
        <f t="shared" ref="C218:N218" ca="1" si="51">IF(ISERROR(1-C217/C214),"-",1-C217/C214)</f>
        <v>0.99983356845091853</v>
      </c>
      <c r="D218" s="151">
        <f t="shared" ca="1" si="51"/>
        <v>0.99983995809812021</v>
      </c>
      <c r="E218" s="151">
        <f t="shared" ca="1" si="51"/>
        <v>0.99990839764581951</v>
      </c>
      <c r="F218" s="151">
        <f t="shared" ca="1" si="51"/>
        <v>0.99994310330813618</v>
      </c>
      <c r="G218" s="151">
        <f t="shared" ca="1" si="51"/>
        <v>0.99993187856218357</v>
      </c>
      <c r="H218" s="151">
        <f t="shared" ca="1" si="51"/>
        <v>0.99980904642558777</v>
      </c>
      <c r="I218" s="151">
        <f t="shared" ca="1" si="51"/>
        <v>0.99965603655840007</v>
      </c>
      <c r="J218" s="151">
        <f t="shared" ca="1" si="51"/>
        <v>0.99948462613556954</v>
      </c>
      <c r="K218" s="151">
        <f t="shared" ca="1" si="51"/>
        <v>0.99918887703552195</v>
      </c>
      <c r="L218" s="151">
        <f t="shared" ca="1" si="51"/>
        <v>0.99849759373970615</v>
      </c>
      <c r="M218" s="151">
        <f t="shared" ca="1" si="51"/>
        <v>0.9995689268073642</v>
      </c>
      <c r="N218" s="160">
        <f t="shared" ca="1" si="51"/>
        <v>0.99942730220643439</v>
      </c>
    </row>
    <row r="219" spans="1:14" ht="14.45" customHeight="1" x14ac:dyDescent="0.2">
      <c r="B219" s="127"/>
      <c r="C219" s="127"/>
      <c r="D219" s="127"/>
      <c r="E219" s="127"/>
      <c r="F219" s="127"/>
      <c r="G219" s="127"/>
      <c r="H219" s="127"/>
      <c r="I219" s="127"/>
      <c r="J219" s="127"/>
      <c r="K219" s="127"/>
      <c r="L219" s="127"/>
      <c r="M219" s="127"/>
      <c r="N219" s="127"/>
    </row>
    <row r="220" spans="1:14" ht="15" customHeight="1" x14ac:dyDescent="0.25">
      <c r="A220" s="132"/>
      <c r="B220" s="153" t="s">
        <v>723</v>
      </c>
      <c r="C220" s="149">
        <v>39933</v>
      </c>
      <c r="D220" s="149">
        <v>39964</v>
      </c>
      <c r="E220" s="149">
        <v>39994</v>
      </c>
      <c r="F220" s="149">
        <v>40025</v>
      </c>
      <c r="G220" s="149">
        <v>40056</v>
      </c>
      <c r="H220" s="149">
        <v>40086</v>
      </c>
      <c r="I220" s="149">
        <v>40117</v>
      </c>
      <c r="J220" s="149">
        <v>40147</v>
      </c>
      <c r="K220" s="149">
        <v>40178</v>
      </c>
      <c r="L220" s="149">
        <v>40209</v>
      </c>
      <c r="M220" s="149">
        <v>40237</v>
      </c>
      <c r="N220" s="158">
        <v>40268</v>
      </c>
    </row>
    <row r="221" spans="1:14" ht="15" customHeight="1" x14ac:dyDescent="0.2">
      <c r="A221" s="132"/>
      <c r="B221" s="152" t="s">
        <v>724</v>
      </c>
      <c r="C221" s="147">
        <f ca="1">IF(IF(ISNUMBER(FIND("ED only",$B$4)),SUMIFS(sum_range,site_level_range,LEFT($B$4,LEN($B$4)-10),date_range,C220,inputdata!$E:$E,"*- ED*"),SUMIFS(sum_range,site_level_range,$B$4,date_range,C220))=0,"-",IF(ISNUMBER(FIND("ED only",$B$4)),SUMIFS(sum_range,site_level_range,LEFT($B$4,LEN($B$4)-10),date_range,C220,inputdata!$E:$E,"*- ED*"),SUMIFS(sum_range,site_level_range,$B$4,date_range,C220)))</f>
        <v>138603</v>
      </c>
      <c r="D221" s="147">
        <f ca="1">IF(IF(ISNUMBER(FIND("ED only",$B$4)),SUMIFS(sum_range,site_level_range,LEFT($B$4,LEN($B$4)-10),date_range,D220,inputdata!$E:$E,"*- ED*"),SUMIFS(sum_range,site_level_range,$B$4,date_range,D220))=0,"-",IF(ISNUMBER(FIND("ED only",$B$4)),SUMIFS(sum_range,site_level_range,LEFT($B$4,LEN($B$4)-10),date_range,D220,inputdata!$E:$E,"*- ED*"),SUMIFS(sum_range,site_level_range,$B$4,date_range,D220)))</f>
        <v>143306</v>
      </c>
      <c r="E221" s="147">
        <f ca="1">IF(IF(ISNUMBER(FIND("ED only",$B$4)),SUMIFS(sum_range,site_level_range,LEFT($B$4,LEN($B$4)-10),date_range,E220,inputdata!$E:$E,"*- ED*"),SUMIFS(sum_range,site_level_range,$B$4,date_range,E220))=0,"-",IF(ISNUMBER(FIND("ED only",$B$4)),SUMIFS(sum_range,site_level_range,LEFT($B$4,LEN($B$4)-10),date_range,E220,inputdata!$E:$E,"*- ED*"),SUMIFS(sum_range,site_level_range,$B$4,date_range,E220)))</f>
        <v>142412</v>
      </c>
      <c r="F221" s="147">
        <f ca="1">IF(IF(ISNUMBER(FIND("ED only",$B$4)),SUMIFS(sum_range,site_level_range,LEFT($B$4,LEN($B$4)-10),date_range,F220,inputdata!$E:$E,"*- ED*"),SUMIFS(sum_range,site_level_range,$B$4,date_range,F220))=0,"-",IF(ISNUMBER(FIND("ED only",$B$4)),SUMIFS(sum_range,site_level_range,LEFT($B$4,LEN($B$4)-10),date_range,F220,inputdata!$E:$E,"*- ED*"),SUMIFS(sum_range,site_level_range,$B$4,date_range,F220)))</f>
        <v>139389</v>
      </c>
      <c r="G221" s="147">
        <f ca="1">IF(IF(ISNUMBER(FIND("ED only",$B$4)),SUMIFS(sum_range,site_level_range,LEFT($B$4,LEN($B$4)-10),date_range,G220,inputdata!$E:$E,"*- ED*"),SUMIFS(sum_range,site_level_range,$B$4,date_range,G220))=0,"-",IF(ISNUMBER(FIND("ED only",$B$4)),SUMIFS(sum_range,site_level_range,LEFT($B$4,LEN($B$4)-10),date_range,G220,inputdata!$E:$E,"*- ED*"),SUMIFS(sum_range,site_level_range,$B$4,date_range,G220)))</f>
        <v>139715</v>
      </c>
      <c r="H221" s="147">
        <f ca="1">IF(IF(ISNUMBER(FIND("ED only",$B$4)),SUMIFS(sum_range,site_level_range,LEFT($B$4,LEN($B$4)-10),date_range,H220,inputdata!$E:$E,"*- ED*"),SUMIFS(sum_range,site_level_range,$B$4,date_range,H220))=0,"-",IF(ISNUMBER(FIND("ED only",$B$4)),SUMIFS(sum_range,site_level_range,LEFT($B$4,LEN($B$4)-10),date_range,H220,inputdata!$E:$E,"*- ED*"),SUMIFS(sum_range,site_level_range,$B$4,date_range,H220)))</f>
        <v>137165</v>
      </c>
      <c r="I221" s="147">
        <f ca="1">IF(IF(ISNUMBER(FIND("ED only",$B$4)),SUMIFS(sum_range,site_level_range,LEFT($B$4,LEN($B$4)-10),date_range,I220,inputdata!$E:$E,"*- ED*"),SUMIFS(sum_range,site_level_range,$B$4,date_range,I220))=0,"-",IF(ISNUMBER(FIND("ED only",$B$4)),SUMIFS(sum_range,site_level_range,LEFT($B$4,LEN($B$4)-10),date_range,I220,inputdata!$E:$E,"*- ED*"),SUMIFS(sum_range,site_level_range,$B$4,date_range,I220)))</f>
        <v>133998</v>
      </c>
      <c r="J221" s="147">
        <f ca="1">IF(IF(ISNUMBER(FIND("ED only",$B$4)),SUMIFS(sum_range,site_level_range,LEFT($B$4,LEN($B$4)-10),date_range,J220,inputdata!$E:$E,"*- ED*"),SUMIFS(sum_range,site_level_range,$B$4,date_range,J220))=0,"-",IF(ISNUMBER(FIND("ED only",$B$4)),SUMIFS(sum_range,site_level_range,LEFT($B$4,LEN($B$4)-10),date_range,J220,inputdata!$E:$E,"*- ED*"),SUMIFS(sum_range,site_level_range,$B$4,date_range,J220)))</f>
        <v>129960</v>
      </c>
      <c r="K221" s="147">
        <f ca="1">IF(IF(ISNUMBER(FIND("ED only",$B$4)),SUMIFS(sum_range,site_level_range,LEFT($B$4,LEN($B$4)-10),date_range,K220,inputdata!$E:$E,"*- ED*"),SUMIFS(sum_range,site_level_range,$B$4,date_range,K220))=0,"-",IF(ISNUMBER(FIND("ED only",$B$4)),SUMIFS(sum_range,site_level_range,LEFT($B$4,LEN($B$4)-10),date_range,K220,inputdata!$E:$E,"*- ED*"),SUMIFS(sum_range,site_level_range,$B$4,date_range,K220)))</f>
        <v>129590</v>
      </c>
      <c r="L221" s="147">
        <f ca="1">IF(IF(ISNUMBER(FIND("ED only",$B$4)),SUMIFS(sum_range,site_level_range,LEFT($B$4,LEN($B$4)-10),date_range,L220,inputdata!$E:$E,"*- ED*"),SUMIFS(sum_range,site_level_range,$B$4,date_range,L220))=0,"-",IF(ISNUMBER(FIND("ED only",$B$4)),SUMIFS(sum_range,site_level_range,LEFT($B$4,LEN($B$4)-10),date_range,L220,inputdata!$E:$E,"*- ED*"),SUMIFS(sum_range,site_level_range,$B$4,date_range,L220)))</f>
        <v>125801</v>
      </c>
      <c r="M221" s="147">
        <f ca="1">IF(IF(ISNUMBER(FIND("ED only",$B$4)),SUMIFS(sum_range,site_level_range,LEFT($B$4,LEN($B$4)-10),date_range,M220,inputdata!$E:$E,"*- ED*"),SUMIFS(sum_range,site_level_range,$B$4,date_range,M220))=0,"-",IF(ISNUMBER(FIND("ED only",$B$4)),SUMIFS(sum_range,site_level_range,LEFT($B$4,LEN($B$4)-10),date_range,M220,inputdata!$E:$E,"*- ED*"),SUMIFS(sum_range,site_level_range,$B$4,date_range,M220)))</f>
        <v>116544</v>
      </c>
      <c r="N221" s="156">
        <f ca="1">IF(IF(ISNUMBER(FIND("ED only",$B$4)),SUMIFS(sum_range,site_level_range,LEFT($B$4,LEN($B$4)-10),date_range,N220,inputdata!$E:$E,"*- ED*"),SUMIFS(sum_range,site_level_range,$B$4,date_range,N220))=0,"-",IF(ISNUMBER(FIND("ED only",$B$4)),SUMIFS(sum_range,site_level_range,LEFT($B$4,LEN($B$4)-10),date_range,N220,inputdata!$E:$E,"*- ED*"),SUMIFS(sum_range,site_level_range,$B$4,date_range,N220)))</f>
        <v>137695</v>
      </c>
    </row>
    <row r="222" spans="1:14" ht="15" customHeight="1" x14ac:dyDescent="0.2">
      <c r="A222" s="132"/>
      <c r="B222" s="152" t="s">
        <v>725</v>
      </c>
      <c r="C222" s="147">
        <f ca="1">IF(AND(MONTH(C220)=3,ISNUMBER($N221),ISNUMBER($C221)),SUM($C221:C221),IF(AND(MONTH(C220)&lt;&gt;3,ISNUMBER(C221),ISNUMBER(D235)),SUM($C221:C221,D235:$N235),"-"))</f>
        <v>1581345</v>
      </c>
      <c r="D222" s="147">
        <f ca="1">IF(AND(MONTH(D220)=3,ISNUMBER($N221),ISNUMBER($C221)),SUM($C221:D221),IF(AND(MONTH(D220)&lt;&gt;3,ISNUMBER(D221),ISNUMBER(E235)),SUM($C221:D221,E235:$N235),"-"))</f>
        <v>1581227</v>
      </c>
      <c r="E222" s="147">
        <f ca="1">IF(AND(MONTH(E220)=3,ISNUMBER($N221),ISNUMBER($C221)),SUM($C221:E221),IF(AND(MONTH(E220)&lt;&gt;3,ISNUMBER(E221),ISNUMBER(F235)),SUM($C221:E221,F235:$N235),"-"))</f>
        <v>1587886</v>
      </c>
      <c r="F222" s="147">
        <f ca="1">IF(AND(MONTH(F220)=3,ISNUMBER($N221),ISNUMBER($C221)),SUM($C221:F221),IF(AND(MONTH(F220)&lt;&gt;3,ISNUMBER(F221),ISNUMBER(G235)),SUM($C221:F221,G235:$N235),"-"))</f>
        <v>1593979</v>
      </c>
      <c r="G222" s="147">
        <f ca="1">IF(AND(MONTH(G220)=3,ISNUMBER($N221),ISNUMBER($C221)),SUM($C221:G221),IF(AND(MONTH(G220)&lt;&gt;3,ISNUMBER(G221),ISNUMBER(H235)),SUM($C221:G221,H235:$N235),"-"))</f>
        <v>1597156</v>
      </c>
      <c r="H222" s="147">
        <f ca="1">IF(AND(MONTH(H220)=3,ISNUMBER($N221),ISNUMBER($C221)),SUM($C221:H221),IF(AND(MONTH(H220)&lt;&gt;3,ISNUMBER(H221),ISNUMBER(I235)),SUM($C221:H221,I235:$N235),"-"))</f>
        <v>1602131</v>
      </c>
      <c r="I222" s="147">
        <f ca="1">IF(AND(MONTH(I220)=3,ISNUMBER($N221),ISNUMBER($C221)),SUM($C221:I221),IF(AND(MONTH(I220)&lt;&gt;3,ISNUMBER(I221),ISNUMBER(J235)),SUM($C221:I221,J235:$N235),"-"))</f>
        <v>1610238</v>
      </c>
      <c r="J222" s="147">
        <f ca="1">IF(AND(MONTH(J220)=3,ISNUMBER($N221),ISNUMBER($C221)),SUM($C221:J221),IF(AND(MONTH(J220)&lt;&gt;3,ISNUMBER(J221),ISNUMBER(K235)),SUM($C221:J221,K235:$N235),"-"))</f>
        <v>1615111</v>
      </c>
      <c r="K222" s="147">
        <f ca="1">IF(AND(MONTH(K220)=3,ISNUMBER($N221),ISNUMBER($C221)),SUM($C221:K221),IF(AND(MONTH(K220)&lt;&gt;3,ISNUMBER(K221),ISNUMBER(L235)),SUM($C221:K221,L235:$N235),"-"))</f>
        <v>1616313</v>
      </c>
      <c r="L222" s="147">
        <f ca="1">IF(AND(MONTH(L220)=3,ISNUMBER($N221),ISNUMBER($C221)),SUM($C221:L221),IF(AND(MONTH(L220)&lt;&gt;3,ISNUMBER(L221),ISNUMBER(M235)),SUM($C221:L221,M235:$N235),"-"))</f>
        <v>1618016</v>
      </c>
      <c r="M222" s="147">
        <f ca="1">IF(AND(MONTH(M220)=3,ISNUMBER($N221),ISNUMBER($C221)),SUM($C221:M221),IF(AND(MONTH(M220)&lt;&gt;3,ISNUMBER(M221),ISNUMBER(N235)),SUM($C221:M221,N235:$N235),"-"))</f>
        <v>1616882</v>
      </c>
      <c r="N222" s="156">
        <f ca="1">IF(AND(MONTH(N220)=3,ISNUMBER($N221),ISNUMBER($C221)),SUM($C221:N221),IF(AND(MONTH(N220)&lt;&gt;3,ISNUMBER(N221),ISNUMBER(O235)),SUM($C221:N221,$N235:O235),"-"))</f>
        <v>1614178</v>
      </c>
    </row>
    <row r="223" spans="1:14" ht="15" customHeight="1" x14ac:dyDescent="0.2">
      <c r="A223" s="132"/>
      <c r="B223" s="154" t="s">
        <v>726</v>
      </c>
      <c r="C223" s="150">
        <f t="shared" ref="C223:N223" ca="1" si="52">IF(ISNUMBER(C222),C222/12,NA())</f>
        <v>131778.75</v>
      </c>
      <c r="D223" s="150">
        <f t="shared" ca="1" si="52"/>
        <v>131768.91666666666</v>
      </c>
      <c r="E223" s="150">
        <f t="shared" ca="1" si="52"/>
        <v>132323.83333333334</v>
      </c>
      <c r="F223" s="150">
        <f t="shared" ca="1" si="52"/>
        <v>132831.58333333334</v>
      </c>
      <c r="G223" s="150">
        <f t="shared" ca="1" si="52"/>
        <v>133096.33333333334</v>
      </c>
      <c r="H223" s="150">
        <f t="shared" ca="1" si="52"/>
        <v>133510.91666666666</v>
      </c>
      <c r="I223" s="150">
        <f t="shared" ca="1" si="52"/>
        <v>134186.5</v>
      </c>
      <c r="J223" s="150">
        <f t="shared" ca="1" si="52"/>
        <v>134592.58333333334</v>
      </c>
      <c r="K223" s="150">
        <f t="shared" ca="1" si="52"/>
        <v>134692.75</v>
      </c>
      <c r="L223" s="150">
        <f t="shared" ca="1" si="52"/>
        <v>134834.66666666666</v>
      </c>
      <c r="M223" s="150">
        <f t="shared" ca="1" si="52"/>
        <v>134740.16666666666</v>
      </c>
      <c r="N223" s="159">
        <f t="shared" ca="1" si="52"/>
        <v>134514.83333333334</v>
      </c>
    </row>
    <row r="224" spans="1:14" ht="15" customHeight="1" x14ac:dyDescent="0.2">
      <c r="A224" s="132"/>
      <c r="B224" s="152" t="s">
        <v>727</v>
      </c>
      <c r="C224" s="147">
        <f ca="1">IF(C221="-","-",C221-IF(ISNUMBER(FIND("ED only",$B$4)),SUMIFS(sum_over_4_tot,site_level_range,LEFT($B$4,LEN($B$4)-10),date_range,C220,inputdata!$E:$E,"*- ED*"),SUMIFS(sum_over_4_tot,site_level_range,$B$4,date_range,C220)))</f>
        <v>3726</v>
      </c>
      <c r="D224" s="147">
        <f ca="1">IF(D221="-","-",D221-IF(ISNUMBER(FIND("ED only",$B$4)),SUMIFS(sum_over_4_tot,site_level_range,LEFT($B$4,LEN($B$4)-10),date_range,D220,inputdata!$E:$E,"*- ED*"),SUMIFS(sum_over_4_tot,site_level_range,$B$4,date_range,D220)))</f>
        <v>3123</v>
      </c>
      <c r="E224" s="147">
        <f ca="1">IF(E221="-","-",E221-IF(ISNUMBER(FIND("ED only",$B$4)),SUMIFS(sum_over_4_tot,site_level_range,LEFT($B$4,LEN($B$4)-10),date_range,E220,inputdata!$E:$E,"*- ED*"),SUMIFS(sum_over_4_tot,site_level_range,$B$4,date_range,E220)))</f>
        <v>2943</v>
      </c>
      <c r="F224" s="147">
        <f ca="1">IF(F221="-","-",F221-IF(ISNUMBER(FIND("ED only",$B$4)),SUMIFS(sum_over_4_tot,site_level_range,LEFT($B$4,LEN($B$4)-10),date_range,F220,inputdata!$E:$E,"*- ED*"),SUMIFS(sum_over_4_tot,site_level_range,$B$4,date_range,F220)))</f>
        <v>2491</v>
      </c>
      <c r="G224" s="147">
        <f ca="1">IF(G221="-","-",G221-IF(ISNUMBER(FIND("ED only",$B$4)),SUMIFS(sum_over_4_tot,site_level_range,LEFT($B$4,LEN($B$4)-10),date_range,G220,inputdata!$E:$E,"*- ED*"),SUMIFS(sum_over_4_tot,site_level_range,$B$4,date_range,G220)))</f>
        <v>2759</v>
      </c>
      <c r="H224" s="147">
        <f ca="1">IF(H221="-","-",H221-IF(ISNUMBER(FIND("ED only",$B$4)),SUMIFS(sum_over_4_tot,site_level_range,LEFT($B$4,LEN($B$4)-10),date_range,H220,inputdata!$E:$E,"*- ED*"),SUMIFS(sum_over_4_tot,site_level_range,$B$4,date_range,H220)))</f>
        <v>2798</v>
      </c>
      <c r="I224" s="147">
        <f ca="1">IF(I221="-","-",I221-IF(ISNUMBER(FIND("ED only",$B$4)),SUMIFS(sum_over_4_tot,site_level_range,LEFT($B$4,LEN($B$4)-10),date_range,I220,inputdata!$E:$E,"*- ED*"),SUMIFS(sum_over_4_tot,site_level_range,$B$4,date_range,I220)))</f>
        <v>3463</v>
      </c>
      <c r="J224" s="147">
        <f ca="1">IF(J221="-","-",J221-IF(ISNUMBER(FIND("ED only",$B$4)),SUMIFS(sum_over_4_tot,site_level_range,LEFT($B$4,LEN($B$4)-10),date_range,J220,inputdata!$E:$E,"*- ED*"),SUMIFS(sum_over_4_tot,site_level_range,$B$4,date_range,J220)))</f>
        <v>3374</v>
      </c>
      <c r="K224" s="147">
        <f ca="1">IF(K221="-","-",K221-IF(ISNUMBER(FIND("ED only",$B$4)),SUMIFS(sum_over_4_tot,site_level_range,LEFT($B$4,LEN($B$4)-10),date_range,K220,inputdata!$E:$E,"*- ED*"),SUMIFS(sum_over_4_tot,site_level_range,$B$4,date_range,K220)))</f>
        <v>3660</v>
      </c>
      <c r="L224" s="147">
        <f ca="1">IF(L221="-","-",L221-IF(ISNUMBER(FIND("ED only",$B$4)),SUMIFS(sum_over_4_tot,site_level_range,LEFT($B$4,LEN($B$4)-10),date_range,L220,inputdata!$E:$E,"*- ED*"),SUMIFS(sum_over_4_tot,site_level_range,$B$4,date_range,L220)))</f>
        <v>5040</v>
      </c>
      <c r="M224" s="147">
        <f ca="1">IF(M221="-","-",M221-IF(ISNUMBER(FIND("ED only",$B$4)),SUMIFS(sum_over_4_tot,site_level_range,LEFT($B$4,LEN($B$4)-10),date_range,M220,inputdata!$E:$E,"*- ED*"),SUMIFS(sum_over_4_tot,site_level_range,$B$4,date_range,M220)))</f>
        <v>4205</v>
      </c>
      <c r="N224" s="156">
        <f ca="1">IF(N221="-","-",N221-IF(ISNUMBER(FIND("ED only",$B$4)),SUMIFS(sum_over_4_tot,site_level_range,LEFT($B$4,LEN($B$4)-10),date_range,N220,inputdata!$E:$E,"*- ED*"),SUMIFS(sum_over_4_tot,site_level_range,$B$4,date_range,N220)))</f>
        <v>4823</v>
      </c>
    </row>
    <row r="225" spans="1:14" ht="15" customHeight="1" x14ac:dyDescent="0.2">
      <c r="A225" s="132"/>
      <c r="B225" s="152" t="s">
        <v>728</v>
      </c>
      <c r="C225" s="148">
        <f t="shared" ref="C225:N225" ca="1" si="53">IF(ISERROR(1-C224/C221),NA(),(1-C224/C221))</f>
        <v>0.97311746498993523</v>
      </c>
      <c r="D225" s="148">
        <f t="shared" ca="1" si="53"/>
        <v>0.97820747212259085</v>
      </c>
      <c r="E225" s="148">
        <f t="shared" ca="1" si="53"/>
        <v>0.97933460663427241</v>
      </c>
      <c r="F225" s="148">
        <f t="shared" ca="1" si="53"/>
        <v>0.98212914935898821</v>
      </c>
      <c r="G225" s="148">
        <f t="shared" ca="1" si="53"/>
        <v>0.9802526571950041</v>
      </c>
      <c r="H225" s="148">
        <f t="shared" ca="1" si="53"/>
        <v>0.97960121022126634</v>
      </c>
      <c r="I225" s="148">
        <f t="shared" ca="1" si="53"/>
        <v>0.97415633069150287</v>
      </c>
      <c r="J225" s="148">
        <f t="shared" ca="1" si="53"/>
        <v>0.97403816558941214</v>
      </c>
      <c r="K225" s="148">
        <f t="shared" ca="1" si="53"/>
        <v>0.97175708002160666</v>
      </c>
      <c r="L225" s="148">
        <f t="shared" ca="1" si="53"/>
        <v>0.95993672546323161</v>
      </c>
      <c r="M225" s="148">
        <f t="shared" ca="1" si="53"/>
        <v>0.9639192064799561</v>
      </c>
      <c r="N225" s="157">
        <f t="shared" ca="1" si="53"/>
        <v>0.96497331057772617</v>
      </c>
    </row>
    <row r="226" spans="1:14" ht="15" customHeight="1" x14ac:dyDescent="0.2">
      <c r="A226" s="132"/>
      <c r="B226" s="154" t="s">
        <v>729</v>
      </c>
      <c r="C226" s="151">
        <f ca="1">IF(ISERROR(C223),NA(),IF(AND(MONTH(C220)=3,ISNUMBER($N221),ISNUMBER($C221)),1-(SUM($C224:$N224)/SUM($C221:$N221)),IF(AND(MONTH(C220)&lt;&gt;3,ISNUMBER(C221),ISNUMBER(D235)),1-(SUM(D238:$N238,$C224:C224)/SUM($C221:C221,D235:$N235)),NA())))</f>
        <v>0.97685577783469135</v>
      </c>
      <c r="D226" s="151">
        <f ca="1">IF(ISERROR(D223),NA(),IF(AND(MONTH(D220)=3,ISNUMBER($N221),ISNUMBER($C221)),1-(SUM($C224:$N224)/SUM($C221:$N221)),IF(AND(MONTH(D220)&lt;&gt;3,ISNUMBER(D221),ISNUMBER(E235)),1-(SUM(E238:$N238,$C224:D224)/SUM($C221:D221,E235:$N235)),NA())))</f>
        <v>0.9765852720703605</v>
      </c>
      <c r="E226" s="151">
        <f ca="1">IF(ISERROR(E223),NA(),IF(AND(MONTH(E220)=3,ISNUMBER($N221),ISNUMBER($C221)),1-(SUM($C224:$N224)/SUM($C221:$N221)),IF(AND(MONTH(E220)&lt;&gt;3,ISNUMBER(E221),ISNUMBER(F235)),1-(SUM(F238:$N238,$C224:E224)/SUM($C221:E221,F235:$N235)),NA())))</f>
        <v>0.97637361876104456</v>
      </c>
      <c r="F226" s="151">
        <f ca="1">IF(ISERROR(F223),NA(),IF(AND(MONTH(F220)=3,ISNUMBER($N221),ISNUMBER($C221)),1-(SUM($C224:$N224)/SUM($C221:$N221)),IF(AND(MONTH(F220)&lt;&gt;3,ISNUMBER(F221),ISNUMBER(G235)),1-(SUM(G238:$N238,$C224:F224)/SUM($C221:F221,G235:$N235)),NA())))</f>
        <v>0.97613331166847239</v>
      </c>
      <c r="G226" s="151">
        <f ca="1">IF(ISERROR(G223),NA(),IF(AND(MONTH(G220)=3,ISNUMBER($N221),ISNUMBER($C221)),1-(SUM($C224:$N224)/SUM($C221:$N221)),IF(AND(MONTH(G220)&lt;&gt;3,ISNUMBER(G221),ISNUMBER(H235)),1-(SUM(H238:$N238,$C224:G224)/SUM($C221:G221,H235:$N235)),NA())))</f>
        <v>0.97632980122167157</v>
      </c>
      <c r="H226" s="151">
        <f ca="1">IF(ISERROR(H223),NA(),IF(AND(MONTH(H220)=3,ISNUMBER($N221),ISNUMBER($C221)),1-(SUM($C224:$N224)/SUM($C221:$N221)),IF(AND(MONTH(H220)&lt;&gt;3,ISNUMBER(H221),ISNUMBER(I235)),1-(SUM(I238:$N238,$C224:H224)/SUM($C221:H221,I235:$N235)),NA())))</f>
        <v>0.97616799125664511</v>
      </c>
      <c r="I226" s="151">
        <f ca="1">IF(ISERROR(I223),NA(),IF(AND(MONTH(I220)=3,ISNUMBER($N221),ISNUMBER($C221)),1-(SUM($C224:$N224)/SUM($C221:$N221)),IF(AND(MONTH(I220)&lt;&gt;3,ISNUMBER(I221),ISNUMBER(J235)),1-(SUM(J238:$N238,$C224:I224)/SUM($C221:I221,J235:$N235)),NA())))</f>
        <v>0.97561105873790088</v>
      </c>
      <c r="J226" s="151">
        <f ca="1">IF(ISERROR(J223),NA(),IF(AND(MONTH(J220)=3,ISNUMBER($N221),ISNUMBER($C221)),1-(SUM($C224:$N224)/SUM($C221:$N221)),IF(AND(MONTH(J220)&lt;&gt;3,ISNUMBER(J221),ISNUMBER(K235)),1-(SUM(K238:$N238,$C224:J224)/SUM($C221:J221,K235:$N235)),NA())))</f>
        <v>0.97539487998038521</v>
      </c>
      <c r="K226" s="151">
        <f ca="1">IF(ISERROR(K223),NA(),IF(AND(MONTH(K220)=3,ISNUMBER($N221),ISNUMBER($C221)),1-(SUM($C224:$N224)/SUM($C221:$N221)),IF(AND(MONTH(K220)&lt;&gt;3,ISNUMBER(K221),ISNUMBER(L235)),1-(SUM(L238:$N238,$C224:K224)/SUM($C221:K221,L235:$N235)),NA())))</f>
        <v>0.97582275215258429</v>
      </c>
      <c r="L226" s="151">
        <f ca="1">IF(ISERROR(L223),NA(),IF(AND(MONTH(L220)=3,ISNUMBER($N221),ISNUMBER($C221)),1-(SUM($C224:$N224)/SUM($C221:$N221)),IF(AND(MONTH(L220)&lt;&gt;3,ISNUMBER(L221),ISNUMBER(M235)),1-(SUM(M238:$N238,$C224:L224)/SUM($C221:L221,M235:$N235)),NA())))</f>
        <v>0.97543102169570639</v>
      </c>
      <c r="M226" s="151">
        <f ca="1">IF(ISERROR(M223),NA(),IF(AND(MONTH(M220)=3,ISNUMBER($N221),ISNUMBER($C221)),1-(SUM($C224:$N224)/SUM($C221:$N221)),IF(AND(MONTH(M220)&lt;&gt;3,ISNUMBER(M221),ISNUMBER(N235)),1-(SUM(N238:$N238,$C224:M224)/SUM($C221:M221,N235:$N235)),NA())))</f>
        <v>0.97476934000131121</v>
      </c>
      <c r="N226" s="160">
        <f ca="1">IF(ISERROR(N223),NA(),IF(AND(MONTH(N220)=3,ISNUMBER($N221),ISNUMBER($C221)),1-(SUM($C224:$N224)/SUM($C221:$N221)),IF(AND(MONTH(N220)&lt;&gt;3,ISNUMBER(N221),ISNUMBER(O235)),1-(SUM($N238:O238,$C224:N224)/SUM($C221:N221,$N235:O235)),NA())))</f>
        <v>0.9737296630235327</v>
      </c>
    </row>
    <row r="227" spans="1:14" ht="15" x14ac:dyDescent="0.25">
      <c r="A227" s="132"/>
      <c r="B227" s="155" t="s">
        <v>730</v>
      </c>
      <c r="C227" s="127"/>
      <c r="D227" s="127"/>
      <c r="E227" s="127"/>
      <c r="F227" s="127"/>
      <c r="G227" s="127"/>
      <c r="H227" s="127"/>
      <c r="I227" s="127"/>
      <c r="J227" s="127"/>
      <c r="K227" s="127"/>
      <c r="L227" s="127"/>
      <c r="M227" s="127"/>
      <c r="N227" s="161"/>
    </row>
    <row r="228" spans="1:14" ht="15" customHeight="1" x14ac:dyDescent="0.2">
      <c r="A228" s="132"/>
      <c r="B228" s="154" t="s">
        <v>724</v>
      </c>
      <c r="C228" s="150">
        <f ca="1">IF(IF(ISNUMBER(FIND("ED only",$B$4)),SUMIFS(Sum_total_epi,site_level_range,LEFT($B$4,LEN($B$4)-10),date_range,C220,inputdata!$E:$E,"*- ED*"),SUMIFS(Sum_total_epi,site_level_range,$B$4,date_range,C220))=0,"-",IF(ISNUMBER(FIND("ED only",$B$4)),SUMIFS(Sum_total_epi,site_level_range,LEFT($B$4,LEN($B$4)-10),date_range,C220,inputdata!$E:$E,"*- ED*"),SUMIFS(Sum_total_epi,site_level_range,$B$4,date_range,C220)))</f>
        <v>127411</v>
      </c>
      <c r="D228" s="150">
        <f ca="1">IF(IF(ISNUMBER(FIND("ED only",$B$4)),SUMIFS(Sum_total_epi,site_level_range,LEFT($B$4,LEN($B$4)-10),date_range,D220,inputdata!$E:$E,"*- ED*"),SUMIFS(Sum_total_epi,site_level_range,$B$4,date_range,D220))=0,"-",IF(ISNUMBER(FIND("ED only",$B$4)),SUMIFS(Sum_total_epi,site_level_range,LEFT($B$4,LEN($B$4)-10),date_range,D220,inputdata!$E:$E,"*- ED*"),SUMIFS(Sum_total_epi,site_level_range,$B$4,date_range,D220)))</f>
        <v>131399</v>
      </c>
      <c r="E228" s="150">
        <f ca="1">IF(IF(ISNUMBER(FIND("ED only",$B$4)),SUMIFS(Sum_total_epi,site_level_range,LEFT($B$4,LEN($B$4)-10),date_range,E220,inputdata!$E:$E,"*- ED*"),SUMIFS(Sum_total_epi,site_level_range,$B$4,date_range,E220))=0,"-",IF(ISNUMBER(FIND("ED only",$B$4)),SUMIFS(Sum_total_epi,site_level_range,LEFT($B$4,LEN($B$4)-10),date_range,E220,inputdata!$E:$E,"*- ED*"),SUMIFS(Sum_total_epi,site_level_range,$B$4,date_range,E220)))</f>
        <v>130281</v>
      </c>
      <c r="F228" s="150">
        <f ca="1">IF(IF(ISNUMBER(FIND("ED only",$B$4)),SUMIFS(Sum_total_epi,site_level_range,LEFT($B$4,LEN($B$4)-10),date_range,F220,inputdata!$E:$E,"*- ED*"),SUMIFS(Sum_total_epi,site_level_range,$B$4,date_range,F220))=0,"-",IF(ISNUMBER(FIND("ED only",$B$4)),SUMIFS(Sum_total_epi,site_level_range,LEFT($B$4,LEN($B$4)-10),date_range,F220,inputdata!$E:$E,"*- ED*"),SUMIFS(Sum_total_epi,site_level_range,$B$4,date_range,F220)))</f>
        <v>126681</v>
      </c>
      <c r="G228" s="150">
        <f ca="1">IF(IF(ISNUMBER(FIND("ED only",$B$4)),SUMIFS(Sum_total_epi,site_level_range,LEFT($B$4,LEN($B$4)-10),date_range,G220,inputdata!$E:$E,"*- ED*"),SUMIFS(Sum_total_epi,site_level_range,$B$4,date_range,G220))=0,"-",IF(ISNUMBER(FIND("ED only",$B$4)),SUMIFS(Sum_total_epi,site_level_range,LEFT($B$4,LEN($B$4)-10),date_range,G220,inputdata!$E:$E,"*- ED*"),SUMIFS(Sum_total_epi,site_level_range,$B$4,date_range,G220)))</f>
        <v>127292</v>
      </c>
      <c r="H228" s="150">
        <f ca="1">IF(IF(ISNUMBER(FIND("ED only",$B$4)),SUMIFS(Sum_total_epi,site_level_range,LEFT($B$4,LEN($B$4)-10),date_range,H220,inputdata!$E:$E,"*- ED*"),SUMIFS(Sum_total_epi,site_level_range,$B$4,date_range,H220))=0,"-",IF(ISNUMBER(FIND("ED only",$B$4)),SUMIFS(Sum_total_epi,site_level_range,LEFT($B$4,LEN($B$4)-10),date_range,H220,inputdata!$E:$E,"*- ED*"),SUMIFS(Sum_total_epi,site_level_range,$B$4,date_range,H220)))</f>
        <v>125839</v>
      </c>
      <c r="I228" s="150">
        <f ca="1">IF(IF(ISNUMBER(FIND("ED only",$B$4)),SUMIFS(Sum_total_epi,site_level_range,LEFT($B$4,LEN($B$4)-10),date_range,I220,inputdata!$E:$E,"*- ED*"),SUMIFS(Sum_total_epi,site_level_range,$B$4,date_range,I220))=0,"-",IF(ISNUMBER(FIND("ED only",$B$4)),SUMIFS(Sum_total_epi,site_level_range,LEFT($B$4,LEN($B$4)-10),date_range,I220,inputdata!$E:$E,"*- ED*"),SUMIFS(Sum_total_epi,site_level_range,$B$4,date_range,I220)))</f>
        <v>123943</v>
      </c>
      <c r="J228" s="150">
        <f ca="1">IF(IF(ISNUMBER(FIND("ED only",$B$4)),SUMIFS(Sum_total_epi,site_level_range,LEFT($B$4,LEN($B$4)-10),date_range,J220,inputdata!$E:$E,"*- ED*"),SUMIFS(Sum_total_epi,site_level_range,$B$4,date_range,J220))=0,"-",IF(ISNUMBER(FIND("ED only",$B$4)),SUMIFS(Sum_total_epi,site_level_range,LEFT($B$4,LEN($B$4)-10),date_range,J220,inputdata!$E:$E,"*- ED*"),SUMIFS(Sum_total_epi,site_level_range,$B$4,date_range,J220)))</f>
        <v>120476</v>
      </c>
      <c r="K228" s="150">
        <f ca="1">IF(IF(ISNUMBER(FIND("ED only",$B$4)),SUMIFS(Sum_total_epi,site_level_range,LEFT($B$4,LEN($B$4)-10),date_range,K220,inputdata!$E:$E,"*- ED*"),SUMIFS(Sum_total_epi,site_level_range,$B$4,date_range,K220))=0,"-",IF(ISNUMBER(FIND("ED only",$B$4)),SUMIFS(Sum_total_epi,site_level_range,LEFT($B$4,LEN($B$4)-10),date_range,K220,inputdata!$E:$E,"*- ED*"),SUMIFS(Sum_total_epi,site_level_range,$B$4,date_range,K220)))</f>
        <v>119943</v>
      </c>
      <c r="L228" s="150">
        <f ca="1">IF(IF(ISNUMBER(FIND("ED only",$B$4)),SUMIFS(Sum_total_epi,site_level_range,LEFT($B$4,LEN($B$4)-10),date_range,L220,inputdata!$E:$E,"*- ED*"),SUMIFS(Sum_total_epi,site_level_range,$B$4,date_range,L220))=0,"-",IF(ISNUMBER(FIND("ED only",$B$4)),SUMIFS(Sum_total_epi,site_level_range,LEFT($B$4,LEN($B$4)-10),date_range,L220,inputdata!$E:$E,"*- ED*"),SUMIFS(Sum_total_epi,site_level_range,$B$4,date_range,L220)))</f>
        <v>116907</v>
      </c>
      <c r="M228" s="150">
        <f ca="1">IF(IF(ISNUMBER(FIND("ED only",$B$4)),SUMIFS(Sum_total_epi,site_level_range,LEFT($B$4,LEN($B$4)-10),date_range,M220,inputdata!$E:$E,"*- ED*"),SUMIFS(Sum_total_epi,site_level_range,$B$4,date_range,M220))=0,"-",IF(ISNUMBER(FIND("ED only",$B$4)),SUMIFS(Sum_total_epi,site_level_range,LEFT($B$4,LEN($B$4)-10),date_range,M220,inputdata!$E:$E,"*- ED*"),SUMIFS(Sum_total_epi,site_level_range,$B$4,date_range,M220)))</f>
        <v>108230</v>
      </c>
      <c r="N228" s="159">
        <f ca="1">IF(IF(ISNUMBER(FIND("ED only",$B$4)),SUMIFS(Sum_total_epi,site_level_range,LEFT($B$4,LEN($B$4)-10),date_range,N220,inputdata!$E:$E,"*- ED*"),SUMIFS(Sum_total_epi,site_level_range,$B$4,date_range,N220))=0,"-",IF(ISNUMBER(FIND("ED only",$B$4)),SUMIFS(Sum_total_epi,site_level_range,LEFT($B$4,LEN($B$4)-10),date_range,N220,inputdata!$E:$E,"*- ED*"),SUMIFS(Sum_total_epi,site_level_range,$B$4,date_range,N220)))</f>
        <v>127905</v>
      </c>
    </row>
    <row r="229" spans="1:14" ht="15" customHeight="1" x14ac:dyDescent="0.2">
      <c r="A229" s="132"/>
      <c r="B229" s="152" t="s">
        <v>731</v>
      </c>
      <c r="C229" s="147">
        <f ca="1">IF(C228="-","-",IF(ISNUMBER(FIND("ED only",$B$4)),SUMIFS(Sum_over_8,site_level_range,LEFT($B$4,LEN($B$4)-10),date_range,C220,inputdata!$E:$E,"*- ED*"),SUMIFS(Sum_over_8,site_level_range,$B$4,date_range,C220)))</f>
        <v>205</v>
      </c>
      <c r="D229" s="147">
        <f ca="1">IF(D228="-","-",IF(ISNUMBER(FIND("ED only",$B$4)),SUMIFS(Sum_over_8,site_level_range,LEFT($B$4,LEN($B$4)-10),date_range,D220,inputdata!$E:$E,"*- ED*"),SUMIFS(Sum_over_8,site_level_range,$B$4,date_range,D220)))</f>
        <v>160</v>
      </c>
      <c r="E229" s="147">
        <f ca="1">IF(E228="-","-",IF(ISNUMBER(FIND("ED only",$B$4)),SUMIFS(Sum_over_8,site_level_range,LEFT($B$4,LEN($B$4)-10),date_range,E220,inputdata!$E:$E,"*- ED*"),SUMIFS(Sum_over_8,site_level_range,$B$4,date_range,E220)))</f>
        <v>139</v>
      </c>
      <c r="F229" s="147">
        <f ca="1">IF(F228="-","-",IF(ISNUMBER(FIND("ED only",$B$4)),SUMIFS(Sum_over_8,site_level_range,LEFT($B$4,LEN($B$4)-10),date_range,F220,inputdata!$E:$E,"*- ED*"),SUMIFS(Sum_over_8,site_level_range,$B$4,date_range,F220)))</f>
        <v>105</v>
      </c>
      <c r="G229" s="147">
        <f ca="1">IF(G228="-","-",IF(ISNUMBER(FIND("ED only",$B$4)),SUMIFS(Sum_over_8,site_level_range,LEFT($B$4,LEN($B$4)-10),date_range,G220,inputdata!$E:$E,"*- ED*"),SUMIFS(Sum_over_8,site_level_range,$B$4,date_range,G220)))</f>
        <v>74</v>
      </c>
      <c r="H229" s="147">
        <f ca="1">IF(H228="-","-",IF(ISNUMBER(FIND("ED only",$B$4)),SUMIFS(Sum_over_8,site_level_range,LEFT($B$4,LEN($B$4)-10),date_range,H220,inputdata!$E:$E,"*- ED*"),SUMIFS(Sum_over_8,site_level_range,$B$4,date_range,H220)))</f>
        <v>75</v>
      </c>
      <c r="I229" s="147">
        <f ca="1">IF(I228="-","-",IF(ISNUMBER(FIND("ED only",$B$4)),SUMIFS(Sum_over_8,site_level_range,LEFT($B$4,LEN($B$4)-10),date_range,I220,inputdata!$E:$E,"*- ED*"),SUMIFS(Sum_over_8,site_level_range,$B$4,date_range,I220)))</f>
        <v>172</v>
      </c>
      <c r="J229" s="147">
        <f ca="1">IF(J228="-","-",IF(ISNUMBER(FIND("ED only",$B$4)),SUMIFS(Sum_over_8,site_level_range,LEFT($B$4,LEN($B$4)-10),date_range,J220,inputdata!$E:$E,"*- ED*"),SUMIFS(Sum_over_8,site_level_range,$B$4,date_range,J220)))</f>
        <v>146</v>
      </c>
      <c r="K229" s="147">
        <f ca="1">IF(K228="-","-",IF(ISNUMBER(FIND("ED only",$B$4)),SUMIFS(Sum_over_8,site_level_range,LEFT($B$4,LEN($B$4)-10),date_range,K220,inputdata!$E:$E,"*- ED*"),SUMIFS(Sum_over_8,site_level_range,$B$4,date_range,K220)))</f>
        <v>185</v>
      </c>
      <c r="L229" s="147">
        <f ca="1">IF(L228="-","-",IF(ISNUMBER(FIND("ED only",$B$4)),SUMIFS(Sum_over_8,site_level_range,LEFT($B$4,LEN($B$4)-10),date_range,L220,inputdata!$E:$E,"*- ED*"),SUMIFS(Sum_over_8,site_level_range,$B$4,date_range,L220)))</f>
        <v>474</v>
      </c>
      <c r="M229" s="147">
        <f ca="1">IF(M228="-","-",IF(ISNUMBER(FIND("ED only",$B$4)),SUMIFS(Sum_over_8,site_level_range,LEFT($B$4,LEN($B$4)-10),date_range,M220,inputdata!$E:$E,"*- ED*"),SUMIFS(Sum_over_8,site_level_range,$B$4,date_range,M220)))</f>
        <v>286</v>
      </c>
      <c r="N229" s="156">
        <f ca="1">IF(N228="-","-",IF(ISNUMBER(FIND("ED only",$B$4)),SUMIFS(Sum_over_8,site_level_range,LEFT($B$4,LEN($B$4)-10),date_range,N220,inputdata!$E:$E,"*- ED*"),SUMIFS(Sum_over_8,site_level_range,$B$4,date_range,N220)))</f>
        <v>269</v>
      </c>
    </row>
    <row r="230" spans="1:14" ht="15" customHeight="1" x14ac:dyDescent="0.2">
      <c r="A230" s="132"/>
      <c r="B230" s="154" t="s">
        <v>732</v>
      </c>
      <c r="C230" s="151">
        <f t="shared" ref="C230:N230" ca="1" si="54">IF(ISERROR(1-C229/C228),"-",1-C229/C228)</f>
        <v>0.99839103374119975</v>
      </c>
      <c r="D230" s="151">
        <f t="shared" ca="1" si="54"/>
        <v>0.99878233472096434</v>
      </c>
      <c r="E230" s="151">
        <f t="shared" ca="1" si="54"/>
        <v>0.99893307542926446</v>
      </c>
      <c r="F230" s="151">
        <f t="shared" ca="1" si="54"/>
        <v>0.99917114642290472</v>
      </c>
      <c r="G230" s="151">
        <f t="shared" ca="1" si="54"/>
        <v>0.99941865946013886</v>
      </c>
      <c r="H230" s="151">
        <f t="shared" ca="1" si="54"/>
        <v>0.99940400034965315</v>
      </c>
      <c r="I230" s="151">
        <f t="shared" ca="1" si="54"/>
        <v>0.99861226531550795</v>
      </c>
      <c r="J230" s="151">
        <f t="shared" ca="1" si="54"/>
        <v>0.99878814037650654</v>
      </c>
      <c r="K230" s="151">
        <f t="shared" ca="1" si="54"/>
        <v>0.99845760069366285</v>
      </c>
      <c r="L230" s="151">
        <f t="shared" ca="1" si="54"/>
        <v>0.99594549513716035</v>
      </c>
      <c r="M230" s="151">
        <f t="shared" ca="1" si="54"/>
        <v>0.99735747944192921</v>
      </c>
      <c r="N230" s="160">
        <f t="shared" ca="1" si="54"/>
        <v>0.99789687658809267</v>
      </c>
    </row>
    <row r="231" spans="1:14" ht="15" customHeight="1" x14ac:dyDescent="0.2">
      <c r="A231" s="132"/>
      <c r="B231" s="152" t="s">
        <v>733</v>
      </c>
      <c r="C231" s="147">
        <f ca="1">IF(C228="-","-",IF(ISNUMBER(FIND("ED only",$B$4)),SUMIFS(Sum_over_12,site_level_range,LEFT($B$4,LEN($B$4)-10),date_range,C220,inputdata!$E:$E,"*- ED*"),SUMIFS(Sum_over_12,site_level_range,$B$4,date_range,C220)))</f>
        <v>23</v>
      </c>
      <c r="D231" s="147">
        <f ca="1">IF(D228="-","-",IF(ISNUMBER(FIND("ED only",$B$4)),SUMIFS(Sum_over_12,site_level_range,LEFT($B$4,LEN($B$4)-10),date_range,D220,inputdata!$E:$E,"*- ED*"),SUMIFS(Sum_over_12,site_level_range,$B$4,date_range,D220)))</f>
        <v>32</v>
      </c>
      <c r="E231" s="147">
        <f ca="1">IF(E228="-","-",IF(ISNUMBER(FIND("ED only",$B$4)),SUMIFS(Sum_over_12,site_level_range,LEFT($B$4,LEN($B$4)-10),date_range,E220,inputdata!$E:$E,"*- ED*"),SUMIFS(Sum_over_12,site_level_range,$B$4,date_range,E220)))</f>
        <v>24</v>
      </c>
      <c r="F231" s="147">
        <f ca="1">IF(F228="-","-",IF(ISNUMBER(FIND("ED only",$B$4)),SUMIFS(Sum_over_12,site_level_range,LEFT($B$4,LEN($B$4)-10),date_range,F220,inputdata!$E:$E,"*- ED*"),SUMIFS(Sum_over_12,site_level_range,$B$4,date_range,F220)))</f>
        <v>10</v>
      </c>
      <c r="G231" s="147">
        <f ca="1">IF(G228="-","-",IF(ISNUMBER(FIND("ED only",$B$4)),SUMIFS(Sum_over_12,site_level_range,LEFT($B$4,LEN($B$4)-10),date_range,G220,inputdata!$E:$E,"*- ED*"),SUMIFS(Sum_over_12,site_level_range,$B$4,date_range,G220)))</f>
        <v>11</v>
      </c>
      <c r="H231" s="147">
        <f ca="1">IF(H228="-","-",IF(ISNUMBER(FIND("ED only",$B$4)),SUMIFS(Sum_over_12,site_level_range,LEFT($B$4,LEN($B$4)-10),date_range,H220,inputdata!$E:$E,"*- ED*"),SUMIFS(Sum_over_12,site_level_range,$B$4,date_range,H220)))</f>
        <v>0</v>
      </c>
      <c r="I231" s="147">
        <f ca="1">IF(I228="-","-",IF(ISNUMBER(FIND("ED only",$B$4)),SUMIFS(Sum_over_12,site_level_range,LEFT($B$4,LEN($B$4)-10),date_range,I220,inputdata!$E:$E,"*- ED*"),SUMIFS(Sum_over_12,site_level_range,$B$4,date_range,I220)))</f>
        <v>34</v>
      </c>
      <c r="J231" s="147">
        <f ca="1">IF(J228="-","-",IF(ISNUMBER(FIND("ED only",$B$4)),SUMIFS(Sum_over_12,site_level_range,LEFT($B$4,LEN($B$4)-10),date_range,J220,inputdata!$E:$E,"*- ED*"),SUMIFS(Sum_over_12,site_level_range,$B$4,date_range,J220)))</f>
        <v>10</v>
      </c>
      <c r="K231" s="147">
        <f ca="1">IF(K228="-","-",IF(ISNUMBER(FIND("ED only",$B$4)),SUMIFS(Sum_over_12,site_level_range,LEFT($B$4,LEN($B$4)-10),date_range,K220,inputdata!$E:$E,"*- ED*"),SUMIFS(Sum_over_12,site_level_range,$B$4,date_range,K220)))</f>
        <v>22</v>
      </c>
      <c r="L231" s="147">
        <f ca="1">IF(L228="-","-",IF(ISNUMBER(FIND("ED only",$B$4)),SUMIFS(Sum_over_12,site_level_range,LEFT($B$4,LEN($B$4)-10),date_range,L220,inputdata!$E:$E,"*- ED*"),SUMIFS(Sum_over_12,site_level_range,$B$4,date_range,L220)))</f>
        <v>46</v>
      </c>
      <c r="M231" s="147">
        <f ca="1">IF(M228="-","-",IF(ISNUMBER(FIND("ED only",$B$4)),SUMIFS(Sum_over_12,site_level_range,LEFT($B$4,LEN($B$4)-10),date_range,M220,inputdata!$E:$E,"*- ED*"),SUMIFS(Sum_over_12,site_level_range,$B$4,date_range,M220)))</f>
        <v>49</v>
      </c>
      <c r="N231" s="156">
        <f ca="1">IF(N228="-","-",IF(ISNUMBER(FIND("ED only",$B$4)),SUMIFS(Sum_over_12,site_level_range,LEFT($B$4,LEN($B$4)-10),date_range,N220,inputdata!$E:$E,"*- ED*"),SUMIFS(Sum_over_12,site_level_range,$B$4,date_range,N220)))</f>
        <v>35</v>
      </c>
    </row>
    <row r="232" spans="1:14" ht="15" customHeight="1" x14ac:dyDescent="0.2">
      <c r="A232" s="132"/>
      <c r="B232" s="154" t="s">
        <v>734</v>
      </c>
      <c r="C232" s="151">
        <f t="shared" ref="C232:N232" ca="1" si="55">IF(ISERROR(1-C231/C228),"-",1-C231/C228)</f>
        <v>0.99981948183437852</v>
      </c>
      <c r="D232" s="151">
        <f t="shared" ca="1" si="55"/>
        <v>0.99975646694419285</v>
      </c>
      <c r="E232" s="151">
        <f t="shared" ca="1" si="55"/>
        <v>0.9998157828079306</v>
      </c>
      <c r="F232" s="151">
        <f t="shared" ca="1" si="55"/>
        <v>0.99992106156408622</v>
      </c>
      <c r="G232" s="151">
        <f t="shared" ca="1" si="55"/>
        <v>0.99991358451434498</v>
      </c>
      <c r="H232" s="151">
        <f t="shared" ca="1" si="55"/>
        <v>1</v>
      </c>
      <c r="I232" s="151">
        <f t="shared" ca="1" si="55"/>
        <v>0.99972568035306553</v>
      </c>
      <c r="J232" s="151">
        <f t="shared" ca="1" si="55"/>
        <v>0.99991699591619909</v>
      </c>
      <c r="K232" s="151">
        <f t="shared" ca="1" si="55"/>
        <v>0.99981657954194914</v>
      </c>
      <c r="L232" s="151">
        <f t="shared" ca="1" si="55"/>
        <v>0.99960652484453449</v>
      </c>
      <c r="M232" s="151">
        <f t="shared" ca="1" si="55"/>
        <v>0.99954726046382703</v>
      </c>
      <c r="N232" s="160">
        <f t="shared" ca="1" si="55"/>
        <v>0.99972635940737264</v>
      </c>
    </row>
    <row r="233" spans="1:14" x14ac:dyDescent="0.2">
      <c r="B233" s="127"/>
      <c r="C233" s="127"/>
      <c r="D233" s="127"/>
      <c r="E233" s="127"/>
      <c r="F233" s="127"/>
      <c r="G233" s="127"/>
      <c r="H233" s="127"/>
      <c r="I233" s="127"/>
      <c r="J233" s="127"/>
      <c r="K233" s="127"/>
      <c r="L233" s="127"/>
      <c r="M233" s="127"/>
      <c r="N233" s="127"/>
    </row>
    <row r="234" spans="1:14" ht="15" customHeight="1" x14ac:dyDescent="0.25">
      <c r="A234" s="132"/>
      <c r="B234" s="153" t="s">
        <v>723</v>
      </c>
      <c r="C234" s="149">
        <v>39568</v>
      </c>
      <c r="D234" s="149">
        <v>39599</v>
      </c>
      <c r="E234" s="149">
        <v>39629</v>
      </c>
      <c r="F234" s="149">
        <v>39660</v>
      </c>
      <c r="G234" s="149">
        <v>39691</v>
      </c>
      <c r="H234" s="149">
        <v>39721</v>
      </c>
      <c r="I234" s="149">
        <v>39752</v>
      </c>
      <c r="J234" s="149">
        <v>39782</v>
      </c>
      <c r="K234" s="149">
        <v>39813</v>
      </c>
      <c r="L234" s="149">
        <v>39844</v>
      </c>
      <c r="M234" s="149">
        <v>39872</v>
      </c>
      <c r="N234" s="158">
        <v>39903</v>
      </c>
    </row>
    <row r="235" spans="1:14" ht="15" customHeight="1" x14ac:dyDescent="0.2">
      <c r="A235" s="132"/>
      <c r="B235" s="152" t="s">
        <v>724</v>
      </c>
      <c r="C235" s="147">
        <f ca="1">IF(IF(ISNUMBER(FIND("ED only",$B$4)),SUMIFS(sum_range,site_level_range,LEFT($B$4,LEN($B$4)-10),date_range,C234,inputdata!$E:$E,"*- ED*"),SUMIFS(sum_range,site_level_range,$B$4,date_range,C234))=0,"-",IF(ISNUMBER(FIND("ED only",$B$4)),SUMIFS(sum_range,site_level_range,LEFT($B$4,LEN($B$4)-10),date_range,C234,inputdata!$E:$E,"*- ED*"),SUMIFS(sum_range,site_level_range,$B$4,date_range,C234)))</f>
        <v>127838</v>
      </c>
      <c r="D235" s="147">
        <f ca="1">IF(IF(ISNUMBER(FIND("ED only",$B$4)),SUMIFS(sum_range,site_level_range,LEFT($B$4,LEN($B$4)-10),date_range,D234,inputdata!$E:$E,"*- ED*"),SUMIFS(sum_range,site_level_range,$B$4,date_range,D234))=0,"-",IF(ISNUMBER(FIND("ED only",$B$4)),SUMIFS(sum_range,site_level_range,LEFT($B$4,LEN($B$4)-10),date_range,D234,inputdata!$E:$E,"*- ED*"),SUMIFS(sum_range,site_level_range,$B$4,date_range,D234)))</f>
        <v>143424</v>
      </c>
      <c r="E235" s="147">
        <f ca="1">IF(IF(ISNUMBER(FIND("ED only",$B$4)),SUMIFS(sum_range,site_level_range,LEFT($B$4,LEN($B$4)-10),date_range,E234,inputdata!$E:$E,"*- ED*"),SUMIFS(sum_range,site_level_range,$B$4,date_range,E234))=0,"-",IF(ISNUMBER(FIND("ED only",$B$4)),SUMIFS(sum_range,site_level_range,LEFT($B$4,LEN($B$4)-10),date_range,E234,inputdata!$E:$E,"*- ED*"),SUMIFS(sum_range,site_level_range,$B$4,date_range,E234)))</f>
        <v>135753</v>
      </c>
      <c r="F235" s="147">
        <f ca="1">IF(IF(ISNUMBER(FIND("ED only",$B$4)),SUMIFS(sum_range,site_level_range,LEFT($B$4,LEN($B$4)-10),date_range,F234,inputdata!$E:$E,"*- ED*"),SUMIFS(sum_range,site_level_range,$B$4,date_range,F234))=0,"-",IF(ISNUMBER(FIND("ED only",$B$4)),SUMIFS(sum_range,site_level_range,LEFT($B$4,LEN($B$4)-10),date_range,F234,inputdata!$E:$E,"*- ED*"),SUMIFS(sum_range,site_level_range,$B$4,date_range,F234)))</f>
        <v>133296</v>
      </c>
      <c r="G235" s="147">
        <f ca="1">IF(IF(ISNUMBER(FIND("ED only",$B$4)),SUMIFS(sum_range,site_level_range,LEFT($B$4,LEN($B$4)-10),date_range,G234,inputdata!$E:$E,"*- ED*"),SUMIFS(sum_range,site_level_range,$B$4,date_range,G234))=0,"-",IF(ISNUMBER(FIND("ED only",$B$4)),SUMIFS(sum_range,site_level_range,LEFT($B$4,LEN($B$4)-10),date_range,G234,inputdata!$E:$E,"*- ED*"),SUMIFS(sum_range,site_level_range,$B$4,date_range,G234)))</f>
        <v>136538</v>
      </c>
      <c r="H235" s="147">
        <f ca="1">IF(IF(ISNUMBER(FIND("ED only",$B$4)),SUMIFS(sum_range,site_level_range,LEFT($B$4,LEN($B$4)-10),date_range,H234,inputdata!$E:$E,"*- ED*"),SUMIFS(sum_range,site_level_range,$B$4,date_range,H234))=0,"-",IF(ISNUMBER(FIND("ED only",$B$4)),SUMIFS(sum_range,site_level_range,LEFT($B$4,LEN($B$4)-10),date_range,H234,inputdata!$E:$E,"*- ED*"),SUMIFS(sum_range,site_level_range,$B$4,date_range,H234)))</f>
        <v>132190</v>
      </c>
      <c r="I235" s="147">
        <f ca="1">IF(IF(ISNUMBER(FIND("ED only",$B$4)),SUMIFS(sum_range,site_level_range,LEFT($B$4,LEN($B$4)-10),date_range,I234,inputdata!$E:$E,"*- ED*"),SUMIFS(sum_range,site_level_range,$B$4,date_range,I234))=0,"-",IF(ISNUMBER(FIND("ED only",$B$4)),SUMIFS(sum_range,site_level_range,LEFT($B$4,LEN($B$4)-10),date_range,I234,inputdata!$E:$E,"*- ED*"),SUMIFS(sum_range,site_level_range,$B$4,date_range,I234)))</f>
        <v>125891</v>
      </c>
      <c r="J235" s="147">
        <f ca="1">IF(IF(ISNUMBER(FIND("ED only",$B$4)),SUMIFS(sum_range,site_level_range,LEFT($B$4,LEN($B$4)-10),date_range,J234,inputdata!$E:$E,"*- ED*"),SUMIFS(sum_range,site_level_range,$B$4,date_range,J234))=0,"-",IF(ISNUMBER(FIND("ED only",$B$4)),SUMIFS(sum_range,site_level_range,LEFT($B$4,LEN($B$4)-10),date_range,J234,inputdata!$E:$E,"*- ED*"),SUMIFS(sum_range,site_level_range,$B$4,date_range,J234)))</f>
        <v>125087</v>
      </c>
      <c r="K235" s="147">
        <f ca="1">IF(IF(ISNUMBER(FIND("ED only",$B$4)),SUMIFS(sum_range,site_level_range,LEFT($B$4,LEN($B$4)-10),date_range,K234,inputdata!$E:$E,"*- ED*"),SUMIFS(sum_range,site_level_range,$B$4,date_range,K234))=0,"-",IF(ISNUMBER(FIND("ED only",$B$4)),SUMIFS(sum_range,site_level_range,LEFT($B$4,LEN($B$4)-10),date_range,K234,inputdata!$E:$E,"*- ED*"),SUMIFS(sum_range,site_level_range,$B$4,date_range,K234)))</f>
        <v>128388</v>
      </c>
      <c r="L235" s="147">
        <f ca="1">IF(IF(ISNUMBER(FIND("ED only",$B$4)),SUMIFS(sum_range,site_level_range,LEFT($B$4,LEN($B$4)-10),date_range,L234,inputdata!$E:$E,"*- ED*"),SUMIFS(sum_range,site_level_range,$B$4,date_range,L234))=0,"-",IF(ISNUMBER(FIND("ED only",$B$4)),SUMIFS(sum_range,site_level_range,LEFT($B$4,LEN($B$4)-10),date_range,L234,inputdata!$E:$E,"*- ED*"),SUMIFS(sum_range,site_level_range,$B$4,date_range,L234)))</f>
        <v>124098</v>
      </c>
      <c r="M235" s="147">
        <f ca="1">IF(IF(ISNUMBER(FIND("ED only",$B$4)),SUMIFS(sum_range,site_level_range,LEFT($B$4,LEN($B$4)-10),date_range,M234,inputdata!$E:$E,"*- ED*"),SUMIFS(sum_range,site_level_range,$B$4,date_range,M234))=0,"-",IF(ISNUMBER(FIND("ED only",$B$4)),SUMIFS(sum_range,site_level_range,LEFT($B$4,LEN($B$4)-10),date_range,M234,inputdata!$E:$E,"*- ED*"),SUMIFS(sum_range,site_level_range,$B$4,date_range,M234)))</f>
        <v>117678</v>
      </c>
      <c r="N235" s="156">
        <f ca="1">IF(IF(ISNUMBER(FIND("ED only",$B$4)),SUMIFS(sum_range,site_level_range,LEFT($B$4,LEN($B$4)-10),date_range,N234,inputdata!$E:$E,"*- ED*"),SUMIFS(sum_range,site_level_range,$B$4,date_range,N234))=0,"-",IF(ISNUMBER(FIND("ED only",$B$4)),SUMIFS(sum_range,site_level_range,LEFT($B$4,LEN($B$4)-10),date_range,N234,inputdata!$E:$E,"*- ED*"),SUMIFS(sum_range,site_level_range,$B$4,date_range,N234)))</f>
        <v>140399</v>
      </c>
    </row>
    <row r="236" spans="1:14" ht="15" customHeight="1" x14ac:dyDescent="0.2">
      <c r="A236" s="132"/>
      <c r="B236" s="152" t="s">
        <v>725</v>
      </c>
      <c r="C236" s="147" t="str">
        <f ca="1">IF(AND(MONTH(C234)=3,ISNUMBER($N235),ISNUMBER($C235)),SUM($C235:C235),IF(AND(MONTH(C234)&lt;&gt;3,ISNUMBER(C235),ISNUMBER(D249)),SUM($C235:C235,D249:$N249),"-"))</f>
        <v>-</v>
      </c>
      <c r="D236" s="147" t="str">
        <f ca="1">IF(AND(MONTH(D234)=3,ISNUMBER($N235),ISNUMBER($C235)),SUM($C235:D235),IF(AND(MONTH(D234)&lt;&gt;3,ISNUMBER(D235),ISNUMBER(E249)),SUM($C235:D235,E249:$N249),"-"))</f>
        <v>-</v>
      </c>
      <c r="E236" s="147">
        <f ca="1">IF(AND(MONTH(E234)=3,ISNUMBER($N235),ISNUMBER($C235)),SUM($C235:E235),IF(AND(MONTH(E234)&lt;&gt;3,ISNUMBER(E235),ISNUMBER(F249)),SUM($C235:E235,F249:$N249),"-"))</f>
        <v>1552738</v>
      </c>
      <c r="F236" s="147">
        <f ca="1">IF(AND(MONTH(F234)=3,ISNUMBER($N235),ISNUMBER($C235)),SUM($C235:F235),IF(AND(MONTH(F234)&lt;&gt;3,ISNUMBER(F235),ISNUMBER(G249)),SUM($C235:F235,G249:$N249),"-"))</f>
        <v>1553794</v>
      </c>
      <c r="G236" s="147">
        <f ca="1">IF(AND(MONTH(G234)=3,ISNUMBER($N235),ISNUMBER($C235)),SUM($C235:G235),IF(AND(MONTH(G234)&lt;&gt;3,ISNUMBER(G235),ISNUMBER(H249)),SUM($C235:G235,H249:$N249),"-"))</f>
        <v>1554946</v>
      </c>
      <c r="H236" s="147">
        <f ca="1">IF(AND(MONTH(H234)=3,ISNUMBER($N235),ISNUMBER($C235)),SUM($C235:H235),IF(AND(MONTH(H234)&lt;&gt;3,ISNUMBER(H235),ISNUMBER(I249)),SUM($C235:H235,I249:$N249),"-"))</f>
        <v>1556334</v>
      </c>
      <c r="I236" s="147">
        <f ca="1">IF(AND(MONTH(I234)=3,ISNUMBER($N235),ISNUMBER($C235)),SUM($C235:I235),IF(AND(MONTH(I234)&lt;&gt;3,ISNUMBER(I235),ISNUMBER(J249)),SUM($C235:I235,J249:$N249),"-"))</f>
        <v>1552261</v>
      </c>
      <c r="J236" s="147">
        <f ca="1">IF(AND(MONTH(J234)=3,ISNUMBER($N235),ISNUMBER($C235)),SUM($C235:J235),IF(AND(MONTH(J234)&lt;&gt;3,ISNUMBER(J235),ISNUMBER(K249)),SUM($C235:J235,K249:$N249),"-"))</f>
        <v>1555565</v>
      </c>
      <c r="K236" s="147">
        <f ca="1">IF(AND(MONTH(K234)=3,ISNUMBER($N235),ISNUMBER($C235)),SUM($C235:K235),IF(AND(MONTH(K234)&lt;&gt;3,ISNUMBER(K235),ISNUMBER(L249)),SUM($C235:K235,L249:$N249),"-"))</f>
        <v>1561581</v>
      </c>
      <c r="L236" s="147">
        <f ca="1">IF(AND(MONTH(L234)=3,ISNUMBER($N235),ISNUMBER($C235)),SUM($C235:L235),IF(AND(MONTH(L234)&lt;&gt;3,ISNUMBER(L235),ISNUMBER(M249)),SUM($C235:L235,M249:$N249),"-"))</f>
        <v>1564985</v>
      </c>
      <c r="M236" s="147">
        <f ca="1">IF(AND(MONTH(M234)=3,ISNUMBER($N235),ISNUMBER($C235)),SUM($C235:M235),IF(AND(MONTH(M234)&lt;&gt;3,ISNUMBER(M235),ISNUMBER(N249)),SUM($C235:M235,N249:$N249),"-"))</f>
        <v>1564171</v>
      </c>
      <c r="N236" s="156">
        <f ca="1">IF(AND(MONTH(N234)=3,ISNUMBER($N235),ISNUMBER($C235)),SUM($C235:N235),IF(AND(MONTH(N234)&lt;&gt;3,ISNUMBER(N235),ISNUMBER(O249)),SUM($C235:N235,$N249:O249),"-"))</f>
        <v>1570580</v>
      </c>
    </row>
    <row r="237" spans="1:14" ht="15" customHeight="1" x14ac:dyDescent="0.2">
      <c r="A237" s="132"/>
      <c r="B237" s="154" t="s">
        <v>726</v>
      </c>
      <c r="C237" s="150" t="e">
        <f t="shared" ref="C237:N237" ca="1" si="56">IF(ISNUMBER(C236),C236/12,NA())</f>
        <v>#N/A</v>
      </c>
      <c r="D237" s="150" t="e">
        <f t="shared" ca="1" si="56"/>
        <v>#N/A</v>
      </c>
      <c r="E237" s="150">
        <f t="shared" ca="1" si="56"/>
        <v>129394.83333333333</v>
      </c>
      <c r="F237" s="150">
        <f t="shared" ca="1" si="56"/>
        <v>129482.83333333333</v>
      </c>
      <c r="G237" s="150">
        <f t="shared" ca="1" si="56"/>
        <v>129578.83333333333</v>
      </c>
      <c r="H237" s="150">
        <f t="shared" ca="1" si="56"/>
        <v>129694.5</v>
      </c>
      <c r="I237" s="150">
        <f t="shared" ca="1" si="56"/>
        <v>129355.08333333333</v>
      </c>
      <c r="J237" s="150">
        <f t="shared" ca="1" si="56"/>
        <v>129630.41666666667</v>
      </c>
      <c r="K237" s="150">
        <f t="shared" ca="1" si="56"/>
        <v>130131.75</v>
      </c>
      <c r="L237" s="150">
        <f t="shared" ca="1" si="56"/>
        <v>130415.41666666667</v>
      </c>
      <c r="M237" s="150">
        <f t="shared" ca="1" si="56"/>
        <v>130347.58333333333</v>
      </c>
      <c r="N237" s="159">
        <f t="shared" ca="1" si="56"/>
        <v>130881.66666666667</v>
      </c>
    </row>
    <row r="238" spans="1:14" ht="15" customHeight="1" x14ac:dyDescent="0.2">
      <c r="A238" s="132"/>
      <c r="B238" s="152" t="s">
        <v>727</v>
      </c>
      <c r="C238" s="147">
        <f ca="1">IF(C235="-","-",C235-IF(ISNUMBER(FIND("ED only",$B$4)),SUMIFS(sum_over_4_tot,site_level_range,LEFT($B$4,LEN($B$4)-10),date_range,C234,inputdata!$E:$E,"*- ED*"),SUMIFS(sum_over_4_tot,site_level_range,$B$4,date_range,C234)))</f>
        <v>2927</v>
      </c>
      <c r="D238" s="147">
        <f ca="1">IF(D235="-","-",D235-IF(ISNUMBER(FIND("ED only",$B$4)),SUMIFS(sum_over_4_tot,site_level_range,LEFT($B$4,LEN($B$4)-10),date_range,D234,inputdata!$E:$E,"*- ED*"),SUMIFS(sum_over_4_tot,site_level_range,$B$4,date_range,D234)))</f>
        <v>2698</v>
      </c>
      <c r="E238" s="147">
        <f ca="1">IF(E235="-","-",E235-IF(ISNUMBER(FIND("ED only",$B$4)),SUMIFS(sum_over_4_tot,site_level_range,LEFT($B$4,LEN($B$4)-10),date_range,E234,inputdata!$E:$E,"*- ED*"),SUMIFS(sum_over_4_tot,site_level_range,$B$4,date_range,E234)))</f>
        <v>2451</v>
      </c>
      <c r="F238" s="147">
        <f ca="1">IF(F235="-","-",F235-IF(ISNUMBER(FIND("ED only",$B$4)),SUMIFS(sum_over_4_tot,site_level_range,LEFT($B$4,LEN($B$4)-10),date_range,F234,inputdata!$E:$E,"*- ED*"),SUMIFS(sum_over_4_tot,site_level_range,$B$4,date_range,F234)))</f>
        <v>1964</v>
      </c>
      <c r="G238" s="147">
        <f ca="1">IF(G235="-","-",G235-IF(ISNUMBER(FIND("ED only",$B$4)),SUMIFS(sum_over_4_tot,site_level_range,LEFT($B$4,LEN($B$4)-10),date_range,G234,inputdata!$E:$E,"*- ED*"),SUMIFS(sum_over_4_tot,site_level_range,$B$4,date_range,G234)))</f>
        <v>2997</v>
      </c>
      <c r="H238" s="147">
        <f ca="1">IF(H235="-","-",H235-IF(ISNUMBER(FIND("ED only",$B$4)),SUMIFS(sum_over_4_tot,site_level_range,LEFT($B$4,LEN($B$4)-10),date_range,H234,inputdata!$E:$E,"*- ED*"),SUMIFS(sum_over_4_tot,site_level_range,$B$4,date_range,H234)))</f>
        <v>2421</v>
      </c>
      <c r="I238" s="147">
        <f ca="1">IF(I235="-","-",I235-IF(ISNUMBER(FIND("ED only",$B$4)),SUMIFS(sum_over_4_tot,site_level_range,LEFT($B$4,LEN($B$4)-10),date_range,I234,inputdata!$E:$E,"*- ED*"),SUMIFS(sum_over_4_tot,site_level_range,$B$4,date_range,I234)))</f>
        <v>2373</v>
      </c>
      <c r="J238" s="147">
        <f ca="1">IF(J235="-","-",J235-IF(ISNUMBER(FIND("ED only",$B$4)),SUMIFS(sum_over_4_tot,site_level_range,LEFT($B$4,LEN($B$4)-10),date_range,J234,inputdata!$E:$E,"*- ED*"),SUMIFS(sum_over_4_tot,site_level_range,$B$4,date_range,J234)))</f>
        <v>2906</v>
      </c>
      <c r="K238" s="147">
        <f ca="1">IF(K235="-","-",K235-IF(ISNUMBER(FIND("ED only",$B$4)),SUMIFS(sum_over_4_tot,site_level_range,LEFT($B$4,LEN($B$4)-10),date_range,K234,inputdata!$E:$E,"*- ED*"),SUMIFS(sum_over_4_tot,site_level_range,$B$4,date_range,K234)))</f>
        <v>4322</v>
      </c>
      <c r="L238" s="147">
        <f ca="1">IF(L235="-","-",L235-IF(ISNUMBER(FIND("ED only",$B$4)),SUMIFS(sum_over_4_tot,site_level_range,LEFT($B$4,LEN($B$4)-10),date_range,L234,inputdata!$E:$E,"*- ED*"),SUMIFS(sum_over_4_tot,site_level_range,$B$4,date_range,L234)))</f>
        <v>4365</v>
      </c>
      <c r="M238" s="147">
        <f ca="1">IF(M235="-","-",M235-IF(ISNUMBER(FIND("ED only",$B$4)),SUMIFS(sum_over_4_tot,site_level_range,LEFT($B$4,LEN($B$4)-10),date_range,M234,inputdata!$E:$E,"*- ED*"),SUMIFS(sum_over_4_tot,site_level_range,$B$4,date_range,M234)))</f>
        <v>3163</v>
      </c>
      <c r="N238" s="156">
        <f ca="1">IF(N235="-","-",N235-IF(ISNUMBER(FIND("ED only",$B$4)),SUMIFS(sum_over_4_tot,site_level_range,LEFT($B$4,LEN($B$4)-10),date_range,N234,inputdata!$E:$E,"*- ED*"),SUMIFS(sum_over_4_tot,site_level_range,$B$4,date_range,N234)))</f>
        <v>3213</v>
      </c>
    </row>
    <row r="239" spans="1:14" ht="15" customHeight="1" x14ac:dyDescent="0.2">
      <c r="A239" s="132"/>
      <c r="B239" s="152" t="s">
        <v>728</v>
      </c>
      <c r="C239" s="148">
        <f t="shared" ref="C239:N239" ca="1" si="57">IF(ISERROR(1-C238/C235),NA(),(1-C238/C235))</f>
        <v>0.97710383454059047</v>
      </c>
      <c r="D239" s="148">
        <f t="shared" ca="1" si="57"/>
        <v>0.98118864346273982</v>
      </c>
      <c r="E239" s="148">
        <f t="shared" ca="1" si="57"/>
        <v>0.9819451503834169</v>
      </c>
      <c r="F239" s="148">
        <f t="shared" ca="1" si="57"/>
        <v>0.98526587444484459</v>
      </c>
      <c r="G239" s="148">
        <f t="shared" ca="1" si="57"/>
        <v>0.97805006664811267</v>
      </c>
      <c r="H239" s="148">
        <f t="shared" ca="1" si="57"/>
        <v>0.98168545275739461</v>
      </c>
      <c r="I239" s="148">
        <f t="shared" ca="1" si="57"/>
        <v>0.98115036023226443</v>
      </c>
      <c r="J239" s="148">
        <f t="shared" ca="1" si="57"/>
        <v>0.97676816935412958</v>
      </c>
      <c r="K239" s="148">
        <f t="shared" ca="1" si="57"/>
        <v>0.96633641773374457</v>
      </c>
      <c r="L239" s="148">
        <f t="shared" ca="1" si="57"/>
        <v>0.96482618575641832</v>
      </c>
      <c r="M239" s="148">
        <f t="shared" ca="1" si="57"/>
        <v>0.97312156902734581</v>
      </c>
      <c r="N239" s="157">
        <f t="shared" ca="1" si="57"/>
        <v>0.9771152216183876</v>
      </c>
    </row>
    <row r="240" spans="1:14" ht="15" customHeight="1" x14ac:dyDescent="0.2">
      <c r="A240" s="132"/>
      <c r="B240" s="154" t="s">
        <v>729</v>
      </c>
      <c r="C240" s="151" t="e">
        <f ca="1">IF(ISERROR(C237),NA(),IF(AND(MONTH(C234)=3,ISNUMBER($N235),ISNUMBER($C235)),1-(SUM($C238:$N238)/SUM($C235:$N235)),IF(AND(MONTH(C234)&lt;&gt;3,ISNUMBER(C235),ISNUMBER(D249)),1-(SUM(D252:$N252,$C238:C238)/SUM($C235:C235,D249:$N249)),NA())))</f>
        <v>#N/A</v>
      </c>
      <c r="D240" s="151" t="e">
        <f ca="1">IF(ISERROR(D237),NA(),IF(AND(MONTH(D234)=3,ISNUMBER($N235),ISNUMBER($C235)),1-(SUM($C238:$N238)/SUM($C235:$N235)),IF(AND(MONTH(D234)&lt;&gt;3,ISNUMBER(D235),ISNUMBER(E249)),1-(SUM(E252:$N252,$C238:D238)/SUM($C235:D235,E249:$N249)),NA())))</f>
        <v>#N/A</v>
      </c>
      <c r="E240" s="151">
        <f ca="1">IF(ISERROR(E237),NA(),IF(AND(MONTH(E234)=3,ISNUMBER($N235),ISNUMBER($C235)),1-(SUM($C238:$N238)/SUM($C235:$N235)),IF(AND(MONTH(E234)&lt;&gt;3,ISNUMBER(E235),ISNUMBER(F249)),1-(SUM(F252:$N252,$C238:E238)/SUM($C235:E235,F249:$N249)),NA())))</f>
        <v>0.97417593953390724</v>
      </c>
      <c r="F240" s="151">
        <f ca="1">IF(ISERROR(F237),NA(),IF(AND(MONTH(F234)=3,ISNUMBER($N235),ISNUMBER($C235)),1-(SUM($C238:$N238)/SUM($C235:$N235)),IF(AND(MONTH(F234)&lt;&gt;3,ISNUMBER(F235),ISNUMBER(G249)),1-(SUM(G252:$N252,$C238:F238)/SUM($C235:F235,G249:$N249)),NA())))</f>
        <v>0.97579344494830078</v>
      </c>
      <c r="G240" s="151">
        <f ca="1">IF(ISERROR(G237),NA(),IF(AND(MONTH(G234)=3,ISNUMBER($N235),ISNUMBER($C235)),1-(SUM($C238:$N238)/SUM($C235:$N235)),IF(AND(MONTH(G234)&lt;&gt;3,ISNUMBER(G235),ISNUMBER(H249)),1-(SUM(H252:$N252,$C238:G238)/SUM($C235:G235,H249:$N249)),NA())))</f>
        <v>0.97707187259236017</v>
      </c>
      <c r="H240" s="151">
        <f ca="1">IF(ISERROR(H237),NA(),IF(AND(MONTH(H234)=3,ISNUMBER($N235),ISNUMBER($C235)),1-(SUM($C238:$N238)/SUM($C235:$N235)),IF(AND(MONTH(H234)&lt;&gt;3,ISNUMBER(H235),ISNUMBER(I249)),1-(SUM(I252:$N252,$C238:H238)/SUM($C235:H235,I249:$N249)),NA())))</f>
        <v>0.97829129222904598</v>
      </c>
      <c r="I240" s="151">
        <f ca="1">IF(ISERROR(I237),NA(),IF(AND(MONTH(I234)=3,ISNUMBER($N235),ISNUMBER($C235)),1-(SUM($C238:$N238)/SUM($C235:$N235)),IF(AND(MONTH(I234)&lt;&gt;3,ISNUMBER(I235),ISNUMBER(J249)),1-(SUM(J252:$N252,$C238:I238)/SUM($C235:I235,J249:$N249)),NA())))</f>
        <v>0.9791401059486774</v>
      </c>
      <c r="J240" s="151">
        <f ca="1">IF(ISERROR(J237),NA(),IF(AND(MONTH(J234)=3,ISNUMBER($N235),ISNUMBER($C235)),1-(SUM($C238:$N238)/SUM($C235:$N235)),IF(AND(MONTH(J234)&lt;&gt;3,ISNUMBER(J235),ISNUMBER(K249)),1-(SUM(K252:$N252,$C238:J238)/SUM($C235:J235,K249:$N249)),NA())))</f>
        <v>0.97918441209464091</v>
      </c>
      <c r="K240" s="151">
        <f ca="1">IF(ISERROR(K237),NA(),IF(AND(MONTH(K234)=3,ISNUMBER($N235),ISNUMBER($C235)),1-(SUM($C238:$N238)/SUM($C235:$N235)),IF(AND(MONTH(K234)&lt;&gt;3,ISNUMBER(K235),ISNUMBER(L249)),1-(SUM(L252:$N252,$C238:K238)/SUM($C235:K235,L249:$N249)),NA())))</f>
        <v>0.97821054431374355</v>
      </c>
      <c r="L240" s="151">
        <f ca="1">IF(ISERROR(L237),NA(),IF(AND(MONTH(L234)=3,ISNUMBER($N235),ISNUMBER($C235)),1-(SUM($C238:$N238)/SUM($C235:$N235)),IF(AND(MONTH(L234)&lt;&gt;3,ISNUMBER(L235),ISNUMBER(M249)),1-(SUM(M252:$N252,$C238:L238)/SUM($C235:L235,M249:$N249)),NA())))</f>
        <v>0.97745601395540538</v>
      </c>
      <c r="M240" s="151">
        <f ca="1">IF(ISERROR(M237),NA(),IF(AND(MONTH(M234)=3,ISNUMBER($N235),ISNUMBER($C235)),1-(SUM($C238:$N238)/SUM($C235:$N235)),IF(AND(MONTH(M234)&lt;&gt;3,ISNUMBER(M235),ISNUMBER(N249)),1-(SUM(N252:$N252,$C238:M238)/SUM($C235:M235,N249:$N249)),NA())))</f>
        <v>0.97699931784951899</v>
      </c>
      <c r="N240" s="160">
        <f ca="1">IF(ISERROR(N237),NA(),IF(AND(MONTH(N234)=3,ISNUMBER($N235),ISNUMBER($C235)),1-(SUM($C238:$N238)/SUM($C235:$N235)),IF(AND(MONTH(N234)&lt;&gt;3,ISNUMBER(N235),ISNUMBER(O249)),1-(SUM($N252:O252,$C238:N238)/SUM($C235:N235,$N249:O249)),NA())))</f>
        <v>0.97720587298959616</v>
      </c>
    </row>
    <row r="241" spans="1:14" ht="15" x14ac:dyDescent="0.25">
      <c r="A241" s="132"/>
      <c r="B241" s="155" t="s">
        <v>730</v>
      </c>
      <c r="C241" s="127"/>
      <c r="D241" s="127"/>
      <c r="E241" s="127"/>
      <c r="F241" s="127"/>
      <c r="G241" s="127"/>
      <c r="H241" s="127"/>
      <c r="I241" s="127"/>
      <c r="J241" s="127"/>
      <c r="K241" s="127"/>
      <c r="L241" s="127"/>
      <c r="M241" s="127"/>
      <c r="N241" s="161"/>
    </row>
    <row r="242" spans="1:14" ht="15" customHeight="1" x14ac:dyDescent="0.2">
      <c r="A242" s="132"/>
      <c r="B242" s="154" t="s">
        <v>724</v>
      </c>
      <c r="C242" s="150">
        <f ca="1">IF(IF(ISNUMBER(FIND("ED only",$B$4)),SUMIFS(Sum_total_epi,site_level_range,LEFT($B$4,LEN($B$4)-10),date_range,C234,inputdata!$E:$E,"*- ED*"),SUMIFS(Sum_total_epi,site_level_range,$B$4,date_range,C234))=0,"-",IF(ISNUMBER(FIND("ED only",$B$4)),SUMIFS(Sum_total_epi,site_level_range,LEFT($B$4,LEN($B$4)-10),date_range,C234,inputdata!$E:$E,"*- ED*"),SUMIFS(Sum_total_epi,site_level_range,$B$4,date_range,C234)))</f>
        <v>118185</v>
      </c>
      <c r="D242" s="150">
        <f ca="1">IF(IF(ISNUMBER(FIND("ED only",$B$4)),SUMIFS(Sum_total_epi,site_level_range,LEFT($B$4,LEN($B$4)-10),date_range,D234,inputdata!$E:$E,"*- ED*"),SUMIFS(Sum_total_epi,site_level_range,$B$4,date_range,D234))=0,"-",IF(ISNUMBER(FIND("ED only",$B$4)),SUMIFS(Sum_total_epi,site_level_range,LEFT($B$4,LEN($B$4)-10),date_range,D234,inputdata!$E:$E,"*- ED*"),SUMIFS(Sum_total_epi,site_level_range,$B$4,date_range,D234)))</f>
        <v>131675</v>
      </c>
      <c r="E242" s="150">
        <f ca="1">IF(IF(ISNUMBER(FIND("ED only",$B$4)),SUMIFS(Sum_total_epi,site_level_range,LEFT($B$4,LEN($B$4)-10),date_range,E234,inputdata!$E:$E,"*- ED*"),SUMIFS(Sum_total_epi,site_level_range,$B$4,date_range,E234))=0,"-",IF(ISNUMBER(FIND("ED only",$B$4)),SUMIFS(Sum_total_epi,site_level_range,LEFT($B$4,LEN($B$4)-10),date_range,E234,inputdata!$E:$E,"*- ED*"),SUMIFS(Sum_total_epi,site_level_range,$B$4,date_range,E234)))</f>
        <v>123954</v>
      </c>
      <c r="F242" s="150">
        <f ca="1">IF(IF(ISNUMBER(FIND("ED only",$B$4)),SUMIFS(Sum_total_epi,site_level_range,LEFT($B$4,LEN($B$4)-10),date_range,F234,inputdata!$E:$E,"*- ED*"),SUMIFS(Sum_total_epi,site_level_range,$B$4,date_range,F234))=0,"-",IF(ISNUMBER(FIND("ED only",$B$4)),SUMIFS(Sum_total_epi,site_level_range,LEFT($B$4,LEN($B$4)-10),date_range,F234,inputdata!$E:$E,"*- ED*"),SUMIFS(Sum_total_epi,site_level_range,$B$4,date_range,F234)))</f>
        <v>121001</v>
      </c>
      <c r="G242" s="150">
        <f ca="1">IF(IF(ISNUMBER(FIND("ED only",$B$4)),SUMIFS(Sum_total_epi,site_level_range,LEFT($B$4,LEN($B$4)-10),date_range,G234,inputdata!$E:$E,"*- ED*"),SUMIFS(Sum_total_epi,site_level_range,$B$4,date_range,G234))=0,"-",IF(ISNUMBER(FIND("ED only",$B$4)),SUMIFS(Sum_total_epi,site_level_range,LEFT($B$4,LEN($B$4)-10),date_range,G234,inputdata!$E:$E,"*- ED*"),SUMIFS(Sum_total_epi,site_level_range,$B$4,date_range,G234)))</f>
        <v>124450</v>
      </c>
      <c r="H242" s="150">
        <f ca="1">IF(IF(ISNUMBER(FIND("ED only",$B$4)),SUMIFS(Sum_total_epi,site_level_range,LEFT($B$4,LEN($B$4)-10),date_range,H234,inputdata!$E:$E,"*- ED*"),SUMIFS(Sum_total_epi,site_level_range,$B$4,date_range,H234))=0,"-",IF(ISNUMBER(FIND("ED only",$B$4)),SUMIFS(Sum_total_epi,site_level_range,LEFT($B$4,LEN($B$4)-10),date_range,H234,inputdata!$E:$E,"*- ED*"),SUMIFS(Sum_total_epi,site_level_range,$B$4,date_range,H234)))</f>
        <v>120763</v>
      </c>
      <c r="I242" s="150">
        <f ca="1">IF(IF(ISNUMBER(FIND("ED only",$B$4)),SUMIFS(Sum_total_epi,site_level_range,LEFT($B$4,LEN($B$4)-10),date_range,I234,inputdata!$E:$E,"*- ED*"),SUMIFS(Sum_total_epi,site_level_range,$B$4,date_range,I234))=0,"-",IF(ISNUMBER(FIND("ED only",$B$4)),SUMIFS(Sum_total_epi,site_level_range,LEFT($B$4,LEN($B$4)-10),date_range,I234,inputdata!$E:$E,"*- ED*"),SUMIFS(Sum_total_epi,site_level_range,$B$4,date_range,I234)))</f>
        <v>116398</v>
      </c>
      <c r="J242" s="150">
        <f ca="1">IF(IF(ISNUMBER(FIND("ED only",$B$4)),SUMIFS(Sum_total_epi,site_level_range,LEFT($B$4,LEN($B$4)-10),date_range,J234,inputdata!$E:$E,"*- ED*"),SUMIFS(Sum_total_epi,site_level_range,$B$4,date_range,J234))=0,"-",IF(ISNUMBER(FIND("ED only",$B$4)),SUMIFS(Sum_total_epi,site_level_range,LEFT($B$4,LEN($B$4)-10),date_range,J234,inputdata!$E:$E,"*- ED*"),SUMIFS(Sum_total_epi,site_level_range,$B$4,date_range,J234)))</f>
        <v>116158</v>
      </c>
      <c r="K242" s="150">
        <f ca="1">IF(IF(ISNUMBER(FIND("ED only",$B$4)),SUMIFS(Sum_total_epi,site_level_range,LEFT($B$4,LEN($B$4)-10),date_range,K234,inputdata!$E:$E,"*- ED*"),SUMIFS(Sum_total_epi,site_level_range,$B$4,date_range,K234))=0,"-",IF(ISNUMBER(FIND("ED only",$B$4)),SUMIFS(Sum_total_epi,site_level_range,LEFT($B$4,LEN($B$4)-10),date_range,K234,inputdata!$E:$E,"*- ED*"),SUMIFS(Sum_total_epi,site_level_range,$B$4,date_range,K234)))</f>
        <v>118903</v>
      </c>
      <c r="L242" s="150">
        <f ca="1">IF(IF(ISNUMBER(FIND("ED only",$B$4)),SUMIFS(Sum_total_epi,site_level_range,LEFT($B$4,LEN($B$4)-10),date_range,L234,inputdata!$E:$E,"*- ED*"),SUMIFS(Sum_total_epi,site_level_range,$B$4,date_range,L234))=0,"-",IF(ISNUMBER(FIND("ED only",$B$4)),SUMIFS(Sum_total_epi,site_level_range,LEFT($B$4,LEN($B$4)-10),date_range,L234,inputdata!$E:$E,"*- ED*"),SUMIFS(Sum_total_epi,site_level_range,$B$4,date_range,L234)))</f>
        <v>114769</v>
      </c>
      <c r="M242" s="150">
        <f ca="1">IF(IF(ISNUMBER(FIND("ED only",$B$4)),SUMIFS(Sum_total_epi,site_level_range,LEFT($B$4,LEN($B$4)-10),date_range,M234,inputdata!$E:$E,"*- ED*"),SUMIFS(Sum_total_epi,site_level_range,$B$4,date_range,M234))=0,"-",IF(ISNUMBER(FIND("ED only",$B$4)),SUMIFS(Sum_total_epi,site_level_range,LEFT($B$4,LEN($B$4)-10),date_range,M234,inputdata!$E:$E,"*- ED*"),SUMIFS(Sum_total_epi,site_level_range,$B$4,date_range,M234)))</f>
        <v>108873</v>
      </c>
      <c r="N242" s="159">
        <f ca="1">IF(IF(ISNUMBER(FIND("ED only",$B$4)),SUMIFS(Sum_total_epi,site_level_range,LEFT($B$4,LEN($B$4)-10),date_range,N234,inputdata!$E:$E,"*- ED*"),SUMIFS(Sum_total_epi,site_level_range,$B$4,date_range,N234))=0,"-",IF(ISNUMBER(FIND("ED only",$B$4)),SUMIFS(Sum_total_epi,site_level_range,LEFT($B$4,LEN($B$4)-10),date_range,N234,inputdata!$E:$E,"*- ED*"),SUMIFS(Sum_total_epi,site_level_range,$B$4,date_range,N234)))</f>
        <v>129702</v>
      </c>
    </row>
    <row r="243" spans="1:14" ht="15" customHeight="1" x14ac:dyDescent="0.2">
      <c r="A243" s="132"/>
      <c r="B243" s="152" t="s">
        <v>731</v>
      </c>
      <c r="C243" s="147">
        <f ca="1">IF(C242="-","-",IF(ISNUMBER(FIND("ED only",$B$4)),SUMIFS(Sum_over_8,site_level_range,LEFT($B$4,LEN($B$4)-10),date_range,C234,inputdata!$E:$E,"*- ED*"),SUMIFS(Sum_over_8,site_level_range,$B$4,date_range,C234)))</f>
        <v>232</v>
      </c>
      <c r="D243" s="147">
        <f ca="1">IF(D242="-","-",IF(ISNUMBER(FIND("ED only",$B$4)),SUMIFS(Sum_over_8,site_level_range,LEFT($B$4,LEN($B$4)-10),date_range,D234,inputdata!$E:$E,"*- ED*"),SUMIFS(Sum_over_8,site_level_range,$B$4,date_range,D234)))</f>
        <v>142</v>
      </c>
      <c r="E243" s="147">
        <f ca="1">IF(E242="-","-",IF(ISNUMBER(FIND("ED only",$B$4)),SUMIFS(Sum_over_8,site_level_range,LEFT($B$4,LEN($B$4)-10),date_range,E234,inputdata!$E:$E,"*- ED*"),SUMIFS(Sum_over_8,site_level_range,$B$4,date_range,E234)))</f>
        <v>139</v>
      </c>
      <c r="F243" s="147">
        <f ca="1">IF(F242="-","-",IF(ISNUMBER(FIND("ED only",$B$4)),SUMIFS(Sum_over_8,site_level_range,LEFT($B$4,LEN($B$4)-10),date_range,F234,inputdata!$E:$E,"*- ED*"),SUMIFS(Sum_over_8,site_level_range,$B$4,date_range,F234)))</f>
        <v>76</v>
      </c>
      <c r="G243" s="147">
        <f ca="1">IF(G242="-","-",IF(ISNUMBER(FIND("ED only",$B$4)),SUMIFS(Sum_over_8,site_level_range,LEFT($B$4,LEN($B$4)-10),date_range,G234,inputdata!$E:$E,"*- ED*"),SUMIFS(Sum_over_8,site_level_range,$B$4,date_range,G234)))</f>
        <v>113</v>
      </c>
      <c r="H243" s="147">
        <f ca="1">IF(H242="-","-",IF(ISNUMBER(FIND("ED only",$B$4)),SUMIFS(Sum_over_8,site_level_range,LEFT($B$4,LEN($B$4)-10),date_range,H234,inputdata!$E:$E,"*- ED*"),SUMIFS(Sum_over_8,site_level_range,$B$4,date_range,H234)))</f>
        <v>125</v>
      </c>
      <c r="I243" s="147">
        <f ca="1">IF(I242="-","-",IF(ISNUMBER(FIND("ED only",$B$4)),SUMIFS(Sum_over_8,site_level_range,LEFT($B$4,LEN($B$4)-10),date_range,I234,inputdata!$E:$E,"*- ED*"),SUMIFS(Sum_over_8,site_level_range,$B$4,date_range,I234)))</f>
        <v>110</v>
      </c>
      <c r="J243" s="147">
        <f ca="1">IF(J242="-","-",IF(ISNUMBER(FIND("ED only",$B$4)),SUMIFS(Sum_over_8,site_level_range,LEFT($B$4,LEN($B$4)-10),date_range,J234,inputdata!$E:$E,"*- ED*"),SUMIFS(Sum_over_8,site_level_range,$B$4,date_range,J234)))</f>
        <v>163</v>
      </c>
      <c r="K243" s="147">
        <f ca="1">IF(K242="-","-",IF(ISNUMBER(FIND("ED only",$B$4)),SUMIFS(Sum_over_8,site_level_range,LEFT($B$4,LEN($B$4)-10),date_range,K234,inputdata!$E:$E,"*- ED*"),SUMIFS(Sum_over_8,site_level_range,$B$4,date_range,K234)))</f>
        <v>344</v>
      </c>
      <c r="L243" s="147">
        <f ca="1">IF(L242="-","-",IF(ISNUMBER(FIND("ED only",$B$4)),SUMIFS(Sum_over_8,site_level_range,LEFT($B$4,LEN($B$4)-10),date_range,L234,inputdata!$E:$E,"*- ED*"),SUMIFS(Sum_over_8,site_level_range,$B$4,date_range,L234)))</f>
        <v>462</v>
      </c>
      <c r="M243" s="147">
        <f ca="1">IF(M242="-","-",IF(ISNUMBER(FIND("ED only",$B$4)),SUMIFS(Sum_over_8,site_level_range,LEFT($B$4,LEN($B$4)-10),date_range,M234,inputdata!$E:$E,"*- ED*"),SUMIFS(Sum_over_8,site_level_range,$B$4,date_range,M234)))</f>
        <v>168</v>
      </c>
      <c r="N243" s="156">
        <f ca="1">IF(N242="-","-",IF(ISNUMBER(FIND("ED only",$B$4)),SUMIFS(Sum_over_8,site_level_range,LEFT($B$4,LEN($B$4)-10),date_range,N234,inputdata!$E:$E,"*- ED*"),SUMIFS(Sum_over_8,site_level_range,$B$4,date_range,N234)))</f>
        <v>115</v>
      </c>
    </row>
    <row r="244" spans="1:14" ht="15" customHeight="1" x14ac:dyDescent="0.2">
      <c r="A244" s="132"/>
      <c r="B244" s="154" t="s">
        <v>732</v>
      </c>
      <c r="C244" s="151">
        <f t="shared" ref="C244:N244" ca="1" si="58">IF(ISERROR(1-C243/C242),"-",1-C243/C242)</f>
        <v>0.99803697592757123</v>
      </c>
      <c r="D244" s="151">
        <f t="shared" ca="1" si="58"/>
        <v>0.99892158724131386</v>
      </c>
      <c r="E244" s="151">
        <f t="shared" ca="1" si="58"/>
        <v>0.99887861626087093</v>
      </c>
      <c r="F244" s="151">
        <f t="shared" ca="1" si="58"/>
        <v>0.99937190601730563</v>
      </c>
      <c r="G244" s="151">
        <f t="shared" ca="1" si="58"/>
        <v>0.9990920048212133</v>
      </c>
      <c r="H244" s="151">
        <f t="shared" ca="1" si="58"/>
        <v>0.99896491475037885</v>
      </c>
      <c r="I244" s="151">
        <f t="shared" ca="1" si="58"/>
        <v>0.99905496658018178</v>
      </c>
      <c r="J244" s="151">
        <f t="shared" ca="1" si="58"/>
        <v>0.99859673892456824</v>
      </c>
      <c r="K244" s="151">
        <f t="shared" ca="1" si="58"/>
        <v>0.99710688544443793</v>
      </c>
      <c r="L244" s="151">
        <f t="shared" ca="1" si="58"/>
        <v>0.99597452273697606</v>
      </c>
      <c r="M244" s="151">
        <f t="shared" ca="1" si="58"/>
        <v>0.99845691769309197</v>
      </c>
      <c r="N244" s="160">
        <f t="shared" ca="1" si="58"/>
        <v>0.99911335214568786</v>
      </c>
    </row>
    <row r="245" spans="1:14" ht="15" customHeight="1" x14ac:dyDescent="0.2">
      <c r="A245" s="132"/>
      <c r="B245" s="152" t="s">
        <v>733</v>
      </c>
      <c r="C245" s="147">
        <f ca="1">IF(C242="-","-",IF(ISNUMBER(FIND("ED only",$B$4)),SUMIFS(Sum_over_12,site_level_range,LEFT($B$4,LEN($B$4)-10),date_range,C234,inputdata!$E:$E,"*- ED*"),SUMIFS(Sum_over_12,site_level_range,$B$4,date_range,C234)))</f>
        <v>91</v>
      </c>
      <c r="D245" s="147">
        <f ca="1">IF(D242="-","-",IF(ISNUMBER(FIND("ED only",$B$4)),SUMIFS(Sum_over_12,site_level_range,LEFT($B$4,LEN($B$4)-10),date_range,D234,inputdata!$E:$E,"*- ED*"),SUMIFS(Sum_over_12,site_level_range,$B$4,date_range,D234)))</f>
        <v>19</v>
      </c>
      <c r="E245" s="147">
        <f ca="1">IF(E242="-","-",IF(ISNUMBER(FIND("ED only",$B$4)),SUMIFS(Sum_over_12,site_level_range,LEFT($B$4,LEN($B$4)-10),date_range,E234,inputdata!$E:$E,"*- ED*"),SUMIFS(Sum_over_12,site_level_range,$B$4,date_range,E234)))</f>
        <v>33</v>
      </c>
      <c r="F245" s="147">
        <f ca="1">IF(F242="-","-",IF(ISNUMBER(FIND("ED only",$B$4)),SUMIFS(Sum_over_12,site_level_range,LEFT($B$4,LEN($B$4)-10),date_range,F234,inputdata!$E:$E,"*- ED*"),SUMIFS(Sum_over_12,site_level_range,$B$4,date_range,F234)))</f>
        <v>18</v>
      </c>
      <c r="G245" s="147">
        <f ca="1">IF(G242="-","-",IF(ISNUMBER(FIND("ED only",$B$4)),SUMIFS(Sum_over_12,site_level_range,LEFT($B$4,LEN($B$4)-10),date_range,G234,inputdata!$E:$E,"*- ED*"),SUMIFS(Sum_over_12,site_level_range,$B$4,date_range,G234)))</f>
        <v>11</v>
      </c>
      <c r="H245" s="147">
        <f ca="1">IF(H242="-","-",IF(ISNUMBER(FIND("ED only",$B$4)),SUMIFS(Sum_over_12,site_level_range,LEFT($B$4,LEN($B$4)-10),date_range,H234,inputdata!$E:$E,"*- ED*"),SUMIFS(Sum_over_12,site_level_range,$B$4,date_range,H234)))</f>
        <v>19</v>
      </c>
      <c r="I245" s="147">
        <f ca="1">IF(I242="-","-",IF(ISNUMBER(FIND("ED only",$B$4)),SUMIFS(Sum_over_12,site_level_range,LEFT($B$4,LEN($B$4)-10),date_range,I234,inputdata!$E:$E,"*- ED*"),SUMIFS(Sum_over_12,site_level_range,$B$4,date_range,I234)))</f>
        <v>7</v>
      </c>
      <c r="J245" s="147">
        <f ca="1">IF(J242="-","-",IF(ISNUMBER(FIND("ED only",$B$4)),SUMIFS(Sum_over_12,site_level_range,LEFT($B$4,LEN($B$4)-10),date_range,J234,inputdata!$E:$E,"*- ED*"),SUMIFS(Sum_over_12,site_level_range,$B$4,date_range,J234)))</f>
        <v>41</v>
      </c>
      <c r="K245" s="147">
        <f ca="1">IF(K242="-","-",IF(ISNUMBER(FIND("ED only",$B$4)),SUMIFS(Sum_over_12,site_level_range,LEFT($B$4,LEN($B$4)-10),date_range,K234,inputdata!$E:$E,"*- ED*"),SUMIFS(Sum_over_12,site_level_range,$B$4,date_range,K234)))</f>
        <v>39</v>
      </c>
      <c r="L245" s="147">
        <f ca="1">IF(L242="-","-",IF(ISNUMBER(FIND("ED only",$B$4)),SUMIFS(Sum_over_12,site_level_range,LEFT($B$4,LEN($B$4)-10),date_range,L234,inputdata!$E:$E,"*- ED*"),SUMIFS(Sum_over_12,site_level_range,$B$4,date_range,L234)))</f>
        <v>91</v>
      </c>
      <c r="M245" s="147">
        <f ca="1">IF(M242="-","-",IF(ISNUMBER(FIND("ED only",$B$4)),SUMIFS(Sum_over_12,site_level_range,LEFT($B$4,LEN($B$4)-10),date_range,M234,inputdata!$E:$E,"*- ED*"),SUMIFS(Sum_over_12,site_level_range,$B$4,date_range,M234)))</f>
        <v>20</v>
      </c>
      <c r="N245" s="156">
        <f ca="1">IF(N242="-","-",IF(ISNUMBER(FIND("ED only",$B$4)),SUMIFS(Sum_over_12,site_level_range,LEFT($B$4,LEN($B$4)-10),date_range,N234,inputdata!$E:$E,"*- ED*"),SUMIFS(Sum_over_12,site_level_range,$B$4,date_range,N234)))</f>
        <v>11</v>
      </c>
    </row>
    <row r="246" spans="1:14" ht="15" customHeight="1" x14ac:dyDescent="0.2">
      <c r="A246" s="132"/>
      <c r="B246" s="154" t="s">
        <v>734</v>
      </c>
      <c r="C246" s="151">
        <f t="shared" ref="C246:N246" ca="1" si="59">IF(ISERROR(1-C245/C242),"-",1-C245/C242)</f>
        <v>0.99923002073021105</v>
      </c>
      <c r="D246" s="151">
        <f t="shared" ca="1" si="59"/>
        <v>0.99985570533510537</v>
      </c>
      <c r="E246" s="151">
        <f t="shared" ca="1" si="59"/>
        <v>0.99973377220581827</v>
      </c>
      <c r="F246" s="151">
        <f t="shared" ca="1" si="59"/>
        <v>0.99985124089883559</v>
      </c>
      <c r="G246" s="151">
        <f t="shared" ca="1" si="59"/>
        <v>0.99991161108879067</v>
      </c>
      <c r="H246" s="151">
        <f t="shared" ca="1" si="59"/>
        <v>0.9998426670420576</v>
      </c>
      <c r="I246" s="151">
        <f t="shared" ca="1" si="59"/>
        <v>0.99993986150964798</v>
      </c>
      <c r="J246" s="151">
        <f t="shared" ca="1" si="59"/>
        <v>0.99964703249022879</v>
      </c>
      <c r="K246" s="151">
        <f t="shared" ca="1" si="59"/>
        <v>0.99967200154747993</v>
      </c>
      <c r="L246" s="151">
        <f t="shared" ca="1" si="59"/>
        <v>0.99920710296334381</v>
      </c>
      <c r="M246" s="151">
        <f t="shared" ca="1" si="59"/>
        <v>0.99981629972536812</v>
      </c>
      <c r="N246" s="160">
        <f t="shared" ca="1" si="59"/>
        <v>0.99991519020523967</v>
      </c>
    </row>
    <row r="247" spans="1:14" x14ac:dyDescent="0.2">
      <c r="B247" s="127"/>
      <c r="C247" s="127"/>
      <c r="D247" s="127"/>
      <c r="E247" s="127"/>
      <c r="F247" s="127"/>
      <c r="G247" s="127"/>
      <c r="H247" s="127"/>
      <c r="I247" s="127"/>
      <c r="J247" s="127"/>
      <c r="K247" s="127"/>
      <c r="L247" s="127"/>
      <c r="M247" s="127"/>
      <c r="N247" s="127"/>
    </row>
    <row r="248" spans="1:14" ht="15" customHeight="1" x14ac:dyDescent="0.25">
      <c r="A248" s="132"/>
      <c r="B248" s="153" t="s">
        <v>723</v>
      </c>
      <c r="C248" s="175"/>
      <c r="D248" s="175"/>
      <c r="E248" s="176"/>
      <c r="F248" s="149">
        <v>39294</v>
      </c>
      <c r="G248" s="149">
        <v>39325</v>
      </c>
      <c r="H248" s="149">
        <v>39355</v>
      </c>
      <c r="I248" s="149">
        <v>39386</v>
      </c>
      <c r="J248" s="149">
        <v>39416</v>
      </c>
      <c r="K248" s="149">
        <v>39447</v>
      </c>
      <c r="L248" s="149">
        <v>39478</v>
      </c>
      <c r="M248" s="149">
        <v>39507</v>
      </c>
      <c r="N248" s="158">
        <v>39538</v>
      </c>
    </row>
    <row r="249" spans="1:14" ht="15" customHeight="1" x14ac:dyDescent="0.2">
      <c r="A249" s="132"/>
      <c r="B249" s="152" t="s">
        <v>724</v>
      </c>
      <c r="C249" s="177"/>
      <c r="D249" s="177"/>
      <c r="E249" s="178"/>
      <c r="F249" s="147">
        <f ca="1">IF(IF(ISNUMBER(FIND("ED only",$B$4)),SUMIFS(sum_range,site_level_range,LEFT($B$4,LEN($B$4)-10),date_range,F248,inputdata!$E:$E,"*- ED*"),SUMIFS(sum_range,site_level_range,$B$4,date_range,F248))=0,"-",IF(ISNUMBER(FIND("ED only",$B$4)),SUMIFS(sum_range,site_level_range,LEFT($B$4,LEN($B$4)-10),date_range,F248,inputdata!$E:$E,"*- ED*"),SUMIFS(sum_range,site_level_range,$B$4,date_range,F248)))</f>
        <v>132240</v>
      </c>
      <c r="G249" s="147">
        <f ca="1">IF(IF(ISNUMBER(FIND("ED only",$B$4)),SUMIFS(sum_range,site_level_range,LEFT($B$4,LEN($B$4)-10),date_range,G248,inputdata!$E:$E,"*- ED*"),SUMIFS(sum_range,site_level_range,$B$4,date_range,G248))=0,"-",IF(ISNUMBER(FIND("ED only",$B$4)),SUMIFS(sum_range,site_level_range,LEFT($B$4,LEN($B$4)-10),date_range,G248,inputdata!$E:$E,"*- ED*"),SUMIFS(sum_range,site_level_range,$B$4,date_range,G248)))</f>
        <v>135386</v>
      </c>
      <c r="H249" s="147">
        <f ca="1">IF(IF(ISNUMBER(FIND("ED only",$B$4)),SUMIFS(sum_range,site_level_range,LEFT($B$4,LEN($B$4)-10),date_range,H248,inputdata!$E:$E,"*- ED*"),SUMIFS(sum_range,site_level_range,$B$4,date_range,H248))=0,"-",IF(ISNUMBER(FIND("ED only",$B$4)),SUMIFS(sum_range,site_level_range,LEFT($B$4,LEN($B$4)-10),date_range,H248,inputdata!$E:$E,"*- ED*"),SUMIFS(sum_range,site_level_range,$B$4,date_range,H248)))</f>
        <v>130802</v>
      </c>
      <c r="I249" s="147">
        <f ca="1">IF(IF(ISNUMBER(FIND("ED only",$B$4)),SUMIFS(sum_range,site_level_range,LEFT($B$4,LEN($B$4)-10),date_range,I248,inputdata!$E:$E,"*- ED*"),SUMIFS(sum_range,site_level_range,$B$4,date_range,I248))=0,"-",IF(ISNUMBER(FIND("ED only",$B$4)),SUMIFS(sum_range,site_level_range,LEFT($B$4,LEN($B$4)-10),date_range,I248,inputdata!$E:$E,"*- ED*"),SUMIFS(sum_range,site_level_range,$B$4,date_range,I248)))</f>
        <v>129964</v>
      </c>
      <c r="J249" s="147">
        <f ca="1">IF(IF(ISNUMBER(FIND("ED only",$B$4)),SUMIFS(sum_range,site_level_range,LEFT($B$4,LEN($B$4)-10),date_range,J248,inputdata!$E:$E,"*- ED*"),SUMIFS(sum_range,site_level_range,$B$4,date_range,J248))=0,"-",IF(ISNUMBER(FIND("ED only",$B$4)),SUMIFS(sum_range,site_level_range,LEFT($B$4,LEN($B$4)-10),date_range,J248,inputdata!$E:$E,"*- ED*"),SUMIFS(sum_range,site_level_range,$B$4,date_range,J248)))</f>
        <v>121783</v>
      </c>
      <c r="K249" s="147">
        <f ca="1">IF(IF(ISNUMBER(FIND("ED only",$B$4)),SUMIFS(sum_range,site_level_range,LEFT($B$4,LEN($B$4)-10),date_range,K248,inputdata!$E:$E,"*- ED*"),SUMIFS(sum_range,site_level_range,$B$4,date_range,K248))=0,"-",IF(ISNUMBER(FIND("ED only",$B$4)),SUMIFS(sum_range,site_level_range,LEFT($B$4,LEN($B$4)-10),date_range,K248,inputdata!$E:$E,"*- ED*"),SUMIFS(sum_range,site_level_range,$B$4,date_range,K248)))</f>
        <v>122372</v>
      </c>
      <c r="L249" s="147">
        <f ca="1">IF(IF(ISNUMBER(FIND("ED only",$B$4)),SUMIFS(sum_range,site_level_range,LEFT($B$4,LEN($B$4)-10),date_range,L248,inputdata!$E:$E,"*- ED*"),SUMIFS(sum_range,site_level_range,$B$4,date_range,L248))=0,"-",IF(ISNUMBER(FIND("ED only",$B$4)),SUMIFS(sum_range,site_level_range,LEFT($B$4,LEN($B$4)-10),date_range,L248,inputdata!$E:$E,"*- ED*"),SUMIFS(sum_range,site_level_range,$B$4,date_range,L248)))</f>
        <v>120694</v>
      </c>
      <c r="M249" s="147">
        <f ca="1">IF(IF(ISNUMBER(FIND("ED only",$B$4)),SUMIFS(sum_range,site_level_range,LEFT($B$4,LEN($B$4)-10),date_range,M248,inputdata!$E:$E,"*- ED*"),SUMIFS(sum_range,site_level_range,$B$4,date_range,M248))=0,"-",IF(ISNUMBER(FIND("ED only",$B$4)),SUMIFS(sum_range,site_level_range,LEFT($B$4,LEN($B$4)-10),date_range,M248,inputdata!$E:$E,"*- ED*"),SUMIFS(sum_range,site_level_range,$B$4,date_range,M248)))</f>
        <v>118492</v>
      </c>
      <c r="N249" s="156">
        <f ca="1">IF(IF(ISNUMBER(FIND("ED only",$B$4)),SUMIFS(sum_range,site_level_range,LEFT($B$4,LEN($B$4)-10),date_range,N248,inputdata!$E:$E,"*- ED*"),SUMIFS(sum_range,site_level_range,$B$4,date_range,N248))=0,"-",IF(ISNUMBER(FIND("ED only",$B$4)),SUMIFS(sum_range,site_level_range,LEFT($B$4,LEN($B$4)-10),date_range,N248,inputdata!$E:$E,"*- ED*"),SUMIFS(sum_range,site_level_range,$B$4,date_range,N248)))</f>
        <v>133990</v>
      </c>
    </row>
    <row r="250" spans="1:14" ht="15" customHeight="1" x14ac:dyDescent="0.2">
      <c r="A250" s="132"/>
      <c r="B250" s="152" t="s">
        <v>725</v>
      </c>
      <c r="C250" s="177"/>
      <c r="D250" s="177"/>
      <c r="E250" s="178"/>
      <c r="F250" s="147" t="str">
        <f ca="1">IF(AND(MONTH(F248)=3,ISNUMBER($N249),ISNUMBER($C249)),SUM($C249:F249),IF(AND(MONTH(F248)&lt;&gt;3,ISNUMBER(F249),ISNUMBER(G263)),SUM($C249:F249,G263:$N263),"-"))</f>
        <v>-</v>
      </c>
      <c r="G250" s="147" t="str">
        <f ca="1">IF(AND(MONTH(G248)=3,ISNUMBER($N249),ISNUMBER($C249)),SUM($C249:G249),IF(AND(MONTH(G248)&lt;&gt;3,ISNUMBER(G249),ISNUMBER(H263)),SUM($C249:G249,H263:$N263),"-"))</f>
        <v>-</v>
      </c>
      <c r="H250" s="147" t="str">
        <f ca="1">IF(AND(MONTH(H248)=3,ISNUMBER($N249),ISNUMBER($C249)),SUM($C249:H249),IF(AND(MONTH(H248)&lt;&gt;3,ISNUMBER(H249),ISNUMBER(I263)),SUM($C249:H249,I263:$N263),"-"))</f>
        <v>-</v>
      </c>
      <c r="I250" s="147" t="str">
        <f ca="1">IF(AND(MONTH(I248)=3,ISNUMBER($N249),ISNUMBER($C249)),SUM($C249:I249),IF(AND(MONTH(I248)&lt;&gt;3,ISNUMBER(I249),ISNUMBER(J263)),SUM($C249:I249,J263:$N263),"-"))</f>
        <v>-</v>
      </c>
      <c r="J250" s="147" t="str">
        <f ca="1">IF(AND(MONTH(J248)=3,ISNUMBER($N249),ISNUMBER($C249)),SUM($C249:J249),IF(AND(MONTH(J248)&lt;&gt;3,ISNUMBER(J249),ISNUMBER(K263)),SUM($C249:J249,K263:$N263),"-"))</f>
        <v>-</v>
      </c>
      <c r="K250" s="147" t="str">
        <f ca="1">IF(AND(MONTH(K248)=3,ISNUMBER($N249),ISNUMBER($C249)),SUM($C249:K249),IF(AND(MONTH(K248)&lt;&gt;3,ISNUMBER(K249),ISNUMBER(L263)),SUM($C249:K249,L263:$N263),"-"))</f>
        <v>-</v>
      </c>
      <c r="L250" s="147" t="str">
        <f ca="1">IF(AND(MONTH(L248)=3,ISNUMBER($N249),ISNUMBER($C249)),SUM($C249:L249),IF(AND(MONTH(L248)&lt;&gt;3,ISNUMBER(L249),ISNUMBER(M263)),SUM($C249:L249,M263:$N263),"-"))</f>
        <v>-</v>
      </c>
      <c r="M250" s="147" t="str">
        <f ca="1">IF(AND(MONTH(M248)=3,ISNUMBER($N249),ISNUMBER($C249)),SUM($C249:M249),IF(AND(MONTH(M248)&lt;&gt;3,ISNUMBER(M249),ISNUMBER(N263)),SUM($C249:M249,N263:$N263),"-"))</f>
        <v>-</v>
      </c>
      <c r="N250" s="156" t="str">
        <f ca="1">IF(AND(MONTH(N248)=3,ISNUMBER($N249),ISNUMBER($C249)),SUM($C249:N249),IF(AND(MONTH(N248)&lt;&gt;3,ISNUMBER(N249),ISNUMBER(O263)),SUM($C249:N249,$N263:O263),"-"))</f>
        <v>-</v>
      </c>
    </row>
    <row r="251" spans="1:14" ht="15" customHeight="1" x14ac:dyDescent="0.2">
      <c r="A251" s="132"/>
      <c r="B251" s="154" t="s">
        <v>726</v>
      </c>
      <c r="C251" s="177"/>
      <c r="D251" s="177"/>
      <c r="E251" s="178"/>
      <c r="F251" s="150" t="e">
        <f t="shared" ref="F251:N251" ca="1" si="60">IF(ISNUMBER(F250),F250/12,NA())</f>
        <v>#N/A</v>
      </c>
      <c r="G251" s="150" t="e">
        <f t="shared" ca="1" si="60"/>
        <v>#N/A</v>
      </c>
      <c r="H251" s="150" t="e">
        <f t="shared" ca="1" si="60"/>
        <v>#N/A</v>
      </c>
      <c r="I251" s="150" t="e">
        <f t="shared" ca="1" si="60"/>
        <v>#N/A</v>
      </c>
      <c r="J251" s="150" t="e">
        <f t="shared" ca="1" si="60"/>
        <v>#N/A</v>
      </c>
      <c r="K251" s="150" t="e">
        <f t="shared" ca="1" si="60"/>
        <v>#N/A</v>
      </c>
      <c r="L251" s="150" t="e">
        <f t="shared" ca="1" si="60"/>
        <v>#N/A</v>
      </c>
      <c r="M251" s="150" t="e">
        <f t="shared" ca="1" si="60"/>
        <v>#N/A</v>
      </c>
      <c r="N251" s="159" t="e">
        <f t="shared" ca="1" si="60"/>
        <v>#N/A</v>
      </c>
    </row>
    <row r="252" spans="1:14" ht="15" customHeight="1" x14ac:dyDescent="0.2">
      <c r="A252" s="132"/>
      <c r="B252" s="152" t="s">
        <v>727</v>
      </c>
      <c r="C252" s="177"/>
      <c r="D252" s="177"/>
      <c r="E252" s="178"/>
      <c r="F252" s="147">
        <f ca="1">IF(F249="-","-",F249-IF(ISNUMBER(FIND("ED only",$B$4)),SUMIFS(sum_over_4_tot,site_level_range,LEFT($B$4,LEN($B$4)-10),date_range,F248,inputdata!$E:$E,"*- ED*"),SUMIFS(sum_over_4_tot,site_level_range,$B$4,date_range,F248)))</f>
        <v>4450</v>
      </c>
      <c r="G252" s="147">
        <f ca="1">IF(G249="-","-",G249-IF(ISNUMBER(FIND("ED only",$B$4)),SUMIFS(sum_over_4_tot,site_level_range,LEFT($B$4,LEN($B$4)-10),date_range,G248,inputdata!$E:$E,"*- ED*"),SUMIFS(sum_over_4_tot,site_level_range,$B$4,date_range,G248)))</f>
        <v>4957</v>
      </c>
      <c r="H252" s="147">
        <f ca="1">IF(H249="-","-",H249-IF(ISNUMBER(FIND("ED only",$B$4)),SUMIFS(sum_over_4_tot,site_level_range,LEFT($B$4,LEN($B$4)-10),date_range,H248,inputdata!$E:$E,"*- ED*"),SUMIFS(sum_over_4_tot,site_level_range,$B$4,date_range,H248)))</f>
        <v>4287</v>
      </c>
      <c r="I252" s="147">
        <f ca="1">IF(I249="-","-",I249-IF(ISNUMBER(FIND("ED only",$B$4)),SUMIFS(sum_over_4_tot,site_level_range,LEFT($B$4,LEN($B$4)-10),date_range,I248,inputdata!$E:$E,"*- ED*"),SUMIFS(sum_over_4_tot,site_level_range,$B$4,date_range,I248)))</f>
        <v>3779</v>
      </c>
      <c r="J252" s="147">
        <f ca="1">IF(J249="-","-",J249-IF(ISNUMBER(FIND("ED only",$B$4)),SUMIFS(sum_over_4_tot,site_level_range,LEFT($B$4,LEN($B$4)-10),date_range,J248,inputdata!$E:$E,"*- ED*"),SUMIFS(sum_over_4_tot,site_level_range,$B$4,date_range,J248)))</f>
        <v>2906</v>
      </c>
      <c r="K252" s="147">
        <f ca="1">IF(K249="-","-",K249-IF(ISNUMBER(FIND("ED only",$B$4)),SUMIFS(sum_over_4_tot,site_level_range,LEFT($B$4,LEN($B$4)-10),date_range,K248,inputdata!$E:$E,"*- ED*"),SUMIFS(sum_over_4_tot,site_level_range,$B$4,date_range,K248)))</f>
        <v>2676</v>
      </c>
      <c r="L252" s="147">
        <f ca="1">IF(L249="-","-",L249-IF(ISNUMBER(FIND("ED only",$B$4)),SUMIFS(sum_over_4_tot,site_level_range,LEFT($B$4,LEN($B$4)-10),date_range,L248,inputdata!$E:$E,"*- ED*"),SUMIFS(sum_over_4_tot,site_level_range,$B$4,date_range,L248)))</f>
        <v>3110</v>
      </c>
      <c r="M252" s="147">
        <f ca="1">IF(M249="-","-",M249-IF(ISNUMBER(FIND("ED only",$B$4)),SUMIFS(sum_over_4_tot,site_level_range,LEFT($B$4,LEN($B$4)-10),date_range,M248,inputdata!$E:$E,"*- ED*"),SUMIFS(sum_over_4_tot,site_level_range,$B$4,date_range,M248)))</f>
        <v>2467</v>
      </c>
      <c r="N252" s="156">
        <f ca="1">IF(N249="-","-",N249-IF(ISNUMBER(FIND("ED only",$B$4)),SUMIFS(sum_over_4_tot,site_level_range,LEFT($B$4,LEN($B$4)-10),date_range,N248,inputdata!$E:$E,"*- ED*"),SUMIFS(sum_over_4_tot,site_level_range,$B$4,date_range,N248)))</f>
        <v>3390</v>
      </c>
    </row>
    <row r="253" spans="1:14" ht="15" customHeight="1" x14ac:dyDescent="0.2">
      <c r="A253" s="132"/>
      <c r="B253" s="152" t="s">
        <v>728</v>
      </c>
      <c r="C253" s="179"/>
      <c r="D253" s="179"/>
      <c r="E253" s="180"/>
      <c r="F253" s="148">
        <f t="shared" ref="F253:N253" ca="1" si="61">IF(ISERROR(1-F252/F249),NA(),(1-F252/F249))</f>
        <v>0.96634906231094975</v>
      </c>
      <c r="G253" s="148">
        <f t="shared" ca="1" si="61"/>
        <v>0.96338616991417136</v>
      </c>
      <c r="H253" s="148">
        <f t="shared" ca="1" si="61"/>
        <v>0.96722527178483508</v>
      </c>
      <c r="I253" s="148">
        <f t="shared" ca="1" si="61"/>
        <v>0.97092271706010891</v>
      </c>
      <c r="J253" s="148">
        <f t="shared" ca="1" si="61"/>
        <v>0.97613788459801454</v>
      </c>
      <c r="K253" s="148">
        <f t="shared" ca="1" si="61"/>
        <v>0.97813225247605662</v>
      </c>
      <c r="L253" s="148">
        <f t="shared" ca="1" si="61"/>
        <v>0.97423235620660509</v>
      </c>
      <c r="M253" s="148">
        <f t="shared" ca="1" si="61"/>
        <v>0.97918002903149581</v>
      </c>
      <c r="N253" s="157">
        <f t="shared" ca="1" si="61"/>
        <v>0.97469960444809312</v>
      </c>
    </row>
    <row r="254" spans="1:14" ht="15" customHeight="1" x14ac:dyDescent="0.2">
      <c r="A254" s="132"/>
      <c r="B254" s="154" t="s">
        <v>729</v>
      </c>
      <c r="C254" s="179"/>
      <c r="D254" s="179"/>
      <c r="E254" s="180"/>
      <c r="F254" s="151" t="e">
        <f ca="1">IF(ISERROR(F251),NA(),IF(AND(MONTH(F248)=3,ISNUMBER($N249),ISNUMBER($C249)),1-(SUM($C252:$N252)/SUM($C249:$N249)),IF(AND(MONTH(F248)&lt;&gt;3,ISNUMBER(F249),ISNUMBER(G263)),1-(SUM(G266:$N266,$C252:F252)/SUM($C249:F249,G263:$N263)),NA())))</f>
        <v>#N/A</v>
      </c>
      <c r="G254" s="151" t="e">
        <f ca="1">IF(ISERROR(G251),NA(),IF(AND(MONTH(G248)=3,ISNUMBER($N249),ISNUMBER($C249)),1-(SUM($C252:$N252)/SUM($C249:$N249)),IF(AND(MONTH(G248)&lt;&gt;3,ISNUMBER(G249),ISNUMBER(H263)),1-(SUM(H266:$N266,$C252:G252)/SUM($C249:G249,H263:$N263)),NA())))</f>
        <v>#N/A</v>
      </c>
      <c r="H254" s="151" t="e">
        <f ca="1">IF(ISERROR(H251),NA(),IF(AND(MONTH(H248)=3,ISNUMBER($N249),ISNUMBER($C249)),1-(SUM($C252:$N252)/SUM($C249:$N249)),IF(AND(MONTH(H248)&lt;&gt;3,ISNUMBER(H249),ISNUMBER(I263)),1-(SUM(I266:$N266,$C252:H252)/SUM($C249:H249,I263:$N263)),NA())))</f>
        <v>#N/A</v>
      </c>
      <c r="I254" s="151" t="e">
        <f ca="1">IF(ISERROR(I251),NA(),IF(AND(MONTH(I248)=3,ISNUMBER($N249),ISNUMBER($C249)),1-(SUM($C252:$N252)/SUM($C249:$N249)),IF(AND(MONTH(I248)&lt;&gt;3,ISNUMBER(I249),ISNUMBER(J263)),1-(SUM(J266:$N266,$C252:I252)/SUM($C249:I249,J263:$N263)),NA())))</f>
        <v>#N/A</v>
      </c>
      <c r="J254" s="151" t="e">
        <f ca="1">IF(ISERROR(J251),NA(),IF(AND(MONTH(J248)=3,ISNUMBER($N249),ISNUMBER($C249)),1-(SUM($C252:$N252)/SUM($C249:$N249)),IF(AND(MONTH(J248)&lt;&gt;3,ISNUMBER(J249),ISNUMBER(K263)),1-(SUM(K266:$N266,$C252:J252)/SUM($C249:J249,K263:$N263)),NA())))</f>
        <v>#N/A</v>
      </c>
      <c r="K254" s="151" t="e">
        <f ca="1">IF(ISERROR(K251),NA(),IF(AND(MONTH(K248)=3,ISNUMBER($N249),ISNUMBER($C249)),1-(SUM($C252:$N252)/SUM($C249:$N249)),IF(AND(MONTH(K248)&lt;&gt;3,ISNUMBER(K249),ISNUMBER(L263)),1-(SUM(L266:$N266,$C252:K252)/SUM($C249:K249,L263:$N263)),NA())))</f>
        <v>#N/A</v>
      </c>
      <c r="L254" s="151" t="e">
        <f ca="1">IF(ISERROR(L251),NA(),IF(AND(MONTH(L248)=3,ISNUMBER($N249),ISNUMBER($C249)),1-(SUM($C252:$N252)/SUM($C249:$N249)),IF(AND(MONTH(L248)&lt;&gt;3,ISNUMBER(L249),ISNUMBER(M263)),1-(SUM(M266:$N266,$C252:L252)/SUM($C249:L249,M263:$N263)),NA())))</f>
        <v>#N/A</v>
      </c>
      <c r="M254" s="151" t="e">
        <f ca="1">IF(ISERROR(M251),NA(),IF(AND(MONTH(M248)=3,ISNUMBER($N249),ISNUMBER($C249)),1-(SUM($C252:$N252)/SUM($C249:$N249)),IF(AND(MONTH(M248)&lt;&gt;3,ISNUMBER(M249),ISNUMBER(N263)),1-(SUM(N266:$N266,$C252:M252)/SUM($C249:M249,N263:$N263)),NA())))</f>
        <v>#N/A</v>
      </c>
      <c r="N254" s="160" t="e">
        <f ca="1">IF(ISERROR(N251),NA(),IF(AND(MONTH(N248)=3,ISNUMBER($N249),ISNUMBER($C249)),1-(SUM($C252:$N252)/SUM($C249:$N249)),IF(AND(MONTH(N248)&lt;&gt;3,ISNUMBER(N249),ISNUMBER(O263)),1-(SUM($N266:O266,$C252:N252)/SUM($C249:N249,$N263:O263)),NA())))</f>
        <v>#N/A</v>
      </c>
    </row>
    <row r="255" spans="1:14" ht="15" x14ac:dyDescent="0.25">
      <c r="A255" s="132"/>
      <c r="B255" s="155" t="s">
        <v>730</v>
      </c>
      <c r="C255" s="181"/>
      <c r="D255" s="181"/>
      <c r="E255" s="182"/>
      <c r="F255" s="127"/>
      <c r="G255" s="127"/>
      <c r="H255" s="127"/>
      <c r="I255" s="127"/>
      <c r="J255" s="127"/>
      <c r="K255" s="127"/>
      <c r="L255" s="127"/>
      <c r="M255" s="127"/>
      <c r="N255" s="161"/>
    </row>
    <row r="256" spans="1:14" ht="15" customHeight="1" x14ac:dyDescent="0.2">
      <c r="A256" s="132"/>
      <c r="B256" s="154" t="s">
        <v>724</v>
      </c>
      <c r="C256" s="177"/>
      <c r="D256" s="177"/>
      <c r="E256" s="178"/>
      <c r="F256" s="150">
        <f ca="1">IF(IF(ISNUMBER(FIND("ED only",$B$4)),SUMIFS(Sum_total_epi,site_level_range,LEFT($B$4,LEN($B$4)-10),date_range,F248,inputdata!$E:$E,"*- ED*"),SUMIFS(Sum_total_epi,site_level_range,$B$4,date_range,F248))=0,"-",IF(ISNUMBER(FIND("ED only",$B$4)),SUMIFS(Sum_total_epi,site_level_range,LEFT($B$4,LEN($B$4)-10),date_range,F248,inputdata!$E:$E,"*- ED*"),SUMIFS(Sum_total_epi,site_level_range,$B$4,date_range,F248)))</f>
        <v>119794</v>
      </c>
      <c r="G256" s="150">
        <f ca="1">IF(IF(ISNUMBER(FIND("ED only",$B$4)),SUMIFS(Sum_total_epi,site_level_range,LEFT($B$4,LEN($B$4)-10),date_range,G248,inputdata!$E:$E,"*- ED*"),SUMIFS(Sum_total_epi,site_level_range,$B$4,date_range,G248))=0,"-",IF(ISNUMBER(FIND("ED only",$B$4)),SUMIFS(Sum_total_epi,site_level_range,LEFT($B$4,LEN($B$4)-10),date_range,G248,inputdata!$E:$E,"*- ED*"),SUMIFS(Sum_total_epi,site_level_range,$B$4,date_range,G248)))</f>
        <v>122812</v>
      </c>
      <c r="H256" s="150">
        <f ca="1">IF(IF(ISNUMBER(FIND("ED only",$B$4)),SUMIFS(Sum_total_epi,site_level_range,LEFT($B$4,LEN($B$4)-10),date_range,H248,inputdata!$E:$E,"*- ED*"),SUMIFS(Sum_total_epi,site_level_range,$B$4,date_range,H248))=0,"-",IF(ISNUMBER(FIND("ED only",$B$4)),SUMIFS(Sum_total_epi,site_level_range,LEFT($B$4,LEN($B$4)-10),date_range,H248,inputdata!$E:$E,"*- ED*"),SUMIFS(Sum_total_epi,site_level_range,$B$4,date_range,H248)))</f>
        <v>119551</v>
      </c>
      <c r="I256" s="150">
        <f ca="1">IF(IF(ISNUMBER(FIND("ED only",$B$4)),SUMIFS(Sum_total_epi,site_level_range,LEFT($B$4,LEN($B$4)-10),date_range,I248,inputdata!$E:$E,"*- ED*"),SUMIFS(Sum_total_epi,site_level_range,$B$4,date_range,I248))=0,"-",IF(ISNUMBER(FIND("ED only",$B$4)),SUMIFS(Sum_total_epi,site_level_range,LEFT($B$4,LEN($B$4)-10),date_range,I248,inputdata!$E:$E,"*- ED*"),SUMIFS(Sum_total_epi,site_level_range,$B$4,date_range,I248)))</f>
        <v>119350</v>
      </c>
      <c r="J256" s="150">
        <f ca="1">IF(IF(ISNUMBER(FIND("ED only",$B$4)),SUMIFS(Sum_total_epi,site_level_range,LEFT($B$4,LEN($B$4)-10),date_range,J248,inputdata!$E:$E,"*- ED*"),SUMIFS(Sum_total_epi,site_level_range,$B$4,date_range,J248))=0,"-",IF(ISNUMBER(FIND("ED only",$B$4)),SUMIFS(Sum_total_epi,site_level_range,LEFT($B$4,LEN($B$4)-10),date_range,J248,inputdata!$E:$E,"*- ED*"),SUMIFS(Sum_total_epi,site_level_range,$B$4,date_range,J248)))</f>
        <v>112385</v>
      </c>
      <c r="K256" s="150">
        <f ca="1">IF(IF(ISNUMBER(FIND("ED only",$B$4)),SUMIFS(Sum_total_epi,site_level_range,LEFT($B$4,LEN($B$4)-10),date_range,K248,inputdata!$E:$E,"*- ED*"),SUMIFS(Sum_total_epi,site_level_range,$B$4,date_range,K248))=0,"-",IF(ISNUMBER(FIND("ED only",$B$4)),SUMIFS(Sum_total_epi,site_level_range,LEFT($B$4,LEN($B$4)-10),date_range,K248,inputdata!$E:$E,"*- ED*"),SUMIFS(Sum_total_epi,site_level_range,$B$4,date_range,K248)))</f>
        <v>113603</v>
      </c>
      <c r="L256" s="150">
        <f ca="1">IF(IF(ISNUMBER(FIND("ED only",$B$4)),SUMIFS(Sum_total_epi,site_level_range,LEFT($B$4,LEN($B$4)-10),date_range,L248,inputdata!$E:$E,"*- ED*"),SUMIFS(Sum_total_epi,site_level_range,$B$4,date_range,L248))=0,"-",IF(ISNUMBER(FIND("ED only",$B$4)),SUMIFS(Sum_total_epi,site_level_range,LEFT($B$4,LEN($B$4)-10),date_range,L248,inputdata!$E:$E,"*- ED*"),SUMIFS(Sum_total_epi,site_level_range,$B$4,date_range,L248)))</f>
        <v>112141</v>
      </c>
      <c r="M256" s="150">
        <f ca="1">IF(IF(ISNUMBER(FIND("ED only",$B$4)),SUMIFS(Sum_total_epi,site_level_range,LEFT($B$4,LEN($B$4)-10),date_range,M248,inputdata!$E:$E,"*- ED*"),SUMIFS(Sum_total_epi,site_level_range,$B$4,date_range,M248))=0,"-",IF(ISNUMBER(FIND("ED only",$B$4)),SUMIFS(Sum_total_epi,site_level_range,LEFT($B$4,LEN($B$4)-10),date_range,M248,inputdata!$E:$E,"*- ED*"),SUMIFS(Sum_total_epi,site_level_range,$B$4,date_range,M248)))</f>
        <v>110318</v>
      </c>
      <c r="N256" s="159">
        <f ca="1">IF(IF(ISNUMBER(FIND("ED only",$B$4)),SUMIFS(Sum_total_epi,site_level_range,LEFT($B$4,LEN($B$4)-10),date_range,N248,inputdata!$E:$E,"*- ED*"),SUMIFS(Sum_total_epi,site_level_range,$B$4,date_range,N248))=0,"-",IF(ISNUMBER(FIND("ED only",$B$4)),SUMIFS(Sum_total_epi,site_level_range,LEFT($B$4,LEN($B$4)-10),date_range,N248,inputdata!$E:$E,"*- ED*"),SUMIFS(Sum_total_epi,site_level_range,$B$4,date_range,N248)))</f>
        <v>124122</v>
      </c>
    </row>
    <row r="257" spans="1:14" ht="15" customHeight="1" x14ac:dyDescent="0.2">
      <c r="A257" s="132"/>
      <c r="B257" s="152" t="s">
        <v>731</v>
      </c>
      <c r="C257" s="177"/>
      <c r="D257" s="177"/>
      <c r="E257" s="178"/>
      <c r="F257" s="147">
        <f ca="1">IF(F256="-","-",IF(ISNUMBER(FIND("ED only",$B$4)),SUMIFS(Sum_over_8,site_level_range,LEFT($B$4,LEN($B$4)-10),date_range,F248,inputdata!$E:$E,"*- ED*"),SUMIFS(Sum_over_8,site_level_range,$B$4,date_range,F248)))</f>
        <v>273</v>
      </c>
      <c r="G257" s="147">
        <f ca="1">IF(G256="-","-",IF(ISNUMBER(FIND("ED only",$B$4)),SUMIFS(Sum_over_8,site_level_range,LEFT($B$4,LEN($B$4)-10),date_range,G248,inputdata!$E:$E,"*- ED*"),SUMIFS(Sum_over_8,site_level_range,$B$4,date_range,G248)))</f>
        <v>209</v>
      </c>
      <c r="H257" s="147">
        <f ca="1">IF(H256="-","-",IF(ISNUMBER(FIND("ED only",$B$4)),SUMIFS(Sum_over_8,site_level_range,LEFT($B$4,LEN($B$4)-10),date_range,H248,inputdata!$E:$E,"*- ED*"),SUMIFS(Sum_over_8,site_level_range,$B$4,date_range,H248)))</f>
        <v>199</v>
      </c>
      <c r="I257" s="147">
        <f ca="1">IF(I256="-","-",IF(ISNUMBER(FIND("ED only",$B$4)),SUMIFS(Sum_over_8,site_level_range,LEFT($B$4,LEN($B$4)-10),date_range,I248,inputdata!$E:$E,"*- ED*"),SUMIFS(Sum_over_8,site_level_range,$B$4,date_range,I248)))</f>
        <v>124</v>
      </c>
      <c r="J257" s="147">
        <f ca="1">IF(J256="-","-",IF(ISNUMBER(FIND("ED only",$B$4)),SUMIFS(Sum_over_8,site_level_range,LEFT($B$4,LEN($B$4)-10),date_range,J248,inputdata!$E:$E,"*- ED*"),SUMIFS(Sum_over_8,site_level_range,$B$4,date_range,J248)))</f>
        <v>147</v>
      </c>
      <c r="K257" s="147">
        <f ca="1">IF(K256="-","-",IF(ISNUMBER(FIND("ED only",$B$4)),SUMIFS(Sum_over_8,site_level_range,LEFT($B$4,LEN($B$4)-10),date_range,K248,inputdata!$E:$E,"*- ED*"),SUMIFS(Sum_over_8,site_level_range,$B$4,date_range,K248)))</f>
        <v>142</v>
      </c>
      <c r="L257" s="147">
        <f ca="1">IF(L256="-","-",IF(ISNUMBER(FIND("ED only",$B$4)),SUMIFS(Sum_over_8,site_level_range,LEFT($B$4,LEN($B$4)-10),date_range,L248,inputdata!$E:$E,"*- ED*"),SUMIFS(Sum_over_8,site_level_range,$B$4,date_range,L248)))</f>
        <v>283</v>
      </c>
      <c r="M257" s="147">
        <f ca="1">IF(M256="-","-",IF(ISNUMBER(FIND("ED only",$B$4)),SUMIFS(Sum_over_8,site_level_range,LEFT($B$4,LEN($B$4)-10),date_range,M248,inputdata!$E:$E,"*- ED*"),SUMIFS(Sum_over_8,site_level_range,$B$4,date_range,M248)))</f>
        <v>161</v>
      </c>
      <c r="N257" s="156">
        <f ca="1">IF(N256="-","-",IF(ISNUMBER(FIND("ED only",$B$4)),SUMIFS(Sum_over_8,site_level_range,LEFT($B$4,LEN($B$4)-10),date_range,N248,inputdata!$E:$E,"*- ED*"),SUMIFS(Sum_over_8,site_level_range,$B$4,date_range,N248)))</f>
        <v>246</v>
      </c>
    </row>
    <row r="258" spans="1:14" ht="15" customHeight="1" x14ac:dyDescent="0.2">
      <c r="A258" s="132"/>
      <c r="B258" s="154" t="s">
        <v>732</v>
      </c>
      <c r="C258" s="179"/>
      <c r="D258" s="179"/>
      <c r="E258" s="180"/>
      <c r="F258" s="151">
        <f t="shared" ref="F258:N258" ca="1" si="62">IF(ISERROR(1-F257/F256),"-",1-F257/F256)</f>
        <v>0.99772108786750591</v>
      </c>
      <c r="G258" s="151">
        <f t="shared" ca="1" si="62"/>
        <v>0.99829821190111712</v>
      </c>
      <c r="H258" s="151">
        <f t="shared" ca="1" si="62"/>
        <v>0.99833543843213357</v>
      </c>
      <c r="I258" s="151">
        <f t="shared" ca="1" si="62"/>
        <v>0.99896103896103894</v>
      </c>
      <c r="J258" s="151">
        <f t="shared" ca="1" si="62"/>
        <v>0.99869199626284644</v>
      </c>
      <c r="K258" s="151">
        <f t="shared" ca="1" si="62"/>
        <v>0.99875003300969167</v>
      </c>
      <c r="L258" s="151">
        <f t="shared" ca="1" si="62"/>
        <v>0.99747639132877364</v>
      </c>
      <c r="M258" s="151">
        <f t="shared" ca="1" si="62"/>
        <v>0.9985405826791639</v>
      </c>
      <c r="N258" s="160">
        <f t="shared" ca="1" si="62"/>
        <v>0.99801807898680328</v>
      </c>
    </row>
    <row r="259" spans="1:14" ht="15" customHeight="1" x14ac:dyDescent="0.2">
      <c r="A259" s="132"/>
      <c r="B259" s="152" t="s">
        <v>733</v>
      </c>
      <c r="C259" s="177"/>
      <c r="D259" s="177"/>
      <c r="E259" s="178"/>
      <c r="F259" s="147">
        <f ca="1">IF(F256="-","-",IF(ISNUMBER(FIND("ED only",$B$4)),SUMIFS(Sum_over_12,site_level_range,LEFT($B$4,LEN($B$4)-10),date_range,F248,inputdata!$E:$E,"*- ED*"),SUMIFS(Sum_over_12,site_level_range,$B$4,date_range,F248)))</f>
        <v>103</v>
      </c>
      <c r="G259" s="147">
        <f ca="1">IF(G256="-","-",IF(ISNUMBER(FIND("ED only",$B$4)),SUMIFS(Sum_over_12,site_level_range,LEFT($B$4,LEN($B$4)-10),date_range,G248,inputdata!$E:$E,"*- ED*"),SUMIFS(Sum_over_12,site_level_range,$B$4,date_range,G248)))</f>
        <v>25</v>
      </c>
      <c r="H259" s="147">
        <f ca="1">IF(H256="-","-",IF(ISNUMBER(FIND("ED only",$B$4)),SUMIFS(Sum_over_12,site_level_range,LEFT($B$4,LEN($B$4)-10),date_range,H248,inputdata!$E:$E,"*- ED*"),SUMIFS(Sum_over_12,site_level_range,$B$4,date_range,H248)))</f>
        <v>46</v>
      </c>
      <c r="I259" s="147">
        <f ca="1">IF(I256="-","-",IF(ISNUMBER(FIND("ED only",$B$4)),SUMIFS(Sum_over_12,site_level_range,LEFT($B$4,LEN($B$4)-10),date_range,I248,inputdata!$E:$E,"*- ED*"),SUMIFS(Sum_over_12,site_level_range,$B$4,date_range,I248)))</f>
        <v>12</v>
      </c>
      <c r="J259" s="147">
        <f ca="1">IF(J256="-","-",IF(ISNUMBER(FIND("ED only",$B$4)),SUMIFS(Sum_over_12,site_level_range,LEFT($B$4,LEN($B$4)-10),date_range,J248,inputdata!$E:$E,"*- ED*"),SUMIFS(Sum_over_12,site_level_range,$B$4,date_range,J248)))</f>
        <v>37</v>
      </c>
      <c r="K259" s="147">
        <f ca="1">IF(K256="-","-",IF(ISNUMBER(FIND("ED only",$B$4)),SUMIFS(Sum_over_12,site_level_range,LEFT($B$4,LEN($B$4)-10),date_range,K248,inputdata!$E:$E,"*- ED*"),SUMIFS(Sum_over_12,site_level_range,$B$4,date_range,K248)))</f>
        <v>18</v>
      </c>
      <c r="L259" s="147">
        <f ca="1">IF(L256="-","-",IF(ISNUMBER(FIND("ED only",$B$4)),SUMIFS(Sum_over_12,site_level_range,LEFT($B$4,LEN($B$4)-10),date_range,L248,inputdata!$E:$E,"*- ED*"),SUMIFS(Sum_over_12,site_level_range,$B$4,date_range,L248)))</f>
        <v>71</v>
      </c>
      <c r="M259" s="147">
        <f ca="1">IF(M256="-","-",IF(ISNUMBER(FIND("ED only",$B$4)),SUMIFS(Sum_over_12,site_level_range,LEFT($B$4,LEN($B$4)-10),date_range,M248,inputdata!$E:$E,"*- ED*"),SUMIFS(Sum_over_12,site_level_range,$B$4,date_range,M248)))</f>
        <v>49</v>
      </c>
      <c r="N259" s="156">
        <f ca="1">IF(N256="-","-",IF(ISNUMBER(FIND("ED only",$B$4)),SUMIFS(Sum_over_12,site_level_range,LEFT($B$4,LEN($B$4)-10),date_range,N248,inputdata!$E:$E,"*- ED*"),SUMIFS(Sum_over_12,site_level_range,$B$4,date_range,N248)))</f>
        <v>67</v>
      </c>
    </row>
    <row r="260" spans="1:14" ht="15" customHeight="1" x14ac:dyDescent="0.2">
      <c r="A260" s="132"/>
      <c r="B260" s="154" t="s">
        <v>734</v>
      </c>
      <c r="C260" s="183"/>
      <c r="D260" s="183"/>
      <c r="E260" s="184"/>
      <c r="F260" s="151">
        <f t="shared" ref="F260:N260" ca="1" si="63">IF(ISERROR(1-F259/F256),"-",1-F259/F256)</f>
        <v>0.99914019066063409</v>
      </c>
      <c r="G260" s="151">
        <f t="shared" ca="1" si="63"/>
        <v>0.99979643683027719</v>
      </c>
      <c r="H260" s="151">
        <f t="shared" ca="1" si="63"/>
        <v>0.99961522697426208</v>
      </c>
      <c r="I260" s="151">
        <f t="shared" ca="1" si="63"/>
        <v>0.99989945538332636</v>
      </c>
      <c r="J260" s="151">
        <f t="shared" ca="1" si="63"/>
        <v>0.99967077456955999</v>
      </c>
      <c r="K260" s="151">
        <f t="shared" ca="1" si="63"/>
        <v>0.99984155348010173</v>
      </c>
      <c r="L260" s="151">
        <f t="shared" ca="1" si="63"/>
        <v>0.99936686849591139</v>
      </c>
      <c r="M260" s="151">
        <f t="shared" ca="1" si="63"/>
        <v>0.99955582951104982</v>
      </c>
      <c r="N260" s="160">
        <f t="shared" ca="1" si="63"/>
        <v>0.99946020850453587</v>
      </c>
    </row>
  </sheetData>
  <mergeCells count="4">
    <mergeCell ref="L2:N2"/>
    <mergeCell ref="B3:C3"/>
    <mergeCell ref="D3:L5"/>
    <mergeCell ref="B6:L6"/>
  </mergeCells>
  <dataValidations count="1">
    <dataValidation type="list" allowBlank="1" showInputMessage="1" showErrorMessage="1" sqref="B4" xr:uid="{00000000-0002-0000-0300-000000000000}">
      <formula1>$R$4:$R$141</formula1>
    </dataValidation>
  </dataValidations>
  <hyperlinks>
    <hyperlink ref="L2" location="'Contents&amp;Notes'!A1" display="Return to Contents &amp; Notes" xr:uid="{00000000-0004-0000-0300-000000000000}"/>
  </hyperlinks>
  <pageMargins left="0.70866141732283472" right="0.70866141732283472" top="0.74803149606299213" bottom="0.74803149606299213" header="0.31496062992125984" footer="0.31496062992125984"/>
  <pageSetup paperSize="9" scale="64"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142"/>
  <sheetViews>
    <sheetView showGridLines="0" zoomScale="110" zoomScaleNormal="110" workbookViewId="0"/>
  </sheetViews>
  <sheetFormatPr defaultColWidth="11.42578125" defaultRowHeight="12.75" x14ac:dyDescent="0.2"/>
  <cols>
    <col min="1" max="1" width="2.7109375" customWidth="1"/>
    <col min="2" max="2" width="35.7109375" customWidth="1"/>
    <col min="3" max="14" width="11.7109375" customWidth="1"/>
    <col min="15" max="15" width="2.7109375" customWidth="1"/>
    <col min="18" max="18" width="10.7109375" hidden="1" customWidth="1"/>
  </cols>
  <sheetData>
    <row r="1" spans="1:18" ht="21" customHeight="1" x14ac:dyDescent="0.3">
      <c r="A1" s="40"/>
      <c r="B1" s="56" t="s">
        <v>206</v>
      </c>
      <c r="C1" s="44"/>
      <c r="D1" s="44"/>
      <c r="E1" s="44"/>
      <c r="F1" s="44"/>
      <c r="G1" s="44"/>
      <c r="H1" s="44"/>
      <c r="I1" s="44"/>
      <c r="J1" s="44"/>
      <c r="K1" s="57"/>
      <c r="L1" s="57"/>
      <c r="M1" s="57"/>
      <c r="N1" s="22" t="s">
        <v>637</v>
      </c>
    </row>
    <row r="2" spans="1:18" ht="15" customHeight="1" x14ac:dyDescent="0.2">
      <c r="A2" s="40"/>
      <c r="B2" s="20"/>
      <c r="C2" s="20"/>
      <c r="D2" s="20"/>
      <c r="E2" s="20"/>
      <c r="F2" s="20"/>
      <c r="G2" s="20"/>
      <c r="H2" s="20"/>
      <c r="I2" s="20"/>
      <c r="J2" s="20"/>
      <c r="K2" s="200" t="s">
        <v>19</v>
      </c>
      <c r="L2" s="207"/>
      <c r="M2" s="207"/>
      <c r="N2" s="207"/>
    </row>
    <row r="3" spans="1:18" ht="15" customHeight="1" x14ac:dyDescent="0.2">
      <c r="A3" s="40"/>
      <c r="B3" s="208" t="s">
        <v>20</v>
      </c>
      <c r="C3" s="208"/>
      <c r="D3" s="208"/>
      <c r="E3" s="206" t="str">
        <f>IF(VLOOKUP(Lookups!K5,Lookups!B4:F142,5,FALSE)=0,"",VLOOKUP(Lookups!K5,Lookups!B4:F142,5,FALSE))</f>
        <v>Please refer to all notes when interpreting NHS Scotland level data</v>
      </c>
      <c r="F3" s="206"/>
      <c r="G3" s="206"/>
      <c r="H3" s="206"/>
      <c r="I3" s="206"/>
      <c r="J3" s="206"/>
      <c r="K3" s="206"/>
      <c r="L3" s="20"/>
    </row>
    <row r="4" spans="1:18" ht="20.25" customHeight="1" x14ac:dyDescent="0.2">
      <c r="A4" s="40"/>
      <c r="B4" s="185" t="s">
        <v>406</v>
      </c>
      <c r="C4" s="55"/>
      <c r="D4" s="58"/>
      <c r="E4" s="206"/>
      <c r="F4" s="206"/>
      <c r="G4" s="206"/>
      <c r="H4" s="206"/>
      <c r="I4" s="206"/>
      <c r="J4" s="206"/>
      <c r="K4" s="206"/>
      <c r="N4" s="40"/>
      <c r="R4" s="40" t="s">
        <v>315</v>
      </c>
    </row>
    <row r="5" spans="1:18" ht="27" customHeight="1" x14ac:dyDescent="0.2">
      <c r="A5" s="40"/>
      <c r="B5" s="189" t="s">
        <v>212</v>
      </c>
      <c r="C5" s="189"/>
      <c r="D5" s="189"/>
      <c r="E5" s="189"/>
      <c r="F5" s="189"/>
      <c r="G5" s="189"/>
      <c r="H5" s="189"/>
      <c r="I5" s="189"/>
      <c r="J5" s="189"/>
      <c r="K5" s="189"/>
      <c r="L5" s="189"/>
      <c r="M5" s="43"/>
      <c r="N5" s="43"/>
      <c r="R5" s="40" t="s">
        <v>316</v>
      </c>
    </row>
    <row r="6" spans="1:18" ht="15.75" customHeight="1" x14ac:dyDescent="0.2">
      <c r="A6" s="40"/>
      <c r="N6" s="40"/>
      <c r="R6" s="40" t="s">
        <v>199</v>
      </c>
    </row>
    <row r="7" spans="1:18" ht="15" customHeight="1" x14ac:dyDescent="0.2">
      <c r="B7" s="127"/>
      <c r="C7" s="127"/>
      <c r="D7" s="127"/>
      <c r="E7" s="127"/>
      <c r="F7" s="127"/>
      <c r="G7" s="127"/>
      <c r="H7" s="127"/>
      <c r="I7" s="127"/>
      <c r="J7" s="127"/>
      <c r="K7" s="127"/>
      <c r="L7" s="163"/>
      <c r="M7" s="163"/>
      <c r="N7" s="163"/>
      <c r="R7" s="40" t="s">
        <v>317</v>
      </c>
    </row>
    <row r="8" spans="1:18" ht="15" customHeight="1" x14ac:dyDescent="0.25">
      <c r="A8" s="132"/>
      <c r="B8" s="153" t="str">
        <f>IF(ISNUMBER(FIND("ED only",$B$4)),"2022/2023 (ED Only)","2022/2023")</f>
        <v>2022/2023</v>
      </c>
      <c r="C8" s="149">
        <v>44681</v>
      </c>
      <c r="D8" s="149">
        <v>44712</v>
      </c>
      <c r="E8" s="149">
        <v>44742</v>
      </c>
      <c r="F8" s="149">
        <v>44773</v>
      </c>
      <c r="G8" s="149">
        <v>44804</v>
      </c>
      <c r="H8" s="149">
        <v>44834</v>
      </c>
      <c r="I8" s="149">
        <v>44865</v>
      </c>
      <c r="J8" s="149">
        <v>44895</v>
      </c>
      <c r="K8" s="149">
        <v>44926</v>
      </c>
      <c r="L8" s="149">
        <v>44957</v>
      </c>
      <c r="M8" s="149"/>
      <c r="N8" s="158"/>
      <c r="R8" s="40" t="s">
        <v>22</v>
      </c>
    </row>
    <row r="9" spans="1:18" ht="15" customHeight="1" x14ac:dyDescent="0.2">
      <c r="A9" s="132"/>
      <c r="B9" s="164" t="s">
        <v>735</v>
      </c>
      <c r="C9" s="162"/>
      <c r="D9" s="162"/>
      <c r="E9" s="162"/>
      <c r="F9" s="162"/>
      <c r="G9" s="162"/>
      <c r="H9" s="162"/>
      <c r="I9" s="162"/>
      <c r="J9" s="162"/>
      <c r="K9" s="162"/>
      <c r="L9" s="162"/>
      <c r="M9" s="162"/>
      <c r="N9" s="152"/>
      <c r="R9" s="40" t="s">
        <v>230</v>
      </c>
    </row>
    <row r="10" spans="1:18" ht="15" customHeight="1" x14ac:dyDescent="0.2">
      <c r="A10" s="132"/>
      <c r="B10" s="154" t="s">
        <v>736</v>
      </c>
      <c r="C10" s="150">
        <f ca="1">IF(ISNUMBER(FIND("ED only",$B$4)),SUMIFS(sum_range_dest,site_level_range_dest,LEFT($B$4,LEN($B$4)-10),date_range_dest,C8,inputdata!$F:$F,"ED"),SUMIFS(sum_range_dest,site_level_range_dest,$B$4,date_range_dest,C8))</f>
        <v>122806</v>
      </c>
      <c r="D10" s="150">
        <f ca="1">IF(ISNUMBER(FIND("ED only",$B$4)),SUMIFS(sum_range_dest,site_level_range_dest,LEFT($B$4,LEN($B$4)-10),date_range_dest,D8,inputdata!$F:$F,"ED"),SUMIFS(sum_range_dest,site_level_range_dest,$B$4,date_range_dest,D8))</f>
        <v>138975</v>
      </c>
      <c r="E10" s="150">
        <f ca="1">IF(ISNUMBER(FIND("ED only",$B$4)),SUMIFS(sum_range_dest,site_level_range_dest,LEFT($B$4,LEN($B$4)-10),date_range_dest,E8,inputdata!$F:$F,"ED"),SUMIFS(sum_range_dest,site_level_range_dest,$B$4,date_range_dest,E8))</f>
        <v>135843</v>
      </c>
      <c r="F10" s="150">
        <f ca="1">IF(ISNUMBER(FIND("ED only",$B$4)),SUMIFS(sum_range_dest,site_level_range_dest,LEFT($B$4,LEN($B$4)-10),date_range_dest,F8,inputdata!$F:$F,"ED"),SUMIFS(sum_range_dest,site_level_range_dest,$B$4,date_range_dest,F8))</f>
        <v>129273</v>
      </c>
      <c r="G10" s="150">
        <f ca="1">IF(ISNUMBER(FIND("ED only",$B$4)),SUMIFS(sum_range_dest,site_level_range_dest,LEFT($B$4,LEN($B$4)-10),date_range_dest,G8,inputdata!$F:$F,"ED"),SUMIFS(sum_range_dest,site_level_range_dest,$B$4,date_range_dest,G8))</f>
        <v>135712</v>
      </c>
      <c r="H10" s="150">
        <f ca="1">IF(ISNUMBER(FIND("ED only",$B$4)),SUMIFS(sum_range_dest,site_level_range_dest,LEFT($B$4,LEN($B$4)-10),date_range_dest,H8,inputdata!$F:$F,"ED"),SUMIFS(sum_range_dest,site_level_range_dest,$B$4,date_range_dest,H8))</f>
        <v>131573</v>
      </c>
      <c r="I10" s="150">
        <f ca="1">IF(ISNUMBER(FIND("ED only",$B$4)),SUMIFS(sum_range_dest,site_level_range_dest,LEFT($B$4,LEN($B$4)-10),date_range_dest,I8,inputdata!$F:$F,"ED"),SUMIFS(sum_range_dest,site_level_range_dest,$B$4,date_range_dest,I8))</f>
        <v>129849</v>
      </c>
      <c r="J10" s="150">
        <f ca="1">IF(ISNUMBER(FIND("ED only",$B$4)),SUMIFS(sum_range_dest,site_level_range_dest,LEFT($B$4,LEN($B$4)-10),date_range_dest,J8,inputdata!$F:$F,"ED"),SUMIFS(sum_range_dest,site_level_range_dest,$B$4,date_range_dest,J8))</f>
        <v>126224</v>
      </c>
      <c r="K10" s="150">
        <f ca="1">IF(ISNUMBER(FIND("ED only",$B$4)),SUMIFS(sum_range_dest,site_level_range_dest,LEFT($B$4,LEN($B$4)-10),date_range_dest,K8,inputdata!$F:$F,"ED"),SUMIFS(sum_range_dest,site_level_range_dest,$B$4,date_range_dest,K8))</f>
        <v>130007</v>
      </c>
      <c r="L10" s="150">
        <f ca="1">IF(ISNUMBER(FIND("ED only",$B$4)),SUMIFS(sum_range_dest,site_level_range_dest,LEFT($B$4,LEN($B$4)-10),date_range_dest,L8,inputdata!$F:$F,"ED"),SUMIFS(sum_range_dest,site_level_range_dest,$B$4,date_range_dest,L8))</f>
        <v>114103</v>
      </c>
      <c r="M10" s="150"/>
      <c r="N10" s="159"/>
      <c r="R10" s="40" t="s">
        <v>23</v>
      </c>
    </row>
    <row r="11" spans="1:18" ht="15" customHeight="1" x14ac:dyDescent="0.2">
      <c r="A11" s="132"/>
      <c r="B11" s="164" t="s">
        <v>737</v>
      </c>
      <c r="C11" s="162"/>
      <c r="D11" s="162"/>
      <c r="E11" s="162"/>
      <c r="F11" s="162"/>
      <c r="G11" s="162"/>
      <c r="H11" s="162"/>
      <c r="I11" s="162"/>
      <c r="J11" s="162"/>
      <c r="K11" s="162"/>
      <c r="L11" s="162"/>
      <c r="M11" s="162"/>
      <c r="N11" s="152"/>
      <c r="R11" s="40" t="s">
        <v>231</v>
      </c>
    </row>
    <row r="12" spans="1:18" ht="15" customHeight="1" x14ac:dyDescent="0.2">
      <c r="A12" s="132"/>
      <c r="B12" s="152" t="s">
        <v>736</v>
      </c>
      <c r="C12" s="147">
        <f ca="1">IF(ISNUMBER(FIND("ED only",$B$4)),SUMIFS(sum_total_epi_dest,site_level_range_dest,LEFT($B$4,LEN($B$4)-10),date_range_dest,C8,inputdata!$F:$F,"ED"),SUMIFS(sum_total_epi_dest,site_level_range_dest,$B$4,date_range_dest,C8))</f>
        <v>118648</v>
      </c>
      <c r="D12" s="147">
        <f ca="1">IF(ISNUMBER(FIND("ED only",$B$4)),SUMIFS(sum_total_epi_dest,site_level_range_dest,LEFT($B$4,LEN($B$4)-10),date_range_dest,D8,inputdata!$F:$F,"ED"),SUMIFS(sum_total_epi_dest,site_level_range_dest,$B$4,date_range_dest,D8))</f>
        <v>134205</v>
      </c>
      <c r="E12" s="147">
        <f ca="1">IF(ISNUMBER(FIND("ED only",$B$4)),SUMIFS(sum_total_epi_dest,site_level_range_dest,LEFT($B$4,LEN($B$4)-10),date_range_dest,E8,inputdata!$F:$F,"ED"),SUMIFS(sum_total_epi_dest,site_level_range_dest,$B$4,date_range_dest,E8))</f>
        <v>130868</v>
      </c>
      <c r="F12" s="147">
        <f ca="1">IF(ISNUMBER(FIND("ED only",$B$4)),SUMIFS(sum_total_epi_dest,site_level_range_dest,LEFT($B$4,LEN($B$4)-10),date_range_dest,F8,inputdata!$F:$F,"ED"),SUMIFS(sum_total_epi_dest,site_level_range_dest,$B$4,date_range_dest,F8))</f>
        <v>124500</v>
      </c>
      <c r="G12" s="147">
        <f ca="1">IF(ISNUMBER(FIND("ED only",$B$4)),SUMIFS(sum_total_epi_dest,site_level_range_dest,LEFT($B$4,LEN($B$4)-10),date_range_dest,G8,inputdata!$F:$F,"ED"),SUMIFS(sum_total_epi_dest,site_level_range_dest,$B$4,date_range_dest,G8))</f>
        <v>131018</v>
      </c>
      <c r="H12" s="147">
        <f ca="1">IF(ISNUMBER(FIND("ED only",$B$4)),SUMIFS(sum_total_epi_dest,site_level_range_dest,LEFT($B$4,LEN($B$4)-10),date_range_dest,H8,inputdata!$F:$F,"ED"),SUMIFS(sum_total_epi_dest,site_level_range_dest,$B$4,date_range_dest,H8))</f>
        <v>127456</v>
      </c>
      <c r="I12" s="147">
        <f ca="1">IF(ISNUMBER(FIND("ED only",$B$4)),SUMIFS(sum_total_epi_dest,site_level_range_dest,LEFT($B$4,LEN($B$4)-10),date_range_dest,I8,inputdata!$F:$F,"ED"),SUMIFS(sum_total_epi_dest,site_level_range_dest,$B$4,date_range_dest,I8))</f>
        <v>125486</v>
      </c>
      <c r="J12" s="147">
        <f ca="1">IF(ISNUMBER(FIND("ED only",$B$4)),SUMIFS(sum_total_epi_dest,site_level_range_dest,LEFT($B$4,LEN($B$4)-10),date_range_dest,J8,inputdata!$F:$F,"ED"),SUMIFS(sum_total_epi_dest,site_level_range_dest,$B$4,date_range_dest,J8))</f>
        <v>122376</v>
      </c>
      <c r="K12" s="147">
        <f ca="1">IF(ISNUMBER(FIND("ED only",$B$4)),SUMIFS(sum_total_epi_dest,site_level_range_dest,LEFT($B$4,LEN($B$4)-10),date_range_dest,K8,inputdata!$F:$F,"ED"),SUMIFS(sum_total_epi_dest,site_level_range_dest,$B$4,date_range_dest,K8))</f>
        <v>125799</v>
      </c>
      <c r="L12" s="147">
        <f ca="1">IF(ISNUMBER(FIND("ED only",$B$4)),SUMIFS(sum_total_epi_dest,site_level_range_dest,LEFT($B$4,LEN($B$4)-10),date_range_dest,L8,inputdata!$F:$F,"ED"),SUMIFS(sum_total_epi_dest,site_level_range_dest,$B$4,date_range_dest,L8))</f>
        <v>109866</v>
      </c>
      <c r="M12" s="147"/>
      <c r="N12" s="156"/>
      <c r="R12" s="40" t="s">
        <v>109</v>
      </c>
    </row>
    <row r="13" spans="1:18" ht="15" customHeight="1" x14ac:dyDescent="0.2">
      <c r="A13" s="132"/>
      <c r="B13" s="152" t="s">
        <v>738</v>
      </c>
      <c r="C13" s="147">
        <f ca="1">IF(312=0,"-",IF(ISNUMBER(FIND("ED only",$B$4)),SUMIFS(sum_dest_res,site_level_range_dest,LEFT($B$4,LEN($B$4)-10),date_range_dest,C8,inputdata!$F:$F,"ED"),SUMIFS(sum_dest_res,site_level_range_dest,$B$4,date_range_dest,C8)))</f>
        <v>83942</v>
      </c>
      <c r="D13" s="147">
        <f ca="1">IF(412=0,"-",IF(ISNUMBER(FIND("ED only",$B$4)),SUMIFS(sum_dest_res,site_level_range_dest,LEFT($B$4,LEN($B$4)-10),date_range_dest,D8,inputdata!$F:$F,"ED"),SUMIFS(sum_dest_res,site_level_range_dest,$B$4,date_range_dest,D8)))</f>
        <v>95244</v>
      </c>
      <c r="E13" s="147">
        <f ca="1">IF(512=0,"-",IF(ISNUMBER(FIND("ED only",$B$4)),SUMIFS(sum_dest_res,site_level_range_dest,LEFT($B$4,LEN($B$4)-10),date_range_dest,E8,inputdata!$F:$F,"ED"),SUMIFS(sum_dest_res,site_level_range_dest,$B$4,date_range_dest,E8)))</f>
        <v>92926</v>
      </c>
      <c r="F13" s="147">
        <f ca="1">IF(612=0,"-",IF(ISNUMBER(FIND("ED only",$B$4)),SUMIFS(sum_dest_res,site_level_range_dest,LEFT($B$4,LEN($B$4)-10),date_range_dest,F8,inputdata!$F:$F,"ED"),SUMIFS(sum_dest_res,site_level_range_dest,$B$4,date_range_dest,F8)))</f>
        <v>86437</v>
      </c>
      <c r="G13" s="147">
        <f ca="1">IF(712=0,"-",IF(ISNUMBER(FIND("ED only",$B$4)),SUMIFS(sum_dest_res,site_level_range_dest,LEFT($B$4,LEN($B$4)-10),date_range_dest,G8,inputdata!$F:$F,"ED"),SUMIFS(sum_dest_res,site_level_range_dest,$B$4,date_range_dest,G8)))</f>
        <v>92813</v>
      </c>
      <c r="H13" s="147">
        <f ca="1">IF(812=0,"-",IF(ISNUMBER(FIND("ED only",$B$4)),SUMIFS(sum_dest_res,site_level_range_dest,LEFT($B$4,LEN($B$4)-10),date_range_dest,H8,inputdata!$F:$F,"ED"),SUMIFS(sum_dest_res,site_level_range_dest,$B$4,date_range_dest,H8)))</f>
        <v>89677</v>
      </c>
      <c r="I13" s="147">
        <f ca="1">IF(912=0,"-",IF(ISNUMBER(FIND("ED only",$B$4)),SUMIFS(sum_dest_res,site_level_range_dest,LEFT($B$4,LEN($B$4)-10),date_range_dest,I8,inputdata!$F:$F,"ED"),SUMIFS(sum_dest_res,site_level_range_dest,$B$4,date_range_dest,I8)))</f>
        <v>87961</v>
      </c>
      <c r="J13" s="147">
        <f ca="1">IF(1012=0,"-",IF(ISNUMBER(FIND("ED only",$B$4)),SUMIFS(sum_dest_res,site_level_range_dest,LEFT($B$4,LEN($B$4)-10),date_range_dest,J8,inputdata!$F:$F,"ED"),SUMIFS(sum_dest_res,site_level_range_dest,$B$4,date_range_dest,J8)))</f>
        <v>85308</v>
      </c>
      <c r="K13" s="147">
        <f ca="1">IF(1112=0,"-",IF(ISNUMBER(FIND("ED only",$B$4)),SUMIFS(sum_dest_res,site_level_range_dest,LEFT($B$4,LEN($B$4)-10),date_range_dest,K8,inputdata!$F:$F,"ED"),SUMIFS(sum_dest_res,site_level_range_dest,$B$4,date_range_dest,K8)))</f>
        <v>86083</v>
      </c>
      <c r="L13" s="147">
        <f ca="1">IF(1212=0,"-",IF(ISNUMBER(FIND("ED only",$B$4)),SUMIFS(sum_dest_res,site_level_range_dest,LEFT($B$4,LEN($B$4)-10),date_range_dest,L8,inputdata!$F:$F,"ED"),SUMIFS(sum_dest_res,site_level_range_dest,$B$4,date_range_dest,L8)))</f>
        <v>74966</v>
      </c>
      <c r="M13" s="147"/>
      <c r="N13" s="156"/>
      <c r="R13" s="40" t="s">
        <v>110</v>
      </c>
    </row>
    <row r="14" spans="1:18" ht="15" customHeight="1" x14ac:dyDescent="0.2">
      <c r="A14" s="132"/>
      <c r="B14" s="152" t="s">
        <v>739</v>
      </c>
      <c r="C14" s="147">
        <f ca="1">IF(312=0,"-",IF(ISNUMBER(FIND("ED only",$B$4)),SUMIFS(sum_dest_adm,site_level_range_dest,LEFT($B$4,LEN($B$4)-10),date_range_dest,C8,inputdata!$F:$F,"ED"),SUMIFS(sum_dest_adm,site_level_range_dest,$B$4,date_range_dest,C8)))</f>
        <v>28698</v>
      </c>
      <c r="D14" s="147">
        <f ca="1">IF(412=0,"-",IF(ISNUMBER(FIND("ED only",$B$4)),SUMIFS(sum_dest_adm,site_level_range_dest,LEFT($B$4,LEN($B$4)-10),date_range_dest,D8,inputdata!$F:$F,"ED"),SUMIFS(sum_dest_adm,site_level_range_dest,$B$4,date_range_dest,D8)))</f>
        <v>31518</v>
      </c>
      <c r="E14" s="147">
        <f ca="1">IF(512=0,"-",IF(ISNUMBER(FIND("ED only",$B$4)),SUMIFS(sum_dest_adm,site_level_range_dest,LEFT($B$4,LEN($B$4)-10),date_range_dest,E8,inputdata!$F:$F,"ED"),SUMIFS(sum_dest_adm,site_level_range_dest,$B$4,date_range_dest,E8)))</f>
        <v>30508</v>
      </c>
      <c r="F14" s="147">
        <f ca="1">IF(612=0,"-",IF(ISNUMBER(FIND("ED only",$B$4)),SUMIFS(sum_dest_adm,site_level_range_dest,LEFT($B$4,LEN($B$4)-10),date_range_dest,F8,inputdata!$F:$F,"ED"),SUMIFS(sum_dest_adm,site_level_range_dest,$B$4,date_range_dest,F8)))</f>
        <v>29321</v>
      </c>
      <c r="G14" s="147">
        <f ca="1">IF(712=0,"-",IF(ISNUMBER(FIND("ED only",$B$4)),SUMIFS(sum_dest_adm,site_level_range_dest,LEFT($B$4,LEN($B$4)-10),date_range_dest,G8,inputdata!$F:$F,"ED"),SUMIFS(sum_dest_adm,site_level_range_dest,$B$4,date_range_dest,G8)))</f>
        <v>29941</v>
      </c>
      <c r="H14" s="147">
        <f ca="1">IF(812=0,"-",IF(ISNUMBER(FIND("ED only",$B$4)),SUMIFS(sum_dest_adm,site_level_range_dest,LEFT($B$4,LEN($B$4)-10),date_range_dest,H8,inputdata!$F:$F,"ED"),SUMIFS(sum_dest_adm,site_level_range_dest,$B$4,date_range_dest,H8)))</f>
        <v>29905</v>
      </c>
      <c r="I14" s="147">
        <f ca="1">IF(912=0,"-",IF(ISNUMBER(FIND("ED only",$B$4)),SUMIFS(sum_dest_adm,site_level_range_dest,LEFT($B$4,LEN($B$4)-10),date_range_dest,I8,inputdata!$F:$F,"ED"),SUMIFS(sum_dest_adm,site_level_range_dest,$B$4,date_range_dest,I8)))</f>
        <v>30282</v>
      </c>
      <c r="J14" s="147">
        <f ca="1">IF(1012=0,"-",IF(ISNUMBER(FIND("ED only",$B$4)),SUMIFS(sum_dest_adm,site_level_range_dest,LEFT($B$4,LEN($B$4)-10),date_range_dest,J8,inputdata!$F:$F,"ED"),SUMIFS(sum_dest_adm,site_level_range_dest,$B$4,date_range_dest,J8)))</f>
        <v>30673</v>
      </c>
      <c r="K14" s="147">
        <f ca="1">IF(1112=0,"-",IF(ISNUMBER(FIND("ED only",$B$4)),SUMIFS(sum_dest_adm,site_level_range_dest,LEFT($B$4,LEN($B$4)-10),date_range_dest,K8,inputdata!$F:$F,"ED"),SUMIFS(sum_dest_adm,site_level_range_dest,$B$4,date_range_dest,K8)))</f>
        <v>32244</v>
      </c>
      <c r="L14" s="147">
        <f ca="1">IF(1212=0,"-",IF(ISNUMBER(FIND("ED only",$B$4)),SUMIFS(sum_dest_adm,site_level_range_dest,LEFT($B$4,LEN($B$4)-10),date_range_dest,L8,inputdata!$F:$F,"ED"),SUMIFS(sum_dest_adm,site_level_range_dest,$B$4,date_range_dest,L8)))</f>
        <v>29448</v>
      </c>
      <c r="M14" s="147"/>
      <c r="N14" s="156"/>
      <c r="R14" s="40" t="s">
        <v>98</v>
      </c>
    </row>
    <row r="15" spans="1:18" ht="15" customHeight="1" x14ac:dyDescent="0.2">
      <c r="A15" s="132"/>
      <c r="B15" s="152" t="s">
        <v>740</v>
      </c>
      <c r="C15" s="147">
        <f ca="1">IF(312=0,"-",IF(ISNUMBER(FIND("ED only",$B$4)),SUMIFS(sum_dest_tran,site_level_range_dest,LEFT($B$4,LEN($B$4)-10),date_range_dest,C8,inputdata!$F:$F,"ED"),SUMIFS(sum_dest_tran,site_level_range_dest,$B$4,date_range_dest,C8)))</f>
        <v>2073</v>
      </c>
      <c r="D15" s="147">
        <f ca="1">IF(412=0,"-",IF(ISNUMBER(FIND("ED only",$B$4)),SUMIFS(sum_dest_tran,site_level_range_dest,LEFT($B$4,LEN($B$4)-10),date_range_dest,D8,inputdata!$F:$F,"ED"),SUMIFS(sum_dest_tran,site_level_range_dest,$B$4,date_range_dest,D8)))</f>
        <v>2444</v>
      </c>
      <c r="E15" s="147">
        <f ca="1">IF(512=0,"-",IF(ISNUMBER(FIND("ED only",$B$4)),SUMIFS(sum_dest_tran,site_level_range_dest,LEFT($B$4,LEN($B$4)-10),date_range_dest,E8,inputdata!$F:$F,"ED"),SUMIFS(sum_dest_tran,site_level_range_dest,$B$4,date_range_dest,E8)))</f>
        <v>2382</v>
      </c>
      <c r="F15" s="147">
        <f ca="1">IF(612=0,"-",IF(ISNUMBER(FIND("ED only",$B$4)),SUMIFS(sum_dest_tran,site_level_range_dest,LEFT($B$4,LEN($B$4)-10),date_range_dest,F8,inputdata!$F:$F,"ED"),SUMIFS(sum_dest_tran,site_level_range_dest,$B$4,date_range_dest,F8)))</f>
        <v>2235</v>
      </c>
      <c r="G15" s="147">
        <f ca="1">IF(712=0,"-",IF(ISNUMBER(FIND("ED only",$B$4)),SUMIFS(sum_dest_tran,site_level_range_dest,LEFT($B$4,LEN($B$4)-10),date_range_dest,G8,inputdata!$F:$F,"ED"),SUMIFS(sum_dest_tran,site_level_range_dest,$B$4,date_range_dest,G8)))</f>
        <v>2293</v>
      </c>
      <c r="H15" s="147">
        <f ca="1">IF(812=0,"-",IF(ISNUMBER(FIND("ED only",$B$4)),SUMIFS(sum_dest_tran,site_level_range_dest,LEFT($B$4,LEN($B$4)-10),date_range_dest,H8,inputdata!$F:$F,"ED"),SUMIFS(sum_dest_tran,site_level_range_dest,$B$4,date_range_dest,H8)))</f>
        <v>2405</v>
      </c>
      <c r="I15" s="147">
        <f ca="1">IF(912=0,"-",IF(ISNUMBER(FIND("ED only",$B$4)),SUMIFS(sum_dest_tran,site_level_range_dest,LEFT($B$4,LEN($B$4)-10),date_range_dest,I8,inputdata!$F:$F,"ED"),SUMIFS(sum_dest_tran,site_level_range_dest,$B$4,date_range_dest,I8)))</f>
        <v>2550</v>
      </c>
      <c r="J15" s="147">
        <f ca="1">IF(1012=0,"-",IF(ISNUMBER(FIND("ED only",$B$4)),SUMIFS(sum_dest_tran,site_level_range_dest,LEFT($B$4,LEN($B$4)-10),date_range_dest,J8,inputdata!$F:$F,"ED"),SUMIFS(sum_dest_tran,site_level_range_dest,$B$4,date_range_dest,J8)))</f>
        <v>2407</v>
      </c>
      <c r="K15" s="147">
        <f ca="1">IF(1112=0,"-",IF(ISNUMBER(FIND("ED only",$B$4)),SUMIFS(sum_dest_tran,site_level_range_dest,LEFT($B$4,LEN($B$4)-10),date_range_dest,K8,inputdata!$F:$F,"ED"),SUMIFS(sum_dest_tran,site_level_range_dest,$B$4,date_range_dest,K8)))</f>
        <v>2803</v>
      </c>
      <c r="L15" s="147">
        <f ca="1">IF(1212=0,"-",IF(ISNUMBER(FIND("ED only",$B$4)),SUMIFS(sum_dest_tran,site_level_range_dest,LEFT($B$4,LEN($B$4)-10),date_range_dest,L8,inputdata!$F:$F,"ED"),SUMIFS(sum_dest_tran,site_level_range_dest,$B$4,date_range_dest,L8)))</f>
        <v>2381</v>
      </c>
      <c r="M15" s="147"/>
      <c r="N15" s="156"/>
      <c r="R15" s="40" t="s">
        <v>318</v>
      </c>
    </row>
    <row r="16" spans="1:18" ht="15" customHeight="1" x14ac:dyDescent="0.2">
      <c r="A16" s="132"/>
      <c r="B16" s="152" t="s">
        <v>741</v>
      </c>
      <c r="C16" s="147">
        <f ca="1">IF(312=0,"-",IF(ISNUMBER(FIND("ED only",$B$4)),SUMIFS(sum_dest_other,site_level_range_dest,LEFT($B$4,LEN($B$4)-10),date_range_dest,C8,inputdata!$F:$F,"ED"),SUMIFS(sum_dest_other,site_level_range_dest,$B$4,date_range_dest,C8)))</f>
        <v>152</v>
      </c>
      <c r="D16" s="147">
        <f ca="1">IF(412=0,"-",IF(ISNUMBER(FIND("ED only",$B$4)),SUMIFS(sum_dest_other,site_level_range_dest,LEFT($B$4,LEN($B$4)-10),date_range_dest,D8,inputdata!$F:$F,"ED"),SUMIFS(sum_dest_other,site_level_range_dest,$B$4,date_range_dest,D8)))</f>
        <v>132</v>
      </c>
      <c r="E16" s="147">
        <f ca="1">IF(512=0,"-",IF(ISNUMBER(FIND("ED only",$B$4)),SUMIFS(sum_dest_other,site_level_range_dest,LEFT($B$4,LEN($B$4)-10),date_range_dest,E8,inputdata!$F:$F,"ED"),SUMIFS(sum_dest_other,site_level_range_dest,$B$4,date_range_dest,E8)))</f>
        <v>142</v>
      </c>
      <c r="F16" s="147">
        <f ca="1">IF(612=0,"-",IF(ISNUMBER(FIND("ED only",$B$4)),SUMIFS(sum_dest_other,site_level_range_dest,LEFT($B$4,LEN($B$4)-10),date_range_dest,F8,inputdata!$F:$F,"ED"),SUMIFS(sum_dest_other,site_level_range_dest,$B$4,date_range_dest,F8)))</f>
        <v>145</v>
      </c>
      <c r="G16" s="147">
        <f ca="1">IF(712=0,"-",IF(ISNUMBER(FIND("ED only",$B$4)),SUMIFS(sum_dest_other,site_level_range_dest,LEFT($B$4,LEN($B$4)-10),date_range_dest,G8,inputdata!$F:$F,"ED"),SUMIFS(sum_dest_other,site_level_range_dest,$B$4,date_range_dest,G8)))</f>
        <v>156</v>
      </c>
      <c r="H16" s="147">
        <f ca="1">IF(812=0,"-",IF(ISNUMBER(FIND("ED only",$B$4)),SUMIFS(sum_dest_other,site_level_range_dest,LEFT($B$4,LEN($B$4)-10),date_range_dest,H8,inputdata!$F:$F,"ED"),SUMIFS(sum_dest_other,site_level_range_dest,$B$4,date_range_dest,H8)))</f>
        <v>152</v>
      </c>
      <c r="I16" s="147">
        <f ca="1">IF(912=0,"-",IF(ISNUMBER(FIND("ED only",$B$4)),SUMIFS(sum_dest_other,site_level_range_dest,LEFT($B$4,LEN($B$4)-10),date_range_dest,I8,inputdata!$F:$F,"ED"),SUMIFS(sum_dest_other,site_level_range_dest,$B$4,date_range_dest,I8)))</f>
        <v>176</v>
      </c>
      <c r="J16" s="147">
        <f ca="1">IF(1012=0,"-",IF(ISNUMBER(FIND("ED only",$B$4)),SUMIFS(sum_dest_other,site_level_range_dest,LEFT($B$4,LEN($B$4)-10),date_range_dest,J8,inputdata!$F:$F,"ED"),SUMIFS(sum_dest_other,site_level_range_dest,$B$4,date_range_dest,J8)))</f>
        <v>164</v>
      </c>
      <c r="K16" s="147">
        <f ca="1">IF(1112=0,"-",IF(ISNUMBER(FIND("ED only",$B$4)),SUMIFS(sum_dest_other,site_level_range_dest,LEFT($B$4,LEN($B$4)-10),date_range_dest,K8,inputdata!$F:$F,"ED"),SUMIFS(sum_dest_other,site_level_range_dest,$B$4,date_range_dest,K8)))</f>
        <v>230</v>
      </c>
      <c r="L16" s="147">
        <f ca="1">IF(1212=0,"-",IF(ISNUMBER(FIND("ED only",$B$4)),SUMIFS(sum_dest_other,site_level_range_dest,LEFT($B$4,LEN($B$4)-10),date_range_dest,L8,inputdata!$F:$F,"ED"),SUMIFS(sum_dest_other,site_level_range_dest,$B$4,date_range_dest,L8)))</f>
        <v>205</v>
      </c>
      <c r="M16" s="147"/>
      <c r="N16" s="156"/>
      <c r="R16" s="40" t="s">
        <v>319</v>
      </c>
    </row>
    <row r="17" spans="1:18" ht="15" customHeight="1" x14ac:dyDescent="0.2">
      <c r="A17" s="132"/>
      <c r="B17" s="154" t="s">
        <v>742</v>
      </c>
      <c r="C17" s="150">
        <f ca="1">IF(312=0,"-",IF(ISNUMBER(FIND("ED only",$B$4)),SUMIFS(sum_dest_unknown,site_level_range_dest,LEFT($B$4,LEN($B$4)-10),date_range_dest,C8,inputdata!$F:$F,"ED"),SUMIFS(sum_dest_unknown,site_level_range_dest,$B$4,date_range_dest,C8)))</f>
        <v>3783</v>
      </c>
      <c r="D17" s="150">
        <f ca="1">IF(412=0,"-",IF(ISNUMBER(FIND("ED only",$B$4)),SUMIFS(sum_dest_unknown,site_level_range_dest,LEFT($B$4,LEN($B$4)-10),date_range_dest,D8,inputdata!$F:$F,"ED"),SUMIFS(sum_dest_unknown,site_level_range_dest,$B$4,date_range_dest,D8)))</f>
        <v>4867</v>
      </c>
      <c r="E17" s="150">
        <f ca="1">IF(512=0,"-",IF(ISNUMBER(FIND("ED only",$B$4)),SUMIFS(sum_dest_unknown,site_level_range_dest,LEFT($B$4,LEN($B$4)-10),date_range_dest,E8,inputdata!$F:$F,"ED"),SUMIFS(sum_dest_unknown,site_level_range_dest,$B$4,date_range_dest,E8)))</f>
        <v>4910</v>
      </c>
      <c r="F17" s="150">
        <f ca="1">IF(612=0,"-",IF(ISNUMBER(FIND("ED only",$B$4)),SUMIFS(sum_dest_unknown,site_level_range_dest,LEFT($B$4,LEN($B$4)-10),date_range_dest,F8,inputdata!$F:$F,"ED"),SUMIFS(sum_dest_unknown,site_level_range_dest,$B$4,date_range_dest,F8)))</f>
        <v>6362</v>
      </c>
      <c r="G17" s="150">
        <f ca="1">IF(712=0,"-",IF(ISNUMBER(FIND("ED only",$B$4)),SUMIFS(sum_dest_unknown,site_level_range_dest,LEFT($B$4,LEN($B$4)-10),date_range_dest,G8,inputdata!$F:$F,"ED"),SUMIFS(sum_dest_unknown,site_level_range_dest,$B$4,date_range_dest,G8)))</f>
        <v>5815</v>
      </c>
      <c r="H17" s="150">
        <f ca="1">IF(812=0,"-",IF(ISNUMBER(FIND("ED only",$B$4)),SUMIFS(sum_dest_unknown,site_level_range_dest,LEFT($B$4,LEN($B$4)-10),date_range_dest,H8,inputdata!$F:$F,"ED"),SUMIFS(sum_dest_unknown,site_level_range_dest,$B$4,date_range_dest,H8)))</f>
        <v>5317</v>
      </c>
      <c r="I17" s="150">
        <f ca="1">IF(912=0,"-",IF(ISNUMBER(FIND("ED only",$B$4)),SUMIFS(sum_dest_unknown,site_level_range_dest,LEFT($B$4,LEN($B$4)-10),date_range_dest,I8,inputdata!$F:$F,"ED"),SUMIFS(sum_dest_unknown,site_level_range_dest,$B$4,date_range_dest,I8)))</f>
        <v>4517</v>
      </c>
      <c r="J17" s="150">
        <f ca="1">IF(1012=0,"-",IF(ISNUMBER(FIND("ED only",$B$4)),SUMIFS(sum_dest_unknown,site_level_range_dest,LEFT($B$4,LEN($B$4)-10),date_range_dest,J8,inputdata!$F:$F,"ED"),SUMIFS(sum_dest_unknown,site_level_range_dest,$B$4,date_range_dest,J8)))</f>
        <v>3824</v>
      </c>
      <c r="K17" s="150">
        <f ca="1">IF(1112=0,"-",IF(ISNUMBER(FIND("ED only",$B$4)),SUMIFS(sum_dest_unknown,site_level_range_dest,LEFT($B$4,LEN($B$4)-10),date_range_dest,K8,inputdata!$F:$F,"ED"),SUMIFS(sum_dest_unknown,site_level_range_dest,$B$4,date_range_dest,K8)))</f>
        <v>4439</v>
      </c>
      <c r="L17" s="150">
        <f ca="1">IF(1212=0,"-",IF(ISNUMBER(FIND("ED only",$B$4)),SUMIFS(sum_dest_unknown,site_level_range_dest,LEFT($B$4,LEN($B$4)-10),date_range_dest,L8,inputdata!$F:$F,"ED"),SUMIFS(sum_dest_unknown,site_level_range_dest,$B$4,date_range_dest,L8)))</f>
        <v>2866</v>
      </c>
      <c r="M17" s="150"/>
      <c r="N17" s="159"/>
      <c r="R17" s="40" t="s">
        <v>25</v>
      </c>
    </row>
    <row r="18" spans="1:18" ht="15" customHeight="1" x14ac:dyDescent="0.2">
      <c r="B18" s="127"/>
      <c r="C18" s="127"/>
      <c r="D18" s="127"/>
      <c r="E18" s="127"/>
      <c r="F18" s="127"/>
      <c r="G18" s="127"/>
      <c r="H18" s="127"/>
      <c r="I18" s="127"/>
      <c r="J18" s="127"/>
      <c r="K18" s="127"/>
      <c r="L18" s="127"/>
      <c r="M18" s="127"/>
      <c r="N18" s="127"/>
      <c r="R18" s="40" t="s">
        <v>320</v>
      </c>
    </row>
    <row r="19" spans="1:18" ht="15" customHeight="1" x14ac:dyDescent="0.25">
      <c r="A19" s="132"/>
      <c r="B19" s="153" t="str">
        <f>IF(ISNUMBER(FIND("ED only",$B$4)),"2021/2022 (ED Only)","2021/2022")</f>
        <v>2021/2022</v>
      </c>
      <c r="C19" s="149">
        <v>44316</v>
      </c>
      <c r="D19" s="149">
        <v>44347</v>
      </c>
      <c r="E19" s="149">
        <v>44377</v>
      </c>
      <c r="F19" s="149">
        <v>44408</v>
      </c>
      <c r="G19" s="149">
        <v>44439</v>
      </c>
      <c r="H19" s="149">
        <v>44469</v>
      </c>
      <c r="I19" s="149">
        <v>44500</v>
      </c>
      <c r="J19" s="149">
        <v>44530</v>
      </c>
      <c r="K19" s="149">
        <v>44561</v>
      </c>
      <c r="L19" s="149">
        <v>44592</v>
      </c>
      <c r="M19" s="149">
        <v>44620</v>
      </c>
      <c r="N19" s="158">
        <v>44651</v>
      </c>
      <c r="R19" s="40" t="s">
        <v>26</v>
      </c>
    </row>
    <row r="20" spans="1:18" ht="15" customHeight="1" x14ac:dyDescent="0.2">
      <c r="A20" s="132"/>
      <c r="B20" s="164" t="s">
        <v>735</v>
      </c>
      <c r="C20" s="162"/>
      <c r="D20" s="162"/>
      <c r="E20" s="162"/>
      <c r="F20" s="162"/>
      <c r="G20" s="162"/>
      <c r="H20" s="162"/>
      <c r="I20" s="162"/>
      <c r="J20" s="162"/>
      <c r="K20" s="162"/>
      <c r="L20" s="162"/>
      <c r="M20" s="162"/>
      <c r="N20" s="152"/>
      <c r="R20" s="40" t="s">
        <v>232</v>
      </c>
    </row>
    <row r="21" spans="1:18" ht="15" customHeight="1" x14ac:dyDescent="0.2">
      <c r="A21" s="132"/>
      <c r="B21" s="154" t="s">
        <v>736</v>
      </c>
      <c r="C21" s="150">
        <f ca="1">IF(ISNUMBER(FIND("ED only",$B$4)),SUMIFS(sum_range_dest,site_level_range_dest,LEFT($B$4,LEN($B$4)-10),date_range_dest,C19,inputdata!$F:$F,"ED"),SUMIFS(sum_range_dest,site_level_range_dest,$B$4,date_range_dest,C19))</f>
        <v>115665</v>
      </c>
      <c r="D21" s="150">
        <f ca="1">IF(ISNUMBER(FIND("ED only",$B$4)),SUMIFS(sum_range_dest,site_level_range_dest,LEFT($B$4,LEN($B$4)-10),date_range_dest,D19,inputdata!$F:$F,"ED"),SUMIFS(sum_range_dest,site_level_range_dest,$B$4,date_range_dest,D19))</f>
        <v>129581</v>
      </c>
      <c r="E21" s="150">
        <f ca="1">IF(ISNUMBER(FIND("ED only",$B$4)),SUMIFS(sum_range_dest,site_level_range_dest,LEFT($B$4,LEN($B$4)-10),date_range_dest,E19,inputdata!$F:$F,"ED"),SUMIFS(sum_range_dest,site_level_range_dest,$B$4,date_range_dest,E19))</f>
        <v>137100</v>
      </c>
      <c r="F21" s="150">
        <f ca="1">IF(ISNUMBER(FIND("ED only",$B$4)),SUMIFS(sum_range_dest,site_level_range_dest,LEFT($B$4,LEN($B$4)-10),date_range_dest,F19,inputdata!$F:$F,"ED"),SUMIFS(sum_range_dest,site_level_range_dest,$B$4,date_range_dest,F19))</f>
        <v>132829</v>
      </c>
      <c r="G21" s="150">
        <f ca="1">IF(ISNUMBER(FIND("ED only",$B$4)),SUMIFS(sum_range_dest,site_level_range_dest,LEFT($B$4,LEN($B$4)-10),date_range_dest,G19,inputdata!$F:$F,"ED"),SUMIFS(sum_range_dest,site_level_range_dest,$B$4,date_range_dest,G19))</f>
        <v>136538</v>
      </c>
      <c r="H21" s="150">
        <f ca="1">IF(ISNUMBER(FIND("ED only",$B$4)),SUMIFS(sum_range_dest,site_level_range_dest,LEFT($B$4,LEN($B$4)-10),date_range_dest,H19,inputdata!$F:$F,"ED"),SUMIFS(sum_range_dest,site_level_range_dest,$B$4,date_range_dest,H19))</f>
        <v>131782</v>
      </c>
      <c r="I21" s="150">
        <f ca="1">IF(ISNUMBER(FIND("ED only",$B$4)),SUMIFS(sum_range_dest,site_level_range_dest,LEFT($B$4,LEN($B$4)-10),date_range_dest,I19,inputdata!$F:$F,"ED"),SUMIFS(sum_range_dest,site_level_range_dest,$B$4,date_range_dest,I19))</f>
        <v>124456</v>
      </c>
      <c r="J21" s="150">
        <f ca="1">IF(ISNUMBER(FIND("ED only",$B$4)),SUMIFS(sum_range_dest,site_level_range_dest,LEFT($B$4,LEN($B$4)-10),date_range_dest,J19,inputdata!$F:$F,"ED"),SUMIFS(sum_range_dest,site_level_range_dest,$B$4,date_range_dest,J19))</f>
        <v>118966</v>
      </c>
      <c r="K21" s="150">
        <f ca="1">IF(ISNUMBER(FIND("ED only",$B$4)),SUMIFS(sum_range_dest,site_level_range_dest,LEFT($B$4,LEN($B$4)-10),date_range_dest,K19,inputdata!$F:$F,"ED"),SUMIFS(sum_range_dest,site_level_range_dest,$B$4,date_range_dest,K19))</f>
        <v>111044</v>
      </c>
      <c r="L21" s="150">
        <f ca="1">IF(ISNUMBER(FIND("ED only",$B$4)),SUMIFS(sum_range_dest,site_level_range_dest,LEFT($B$4,LEN($B$4)-10),date_range_dest,L19,inputdata!$F:$F,"ED"),SUMIFS(sum_range_dest,site_level_range_dest,$B$4,date_range_dest,L19))</f>
        <v>110742</v>
      </c>
      <c r="M21" s="150">
        <f ca="1">IF(ISNUMBER(FIND("ED only",$B$4)),SUMIFS(sum_range_dest,site_level_range_dest,LEFT($B$4,LEN($B$4)-10),date_range_dest,M19,inputdata!$F:$F,"ED"),SUMIFS(sum_range_dest,site_level_range_dest,$B$4,date_range_dest,M19))</f>
        <v>110294</v>
      </c>
      <c r="N21" s="159">
        <f ca="1">IF(ISNUMBER(FIND("ED only",$B$4)),SUMIFS(sum_range_dest,site_level_range_dest,LEFT($B$4,LEN($B$4)-10),date_range_dest,N19,inputdata!$F:$F,"ED"),SUMIFS(sum_range_dest,site_level_range_dest,$B$4,date_range_dest,N19))</f>
        <v>130340</v>
      </c>
      <c r="R21" s="40" t="s">
        <v>321</v>
      </c>
    </row>
    <row r="22" spans="1:18" ht="15" customHeight="1" x14ac:dyDescent="0.2">
      <c r="A22" s="132"/>
      <c r="B22" s="164" t="s">
        <v>737</v>
      </c>
      <c r="C22" s="162"/>
      <c r="D22" s="162"/>
      <c r="E22" s="162"/>
      <c r="F22" s="162"/>
      <c r="G22" s="162"/>
      <c r="H22" s="162"/>
      <c r="I22" s="162"/>
      <c r="J22" s="162"/>
      <c r="K22" s="162"/>
      <c r="L22" s="162"/>
      <c r="M22" s="162"/>
      <c r="N22" s="152"/>
      <c r="R22" s="40" t="s">
        <v>322</v>
      </c>
    </row>
    <row r="23" spans="1:18" ht="15" customHeight="1" x14ac:dyDescent="0.2">
      <c r="A23" s="132"/>
      <c r="B23" s="152" t="s">
        <v>736</v>
      </c>
      <c r="C23" s="147">
        <f ca="1">IF(ISNUMBER(FIND("ED only",$B$4)),SUMIFS(sum_total_epi_dest,site_level_range_dest,LEFT($B$4,LEN($B$4)-10),date_range_dest,C19,inputdata!$F:$F,"ED"),SUMIFS(sum_total_epi_dest,site_level_range_dest,$B$4,date_range_dest,C19))</f>
        <v>112056</v>
      </c>
      <c r="D23" s="147">
        <f ca="1">IF(ISNUMBER(FIND("ED only",$B$4)),SUMIFS(sum_total_epi_dest,site_level_range_dest,LEFT($B$4,LEN($B$4)-10),date_range_dest,D19,inputdata!$F:$F,"ED"),SUMIFS(sum_total_epi_dest,site_level_range_dest,$B$4,date_range_dest,D19))</f>
        <v>125063</v>
      </c>
      <c r="E23" s="147">
        <f ca="1">IF(ISNUMBER(FIND("ED only",$B$4)),SUMIFS(sum_total_epi_dest,site_level_range_dest,LEFT($B$4,LEN($B$4)-10),date_range_dest,E19,inputdata!$F:$F,"ED"),SUMIFS(sum_total_epi_dest,site_level_range_dest,$B$4,date_range_dest,E19))</f>
        <v>132217</v>
      </c>
      <c r="F23" s="147">
        <f ca="1">IF(ISNUMBER(FIND("ED only",$B$4)),SUMIFS(sum_total_epi_dest,site_level_range_dest,LEFT($B$4,LEN($B$4)-10),date_range_dest,F19,inputdata!$F:$F,"ED"),SUMIFS(sum_total_epi_dest,site_level_range_dest,$B$4,date_range_dest,F19))</f>
        <v>128408</v>
      </c>
      <c r="G23" s="147">
        <f ca="1">IF(ISNUMBER(FIND("ED only",$B$4)),SUMIFS(sum_total_epi_dest,site_level_range_dest,LEFT($B$4,LEN($B$4)-10),date_range_dest,G19,inputdata!$F:$F,"ED"),SUMIFS(sum_total_epi_dest,site_level_range_dest,$B$4,date_range_dest,G19))</f>
        <v>131896</v>
      </c>
      <c r="H23" s="147">
        <f ca="1">IF(ISNUMBER(FIND("ED only",$B$4)),SUMIFS(sum_total_epi_dest,site_level_range_dest,LEFT($B$4,LEN($B$4)-10),date_range_dest,H19,inputdata!$F:$F,"ED"),SUMIFS(sum_total_epi_dest,site_level_range_dest,$B$4,date_range_dest,H19))</f>
        <v>128105</v>
      </c>
      <c r="I23" s="147">
        <f ca="1">IF(ISNUMBER(FIND("ED only",$B$4)),SUMIFS(sum_total_epi_dest,site_level_range_dest,LEFT($B$4,LEN($B$4)-10),date_range_dest,I19,inputdata!$F:$F,"ED"),SUMIFS(sum_total_epi_dest,site_level_range_dest,$B$4,date_range_dest,I19))</f>
        <v>121029</v>
      </c>
      <c r="J23" s="147">
        <f ca="1">IF(ISNUMBER(FIND("ED only",$B$4)),SUMIFS(sum_total_epi_dest,site_level_range_dest,LEFT($B$4,LEN($B$4)-10),date_range_dest,J19,inputdata!$F:$F,"ED"),SUMIFS(sum_total_epi_dest,site_level_range_dest,$B$4,date_range_dest,J19))</f>
        <v>115872</v>
      </c>
      <c r="K23" s="147">
        <f ca="1">IF(ISNUMBER(FIND("ED only",$B$4)),SUMIFS(sum_total_epi_dest,site_level_range_dest,LEFT($B$4,LEN($B$4)-10),date_range_dest,K19,inputdata!$F:$F,"ED"),SUMIFS(sum_total_epi_dest,site_level_range_dest,$B$4,date_range_dest,K19))</f>
        <v>108081</v>
      </c>
      <c r="L23" s="147">
        <f ca="1">IF(ISNUMBER(FIND("ED only",$B$4)),SUMIFS(sum_total_epi_dest,site_level_range_dest,LEFT($B$4,LEN($B$4)-10),date_range_dest,L19,inputdata!$F:$F,"ED"),SUMIFS(sum_total_epi_dest,site_level_range_dest,$B$4,date_range_dest,L19))</f>
        <v>107583</v>
      </c>
      <c r="M23" s="147">
        <f ca="1">IF(ISNUMBER(FIND("ED only",$B$4)),SUMIFS(sum_total_epi_dest,site_level_range_dest,LEFT($B$4,LEN($B$4)-10),date_range_dest,M19,inputdata!$F:$F,"ED"),SUMIFS(sum_total_epi_dest,site_level_range_dest,$B$4,date_range_dest,M19))</f>
        <v>107100</v>
      </c>
      <c r="N23" s="156">
        <f ca="1">IF(ISNUMBER(FIND("ED only",$B$4)),SUMIFS(sum_total_epi_dest,site_level_range_dest,LEFT($B$4,LEN($B$4)-10),date_range_dest,N19,inputdata!$F:$F,"ED"),SUMIFS(sum_total_epi_dest,site_level_range_dest,$B$4,date_range_dest,N19))</f>
        <v>126285</v>
      </c>
      <c r="R23" s="40" t="s">
        <v>323</v>
      </c>
    </row>
    <row r="24" spans="1:18" ht="15" customHeight="1" x14ac:dyDescent="0.2">
      <c r="A24" s="132"/>
      <c r="B24" s="152" t="s">
        <v>738</v>
      </c>
      <c r="C24" s="147">
        <f ca="1">IF(323=0,"-",IF(ISNUMBER(FIND("ED only",$B$4)),SUMIFS(sum_dest_res,site_level_range_dest,LEFT($B$4,LEN($B$4)-10),date_range_dest,C19,inputdata!$F:$F,"ED"),SUMIFS(sum_dest_res,site_level_range_dest,$B$4,date_range_dest,C19)))</f>
        <v>76563</v>
      </c>
      <c r="D24" s="147">
        <f ca="1">IF(423=0,"-",IF(ISNUMBER(FIND("ED only",$B$4)),SUMIFS(sum_dest_res,site_level_range_dest,LEFT($B$4,LEN($B$4)-10),date_range_dest,D19,inputdata!$F:$F,"ED"),SUMIFS(sum_dest_res,site_level_range_dest,$B$4,date_range_dest,D19)))</f>
        <v>86549</v>
      </c>
      <c r="E24" s="147">
        <f ca="1">IF(523=0,"-",IF(ISNUMBER(FIND("ED only",$B$4)),SUMIFS(sum_dest_res,site_level_range_dest,LEFT($B$4,LEN($B$4)-10),date_range_dest,E19,inputdata!$F:$F,"ED"),SUMIFS(sum_dest_res,site_level_range_dest,$B$4,date_range_dest,E19)))</f>
        <v>93618</v>
      </c>
      <c r="F24" s="147">
        <f ca="1">IF(623=0,"-",IF(ISNUMBER(FIND("ED only",$B$4)),SUMIFS(sum_dest_res,site_level_range_dest,LEFT($B$4,LEN($B$4)-10),date_range_dest,F19,inputdata!$F:$F,"ED"),SUMIFS(sum_dest_res,site_level_range_dest,$B$4,date_range_dest,F19)))</f>
        <v>90149</v>
      </c>
      <c r="G24" s="147">
        <f ca="1">IF(723=0,"-",IF(ISNUMBER(FIND("ED only",$B$4)),SUMIFS(sum_dest_res,site_level_range_dest,LEFT($B$4,LEN($B$4)-10),date_range_dest,G19,inputdata!$F:$F,"ED"),SUMIFS(sum_dest_res,site_level_range_dest,$B$4,date_range_dest,G19)))</f>
        <v>93001</v>
      </c>
      <c r="H24" s="147">
        <f ca="1">IF(823=0,"-",IF(ISNUMBER(FIND("ED only",$B$4)),SUMIFS(sum_dest_res,site_level_range_dest,LEFT($B$4,LEN($B$4)-10),date_range_dest,H19,inputdata!$F:$F,"ED"),SUMIFS(sum_dest_res,site_level_range_dest,$B$4,date_range_dest,H19)))</f>
        <v>90464</v>
      </c>
      <c r="I24" s="147">
        <f ca="1">IF(923=0,"-",IF(ISNUMBER(FIND("ED only",$B$4)),SUMIFS(sum_dest_res,site_level_range_dest,LEFT($B$4,LEN($B$4)-10),date_range_dest,I19,inputdata!$F:$F,"ED"),SUMIFS(sum_dest_res,site_level_range_dest,$B$4,date_range_dest,I19)))</f>
        <v>83680</v>
      </c>
      <c r="J24" s="147">
        <f ca="1">IF(1023=0,"-",IF(ISNUMBER(FIND("ED only",$B$4)),SUMIFS(sum_dest_res,site_level_range_dest,LEFT($B$4,LEN($B$4)-10),date_range_dest,J19,inputdata!$F:$F,"ED"),SUMIFS(sum_dest_res,site_level_range_dest,$B$4,date_range_dest,J19)))</f>
        <v>79442</v>
      </c>
      <c r="K24" s="147">
        <f ca="1">IF(1123=0,"-",IF(ISNUMBER(FIND("ED only",$B$4)),SUMIFS(sum_dest_res,site_level_range_dest,LEFT($B$4,LEN($B$4)-10),date_range_dest,K19,inputdata!$F:$F,"ED"),SUMIFS(sum_dest_res,site_level_range_dest,$B$4,date_range_dest,K19)))</f>
        <v>72625</v>
      </c>
      <c r="L24" s="147">
        <f ca="1">IF(1223=0,"-",IF(ISNUMBER(FIND("ED only",$B$4)),SUMIFS(sum_dest_res,site_level_range_dest,LEFT($B$4,LEN($B$4)-10),date_range_dest,L19,inputdata!$F:$F,"ED"),SUMIFS(sum_dest_res,site_level_range_dest,$B$4,date_range_dest,L19)))</f>
        <v>73182</v>
      </c>
      <c r="M24" s="147">
        <f ca="1">IF(1323=0,"-",IF(ISNUMBER(FIND("ED only",$B$4)),SUMIFS(sum_dest_res,site_level_range_dest,LEFT($B$4,LEN($B$4)-10),date_range_dest,M19,inputdata!$F:$F,"ED"),SUMIFS(sum_dest_res,site_level_range_dest,$B$4,date_range_dest,M19)))</f>
        <v>74491</v>
      </c>
      <c r="N24" s="156">
        <f ca="1">IF(1423=0,"-",IF(ISNUMBER(FIND("ED only",$B$4)),SUMIFS(sum_dest_res,site_level_range_dest,LEFT($B$4,LEN($B$4)-10),date_range_dest,N19,inputdata!$F:$F,"ED"),SUMIFS(sum_dest_res,site_level_range_dest,$B$4,date_range_dest,N19)))</f>
        <v>89566</v>
      </c>
      <c r="R24" s="40" t="s">
        <v>324</v>
      </c>
    </row>
    <row r="25" spans="1:18" ht="15" customHeight="1" x14ac:dyDescent="0.2">
      <c r="A25" s="132"/>
      <c r="B25" s="152" t="s">
        <v>739</v>
      </c>
      <c r="C25" s="147">
        <f ca="1">IF(323=0,"-",IF(ISNUMBER(FIND("ED only",$B$4)),SUMIFS(sum_dest_adm,site_level_range_dest,LEFT($B$4,LEN($B$4)-10),date_range_dest,C19,inputdata!$F:$F,"ED"),SUMIFS(sum_dest_adm,site_level_range_dest,$B$4,date_range_dest,C19)))</f>
        <v>30938</v>
      </c>
      <c r="D25" s="147">
        <f ca="1">IF(423=0,"-",IF(ISNUMBER(FIND("ED only",$B$4)),SUMIFS(sum_dest_adm,site_level_range_dest,LEFT($B$4,LEN($B$4)-10),date_range_dest,D19,inputdata!$F:$F,"ED"),SUMIFS(sum_dest_adm,site_level_range_dest,$B$4,date_range_dest,D19)))</f>
        <v>33701</v>
      </c>
      <c r="E25" s="147">
        <f ca="1">IF(523=0,"-",IF(ISNUMBER(FIND("ED only",$B$4)),SUMIFS(sum_dest_adm,site_level_range_dest,LEFT($B$4,LEN($B$4)-10),date_range_dest,E19,inputdata!$F:$F,"ED"),SUMIFS(sum_dest_adm,site_level_range_dest,$B$4,date_range_dest,E19)))</f>
        <v>32979</v>
      </c>
      <c r="F25" s="147">
        <f ca="1">IF(623=0,"-",IF(ISNUMBER(FIND("ED only",$B$4)),SUMIFS(sum_dest_adm,site_level_range_dest,LEFT($B$4,LEN($B$4)-10),date_range_dest,F19,inputdata!$F:$F,"ED"),SUMIFS(sum_dest_adm,site_level_range_dest,$B$4,date_range_dest,F19)))</f>
        <v>32498</v>
      </c>
      <c r="G25" s="147">
        <f ca="1">IF(723=0,"-",IF(ISNUMBER(FIND("ED only",$B$4)),SUMIFS(sum_dest_adm,site_level_range_dest,LEFT($B$4,LEN($B$4)-10),date_range_dest,G19,inputdata!$F:$F,"ED"),SUMIFS(sum_dest_adm,site_level_range_dest,$B$4,date_range_dest,G19)))</f>
        <v>32681</v>
      </c>
      <c r="H25" s="147">
        <f ca="1">IF(823=0,"-",IF(ISNUMBER(FIND("ED only",$B$4)),SUMIFS(sum_dest_adm,site_level_range_dest,LEFT($B$4,LEN($B$4)-10),date_range_dest,H19,inputdata!$F:$F,"ED"),SUMIFS(sum_dest_adm,site_level_range_dest,$B$4,date_range_dest,H19)))</f>
        <v>31550</v>
      </c>
      <c r="I25" s="147">
        <f ca="1">IF(923=0,"-",IF(ISNUMBER(FIND("ED only",$B$4)),SUMIFS(sum_dest_adm,site_level_range_dest,LEFT($B$4,LEN($B$4)-10),date_range_dest,I19,inputdata!$F:$F,"ED"),SUMIFS(sum_dest_adm,site_level_range_dest,$B$4,date_range_dest,I19)))</f>
        <v>31968</v>
      </c>
      <c r="J25" s="147">
        <f ca="1">IF(1023=0,"-",IF(ISNUMBER(FIND("ED only",$B$4)),SUMIFS(sum_dest_adm,site_level_range_dest,LEFT($B$4,LEN($B$4)-10),date_range_dest,J19,inputdata!$F:$F,"ED"),SUMIFS(sum_dest_adm,site_level_range_dest,$B$4,date_range_dest,J19)))</f>
        <v>31459</v>
      </c>
      <c r="K25" s="147">
        <f ca="1">IF(1123=0,"-",IF(ISNUMBER(FIND("ED only",$B$4)),SUMIFS(sum_dest_adm,site_level_range_dest,LEFT($B$4,LEN($B$4)-10),date_range_dest,K19,inputdata!$F:$F,"ED"),SUMIFS(sum_dest_adm,site_level_range_dest,$B$4,date_range_dest,K19)))</f>
        <v>30805</v>
      </c>
      <c r="L25" s="147">
        <f ca="1">IF(1223=0,"-",IF(ISNUMBER(FIND("ED only",$B$4)),SUMIFS(sum_dest_adm,site_level_range_dest,LEFT($B$4,LEN($B$4)-10),date_range_dest,L19,inputdata!$F:$F,"ED"),SUMIFS(sum_dest_adm,site_level_range_dest,$B$4,date_range_dest,L19)))</f>
        <v>29656</v>
      </c>
      <c r="M25" s="147">
        <f ca="1">IF(1323=0,"-",IF(ISNUMBER(FIND("ED only",$B$4)),SUMIFS(sum_dest_adm,site_level_range_dest,LEFT($B$4,LEN($B$4)-10),date_range_dest,M19,inputdata!$F:$F,"ED"),SUMIFS(sum_dest_adm,site_level_range_dest,$B$4,date_range_dest,M19)))</f>
        <v>27848</v>
      </c>
      <c r="N25" s="156">
        <f ca="1">IF(1423=0,"-",IF(ISNUMBER(FIND("ED only",$B$4)),SUMIFS(sum_dest_adm,site_level_range_dest,LEFT($B$4,LEN($B$4)-10),date_range_dest,N19,inputdata!$F:$F,"ED"),SUMIFS(sum_dest_adm,site_level_range_dest,$B$4,date_range_dest,N19)))</f>
        <v>30285</v>
      </c>
      <c r="R25" s="40" t="s">
        <v>325</v>
      </c>
    </row>
    <row r="26" spans="1:18" ht="15" customHeight="1" x14ac:dyDescent="0.2">
      <c r="A26" s="132"/>
      <c r="B26" s="152" t="s">
        <v>740</v>
      </c>
      <c r="C26" s="147">
        <f ca="1">IF(323=0,"-",IF(ISNUMBER(FIND("ED only",$B$4)),SUMIFS(sum_dest_tran,site_level_range_dest,LEFT($B$4,LEN($B$4)-10),date_range_dest,C19,inputdata!$F:$F,"ED"),SUMIFS(sum_dest_tran,site_level_range_dest,$B$4,date_range_dest,C19)))</f>
        <v>1982</v>
      </c>
      <c r="D26" s="147">
        <f ca="1">IF(423=0,"-",IF(ISNUMBER(FIND("ED only",$B$4)),SUMIFS(sum_dest_tran,site_level_range_dest,LEFT($B$4,LEN($B$4)-10),date_range_dest,D19,inputdata!$F:$F,"ED"),SUMIFS(sum_dest_tran,site_level_range_dest,$B$4,date_range_dest,D19)))</f>
        <v>2099</v>
      </c>
      <c r="E26" s="147">
        <f ca="1">IF(523=0,"-",IF(ISNUMBER(FIND("ED only",$B$4)),SUMIFS(sum_dest_tran,site_level_range_dest,LEFT($B$4,LEN($B$4)-10),date_range_dest,E19,inputdata!$F:$F,"ED"),SUMIFS(sum_dest_tran,site_level_range_dest,$B$4,date_range_dest,E19)))</f>
        <v>2026</v>
      </c>
      <c r="F26" s="147">
        <f ca="1">IF(623=0,"-",IF(ISNUMBER(FIND("ED only",$B$4)),SUMIFS(sum_dest_tran,site_level_range_dest,LEFT($B$4,LEN($B$4)-10),date_range_dest,F19,inputdata!$F:$F,"ED"),SUMIFS(sum_dest_tran,site_level_range_dest,$B$4,date_range_dest,F19)))</f>
        <v>1998</v>
      </c>
      <c r="G26" s="147">
        <f ca="1">IF(723=0,"-",IF(ISNUMBER(FIND("ED only",$B$4)),SUMIFS(sum_dest_tran,site_level_range_dest,LEFT($B$4,LEN($B$4)-10),date_range_dest,G19,inputdata!$F:$F,"ED"),SUMIFS(sum_dest_tran,site_level_range_dest,$B$4,date_range_dest,G19)))</f>
        <v>2117</v>
      </c>
      <c r="H26" s="147">
        <f ca="1">IF(823=0,"-",IF(ISNUMBER(FIND("ED only",$B$4)),SUMIFS(sum_dest_tran,site_level_range_dest,LEFT($B$4,LEN($B$4)-10),date_range_dest,H19,inputdata!$F:$F,"ED"),SUMIFS(sum_dest_tran,site_level_range_dest,$B$4,date_range_dest,H19)))</f>
        <v>2100</v>
      </c>
      <c r="I26" s="147">
        <f ca="1">IF(923=0,"-",IF(ISNUMBER(FIND("ED only",$B$4)),SUMIFS(sum_dest_tran,site_level_range_dest,LEFT($B$4,LEN($B$4)-10),date_range_dest,I19,inputdata!$F:$F,"ED"),SUMIFS(sum_dest_tran,site_level_range_dest,$B$4,date_range_dest,I19)))</f>
        <v>2125</v>
      </c>
      <c r="J26" s="147">
        <f ca="1">IF(1023=0,"-",IF(ISNUMBER(FIND("ED only",$B$4)),SUMIFS(sum_dest_tran,site_level_range_dest,LEFT($B$4,LEN($B$4)-10),date_range_dest,J19,inputdata!$F:$F,"ED"),SUMIFS(sum_dest_tran,site_level_range_dest,$B$4,date_range_dest,J19)))</f>
        <v>1926</v>
      </c>
      <c r="K26" s="147">
        <f ca="1">IF(1123=0,"-",IF(ISNUMBER(FIND("ED only",$B$4)),SUMIFS(sum_dest_tran,site_level_range_dest,LEFT($B$4,LEN($B$4)-10),date_range_dest,K19,inputdata!$F:$F,"ED"),SUMIFS(sum_dest_tran,site_level_range_dest,$B$4,date_range_dest,K19)))</f>
        <v>1921</v>
      </c>
      <c r="L26" s="147">
        <f ca="1">IF(1223=0,"-",IF(ISNUMBER(FIND("ED only",$B$4)),SUMIFS(sum_dest_tran,site_level_range_dest,LEFT($B$4,LEN($B$4)-10),date_range_dest,L19,inputdata!$F:$F,"ED"),SUMIFS(sum_dest_tran,site_level_range_dest,$B$4,date_range_dest,L19)))</f>
        <v>1927</v>
      </c>
      <c r="M26" s="147">
        <f ca="1">IF(1323=0,"-",IF(ISNUMBER(FIND("ED only",$B$4)),SUMIFS(sum_dest_tran,site_level_range_dest,LEFT($B$4,LEN($B$4)-10),date_range_dest,M19,inputdata!$F:$F,"ED"),SUMIFS(sum_dest_tran,site_level_range_dest,$B$4,date_range_dest,M19)))</f>
        <v>1808</v>
      </c>
      <c r="N26" s="156">
        <f ca="1">IF(1423=0,"-",IF(ISNUMBER(FIND("ED only",$B$4)),SUMIFS(sum_dest_tran,site_level_range_dest,LEFT($B$4,LEN($B$4)-10),date_range_dest,N19,inputdata!$F:$F,"ED"),SUMIFS(sum_dest_tran,site_level_range_dest,$B$4,date_range_dest,N19)))</f>
        <v>2276</v>
      </c>
      <c r="R26" s="40" t="s">
        <v>28</v>
      </c>
    </row>
    <row r="27" spans="1:18" ht="15" customHeight="1" x14ac:dyDescent="0.2">
      <c r="A27" s="132"/>
      <c r="B27" s="152" t="s">
        <v>741</v>
      </c>
      <c r="C27" s="147">
        <f ca="1">IF(323=0,"-",IF(ISNUMBER(FIND("ED only",$B$4)),SUMIFS(sum_dest_other,site_level_range_dest,LEFT($B$4,LEN($B$4)-10),date_range_dest,C19,inputdata!$F:$F,"ED"),SUMIFS(sum_dest_other,site_level_range_dest,$B$4,date_range_dest,C19)))</f>
        <v>120</v>
      </c>
      <c r="D27" s="147">
        <f ca="1">IF(423=0,"-",IF(ISNUMBER(FIND("ED only",$B$4)),SUMIFS(sum_dest_other,site_level_range_dest,LEFT($B$4,LEN($B$4)-10),date_range_dest,D19,inputdata!$F:$F,"ED"),SUMIFS(sum_dest_other,site_level_range_dest,$B$4,date_range_dest,D19)))</f>
        <v>120</v>
      </c>
      <c r="E27" s="147">
        <f ca="1">IF(523=0,"-",IF(ISNUMBER(FIND("ED only",$B$4)),SUMIFS(sum_dest_other,site_level_range_dest,LEFT($B$4,LEN($B$4)-10),date_range_dest,E19,inputdata!$F:$F,"ED"),SUMIFS(sum_dest_other,site_level_range_dest,$B$4,date_range_dest,E19)))</f>
        <v>142</v>
      </c>
      <c r="F27" s="147">
        <f ca="1">IF(623=0,"-",IF(ISNUMBER(FIND("ED only",$B$4)),SUMIFS(sum_dest_other,site_level_range_dest,LEFT($B$4,LEN($B$4)-10),date_range_dest,F19,inputdata!$F:$F,"ED"),SUMIFS(sum_dest_other,site_level_range_dest,$B$4,date_range_dest,F19)))</f>
        <v>150</v>
      </c>
      <c r="G27" s="147">
        <f ca="1">IF(723=0,"-",IF(ISNUMBER(FIND("ED only",$B$4)),SUMIFS(sum_dest_other,site_level_range_dest,LEFT($B$4,LEN($B$4)-10),date_range_dest,G19,inputdata!$F:$F,"ED"),SUMIFS(sum_dest_other,site_level_range_dest,$B$4,date_range_dest,G19)))</f>
        <v>149</v>
      </c>
      <c r="H27" s="147">
        <f ca="1">IF(823=0,"-",IF(ISNUMBER(FIND("ED only",$B$4)),SUMIFS(sum_dest_other,site_level_range_dest,LEFT($B$4,LEN($B$4)-10),date_range_dest,H19,inputdata!$F:$F,"ED"),SUMIFS(sum_dest_other,site_level_range_dest,$B$4,date_range_dest,H19)))</f>
        <v>141</v>
      </c>
      <c r="I27" s="147">
        <f ca="1">IF(923=0,"-",IF(ISNUMBER(FIND("ED only",$B$4)),SUMIFS(sum_dest_other,site_level_range_dest,LEFT($B$4,LEN($B$4)-10),date_range_dest,I19,inputdata!$F:$F,"ED"),SUMIFS(sum_dest_other,site_level_range_dest,$B$4,date_range_dest,I19)))</f>
        <v>164</v>
      </c>
      <c r="J27" s="147">
        <f ca="1">IF(1023=0,"-",IF(ISNUMBER(FIND("ED only",$B$4)),SUMIFS(sum_dest_other,site_level_range_dest,LEFT($B$4,LEN($B$4)-10),date_range_dest,J19,inputdata!$F:$F,"ED"),SUMIFS(sum_dest_other,site_level_range_dest,$B$4,date_range_dest,J19)))</f>
        <v>167</v>
      </c>
      <c r="K27" s="147">
        <f ca="1">IF(1123=0,"-",IF(ISNUMBER(FIND("ED only",$B$4)),SUMIFS(sum_dest_other,site_level_range_dest,LEFT($B$4,LEN($B$4)-10),date_range_dest,K19,inputdata!$F:$F,"ED"),SUMIFS(sum_dest_other,site_level_range_dest,$B$4,date_range_dest,K19)))</f>
        <v>151</v>
      </c>
      <c r="L27" s="147">
        <f ca="1">IF(1223=0,"-",IF(ISNUMBER(FIND("ED only",$B$4)),SUMIFS(sum_dest_other,site_level_range_dest,LEFT($B$4,LEN($B$4)-10),date_range_dest,L19,inputdata!$F:$F,"ED"),SUMIFS(sum_dest_other,site_level_range_dest,$B$4,date_range_dest,L19)))</f>
        <v>151</v>
      </c>
      <c r="M27" s="147">
        <f ca="1">IF(1323=0,"-",IF(ISNUMBER(FIND("ED only",$B$4)),SUMIFS(sum_dest_other,site_level_range_dest,LEFT($B$4,LEN($B$4)-10),date_range_dest,M19,inputdata!$F:$F,"ED"),SUMIFS(sum_dest_other,site_level_range_dest,$B$4,date_range_dest,M19)))</f>
        <v>135</v>
      </c>
      <c r="N27" s="156">
        <f ca="1">IF(1423=0,"-",IF(ISNUMBER(FIND("ED only",$B$4)),SUMIFS(sum_dest_other,site_level_range_dest,LEFT($B$4,LEN($B$4)-10),date_range_dest,N19,inputdata!$F:$F,"ED"),SUMIFS(sum_dest_other,site_level_range_dest,$B$4,date_range_dest,N19)))</f>
        <v>138</v>
      </c>
      <c r="R27" s="40" t="s">
        <v>233</v>
      </c>
    </row>
    <row r="28" spans="1:18" ht="15" customHeight="1" x14ac:dyDescent="0.2">
      <c r="A28" s="132"/>
      <c r="B28" s="154" t="s">
        <v>742</v>
      </c>
      <c r="C28" s="150">
        <f ca="1">IF(323=0,"-",IF(ISNUMBER(FIND("ED only",$B$4)),SUMIFS(sum_dest_unknown,site_level_range_dest,LEFT($B$4,LEN($B$4)-10),date_range_dest,C19,inputdata!$F:$F,"ED"),SUMIFS(sum_dest_unknown,site_level_range_dest,$B$4,date_range_dest,C19)))</f>
        <v>2453</v>
      </c>
      <c r="D28" s="150">
        <f ca="1">IF(423=0,"-",IF(ISNUMBER(FIND("ED only",$B$4)),SUMIFS(sum_dest_unknown,site_level_range_dest,LEFT($B$4,LEN($B$4)-10),date_range_dest,D19,inputdata!$F:$F,"ED"),SUMIFS(sum_dest_unknown,site_level_range_dest,$B$4,date_range_dest,D19)))</f>
        <v>2594</v>
      </c>
      <c r="E28" s="150">
        <f ca="1">IF(523=0,"-",IF(ISNUMBER(FIND("ED only",$B$4)),SUMIFS(sum_dest_unknown,site_level_range_dest,LEFT($B$4,LEN($B$4)-10),date_range_dest,E19,inputdata!$F:$F,"ED"),SUMIFS(sum_dest_unknown,site_level_range_dest,$B$4,date_range_dest,E19)))</f>
        <v>3452</v>
      </c>
      <c r="F28" s="150">
        <f ca="1">IF(623=0,"-",IF(ISNUMBER(FIND("ED only",$B$4)),SUMIFS(sum_dest_unknown,site_level_range_dest,LEFT($B$4,LEN($B$4)-10),date_range_dest,F19,inputdata!$F:$F,"ED"),SUMIFS(sum_dest_unknown,site_level_range_dest,$B$4,date_range_dest,F19)))</f>
        <v>3613</v>
      </c>
      <c r="G28" s="150">
        <f ca="1">IF(723=0,"-",IF(ISNUMBER(FIND("ED only",$B$4)),SUMIFS(sum_dest_unknown,site_level_range_dest,LEFT($B$4,LEN($B$4)-10),date_range_dest,G19,inputdata!$F:$F,"ED"),SUMIFS(sum_dest_unknown,site_level_range_dest,$B$4,date_range_dest,G19)))</f>
        <v>3948</v>
      </c>
      <c r="H28" s="150">
        <f ca="1">IF(823=0,"-",IF(ISNUMBER(FIND("ED only",$B$4)),SUMIFS(sum_dest_unknown,site_level_range_dest,LEFT($B$4,LEN($B$4)-10),date_range_dest,H19,inputdata!$F:$F,"ED"),SUMIFS(sum_dest_unknown,site_level_range_dest,$B$4,date_range_dest,H19)))</f>
        <v>3850</v>
      </c>
      <c r="I28" s="150">
        <f ca="1">IF(923=0,"-",IF(ISNUMBER(FIND("ED only",$B$4)),SUMIFS(sum_dest_unknown,site_level_range_dest,LEFT($B$4,LEN($B$4)-10),date_range_dest,I19,inputdata!$F:$F,"ED"),SUMIFS(sum_dest_unknown,site_level_range_dest,$B$4,date_range_dest,I19)))</f>
        <v>3092</v>
      </c>
      <c r="J28" s="150">
        <f ca="1">IF(1023=0,"-",IF(ISNUMBER(FIND("ED only",$B$4)),SUMIFS(sum_dest_unknown,site_level_range_dest,LEFT($B$4,LEN($B$4)-10),date_range_dest,J19,inputdata!$F:$F,"ED"),SUMIFS(sum_dest_unknown,site_level_range_dest,$B$4,date_range_dest,J19)))</f>
        <v>2878</v>
      </c>
      <c r="K28" s="150">
        <f ca="1">IF(1123=0,"-",IF(ISNUMBER(FIND("ED only",$B$4)),SUMIFS(sum_dest_unknown,site_level_range_dest,LEFT($B$4,LEN($B$4)-10),date_range_dest,K19,inputdata!$F:$F,"ED"),SUMIFS(sum_dest_unknown,site_level_range_dest,$B$4,date_range_dest,K19)))</f>
        <v>2579</v>
      </c>
      <c r="L28" s="150">
        <f ca="1">IF(1223=0,"-",IF(ISNUMBER(FIND("ED only",$B$4)),SUMIFS(sum_dest_unknown,site_level_range_dest,LEFT($B$4,LEN($B$4)-10),date_range_dest,L19,inputdata!$F:$F,"ED"),SUMIFS(sum_dest_unknown,site_level_range_dest,$B$4,date_range_dest,L19)))</f>
        <v>2667</v>
      </c>
      <c r="M28" s="150">
        <f ca="1">IF(1323=0,"-",IF(ISNUMBER(FIND("ED only",$B$4)),SUMIFS(sum_dest_unknown,site_level_range_dest,LEFT($B$4,LEN($B$4)-10),date_range_dest,M19,inputdata!$F:$F,"ED"),SUMIFS(sum_dest_unknown,site_level_range_dest,$B$4,date_range_dest,M19)))</f>
        <v>2818</v>
      </c>
      <c r="N28" s="159">
        <f ca="1">IF(1423=0,"-",IF(ISNUMBER(FIND("ED only",$B$4)),SUMIFS(sum_dest_unknown,site_level_range_dest,LEFT($B$4,LEN($B$4)-10),date_range_dest,N19,inputdata!$F:$F,"ED"),SUMIFS(sum_dest_unknown,site_level_range_dest,$B$4,date_range_dest,N19)))</f>
        <v>4020</v>
      </c>
      <c r="R28" s="40" t="s">
        <v>234</v>
      </c>
    </row>
    <row r="29" spans="1:18" ht="15" customHeight="1" x14ac:dyDescent="0.2">
      <c r="B29" s="127"/>
      <c r="C29" s="127"/>
      <c r="D29" s="127"/>
      <c r="E29" s="127"/>
      <c r="F29" s="127"/>
      <c r="G29" s="127"/>
      <c r="H29" s="127"/>
      <c r="I29" s="127"/>
      <c r="J29" s="127"/>
      <c r="K29" s="127"/>
      <c r="L29" s="127"/>
      <c r="M29" s="127"/>
      <c r="N29" s="127"/>
      <c r="R29" s="40" t="s">
        <v>99</v>
      </c>
    </row>
    <row r="30" spans="1:18" ht="15" customHeight="1" x14ac:dyDescent="0.25">
      <c r="A30" s="132"/>
      <c r="B30" s="153" t="str">
        <f>IF(ISNUMBER(FIND("ED only",$B$4)),"2020/2021 (ED Only)","2020/2021")</f>
        <v>2020/2021</v>
      </c>
      <c r="C30" s="149">
        <v>43951</v>
      </c>
      <c r="D30" s="149">
        <v>43982</v>
      </c>
      <c r="E30" s="149">
        <v>44012</v>
      </c>
      <c r="F30" s="149">
        <v>44043</v>
      </c>
      <c r="G30" s="149">
        <v>44074</v>
      </c>
      <c r="H30" s="149">
        <v>44104</v>
      </c>
      <c r="I30" s="149">
        <v>44135</v>
      </c>
      <c r="J30" s="149">
        <v>44165</v>
      </c>
      <c r="K30" s="149">
        <v>44196</v>
      </c>
      <c r="L30" s="149">
        <v>44227</v>
      </c>
      <c r="M30" s="149">
        <v>44255</v>
      </c>
      <c r="N30" s="158">
        <v>44286</v>
      </c>
      <c r="R30" s="40" t="s">
        <v>326</v>
      </c>
    </row>
    <row r="31" spans="1:18" ht="15" customHeight="1" x14ac:dyDescent="0.2">
      <c r="A31" s="132"/>
      <c r="B31" s="164" t="s">
        <v>735</v>
      </c>
      <c r="C31" s="162"/>
      <c r="D31" s="162"/>
      <c r="E31" s="162"/>
      <c r="F31" s="162"/>
      <c r="G31" s="162"/>
      <c r="H31" s="162"/>
      <c r="I31" s="162"/>
      <c r="J31" s="162"/>
      <c r="K31" s="162"/>
      <c r="L31" s="162"/>
      <c r="M31" s="162"/>
      <c r="N31" s="152"/>
      <c r="R31" s="40" t="s">
        <v>327</v>
      </c>
    </row>
    <row r="32" spans="1:18" ht="15" customHeight="1" x14ac:dyDescent="0.2">
      <c r="A32" s="132"/>
      <c r="B32" s="154" t="s">
        <v>736</v>
      </c>
      <c r="C32" s="150">
        <f ca="1">IF(ISNUMBER(FIND("ED only",$B$4)),SUMIFS(sum_range_dest,site_level_range_dest,LEFT($B$4,LEN($B$4)-10),date_range_dest,C30,inputdata!$F:$F,"ED"),SUMIFS(sum_range_dest,site_level_range_dest,$B$4,date_range_dest,C30))</f>
        <v>65117</v>
      </c>
      <c r="D32" s="150">
        <f ca="1">IF(ISNUMBER(FIND("ED only",$B$4)),SUMIFS(sum_range_dest,site_level_range_dest,LEFT($B$4,LEN($B$4)-10),date_range_dest,D30,inputdata!$F:$F,"ED"),SUMIFS(sum_range_dest,site_level_range_dest,$B$4,date_range_dest,D30))</f>
        <v>88614</v>
      </c>
      <c r="E32" s="150">
        <f ca="1">IF(ISNUMBER(FIND("ED only",$B$4)),SUMIFS(sum_range_dest,site_level_range_dest,LEFT($B$4,LEN($B$4)-10),date_range_dest,E30,inputdata!$F:$F,"ED"),SUMIFS(sum_range_dest,site_level_range_dest,$B$4,date_range_dest,E30))</f>
        <v>101231</v>
      </c>
      <c r="F32" s="150">
        <f ca="1">IF(ISNUMBER(FIND("ED only",$B$4)),SUMIFS(sum_range_dest,site_level_range_dest,LEFT($B$4,LEN($B$4)-10),date_range_dest,F30,inputdata!$F:$F,"ED"),SUMIFS(sum_range_dest,site_level_range_dest,$B$4,date_range_dest,F30))</f>
        <v>112185</v>
      </c>
      <c r="G32" s="150">
        <f ca="1">IF(ISNUMBER(FIND("ED only",$B$4)),SUMIFS(sum_range_dest,site_level_range_dest,LEFT($B$4,LEN($B$4)-10),date_range_dest,G30,inputdata!$F:$F,"ED"),SUMIFS(sum_range_dest,site_level_range_dest,$B$4,date_range_dest,G30))</f>
        <v>122741</v>
      </c>
      <c r="H32" s="150">
        <f ca="1">IF(ISNUMBER(FIND("ED only",$B$4)),SUMIFS(sum_range_dest,site_level_range_dest,LEFT($B$4,LEN($B$4)-10),date_range_dest,H30,inputdata!$F:$F,"ED"),SUMIFS(sum_range_dest,site_level_range_dest,$B$4,date_range_dest,H30))</f>
        <v>116230</v>
      </c>
      <c r="I32" s="150">
        <f ca="1">IF(ISNUMBER(FIND("ED only",$B$4)),SUMIFS(sum_range_dest,site_level_range_dest,LEFT($B$4,LEN($B$4)-10),date_range_dest,I30,inputdata!$F:$F,"ED"),SUMIFS(sum_range_dest,site_level_range_dest,$B$4,date_range_dest,I30))</f>
        <v>107406</v>
      </c>
      <c r="J32" s="150">
        <f ca="1">IF(ISNUMBER(FIND("ED only",$B$4)),SUMIFS(sum_range_dest,site_level_range_dest,LEFT($B$4,LEN($B$4)-10),date_range_dest,J30,inputdata!$F:$F,"ED"),SUMIFS(sum_range_dest,site_level_range_dest,$B$4,date_range_dest,J30))</f>
        <v>99798</v>
      </c>
      <c r="K32" s="150">
        <f ca="1">IF(ISNUMBER(FIND("ED only",$B$4)),SUMIFS(sum_range_dest,site_level_range_dest,LEFT($B$4,LEN($B$4)-10),date_range_dest,K30,inputdata!$F:$F,"ED"),SUMIFS(sum_range_dest,site_level_range_dest,$B$4,date_range_dest,K30))</f>
        <v>93475</v>
      </c>
      <c r="L32" s="150">
        <f ca="1">IF(ISNUMBER(FIND("ED only",$B$4)),SUMIFS(sum_range_dest,site_level_range_dest,LEFT($B$4,LEN($B$4)-10),date_range_dest,L30,inputdata!$F:$F,"ED"),SUMIFS(sum_range_dest,site_level_range_dest,$B$4,date_range_dest,L30))</f>
        <v>85571</v>
      </c>
      <c r="M32" s="150">
        <f ca="1">IF(ISNUMBER(FIND("ED only",$B$4)),SUMIFS(sum_range_dest,site_level_range_dest,LEFT($B$4,LEN($B$4)-10),date_range_dest,M30,inputdata!$F:$F,"ED"),SUMIFS(sum_range_dest,site_level_range_dest,$B$4,date_range_dest,M30))</f>
        <v>80476</v>
      </c>
      <c r="N32" s="159">
        <f ca="1">IF(ISNUMBER(FIND("ED only",$B$4)),SUMIFS(sum_range_dest,site_level_range_dest,LEFT($B$4,LEN($B$4)-10),date_range_dest,N30,inputdata!$F:$F,"ED"),SUMIFS(sum_range_dest,site_level_range_dest,$B$4,date_range_dest,N30))</f>
        <v>104108</v>
      </c>
      <c r="R32" s="40" t="s">
        <v>29</v>
      </c>
    </row>
    <row r="33" spans="1:18" ht="15" customHeight="1" x14ac:dyDescent="0.2">
      <c r="A33" s="132"/>
      <c r="B33" s="164" t="s">
        <v>737</v>
      </c>
      <c r="C33" s="162"/>
      <c r="D33" s="162"/>
      <c r="E33" s="162"/>
      <c r="F33" s="162"/>
      <c r="G33" s="162"/>
      <c r="H33" s="162"/>
      <c r="I33" s="162"/>
      <c r="J33" s="162"/>
      <c r="K33" s="162"/>
      <c r="L33" s="162"/>
      <c r="M33" s="162"/>
      <c r="N33" s="152"/>
      <c r="R33" s="40" t="s">
        <v>31</v>
      </c>
    </row>
    <row r="34" spans="1:18" ht="15" customHeight="1" x14ac:dyDescent="0.2">
      <c r="A34" s="132"/>
      <c r="B34" s="152" t="s">
        <v>736</v>
      </c>
      <c r="C34" s="147">
        <f ca="1">IF(ISNUMBER(FIND("ED only",$B$4)),SUMIFS(sum_total_epi_dest,site_level_range_dest,LEFT($B$4,LEN($B$4)-10),date_range_dest,C30,inputdata!$F:$F,"ED"),SUMIFS(sum_total_epi_dest,site_level_range_dest,$B$4,date_range_dest,C30))</f>
        <v>62876</v>
      </c>
      <c r="D34" s="147">
        <f ca="1">IF(ISNUMBER(FIND("ED only",$B$4)),SUMIFS(sum_total_epi_dest,site_level_range_dest,LEFT($B$4,LEN($B$4)-10),date_range_dest,D30,inputdata!$F:$F,"ED"),SUMIFS(sum_total_epi_dest,site_level_range_dest,$B$4,date_range_dest,D30))</f>
        <v>85594</v>
      </c>
      <c r="E34" s="147">
        <f ca="1">IF(ISNUMBER(FIND("ED only",$B$4)),SUMIFS(sum_total_epi_dest,site_level_range_dest,LEFT($B$4,LEN($B$4)-10),date_range_dest,E30,inputdata!$F:$F,"ED"),SUMIFS(sum_total_epi_dest,site_level_range_dest,$B$4,date_range_dest,E30))</f>
        <v>97847</v>
      </c>
      <c r="F34" s="147">
        <f ca="1">IF(ISNUMBER(FIND("ED only",$B$4)),SUMIFS(sum_total_epi_dest,site_level_range_dest,LEFT($B$4,LEN($B$4)-10),date_range_dest,F30,inputdata!$F:$F,"ED"),SUMIFS(sum_total_epi_dest,site_level_range_dest,$B$4,date_range_dest,F30))</f>
        <v>108068</v>
      </c>
      <c r="G34" s="147">
        <f ca="1">IF(ISNUMBER(FIND("ED only",$B$4)),SUMIFS(sum_total_epi_dest,site_level_range_dest,LEFT($B$4,LEN($B$4)-10),date_range_dest,G30,inputdata!$F:$F,"ED"),SUMIFS(sum_total_epi_dest,site_level_range_dest,$B$4,date_range_dest,G30))</f>
        <v>118035</v>
      </c>
      <c r="H34" s="147">
        <f ca="1">IF(ISNUMBER(FIND("ED only",$B$4)),SUMIFS(sum_total_epi_dest,site_level_range_dest,LEFT($B$4,LEN($B$4)-10),date_range_dest,H30,inputdata!$F:$F,"ED"),SUMIFS(sum_total_epi_dest,site_level_range_dest,$B$4,date_range_dest,H30))</f>
        <v>111922</v>
      </c>
      <c r="I34" s="147">
        <f ca="1">IF(ISNUMBER(FIND("ED only",$B$4)),SUMIFS(sum_total_epi_dest,site_level_range_dest,LEFT($B$4,LEN($B$4)-10),date_range_dest,I30,inputdata!$F:$F,"ED"),SUMIFS(sum_total_epi_dest,site_level_range_dest,$B$4,date_range_dest,I30))</f>
        <v>103273</v>
      </c>
      <c r="J34" s="147">
        <f ca="1">IF(ISNUMBER(FIND("ED only",$B$4)),SUMIFS(sum_total_epi_dest,site_level_range_dest,LEFT($B$4,LEN($B$4)-10),date_range_dest,J30,inputdata!$F:$F,"ED"),SUMIFS(sum_total_epi_dest,site_level_range_dest,$B$4,date_range_dest,J30))</f>
        <v>95995</v>
      </c>
      <c r="K34" s="147">
        <f ca="1">IF(ISNUMBER(FIND("ED only",$B$4)),SUMIFS(sum_total_epi_dest,site_level_range_dest,LEFT($B$4,LEN($B$4)-10),date_range_dest,K30,inputdata!$F:$F,"ED"),SUMIFS(sum_total_epi_dest,site_level_range_dest,$B$4,date_range_dest,K30))</f>
        <v>90005</v>
      </c>
      <c r="L34" s="147">
        <f ca="1">IF(ISNUMBER(FIND("ED only",$B$4)),SUMIFS(sum_total_epi_dest,site_level_range_dest,LEFT($B$4,LEN($B$4)-10),date_range_dest,L30,inputdata!$F:$F,"ED"),SUMIFS(sum_total_epi_dest,site_level_range_dest,$B$4,date_range_dest,L30))</f>
        <v>82761</v>
      </c>
      <c r="M34" s="147">
        <f ca="1">IF(ISNUMBER(FIND("ED only",$B$4)),SUMIFS(sum_total_epi_dest,site_level_range_dest,LEFT($B$4,LEN($B$4)-10),date_range_dest,M30,inputdata!$F:$F,"ED"),SUMIFS(sum_total_epi_dest,site_level_range_dest,$B$4,date_range_dest,M30))</f>
        <v>77778</v>
      </c>
      <c r="N34" s="156">
        <f ca="1">IF(ISNUMBER(FIND("ED only",$B$4)),SUMIFS(sum_total_epi_dest,site_level_range_dest,LEFT($B$4,LEN($B$4)-10),date_range_dest,N30,inputdata!$F:$F,"ED"),SUMIFS(sum_total_epi_dest,site_level_range_dest,$B$4,date_range_dest,N30))</f>
        <v>100939</v>
      </c>
      <c r="R34" s="40" t="s">
        <v>235</v>
      </c>
    </row>
    <row r="35" spans="1:18" ht="15" customHeight="1" x14ac:dyDescent="0.2">
      <c r="A35" s="132"/>
      <c r="B35" s="152" t="s">
        <v>738</v>
      </c>
      <c r="C35" s="147">
        <f ca="1">IF(334=0,"-",IF(ISNUMBER(FIND("ED only",$B$4)),SUMIFS(sum_dest_res,site_level_range_dest,LEFT($B$4,LEN($B$4)-10),date_range_dest,C30,inputdata!$F:$F,"ED"),SUMIFS(sum_dest_res,site_level_range_dest,$B$4,date_range_dest,C30)))</f>
        <v>40076</v>
      </c>
      <c r="D35" s="147">
        <f ca="1">IF(434=0,"-",IF(ISNUMBER(FIND("ED only",$B$4)),SUMIFS(sum_dest_res,site_level_range_dest,LEFT($B$4,LEN($B$4)-10),date_range_dest,D30,inputdata!$F:$F,"ED"),SUMIFS(sum_dest_res,site_level_range_dest,$B$4,date_range_dest,D30)))</f>
        <v>56608</v>
      </c>
      <c r="E35" s="147">
        <f ca="1">IF(534=0,"-",IF(ISNUMBER(FIND("ED only",$B$4)),SUMIFS(sum_dest_res,site_level_range_dest,LEFT($B$4,LEN($B$4)-10),date_range_dest,E30,inputdata!$F:$F,"ED"),SUMIFS(sum_dest_res,site_level_range_dest,$B$4,date_range_dest,E30)))</f>
        <v>66153</v>
      </c>
      <c r="F35" s="147">
        <f ca="1">IF(634=0,"-",IF(ISNUMBER(FIND("ED only",$B$4)),SUMIFS(sum_dest_res,site_level_range_dest,LEFT($B$4,LEN($B$4)-10),date_range_dest,F30,inputdata!$F:$F,"ED"),SUMIFS(sum_dest_res,site_level_range_dest,$B$4,date_range_dest,F30)))</f>
        <v>74251</v>
      </c>
      <c r="G35" s="147">
        <f ca="1">IF(734=0,"-",IF(ISNUMBER(FIND("ED only",$B$4)),SUMIFS(sum_dest_res,site_level_range_dest,LEFT($B$4,LEN($B$4)-10),date_range_dest,G30,inputdata!$F:$F,"ED"),SUMIFS(sum_dest_res,site_level_range_dest,$B$4,date_range_dest,G30)))</f>
        <v>82619</v>
      </c>
      <c r="H35" s="147">
        <f ca="1">IF(834=0,"-",IF(ISNUMBER(FIND("ED only",$B$4)),SUMIFS(sum_dest_res,site_level_range_dest,LEFT($B$4,LEN($B$4)-10),date_range_dest,H30,inputdata!$F:$F,"ED"),SUMIFS(sum_dest_res,site_level_range_dest,$B$4,date_range_dest,H30)))</f>
        <v>77850</v>
      </c>
      <c r="I35" s="147">
        <f ca="1">IF(934=0,"-",IF(ISNUMBER(FIND("ED only",$B$4)),SUMIFS(sum_dest_res,site_level_range_dest,LEFT($B$4,LEN($B$4)-10),date_range_dest,I30,inputdata!$F:$F,"ED"),SUMIFS(sum_dest_res,site_level_range_dest,$B$4,date_range_dest,I30)))</f>
        <v>69635</v>
      </c>
      <c r="J35" s="147">
        <f ca="1">IF(1034=0,"-",IF(ISNUMBER(FIND("ED only",$B$4)),SUMIFS(sum_dest_res,site_level_range_dest,LEFT($B$4,LEN($B$4)-10),date_range_dest,J30,inputdata!$F:$F,"ED"),SUMIFS(sum_dest_res,site_level_range_dest,$B$4,date_range_dest,J30)))</f>
        <v>64600</v>
      </c>
      <c r="K35" s="147">
        <f ca="1">IF(1134=0,"-",IF(ISNUMBER(FIND("ED only",$B$4)),SUMIFS(sum_dest_res,site_level_range_dest,LEFT($B$4,LEN($B$4)-10),date_range_dest,K30,inputdata!$F:$F,"ED"),SUMIFS(sum_dest_res,site_level_range_dest,$B$4,date_range_dest,K30)))</f>
        <v>58877</v>
      </c>
      <c r="L35" s="147">
        <f ca="1">IF(1234=0,"-",IF(ISNUMBER(FIND("ED only",$B$4)),SUMIFS(sum_dest_res,site_level_range_dest,LEFT($B$4,LEN($B$4)-10),date_range_dest,L30,inputdata!$F:$F,"ED"),SUMIFS(sum_dest_res,site_level_range_dest,$B$4,date_range_dest,L30)))</f>
        <v>52668</v>
      </c>
      <c r="M35" s="147">
        <f ca="1">IF(1334=0,"-",IF(ISNUMBER(FIND("ED only",$B$4)),SUMIFS(sum_dest_res,site_level_range_dest,LEFT($B$4,LEN($B$4)-10),date_range_dest,M30,inputdata!$F:$F,"ED"),SUMIFS(sum_dest_res,site_level_range_dest,$B$4,date_range_dest,M30)))</f>
        <v>49525</v>
      </c>
      <c r="N35" s="156">
        <f ca="1">IF(1434=0,"-",IF(ISNUMBER(FIND("ED only",$B$4)),SUMIFS(sum_dest_res,site_level_range_dest,LEFT($B$4,LEN($B$4)-10),date_range_dest,N30,inputdata!$F:$F,"ED"),SUMIFS(sum_dest_res,site_level_range_dest,$B$4,date_range_dest,N30)))</f>
        <v>66604</v>
      </c>
      <c r="R35" s="40" t="s">
        <v>30</v>
      </c>
    </row>
    <row r="36" spans="1:18" ht="15" customHeight="1" x14ac:dyDescent="0.2">
      <c r="A36" s="132"/>
      <c r="B36" s="152" t="s">
        <v>739</v>
      </c>
      <c r="C36" s="147">
        <f ca="1">IF(334=0,"-",IF(ISNUMBER(FIND("ED only",$B$4)),SUMIFS(sum_dest_adm,site_level_range_dest,LEFT($B$4,LEN($B$4)-10),date_range_dest,C30,inputdata!$F:$F,"ED"),SUMIFS(sum_dest_adm,site_level_range_dest,$B$4,date_range_dest,C30)))</f>
        <v>20882</v>
      </c>
      <c r="D36" s="147">
        <f ca="1">IF(434=0,"-",IF(ISNUMBER(FIND("ED only",$B$4)),SUMIFS(sum_dest_adm,site_level_range_dest,LEFT($B$4,LEN($B$4)-10),date_range_dest,D30,inputdata!$F:$F,"ED"),SUMIFS(sum_dest_adm,site_level_range_dest,$B$4,date_range_dest,D30)))</f>
        <v>26152</v>
      </c>
      <c r="E36" s="147">
        <f ca="1">IF(534=0,"-",IF(ISNUMBER(FIND("ED only",$B$4)),SUMIFS(sum_dest_adm,site_level_range_dest,LEFT($B$4,LEN($B$4)-10),date_range_dest,E30,inputdata!$F:$F,"ED"),SUMIFS(sum_dest_adm,site_level_range_dest,$B$4,date_range_dest,E30)))</f>
        <v>28324</v>
      </c>
      <c r="F36" s="147">
        <f ca="1">IF(634=0,"-",IF(ISNUMBER(FIND("ED only",$B$4)),SUMIFS(sum_dest_adm,site_level_range_dest,LEFT($B$4,LEN($B$4)-10),date_range_dest,F30,inputdata!$F:$F,"ED"),SUMIFS(sum_dest_adm,site_level_range_dest,$B$4,date_range_dest,F30)))</f>
        <v>30099</v>
      </c>
      <c r="G36" s="147">
        <f ca="1">IF(734=0,"-",IF(ISNUMBER(FIND("ED only",$B$4)),SUMIFS(sum_dest_adm,site_level_range_dest,LEFT($B$4,LEN($B$4)-10),date_range_dest,G30,inputdata!$F:$F,"ED"),SUMIFS(sum_dest_adm,site_level_range_dest,$B$4,date_range_dest,G30)))</f>
        <v>31156</v>
      </c>
      <c r="H36" s="147">
        <f ca="1">IF(834=0,"-",IF(ISNUMBER(FIND("ED only",$B$4)),SUMIFS(sum_dest_adm,site_level_range_dest,LEFT($B$4,LEN($B$4)-10),date_range_dest,H30,inputdata!$F:$F,"ED"),SUMIFS(sum_dest_adm,site_level_range_dest,$B$4,date_range_dest,H30)))</f>
        <v>30110</v>
      </c>
      <c r="I36" s="147">
        <f ca="1">IF(934=0,"-",IF(ISNUMBER(FIND("ED only",$B$4)),SUMIFS(sum_dest_adm,site_level_range_dest,LEFT($B$4,LEN($B$4)-10),date_range_dest,I30,inputdata!$F:$F,"ED"),SUMIFS(sum_dest_adm,site_level_range_dest,$B$4,date_range_dest,I30)))</f>
        <v>30152</v>
      </c>
      <c r="J36" s="147">
        <f ca="1">IF(1034=0,"-",IF(ISNUMBER(FIND("ED only",$B$4)),SUMIFS(sum_dest_adm,site_level_range_dest,LEFT($B$4,LEN($B$4)-10),date_range_dest,J30,inputdata!$F:$F,"ED"),SUMIFS(sum_dest_adm,site_level_range_dest,$B$4,date_range_dest,J30)))</f>
        <v>28246</v>
      </c>
      <c r="K36" s="147">
        <f ca="1">IF(1134=0,"-",IF(ISNUMBER(FIND("ED only",$B$4)),SUMIFS(sum_dest_adm,site_level_range_dest,LEFT($B$4,LEN($B$4)-10),date_range_dest,K30,inputdata!$F:$F,"ED"),SUMIFS(sum_dest_adm,site_level_range_dest,$B$4,date_range_dest,K30)))</f>
        <v>27952</v>
      </c>
      <c r="L36" s="147">
        <f ca="1">IF(1234=0,"-",IF(ISNUMBER(FIND("ED only",$B$4)),SUMIFS(sum_dest_adm,site_level_range_dest,LEFT($B$4,LEN($B$4)-10),date_range_dest,L30,inputdata!$F:$F,"ED"),SUMIFS(sum_dest_adm,site_level_range_dest,$B$4,date_range_dest,L30)))</f>
        <v>27227</v>
      </c>
      <c r="M36" s="147">
        <f ca="1">IF(1334=0,"-",IF(ISNUMBER(FIND("ED only",$B$4)),SUMIFS(sum_dest_adm,site_level_range_dest,LEFT($B$4,LEN($B$4)-10),date_range_dest,M30,inputdata!$F:$F,"ED"),SUMIFS(sum_dest_adm,site_level_range_dest,$B$4,date_range_dest,M30)))</f>
        <v>25347</v>
      </c>
      <c r="N36" s="156">
        <f ca="1">IF(1434=0,"-",IF(ISNUMBER(FIND("ED only",$B$4)),SUMIFS(sum_dest_adm,site_level_range_dest,LEFT($B$4,LEN($B$4)-10),date_range_dest,N30,inputdata!$F:$F,"ED"),SUMIFS(sum_dest_adm,site_level_range_dest,$B$4,date_range_dest,N30)))</f>
        <v>30680</v>
      </c>
      <c r="P36" s="59"/>
      <c r="R36" s="40" t="s">
        <v>97</v>
      </c>
    </row>
    <row r="37" spans="1:18" ht="15" customHeight="1" x14ac:dyDescent="0.2">
      <c r="A37" s="132"/>
      <c r="B37" s="152" t="s">
        <v>740</v>
      </c>
      <c r="C37" s="147">
        <f ca="1">IF(334=0,"-",IF(ISNUMBER(FIND("ED only",$B$4)),SUMIFS(sum_dest_tran,site_level_range_dest,LEFT($B$4,LEN($B$4)-10),date_range_dest,C30,inputdata!$F:$F,"ED"),SUMIFS(sum_dest_tran,site_level_range_dest,$B$4,date_range_dest,C30)))</f>
        <v>984</v>
      </c>
      <c r="D37" s="147">
        <f ca="1">IF(434=0,"-",IF(ISNUMBER(FIND("ED only",$B$4)),SUMIFS(sum_dest_tran,site_level_range_dest,LEFT($B$4,LEN($B$4)-10),date_range_dest,D30,inputdata!$F:$F,"ED"),SUMIFS(sum_dest_tran,site_level_range_dest,$B$4,date_range_dest,D30)))</f>
        <v>1416</v>
      </c>
      <c r="E37" s="147">
        <f ca="1">IF(534=0,"-",IF(ISNUMBER(FIND("ED only",$B$4)),SUMIFS(sum_dest_tran,site_level_range_dest,LEFT($B$4,LEN($B$4)-10),date_range_dest,E30,inputdata!$F:$F,"ED"),SUMIFS(sum_dest_tran,site_level_range_dest,$B$4,date_range_dest,E30)))</f>
        <v>1659</v>
      </c>
      <c r="F37" s="147">
        <f ca="1">IF(634=0,"-",IF(ISNUMBER(FIND("ED only",$B$4)),SUMIFS(sum_dest_tran,site_level_range_dest,LEFT($B$4,LEN($B$4)-10),date_range_dest,F30,inputdata!$F:$F,"ED"),SUMIFS(sum_dest_tran,site_level_range_dest,$B$4,date_range_dest,F30)))</f>
        <v>1785</v>
      </c>
      <c r="G37" s="147">
        <f ca="1">IF(734=0,"-",IF(ISNUMBER(FIND("ED only",$B$4)),SUMIFS(sum_dest_tran,site_level_range_dest,LEFT($B$4,LEN($B$4)-10),date_range_dest,G30,inputdata!$F:$F,"ED"),SUMIFS(sum_dest_tran,site_level_range_dest,$B$4,date_range_dest,G30)))</f>
        <v>2033</v>
      </c>
      <c r="H37" s="147">
        <f ca="1">IF(834=0,"-",IF(ISNUMBER(FIND("ED only",$B$4)),SUMIFS(sum_dest_tran,site_level_range_dest,LEFT($B$4,LEN($B$4)-10),date_range_dest,H30,inputdata!$F:$F,"ED"),SUMIFS(sum_dest_tran,site_level_range_dest,$B$4,date_range_dest,H30)))</f>
        <v>1960</v>
      </c>
      <c r="I37" s="147">
        <f ca="1">IF(934=0,"-",IF(ISNUMBER(FIND("ED only",$B$4)),SUMIFS(sum_dest_tran,site_level_range_dest,LEFT($B$4,LEN($B$4)-10),date_range_dest,I30,inputdata!$F:$F,"ED"),SUMIFS(sum_dest_tran,site_level_range_dest,$B$4,date_range_dest,I30)))</f>
        <v>1886</v>
      </c>
      <c r="J37" s="147">
        <f ca="1">IF(1034=0,"-",IF(ISNUMBER(FIND("ED only",$B$4)),SUMIFS(sum_dest_tran,site_level_range_dest,LEFT($B$4,LEN($B$4)-10),date_range_dest,J30,inputdata!$F:$F,"ED"),SUMIFS(sum_dest_tran,site_level_range_dest,$B$4,date_range_dest,J30)))</f>
        <v>1683</v>
      </c>
      <c r="K37" s="147">
        <f ca="1">IF(1134=0,"-",IF(ISNUMBER(FIND("ED only",$B$4)),SUMIFS(sum_dest_tran,site_level_range_dest,LEFT($B$4,LEN($B$4)-10),date_range_dest,K30,inputdata!$F:$F,"ED"),SUMIFS(sum_dest_tran,site_level_range_dest,$B$4,date_range_dest,K30)))</f>
        <v>1511</v>
      </c>
      <c r="L37" s="147">
        <f ca="1">IF(1234=0,"-",IF(ISNUMBER(FIND("ED only",$B$4)),SUMIFS(sum_dest_tran,site_level_range_dest,LEFT($B$4,LEN($B$4)-10),date_range_dest,L30,inputdata!$F:$F,"ED"),SUMIFS(sum_dest_tran,site_level_range_dest,$B$4,date_range_dest,L30)))</f>
        <v>1449</v>
      </c>
      <c r="M37" s="147">
        <f ca="1">IF(1334=0,"-",IF(ISNUMBER(FIND("ED only",$B$4)),SUMIFS(sum_dest_tran,site_level_range_dest,LEFT($B$4,LEN($B$4)-10),date_range_dest,M30,inputdata!$F:$F,"ED"),SUMIFS(sum_dest_tran,site_level_range_dest,$B$4,date_range_dest,M30)))</f>
        <v>1386</v>
      </c>
      <c r="N37" s="156">
        <f ca="1">IF(1434=0,"-",IF(ISNUMBER(FIND("ED only",$B$4)),SUMIFS(sum_dest_tran,site_level_range_dest,LEFT($B$4,LEN($B$4)-10),date_range_dest,N30,inputdata!$F:$F,"ED"),SUMIFS(sum_dest_tran,site_level_range_dest,$B$4,date_range_dest,N30)))</f>
        <v>1581</v>
      </c>
      <c r="P37" s="59"/>
      <c r="R37" s="40" t="s">
        <v>328</v>
      </c>
    </row>
    <row r="38" spans="1:18" ht="15" customHeight="1" x14ac:dyDescent="0.2">
      <c r="A38" s="132"/>
      <c r="B38" s="152" t="s">
        <v>741</v>
      </c>
      <c r="C38" s="147">
        <f ca="1">IF(334=0,"-",IF(ISNUMBER(FIND("ED only",$B$4)),SUMIFS(sum_dest_other,site_level_range_dest,LEFT($B$4,LEN($B$4)-10),date_range_dest,C30,inputdata!$F:$F,"ED"),SUMIFS(sum_dest_other,site_level_range_dest,$B$4,date_range_dest,C30)))</f>
        <v>118</v>
      </c>
      <c r="D38" s="147">
        <f ca="1">IF(434=0,"-",IF(ISNUMBER(FIND("ED only",$B$4)),SUMIFS(sum_dest_other,site_level_range_dest,LEFT($B$4,LEN($B$4)-10),date_range_dest,D30,inputdata!$F:$F,"ED"),SUMIFS(sum_dest_other,site_level_range_dest,$B$4,date_range_dest,D30)))</f>
        <v>136</v>
      </c>
      <c r="E38" s="147">
        <f ca="1">IF(534=0,"-",IF(ISNUMBER(FIND("ED only",$B$4)),SUMIFS(sum_dest_other,site_level_range_dest,LEFT($B$4,LEN($B$4)-10),date_range_dest,E30,inputdata!$F:$F,"ED"),SUMIFS(sum_dest_other,site_level_range_dest,$B$4,date_range_dest,E30)))</f>
        <v>123</v>
      </c>
      <c r="F38" s="147">
        <f ca="1">IF(634=0,"-",IF(ISNUMBER(FIND("ED only",$B$4)),SUMIFS(sum_dest_other,site_level_range_dest,LEFT($B$4,LEN($B$4)-10),date_range_dest,F30,inputdata!$F:$F,"ED"),SUMIFS(sum_dest_other,site_level_range_dest,$B$4,date_range_dest,F30)))</f>
        <v>133</v>
      </c>
      <c r="G38" s="147">
        <f ca="1">IF(734=0,"-",IF(ISNUMBER(FIND("ED only",$B$4)),SUMIFS(sum_dest_other,site_level_range_dest,LEFT($B$4,LEN($B$4)-10),date_range_dest,G30,inputdata!$F:$F,"ED"),SUMIFS(sum_dest_other,site_level_range_dest,$B$4,date_range_dest,G30)))</f>
        <v>124</v>
      </c>
      <c r="H38" s="147">
        <f ca="1">IF(834=0,"-",IF(ISNUMBER(FIND("ED only",$B$4)),SUMIFS(sum_dest_other,site_level_range_dest,LEFT($B$4,LEN($B$4)-10),date_range_dest,H30,inputdata!$F:$F,"ED"),SUMIFS(sum_dest_other,site_level_range_dest,$B$4,date_range_dest,H30)))</f>
        <v>139</v>
      </c>
      <c r="I38" s="147">
        <f ca="1">IF(934=0,"-",IF(ISNUMBER(FIND("ED only",$B$4)),SUMIFS(sum_dest_other,site_level_range_dest,LEFT($B$4,LEN($B$4)-10),date_range_dest,I30,inputdata!$F:$F,"ED"),SUMIFS(sum_dest_other,site_level_range_dest,$B$4,date_range_dest,I30)))</f>
        <v>172</v>
      </c>
      <c r="J38" s="147">
        <f ca="1">IF(1034=0,"-",IF(ISNUMBER(FIND("ED only",$B$4)),SUMIFS(sum_dest_other,site_level_range_dest,LEFT($B$4,LEN($B$4)-10),date_range_dest,J30,inputdata!$F:$F,"ED"),SUMIFS(sum_dest_other,site_level_range_dest,$B$4,date_range_dest,J30)))</f>
        <v>132</v>
      </c>
      <c r="K38" s="147">
        <f ca="1">IF(1134=0,"-",IF(ISNUMBER(FIND("ED only",$B$4)),SUMIFS(sum_dest_other,site_level_range_dest,LEFT($B$4,LEN($B$4)-10),date_range_dest,K30,inputdata!$F:$F,"ED"),SUMIFS(sum_dest_other,site_level_range_dest,$B$4,date_range_dest,K30)))</f>
        <v>179</v>
      </c>
      <c r="L38" s="147">
        <f ca="1">IF(1234=0,"-",IF(ISNUMBER(FIND("ED only",$B$4)),SUMIFS(sum_dest_other,site_level_range_dest,LEFT($B$4,LEN($B$4)-10),date_range_dest,L30,inputdata!$F:$F,"ED"),SUMIFS(sum_dest_other,site_level_range_dest,$B$4,date_range_dest,L30)))</f>
        <v>171</v>
      </c>
      <c r="M38" s="147">
        <f ca="1">IF(1334=0,"-",IF(ISNUMBER(FIND("ED only",$B$4)),SUMIFS(sum_dest_other,site_level_range_dest,LEFT($B$4,LEN($B$4)-10),date_range_dest,M30,inputdata!$F:$F,"ED"),SUMIFS(sum_dest_other,site_level_range_dest,$B$4,date_range_dest,M30)))</f>
        <v>142</v>
      </c>
      <c r="N38" s="156">
        <f ca="1">IF(1434=0,"-",IF(ISNUMBER(FIND("ED only",$B$4)),SUMIFS(sum_dest_other,site_level_range_dest,LEFT($B$4,LEN($B$4)-10),date_range_dest,N30,inputdata!$F:$F,"ED"),SUMIFS(sum_dest_other,site_level_range_dest,$B$4,date_range_dest,N30)))</f>
        <v>130</v>
      </c>
      <c r="P38" s="59"/>
      <c r="R38" s="40" t="s">
        <v>33</v>
      </c>
    </row>
    <row r="39" spans="1:18" ht="15" customHeight="1" x14ac:dyDescent="0.2">
      <c r="A39" s="132"/>
      <c r="B39" s="154" t="s">
        <v>742</v>
      </c>
      <c r="C39" s="150">
        <f ca="1">IF(334=0,"-",IF(ISNUMBER(FIND("ED only",$B$4)),SUMIFS(sum_dest_unknown,site_level_range_dest,LEFT($B$4,LEN($B$4)-10),date_range_dest,C30,inputdata!$F:$F,"ED"),SUMIFS(sum_dest_unknown,site_level_range_dest,$B$4,date_range_dest,C30)))</f>
        <v>816</v>
      </c>
      <c r="D39" s="150">
        <f ca="1">IF(434=0,"-",IF(ISNUMBER(FIND("ED only",$B$4)),SUMIFS(sum_dest_unknown,site_level_range_dest,LEFT($B$4,LEN($B$4)-10),date_range_dest,D30,inputdata!$F:$F,"ED"),SUMIFS(sum_dest_unknown,site_level_range_dest,$B$4,date_range_dest,D30)))</f>
        <v>1282</v>
      </c>
      <c r="E39" s="150">
        <f ca="1">IF(534=0,"-",IF(ISNUMBER(FIND("ED only",$B$4)),SUMIFS(sum_dest_unknown,site_level_range_dest,LEFT($B$4,LEN($B$4)-10),date_range_dest,E30,inputdata!$F:$F,"ED"),SUMIFS(sum_dest_unknown,site_level_range_dest,$B$4,date_range_dest,E30)))</f>
        <v>1588</v>
      </c>
      <c r="F39" s="150">
        <f ca="1">IF(634=0,"-",IF(ISNUMBER(FIND("ED only",$B$4)),SUMIFS(sum_dest_unknown,site_level_range_dest,LEFT($B$4,LEN($B$4)-10),date_range_dest,F30,inputdata!$F:$F,"ED"),SUMIFS(sum_dest_unknown,site_level_range_dest,$B$4,date_range_dest,F30)))</f>
        <v>1800</v>
      </c>
      <c r="G39" s="150">
        <f ca="1">IF(734=0,"-",IF(ISNUMBER(FIND("ED only",$B$4)),SUMIFS(sum_dest_unknown,site_level_range_dest,LEFT($B$4,LEN($B$4)-10),date_range_dest,G30,inputdata!$F:$F,"ED"),SUMIFS(sum_dest_unknown,site_level_range_dest,$B$4,date_range_dest,G30)))</f>
        <v>2103</v>
      </c>
      <c r="H39" s="150">
        <f ca="1">IF(834=0,"-",IF(ISNUMBER(FIND("ED only",$B$4)),SUMIFS(sum_dest_unknown,site_level_range_dest,LEFT($B$4,LEN($B$4)-10),date_range_dest,H30,inputdata!$F:$F,"ED"),SUMIFS(sum_dest_unknown,site_level_range_dest,$B$4,date_range_dest,H30)))</f>
        <v>1863</v>
      </c>
      <c r="I39" s="150">
        <f ca="1">IF(934=0,"-",IF(ISNUMBER(FIND("ED only",$B$4)),SUMIFS(sum_dest_unknown,site_level_range_dest,LEFT($B$4,LEN($B$4)-10),date_range_dest,I30,inputdata!$F:$F,"ED"),SUMIFS(sum_dest_unknown,site_level_range_dest,$B$4,date_range_dest,I30)))</f>
        <v>1428</v>
      </c>
      <c r="J39" s="150">
        <f ca="1">IF(1034=0,"-",IF(ISNUMBER(FIND("ED only",$B$4)),SUMIFS(sum_dest_unknown,site_level_range_dest,LEFT($B$4,LEN($B$4)-10),date_range_dest,J30,inputdata!$F:$F,"ED"),SUMIFS(sum_dest_unknown,site_level_range_dest,$B$4,date_range_dest,J30)))</f>
        <v>1334</v>
      </c>
      <c r="K39" s="150">
        <f ca="1">IF(1134=0,"-",IF(ISNUMBER(FIND("ED only",$B$4)),SUMIFS(sum_dest_unknown,site_level_range_dest,LEFT($B$4,LEN($B$4)-10),date_range_dest,K30,inputdata!$F:$F,"ED"),SUMIFS(sum_dest_unknown,site_level_range_dest,$B$4,date_range_dest,K30)))</f>
        <v>1486</v>
      </c>
      <c r="L39" s="150">
        <f ca="1">IF(1234=0,"-",IF(ISNUMBER(FIND("ED only",$B$4)),SUMIFS(sum_dest_unknown,site_level_range_dest,LEFT($B$4,LEN($B$4)-10),date_range_dest,L30,inputdata!$F:$F,"ED"),SUMIFS(sum_dest_unknown,site_level_range_dest,$B$4,date_range_dest,L30)))</f>
        <v>1246</v>
      </c>
      <c r="M39" s="150">
        <f ca="1">IF(1334=0,"-",IF(ISNUMBER(FIND("ED only",$B$4)),SUMIFS(sum_dest_unknown,site_level_range_dest,LEFT($B$4,LEN($B$4)-10),date_range_dest,M30,inputdata!$F:$F,"ED"),SUMIFS(sum_dest_unknown,site_level_range_dest,$B$4,date_range_dest,M30)))</f>
        <v>1378</v>
      </c>
      <c r="N39" s="159">
        <f ca="1">IF(1434=0,"-",IF(ISNUMBER(FIND("ED only",$B$4)),SUMIFS(sum_dest_unknown,site_level_range_dest,LEFT($B$4,LEN($B$4)-10),date_range_dest,N30,inputdata!$F:$F,"ED"),SUMIFS(sum_dest_unknown,site_level_range_dest,$B$4,date_range_dest,N30)))</f>
        <v>1944</v>
      </c>
      <c r="P39" s="59"/>
      <c r="R39" s="40" t="s">
        <v>238</v>
      </c>
    </row>
    <row r="40" spans="1:18" ht="13.5" customHeight="1" x14ac:dyDescent="0.2">
      <c r="B40" s="127"/>
      <c r="C40" s="127"/>
      <c r="D40" s="127"/>
      <c r="E40" s="127"/>
      <c r="F40" s="127"/>
      <c r="G40" s="127"/>
      <c r="H40" s="127"/>
      <c r="I40" s="127"/>
      <c r="J40" s="127"/>
      <c r="K40" s="127"/>
      <c r="L40" s="127"/>
      <c r="M40" s="127"/>
      <c r="N40" s="127"/>
      <c r="P40" s="59"/>
      <c r="R40" s="40" t="s">
        <v>329</v>
      </c>
    </row>
    <row r="41" spans="1:18" ht="15" customHeight="1" x14ac:dyDescent="0.25">
      <c r="A41" s="132"/>
      <c r="B41" s="153" t="str">
        <f>IF(ISNUMBER(FIND("ED only",$B$4)),"2019/2020 (ED Only)","2019/2020")</f>
        <v>2019/2020</v>
      </c>
      <c r="C41" s="149">
        <v>43585</v>
      </c>
      <c r="D41" s="149">
        <v>43616</v>
      </c>
      <c r="E41" s="149">
        <v>43646</v>
      </c>
      <c r="F41" s="149">
        <v>43677</v>
      </c>
      <c r="G41" s="149">
        <v>43708</v>
      </c>
      <c r="H41" s="149">
        <v>43738</v>
      </c>
      <c r="I41" s="149">
        <v>43769</v>
      </c>
      <c r="J41" s="149">
        <v>43799</v>
      </c>
      <c r="K41" s="149">
        <v>43830</v>
      </c>
      <c r="L41" s="149">
        <v>43861</v>
      </c>
      <c r="M41" s="149">
        <v>43890</v>
      </c>
      <c r="N41" s="158">
        <v>43921</v>
      </c>
      <c r="R41" s="40" t="s">
        <v>236</v>
      </c>
    </row>
    <row r="42" spans="1:18" ht="15" customHeight="1" x14ac:dyDescent="0.2">
      <c r="A42" s="132"/>
      <c r="B42" s="164" t="s">
        <v>735</v>
      </c>
      <c r="C42" s="162"/>
      <c r="D42" s="162"/>
      <c r="E42" s="162"/>
      <c r="F42" s="162"/>
      <c r="G42" s="162"/>
      <c r="H42" s="162"/>
      <c r="I42" s="162"/>
      <c r="J42" s="162"/>
      <c r="K42" s="162"/>
      <c r="L42" s="162"/>
      <c r="M42" s="162"/>
      <c r="N42" s="152"/>
      <c r="R42" s="40" t="s">
        <v>200</v>
      </c>
    </row>
    <row r="43" spans="1:18" ht="15" customHeight="1" x14ac:dyDescent="0.2">
      <c r="A43" s="132"/>
      <c r="B43" s="154" t="s">
        <v>736</v>
      </c>
      <c r="C43" s="150">
        <f ca="1">IF(ISNUMBER(FIND("ED only",$B$4)),SUMIFS(sum_range_dest,site_level_range_dest,LEFT($B$4,LEN($B$4)-10),date_range_dest,C41,inputdata!$F:$F,"ED"),SUMIFS(sum_range_dest,site_level_range_dest,$B$4,date_range_dest,C41))</f>
        <v>145340</v>
      </c>
      <c r="D43" s="150">
        <f ca="1">IF(ISNUMBER(FIND("ED only",$B$4)),SUMIFS(sum_range_dest,site_level_range_dest,LEFT($B$4,LEN($B$4)-10),date_range_dest,D41,inputdata!$F:$F,"ED"),SUMIFS(sum_range_dest,site_level_range_dest,$B$4,date_range_dest,D41))</f>
        <v>150714</v>
      </c>
      <c r="E43" s="150">
        <f ca="1">IF(ISNUMBER(FIND("ED only",$B$4)),SUMIFS(sum_range_dest,site_level_range_dest,LEFT($B$4,LEN($B$4)-10),date_range_dest,E41,inputdata!$F:$F,"ED"),SUMIFS(sum_range_dest,site_level_range_dest,$B$4,date_range_dest,E41))</f>
        <v>147627</v>
      </c>
      <c r="F43" s="150">
        <f ca="1">IF(ISNUMBER(FIND("ED only",$B$4)),SUMIFS(sum_range_dest,site_level_range_dest,LEFT($B$4,LEN($B$4)-10),date_range_dest,F41,inputdata!$F:$F,"ED"),SUMIFS(sum_range_dest,site_level_range_dest,$B$4,date_range_dest,F41))</f>
        <v>150701</v>
      </c>
      <c r="G43" s="150">
        <f ca="1">IF(ISNUMBER(FIND("ED only",$B$4)),SUMIFS(sum_range_dest,site_level_range_dest,LEFT($B$4,LEN($B$4)-10),date_range_dest,G41,inputdata!$F:$F,"ED"),SUMIFS(sum_range_dest,site_level_range_dest,$B$4,date_range_dest,G41))</f>
        <v>152514</v>
      </c>
      <c r="H43" s="150">
        <f ca="1">IF(ISNUMBER(FIND("ED only",$B$4)),SUMIFS(sum_range_dest,site_level_range_dest,LEFT($B$4,LEN($B$4)-10),date_range_dest,H41,inputdata!$F:$F,"ED"),SUMIFS(sum_range_dest,site_level_range_dest,$B$4,date_range_dest,H41))</f>
        <v>150908</v>
      </c>
      <c r="I43" s="150">
        <f ca="1">IF(ISNUMBER(FIND("ED only",$B$4)),SUMIFS(sum_range_dest,site_level_range_dest,LEFT($B$4,LEN($B$4)-10),date_range_dest,I41,inputdata!$F:$F,"ED"),SUMIFS(sum_range_dest,site_level_range_dest,$B$4,date_range_dest,I41))</f>
        <v>146068</v>
      </c>
      <c r="J43" s="150">
        <f ca="1">IF(ISNUMBER(FIND("ED only",$B$4)),SUMIFS(sum_range_dest,site_level_range_dest,LEFT($B$4,LEN($B$4)-10),date_range_dest,J41,inputdata!$F:$F,"ED"),SUMIFS(sum_range_dest,site_level_range_dest,$B$4,date_range_dest,J41))</f>
        <v>141973</v>
      </c>
      <c r="K43" s="150">
        <f ca="1">IF(ISNUMBER(FIND("ED only",$B$4)),SUMIFS(sum_range_dest,site_level_range_dest,LEFT($B$4,LEN($B$4)-10),date_range_dest,K41,inputdata!$F:$F,"ED"),SUMIFS(sum_range_dest,site_level_range_dest,$B$4,date_range_dest,K41))</f>
        <v>141418</v>
      </c>
      <c r="L43" s="150">
        <f ca="1">IF(ISNUMBER(FIND("ED only",$B$4)),SUMIFS(sum_range_dest,site_level_range_dest,LEFT($B$4,LEN($B$4)-10),date_range_dest,L41,inputdata!$F:$F,"ED"),SUMIFS(sum_range_dest,site_level_range_dest,$B$4,date_range_dest,L41))</f>
        <v>138725</v>
      </c>
      <c r="M43" s="150">
        <f ca="1">IF(ISNUMBER(FIND("ED only",$B$4)),SUMIFS(sum_range_dest,site_level_range_dest,LEFT($B$4,LEN($B$4)-10),date_range_dest,M41,inputdata!$F:$F,"ED"),SUMIFS(sum_range_dest,site_level_range_dest,$B$4,date_range_dest,M41))</f>
        <v>128341</v>
      </c>
      <c r="N43" s="159">
        <f ca="1">IF(ISNUMBER(FIND("ED only",$B$4)),SUMIFS(sum_range_dest,site_level_range_dest,LEFT($B$4,LEN($B$4)-10),date_range_dest,N41,inputdata!$F:$F,"ED"),SUMIFS(sum_range_dest,site_level_range_dest,$B$4,date_range_dest,N41))</f>
        <v>101225</v>
      </c>
      <c r="R43" s="40" t="s">
        <v>330</v>
      </c>
    </row>
    <row r="44" spans="1:18" ht="15" customHeight="1" x14ac:dyDescent="0.2">
      <c r="A44" s="132"/>
      <c r="B44" s="164" t="s">
        <v>737</v>
      </c>
      <c r="C44" s="162"/>
      <c r="D44" s="162"/>
      <c r="E44" s="162"/>
      <c r="F44" s="162"/>
      <c r="G44" s="162"/>
      <c r="H44" s="162"/>
      <c r="I44" s="162"/>
      <c r="J44" s="162"/>
      <c r="K44" s="162"/>
      <c r="L44" s="162"/>
      <c r="M44" s="162"/>
      <c r="N44" s="152"/>
      <c r="R44" s="40" t="s">
        <v>239</v>
      </c>
    </row>
    <row r="45" spans="1:18" ht="15" customHeight="1" x14ac:dyDescent="0.2">
      <c r="A45" s="132"/>
      <c r="B45" s="152" t="s">
        <v>736</v>
      </c>
      <c r="C45" s="147">
        <f ca="1">IF(ISNUMBER(FIND("ED only",$B$4)),SUMIFS(sum_total_epi_dest,site_level_range_dest,LEFT($B$4,LEN($B$4)-10),date_range_dest,C41,inputdata!$F:$F,"ED"),SUMIFS(sum_total_epi_dest,site_level_range_dest,$B$4,date_range_dest,C41))</f>
        <v>137544</v>
      </c>
      <c r="D45" s="147">
        <f ca="1">IF(ISNUMBER(FIND("ED only",$B$4)),SUMIFS(sum_total_epi_dest,site_level_range_dest,LEFT($B$4,LEN($B$4)-10),date_range_dest,D41,inputdata!$F:$F,"ED"),SUMIFS(sum_total_epi_dest,site_level_range_dest,$B$4,date_range_dest,D41))</f>
        <v>142439</v>
      </c>
      <c r="E45" s="147">
        <f ca="1">IF(ISNUMBER(FIND("ED only",$B$4)),SUMIFS(sum_total_epi_dest,site_level_range_dest,LEFT($B$4,LEN($B$4)-10),date_range_dest,E41,inputdata!$F:$F,"ED"),SUMIFS(sum_total_epi_dest,site_level_range_dest,$B$4,date_range_dest,E41))</f>
        <v>139376</v>
      </c>
      <c r="F45" s="147">
        <f ca="1">IF(ISNUMBER(FIND("ED only",$B$4)),SUMIFS(sum_total_epi_dest,site_level_range_dest,LEFT($B$4,LEN($B$4)-10),date_range_dest,F41,inputdata!$F:$F,"ED"),SUMIFS(sum_total_epi_dest,site_level_range_dest,$B$4,date_range_dest,F41))</f>
        <v>141769</v>
      </c>
      <c r="G45" s="147">
        <f ca="1">IF(ISNUMBER(FIND("ED only",$B$4)),SUMIFS(sum_total_epi_dest,site_level_range_dest,LEFT($B$4,LEN($B$4)-10),date_range_dest,G41,inputdata!$F:$F,"ED"),SUMIFS(sum_total_epi_dest,site_level_range_dest,$B$4,date_range_dest,G41))</f>
        <v>143881</v>
      </c>
      <c r="H45" s="147">
        <f ca="1">IF(ISNUMBER(FIND("ED only",$B$4)),SUMIFS(sum_total_epi_dest,site_level_range_dest,LEFT($B$4,LEN($B$4)-10),date_range_dest,H41,inputdata!$F:$F,"ED"),SUMIFS(sum_total_epi_dest,site_level_range_dest,$B$4,date_range_dest,H41))</f>
        <v>142738</v>
      </c>
      <c r="I45" s="147">
        <f ca="1">IF(ISNUMBER(FIND("ED only",$B$4)),SUMIFS(sum_total_epi_dest,site_level_range_dest,LEFT($B$4,LEN($B$4)-10),date_range_dest,I41,inputdata!$F:$F,"ED"),SUMIFS(sum_total_epi_dest,site_level_range_dest,$B$4,date_range_dest,I41))</f>
        <v>138850</v>
      </c>
      <c r="J45" s="147">
        <f ca="1">IF(ISNUMBER(FIND("ED only",$B$4)),SUMIFS(sum_total_epi_dest,site_level_range_dest,LEFT($B$4,LEN($B$4)-10),date_range_dest,J41,inputdata!$F:$F,"ED"),SUMIFS(sum_total_epi_dest,site_level_range_dest,$B$4,date_range_dest,J41))</f>
        <v>135215</v>
      </c>
      <c r="K45" s="147">
        <f ca="1">IF(ISNUMBER(FIND("ED only",$B$4)),SUMIFS(sum_total_epi_dest,site_level_range_dest,LEFT($B$4,LEN($B$4)-10),date_range_dest,K41,inputdata!$F:$F,"ED"),SUMIFS(sum_total_epi_dest,site_level_range_dest,$B$4,date_range_dest,K41))</f>
        <v>134185</v>
      </c>
      <c r="L45" s="147">
        <f ca="1">IF(ISNUMBER(FIND("ED only",$B$4)),SUMIFS(sum_total_epi_dest,site_level_range_dest,LEFT($B$4,LEN($B$4)-10),date_range_dest,L41,inputdata!$F:$F,"ED"),SUMIFS(sum_total_epi_dest,site_level_range_dest,$B$4,date_range_dest,L41))</f>
        <v>131968</v>
      </c>
      <c r="M45" s="147">
        <f ca="1">IF(ISNUMBER(FIND("ED only",$B$4)),SUMIFS(sum_total_epi_dest,site_level_range_dest,LEFT($B$4,LEN($B$4)-10),date_range_dest,M41,inputdata!$F:$F,"ED"),SUMIFS(sum_total_epi_dest,site_level_range_dest,$B$4,date_range_dest,M41))</f>
        <v>122010</v>
      </c>
      <c r="N45" s="156">
        <f ca="1">IF(ISNUMBER(FIND("ED only",$B$4)),SUMIFS(sum_total_epi_dest,site_level_range_dest,LEFT($B$4,LEN($B$4)-10),date_range_dest,N41,inputdata!$F:$F,"ED"),SUMIFS(sum_total_epi_dest,site_level_range_dest,$B$4,date_range_dest,N41))</f>
        <v>96406</v>
      </c>
      <c r="R45" s="40" t="s">
        <v>240</v>
      </c>
    </row>
    <row r="46" spans="1:18" ht="15" customHeight="1" x14ac:dyDescent="0.2">
      <c r="A46" s="132"/>
      <c r="B46" s="152" t="s">
        <v>738</v>
      </c>
      <c r="C46" s="147">
        <f ca="1">IF(345=0,"-",IF(ISNUMBER(FIND("ED only",$B$4)),SUMIFS(sum_dest_res,site_level_range_dest,LEFT($B$4,LEN($B$4)-10),date_range_dest,C41,inputdata!$F:$F,"ED"),SUMIFS(sum_dest_res,site_level_range_dest,$B$4,date_range_dest,C41)))</f>
        <v>97743</v>
      </c>
      <c r="D46" s="147">
        <f ca="1">IF(445=0,"-",IF(ISNUMBER(FIND("ED only",$B$4)),SUMIFS(sum_dest_res,site_level_range_dest,LEFT($B$4,LEN($B$4)-10),date_range_dest,D41,inputdata!$F:$F,"ED"),SUMIFS(sum_dest_res,site_level_range_dest,$B$4,date_range_dest,D41)))</f>
        <v>101601</v>
      </c>
      <c r="E46" s="147">
        <f ca="1">IF(545=0,"-",IF(ISNUMBER(FIND("ED only",$B$4)),SUMIFS(sum_dest_res,site_level_range_dest,LEFT($B$4,LEN($B$4)-10),date_range_dest,E41,inputdata!$F:$F,"ED"),SUMIFS(sum_dest_res,site_level_range_dest,$B$4,date_range_dest,E41)))</f>
        <v>99468</v>
      </c>
      <c r="F46" s="147">
        <f ca="1">IF(645=0,"-",IF(ISNUMBER(FIND("ED only",$B$4)),SUMIFS(sum_dest_res,site_level_range_dest,LEFT($B$4,LEN($B$4)-10),date_range_dest,F41,inputdata!$F:$F,"ED"),SUMIFS(sum_dest_res,site_level_range_dest,$B$4,date_range_dest,F41)))</f>
        <v>100836</v>
      </c>
      <c r="G46" s="147">
        <f ca="1">IF(745=0,"-",IF(ISNUMBER(FIND("ED only",$B$4)),SUMIFS(sum_dest_res,site_level_range_dest,LEFT($B$4,LEN($B$4)-10),date_range_dest,G41,inputdata!$F:$F,"ED"),SUMIFS(sum_dest_res,site_level_range_dest,$B$4,date_range_dest,G41)))</f>
        <v>102939</v>
      </c>
      <c r="H46" s="147">
        <f ca="1">IF(845=0,"-",IF(ISNUMBER(FIND("ED only",$B$4)),SUMIFS(sum_dest_res,site_level_range_dest,LEFT($B$4,LEN($B$4)-10),date_range_dest,H41,inputdata!$F:$F,"ED"),SUMIFS(sum_dest_res,site_level_range_dest,$B$4,date_range_dest,H41)))</f>
        <v>101268</v>
      </c>
      <c r="I46" s="147">
        <f ca="1">IF(945=0,"-",IF(ISNUMBER(FIND("ED only",$B$4)),SUMIFS(sum_dest_res,site_level_range_dest,LEFT($B$4,LEN($B$4)-10),date_range_dest,I41,inputdata!$F:$F,"ED"),SUMIFS(sum_dest_res,site_level_range_dest,$B$4,date_range_dest,I41)))</f>
        <v>96502</v>
      </c>
      <c r="J46" s="147">
        <f ca="1">IF(1045=0,"-",IF(ISNUMBER(FIND("ED only",$B$4)),SUMIFS(sum_dest_res,site_level_range_dest,LEFT($B$4,LEN($B$4)-10),date_range_dest,J41,inputdata!$F:$F,"ED"),SUMIFS(sum_dest_res,site_level_range_dest,$B$4,date_range_dest,J41)))</f>
        <v>93312</v>
      </c>
      <c r="K46" s="147">
        <f ca="1">IF(1145=0,"-",IF(ISNUMBER(FIND("ED only",$B$4)),SUMIFS(sum_dest_res,site_level_range_dest,LEFT($B$4,LEN($B$4)-10),date_range_dest,K41,inputdata!$F:$F,"ED"),SUMIFS(sum_dest_res,site_level_range_dest,$B$4,date_range_dest,K41)))</f>
        <v>91209</v>
      </c>
      <c r="L46" s="147">
        <f ca="1">IF(1245=0,"-",IF(ISNUMBER(FIND("ED only",$B$4)),SUMIFS(sum_dest_res,site_level_range_dest,LEFT($B$4,LEN($B$4)-10),date_range_dest,L41,inputdata!$F:$F,"ED"),SUMIFS(sum_dest_res,site_level_range_dest,$B$4,date_range_dest,L41)))</f>
        <v>90993</v>
      </c>
      <c r="M46" s="147">
        <f ca="1">IF(1345=0,"-",IF(ISNUMBER(FIND("ED only",$B$4)),SUMIFS(sum_dest_res,site_level_range_dest,LEFT($B$4,LEN($B$4)-10),date_range_dest,M41,inputdata!$F:$F,"ED"),SUMIFS(sum_dest_res,site_level_range_dest,$B$4,date_range_dest,M41)))</f>
        <v>84659</v>
      </c>
      <c r="N46" s="156">
        <f ca="1">IF(1445=0,"-",IF(ISNUMBER(FIND("ED only",$B$4)),SUMIFS(sum_dest_res,site_level_range_dest,LEFT($B$4,LEN($B$4)-10),date_range_dest,N41,inputdata!$F:$F,"ED"),SUMIFS(sum_dest_res,site_level_range_dest,$B$4,date_range_dest,N41)))</f>
        <v>65824</v>
      </c>
      <c r="R46" s="40" t="s">
        <v>37</v>
      </c>
    </row>
    <row r="47" spans="1:18" ht="15" customHeight="1" x14ac:dyDescent="0.2">
      <c r="A47" s="132"/>
      <c r="B47" s="152" t="s">
        <v>739</v>
      </c>
      <c r="C47" s="147">
        <f ca="1">IF(345=0,"-",IF(ISNUMBER(FIND("ED only",$B$4)),SUMIFS(sum_dest_adm,site_level_range_dest,LEFT($B$4,LEN($B$4)-10),date_range_dest,C41,inputdata!$F:$F,"ED"),SUMIFS(sum_dest_adm,site_level_range_dest,$B$4,date_range_dest,C41)))</f>
        <v>33486</v>
      </c>
      <c r="D47" s="147">
        <f ca="1">IF(445=0,"-",IF(ISNUMBER(FIND("ED only",$B$4)),SUMIFS(sum_dest_adm,site_level_range_dest,LEFT($B$4,LEN($B$4)-10),date_range_dest,D41,inputdata!$F:$F,"ED"),SUMIFS(sum_dest_adm,site_level_range_dest,$B$4,date_range_dest,D41)))</f>
        <v>34699</v>
      </c>
      <c r="E47" s="147">
        <f ca="1">IF(545=0,"-",IF(ISNUMBER(FIND("ED only",$B$4)),SUMIFS(sum_dest_adm,site_level_range_dest,LEFT($B$4,LEN($B$4)-10),date_range_dest,E41,inputdata!$F:$F,"ED"),SUMIFS(sum_dest_adm,site_level_range_dest,$B$4,date_range_dest,E41)))</f>
        <v>33527</v>
      </c>
      <c r="F47" s="147">
        <f ca="1">IF(645=0,"-",IF(ISNUMBER(FIND("ED only",$B$4)),SUMIFS(sum_dest_adm,site_level_range_dest,LEFT($B$4,LEN($B$4)-10),date_range_dest,F41,inputdata!$F:$F,"ED"),SUMIFS(sum_dest_adm,site_level_range_dest,$B$4,date_range_dest,F41)))</f>
        <v>34397</v>
      </c>
      <c r="G47" s="147">
        <f ca="1">IF(745=0,"-",IF(ISNUMBER(FIND("ED only",$B$4)),SUMIFS(sum_dest_adm,site_level_range_dest,LEFT($B$4,LEN($B$4)-10),date_range_dest,G41,inputdata!$F:$F,"ED"),SUMIFS(sum_dest_adm,site_level_range_dest,$B$4,date_range_dest,G41)))</f>
        <v>34438</v>
      </c>
      <c r="H47" s="147">
        <f ca="1">IF(845=0,"-",IF(ISNUMBER(FIND("ED only",$B$4)),SUMIFS(sum_dest_adm,site_level_range_dest,LEFT($B$4,LEN($B$4)-10),date_range_dest,H41,inputdata!$F:$F,"ED"),SUMIFS(sum_dest_adm,site_level_range_dest,$B$4,date_range_dest,H41)))</f>
        <v>34801</v>
      </c>
      <c r="I47" s="147">
        <f ca="1">IF(945=0,"-",IF(ISNUMBER(FIND("ED only",$B$4)),SUMIFS(sum_dest_adm,site_level_range_dest,LEFT($B$4,LEN($B$4)-10),date_range_dest,I41,inputdata!$F:$F,"ED"),SUMIFS(sum_dest_adm,site_level_range_dest,$B$4,date_range_dest,I41)))</f>
        <v>36106</v>
      </c>
      <c r="J47" s="147">
        <f ca="1">IF(1045=0,"-",IF(ISNUMBER(FIND("ED only",$B$4)),SUMIFS(sum_dest_adm,site_level_range_dest,LEFT($B$4,LEN($B$4)-10),date_range_dest,J41,inputdata!$F:$F,"ED"),SUMIFS(sum_dest_adm,site_level_range_dest,$B$4,date_range_dest,J41)))</f>
        <v>35782</v>
      </c>
      <c r="K47" s="147">
        <f ca="1">IF(1145=0,"-",IF(ISNUMBER(FIND("ED only",$B$4)),SUMIFS(sum_dest_adm,site_level_range_dest,LEFT($B$4,LEN($B$4)-10),date_range_dest,K41,inputdata!$F:$F,"ED"),SUMIFS(sum_dest_adm,site_level_range_dest,$B$4,date_range_dest,K41)))</f>
        <v>36447</v>
      </c>
      <c r="L47" s="147">
        <f ca="1">IF(1245=0,"-",IF(ISNUMBER(FIND("ED only",$B$4)),SUMIFS(sum_dest_adm,site_level_range_dest,LEFT($B$4,LEN($B$4)-10),date_range_dest,L41,inputdata!$F:$F,"ED"),SUMIFS(sum_dest_adm,site_level_range_dest,$B$4,date_range_dest,L41)))</f>
        <v>35044</v>
      </c>
      <c r="M47" s="147">
        <f ca="1">IF(1345=0,"-",IF(ISNUMBER(FIND("ED only",$B$4)),SUMIFS(sum_dest_adm,site_level_range_dest,LEFT($B$4,LEN($B$4)-10),date_range_dest,M41,inputdata!$F:$F,"ED"),SUMIFS(sum_dest_adm,site_level_range_dest,$B$4,date_range_dest,M41)))</f>
        <v>31821</v>
      </c>
      <c r="N47" s="156">
        <f ca="1">IF(1445=0,"-",IF(ISNUMBER(FIND("ED only",$B$4)),SUMIFS(sum_dest_adm,site_level_range_dest,LEFT($B$4,LEN($B$4)-10),date_range_dest,N41,inputdata!$F:$F,"ED"),SUMIFS(sum_dest_adm,site_level_range_dest,$B$4,date_range_dest,N41)))</f>
        <v>26557</v>
      </c>
      <c r="P47" s="59"/>
      <c r="R47" s="40" t="s">
        <v>41</v>
      </c>
    </row>
    <row r="48" spans="1:18" ht="15" customHeight="1" x14ac:dyDescent="0.2">
      <c r="A48" s="132"/>
      <c r="B48" s="152" t="s">
        <v>740</v>
      </c>
      <c r="C48" s="147">
        <f ca="1">IF(345=0,"-",IF(ISNUMBER(FIND("ED only",$B$4)),SUMIFS(sum_dest_tran,site_level_range_dest,LEFT($B$4,LEN($B$4)-10),date_range_dest,C41,inputdata!$F:$F,"ED"),SUMIFS(sum_dest_tran,site_level_range_dest,$B$4,date_range_dest,C41)))</f>
        <v>2737</v>
      </c>
      <c r="D48" s="147">
        <f ca="1">IF(445=0,"-",IF(ISNUMBER(FIND("ED only",$B$4)),SUMIFS(sum_dest_tran,site_level_range_dest,LEFT($B$4,LEN($B$4)-10),date_range_dest,D41,inputdata!$F:$F,"ED"),SUMIFS(sum_dest_tran,site_level_range_dest,$B$4,date_range_dest,D41)))</f>
        <v>2981</v>
      </c>
      <c r="E48" s="147">
        <f ca="1">IF(545=0,"-",IF(ISNUMBER(FIND("ED only",$B$4)),SUMIFS(sum_dest_tran,site_level_range_dest,LEFT($B$4,LEN($B$4)-10),date_range_dest,E41,inputdata!$F:$F,"ED"),SUMIFS(sum_dest_tran,site_level_range_dest,$B$4,date_range_dest,E41)))</f>
        <v>2992</v>
      </c>
      <c r="F48" s="147">
        <f ca="1">IF(645=0,"-",IF(ISNUMBER(FIND("ED only",$B$4)),SUMIFS(sum_dest_tran,site_level_range_dest,LEFT($B$4,LEN($B$4)-10),date_range_dest,F41,inputdata!$F:$F,"ED"),SUMIFS(sum_dest_tran,site_level_range_dest,$B$4,date_range_dest,F41)))</f>
        <v>3000</v>
      </c>
      <c r="G48" s="147">
        <f ca="1">IF(745=0,"-",IF(ISNUMBER(FIND("ED only",$B$4)),SUMIFS(sum_dest_tran,site_level_range_dest,LEFT($B$4,LEN($B$4)-10),date_range_dest,G41,inputdata!$F:$F,"ED"),SUMIFS(sum_dest_tran,site_level_range_dest,$B$4,date_range_dest,G41)))</f>
        <v>3066</v>
      </c>
      <c r="H48" s="147">
        <f ca="1">IF(845=0,"-",IF(ISNUMBER(FIND("ED only",$B$4)),SUMIFS(sum_dest_tran,site_level_range_dest,LEFT($B$4,LEN($B$4)-10),date_range_dest,H41,inputdata!$F:$F,"ED"),SUMIFS(sum_dest_tran,site_level_range_dest,$B$4,date_range_dest,H41)))</f>
        <v>2892</v>
      </c>
      <c r="I48" s="147">
        <f ca="1">IF(945=0,"-",IF(ISNUMBER(FIND("ED only",$B$4)),SUMIFS(sum_dest_tran,site_level_range_dest,LEFT($B$4,LEN($B$4)-10),date_range_dest,I41,inputdata!$F:$F,"ED"),SUMIFS(sum_dest_tran,site_level_range_dest,$B$4,date_range_dest,I41)))</f>
        <v>2760</v>
      </c>
      <c r="J48" s="147">
        <f ca="1">IF(1045=0,"-",IF(ISNUMBER(FIND("ED only",$B$4)),SUMIFS(sum_dest_tran,site_level_range_dest,LEFT($B$4,LEN($B$4)-10),date_range_dest,J41,inputdata!$F:$F,"ED"),SUMIFS(sum_dest_tran,site_level_range_dest,$B$4,date_range_dest,J41)))</f>
        <v>2734</v>
      </c>
      <c r="K48" s="147">
        <f ca="1">IF(1145=0,"-",IF(ISNUMBER(FIND("ED only",$B$4)),SUMIFS(sum_dest_tran,site_level_range_dest,LEFT($B$4,LEN($B$4)-10),date_range_dest,K41,inputdata!$F:$F,"ED"),SUMIFS(sum_dest_tran,site_level_range_dest,$B$4,date_range_dest,K41)))</f>
        <v>3130</v>
      </c>
      <c r="L48" s="147">
        <f ca="1">IF(1245=0,"-",IF(ISNUMBER(FIND("ED only",$B$4)),SUMIFS(sum_dest_tran,site_level_range_dest,LEFT($B$4,LEN($B$4)-10),date_range_dest,L41,inputdata!$F:$F,"ED"),SUMIFS(sum_dest_tran,site_level_range_dest,$B$4,date_range_dest,L41)))</f>
        <v>2837</v>
      </c>
      <c r="M48" s="147">
        <f ca="1">IF(1345=0,"-",IF(ISNUMBER(FIND("ED only",$B$4)),SUMIFS(sum_dest_tran,site_level_range_dest,LEFT($B$4,LEN($B$4)-10),date_range_dest,M41,inputdata!$F:$F,"ED"),SUMIFS(sum_dest_tran,site_level_range_dest,$B$4,date_range_dest,M41)))</f>
        <v>2702</v>
      </c>
      <c r="N48" s="156">
        <f ca="1">IF(1445=0,"-",IF(ISNUMBER(FIND("ED only",$B$4)),SUMIFS(sum_dest_tran,site_level_range_dest,LEFT($B$4,LEN($B$4)-10),date_range_dest,N41,inputdata!$F:$F,"ED"),SUMIFS(sum_dest_tran,site_level_range_dest,$B$4,date_range_dest,N41)))</f>
        <v>1905</v>
      </c>
      <c r="P48" s="59"/>
      <c r="R48" s="40" t="s">
        <v>331</v>
      </c>
    </row>
    <row r="49" spans="1:18" ht="15" customHeight="1" x14ac:dyDescent="0.2">
      <c r="A49" s="132"/>
      <c r="B49" s="152" t="s">
        <v>741</v>
      </c>
      <c r="C49" s="147">
        <f ca="1">IF(345=0,"-",IF(ISNUMBER(FIND("ED only",$B$4)),SUMIFS(sum_dest_other,site_level_range_dest,LEFT($B$4,LEN($B$4)-10),date_range_dest,C41,inputdata!$F:$F,"ED"),SUMIFS(sum_dest_other,site_level_range_dest,$B$4,date_range_dest,C41)))</f>
        <v>165</v>
      </c>
      <c r="D49" s="147">
        <f ca="1">IF(445=0,"-",IF(ISNUMBER(FIND("ED only",$B$4)),SUMIFS(sum_dest_other,site_level_range_dest,LEFT($B$4,LEN($B$4)-10),date_range_dest,D41,inputdata!$F:$F,"ED"),SUMIFS(sum_dest_other,site_level_range_dest,$B$4,date_range_dest,D41)))</f>
        <v>172</v>
      </c>
      <c r="E49" s="147">
        <f ca="1">IF(545=0,"-",IF(ISNUMBER(FIND("ED only",$B$4)),SUMIFS(sum_dest_other,site_level_range_dest,LEFT($B$4,LEN($B$4)-10),date_range_dest,E41,inputdata!$F:$F,"ED"),SUMIFS(sum_dest_other,site_level_range_dest,$B$4,date_range_dest,E41)))</f>
        <v>134</v>
      </c>
      <c r="F49" s="147">
        <f ca="1">IF(645=0,"-",IF(ISNUMBER(FIND("ED only",$B$4)),SUMIFS(sum_dest_other,site_level_range_dest,LEFT($B$4,LEN($B$4)-10),date_range_dest,F41,inputdata!$F:$F,"ED"),SUMIFS(sum_dest_other,site_level_range_dest,$B$4,date_range_dest,F41)))</f>
        <v>153</v>
      </c>
      <c r="G49" s="147">
        <f ca="1">IF(745=0,"-",IF(ISNUMBER(FIND("ED only",$B$4)),SUMIFS(sum_dest_other,site_level_range_dest,LEFT($B$4,LEN($B$4)-10),date_range_dest,G41,inputdata!$F:$F,"ED"),SUMIFS(sum_dest_other,site_level_range_dest,$B$4,date_range_dest,G41)))</f>
        <v>142</v>
      </c>
      <c r="H49" s="147">
        <f ca="1">IF(845=0,"-",IF(ISNUMBER(FIND("ED only",$B$4)),SUMIFS(sum_dest_other,site_level_range_dest,LEFT($B$4,LEN($B$4)-10),date_range_dest,H41,inputdata!$F:$F,"ED"),SUMIFS(sum_dest_other,site_level_range_dest,$B$4,date_range_dest,H41)))</f>
        <v>157</v>
      </c>
      <c r="I49" s="147">
        <f ca="1">IF(945=0,"-",IF(ISNUMBER(FIND("ED only",$B$4)),SUMIFS(sum_dest_other,site_level_range_dest,LEFT($B$4,LEN($B$4)-10),date_range_dest,I41,inputdata!$F:$F,"ED"),SUMIFS(sum_dest_other,site_level_range_dest,$B$4,date_range_dest,I41)))</f>
        <v>159</v>
      </c>
      <c r="J49" s="147">
        <f ca="1">IF(1045=0,"-",IF(ISNUMBER(FIND("ED only",$B$4)),SUMIFS(sum_dest_other,site_level_range_dest,LEFT($B$4,LEN($B$4)-10),date_range_dest,J41,inputdata!$F:$F,"ED"),SUMIFS(sum_dest_other,site_level_range_dest,$B$4,date_range_dest,J41)))</f>
        <v>153</v>
      </c>
      <c r="K49" s="147">
        <f ca="1">IF(1145=0,"-",IF(ISNUMBER(FIND("ED only",$B$4)),SUMIFS(sum_dest_other,site_level_range_dest,LEFT($B$4,LEN($B$4)-10),date_range_dest,K41,inputdata!$F:$F,"ED"),SUMIFS(sum_dest_other,site_level_range_dest,$B$4,date_range_dest,K41)))</f>
        <v>196</v>
      </c>
      <c r="L49" s="147">
        <f ca="1">IF(1245=0,"-",IF(ISNUMBER(FIND("ED only",$B$4)),SUMIFS(sum_dest_other,site_level_range_dest,LEFT($B$4,LEN($B$4)-10),date_range_dest,L41,inputdata!$F:$F,"ED"),SUMIFS(sum_dest_other,site_level_range_dest,$B$4,date_range_dest,L41)))</f>
        <v>196</v>
      </c>
      <c r="M49" s="147">
        <f ca="1">IF(1345=0,"-",IF(ISNUMBER(FIND("ED only",$B$4)),SUMIFS(sum_dest_other,site_level_range_dest,LEFT($B$4,LEN($B$4)-10),date_range_dest,M41,inputdata!$F:$F,"ED"),SUMIFS(sum_dest_other,site_level_range_dest,$B$4,date_range_dest,M41)))</f>
        <v>162</v>
      </c>
      <c r="N49" s="156">
        <f ca="1">IF(1445=0,"-",IF(ISNUMBER(FIND("ED only",$B$4)),SUMIFS(sum_dest_other,site_level_range_dest,LEFT($B$4,LEN($B$4)-10),date_range_dest,N41,inputdata!$F:$F,"ED"),SUMIFS(sum_dest_other,site_level_range_dest,$B$4,date_range_dest,N41)))</f>
        <v>155</v>
      </c>
      <c r="P49" s="59"/>
      <c r="R49" s="40" t="s">
        <v>45</v>
      </c>
    </row>
    <row r="50" spans="1:18" ht="15" customHeight="1" x14ac:dyDescent="0.2">
      <c r="A50" s="132"/>
      <c r="B50" s="154" t="s">
        <v>742</v>
      </c>
      <c r="C50" s="150">
        <f ca="1">IF(345=0,"-",IF(ISNUMBER(FIND("ED only",$B$4)),SUMIFS(sum_dest_unknown,site_level_range_dest,LEFT($B$4,LEN($B$4)-10),date_range_dest,C41,inputdata!$F:$F,"ED"),SUMIFS(sum_dest_unknown,site_level_range_dest,$B$4,date_range_dest,C41)))</f>
        <v>3413</v>
      </c>
      <c r="D50" s="150">
        <f ca="1">IF(445=0,"-",IF(ISNUMBER(FIND("ED only",$B$4)),SUMIFS(sum_dest_unknown,site_level_range_dest,LEFT($B$4,LEN($B$4)-10),date_range_dest,D41,inputdata!$F:$F,"ED"),SUMIFS(sum_dest_unknown,site_level_range_dest,$B$4,date_range_dest,D41)))</f>
        <v>2986</v>
      </c>
      <c r="E50" s="150">
        <f ca="1">IF(545=0,"-",IF(ISNUMBER(FIND("ED only",$B$4)),SUMIFS(sum_dest_unknown,site_level_range_dest,LEFT($B$4,LEN($B$4)-10),date_range_dest,E41,inputdata!$F:$F,"ED"),SUMIFS(sum_dest_unknown,site_level_range_dest,$B$4,date_range_dest,E41)))</f>
        <v>3255</v>
      </c>
      <c r="F50" s="150">
        <f ca="1">IF(645=0,"-",IF(ISNUMBER(FIND("ED only",$B$4)),SUMIFS(sum_dest_unknown,site_level_range_dest,LEFT($B$4,LEN($B$4)-10),date_range_dest,F41,inputdata!$F:$F,"ED"),SUMIFS(sum_dest_unknown,site_level_range_dest,$B$4,date_range_dest,F41)))</f>
        <v>3383</v>
      </c>
      <c r="G50" s="150">
        <f ca="1">IF(745=0,"-",IF(ISNUMBER(FIND("ED only",$B$4)),SUMIFS(sum_dest_unknown,site_level_range_dest,LEFT($B$4,LEN($B$4)-10),date_range_dest,G41,inputdata!$F:$F,"ED"),SUMIFS(sum_dest_unknown,site_level_range_dest,$B$4,date_range_dest,G41)))</f>
        <v>3296</v>
      </c>
      <c r="H50" s="150">
        <f ca="1">IF(845=0,"-",IF(ISNUMBER(FIND("ED only",$B$4)),SUMIFS(sum_dest_unknown,site_level_range_dest,LEFT($B$4,LEN($B$4)-10),date_range_dest,H41,inputdata!$F:$F,"ED"),SUMIFS(sum_dest_unknown,site_level_range_dest,$B$4,date_range_dest,H41)))</f>
        <v>3620</v>
      </c>
      <c r="I50" s="150">
        <f ca="1">IF(945=0,"-",IF(ISNUMBER(FIND("ED only",$B$4)),SUMIFS(sum_dest_unknown,site_level_range_dest,LEFT($B$4,LEN($B$4)-10),date_range_dest,I41,inputdata!$F:$F,"ED"),SUMIFS(sum_dest_unknown,site_level_range_dest,$B$4,date_range_dest,I41)))</f>
        <v>3323</v>
      </c>
      <c r="J50" s="150">
        <f ca="1">IF(1045=0,"-",IF(ISNUMBER(FIND("ED only",$B$4)),SUMIFS(sum_dest_unknown,site_level_range_dest,LEFT($B$4,LEN($B$4)-10),date_range_dest,J41,inputdata!$F:$F,"ED"),SUMIFS(sum_dest_unknown,site_level_range_dest,$B$4,date_range_dest,J41)))</f>
        <v>3234</v>
      </c>
      <c r="K50" s="150">
        <f ca="1">IF(1145=0,"-",IF(ISNUMBER(FIND("ED only",$B$4)),SUMIFS(sum_dest_unknown,site_level_range_dest,LEFT($B$4,LEN($B$4)-10),date_range_dest,K41,inputdata!$F:$F,"ED"),SUMIFS(sum_dest_unknown,site_level_range_dest,$B$4,date_range_dest,K41)))</f>
        <v>3203</v>
      </c>
      <c r="L50" s="150">
        <f ca="1">IF(1245=0,"-",IF(ISNUMBER(FIND("ED only",$B$4)),SUMIFS(sum_dest_unknown,site_level_range_dest,LEFT($B$4,LEN($B$4)-10),date_range_dest,L41,inputdata!$F:$F,"ED"),SUMIFS(sum_dest_unknown,site_level_range_dest,$B$4,date_range_dest,L41)))</f>
        <v>2898</v>
      </c>
      <c r="M50" s="150">
        <f ca="1">IF(1345=0,"-",IF(ISNUMBER(FIND("ED only",$B$4)),SUMIFS(sum_dest_unknown,site_level_range_dest,LEFT($B$4,LEN($B$4)-10),date_range_dest,M41,inputdata!$F:$F,"ED"),SUMIFS(sum_dest_unknown,site_level_range_dest,$B$4,date_range_dest,M41)))</f>
        <v>2666</v>
      </c>
      <c r="N50" s="159">
        <f ca="1">IF(1445=0,"-",IF(ISNUMBER(FIND("ED only",$B$4)),SUMIFS(sum_dest_unknown,site_level_range_dest,LEFT($B$4,LEN($B$4)-10),date_range_dest,N41,inputdata!$F:$F,"ED"),SUMIFS(sum_dest_unknown,site_level_range_dest,$B$4,date_range_dest,N41)))</f>
        <v>1965</v>
      </c>
      <c r="P50" s="59"/>
      <c r="R50" s="40" t="s">
        <v>40</v>
      </c>
    </row>
    <row r="51" spans="1:18" ht="13.5" customHeight="1" x14ac:dyDescent="0.2">
      <c r="B51" s="127"/>
      <c r="C51" s="127"/>
      <c r="D51" s="127"/>
      <c r="E51" s="127"/>
      <c r="F51" s="127"/>
      <c r="G51" s="127"/>
      <c r="H51" s="127"/>
      <c r="I51" s="127"/>
      <c r="J51" s="127"/>
      <c r="K51" s="127"/>
      <c r="L51" s="127"/>
      <c r="M51" s="127"/>
      <c r="N51" s="127"/>
      <c r="P51" s="59"/>
      <c r="R51" s="40" t="s">
        <v>42</v>
      </c>
    </row>
    <row r="52" spans="1:18" ht="15" customHeight="1" x14ac:dyDescent="0.25">
      <c r="A52" s="132"/>
      <c r="B52" s="153" t="str">
        <f>IF(ISNUMBER(FIND("ED only",$B$4)),"2018/2019 (ED Only)","2018/2019")</f>
        <v>2018/2019</v>
      </c>
      <c r="C52" s="149">
        <v>43220</v>
      </c>
      <c r="D52" s="149">
        <v>43251</v>
      </c>
      <c r="E52" s="149">
        <v>43281</v>
      </c>
      <c r="F52" s="149">
        <v>43312</v>
      </c>
      <c r="G52" s="149">
        <v>43343</v>
      </c>
      <c r="H52" s="149">
        <v>43373</v>
      </c>
      <c r="I52" s="149">
        <v>43404</v>
      </c>
      <c r="J52" s="149">
        <v>43434</v>
      </c>
      <c r="K52" s="149">
        <v>43465</v>
      </c>
      <c r="L52" s="149">
        <v>43496</v>
      </c>
      <c r="M52" s="149">
        <v>43524</v>
      </c>
      <c r="N52" s="158">
        <v>43555</v>
      </c>
      <c r="R52" s="40" t="s">
        <v>332</v>
      </c>
    </row>
    <row r="53" spans="1:18" ht="15" customHeight="1" x14ac:dyDescent="0.2">
      <c r="A53" s="132"/>
      <c r="B53" s="164" t="s">
        <v>735</v>
      </c>
      <c r="C53" s="162"/>
      <c r="D53" s="162"/>
      <c r="E53" s="162"/>
      <c r="F53" s="162"/>
      <c r="G53" s="162"/>
      <c r="H53" s="162"/>
      <c r="I53" s="162"/>
      <c r="J53" s="162"/>
      <c r="K53" s="162"/>
      <c r="L53" s="162"/>
      <c r="M53" s="162"/>
      <c r="N53" s="152"/>
      <c r="R53" s="40" t="s">
        <v>38</v>
      </c>
    </row>
    <row r="54" spans="1:18" ht="15" customHeight="1" x14ac:dyDescent="0.2">
      <c r="A54" s="132"/>
      <c r="B54" s="154" t="s">
        <v>736</v>
      </c>
      <c r="C54" s="150">
        <f ca="1">IF(ISNUMBER(FIND("ED only",$B$4)),SUMIFS(sum_range_dest,site_level_range_dest,LEFT($B$4,LEN($B$4)-10),date_range_dest,C52,inputdata!$F:$F,"ED"),SUMIFS(sum_range_dest,site_level_range_dest,$B$4,date_range_dest,C52))</f>
        <v>137763</v>
      </c>
      <c r="D54" s="150">
        <f ca="1">IF(ISNUMBER(FIND("ED only",$B$4)),SUMIFS(sum_range_dest,site_level_range_dest,LEFT($B$4,LEN($B$4)-10),date_range_dest,D52,inputdata!$F:$F,"ED"),SUMIFS(sum_range_dest,site_level_range_dest,$B$4,date_range_dest,D52))</f>
        <v>153083</v>
      </c>
      <c r="E54" s="150">
        <f ca="1">IF(ISNUMBER(FIND("ED only",$B$4)),SUMIFS(sum_range_dest,site_level_range_dest,LEFT($B$4,LEN($B$4)-10),date_range_dest,E52,inputdata!$F:$F,"ED"),SUMIFS(sum_range_dest,site_level_range_dest,$B$4,date_range_dest,E52))</f>
        <v>146639</v>
      </c>
      <c r="F54" s="150">
        <f ca="1">IF(ISNUMBER(FIND("ED only",$B$4)),SUMIFS(sum_range_dest,site_level_range_dest,LEFT($B$4,LEN($B$4)-10),date_range_dest,F52,inputdata!$F:$F,"ED"),SUMIFS(sum_range_dest,site_level_range_dest,$B$4,date_range_dest,F52))</f>
        <v>145641</v>
      </c>
      <c r="G54" s="150">
        <f ca="1">IF(ISNUMBER(FIND("ED only",$B$4)),SUMIFS(sum_range_dest,site_level_range_dest,LEFT($B$4,LEN($B$4)-10),date_range_dest,G52,inputdata!$F:$F,"ED"),SUMIFS(sum_range_dest,site_level_range_dest,$B$4,date_range_dest,G52))</f>
        <v>144878</v>
      </c>
      <c r="H54" s="150">
        <f ca="1">IF(ISNUMBER(FIND("ED only",$B$4)),SUMIFS(sum_range_dest,site_level_range_dest,LEFT($B$4,LEN($B$4)-10),date_range_dest,H52,inputdata!$F:$F,"ED"),SUMIFS(sum_range_dest,site_level_range_dest,$B$4,date_range_dest,H52))</f>
        <v>140596</v>
      </c>
      <c r="I54" s="150">
        <f ca="1">IF(ISNUMBER(FIND("ED only",$B$4)),SUMIFS(sum_range_dest,site_level_range_dest,LEFT($B$4,LEN($B$4)-10),date_range_dest,I52,inputdata!$F:$F,"ED"),SUMIFS(sum_range_dest,site_level_range_dest,$B$4,date_range_dest,I52))</f>
        <v>138165</v>
      </c>
      <c r="J54" s="150">
        <f ca="1">IF(ISNUMBER(FIND("ED only",$B$4)),SUMIFS(sum_range_dest,site_level_range_dest,LEFT($B$4,LEN($B$4)-10),date_range_dest,J52,inputdata!$F:$F,"ED"),SUMIFS(sum_range_dest,site_level_range_dest,$B$4,date_range_dest,J52))</f>
        <v>135395</v>
      </c>
      <c r="K54" s="150">
        <f ca="1">IF(ISNUMBER(FIND("ED only",$B$4)),SUMIFS(sum_range_dest,site_level_range_dest,LEFT($B$4,LEN($B$4)-10),date_range_dest,K52,inputdata!$F:$F,"ED"),SUMIFS(sum_range_dest,site_level_range_dest,$B$4,date_range_dest,K52))</f>
        <v>138127</v>
      </c>
      <c r="L54" s="150">
        <f ca="1">IF(ISNUMBER(FIND("ED only",$B$4)),SUMIFS(sum_range_dest,site_level_range_dest,LEFT($B$4,LEN($B$4)-10),date_range_dest,L52,inputdata!$F:$F,"ED"),SUMIFS(sum_range_dest,site_level_range_dest,$B$4,date_range_dest,L52))</f>
        <v>138885</v>
      </c>
      <c r="M54" s="150">
        <f ca="1">IF(ISNUMBER(FIND("ED only",$B$4)),SUMIFS(sum_range_dest,site_level_range_dest,LEFT($B$4,LEN($B$4)-10),date_range_dest,M52,inputdata!$F:$F,"ED"),SUMIFS(sum_range_dest,site_level_range_dest,$B$4,date_range_dest,M52))</f>
        <v>130047</v>
      </c>
      <c r="N54" s="159">
        <f ca="1">IF(ISNUMBER(FIND("ED only",$B$4)),SUMIFS(sum_range_dest,site_level_range_dest,LEFT($B$4,LEN($B$4)-10),date_range_dest,N52,inputdata!$F:$F,"ED"),SUMIFS(sum_range_dest,site_level_range_dest,$B$4,date_range_dest,N52))</f>
        <v>144564</v>
      </c>
      <c r="R54" s="40" t="s">
        <v>241</v>
      </c>
    </row>
    <row r="55" spans="1:18" ht="15" customHeight="1" x14ac:dyDescent="0.2">
      <c r="A55" s="132"/>
      <c r="B55" s="164" t="s">
        <v>737</v>
      </c>
      <c r="C55" s="162"/>
      <c r="D55" s="162"/>
      <c r="E55" s="162"/>
      <c r="F55" s="162"/>
      <c r="G55" s="162"/>
      <c r="H55" s="162"/>
      <c r="I55" s="162"/>
      <c r="J55" s="162"/>
      <c r="K55" s="162"/>
      <c r="L55" s="162"/>
      <c r="M55" s="162"/>
      <c r="N55" s="152"/>
      <c r="R55" s="40" t="s">
        <v>47</v>
      </c>
    </row>
    <row r="56" spans="1:18" ht="15" customHeight="1" x14ac:dyDescent="0.2">
      <c r="A56" s="132"/>
      <c r="B56" s="152" t="s">
        <v>736</v>
      </c>
      <c r="C56" s="147">
        <f ca="1">IF(ISNUMBER(FIND("ED only",$B$4)),SUMIFS(sum_total_epi_dest,site_level_range_dest,LEFT($B$4,LEN($B$4)-10),date_range_dest,C52,inputdata!$F:$F,"ED"),SUMIFS(sum_total_epi_dest,site_level_range_dest,$B$4,date_range_dest,C52))</f>
        <v>130050</v>
      </c>
      <c r="D56" s="147">
        <f ca="1">IF(ISNUMBER(FIND("ED only",$B$4)),SUMIFS(sum_total_epi_dest,site_level_range_dest,LEFT($B$4,LEN($B$4)-10),date_range_dest,D52,inputdata!$F:$F,"ED"),SUMIFS(sum_total_epi_dest,site_level_range_dest,$B$4,date_range_dest,D52))</f>
        <v>143943</v>
      </c>
      <c r="E56" s="147">
        <f ca="1">IF(ISNUMBER(FIND("ED only",$B$4)),SUMIFS(sum_total_epi_dest,site_level_range_dest,LEFT($B$4,LEN($B$4)-10),date_range_dest,E52,inputdata!$F:$F,"ED"),SUMIFS(sum_total_epi_dest,site_level_range_dest,$B$4,date_range_dest,E52))</f>
        <v>137458</v>
      </c>
      <c r="F56" s="147">
        <f ca="1">IF(ISNUMBER(FIND("ED only",$B$4)),SUMIFS(sum_total_epi_dest,site_level_range_dest,LEFT($B$4,LEN($B$4)-10),date_range_dest,F52,inputdata!$F:$F,"ED"),SUMIFS(sum_total_epi_dest,site_level_range_dest,$B$4,date_range_dest,F52))</f>
        <v>136693</v>
      </c>
      <c r="G56" s="147">
        <f ca="1">IF(ISNUMBER(FIND("ED only",$B$4)),SUMIFS(sum_total_epi_dest,site_level_range_dest,LEFT($B$4,LEN($B$4)-10),date_range_dest,G52,inputdata!$F:$F,"ED"),SUMIFS(sum_total_epi_dest,site_level_range_dest,$B$4,date_range_dest,G52))</f>
        <v>136202</v>
      </c>
      <c r="H56" s="147">
        <f ca="1">IF(ISNUMBER(FIND("ED only",$B$4)),SUMIFS(sum_total_epi_dest,site_level_range_dest,LEFT($B$4,LEN($B$4)-10),date_range_dest,H52,inputdata!$F:$F,"ED"),SUMIFS(sum_total_epi_dest,site_level_range_dest,$B$4,date_range_dest,H52))</f>
        <v>132796</v>
      </c>
      <c r="I56" s="147">
        <f ca="1">IF(ISNUMBER(FIND("ED only",$B$4)),SUMIFS(sum_total_epi_dest,site_level_range_dest,LEFT($B$4,LEN($B$4)-10),date_range_dest,I52,inputdata!$F:$F,"ED"),SUMIFS(sum_total_epi_dest,site_level_range_dest,$B$4,date_range_dest,I52))</f>
        <v>131022</v>
      </c>
      <c r="J56" s="147">
        <f ca="1">IF(ISNUMBER(FIND("ED only",$B$4)),SUMIFS(sum_total_epi_dest,site_level_range_dest,LEFT($B$4,LEN($B$4)-10),date_range_dest,J52,inputdata!$F:$F,"ED"),SUMIFS(sum_total_epi_dest,site_level_range_dest,$B$4,date_range_dest,J52))</f>
        <v>128697</v>
      </c>
      <c r="K56" s="147">
        <f ca="1">IF(ISNUMBER(FIND("ED only",$B$4)),SUMIFS(sum_total_epi_dest,site_level_range_dest,LEFT($B$4,LEN($B$4)-10),date_range_dest,K52,inputdata!$F:$F,"ED"),SUMIFS(sum_total_epi_dest,site_level_range_dest,$B$4,date_range_dest,K52))</f>
        <v>131081</v>
      </c>
      <c r="L56" s="147">
        <f ca="1">IF(ISNUMBER(FIND("ED only",$B$4)),SUMIFS(sum_total_epi_dest,site_level_range_dest,LEFT($B$4,LEN($B$4)-10),date_range_dest,L52,inputdata!$F:$F,"ED"),SUMIFS(sum_total_epi_dest,site_level_range_dest,$B$4,date_range_dest,L52))</f>
        <v>131960</v>
      </c>
      <c r="M56" s="147">
        <f ca="1">IF(ISNUMBER(FIND("ED only",$B$4)),SUMIFS(sum_total_epi_dest,site_level_range_dest,LEFT($B$4,LEN($B$4)-10),date_range_dest,M52,inputdata!$F:$F,"ED"),SUMIFS(sum_total_epi_dest,site_level_range_dest,$B$4,date_range_dest,M52))</f>
        <v>123398</v>
      </c>
      <c r="N56" s="156">
        <f ca="1">IF(ISNUMBER(FIND("ED only",$B$4)),SUMIFS(sum_total_epi_dest,site_level_range_dest,LEFT($B$4,LEN($B$4)-10),date_range_dest,N52,inputdata!$F:$F,"ED"),SUMIFS(sum_total_epi_dest,site_level_range_dest,$B$4,date_range_dest,N52))</f>
        <v>137182</v>
      </c>
      <c r="R56" s="40" t="s">
        <v>333</v>
      </c>
    </row>
    <row r="57" spans="1:18" ht="15" customHeight="1" x14ac:dyDescent="0.2">
      <c r="A57" s="132"/>
      <c r="B57" s="152" t="s">
        <v>738</v>
      </c>
      <c r="C57" s="147">
        <f ca="1">IF(356=0,"-",IF(ISNUMBER(FIND("ED only",$B$4)),SUMIFS(sum_dest_res,site_level_range_dest,LEFT($B$4,LEN($B$4)-10),date_range_dest,C52,inputdata!$F:$F,"ED"),SUMIFS(sum_dest_res,site_level_range_dest,$B$4,date_range_dest,C52)))</f>
        <v>91426</v>
      </c>
      <c r="D57" s="147">
        <f ca="1">IF(456=0,"-",IF(ISNUMBER(FIND("ED only",$B$4)),SUMIFS(sum_dest_res,site_level_range_dest,LEFT($B$4,LEN($B$4)-10),date_range_dest,D52,inputdata!$F:$F,"ED"),SUMIFS(sum_dest_res,site_level_range_dest,$B$4,date_range_dest,D52)))</f>
        <v>104150</v>
      </c>
      <c r="E57" s="147">
        <f ca="1">IF(556=0,"-",IF(ISNUMBER(FIND("ED only",$B$4)),SUMIFS(sum_dest_res,site_level_range_dest,LEFT($B$4,LEN($B$4)-10),date_range_dest,E52,inputdata!$F:$F,"ED"),SUMIFS(sum_dest_res,site_level_range_dest,$B$4,date_range_dest,E52)))</f>
        <v>99099</v>
      </c>
      <c r="F57" s="147">
        <f ca="1">IF(656=0,"-",IF(ISNUMBER(FIND("ED only",$B$4)),SUMIFS(sum_dest_res,site_level_range_dest,LEFT($B$4,LEN($B$4)-10),date_range_dest,F52,inputdata!$F:$F,"ED"),SUMIFS(sum_dest_res,site_level_range_dest,$B$4,date_range_dest,F52)))</f>
        <v>98136</v>
      </c>
      <c r="G57" s="147">
        <f ca="1">IF(756=0,"-",IF(ISNUMBER(FIND("ED only",$B$4)),SUMIFS(sum_dest_res,site_level_range_dest,LEFT($B$4,LEN($B$4)-10),date_range_dest,G52,inputdata!$F:$F,"ED"),SUMIFS(sum_dest_res,site_level_range_dest,$B$4,date_range_dest,G52)))</f>
        <v>96699</v>
      </c>
      <c r="H57" s="147">
        <f ca="1">IF(856=0,"-",IF(ISNUMBER(FIND("ED only",$B$4)),SUMIFS(sum_dest_res,site_level_range_dest,LEFT($B$4,LEN($B$4)-10),date_range_dest,H52,inputdata!$F:$F,"ED"),SUMIFS(sum_dest_res,site_level_range_dest,$B$4,date_range_dest,H52)))</f>
        <v>94329</v>
      </c>
      <c r="I57" s="147">
        <f ca="1">IF(956=0,"-",IF(ISNUMBER(FIND("ED only",$B$4)),SUMIFS(sum_dest_res,site_level_range_dest,LEFT($B$4,LEN($B$4)-10),date_range_dest,I52,inputdata!$F:$F,"ED"),SUMIFS(sum_dest_res,site_level_range_dest,$B$4,date_range_dest,I52)))</f>
        <v>91838</v>
      </c>
      <c r="J57" s="147">
        <f ca="1">IF(1056=0,"-",IF(ISNUMBER(FIND("ED only",$B$4)),SUMIFS(sum_dest_res,site_level_range_dest,LEFT($B$4,LEN($B$4)-10),date_range_dest,J52,inputdata!$F:$F,"ED"),SUMIFS(sum_dest_res,site_level_range_dest,$B$4,date_range_dest,J52)))</f>
        <v>89487</v>
      </c>
      <c r="K57" s="147">
        <f ca="1">IF(1156=0,"-",IF(ISNUMBER(FIND("ED only",$B$4)),SUMIFS(sum_dest_res,site_level_range_dest,LEFT($B$4,LEN($B$4)-10),date_range_dest,K52,inputdata!$F:$F,"ED"),SUMIFS(sum_dest_res,site_level_range_dest,$B$4,date_range_dest,K52)))</f>
        <v>89364</v>
      </c>
      <c r="L57" s="147">
        <f ca="1">IF(1256=0,"-",IF(ISNUMBER(FIND("ED only",$B$4)),SUMIFS(sum_dest_res,site_level_range_dest,LEFT($B$4,LEN($B$4)-10),date_range_dest,L52,inputdata!$F:$F,"ED"),SUMIFS(sum_dest_res,site_level_range_dest,$B$4,date_range_dest,L52)))</f>
        <v>90457</v>
      </c>
      <c r="M57" s="147">
        <f ca="1">IF(1356=0,"-",IF(ISNUMBER(FIND("ED only",$B$4)),SUMIFS(sum_dest_res,site_level_range_dest,LEFT($B$4,LEN($B$4)-10),date_range_dest,M52,inputdata!$F:$F,"ED"),SUMIFS(sum_dest_res,site_level_range_dest,$B$4,date_range_dest,M52)))</f>
        <v>86415</v>
      </c>
      <c r="N57" s="156">
        <f ca="1">IF(1456=0,"-",IF(ISNUMBER(FIND("ED only",$B$4)),SUMIFS(sum_dest_res,site_level_range_dest,LEFT($B$4,LEN($B$4)-10),date_range_dest,N52,inputdata!$F:$F,"ED"),SUMIFS(sum_dest_res,site_level_range_dest,$B$4,date_range_dest,N52)))</f>
        <v>96481</v>
      </c>
      <c r="R57" s="40" t="s">
        <v>48</v>
      </c>
    </row>
    <row r="58" spans="1:18" ht="15" customHeight="1" x14ac:dyDescent="0.2">
      <c r="A58" s="132"/>
      <c r="B58" s="152" t="s">
        <v>739</v>
      </c>
      <c r="C58" s="147">
        <f ca="1">IF(356=0,"-",IF(ISNUMBER(FIND("ED only",$B$4)),SUMIFS(sum_dest_adm,site_level_range_dest,LEFT($B$4,LEN($B$4)-10),date_range_dest,C52,inputdata!$F:$F,"ED"),SUMIFS(sum_dest_adm,site_level_range_dest,$B$4,date_range_dest,C52)))</f>
        <v>31826</v>
      </c>
      <c r="D58" s="147">
        <f ca="1">IF(456=0,"-",IF(ISNUMBER(FIND("ED only",$B$4)),SUMIFS(sum_dest_adm,site_level_range_dest,LEFT($B$4,LEN($B$4)-10),date_range_dest,D52,inputdata!$F:$F,"ED"),SUMIFS(sum_dest_adm,site_level_range_dest,$B$4,date_range_dest,D52)))</f>
        <v>32711</v>
      </c>
      <c r="E58" s="147">
        <f ca="1">IF(556=0,"-",IF(ISNUMBER(FIND("ED only",$B$4)),SUMIFS(sum_dest_adm,site_level_range_dest,LEFT($B$4,LEN($B$4)-10),date_range_dest,E52,inputdata!$F:$F,"ED"),SUMIFS(sum_dest_adm,site_level_range_dest,$B$4,date_range_dest,E52)))</f>
        <v>31412</v>
      </c>
      <c r="F58" s="147">
        <f ca="1">IF(656=0,"-",IF(ISNUMBER(FIND("ED only",$B$4)),SUMIFS(sum_dest_adm,site_level_range_dest,LEFT($B$4,LEN($B$4)-10),date_range_dest,F52,inputdata!$F:$F,"ED"),SUMIFS(sum_dest_adm,site_level_range_dest,$B$4,date_range_dest,F52)))</f>
        <v>31670</v>
      </c>
      <c r="G58" s="147">
        <f ca="1">IF(756=0,"-",IF(ISNUMBER(FIND("ED only",$B$4)),SUMIFS(sum_dest_adm,site_level_range_dest,LEFT($B$4,LEN($B$4)-10),date_range_dest,G52,inputdata!$F:$F,"ED"),SUMIFS(sum_dest_adm,site_level_range_dest,$B$4,date_range_dest,G52)))</f>
        <v>32812</v>
      </c>
      <c r="H58" s="147">
        <f ca="1">IF(856=0,"-",IF(ISNUMBER(FIND("ED only",$B$4)),SUMIFS(sum_dest_adm,site_level_range_dest,LEFT($B$4,LEN($B$4)-10),date_range_dest,H52,inputdata!$F:$F,"ED"),SUMIFS(sum_dest_adm,site_level_range_dest,$B$4,date_range_dest,H52)))</f>
        <v>31816</v>
      </c>
      <c r="I58" s="147">
        <f ca="1">IF(956=0,"-",IF(ISNUMBER(FIND("ED only",$B$4)),SUMIFS(sum_dest_adm,site_level_range_dest,LEFT($B$4,LEN($B$4)-10),date_range_dest,I52,inputdata!$F:$F,"ED"),SUMIFS(sum_dest_adm,site_level_range_dest,$B$4,date_range_dest,I52)))</f>
        <v>32984</v>
      </c>
      <c r="J58" s="147">
        <f ca="1">IF(1056=0,"-",IF(ISNUMBER(FIND("ED only",$B$4)),SUMIFS(sum_dest_adm,site_level_range_dest,LEFT($B$4,LEN($B$4)-10),date_range_dest,J52,inputdata!$F:$F,"ED"),SUMIFS(sum_dest_adm,site_level_range_dest,$B$4,date_range_dest,J52)))</f>
        <v>33053</v>
      </c>
      <c r="K58" s="147">
        <f ca="1">IF(1156=0,"-",IF(ISNUMBER(FIND("ED only",$B$4)),SUMIFS(sum_dest_adm,site_level_range_dest,LEFT($B$4,LEN($B$4)-10),date_range_dest,K52,inputdata!$F:$F,"ED"),SUMIFS(sum_dest_adm,site_level_range_dest,$B$4,date_range_dest,K52)))</f>
        <v>35095</v>
      </c>
      <c r="L58" s="147">
        <f ca="1">IF(1256=0,"-",IF(ISNUMBER(FIND("ED only",$B$4)),SUMIFS(sum_dest_adm,site_level_range_dest,LEFT($B$4,LEN($B$4)-10),date_range_dest,L52,inputdata!$F:$F,"ED"),SUMIFS(sum_dest_adm,site_level_range_dest,$B$4,date_range_dest,L52)))</f>
        <v>35120</v>
      </c>
      <c r="M58" s="147">
        <f ca="1">IF(1356=0,"-",IF(ISNUMBER(FIND("ED only",$B$4)),SUMIFS(sum_dest_adm,site_level_range_dest,LEFT($B$4,LEN($B$4)-10),date_range_dest,M52,inputdata!$F:$F,"ED"),SUMIFS(sum_dest_adm,site_level_range_dest,$B$4,date_range_dest,M52)))</f>
        <v>31289</v>
      </c>
      <c r="N58" s="156">
        <f ca="1">IF(1456=0,"-",IF(ISNUMBER(FIND("ED only",$B$4)),SUMIFS(sum_dest_adm,site_level_range_dest,LEFT($B$4,LEN($B$4)-10),date_range_dest,N52,inputdata!$F:$F,"ED"),SUMIFS(sum_dest_adm,site_level_range_dest,$B$4,date_range_dest,N52)))</f>
        <v>34192</v>
      </c>
      <c r="P58" s="59"/>
      <c r="R58" s="40" t="s">
        <v>44</v>
      </c>
    </row>
    <row r="59" spans="1:18" ht="15" customHeight="1" x14ac:dyDescent="0.2">
      <c r="A59" s="132"/>
      <c r="B59" s="152" t="s">
        <v>740</v>
      </c>
      <c r="C59" s="147">
        <f ca="1">IF(356=0,"-",IF(ISNUMBER(FIND("ED only",$B$4)),SUMIFS(sum_dest_tran,site_level_range_dest,LEFT($B$4,LEN($B$4)-10),date_range_dest,C52,inputdata!$F:$F,"ED"),SUMIFS(sum_dest_tran,site_level_range_dest,$B$4,date_range_dest,C52)))</f>
        <v>3345</v>
      </c>
      <c r="D59" s="147">
        <f ca="1">IF(456=0,"-",IF(ISNUMBER(FIND("ED only",$B$4)),SUMIFS(sum_dest_tran,site_level_range_dest,LEFT($B$4,LEN($B$4)-10),date_range_dest,D52,inputdata!$F:$F,"ED"),SUMIFS(sum_dest_tran,site_level_range_dest,$B$4,date_range_dest,D52)))</f>
        <v>3372</v>
      </c>
      <c r="E59" s="147">
        <f ca="1">IF(556=0,"-",IF(ISNUMBER(FIND("ED only",$B$4)),SUMIFS(sum_dest_tran,site_level_range_dest,LEFT($B$4,LEN($B$4)-10),date_range_dest,E52,inputdata!$F:$F,"ED"),SUMIFS(sum_dest_tran,site_level_range_dest,$B$4,date_range_dest,E52)))</f>
        <v>3219</v>
      </c>
      <c r="F59" s="147">
        <f ca="1">IF(656=0,"-",IF(ISNUMBER(FIND("ED only",$B$4)),SUMIFS(sum_dest_tran,site_level_range_dest,LEFT($B$4,LEN($B$4)-10),date_range_dest,F52,inputdata!$F:$F,"ED"),SUMIFS(sum_dest_tran,site_level_range_dest,$B$4,date_range_dest,F52)))</f>
        <v>3250</v>
      </c>
      <c r="G59" s="147">
        <f ca="1">IF(756=0,"-",IF(ISNUMBER(FIND("ED only",$B$4)),SUMIFS(sum_dest_tran,site_level_range_dest,LEFT($B$4,LEN($B$4)-10),date_range_dest,G52,inputdata!$F:$F,"ED"),SUMIFS(sum_dest_tran,site_level_range_dest,$B$4,date_range_dest,G52)))</f>
        <v>3136</v>
      </c>
      <c r="H59" s="147">
        <f ca="1">IF(856=0,"-",IF(ISNUMBER(FIND("ED only",$B$4)),SUMIFS(sum_dest_tran,site_level_range_dest,LEFT($B$4,LEN($B$4)-10),date_range_dest,H52,inputdata!$F:$F,"ED"),SUMIFS(sum_dest_tran,site_level_range_dest,$B$4,date_range_dest,H52)))</f>
        <v>3155</v>
      </c>
      <c r="I59" s="147">
        <f ca="1">IF(956=0,"-",IF(ISNUMBER(FIND("ED only",$B$4)),SUMIFS(sum_dest_tran,site_level_range_dest,LEFT($B$4,LEN($B$4)-10),date_range_dest,I52,inputdata!$F:$F,"ED"),SUMIFS(sum_dest_tran,site_level_range_dest,$B$4,date_range_dest,I52)))</f>
        <v>2926</v>
      </c>
      <c r="J59" s="147">
        <f ca="1">IF(1056=0,"-",IF(ISNUMBER(FIND("ED only",$B$4)),SUMIFS(sum_dest_tran,site_level_range_dest,LEFT($B$4,LEN($B$4)-10),date_range_dest,J52,inputdata!$F:$F,"ED"),SUMIFS(sum_dest_tran,site_level_range_dest,$B$4,date_range_dest,J52)))</f>
        <v>2841</v>
      </c>
      <c r="K59" s="147">
        <f ca="1">IF(1156=0,"-",IF(ISNUMBER(FIND("ED only",$B$4)),SUMIFS(sum_dest_tran,site_level_range_dest,LEFT($B$4,LEN($B$4)-10),date_range_dest,K52,inputdata!$F:$F,"ED"),SUMIFS(sum_dest_tran,site_level_range_dest,$B$4,date_range_dest,K52)))</f>
        <v>3116</v>
      </c>
      <c r="L59" s="147">
        <f ca="1">IF(1256=0,"-",IF(ISNUMBER(FIND("ED only",$B$4)),SUMIFS(sum_dest_tran,site_level_range_dest,LEFT($B$4,LEN($B$4)-10),date_range_dest,L52,inputdata!$F:$F,"ED"),SUMIFS(sum_dest_tran,site_level_range_dest,$B$4,date_range_dest,L52)))</f>
        <v>3083</v>
      </c>
      <c r="M59" s="147">
        <f ca="1">IF(1356=0,"-",IF(ISNUMBER(FIND("ED only",$B$4)),SUMIFS(sum_dest_tran,site_level_range_dest,LEFT($B$4,LEN($B$4)-10),date_range_dest,M52,inputdata!$F:$F,"ED"),SUMIFS(sum_dest_tran,site_level_range_dest,$B$4,date_range_dest,M52)))</f>
        <v>2632</v>
      </c>
      <c r="N59" s="156">
        <f ca="1">IF(1456=0,"-",IF(ISNUMBER(FIND("ED only",$B$4)),SUMIFS(sum_dest_tran,site_level_range_dest,LEFT($B$4,LEN($B$4)-10),date_range_dest,N52,inputdata!$F:$F,"ED"),SUMIFS(sum_dest_tran,site_level_range_dest,$B$4,date_range_dest,N52)))</f>
        <v>2893</v>
      </c>
      <c r="P59" s="59"/>
      <c r="R59" s="40" t="s">
        <v>334</v>
      </c>
    </row>
    <row r="60" spans="1:18" ht="15" customHeight="1" x14ac:dyDescent="0.2">
      <c r="A60" s="132"/>
      <c r="B60" s="152" t="s">
        <v>741</v>
      </c>
      <c r="C60" s="147">
        <f ca="1">IF(356=0,"-",IF(ISNUMBER(FIND("ED only",$B$4)),SUMIFS(sum_dest_other,site_level_range_dest,LEFT($B$4,LEN($B$4)-10),date_range_dest,C52,inputdata!$F:$F,"ED"),SUMIFS(sum_dest_other,site_level_range_dest,$B$4,date_range_dest,C52)))</f>
        <v>165</v>
      </c>
      <c r="D60" s="147">
        <f ca="1">IF(456=0,"-",IF(ISNUMBER(FIND("ED only",$B$4)),SUMIFS(sum_dest_other,site_level_range_dest,LEFT($B$4,LEN($B$4)-10),date_range_dest,D52,inputdata!$F:$F,"ED"),SUMIFS(sum_dest_other,site_level_range_dest,$B$4,date_range_dest,D52)))</f>
        <v>161</v>
      </c>
      <c r="E60" s="147">
        <f ca="1">IF(556=0,"-",IF(ISNUMBER(FIND("ED only",$B$4)),SUMIFS(sum_dest_other,site_level_range_dest,LEFT($B$4,LEN($B$4)-10),date_range_dest,E52,inputdata!$F:$F,"ED"),SUMIFS(sum_dest_other,site_level_range_dest,$B$4,date_range_dest,E52)))</f>
        <v>156</v>
      </c>
      <c r="F60" s="147">
        <f ca="1">IF(656=0,"-",IF(ISNUMBER(FIND("ED only",$B$4)),SUMIFS(sum_dest_other,site_level_range_dest,LEFT($B$4,LEN($B$4)-10),date_range_dest,F52,inputdata!$F:$F,"ED"),SUMIFS(sum_dest_other,site_level_range_dest,$B$4,date_range_dest,F52)))</f>
        <v>162</v>
      </c>
      <c r="G60" s="147">
        <f ca="1">IF(756=0,"-",IF(ISNUMBER(FIND("ED only",$B$4)),SUMIFS(sum_dest_other,site_level_range_dest,LEFT($B$4,LEN($B$4)-10),date_range_dest,G52,inputdata!$F:$F,"ED"),SUMIFS(sum_dest_other,site_level_range_dest,$B$4,date_range_dest,G52)))</f>
        <v>144</v>
      </c>
      <c r="H60" s="147">
        <f ca="1">IF(856=0,"-",IF(ISNUMBER(FIND("ED only",$B$4)),SUMIFS(sum_dest_other,site_level_range_dest,LEFT($B$4,LEN($B$4)-10),date_range_dest,H52,inputdata!$F:$F,"ED"),SUMIFS(sum_dest_other,site_level_range_dest,$B$4,date_range_dest,H52)))</f>
        <v>168</v>
      </c>
      <c r="I60" s="147">
        <f ca="1">IF(956=0,"-",IF(ISNUMBER(FIND("ED only",$B$4)),SUMIFS(sum_dest_other,site_level_range_dest,LEFT($B$4,LEN($B$4)-10),date_range_dest,I52,inputdata!$F:$F,"ED"),SUMIFS(sum_dest_other,site_level_range_dest,$B$4,date_range_dest,I52)))</f>
        <v>158</v>
      </c>
      <c r="J60" s="147">
        <f ca="1">IF(1056=0,"-",IF(ISNUMBER(FIND("ED only",$B$4)),SUMIFS(sum_dest_other,site_level_range_dest,LEFT($B$4,LEN($B$4)-10),date_range_dest,J52,inputdata!$F:$F,"ED"),SUMIFS(sum_dest_other,site_level_range_dest,$B$4,date_range_dest,J52)))</f>
        <v>171</v>
      </c>
      <c r="K60" s="147">
        <f ca="1">IF(1156=0,"-",IF(ISNUMBER(FIND("ED only",$B$4)),SUMIFS(sum_dest_other,site_level_range_dest,LEFT($B$4,LEN($B$4)-10),date_range_dest,K52,inputdata!$F:$F,"ED"),SUMIFS(sum_dest_other,site_level_range_dest,$B$4,date_range_dest,K52)))</f>
        <v>186</v>
      </c>
      <c r="L60" s="147">
        <f ca="1">IF(1256=0,"-",IF(ISNUMBER(FIND("ED only",$B$4)),SUMIFS(sum_dest_other,site_level_range_dest,LEFT($B$4,LEN($B$4)-10),date_range_dest,L52,inputdata!$F:$F,"ED"),SUMIFS(sum_dest_other,site_level_range_dest,$B$4,date_range_dest,L52)))</f>
        <v>194</v>
      </c>
      <c r="M60" s="147">
        <f ca="1">IF(1356=0,"-",IF(ISNUMBER(FIND("ED only",$B$4)),SUMIFS(sum_dest_other,site_level_range_dest,LEFT($B$4,LEN($B$4)-10),date_range_dest,M52,inputdata!$F:$F,"ED"),SUMIFS(sum_dest_other,site_level_range_dest,$B$4,date_range_dest,M52)))</f>
        <v>166</v>
      </c>
      <c r="N60" s="156">
        <f ca="1">IF(1456=0,"-",IF(ISNUMBER(FIND("ED only",$B$4)),SUMIFS(sum_dest_other,site_level_range_dest,LEFT($B$4,LEN($B$4)-10),date_range_dest,N52,inputdata!$F:$F,"ED"),SUMIFS(sum_dest_other,site_level_range_dest,$B$4,date_range_dest,N52)))</f>
        <v>159</v>
      </c>
      <c r="P60" s="59"/>
      <c r="R60" s="40" t="s">
        <v>43</v>
      </c>
    </row>
    <row r="61" spans="1:18" ht="15" customHeight="1" x14ac:dyDescent="0.2">
      <c r="A61" s="132"/>
      <c r="B61" s="154" t="s">
        <v>742</v>
      </c>
      <c r="C61" s="150">
        <f ca="1">IF(356=0,"-",IF(ISNUMBER(FIND("ED only",$B$4)),SUMIFS(sum_dest_unknown,site_level_range_dest,LEFT($B$4,LEN($B$4)-10),date_range_dest,C52,inputdata!$F:$F,"ED"),SUMIFS(sum_dest_unknown,site_level_range_dest,$B$4,date_range_dest,C52)))</f>
        <v>3288</v>
      </c>
      <c r="D61" s="150">
        <f ca="1">IF(456=0,"-",IF(ISNUMBER(FIND("ED only",$B$4)),SUMIFS(sum_dest_unknown,site_level_range_dest,LEFT($B$4,LEN($B$4)-10),date_range_dest,D52,inputdata!$F:$F,"ED"),SUMIFS(sum_dest_unknown,site_level_range_dest,$B$4,date_range_dest,D52)))</f>
        <v>3549</v>
      </c>
      <c r="E61" s="150">
        <f ca="1">IF(556=0,"-",IF(ISNUMBER(FIND("ED only",$B$4)),SUMIFS(sum_dest_unknown,site_level_range_dest,LEFT($B$4,LEN($B$4)-10),date_range_dest,E52,inputdata!$F:$F,"ED"),SUMIFS(sum_dest_unknown,site_level_range_dest,$B$4,date_range_dest,E52)))</f>
        <v>3572</v>
      </c>
      <c r="F61" s="150">
        <f ca="1">IF(656=0,"-",IF(ISNUMBER(FIND("ED only",$B$4)),SUMIFS(sum_dest_unknown,site_level_range_dest,LEFT($B$4,LEN($B$4)-10),date_range_dest,F52,inputdata!$F:$F,"ED"),SUMIFS(sum_dest_unknown,site_level_range_dest,$B$4,date_range_dest,F52)))</f>
        <v>3475</v>
      </c>
      <c r="G61" s="150">
        <f ca="1">IF(756=0,"-",IF(ISNUMBER(FIND("ED only",$B$4)),SUMIFS(sum_dest_unknown,site_level_range_dest,LEFT($B$4,LEN($B$4)-10),date_range_dest,G52,inputdata!$F:$F,"ED"),SUMIFS(sum_dest_unknown,site_level_range_dest,$B$4,date_range_dest,G52)))</f>
        <v>3411</v>
      </c>
      <c r="H61" s="150">
        <f ca="1">IF(856=0,"-",IF(ISNUMBER(FIND("ED only",$B$4)),SUMIFS(sum_dest_unknown,site_level_range_dest,LEFT($B$4,LEN($B$4)-10),date_range_dest,H52,inputdata!$F:$F,"ED"),SUMIFS(sum_dest_unknown,site_level_range_dest,$B$4,date_range_dest,H52)))</f>
        <v>3328</v>
      </c>
      <c r="I61" s="150">
        <f ca="1">IF(956=0,"-",IF(ISNUMBER(FIND("ED only",$B$4)),SUMIFS(sum_dest_unknown,site_level_range_dest,LEFT($B$4,LEN($B$4)-10),date_range_dest,I52,inputdata!$F:$F,"ED"),SUMIFS(sum_dest_unknown,site_level_range_dest,$B$4,date_range_dest,I52)))</f>
        <v>3116</v>
      </c>
      <c r="J61" s="150">
        <f ca="1">IF(1056=0,"-",IF(ISNUMBER(FIND("ED only",$B$4)),SUMIFS(sum_dest_unknown,site_level_range_dest,LEFT($B$4,LEN($B$4)-10),date_range_dest,J52,inputdata!$F:$F,"ED"),SUMIFS(sum_dest_unknown,site_level_range_dest,$B$4,date_range_dest,J52)))</f>
        <v>3145</v>
      </c>
      <c r="K61" s="150">
        <f ca="1">IF(1156=0,"-",IF(ISNUMBER(FIND("ED only",$B$4)),SUMIFS(sum_dest_unknown,site_level_range_dest,LEFT($B$4,LEN($B$4)-10),date_range_dest,K52,inputdata!$F:$F,"ED"),SUMIFS(sum_dest_unknown,site_level_range_dest,$B$4,date_range_dest,K52)))</f>
        <v>3320</v>
      </c>
      <c r="L61" s="150">
        <f ca="1">IF(1256=0,"-",IF(ISNUMBER(FIND("ED only",$B$4)),SUMIFS(sum_dest_unknown,site_level_range_dest,LEFT($B$4,LEN($B$4)-10),date_range_dest,L52,inputdata!$F:$F,"ED"),SUMIFS(sum_dest_unknown,site_level_range_dest,$B$4,date_range_dest,L52)))</f>
        <v>3106</v>
      </c>
      <c r="M61" s="150">
        <f ca="1">IF(1356=0,"-",IF(ISNUMBER(FIND("ED only",$B$4)),SUMIFS(sum_dest_unknown,site_level_range_dest,LEFT($B$4,LEN($B$4)-10),date_range_dest,M52,inputdata!$F:$F,"ED"),SUMIFS(sum_dest_unknown,site_level_range_dest,$B$4,date_range_dest,M52)))</f>
        <v>2896</v>
      </c>
      <c r="N61" s="159">
        <f ca="1">IF(1456=0,"-",IF(ISNUMBER(FIND("ED only",$B$4)),SUMIFS(sum_dest_unknown,site_level_range_dest,LEFT($B$4,LEN($B$4)-10),date_range_dest,N52,inputdata!$F:$F,"ED"),SUMIFS(sum_dest_unknown,site_level_range_dest,$B$4,date_range_dest,N52)))</f>
        <v>3457</v>
      </c>
      <c r="P61" s="59"/>
      <c r="R61" s="40" t="s">
        <v>114</v>
      </c>
    </row>
    <row r="62" spans="1:18" ht="13.5" customHeight="1" x14ac:dyDescent="0.2">
      <c r="B62" s="127"/>
      <c r="C62" s="127"/>
      <c r="D62" s="127"/>
      <c r="E62" s="127"/>
      <c r="F62" s="127"/>
      <c r="G62" s="127"/>
      <c r="H62" s="127"/>
      <c r="I62" s="127"/>
      <c r="J62" s="127"/>
      <c r="K62" s="127"/>
      <c r="L62" s="127"/>
      <c r="M62" s="127"/>
      <c r="N62" s="127"/>
      <c r="P62" s="59"/>
      <c r="R62" s="40" t="s">
        <v>100</v>
      </c>
    </row>
    <row r="63" spans="1:18" ht="15" customHeight="1" x14ac:dyDescent="0.25">
      <c r="A63" s="132"/>
      <c r="B63" s="153" t="str">
        <f>IF(ISNUMBER(FIND("ED only",$B$4)),"2017/2018 (ED Only)","2017/2018")</f>
        <v>2017/2018</v>
      </c>
      <c r="C63" s="149">
        <v>42855</v>
      </c>
      <c r="D63" s="149">
        <v>42886</v>
      </c>
      <c r="E63" s="149">
        <v>42916</v>
      </c>
      <c r="F63" s="149">
        <v>42947</v>
      </c>
      <c r="G63" s="149">
        <v>42978</v>
      </c>
      <c r="H63" s="149">
        <v>43008</v>
      </c>
      <c r="I63" s="149">
        <v>43039</v>
      </c>
      <c r="J63" s="149">
        <v>43069</v>
      </c>
      <c r="K63" s="149">
        <v>43100</v>
      </c>
      <c r="L63" s="149">
        <v>43131</v>
      </c>
      <c r="M63" s="149">
        <v>43159</v>
      </c>
      <c r="N63" s="158">
        <v>43190</v>
      </c>
      <c r="R63" s="40" t="s">
        <v>335</v>
      </c>
    </row>
    <row r="64" spans="1:18" ht="15" customHeight="1" x14ac:dyDescent="0.2">
      <c r="A64" s="132"/>
      <c r="B64" s="164" t="s">
        <v>735</v>
      </c>
      <c r="C64" s="162"/>
      <c r="D64" s="162"/>
      <c r="E64" s="162"/>
      <c r="F64" s="162"/>
      <c r="G64" s="162"/>
      <c r="H64" s="162"/>
      <c r="I64" s="162"/>
      <c r="J64" s="162"/>
      <c r="K64" s="162"/>
      <c r="L64" s="162"/>
      <c r="M64" s="162"/>
      <c r="N64" s="152"/>
      <c r="R64" s="40" t="s">
        <v>336</v>
      </c>
    </row>
    <row r="65" spans="1:18" ht="15" customHeight="1" x14ac:dyDescent="0.2">
      <c r="A65" s="132"/>
      <c r="B65" s="154" t="s">
        <v>736</v>
      </c>
      <c r="C65" s="150">
        <f ca="1">IF(ISNUMBER(FIND("ED only",$B$4)),SUMIFS(sum_range_dest,site_level_range_dest,LEFT($B$4,LEN($B$4)-10),date_range_dest,C63,inputdata!$F:$F,"ED"),SUMIFS(sum_range_dest,site_level_range_dest,$B$4,date_range_dest,C63))</f>
        <v>136073</v>
      </c>
      <c r="D65" s="150">
        <f ca="1">IF(ISNUMBER(FIND("ED only",$B$4)),SUMIFS(sum_range_dest,site_level_range_dest,LEFT($B$4,LEN($B$4)-10),date_range_dest,D63,inputdata!$F:$F,"ED"),SUMIFS(sum_range_dest,site_level_range_dest,$B$4,date_range_dest,D63))</f>
        <v>150419</v>
      </c>
      <c r="E65" s="150">
        <f ca="1">IF(ISNUMBER(FIND("ED only",$B$4)),SUMIFS(sum_range_dest,site_level_range_dest,LEFT($B$4,LEN($B$4)-10),date_range_dest,E63,inputdata!$F:$F,"ED"),SUMIFS(sum_range_dest,site_level_range_dest,$B$4,date_range_dest,E63))</f>
        <v>138801</v>
      </c>
      <c r="F65" s="150">
        <f ca="1">IF(ISNUMBER(FIND("ED only",$B$4)),SUMIFS(sum_range_dest,site_level_range_dest,LEFT($B$4,LEN($B$4)-10),date_range_dest,F63,inputdata!$F:$F,"ED"),SUMIFS(sum_range_dest,site_level_range_dest,$B$4,date_range_dest,F63))</f>
        <v>137627</v>
      </c>
      <c r="G65" s="150">
        <f ca="1">IF(ISNUMBER(FIND("ED only",$B$4)),SUMIFS(sum_range_dest,site_level_range_dest,LEFT($B$4,LEN($B$4)-10),date_range_dest,G63,inputdata!$F:$F,"ED"),SUMIFS(sum_range_dest,site_level_range_dest,$B$4,date_range_dest,G63))</f>
        <v>141348</v>
      </c>
      <c r="H65" s="150">
        <f ca="1">IF(ISNUMBER(FIND("ED only",$B$4)),SUMIFS(sum_range_dest,site_level_range_dest,LEFT($B$4,LEN($B$4)-10),date_range_dest,H63,inputdata!$F:$F,"ED"),SUMIFS(sum_range_dest,site_level_range_dest,$B$4,date_range_dest,H63))</f>
        <v>140935</v>
      </c>
      <c r="I65" s="150">
        <f ca="1">IF(ISNUMBER(FIND("ED only",$B$4)),SUMIFS(sum_range_dest,site_level_range_dest,LEFT($B$4,LEN($B$4)-10),date_range_dest,I63,inputdata!$F:$F,"ED"),SUMIFS(sum_range_dest,site_level_range_dest,$B$4,date_range_dest,I63))</f>
        <v>137829</v>
      </c>
      <c r="J65" s="150">
        <f ca="1">IF(ISNUMBER(FIND("ED only",$B$4)),SUMIFS(sum_range_dest,site_level_range_dest,LEFT($B$4,LEN($B$4)-10),date_range_dest,J63,inputdata!$F:$F,"ED"),SUMIFS(sum_range_dest,site_level_range_dest,$B$4,date_range_dest,J63))</f>
        <v>132214</v>
      </c>
      <c r="K65" s="150">
        <f ca="1">IF(ISNUMBER(FIND("ED only",$B$4)),SUMIFS(sum_range_dest,site_level_range_dest,LEFT($B$4,LEN($B$4)-10),date_range_dest,K63,inputdata!$F:$F,"ED"),SUMIFS(sum_range_dest,site_level_range_dest,$B$4,date_range_dest,K63))</f>
        <v>141978</v>
      </c>
      <c r="L65" s="150">
        <f ca="1">IF(ISNUMBER(FIND("ED only",$B$4)),SUMIFS(sum_range_dest,site_level_range_dest,LEFT($B$4,LEN($B$4)-10),date_range_dest,L63,inputdata!$F:$F,"ED"),SUMIFS(sum_range_dest,site_level_range_dest,$B$4,date_range_dest,L63))</f>
        <v>129041</v>
      </c>
      <c r="M65" s="150">
        <f ca="1">IF(ISNUMBER(FIND("ED only",$B$4)),SUMIFS(sum_range_dest,site_level_range_dest,LEFT($B$4,LEN($B$4)-10),date_range_dest,M63,inputdata!$F:$F,"ED"),SUMIFS(sum_range_dest,site_level_range_dest,$B$4,date_range_dest,M63))</f>
        <v>121666</v>
      </c>
      <c r="N65" s="159">
        <f ca="1">IF(ISNUMBER(FIND("ED only",$B$4)),SUMIFS(sum_range_dest,site_level_range_dest,LEFT($B$4,LEN($B$4)-10),date_range_dest,N63,inputdata!$F:$F,"ED"),SUMIFS(sum_range_dest,site_level_range_dest,$B$4,date_range_dest,N63))</f>
        <v>137805</v>
      </c>
      <c r="R65" s="40" t="s">
        <v>244</v>
      </c>
    </row>
    <row r="66" spans="1:18" ht="15" customHeight="1" x14ac:dyDescent="0.2">
      <c r="A66" s="132"/>
      <c r="B66" s="164" t="s">
        <v>737</v>
      </c>
      <c r="C66" s="162"/>
      <c r="D66" s="162"/>
      <c r="E66" s="162"/>
      <c r="F66" s="162"/>
      <c r="G66" s="162"/>
      <c r="H66" s="162"/>
      <c r="I66" s="162"/>
      <c r="J66" s="162"/>
      <c r="K66" s="162"/>
      <c r="L66" s="162"/>
      <c r="M66" s="162"/>
      <c r="N66" s="152"/>
      <c r="R66" s="40" t="s">
        <v>245</v>
      </c>
    </row>
    <row r="67" spans="1:18" ht="15" customHeight="1" x14ac:dyDescent="0.2">
      <c r="A67" s="132"/>
      <c r="B67" s="152" t="s">
        <v>736</v>
      </c>
      <c r="C67" s="147">
        <f ca="1">IF(ISNUMBER(FIND("ED only",$B$4)),SUMIFS(sum_total_epi_dest,site_level_range_dest,LEFT($B$4,LEN($B$4)-10),date_range_dest,C63,inputdata!$F:$F,"ED"),SUMIFS(sum_total_epi_dest,site_level_range_dest,$B$4,date_range_dest,C63))</f>
        <v>128238</v>
      </c>
      <c r="D67" s="147">
        <f ca="1">IF(ISNUMBER(FIND("ED only",$B$4)),SUMIFS(sum_total_epi_dest,site_level_range_dest,LEFT($B$4,LEN($B$4)-10),date_range_dest,D63,inputdata!$F:$F,"ED"),SUMIFS(sum_total_epi_dest,site_level_range_dest,$B$4,date_range_dest,D63))</f>
        <v>141158</v>
      </c>
      <c r="E67" s="147">
        <f ca="1">IF(ISNUMBER(FIND("ED only",$B$4)),SUMIFS(sum_total_epi_dest,site_level_range_dest,LEFT($B$4,LEN($B$4)-10),date_range_dest,E63,inputdata!$F:$F,"ED"),SUMIFS(sum_total_epi_dest,site_level_range_dest,$B$4,date_range_dest,E63))</f>
        <v>130096</v>
      </c>
      <c r="F67" s="147">
        <f ca="1">IF(ISNUMBER(FIND("ED only",$B$4)),SUMIFS(sum_total_epi_dest,site_level_range_dest,LEFT($B$4,LEN($B$4)-10),date_range_dest,F63,inputdata!$F:$F,"ED"),SUMIFS(sum_total_epi_dest,site_level_range_dest,$B$4,date_range_dest,F63))</f>
        <v>128896</v>
      </c>
      <c r="G67" s="147">
        <f ca="1">IF(ISNUMBER(FIND("ED only",$B$4)),SUMIFS(sum_total_epi_dest,site_level_range_dest,LEFT($B$4,LEN($B$4)-10),date_range_dest,G63,inputdata!$F:$F,"ED"),SUMIFS(sum_total_epi_dest,site_level_range_dest,$B$4,date_range_dest,G63))</f>
        <v>132607</v>
      </c>
      <c r="H67" s="147">
        <f ca="1">IF(ISNUMBER(FIND("ED only",$B$4)),SUMIFS(sum_total_epi_dest,site_level_range_dest,LEFT($B$4,LEN($B$4)-10),date_range_dest,H63,inputdata!$F:$F,"ED"),SUMIFS(sum_total_epi_dest,site_level_range_dest,$B$4,date_range_dest,H63))</f>
        <v>132826</v>
      </c>
      <c r="I67" s="147">
        <f ca="1">IF(ISNUMBER(FIND("ED only",$B$4)),SUMIFS(sum_total_epi_dest,site_level_range_dest,LEFT($B$4,LEN($B$4)-10),date_range_dest,I63,inputdata!$F:$F,"ED"),SUMIFS(sum_total_epi_dest,site_level_range_dest,$B$4,date_range_dest,I63))</f>
        <v>130215</v>
      </c>
      <c r="J67" s="147">
        <f ca="1">IF(ISNUMBER(FIND("ED only",$B$4)),SUMIFS(sum_total_epi_dest,site_level_range_dest,LEFT($B$4,LEN($B$4)-10),date_range_dest,J63,inputdata!$F:$F,"ED"),SUMIFS(sum_total_epi_dest,site_level_range_dest,$B$4,date_range_dest,J63))</f>
        <v>125422</v>
      </c>
      <c r="K67" s="147">
        <f ca="1">IF(ISNUMBER(FIND("ED only",$B$4)),SUMIFS(sum_total_epi_dest,site_level_range_dest,LEFT($B$4,LEN($B$4)-10),date_range_dest,K63,inputdata!$F:$F,"ED"),SUMIFS(sum_total_epi_dest,site_level_range_dest,$B$4,date_range_dest,K63))</f>
        <v>134083</v>
      </c>
      <c r="L67" s="147">
        <f ca="1">IF(ISNUMBER(FIND("ED only",$B$4)),SUMIFS(sum_total_epi_dest,site_level_range_dest,LEFT($B$4,LEN($B$4)-10),date_range_dest,L63,inputdata!$F:$F,"ED"),SUMIFS(sum_total_epi_dest,site_level_range_dest,$B$4,date_range_dest,L63))</f>
        <v>121857</v>
      </c>
      <c r="M67" s="147">
        <f ca="1">IF(ISNUMBER(FIND("ED only",$B$4)),SUMIFS(sum_total_epi_dest,site_level_range_dest,LEFT($B$4,LEN($B$4)-10),date_range_dest,M63,inputdata!$F:$F,"ED"),SUMIFS(sum_total_epi_dest,site_level_range_dest,$B$4,date_range_dest,M63))</f>
        <v>115158</v>
      </c>
      <c r="N67" s="156">
        <f ca="1">IF(ISNUMBER(FIND("ED only",$B$4)),SUMIFS(sum_total_epi_dest,site_level_range_dest,LEFT($B$4,LEN($B$4)-10),date_range_dest,N63,inputdata!$F:$F,"ED"),SUMIFS(sum_total_epi_dest,site_level_range_dest,$B$4,date_range_dest,N63))</f>
        <v>130521</v>
      </c>
      <c r="R67" s="40" t="s">
        <v>246</v>
      </c>
    </row>
    <row r="68" spans="1:18" ht="15" customHeight="1" x14ac:dyDescent="0.2">
      <c r="A68" s="132"/>
      <c r="B68" s="152" t="s">
        <v>738</v>
      </c>
      <c r="C68" s="147">
        <f ca="1">IF(367=0,"-",IF(ISNUMBER(FIND("ED only",$B$4)),SUMIFS(sum_dest_res,site_level_range_dest,LEFT($B$4,LEN($B$4)-10),date_range_dest,C63,inputdata!$F:$F,"ED"),SUMIFS(sum_dest_res,site_level_range_dest,$B$4,date_range_dest,C63)))</f>
        <v>89506</v>
      </c>
      <c r="D68" s="147">
        <f ca="1">IF(467=0,"-",IF(ISNUMBER(FIND("ED only",$B$4)),SUMIFS(sum_dest_res,site_level_range_dest,LEFT($B$4,LEN($B$4)-10),date_range_dest,D63,inputdata!$F:$F,"ED"),SUMIFS(sum_dest_res,site_level_range_dest,$B$4,date_range_dest,D63)))</f>
        <v>100028</v>
      </c>
      <c r="E68" s="147">
        <f ca="1">IF(567=0,"-",IF(ISNUMBER(FIND("ED only",$B$4)),SUMIFS(sum_dest_res,site_level_range_dest,LEFT($B$4,LEN($B$4)-10),date_range_dest,E63,inputdata!$F:$F,"ED"),SUMIFS(sum_dest_res,site_level_range_dest,$B$4,date_range_dest,E63)))</f>
        <v>92133</v>
      </c>
      <c r="F68" s="147">
        <f ca="1">IF(667=0,"-",IF(ISNUMBER(FIND("ED only",$B$4)),SUMIFS(sum_dest_res,site_level_range_dest,LEFT($B$4,LEN($B$4)-10),date_range_dest,F63,inputdata!$F:$F,"ED"),SUMIFS(sum_dest_res,site_level_range_dest,$B$4,date_range_dest,F63)))</f>
        <v>90901</v>
      </c>
      <c r="G68" s="147">
        <f ca="1">IF(767=0,"-",IF(ISNUMBER(FIND("ED only",$B$4)),SUMIFS(sum_dest_res,site_level_range_dest,LEFT($B$4,LEN($B$4)-10),date_range_dest,G63,inputdata!$F:$F,"ED"),SUMIFS(sum_dest_res,site_level_range_dest,$B$4,date_range_dest,G63)))</f>
        <v>94432</v>
      </c>
      <c r="H68" s="147">
        <f ca="1">IF(867=0,"-",IF(ISNUMBER(FIND("ED only",$B$4)),SUMIFS(sum_dest_res,site_level_range_dest,LEFT($B$4,LEN($B$4)-10),date_range_dest,H63,inputdata!$F:$F,"ED"),SUMIFS(sum_dest_res,site_level_range_dest,$B$4,date_range_dest,H63)))</f>
        <v>93853</v>
      </c>
      <c r="I68" s="147">
        <f ca="1">IF(967=0,"-",IF(ISNUMBER(FIND("ED only",$B$4)),SUMIFS(sum_dest_res,site_level_range_dest,LEFT($B$4,LEN($B$4)-10),date_range_dest,I63,inputdata!$F:$F,"ED"),SUMIFS(sum_dest_res,site_level_range_dest,$B$4,date_range_dest,I63)))</f>
        <v>91368</v>
      </c>
      <c r="J68" s="147">
        <f ca="1">IF(1067=0,"-",IF(ISNUMBER(FIND("ED only",$B$4)),SUMIFS(sum_dest_res,site_level_range_dest,LEFT($B$4,LEN($B$4)-10),date_range_dest,J63,inputdata!$F:$F,"ED"),SUMIFS(sum_dest_res,site_level_range_dest,$B$4,date_range_dest,J63)))</f>
        <v>87343</v>
      </c>
      <c r="K68" s="147">
        <f ca="1">IF(1167=0,"-",IF(ISNUMBER(FIND("ED only",$B$4)),SUMIFS(sum_dest_res,site_level_range_dest,LEFT($B$4,LEN($B$4)-10),date_range_dest,K63,inputdata!$F:$F,"ED"),SUMIFS(sum_dest_res,site_level_range_dest,$B$4,date_range_dest,K63)))</f>
        <v>90938</v>
      </c>
      <c r="L68" s="147">
        <f ca="1">IF(1267=0,"-",IF(ISNUMBER(FIND("ED only",$B$4)),SUMIFS(sum_dest_res,site_level_range_dest,LEFT($B$4,LEN($B$4)-10),date_range_dest,L63,inputdata!$F:$F,"ED"),SUMIFS(sum_dest_res,site_level_range_dest,$B$4,date_range_dest,L63)))</f>
        <v>82475</v>
      </c>
      <c r="M68" s="147">
        <f ca="1">IF(1367=0,"-",IF(ISNUMBER(FIND("ED only",$B$4)),SUMIFS(sum_dest_res,site_level_range_dest,LEFT($B$4,LEN($B$4)-10),date_range_dest,M63,inputdata!$F:$F,"ED"),SUMIFS(sum_dest_res,site_level_range_dest,$B$4,date_range_dest,M63)))</f>
        <v>79841</v>
      </c>
      <c r="N68" s="156">
        <f ca="1">IF(1467=0,"-",IF(ISNUMBER(FIND("ED only",$B$4)),SUMIFS(sum_dest_res,site_level_range_dest,LEFT($B$4,LEN($B$4)-10),date_range_dest,N63,inputdata!$F:$F,"ED"),SUMIFS(sum_dest_res,site_level_range_dest,$B$4,date_range_dest,N63)))</f>
        <v>90723</v>
      </c>
      <c r="R68" s="40" t="s">
        <v>243</v>
      </c>
    </row>
    <row r="69" spans="1:18" ht="15" customHeight="1" x14ac:dyDescent="0.2">
      <c r="A69" s="132"/>
      <c r="B69" s="152" t="s">
        <v>739</v>
      </c>
      <c r="C69" s="147">
        <f ca="1">IF(367=0,"-",IF(ISNUMBER(FIND("ED only",$B$4)),SUMIFS(sum_dest_adm,site_level_range_dest,LEFT($B$4,LEN($B$4)-10),date_range_dest,C63,inputdata!$F:$F,"ED"),SUMIFS(sum_dest_adm,site_level_range_dest,$B$4,date_range_dest,C63)))</f>
        <v>31443</v>
      </c>
      <c r="D69" s="147">
        <f ca="1">IF(467=0,"-",IF(ISNUMBER(FIND("ED only",$B$4)),SUMIFS(sum_dest_adm,site_level_range_dest,LEFT($B$4,LEN($B$4)-10),date_range_dest,D63,inputdata!$F:$F,"ED"),SUMIFS(sum_dest_adm,site_level_range_dest,$B$4,date_range_dest,D63)))</f>
        <v>33393</v>
      </c>
      <c r="E69" s="147">
        <f ca="1">IF(567=0,"-",IF(ISNUMBER(FIND("ED only",$B$4)),SUMIFS(sum_dest_adm,site_level_range_dest,LEFT($B$4,LEN($B$4)-10),date_range_dest,E63,inputdata!$F:$F,"ED"),SUMIFS(sum_dest_adm,site_level_range_dest,$B$4,date_range_dest,E63)))</f>
        <v>31202</v>
      </c>
      <c r="F69" s="147">
        <f ca="1">IF(667=0,"-",IF(ISNUMBER(FIND("ED only",$B$4)),SUMIFS(sum_dest_adm,site_level_range_dest,LEFT($B$4,LEN($B$4)-10),date_range_dest,F63,inputdata!$F:$F,"ED"),SUMIFS(sum_dest_adm,site_level_range_dest,$B$4,date_range_dest,F63)))</f>
        <v>31156</v>
      </c>
      <c r="G69" s="147">
        <f ca="1">IF(767=0,"-",IF(ISNUMBER(FIND("ED only",$B$4)),SUMIFS(sum_dest_adm,site_level_range_dest,LEFT($B$4,LEN($B$4)-10),date_range_dest,G63,inputdata!$F:$F,"ED"),SUMIFS(sum_dest_adm,site_level_range_dest,$B$4,date_range_dest,G63)))</f>
        <v>31516</v>
      </c>
      <c r="H69" s="147">
        <f ca="1">IF(867=0,"-",IF(ISNUMBER(FIND("ED only",$B$4)),SUMIFS(sum_dest_adm,site_level_range_dest,LEFT($B$4,LEN($B$4)-10),date_range_dest,H63,inputdata!$F:$F,"ED"),SUMIFS(sum_dest_adm,site_level_range_dest,$B$4,date_range_dest,H63)))</f>
        <v>32230</v>
      </c>
      <c r="I69" s="147">
        <f ca="1">IF(967=0,"-",IF(ISNUMBER(FIND("ED only",$B$4)),SUMIFS(sum_dest_adm,site_level_range_dest,LEFT($B$4,LEN($B$4)-10),date_range_dest,I63,inputdata!$F:$F,"ED"),SUMIFS(sum_dest_adm,site_level_range_dest,$B$4,date_range_dest,I63)))</f>
        <v>32402</v>
      </c>
      <c r="J69" s="147">
        <f ca="1">IF(1067=0,"-",IF(ISNUMBER(FIND("ED only",$B$4)),SUMIFS(sum_dest_adm,site_level_range_dest,LEFT($B$4,LEN($B$4)-10),date_range_dest,J63,inputdata!$F:$F,"ED"),SUMIFS(sum_dest_adm,site_level_range_dest,$B$4,date_range_dest,J63)))</f>
        <v>32100</v>
      </c>
      <c r="K69" s="147">
        <f ca="1">IF(1167=0,"-",IF(ISNUMBER(FIND("ED only",$B$4)),SUMIFS(sum_dest_adm,site_level_range_dest,LEFT($B$4,LEN($B$4)-10),date_range_dest,K63,inputdata!$F:$F,"ED"),SUMIFS(sum_dest_adm,site_level_range_dest,$B$4,date_range_dest,K63)))</f>
        <v>35885</v>
      </c>
      <c r="L69" s="147">
        <f ca="1">IF(1267=0,"-",IF(ISNUMBER(FIND("ED only",$B$4)),SUMIFS(sum_dest_adm,site_level_range_dest,LEFT($B$4,LEN($B$4)-10),date_range_dest,L63,inputdata!$F:$F,"ED"),SUMIFS(sum_dest_adm,site_level_range_dest,$B$4,date_range_dest,L63)))</f>
        <v>33361</v>
      </c>
      <c r="M69" s="147">
        <f ca="1">IF(1367=0,"-",IF(ISNUMBER(FIND("ED only",$B$4)),SUMIFS(sum_dest_adm,site_level_range_dest,LEFT($B$4,LEN($B$4)-10),date_range_dest,M63,inputdata!$F:$F,"ED"),SUMIFS(sum_dest_adm,site_level_range_dest,$B$4,date_range_dest,M63)))</f>
        <v>29894</v>
      </c>
      <c r="N69" s="156">
        <f ca="1">IF(1467=0,"-",IF(ISNUMBER(FIND("ED only",$B$4)),SUMIFS(sum_dest_adm,site_level_range_dest,LEFT($B$4,LEN($B$4)-10),date_range_dest,N63,inputdata!$F:$F,"ED"),SUMIFS(sum_dest_adm,site_level_range_dest,$B$4,date_range_dest,N63)))</f>
        <v>33355</v>
      </c>
      <c r="P69" s="59"/>
      <c r="R69" s="40" t="s">
        <v>242</v>
      </c>
    </row>
    <row r="70" spans="1:18" ht="15" customHeight="1" x14ac:dyDescent="0.2">
      <c r="A70" s="132"/>
      <c r="B70" s="152" t="s">
        <v>740</v>
      </c>
      <c r="C70" s="147">
        <f ca="1">IF(367=0,"-",IF(ISNUMBER(FIND("ED only",$B$4)),SUMIFS(sum_dest_tran,site_level_range_dest,LEFT($B$4,LEN($B$4)-10),date_range_dest,C63,inputdata!$F:$F,"ED"),SUMIFS(sum_dest_tran,site_level_range_dest,$B$4,date_range_dest,C63)))</f>
        <v>3534</v>
      </c>
      <c r="D70" s="147">
        <f ca="1">IF(467=0,"-",IF(ISNUMBER(FIND("ED only",$B$4)),SUMIFS(sum_dest_tran,site_level_range_dest,LEFT($B$4,LEN($B$4)-10),date_range_dest,D63,inputdata!$F:$F,"ED"),SUMIFS(sum_dest_tran,site_level_range_dest,$B$4,date_range_dest,D63)))</f>
        <v>3665</v>
      </c>
      <c r="E70" s="147">
        <f ca="1">IF(567=0,"-",IF(ISNUMBER(FIND("ED only",$B$4)),SUMIFS(sum_dest_tran,site_level_range_dest,LEFT($B$4,LEN($B$4)-10),date_range_dest,E63,inputdata!$F:$F,"ED"),SUMIFS(sum_dest_tran,site_level_range_dest,$B$4,date_range_dest,E63)))</f>
        <v>3168</v>
      </c>
      <c r="F70" s="147">
        <f ca="1">IF(667=0,"-",IF(ISNUMBER(FIND("ED only",$B$4)),SUMIFS(sum_dest_tran,site_level_range_dest,LEFT($B$4,LEN($B$4)-10),date_range_dest,F63,inputdata!$F:$F,"ED"),SUMIFS(sum_dest_tran,site_level_range_dest,$B$4,date_range_dest,F63)))</f>
        <v>3241</v>
      </c>
      <c r="G70" s="147">
        <f ca="1">IF(767=0,"-",IF(ISNUMBER(FIND("ED only",$B$4)),SUMIFS(sum_dest_tran,site_level_range_dest,LEFT($B$4,LEN($B$4)-10),date_range_dest,G63,inputdata!$F:$F,"ED"),SUMIFS(sum_dest_tran,site_level_range_dest,$B$4,date_range_dest,G63)))</f>
        <v>3166</v>
      </c>
      <c r="H70" s="147">
        <f ca="1">IF(867=0,"-",IF(ISNUMBER(FIND("ED only",$B$4)),SUMIFS(sum_dest_tran,site_level_range_dest,LEFT($B$4,LEN($B$4)-10),date_range_dest,H63,inputdata!$F:$F,"ED"),SUMIFS(sum_dest_tran,site_level_range_dest,$B$4,date_range_dest,H63)))</f>
        <v>3112</v>
      </c>
      <c r="I70" s="147">
        <f ca="1">IF(967=0,"-",IF(ISNUMBER(FIND("ED only",$B$4)),SUMIFS(sum_dest_tran,site_level_range_dest,LEFT($B$4,LEN($B$4)-10),date_range_dest,I63,inputdata!$F:$F,"ED"),SUMIFS(sum_dest_tran,site_level_range_dest,$B$4,date_range_dest,I63)))</f>
        <v>3104</v>
      </c>
      <c r="J70" s="147">
        <f ca="1">IF(1067=0,"-",IF(ISNUMBER(FIND("ED only",$B$4)),SUMIFS(sum_dest_tran,site_level_range_dest,LEFT($B$4,LEN($B$4)-10),date_range_dest,J63,inputdata!$F:$F,"ED"),SUMIFS(sum_dest_tran,site_level_range_dest,$B$4,date_range_dest,J63)))</f>
        <v>3006</v>
      </c>
      <c r="K70" s="147">
        <f ca="1">IF(1167=0,"-",IF(ISNUMBER(FIND("ED only",$B$4)),SUMIFS(sum_dest_tran,site_level_range_dest,LEFT($B$4,LEN($B$4)-10),date_range_dest,K63,inputdata!$F:$F,"ED"),SUMIFS(sum_dest_tran,site_level_range_dest,$B$4,date_range_dest,K63)))</f>
        <v>3361</v>
      </c>
      <c r="L70" s="147">
        <f ca="1">IF(1267=0,"-",IF(ISNUMBER(FIND("ED only",$B$4)),SUMIFS(sum_dest_tran,site_level_range_dest,LEFT($B$4,LEN($B$4)-10),date_range_dest,L63,inputdata!$F:$F,"ED"),SUMIFS(sum_dest_tran,site_level_range_dest,$B$4,date_range_dest,L63)))</f>
        <v>2993</v>
      </c>
      <c r="M70" s="147">
        <f ca="1">IF(1367=0,"-",IF(ISNUMBER(FIND("ED only",$B$4)),SUMIFS(sum_dest_tran,site_level_range_dest,LEFT($B$4,LEN($B$4)-10),date_range_dest,M63,inputdata!$F:$F,"ED"),SUMIFS(sum_dest_tran,site_level_range_dest,$B$4,date_range_dest,M63)))</f>
        <v>2719</v>
      </c>
      <c r="N70" s="156">
        <f ca="1">IF(1467=0,"-",IF(ISNUMBER(FIND("ED only",$B$4)),SUMIFS(sum_dest_tran,site_level_range_dest,LEFT($B$4,LEN($B$4)-10),date_range_dest,N63,inputdata!$F:$F,"ED"),SUMIFS(sum_dest_tran,site_level_range_dest,$B$4,date_range_dest,N63)))</f>
        <v>3201</v>
      </c>
      <c r="P70" s="59"/>
      <c r="R70" s="40" t="s">
        <v>247</v>
      </c>
    </row>
    <row r="71" spans="1:18" ht="15" customHeight="1" x14ac:dyDescent="0.2">
      <c r="A71" s="132"/>
      <c r="B71" s="152" t="s">
        <v>741</v>
      </c>
      <c r="C71" s="147">
        <f ca="1">IF(367=0,"-",IF(ISNUMBER(FIND("ED only",$B$4)),SUMIFS(sum_dest_other,site_level_range_dest,LEFT($B$4,LEN($B$4)-10),date_range_dest,C63,inputdata!$F:$F,"ED"),SUMIFS(sum_dest_other,site_level_range_dest,$B$4,date_range_dest,C63)))</f>
        <v>194</v>
      </c>
      <c r="D71" s="147">
        <f ca="1">IF(467=0,"-",IF(ISNUMBER(FIND("ED only",$B$4)),SUMIFS(sum_dest_other,site_level_range_dest,LEFT($B$4,LEN($B$4)-10),date_range_dest,D63,inputdata!$F:$F,"ED"),SUMIFS(sum_dest_other,site_level_range_dest,$B$4,date_range_dest,D63)))</f>
        <v>188</v>
      </c>
      <c r="E71" s="147">
        <f ca="1">IF(567=0,"-",IF(ISNUMBER(FIND("ED only",$B$4)),SUMIFS(sum_dest_other,site_level_range_dest,LEFT($B$4,LEN($B$4)-10),date_range_dest,E63,inputdata!$F:$F,"ED"),SUMIFS(sum_dest_other,site_level_range_dest,$B$4,date_range_dest,E63)))</f>
        <v>135</v>
      </c>
      <c r="F71" s="147">
        <f ca="1">IF(667=0,"-",IF(ISNUMBER(FIND("ED only",$B$4)),SUMIFS(sum_dest_other,site_level_range_dest,LEFT($B$4,LEN($B$4)-10),date_range_dest,F63,inputdata!$F:$F,"ED"),SUMIFS(sum_dest_other,site_level_range_dest,$B$4,date_range_dest,F63)))</f>
        <v>196</v>
      </c>
      <c r="G71" s="147">
        <f ca="1">IF(767=0,"-",IF(ISNUMBER(FIND("ED only",$B$4)),SUMIFS(sum_dest_other,site_level_range_dest,LEFT($B$4,LEN($B$4)-10),date_range_dest,G63,inputdata!$F:$F,"ED"),SUMIFS(sum_dest_other,site_level_range_dest,$B$4,date_range_dest,G63)))</f>
        <v>152</v>
      </c>
      <c r="H71" s="147">
        <f ca="1">IF(867=0,"-",IF(ISNUMBER(FIND("ED only",$B$4)),SUMIFS(sum_dest_other,site_level_range_dest,LEFT($B$4,LEN($B$4)-10),date_range_dest,H63,inputdata!$F:$F,"ED"),SUMIFS(sum_dest_other,site_level_range_dest,$B$4,date_range_dest,H63)))</f>
        <v>149</v>
      </c>
      <c r="I71" s="147">
        <f ca="1">IF(967=0,"-",IF(ISNUMBER(FIND("ED only",$B$4)),SUMIFS(sum_dest_other,site_level_range_dest,LEFT($B$4,LEN($B$4)-10),date_range_dest,I63,inputdata!$F:$F,"ED"),SUMIFS(sum_dest_other,site_level_range_dest,$B$4,date_range_dest,I63)))</f>
        <v>189</v>
      </c>
      <c r="J71" s="147">
        <f ca="1">IF(1067=0,"-",IF(ISNUMBER(FIND("ED only",$B$4)),SUMIFS(sum_dest_other,site_level_range_dest,LEFT($B$4,LEN($B$4)-10),date_range_dest,J63,inputdata!$F:$F,"ED"),SUMIFS(sum_dest_other,site_level_range_dest,$B$4,date_range_dest,J63)))</f>
        <v>165</v>
      </c>
      <c r="K71" s="147">
        <f ca="1">IF(1167=0,"-",IF(ISNUMBER(FIND("ED only",$B$4)),SUMIFS(sum_dest_other,site_level_range_dest,LEFT($B$4,LEN($B$4)-10),date_range_dest,K63,inputdata!$F:$F,"ED"),SUMIFS(sum_dest_other,site_level_range_dest,$B$4,date_range_dest,K63)))</f>
        <v>234</v>
      </c>
      <c r="L71" s="147">
        <f ca="1">IF(1267=0,"-",IF(ISNUMBER(FIND("ED only",$B$4)),SUMIFS(sum_dest_other,site_level_range_dest,LEFT($B$4,LEN($B$4)-10),date_range_dest,L63,inputdata!$F:$F,"ED"),SUMIFS(sum_dest_other,site_level_range_dest,$B$4,date_range_dest,L63)))</f>
        <v>217</v>
      </c>
      <c r="M71" s="147">
        <f ca="1">IF(1367=0,"-",IF(ISNUMBER(FIND("ED only",$B$4)),SUMIFS(sum_dest_other,site_level_range_dest,LEFT($B$4,LEN($B$4)-10),date_range_dest,M63,inputdata!$F:$F,"ED"),SUMIFS(sum_dest_other,site_level_range_dest,$B$4,date_range_dest,M63)))</f>
        <v>161</v>
      </c>
      <c r="N71" s="156">
        <f ca="1">IF(1467=0,"-",IF(ISNUMBER(FIND("ED only",$B$4)),SUMIFS(sum_dest_other,site_level_range_dest,LEFT($B$4,LEN($B$4)-10),date_range_dest,N63,inputdata!$F:$F,"ED"),SUMIFS(sum_dest_other,site_level_range_dest,$B$4,date_range_dest,N63)))</f>
        <v>183</v>
      </c>
      <c r="P71" s="59"/>
      <c r="R71" s="40" t="s">
        <v>337</v>
      </c>
    </row>
    <row r="72" spans="1:18" ht="15" customHeight="1" x14ac:dyDescent="0.2">
      <c r="A72" s="132"/>
      <c r="B72" s="154" t="s">
        <v>742</v>
      </c>
      <c r="C72" s="150">
        <f ca="1">IF(367=0,"-",IF(ISNUMBER(FIND("ED only",$B$4)),SUMIFS(sum_dest_unknown,site_level_range_dest,LEFT($B$4,LEN($B$4)-10),date_range_dest,C63,inputdata!$F:$F,"ED"),SUMIFS(sum_dest_unknown,site_level_range_dest,$B$4,date_range_dest,C63)))</f>
        <v>3561</v>
      </c>
      <c r="D72" s="150">
        <f ca="1">IF(467=0,"-",IF(ISNUMBER(FIND("ED only",$B$4)),SUMIFS(sum_dest_unknown,site_level_range_dest,LEFT($B$4,LEN($B$4)-10),date_range_dest,D63,inputdata!$F:$F,"ED"),SUMIFS(sum_dest_unknown,site_level_range_dest,$B$4,date_range_dest,D63)))</f>
        <v>3884</v>
      </c>
      <c r="E72" s="150">
        <f ca="1">IF(567=0,"-",IF(ISNUMBER(FIND("ED only",$B$4)),SUMIFS(sum_dest_unknown,site_level_range_dest,LEFT($B$4,LEN($B$4)-10),date_range_dest,E63,inputdata!$F:$F,"ED"),SUMIFS(sum_dest_unknown,site_level_range_dest,$B$4,date_range_dest,E63)))</f>
        <v>3458</v>
      </c>
      <c r="F72" s="150">
        <f ca="1">IF(667=0,"-",IF(ISNUMBER(FIND("ED only",$B$4)),SUMIFS(sum_dest_unknown,site_level_range_dest,LEFT($B$4,LEN($B$4)-10),date_range_dest,F63,inputdata!$F:$F,"ED"),SUMIFS(sum_dest_unknown,site_level_range_dest,$B$4,date_range_dest,F63)))</f>
        <v>3402</v>
      </c>
      <c r="G72" s="150">
        <f ca="1">IF(767=0,"-",IF(ISNUMBER(FIND("ED only",$B$4)),SUMIFS(sum_dest_unknown,site_level_range_dest,LEFT($B$4,LEN($B$4)-10),date_range_dest,G63,inputdata!$F:$F,"ED"),SUMIFS(sum_dest_unknown,site_level_range_dest,$B$4,date_range_dest,G63)))</f>
        <v>3341</v>
      </c>
      <c r="H72" s="150">
        <f ca="1">IF(867=0,"-",IF(ISNUMBER(FIND("ED only",$B$4)),SUMIFS(sum_dest_unknown,site_level_range_dest,LEFT($B$4,LEN($B$4)-10),date_range_dest,H63,inputdata!$F:$F,"ED"),SUMIFS(sum_dest_unknown,site_level_range_dest,$B$4,date_range_dest,H63)))</f>
        <v>3482</v>
      </c>
      <c r="I72" s="150">
        <f ca="1">IF(967=0,"-",IF(ISNUMBER(FIND("ED only",$B$4)),SUMIFS(sum_dest_unknown,site_level_range_dest,LEFT($B$4,LEN($B$4)-10),date_range_dest,I63,inputdata!$F:$F,"ED"),SUMIFS(sum_dest_unknown,site_level_range_dest,$B$4,date_range_dest,I63)))</f>
        <v>3152</v>
      </c>
      <c r="J72" s="150">
        <f ca="1">IF(1067=0,"-",IF(ISNUMBER(FIND("ED only",$B$4)),SUMIFS(sum_dest_unknown,site_level_range_dest,LEFT($B$4,LEN($B$4)-10),date_range_dest,J63,inputdata!$F:$F,"ED"),SUMIFS(sum_dest_unknown,site_level_range_dest,$B$4,date_range_dest,J63)))</f>
        <v>2808</v>
      </c>
      <c r="K72" s="150">
        <f ca="1">IF(1167=0,"-",IF(ISNUMBER(FIND("ED only",$B$4)),SUMIFS(sum_dest_unknown,site_level_range_dest,LEFT($B$4,LEN($B$4)-10),date_range_dest,K63,inputdata!$F:$F,"ED"),SUMIFS(sum_dest_unknown,site_level_range_dest,$B$4,date_range_dest,K63)))</f>
        <v>3665</v>
      </c>
      <c r="L72" s="150">
        <f ca="1">IF(1267=0,"-",IF(ISNUMBER(FIND("ED only",$B$4)),SUMIFS(sum_dest_unknown,site_level_range_dest,LEFT($B$4,LEN($B$4)-10),date_range_dest,L63,inputdata!$F:$F,"ED"),SUMIFS(sum_dest_unknown,site_level_range_dest,$B$4,date_range_dest,L63)))</f>
        <v>2811</v>
      </c>
      <c r="M72" s="150">
        <f ca="1">IF(1367=0,"-",IF(ISNUMBER(FIND("ED only",$B$4)),SUMIFS(sum_dest_unknown,site_level_range_dest,LEFT($B$4,LEN($B$4)-10),date_range_dest,M63,inputdata!$F:$F,"ED"),SUMIFS(sum_dest_unknown,site_level_range_dest,$B$4,date_range_dest,M63)))</f>
        <v>2543</v>
      </c>
      <c r="N72" s="159">
        <f ca="1">IF(1467=0,"-",IF(ISNUMBER(FIND("ED only",$B$4)),SUMIFS(sum_dest_unknown,site_level_range_dest,LEFT($B$4,LEN($B$4)-10),date_range_dest,N63,inputdata!$F:$F,"ED"),SUMIFS(sum_dest_unknown,site_level_range_dest,$B$4,date_range_dest,N63)))</f>
        <v>3059</v>
      </c>
      <c r="P72" s="59"/>
      <c r="R72" s="40" t="s">
        <v>248</v>
      </c>
    </row>
    <row r="73" spans="1:18" ht="13.5" customHeight="1" x14ac:dyDescent="0.2">
      <c r="B73" s="127"/>
      <c r="C73" s="127"/>
      <c r="D73" s="127"/>
      <c r="E73" s="127"/>
      <c r="F73" s="127"/>
      <c r="G73" s="127"/>
      <c r="H73" s="127"/>
      <c r="I73" s="127"/>
      <c r="J73" s="127"/>
      <c r="K73" s="127"/>
      <c r="L73" s="127"/>
      <c r="M73" s="127"/>
      <c r="N73" s="127"/>
      <c r="P73" s="59"/>
      <c r="R73" s="40" t="s">
        <v>338</v>
      </c>
    </row>
    <row r="74" spans="1:18" ht="15" customHeight="1" x14ac:dyDescent="0.25">
      <c r="A74" s="132"/>
      <c r="B74" s="153" t="str">
        <f>IF(ISNUMBER(FIND("ED only",$B$4)),"2016/2017 (ED Only)","2016/2017")</f>
        <v>2016/2017</v>
      </c>
      <c r="C74" s="149">
        <v>42490</v>
      </c>
      <c r="D74" s="149">
        <v>42521</v>
      </c>
      <c r="E74" s="149">
        <v>42551</v>
      </c>
      <c r="F74" s="149">
        <v>42582</v>
      </c>
      <c r="G74" s="149">
        <v>42613</v>
      </c>
      <c r="H74" s="149">
        <v>42643</v>
      </c>
      <c r="I74" s="149">
        <v>42674</v>
      </c>
      <c r="J74" s="149">
        <v>42704</v>
      </c>
      <c r="K74" s="149">
        <v>42735</v>
      </c>
      <c r="L74" s="149">
        <v>42766</v>
      </c>
      <c r="M74" s="149">
        <v>42794</v>
      </c>
      <c r="N74" s="158">
        <v>42825</v>
      </c>
      <c r="R74" s="40" t="s">
        <v>339</v>
      </c>
    </row>
    <row r="75" spans="1:18" ht="15" customHeight="1" x14ac:dyDescent="0.2">
      <c r="A75" s="132"/>
      <c r="B75" s="164" t="s">
        <v>735</v>
      </c>
      <c r="C75" s="162"/>
      <c r="D75" s="162"/>
      <c r="E75" s="162"/>
      <c r="F75" s="162"/>
      <c r="G75" s="162"/>
      <c r="H75" s="162"/>
      <c r="I75" s="162"/>
      <c r="J75" s="162"/>
      <c r="K75" s="162"/>
      <c r="L75" s="162"/>
      <c r="M75" s="162"/>
      <c r="N75" s="152"/>
      <c r="R75" s="40" t="s">
        <v>275</v>
      </c>
    </row>
    <row r="76" spans="1:18" ht="15" customHeight="1" x14ac:dyDescent="0.2">
      <c r="A76" s="132"/>
      <c r="B76" s="154" t="s">
        <v>736</v>
      </c>
      <c r="C76" s="150">
        <f ca="1">IF(ISNUMBER(FIND("ED only",$B$4)),SUMIFS(sum_range_dest,site_level_range_dest,LEFT($B$4,LEN($B$4)-10),date_range_dest,C74,inputdata!$F:$F,"ED"),SUMIFS(sum_range_dest,site_level_range_dest,$B$4,date_range_dest,C74))</f>
        <v>131751</v>
      </c>
      <c r="D76" s="150">
        <f ca="1">IF(ISNUMBER(FIND("ED only",$B$4)),SUMIFS(sum_range_dest,site_level_range_dest,LEFT($B$4,LEN($B$4)-10),date_range_dest,D74,inputdata!$F:$F,"ED"),SUMIFS(sum_range_dest,site_level_range_dest,$B$4,date_range_dest,D74))</f>
        <v>148514</v>
      </c>
      <c r="E76" s="150">
        <f ca="1">IF(ISNUMBER(FIND("ED only",$B$4)),SUMIFS(sum_range_dest,site_level_range_dest,LEFT($B$4,LEN($B$4)-10),date_range_dest,E74,inputdata!$F:$F,"ED"),SUMIFS(sum_range_dest,site_level_range_dest,$B$4,date_range_dest,E74))</f>
        <v>139288</v>
      </c>
      <c r="F76" s="150">
        <f ca="1">IF(ISNUMBER(FIND("ED only",$B$4)),SUMIFS(sum_range_dest,site_level_range_dest,LEFT($B$4,LEN($B$4)-10),date_range_dest,F74,inputdata!$F:$F,"ED"),SUMIFS(sum_range_dest,site_level_range_dest,$B$4,date_range_dest,F74))</f>
        <v>135521</v>
      </c>
      <c r="G76" s="150">
        <f ca="1">IF(ISNUMBER(FIND("ED only",$B$4)),SUMIFS(sum_range_dest,site_level_range_dest,LEFT($B$4,LEN($B$4)-10),date_range_dest,G74,inputdata!$F:$F,"ED"),SUMIFS(sum_range_dest,site_level_range_dest,$B$4,date_range_dest,G74))</f>
        <v>142939</v>
      </c>
      <c r="H76" s="150">
        <f ca="1">IF(ISNUMBER(FIND("ED only",$B$4)),SUMIFS(sum_range_dest,site_level_range_dest,LEFT($B$4,LEN($B$4)-10),date_range_dest,H74,inputdata!$F:$F,"ED"),SUMIFS(sum_range_dest,site_level_range_dest,$B$4,date_range_dest,H74))</f>
        <v>141105</v>
      </c>
      <c r="I76" s="150">
        <f ca="1">IF(ISNUMBER(FIND("ED only",$B$4)),SUMIFS(sum_range_dest,site_level_range_dest,LEFT($B$4,LEN($B$4)-10),date_range_dest,I74,inputdata!$F:$F,"ED"),SUMIFS(sum_range_dest,site_level_range_dest,$B$4,date_range_dest,I74))</f>
        <v>136742</v>
      </c>
      <c r="J76" s="150">
        <f ca="1">IF(ISNUMBER(FIND("ED only",$B$4)),SUMIFS(sum_range_dest,site_level_range_dest,LEFT($B$4,LEN($B$4)-10),date_range_dest,J74,inputdata!$F:$F,"ED"),SUMIFS(sum_range_dest,site_level_range_dest,$B$4,date_range_dest,J74))</f>
        <v>129227</v>
      </c>
      <c r="K76" s="150">
        <f ca="1">IF(ISNUMBER(FIND("ED only",$B$4)),SUMIFS(sum_range_dest,site_level_range_dest,LEFT($B$4,LEN($B$4)-10),date_range_dest,K74,inputdata!$F:$F,"ED"),SUMIFS(sum_range_dest,site_level_range_dest,$B$4,date_range_dest,K74))</f>
        <v>130839</v>
      </c>
      <c r="L76" s="150">
        <f ca="1">IF(ISNUMBER(FIND("ED only",$B$4)),SUMIFS(sum_range_dest,site_level_range_dest,LEFT($B$4,LEN($B$4)-10),date_range_dest,L74,inputdata!$F:$F,"ED"),SUMIFS(sum_range_dest,site_level_range_dest,$B$4,date_range_dest,L74))</f>
        <v>128643</v>
      </c>
      <c r="M76" s="150">
        <f ca="1">IF(ISNUMBER(FIND("ED only",$B$4)),SUMIFS(sum_range_dest,site_level_range_dest,LEFT($B$4,LEN($B$4)-10),date_range_dest,M74,inputdata!$F:$F,"ED"),SUMIFS(sum_range_dest,site_level_range_dest,$B$4,date_range_dest,M74))</f>
        <v>118792</v>
      </c>
      <c r="N76" s="159">
        <f ca="1">IF(ISNUMBER(FIND("ED only",$B$4)),SUMIFS(sum_range_dest,site_level_range_dest,LEFT($B$4,LEN($B$4)-10),date_range_dest,N74,inputdata!$F:$F,"ED"),SUMIFS(sum_range_dest,site_level_range_dest,$B$4,date_range_dest,N74))</f>
        <v>138807</v>
      </c>
      <c r="R76" s="40" t="s">
        <v>369</v>
      </c>
    </row>
    <row r="77" spans="1:18" ht="15" customHeight="1" x14ac:dyDescent="0.2">
      <c r="A77" s="132"/>
      <c r="B77" s="164" t="s">
        <v>737</v>
      </c>
      <c r="C77" s="162"/>
      <c r="D77" s="162"/>
      <c r="E77" s="162"/>
      <c r="F77" s="162"/>
      <c r="G77" s="162"/>
      <c r="H77" s="162"/>
      <c r="I77" s="162"/>
      <c r="J77" s="162"/>
      <c r="K77" s="162"/>
      <c r="L77" s="162"/>
      <c r="M77" s="162"/>
      <c r="N77" s="152"/>
      <c r="R77" s="40" t="s">
        <v>223</v>
      </c>
    </row>
    <row r="78" spans="1:18" ht="15" customHeight="1" x14ac:dyDescent="0.2">
      <c r="A78" s="132"/>
      <c r="B78" s="152" t="s">
        <v>736</v>
      </c>
      <c r="C78" s="147">
        <f ca="1">IF(ISNUMBER(FIND("ED only",$B$4)),SUMIFS(sum_total_epi_dest,site_level_range_dest,LEFT($B$4,LEN($B$4)-10),date_range_dest,C74,inputdata!$F:$F,"ED"),SUMIFS(sum_total_epi_dest,site_level_range_dest,$B$4,date_range_dest,C74))</f>
        <v>123847</v>
      </c>
      <c r="D78" s="147">
        <f ca="1">IF(ISNUMBER(FIND("ED only",$B$4)),SUMIFS(sum_total_epi_dest,site_level_range_dest,LEFT($B$4,LEN($B$4)-10),date_range_dest,D74,inputdata!$F:$F,"ED"),SUMIFS(sum_total_epi_dest,site_level_range_dest,$B$4,date_range_dest,D74))</f>
        <v>139028</v>
      </c>
      <c r="E78" s="147">
        <f ca="1">IF(ISNUMBER(FIND("ED only",$B$4)),SUMIFS(sum_total_epi_dest,site_level_range_dest,LEFT($B$4,LEN($B$4)-10),date_range_dest,E74,inputdata!$F:$F,"ED"),SUMIFS(sum_total_epi_dest,site_level_range_dest,$B$4,date_range_dest,E74))</f>
        <v>129846</v>
      </c>
      <c r="F78" s="147">
        <f ca="1">IF(ISNUMBER(FIND("ED only",$B$4)),SUMIFS(sum_total_epi_dest,site_level_range_dest,LEFT($B$4,LEN($B$4)-10),date_range_dest,F74,inputdata!$F:$F,"ED"),SUMIFS(sum_total_epi_dest,site_level_range_dest,$B$4,date_range_dest,F74))</f>
        <v>126134</v>
      </c>
      <c r="G78" s="147">
        <f ca="1">IF(ISNUMBER(FIND("ED only",$B$4)),SUMIFS(sum_total_epi_dest,site_level_range_dest,LEFT($B$4,LEN($B$4)-10),date_range_dest,G74,inputdata!$F:$F,"ED"),SUMIFS(sum_total_epi_dest,site_level_range_dest,$B$4,date_range_dest,G74))</f>
        <v>133249</v>
      </c>
      <c r="H78" s="147">
        <f ca="1">IF(ISNUMBER(FIND("ED only",$B$4)),SUMIFS(sum_total_epi_dest,site_level_range_dest,LEFT($B$4,LEN($B$4)-10),date_range_dest,H74,inputdata!$F:$F,"ED"),SUMIFS(sum_total_epi_dest,site_level_range_dest,$B$4,date_range_dest,H74))</f>
        <v>131974</v>
      </c>
      <c r="I78" s="147">
        <f ca="1">IF(ISNUMBER(FIND("ED only",$B$4)),SUMIFS(sum_total_epi_dest,site_level_range_dest,LEFT($B$4,LEN($B$4)-10),date_range_dest,I74,inputdata!$F:$F,"ED"),SUMIFS(sum_total_epi_dest,site_level_range_dest,$B$4,date_range_dest,I74))</f>
        <v>128865</v>
      </c>
      <c r="J78" s="147">
        <f ca="1">IF(ISNUMBER(FIND("ED only",$B$4)),SUMIFS(sum_total_epi_dest,site_level_range_dest,LEFT($B$4,LEN($B$4)-10),date_range_dest,J74,inputdata!$F:$F,"ED"),SUMIFS(sum_total_epi_dest,site_level_range_dest,$B$4,date_range_dest,J74))</f>
        <v>121841</v>
      </c>
      <c r="K78" s="147">
        <f ca="1">IF(ISNUMBER(FIND("ED only",$B$4)),SUMIFS(sum_total_epi_dest,site_level_range_dest,LEFT($B$4,LEN($B$4)-10),date_range_dest,K74,inputdata!$F:$F,"ED"),SUMIFS(sum_total_epi_dest,site_level_range_dest,$B$4,date_range_dest,K74))</f>
        <v>123282</v>
      </c>
      <c r="L78" s="147">
        <f ca="1">IF(ISNUMBER(FIND("ED only",$B$4)),SUMIFS(sum_total_epi_dest,site_level_range_dest,LEFT($B$4,LEN($B$4)-10),date_range_dest,L74,inputdata!$F:$F,"ED"),SUMIFS(sum_total_epi_dest,site_level_range_dest,$B$4,date_range_dest,L74))</f>
        <v>121029</v>
      </c>
      <c r="M78" s="147">
        <f ca="1">IF(ISNUMBER(FIND("ED only",$B$4)),SUMIFS(sum_total_epi_dest,site_level_range_dest,LEFT($B$4,LEN($B$4)-10),date_range_dest,M74,inputdata!$F:$F,"ED"),SUMIFS(sum_total_epi_dest,site_level_range_dest,$B$4,date_range_dest,M74))</f>
        <v>112264</v>
      </c>
      <c r="N78" s="156">
        <f ca="1">IF(ISNUMBER(FIND("ED only",$B$4)),SUMIFS(sum_total_epi_dest,site_level_range_dest,LEFT($B$4,LEN($B$4)-10),date_range_dest,N74,inputdata!$F:$F,"ED"),SUMIFS(sum_total_epi_dest,site_level_range_dest,$B$4,date_range_dest,N74))</f>
        <v>131014</v>
      </c>
      <c r="R78" s="40" t="s">
        <v>340</v>
      </c>
    </row>
    <row r="79" spans="1:18" ht="15" customHeight="1" x14ac:dyDescent="0.2">
      <c r="A79" s="132"/>
      <c r="B79" s="152" t="s">
        <v>738</v>
      </c>
      <c r="C79" s="147">
        <f ca="1">IF(378=0,"-",IF(ISNUMBER(FIND("ED only",$B$4)),SUMIFS(sum_dest_res,site_level_range_dest,LEFT($B$4,LEN($B$4)-10),date_range_dest,C74,inputdata!$F:$F,"ED"),SUMIFS(sum_dest_res,site_level_range_dest,$B$4,date_range_dest,C74)))</f>
        <v>85787</v>
      </c>
      <c r="D79" s="147">
        <f ca="1">IF(478=0,"-",IF(ISNUMBER(FIND("ED only",$B$4)),SUMIFS(sum_dest_res,site_level_range_dest,LEFT($B$4,LEN($B$4)-10),date_range_dest,D74,inputdata!$F:$F,"ED"),SUMIFS(sum_dest_res,site_level_range_dest,$B$4,date_range_dest,D74)))</f>
        <v>98251</v>
      </c>
      <c r="E79" s="147">
        <f ca="1">IF(578=0,"-",IF(ISNUMBER(FIND("ED only",$B$4)),SUMIFS(sum_dest_res,site_level_range_dest,LEFT($B$4,LEN($B$4)-10),date_range_dest,E74,inputdata!$F:$F,"ED"),SUMIFS(sum_dest_res,site_level_range_dest,$B$4,date_range_dest,E74)))</f>
        <v>92344</v>
      </c>
      <c r="F79" s="147">
        <f ca="1">IF(678=0,"-",IF(ISNUMBER(FIND("ED only",$B$4)),SUMIFS(sum_dest_res,site_level_range_dest,LEFT($B$4,LEN($B$4)-10),date_range_dest,F74,inputdata!$F:$F,"ED"),SUMIFS(sum_dest_res,site_level_range_dest,$B$4,date_range_dest,F74)))</f>
        <v>88006</v>
      </c>
      <c r="G79" s="147">
        <f ca="1">IF(778=0,"-",IF(ISNUMBER(FIND("ED only",$B$4)),SUMIFS(sum_dest_res,site_level_range_dest,LEFT($B$4,LEN($B$4)-10),date_range_dest,G74,inputdata!$F:$F,"ED"),SUMIFS(sum_dest_res,site_level_range_dest,$B$4,date_range_dest,G74)))</f>
        <v>94149</v>
      </c>
      <c r="H79" s="147">
        <f ca="1">IF(878=0,"-",IF(ISNUMBER(FIND("ED only",$B$4)),SUMIFS(sum_dest_res,site_level_range_dest,LEFT($B$4,LEN($B$4)-10),date_range_dest,H74,inputdata!$F:$F,"ED"),SUMIFS(sum_dest_res,site_level_range_dest,$B$4,date_range_dest,H74)))</f>
        <v>93041</v>
      </c>
      <c r="I79" s="147">
        <f ca="1">IF(978=0,"-",IF(ISNUMBER(FIND("ED only",$B$4)),SUMIFS(sum_dest_res,site_level_range_dest,LEFT($B$4,LEN($B$4)-10),date_range_dest,I74,inputdata!$F:$F,"ED"),SUMIFS(sum_dest_res,site_level_range_dest,$B$4,date_range_dest,I74)))</f>
        <v>89184</v>
      </c>
      <c r="J79" s="147">
        <f ca="1">IF(1078=0,"-",IF(ISNUMBER(FIND("ED only",$B$4)),SUMIFS(sum_dest_res,site_level_range_dest,LEFT($B$4,LEN($B$4)-10),date_range_dest,J74,inputdata!$F:$F,"ED"),SUMIFS(sum_dest_res,site_level_range_dest,$B$4,date_range_dest,J74)))</f>
        <v>83670</v>
      </c>
      <c r="K79" s="147">
        <f ca="1">IF(1178=0,"-",IF(ISNUMBER(FIND("ED only",$B$4)),SUMIFS(sum_dest_res,site_level_range_dest,LEFT($B$4,LEN($B$4)-10),date_range_dest,K74,inputdata!$F:$F,"ED"),SUMIFS(sum_dest_res,site_level_range_dest,$B$4,date_range_dest,K74)))</f>
        <v>83199</v>
      </c>
      <c r="L79" s="147">
        <f ca="1">IF(1278=0,"-",IF(ISNUMBER(FIND("ED only",$B$4)),SUMIFS(sum_dest_res,site_level_range_dest,LEFT($B$4,LEN($B$4)-10),date_range_dest,L74,inputdata!$F:$F,"ED"),SUMIFS(sum_dest_res,site_level_range_dest,$B$4,date_range_dest,L74)))</f>
        <v>81557</v>
      </c>
      <c r="M79" s="147">
        <f ca="1">IF(1378=0,"-",IF(ISNUMBER(FIND("ED only",$B$4)),SUMIFS(sum_dest_res,site_level_range_dest,LEFT($B$4,LEN($B$4)-10),date_range_dest,M74,inputdata!$F:$F,"ED"),SUMIFS(sum_dest_res,site_level_range_dest,$B$4,date_range_dest,M74)))</f>
        <v>76509</v>
      </c>
      <c r="N79" s="156">
        <f ca="1">IF(1478=0,"-",IF(ISNUMBER(FIND("ED only",$B$4)),SUMIFS(sum_dest_res,site_level_range_dest,LEFT($B$4,LEN($B$4)-10),date_range_dest,N74,inputdata!$F:$F,"ED"),SUMIFS(sum_dest_res,site_level_range_dest,$B$4,date_range_dest,N74)))</f>
        <v>91122</v>
      </c>
      <c r="R79" s="40" t="s">
        <v>341</v>
      </c>
    </row>
    <row r="80" spans="1:18" ht="15" customHeight="1" x14ac:dyDescent="0.2">
      <c r="A80" s="132"/>
      <c r="B80" s="152" t="s">
        <v>739</v>
      </c>
      <c r="C80" s="147">
        <f ca="1">IF(378=0,"-",IF(ISNUMBER(FIND("ED only",$B$4)),SUMIFS(sum_dest_adm,site_level_range_dest,LEFT($B$4,LEN($B$4)-10),date_range_dest,C74,inputdata!$F:$F,"ED"),SUMIFS(sum_dest_adm,site_level_range_dest,$B$4,date_range_dest,C74)))</f>
        <v>31755</v>
      </c>
      <c r="D80" s="147">
        <f ca="1">IF(478=0,"-",IF(ISNUMBER(FIND("ED only",$B$4)),SUMIFS(sum_dest_adm,site_level_range_dest,LEFT($B$4,LEN($B$4)-10),date_range_dest,D74,inputdata!$F:$F,"ED"),SUMIFS(sum_dest_adm,site_level_range_dest,$B$4,date_range_dest,D74)))</f>
        <v>32928</v>
      </c>
      <c r="E80" s="147">
        <f ca="1">IF(578=0,"-",IF(ISNUMBER(FIND("ED only",$B$4)),SUMIFS(sum_dest_adm,site_level_range_dest,LEFT($B$4,LEN($B$4)-10),date_range_dest,E74,inputdata!$F:$F,"ED"),SUMIFS(sum_dest_adm,site_level_range_dest,$B$4,date_range_dest,E74)))</f>
        <v>30722</v>
      </c>
      <c r="F80" s="147">
        <f ca="1">IF(678=0,"-",IF(ISNUMBER(FIND("ED only",$B$4)),SUMIFS(sum_dest_adm,site_level_range_dest,LEFT($B$4,LEN($B$4)-10),date_range_dest,F74,inputdata!$F:$F,"ED"),SUMIFS(sum_dest_adm,site_level_range_dest,$B$4,date_range_dest,F74)))</f>
        <v>31314</v>
      </c>
      <c r="G80" s="147">
        <f ca="1">IF(778=0,"-",IF(ISNUMBER(FIND("ED only",$B$4)),SUMIFS(sum_dest_adm,site_level_range_dest,LEFT($B$4,LEN($B$4)-10),date_range_dest,G74,inputdata!$F:$F,"ED"),SUMIFS(sum_dest_adm,site_level_range_dest,$B$4,date_range_dest,G74)))</f>
        <v>32135</v>
      </c>
      <c r="H80" s="147">
        <f ca="1">IF(878=0,"-",IF(ISNUMBER(FIND("ED only",$B$4)),SUMIFS(sum_dest_adm,site_level_range_dest,LEFT($B$4,LEN($B$4)-10),date_range_dest,H74,inputdata!$F:$F,"ED"),SUMIFS(sum_dest_adm,site_level_range_dest,$B$4,date_range_dest,H74)))</f>
        <v>31699</v>
      </c>
      <c r="I80" s="147">
        <f ca="1">IF(978=0,"-",IF(ISNUMBER(FIND("ED only",$B$4)),SUMIFS(sum_dest_adm,site_level_range_dest,LEFT($B$4,LEN($B$4)-10),date_range_dest,I74,inputdata!$F:$F,"ED"),SUMIFS(sum_dest_adm,site_level_range_dest,$B$4,date_range_dest,I74)))</f>
        <v>32655</v>
      </c>
      <c r="J80" s="147">
        <f ca="1">IF(1078=0,"-",IF(ISNUMBER(FIND("ED only",$B$4)),SUMIFS(sum_dest_adm,site_level_range_dest,LEFT($B$4,LEN($B$4)-10),date_range_dest,J74,inputdata!$F:$F,"ED"),SUMIFS(sum_dest_adm,site_level_range_dest,$B$4,date_range_dest,J74)))</f>
        <v>31635</v>
      </c>
      <c r="K80" s="147">
        <f ca="1">IF(1178=0,"-",IF(ISNUMBER(FIND("ED only",$B$4)),SUMIFS(sum_dest_adm,site_level_range_dest,LEFT($B$4,LEN($B$4)-10),date_range_dest,K74,inputdata!$F:$F,"ED"),SUMIFS(sum_dest_adm,site_level_range_dest,$B$4,date_range_dest,K74)))</f>
        <v>33346</v>
      </c>
      <c r="L80" s="147">
        <f ca="1">IF(1278=0,"-",IF(ISNUMBER(FIND("ED only",$B$4)),SUMIFS(sum_dest_adm,site_level_range_dest,LEFT($B$4,LEN($B$4)-10),date_range_dest,L74,inputdata!$F:$F,"ED"),SUMIFS(sum_dest_adm,site_level_range_dest,$B$4,date_range_dest,L74)))</f>
        <v>32877</v>
      </c>
      <c r="M80" s="147">
        <f ca="1">IF(1378=0,"-",IF(ISNUMBER(FIND("ED only",$B$4)),SUMIFS(sum_dest_adm,site_level_range_dest,LEFT($B$4,LEN($B$4)-10),date_range_dest,M74,inputdata!$F:$F,"ED"),SUMIFS(sum_dest_adm,site_level_range_dest,$B$4,date_range_dest,M74)))</f>
        <v>29835</v>
      </c>
      <c r="N80" s="156">
        <f ca="1">IF(1478=0,"-",IF(ISNUMBER(FIND("ED only",$B$4)),SUMIFS(sum_dest_adm,site_level_range_dest,LEFT($B$4,LEN($B$4)-10),date_range_dest,N74,inputdata!$F:$F,"ED"),SUMIFS(sum_dest_adm,site_level_range_dest,$B$4,date_range_dest,N74)))</f>
        <v>32803</v>
      </c>
      <c r="P80" s="59"/>
      <c r="R80" s="40" t="s">
        <v>111</v>
      </c>
    </row>
    <row r="81" spans="1:18" ht="15" customHeight="1" x14ac:dyDescent="0.2">
      <c r="A81" s="132"/>
      <c r="B81" s="152" t="s">
        <v>740</v>
      </c>
      <c r="C81" s="147">
        <f ca="1">IF(378=0,"-",IF(ISNUMBER(FIND("ED only",$B$4)),SUMIFS(sum_dest_tran,site_level_range_dest,LEFT($B$4,LEN($B$4)-10),date_range_dest,C74,inputdata!$F:$F,"ED"),SUMIFS(sum_dest_tran,site_level_range_dest,$B$4,date_range_dest,C74)))</f>
        <v>3061</v>
      </c>
      <c r="D81" s="147">
        <f ca="1">IF(478=0,"-",IF(ISNUMBER(FIND("ED only",$B$4)),SUMIFS(sum_dest_tran,site_level_range_dest,LEFT($B$4,LEN($B$4)-10),date_range_dest,D74,inputdata!$F:$F,"ED"),SUMIFS(sum_dest_tran,site_level_range_dest,$B$4,date_range_dest,D74)))</f>
        <v>3539</v>
      </c>
      <c r="E81" s="147">
        <f ca="1">IF(578=0,"-",IF(ISNUMBER(FIND("ED only",$B$4)),SUMIFS(sum_dest_tran,site_level_range_dest,LEFT($B$4,LEN($B$4)-10),date_range_dest,E74,inputdata!$F:$F,"ED"),SUMIFS(sum_dest_tran,site_level_range_dest,$B$4,date_range_dest,E74)))</f>
        <v>3100</v>
      </c>
      <c r="F81" s="147">
        <f ca="1">IF(678=0,"-",IF(ISNUMBER(FIND("ED only",$B$4)),SUMIFS(sum_dest_tran,site_level_range_dest,LEFT($B$4,LEN($B$4)-10),date_range_dest,F74,inputdata!$F:$F,"ED"),SUMIFS(sum_dest_tran,site_level_range_dest,$B$4,date_range_dest,F74)))</f>
        <v>3314</v>
      </c>
      <c r="G81" s="147">
        <f ca="1">IF(778=0,"-",IF(ISNUMBER(FIND("ED only",$B$4)),SUMIFS(sum_dest_tran,site_level_range_dest,LEFT($B$4,LEN($B$4)-10),date_range_dest,G74,inputdata!$F:$F,"ED"),SUMIFS(sum_dest_tran,site_level_range_dest,$B$4,date_range_dest,G74)))</f>
        <v>3257</v>
      </c>
      <c r="H81" s="147">
        <f ca="1">IF(878=0,"-",IF(ISNUMBER(FIND("ED only",$B$4)),SUMIFS(sum_dest_tran,site_level_range_dest,LEFT($B$4,LEN($B$4)-10),date_range_dest,H74,inputdata!$F:$F,"ED"),SUMIFS(sum_dest_tran,site_level_range_dest,$B$4,date_range_dest,H74)))</f>
        <v>3531</v>
      </c>
      <c r="I81" s="147">
        <f ca="1">IF(978=0,"-",IF(ISNUMBER(FIND("ED only",$B$4)),SUMIFS(sum_dest_tran,site_level_range_dest,LEFT($B$4,LEN($B$4)-10),date_range_dest,I74,inputdata!$F:$F,"ED"),SUMIFS(sum_dest_tran,site_level_range_dest,$B$4,date_range_dest,I74)))</f>
        <v>3465</v>
      </c>
      <c r="J81" s="147">
        <f ca="1">IF(1078=0,"-",IF(ISNUMBER(FIND("ED only",$B$4)),SUMIFS(sum_dest_tran,site_level_range_dest,LEFT($B$4,LEN($B$4)-10),date_range_dest,J74,inputdata!$F:$F,"ED"),SUMIFS(sum_dest_tran,site_level_range_dest,$B$4,date_range_dest,J74)))</f>
        <v>3301</v>
      </c>
      <c r="K81" s="147">
        <f ca="1">IF(1178=0,"-",IF(ISNUMBER(FIND("ED only",$B$4)),SUMIFS(sum_dest_tran,site_level_range_dest,LEFT($B$4,LEN($B$4)-10),date_range_dest,K74,inputdata!$F:$F,"ED"),SUMIFS(sum_dest_tran,site_level_range_dest,$B$4,date_range_dest,K74)))</f>
        <v>3294</v>
      </c>
      <c r="L81" s="147">
        <f ca="1">IF(1278=0,"-",IF(ISNUMBER(FIND("ED only",$B$4)),SUMIFS(sum_dest_tran,site_level_range_dest,LEFT($B$4,LEN($B$4)-10),date_range_dest,L74,inputdata!$F:$F,"ED"),SUMIFS(sum_dest_tran,site_level_range_dest,$B$4,date_range_dest,L74)))</f>
        <v>3217</v>
      </c>
      <c r="M81" s="147">
        <f ca="1">IF(1378=0,"-",IF(ISNUMBER(FIND("ED only",$B$4)),SUMIFS(sum_dest_tran,site_level_range_dest,LEFT($B$4,LEN($B$4)-10),date_range_dest,M74,inputdata!$F:$F,"ED"),SUMIFS(sum_dest_tran,site_level_range_dest,$B$4,date_range_dest,M74)))</f>
        <v>2822</v>
      </c>
      <c r="N81" s="156">
        <f ca="1">IF(1478=0,"-",IF(ISNUMBER(FIND("ED only",$B$4)),SUMIFS(sum_dest_tran,site_level_range_dest,LEFT($B$4,LEN($B$4)-10),date_range_dest,N74,inputdata!$F:$F,"ED"),SUMIFS(sum_dest_tran,site_level_range_dest,$B$4,date_range_dest,N74)))</f>
        <v>3267</v>
      </c>
      <c r="P81" s="59"/>
      <c r="R81" s="40" t="s">
        <v>63</v>
      </c>
    </row>
    <row r="82" spans="1:18" ht="15" customHeight="1" x14ac:dyDescent="0.2">
      <c r="A82" s="132"/>
      <c r="B82" s="152" t="s">
        <v>741</v>
      </c>
      <c r="C82" s="147">
        <f ca="1">IF(378=0,"-",IF(ISNUMBER(FIND("ED only",$B$4)),SUMIFS(sum_dest_other,site_level_range_dest,LEFT($B$4,LEN($B$4)-10),date_range_dest,C74,inputdata!$F:$F,"ED"),SUMIFS(sum_dest_other,site_level_range_dest,$B$4,date_range_dest,C74)))</f>
        <v>184</v>
      </c>
      <c r="D82" s="147">
        <f ca="1">IF(478=0,"-",IF(ISNUMBER(FIND("ED only",$B$4)),SUMIFS(sum_dest_other,site_level_range_dest,LEFT($B$4,LEN($B$4)-10),date_range_dest,D74,inputdata!$F:$F,"ED"),SUMIFS(sum_dest_other,site_level_range_dest,$B$4,date_range_dest,D74)))</f>
        <v>189</v>
      </c>
      <c r="E82" s="147">
        <f ca="1">IF(578=0,"-",IF(ISNUMBER(FIND("ED only",$B$4)),SUMIFS(sum_dest_other,site_level_range_dest,LEFT($B$4,LEN($B$4)-10),date_range_dest,E74,inputdata!$F:$F,"ED"),SUMIFS(sum_dest_other,site_level_range_dest,$B$4,date_range_dest,E74)))</f>
        <v>151</v>
      </c>
      <c r="F82" s="147">
        <f ca="1">IF(678=0,"-",IF(ISNUMBER(FIND("ED only",$B$4)),SUMIFS(sum_dest_other,site_level_range_dest,LEFT($B$4,LEN($B$4)-10),date_range_dest,F74,inputdata!$F:$F,"ED"),SUMIFS(sum_dest_other,site_level_range_dest,$B$4,date_range_dest,F74)))</f>
        <v>161</v>
      </c>
      <c r="G82" s="147">
        <f ca="1">IF(778=0,"-",IF(ISNUMBER(FIND("ED only",$B$4)),SUMIFS(sum_dest_other,site_level_range_dest,LEFT($B$4,LEN($B$4)-10),date_range_dest,G74,inputdata!$F:$F,"ED"),SUMIFS(sum_dest_other,site_level_range_dest,$B$4,date_range_dest,G74)))</f>
        <v>188</v>
      </c>
      <c r="H82" s="147">
        <f ca="1">IF(878=0,"-",IF(ISNUMBER(FIND("ED only",$B$4)),SUMIFS(sum_dest_other,site_level_range_dest,LEFT($B$4,LEN($B$4)-10),date_range_dest,H74,inputdata!$F:$F,"ED"),SUMIFS(sum_dest_other,site_level_range_dest,$B$4,date_range_dest,H74)))</f>
        <v>141</v>
      </c>
      <c r="I82" s="147">
        <f ca="1">IF(978=0,"-",IF(ISNUMBER(FIND("ED only",$B$4)),SUMIFS(sum_dest_other,site_level_range_dest,LEFT($B$4,LEN($B$4)-10),date_range_dest,I74,inputdata!$F:$F,"ED"),SUMIFS(sum_dest_other,site_level_range_dest,$B$4,date_range_dest,I74)))</f>
        <v>198</v>
      </c>
      <c r="J82" s="147">
        <f ca="1">IF(1078=0,"-",IF(ISNUMBER(FIND("ED only",$B$4)),SUMIFS(sum_dest_other,site_level_range_dest,LEFT($B$4,LEN($B$4)-10),date_range_dest,J74,inputdata!$F:$F,"ED"),SUMIFS(sum_dest_other,site_level_range_dest,$B$4,date_range_dest,J74)))</f>
        <v>171</v>
      </c>
      <c r="K82" s="147">
        <f ca="1">IF(1178=0,"-",IF(ISNUMBER(FIND("ED only",$B$4)),SUMIFS(sum_dest_other,site_level_range_dest,LEFT($B$4,LEN($B$4)-10),date_range_dest,K74,inputdata!$F:$F,"ED"),SUMIFS(sum_dest_other,site_level_range_dest,$B$4,date_range_dest,K74)))</f>
        <v>220</v>
      </c>
      <c r="L82" s="147">
        <f ca="1">IF(1278=0,"-",IF(ISNUMBER(FIND("ED only",$B$4)),SUMIFS(sum_dest_other,site_level_range_dest,LEFT($B$4,LEN($B$4)-10),date_range_dest,L74,inputdata!$F:$F,"ED"),SUMIFS(sum_dest_other,site_level_range_dest,$B$4,date_range_dest,L74)))</f>
        <v>176</v>
      </c>
      <c r="M82" s="147">
        <f ca="1">IF(1378=0,"-",IF(ISNUMBER(FIND("ED only",$B$4)),SUMIFS(sum_dest_other,site_level_range_dest,LEFT($B$4,LEN($B$4)-10),date_range_dest,M74,inputdata!$F:$F,"ED"),SUMIFS(sum_dest_other,site_level_range_dest,$B$4,date_range_dest,M74)))</f>
        <v>156</v>
      </c>
      <c r="N82" s="156">
        <f ca="1">IF(1478=0,"-",IF(ISNUMBER(FIND("ED only",$B$4)),SUMIFS(sum_dest_other,site_level_range_dest,LEFT($B$4,LEN($B$4)-10),date_range_dest,N74,inputdata!$F:$F,"ED"),SUMIFS(sum_dest_other,site_level_range_dest,$B$4,date_range_dest,N74)))</f>
        <v>187</v>
      </c>
      <c r="P82" s="59"/>
      <c r="R82" s="40" t="s">
        <v>342</v>
      </c>
    </row>
    <row r="83" spans="1:18" ht="15" customHeight="1" x14ac:dyDescent="0.2">
      <c r="A83" s="132"/>
      <c r="B83" s="154" t="s">
        <v>742</v>
      </c>
      <c r="C83" s="150">
        <f ca="1">IF(378=0,"-",IF(ISNUMBER(FIND("ED only",$B$4)),SUMIFS(sum_dest_unknown,site_level_range_dest,LEFT($B$4,LEN($B$4)-10),date_range_dest,C74,inputdata!$F:$F,"ED"),SUMIFS(sum_dest_unknown,site_level_range_dest,$B$4,date_range_dest,C74)))</f>
        <v>3060</v>
      </c>
      <c r="D83" s="150">
        <f ca="1">IF(478=0,"-",IF(ISNUMBER(FIND("ED only",$B$4)),SUMIFS(sum_dest_unknown,site_level_range_dest,LEFT($B$4,LEN($B$4)-10),date_range_dest,D74,inputdata!$F:$F,"ED"),SUMIFS(sum_dest_unknown,site_level_range_dest,$B$4,date_range_dest,D74)))</f>
        <v>4121</v>
      </c>
      <c r="E83" s="150">
        <f ca="1">IF(578=0,"-",IF(ISNUMBER(FIND("ED only",$B$4)),SUMIFS(sum_dest_unknown,site_level_range_dest,LEFT($B$4,LEN($B$4)-10),date_range_dest,E74,inputdata!$F:$F,"ED"),SUMIFS(sum_dest_unknown,site_level_range_dest,$B$4,date_range_dest,E74)))</f>
        <v>3529</v>
      </c>
      <c r="F83" s="150">
        <f ca="1">IF(678=0,"-",IF(ISNUMBER(FIND("ED only",$B$4)),SUMIFS(sum_dest_unknown,site_level_range_dest,LEFT($B$4,LEN($B$4)-10),date_range_dest,F74,inputdata!$F:$F,"ED"),SUMIFS(sum_dest_unknown,site_level_range_dest,$B$4,date_range_dest,F74)))</f>
        <v>3339</v>
      </c>
      <c r="G83" s="150">
        <f ca="1">IF(778=0,"-",IF(ISNUMBER(FIND("ED only",$B$4)),SUMIFS(sum_dest_unknown,site_level_range_dest,LEFT($B$4,LEN($B$4)-10),date_range_dest,G74,inputdata!$F:$F,"ED"),SUMIFS(sum_dest_unknown,site_level_range_dest,$B$4,date_range_dest,G74)))</f>
        <v>3520</v>
      </c>
      <c r="H83" s="150">
        <f ca="1">IF(878=0,"-",IF(ISNUMBER(FIND("ED only",$B$4)),SUMIFS(sum_dest_unknown,site_level_range_dest,LEFT($B$4,LEN($B$4)-10),date_range_dest,H74,inputdata!$F:$F,"ED"),SUMIFS(sum_dest_unknown,site_level_range_dest,$B$4,date_range_dest,H74)))</f>
        <v>3562</v>
      </c>
      <c r="I83" s="150">
        <f ca="1">IF(978=0,"-",IF(ISNUMBER(FIND("ED only",$B$4)),SUMIFS(sum_dest_unknown,site_level_range_dest,LEFT($B$4,LEN($B$4)-10),date_range_dest,I74,inputdata!$F:$F,"ED"),SUMIFS(sum_dest_unknown,site_level_range_dest,$B$4,date_range_dest,I74)))</f>
        <v>3363</v>
      </c>
      <c r="J83" s="150">
        <f ca="1">IF(1078=0,"-",IF(ISNUMBER(FIND("ED only",$B$4)),SUMIFS(sum_dest_unknown,site_level_range_dest,LEFT($B$4,LEN($B$4)-10),date_range_dest,J74,inputdata!$F:$F,"ED"),SUMIFS(sum_dest_unknown,site_level_range_dest,$B$4,date_range_dest,J74)))</f>
        <v>3064</v>
      </c>
      <c r="K83" s="150">
        <f ca="1">IF(1178=0,"-",IF(ISNUMBER(FIND("ED only",$B$4)),SUMIFS(sum_dest_unknown,site_level_range_dest,LEFT($B$4,LEN($B$4)-10),date_range_dest,K74,inputdata!$F:$F,"ED"),SUMIFS(sum_dest_unknown,site_level_range_dest,$B$4,date_range_dest,K74)))</f>
        <v>3223</v>
      </c>
      <c r="L83" s="150">
        <f ca="1">IF(1278=0,"-",IF(ISNUMBER(FIND("ED only",$B$4)),SUMIFS(sum_dest_unknown,site_level_range_dest,LEFT($B$4,LEN($B$4)-10),date_range_dest,L74,inputdata!$F:$F,"ED"),SUMIFS(sum_dest_unknown,site_level_range_dest,$B$4,date_range_dest,L74)))</f>
        <v>3202</v>
      </c>
      <c r="M83" s="150">
        <f ca="1">IF(1378=0,"-",IF(ISNUMBER(FIND("ED only",$B$4)),SUMIFS(sum_dest_unknown,site_level_range_dest,LEFT($B$4,LEN($B$4)-10),date_range_dest,M74,inputdata!$F:$F,"ED"),SUMIFS(sum_dest_unknown,site_level_range_dest,$B$4,date_range_dest,M74)))</f>
        <v>2942</v>
      </c>
      <c r="N83" s="159">
        <f ca="1">IF(1478=0,"-",IF(ISNUMBER(FIND("ED only",$B$4)),SUMIFS(sum_dest_unknown,site_level_range_dest,LEFT($B$4,LEN($B$4)-10),date_range_dest,N74,inputdata!$F:$F,"ED"),SUMIFS(sum_dest_unknown,site_level_range_dest,$B$4,date_range_dest,N74)))</f>
        <v>3635</v>
      </c>
      <c r="P83" s="59"/>
      <c r="R83" s="40" t="s">
        <v>343</v>
      </c>
    </row>
    <row r="84" spans="1:18" ht="13.5" customHeight="1" x14ac:dyDescent="0.2">
      <c r="B84" s="127"/>
      <c r="C84" s="127"/>
      <c r="D84" s="127"/>
      <c r="E84" s="127"/>
      <c r="F84" s="127"/>
      <c r="G84" s="127"/>
      <c r="H84" s="127"/>
      <c r="I84" s="127"/>
      <c r="J84" s="127"/>
      <c r="K84" s="127"/>
      <c r="L84" s="127"/>
      <c r="M84" s="127"/>
      <c r="N84" s="127"/>
      <c r="P84" s="59"/>
      <c r="R84" s="40" t="s">
        <v>344</v>
      </c>
    </row>
    <row r="85" spans="1:18" ht="15" customHeight="1" x14ac:dyDescent="0.25">
      <c r="A85" s="132"/>
      <c r="B85" s="153" t="str">
        <f>IF(ISNUMBER(FIND("ED only",$B$4)),"2015/2016 (ED Only)","2015/2016")</f>
        <v>2015/2016</v>
      </c>
      <c r="C85" s="149">
        <v>42124</v>
      </c>
      <c r="D85" s="149">
        <v>42155</v>
      </c>
      <c r="E85" s="149">
        <v>42185</v>
      </c>
      <c r="F85" s="149">
        <v>42216</v>
      </c>
      <c r="G85" s="149">
        <v>42247</v>
      </c>
      <c r="H85" s="149">
        <v>42277</v>
      </c>
      <c r="I85" s="149">
        <v>42308</v>
      </c>
      <c r="J85" s="149">
        <v>42338</v>
      </c>
      <c r="K85" s="149">
        <v>42369</v>
      </c>
      <c r="L85" s="149">
        <v>42400</v>
      </c>
      <c r="M85" s="149">
        <v>42429</v>
      </c>
      <c r="N85" s="158">
        <v>42460</v>
      </c>
      <c r="R85" s="40" t="s">
        <v>252</v>
      </c>
    </row>
    <row r="86" spans="1:18" ht="15" customHeight="1" x14ac:dyDescent="0.2">
      <c r="A86" s="132"/>
      <c r="B86" s="164" t="s">
        <v>735</v>
      </c>
      <c r="C86" s="162"/>
      <c r="D86" s="162"/>
      <c r="E86" s="162"/>
      <c r="F86" s="162"/>
      <c r="G86" s="162"/>
      <c r="H86" s="162"/>
      <c r="I86" s="162"/>
      <c r="J86" s="162"/>
      <c r="K86" s="162"/>
      <c r="L86" s="162"/>
      <c r="M86" s="162"/>
      <c r="N86" s="152"/>
      <c r="R86" s="40" t="s">
        <v>61</v>
      </c>
    </row>
    <row r="87" spans="1:18" ht="15" customHeight="1" x14ac:dyDescent="0.2">
      <c r="A87" s="132"/>
      <c r="B87" s="154" t="s">
        <v>736</v>
      </c>
      <c r="C87" s="150">
        <f ca="1">IF(ISNUMBER(FIND("ED only",$B$4)),SUMIFS(sum_range_dest,site_level_range_dest,LEFT($B$4,LEN($B$4)-10),date_range_dest,C85,inputdata!$F:$F,"ED"),SUMIFS(sum_range_dest,site_level_range_dest,$B$4,date_range_dest,C85))</f>
        <v>134698</v>
      </c>
      <c r="D87" s="150">
        <f ca="1">IF(ISNUMBER(FIND("ED only",$B$4)),SUMIFS(sum_range_dest,site_level_range_dest,LEFT($B$4,LEN($B$4)-10),date_range_dest,D85,inputdata!$F:$F,"ED"),SUMIFS(sum_range_dest,site_level_range_dest,$B$4,date_range_dest,D85))</f>
        <v>138066</v>
      </c>
      <c r="E87" s="150">
        <f ca="1">IF(ISNUMBER(FIND("ED only",$B$4)),SUMIFS(sum_range_dest,site_level_range_dest,LEFT($B$4,LEN($B$4)-10),date_range_dest,E85,inputdata!$F:$F,"ED"),SUMIFS(sum_range_dest,site_level_range_dest,$B$4,date_range_dest,E85))</f>
        <v>134742</v>
      </c>
      <c r="F87" s="150">
        <f ca="1">IF(ISNUMBER(FIND("ED only",$B$4)),SUMIFS(sum_range_dest,site_level_range_dest,LEFT($B$4,LEN($B$4)-10),date_range_dest,F85,inputdata!$F:$F,"ED"),SUMIFS(sum_range_dest,site_level_range_dest,$B$4,date_range_dest,F85))</f>
        <v>131922</v>
      </c>
      <c r="G87" s="150">
        <f ca="1">IF(ISNUMBER(FIND("ED only",$B$4)),SUMIFS(sum_range_dest,site_level_range_dest,LEFT($B$4,LEN($B$4)-10),date_range_dest,G85,inputdata!$F:$F,"ED"),SUMIFS(sum_range_dest,site_level_range_dest,$B$4,date_range_dest,G85))</f>
        <v>142075</v>
      </c>
      <c r="H87" s="150">
        <f ca="1">IF(ISNUMBER(FIND("ED only",$B$4)),SUMIFS(sum_range_dest,site_level_range_dest,LEFT($B$4,LEN($B$4)-10),date_range_dest,H85,inputdata!$F:$F,"ED"),SUMIFS(sum_range_dest,site_level_range_dest,$B$4,date_range_dest,H85))</f>
        <v>137067</v>
      </c>
      <c r="I87" s="150">
        <f ca="1">IF(ISNUMBER(FIND("ED only",$B$4)),SUMIFS(sum_range_dest,site_level_range_dest,LEFT($B$4,LEN($B$4)-10),date_range_dest,I85,inputdata!$F:$F,"ED"),SUMIFS(sum_range_dest,site_level_range_dest,$B$4,date_range_dest,I85))</f>
        <v>133015</v>
      </c>
      <c r="J87" s="150">
        <f ca="1">IF(ISNUMBER(FIND("ED only",$B$4)),SUMIFS(sum_range_dest,site_level_range_dest,LEFT($B$4,LEN($B$4)-10),date_range_dest,J85,inputdata!$F:$F,"ED"),SUMIFS(sum_range_dest,site_level_range_dest,$B$4,date_range_dest,J85))</f>
        <v>127523</v>
      </c>
      <c r="K87" s="150">
        <f ca="1">IF(ISNUMBER(FIND("ED only",$B$4)),SUMIFS(sum_range_dest,site_level_range_dest,LEFT($B$4,LEN($B$4)-10),date_range_dest,K85,inputdata!$F:$F,"ED"),SUMIFS(sum_range_dest,site_level_range_dest,$B$4,date_range_dest,K85))</f>
        <v>125196</v>
      </c>
      <c r="L87" s="150">
        <f ca="1">IF(ISNUMBER(FIND("ED only",$B$4)),SUMIFS(sum_range_dest,site_level_range_dest,LEFT($B$4,LEN($B$4)-10),date_range_dest,L85,inputdata!$F:$F,"ED"),SUMIFS(sum_range_dest,site_level_range_dest,$B$4,date_range_dest,L85))</f>
        <v>129520</v>
      </c>
      <c r="M87" s="150">
        <f ca="1">IF(ISNUMBER(FIND("ED only",$B$4)),SUMIFS(sum_range_dest,site_level_range_dest,LEFT($B$4,LEN($B$4)-10),date_range_dest,M85,inputdata!$F:$F,"ED"),SUMIFS(sum_range_dest,site_level_range_dest,$B$4,date_range_dest,M85))</f>
        <v>127812</v>
      </c>
      <c r="N87" s="159">
        <f ca="1">IF(ISNUMBER(FIND("ED only",$B$4)),SUMIFS(sum_range_dest,site_level_range_dest,LEFT($B$4,LEN($B$4)-10),date_range_dest,N85,inputdata!$F:$F,"ED"),SUMIFS(sum_range_dest,site_level_range_dest,$B$4,date_range_dest,N85))</f>
        <v>144912</v>
      </c>
      <c r="R87" s="40" t="s">
        <v>62</v>
      </c>
    </row>
    <row r="88" spans="1:18" ht="15" customHeight="1" x14ac:dyDescent="0.2">
      <c r="A88" s="132"/>
      <c r="B88" s="164" t="s">
        <v>737</v>
      </c>
      <c r="C88" s="162"/>
      <c r="D88" s="162"/>
      <c r="E88" s="162"/>
      <c r="F88" s="162"/>
      <c r="G88" s="162"/>
      <c r="H88" s="162"/>
      <c r="I88" s="162"/>
      <c r="J88" s="162"/>
      <c r="K88" s="162"/>
      <c r="L88" s="162"/>
      <c r="M88" s="162"/>
      <c r="N88" s="152"/>
      <c r="R88" s="40" t="s">
        <v>250</v>
      </c>
    </row>
    <row r="89" spans="1:18" ht="15" customHeight="1" x14ac:dyDescent="0.2">
      <c r="A89" s="132"/>
      <c r="B89" s="152" t="s">
        <v>736</v>
      </c>
      <c r="C89" s="147">
        <f ca="1">IF(ISNUMBER(FIND("ED only",$B$4)),SUMIFS(sum_total_epi_dest,site_level_range_dest,LEFT($B$4,LEN($B$4)-10),date_range_dest,C85,inputdata!$F:$F,"ED"),SUMIFS(sum_total_epi_dest,site_level_range_dest,$B$4,date_range_dest,C85))</f>
        <v>126239</v>
      </c>
      <c r="D89" s="147">
        <f ca="1">IF(ISNUMBER(FIND("ED only",$B$4)),SUMIFS(sum_total_epi_dest,site_level_range_dest,LEFT($B$4,LEN($B$4)-10),date_range_dest,D85,inputdata!$F:$F,"ED"),SUMIFS(sum_total_epi_dest,site_level_range_dest,$B$4,date_range_dest,D85))</f>
        <v>129209</v>
      </c>
      <c r="E89" s="147">
        <f ca="1">IF(ISNUMBER(FIND("ED only",$B$4)),SUMIFS(sum_total_epi_dest,site_level_range_dest,LEFT($B$4,LEN($B$4)-10),date_range_dest,E85,inputdata!$F:$F,"ED"),SUMIFS(sum_total_epi_dest,site_level_range_dest,$B$4,date_range_dest,E85))</f>
        <v>125659</v>
      </c>
      <c r="F89" s="147">
        <f ca="1">IF(ISNUMBER(FIND("ED only",$B$4)),SUMIFS(sum_total_epi_dest,site_level_range_dest,LEFT($B$4,LEN($B$4)-10),date_range_dest,F85,inputdata!$F:$F,"ED"),SUMIFS(sum_total_epi_dest,site_level_range_dest,$B$4,date_range_dest,F85))</f>
        <v>122606</v>
      </c>
      <c r="G89" s="147">
        <f ca="1">IF(ISNUMBER(FIND("ED only",$B$4)),SUMIFS(sum_total_epi_dest,site_level_range_dest,LEFT($B$4,LEN($B$4)-10),date_range_dest,G85,inputdata!$F:$F,"ED"),SUMIFS(sum_total_epi_dest,site_level_range_dest,$B$4,date_range_dest,G85))</f>
        <v>132175</v>
      </c>
      <c r="H89" s="147">
        <f ca="1">IF(ISNUMBER(FIND("ED only",$B$4)),SUMIFS(sum_total_epi_dest,site_level_range_dest,LEFT($B$4,LEN($B$4)-10),date_range_dest,H85,inputdata!$F:$F,"ED"),SUMIFS(sum_total_epi_dest,site_level_range_dest,$B$4,date_range_dest,H85))</f>
        <v>128189</v>
      </c>
      <c r="I89" s="147">
        <f ca="1">IF(ISNUMBER(FIND("ED only",$B$4)),SUMIFS(sum_total_epi_dest,site_level_range_dest,LEFT($B$4,LEN($B$4)-10),date_range_dest,I85,inputdata!$F:$F,"ED"),SUMIFS(sum_total_epi_dest,site_level_range_dest,$B$4,date_range_dest,I85))</f>
        <v>125027</v>
      </c>
      <c r="J89" s="147">
        <f ca="1">IF(ISNUMBER(FIND("ED only",$B$4)),SUMIFS(sum_total_epi_dest,site_level_range_dest,LEFT($B$4,LEN($B$4)-10),date_range_dest,J85,inputdata!$F:$F,"ED"),SUMIFS(sum_total_epi_dest,site_level_range_dest,$B$4,date_range_dest,J85))</f>
        <v>120058</v>
      </c>
      <c r="K89" s="147">
        <f ca="1">IF(ISNUMBER(FIND("ED only",$B$4)),SUMIFS(sum_total_epi_dest,site_level_range_dest,LEFT($B$4,LEN($B$4)-10),date_range_dest,K85,inputdata!$F:$F,"ED"),SUMIFS(sum_total_epi_dest,site_level_range_dest,$B$4,date_range_dest,K85))</f>
        <v>117539</v>
      </c>
      <c r="L89" s="147">
        <f ca="1">IF(ISNUMBER(FIND("ED only",$B$4)),SUMIFS(sum_total_epi_dest,site_level_range_dest,LEFT($B$4,LEN($B$4)-10),date_range_dest,L85,inputdata!$F:$F,"ED"),SUMIFS(sum_total_epi_dest,site_level_range_dest,$B$4,date_range_dest,L85))</f>
        <v>121846</v>
      </c>
      <c r="M89" s="147">
        <f ca="1">IF(ISNUMBER(FIND("ED only",$B$4)),SUMIFS(sum_total_epi_dest,site_level_range_dest,LEFT($B$4,LEN($B$4)-10),date_range_dest,M85,inputdata!$F:$F,"ED"),SUMIFS(sum_total_epi_dest,site_level_range_dest,$B$4,date_range_dest,M85))</f>
        <v>120267</v>
      </c>
      <c r="N89" s="156">
        <f ca="1">IF(ISNUMBER(FIND("ED only",$B$4)),SUMIFS(sum_total_epi_dest,site_level_range_dest,LEFT($B$4,LEN($B$4)-10),date_range_dest,N85,inputdata!$F:$F,"ED"),SUMIFS(sum_total_epi_dest,site_level_range_dest,$B$4,date_range_dest,N85))</f>
        <v>136094</v>
      </c>
      <c r="R89" s="40" t="s">
        <v>64</v>
      </c>
    </row>
    <row r="90" spans="1:18" ht="15" customHeight="1" x14ac:dyDescent="0.2">
      <c r="A90" s="132"/>
      <c r="B90" s="152" t="s">
        <v>738</v>
      </c>
      <c r="C90" s="147">
        <f ca="1">IF(389=0,"-",IF(ISNUMBER(FIND("ED only",$B$4)),SUMIFS(sum_dest_res,site_level_range_dest,LEFT($B$4,LEN($B$4)-10),date_range_dest,C85,inputdata!$F:$F,"ED"),SUMIFS(sum_dest_res,site_level_range_dest,$B$4,date_range_dest,C85)))</f>
        <v>85747</v>
      </c>
      <c r="D90" s="147">
        <f ca="1">IF(489=0,"-",IF(ISNUMBER(FIND("ED only",$B$4)),SUMIFS(sum_dest_res,site_level_range_dest,LEFT($B$4,LEN($B$4)-10),date_range_dest,D85,inputdata!$F:$F,"ED"),SUMIFS(sum_dest_res,site_level_range_dest,$B$4,date_range_dest,D85)))</f>
        <v>88492</v>
      </c>
      <c r="E90" s="147">
        <f ca="1">IF(589=0,"-",IF(ISNUMBER(FIND("ED only",$B$4)),SUMIFS(sum_dest_res,site_level_range_dest,LEFT($B$4,LEN($B$4)-10),date_range_dest,E85,inputdata!$F:$F,"ED"),SUMIFS(sum_dest_res,site_level_range_dest,$B$4,date_range_dest,E85)))</f>
        <v>87631</v>
      </c>
      <c r="F90" s="147">
        <f ca="1">IF(689=0,"-",IF(ISNUMBER(FIND("ED only",$B$4)),SUMIFS(sum_dest_res,site_level_range_dest,LEFT($B$4,LEN($B$4)-10),date_range_dest,F85,inputdata!$F:$F,"ED"),SUMIFS(sum_dest_res,site_level_range_dest,$B$4,date_range_dest,F85)))</f>
        <v>84778</v>
      </c>
      <c r="G90" s="147">
        <f ca="1">IF(789=0,"-",IF(ISNUMBER(FIND("ED only",$B$4)),SUMIFS(sum_dest_res,site_level_range_dest,LEFT($B$4,LEN($B$4)-10),date_range_dest,G85,inputdata!$F:$F,"ED"),SUMIFS(sum_dest_res,site_level_range_dest,$B$4,date_range_dest,G85)))</f>
        <v>92260</v>
      </c>
      <c r="H90" s="147">
        <f ca="1">IF(889=0,"-",IF(ISNUMBER(FIND("ED only",$B$4)),SUMIFS(sum_dest_res,site_level_range_dest,LEFT($B$4,LEN($B$4)-10),date_range_dest,H85,inputdata!$F:$F,"ED"),SUMIFS(sum_dest_res,site_level_range_dest,$B$4,date_range_dest,H85)))</f>
        <v>89425</v>
      </c>
      <c r="I90" s="147">
        <f ca="1">IF(989=0,"-",IF(ISNUMBER(FIND("ED only",$B$4)),SUMIFS(sum_dest_res,site_level_range_dest,LEFT($B$4,LEN($B$4)-10),date_range_dest,I85,inputdata!$F:$F,"ED"),SUMIFS(sum_dest_res,site_level_range_dest,$B$4,date_range_dest,I85)))</f>
        <v>85926</v>
      </c>
      <c r="J90" s="147">
        <f ca="1">IF(1089=0,"-",IF(ISNUMBER(FIND("ED only",$B$4)),SUMIFS(sum_dest_res,site_level_range_dest,LEFT($B$4,LEN($B$4)-10),date_range_dest,J85,inputdata!$F:$F,"ED"),SUMIFS(sum_dest_res,site_level_range_dest,$B$4,date_range_dest,J85)))</f>
        <v>81626</v>
      </c>
      <c r="K90" s="147">
        <f ca="1">IF(1189=0,"-",IF(ISNUMBER(FIND("ED only",$B$4)),SUMIFS(sum_dest_res,site_level_range_dest,LEFT($B$4,LEN($B$4)-10),date_range_dest,K85,inputdata!$F:$F,"ED"),SUMIFS(sum_dest_res,site_level_range_dest,$B$4,date_range_dest,K85)))</f>
        <v>78352</v>
      </c>
      <c r="L90" s="147">
        <f ca="1">IF(1289=0,"-",IF(ISNUMBER(FIND("ED only",$B$4)),SUMIFS(sum_dest_res,site_level_range_dest,LEFT($B$4,LEN($B$4)-10),date_range_dest,L85,inputdata!$F:$F,"ED"),SUMIFS(sum_dest_res,site_level_range_dest,$B$4,date_range_dest,L85)))</f>
        <v>81686</v>
      </c>
      <c r="M90" s="147">
        <f ca="1">IF(1389=0,"-",IF(ISNUMBER(FIND("ED only",$B$4)),SUMIFS(sum_dest_res,site_level_range_dest,LEFT($B$4,LEN($B$4)-10),date_range_dest,M85,inputdata!$F:$F,"ED"),SUMIFS(sum_dest_res,site_level_range_dest,$B$4,date_range_dest,M85)))</f>
        <v>82440</v>
      </c>
      <c r="N90" s="156">
        <f ca="1">IF(1489=0,"-",IF(ISNUMBER(FIND("ED only",$B$4)),SUMIFS(sum_dest_res,site_level_range_dest,LEFT($B$4,LEN($B$4)-10),date_range_dest,N85,inputdata!$F:$F,"ED"),SUMIFS(sum_dest_res,site_level_range_dest,$B$4,date_range_dest,N85)))</f>
        <v>93800</v>
      </c>
      <c r="R90" s="40" t="s">
        <v>251</v>
      </c>
    </row>
    <row r="91" spans="1:18" ht="15" customHeight="1" x14ac:dyDescent="0.2">
      <c r="A91" s="132"/>
      <c r="B91" s="152" t="s">
        <v>739</v>
      </c>
      <c r="C91" s="147">
        <f ca="1">IF(389=0,"-",IF(ISNUMBER(FIND("ED only",$B$4)),SUMIFS(sum_dest_adm,site_level_range_dest,LEFT($B$4,LEN($B$4)-10),date_range_dest,C85,inputdata!$F:$F,"ED"),SUMIFS(sum_dest_adm,site_level_range_dest,$B$4,date_range_dest,C85)))</f>
        <v>33127</v>
      </c>
      <c r="D91" s="147">
        <f ca="1">IF(489=0,"-",IF(ISNUMBER(FIND("ED only",$B$4)),SUMIFS(sum_dest_adm,site_level_range_dest,LEFT($B$4,LEN($B$4)-10),date_range_dest,D85,inputdata!$F:$F,"ED"),SUMIFS(sum_dest_adm,site_level_range_dest,$B$4,date_range_dest,D85)))</f>
        <v>33367</v>
      </c>
      <c r="E91" s="147">
        <f ca="1">IF(589=0,"-",IF(ISNUMBER(FIND("ED only",$B$4)),SUMIFS(sum_dest_adm,site_level_range_dest,LEFT($B$4,LEN($B$4)-10),date_range_dest,E85,inputdata!$F:$F,"ED"),SUMIFS(sum_dest_adm,site_level_range_dest,$B$4,date_range_dest,E85)))</f>
        <v>31065</v>
      </c>
      <c r="F91" s="147">
        <f ca="1">IF(689=0,"-",IF(ISNUMBER(FIND("ED only",$B$4)),SUMIFS(sum_dest_adm,site_level_range_dest,LEFT($B$4,LEN($B$4)-10),date_range_dest,F85,inputdata!$F:$F,"ED"),SUMIFS(sum_dest_adm,site_level_range_dest,$B$4,date_range_dest,F85)))</f>
        <v>31283</v>
      </c>
      <c r="G91" s="147">
        <f ca="1">IF(789=0,"-",IF(ISNUMBER(FIND("ED only",$B$4)),SUMIFS(sum_dest_adm,site_level_range_dest,LEFT($B$4,LEN($B$4)-10),date_range_dest,G85,inputdata!$F:$F,"ED"),SUMIFS(sum_dest_adm,site_level_range_dest,$B$4,date_range_dest,G85)))</f>
        <v>32849</v>
      </c>
      <c r="H91" s="147">
        <f ca="1">IF(889=0,"-",IF(ISNUMBER(FIND("ED only",$B$4)),SUMIFS(sum_dest_adm,site_level_range_dest,LEFT($B$4,LEN($B$4)-10),date_range_dest,H85,inputdata!$F:$F,"ED"),SUMIFS(sum_dest_adm,site_level_range_dest,$B$4,date_range_dest,H85)))</f>
        <v>31767</v>
      </c>
      <c r="I91" s="147">
        <f ca="1">IF(989=0,"-",IF(ISNUMBER(FIND("ED only",$B$4)),SUMIFS(sum_dest_adm,site_level_range_dest,LEFT($B$4,LEN($B$4)-10),date_range_dest,I85,inputdata!$F:$F,"ED"),SUMIFS(sum_dest_adm,site_level_range_dest,$B$4,date_range_dest,I85)))</f>
        <v>32369</v>
      </c>
      <c r="J91" s="147">
        <f ca="1">IF(1089=0,"-",IF(ISNUMBER(FIND("ED only",$B$4)),SUMIFS(sum_dest_adm,site_level_range_dest,LEFT($B$4,LEN($B$4)-10),date_range_dest,J85,inputdata!$F:$F,"ED"),SUMIFS(sum_dest_adm,site_level_range_dest,$B$4,date_range_dest,J85)))</f>
        <v>32064</v>
      </c>
      <c r="K91" s="147">
        <f ca="1">IF(1189=0,"-",IF(ISNUMBER(FIND("ED only",$B$4)),SUMIFS(sum_dest_adm,site_level_range_dest,LEFT($B$4,LEN($B$4)-10),date_range_dest,K85,inputdata!$F:$F,"ED"),SUMIFS(sum_dest_adm,site_level_range_dest,$B$4,date_range_dest,K85)))</f>
        <v>32863</v>
      </c>
      <c r="L91" s="147">
        <f ca="1">IF(1289=0,"-",IF(ISNUMBER(FIND("ED only",$B$4)),SUMIFS(sum_dest_adm,site_level_range_dest,LEFT($B$4,LEN($B$4)-10),date_range_dest,L85,inputdata!$F:$F,"ED"),SUMIFS(sum_dest_adm,site_level_range_dest,$B$4,date_range_dest,L85)))</f>
        <v>33195</v>
      </c>
      <c r="M91" s="147">
        <f ca="1">IF(1389=0,"-",IF(ISNUMBER(FIND("ED only",$B$4)),SUMIFS(sum_dest_adm,site_level_range_dest,LEFT($B$4,LEN($B$4)-10),date_range_dest,M85,inputdata!$F:$F,"ED"),SUMIFS(sum_dest_adm,site_level_range_dest,$B$4,date_range_dest,M85)))</f>
        <v>31497</v>
      </c>
      <c r="N91" s="156">
        <f ca="1">IF(1489=0,"-",IF(ISNUMBER(FIND("ED only",$B$4)),SUMIFS(sum_dest_adm,site_level_range_dest,LEFT($B$4,LEN($B$4)-10),date_range_dest,N85,inputdata!$F:$F,"ED"),SUMIFS(sum_dest_adm,site_level_range_dest,$B$4,date_range_dest,N85)))</f>
        <v>34520</v>
      </c>
      <c r="R91" s="40" t="s">
        <v>345</v>
      </c>
    </row>
    <row r="92" spans="1:18" ht="15" customHeight="1" x14ac:dyDescent="0.2">
      <c r="A92" s="132"/>
      <c r="B92" s="152" t="s">
        <v>740</v>
      </c>
      <c r="C92" s="147">
        <f ca="1">IF(389=0,"-",IF(ISNUMBER(FIND("ED only",$B$4)),SUMIFS(sum_dest_tran,site_level_range_dest,LEFT($B$4,LEN($B$4)-10),date_range_dest,C85,inputdata!$F:$F,"ED"),SUMIFS(sum_dest_tran,site_level_range_dest,$B$4,date_range_dest,C85)))</f>
        <v>3689</v>
      </c>
      <c r="D92" s="147">
        <f ca="1">IF(489=0,"-",IF(ISNUMBER(FIND("ED only",$B$4)),SUMIFS(sum_dest_tran,site_level_range_dest,LEFT($B$4,LEN($B$4)-10),date_range_dest,D85,inputdata!$F:$F,"ED"),SUMIFS(sum_dest_tran,site_level_range_dest,$B$4,date_range_dest,D85)))</f>
        <v>3463</v>
      </c>
      <c r="E92" s="147">
        <f ca="1">IF(589=0,"-",IF(ISNUMBER(FIND("ED only",$B$4)),SUMIFS(sum_dest_tran,site_level_range_dest,LEFT($B$4,LEN($B$4)-10),date_range_dest,E85,inputdata!$F:$F,"ED"),SUMIFS(sum_dest_tran,site_level_range_dest,$B$4,date_range_dest,E85)))</f>
        <v>3067</v>
      </c>
      <c r="F92" s="147">
        <f ca="1">IF(689=0,"-",IF(ISNUMBER(FIND("ED only",$B$4)),SUMIFS(sum_dest_tran,site_level_range_dest,LEFT($B$4,LEN($B$4)-10),date_range_dest,F85,inputdata!$F:$F,"ED"),SUMIFS(sum_dest_tran,site_level_range_dest,$B$4,date_range_dest,F85)))</f>
        <v>2998</v>
      </c>
      <c r="G92" s="147">
        <f ca="1">IF(789=0,"-",IF(ISNUMBER(FIND("ED only",$B$4)),SUMIFS(sum_dest_tran,site_level_range_dest,LEFT($B$4,LEN($B$4)-10),date_range_dest,G85,inputdata!$F:$F,"ED"),SUMIFS(sum_dest_tran,site_level_range_dest,$B$4,date_range_dest,G85)))</f>
        <v>3293</v>
      </c>
      <c r="H92" s="147">
        <f ca="1">IF(889=0,"-",IF(ISNUMBER(FIND("ED only",$B$4)),SUMIFS(sum_dest_tran,site_level_range_dest,LEFT($B$4,LEN($B$4)-10),date_range_dest,H85,inputdata!$F:$F,"ED"),SUMIFS(sum_dest_tran,site_level_range_dest,$B$4,date_range_dest,H85)))</f>
        <v>3204</v>
      </c>
      <c r="I92" s="147">
        <f ca="1">IF(989=0,"-",IF(ISNUMBER(FIND("ED only",$B$4)),SUMIFS(sum_dest_tran,site_level_range_dest,LEFT($B$4,LEN($B$4)-10),date_range_dest,I85,inputdata!$F:$F,"ED"),SUMIFS(sum_dest_tran,site_level_range_dest,$B$4,date_range_dest,I85)))</f>
        <v>3249</v>
      </c>
      <c r="J92" s="147">
        <f ca="1">IF(1089=0,"-",IF(ISNUMBER(FIND("ED only",$B$4)),SUMIFS(sum_dest_tran,site_level_range_dest,LEFT($B$4,LEN($B$4)-10),date_range_dest,J85,inputdata!$F:$F,"ED"),SUMIFS(sum_dest_tran,site_level_range_dest,$B$4,date_range_dest,J85)))</f>
        <v>3010</v>
      </c>
      <c r="K92" s="147">
        <f ca="1">IF(1189=0,"-",IF(ISNUMBER(FIND("ED only",$B$4)),SUMIFS(sum_dest_tran,site_level_range_dest,LEFT($B$4,LEN($B$4)-10),date_range_dest,K85,inputdata!$F:$F,"ED"),SUMIFS(sum_dest_tran,site_level_range_dest,$B$4,date_range_dest,K85)))</f>
        <v>3246</v>
      </c>
      <c r="L92" s="147">
        <f ca="1">IF(1289=0,"-",IF(ISNUMBER(FIND("ED only",$B$4)),SUMIFS(sum_dest_tran,site_level_range_dest,LEFT($B$4,LEN($B$4)-10),date_range_dest,L85,inputdata!$F:$F,"ED"),SUMIFS(sum_dest_tran,site_level_range_dest,$B$4,date_range_dest,L85)))</f>
        <v>3280</v>
      </c>
      <c r="M92" s="147">
        <f ca="1">IF(1389=0,"-",IF(ISNUMBER(FIND("ED only",$B$4)),SUMIFS(sum_dest_tran,site_level_range_dest,LEFT($B$4,LEN($B$4)-10),date_range_dest,M85,inputdata!$F:$F,"ED"),SUMIFS(sum_dest_tran,site_level_range_dest,$B$4,date_range_dest,M85)))</f>
        <v>3024</v>
      </c>
      <c r="N92" s="156">
        <f ca="1">IF(1489=0,"-",IF(ISNUMBER(FIND("ED only",$B$4)),SUMIFS(sum_dest_tran,site_level_range_dest,LEFT($B$4,LEN($B$4)-10),date_range_dest,N85,inputdata!$F:$F,"ED"),SUMIFS(sum_dest_tran,site_level_range_dest,$B$4,date_range_dest,N85)))</f>
        <v>3625</v>
      </c>
      <c r="R92" s="40" t="s">
        <v>308</v>
      </c>
    </row>
    <row r="93" spans="1:18" ht="15" customHeight="1" x14ac:dyDescent="0.2">
      <c r="A93" s="132"/>
      <c r="B93" s="152" t="s">
        <v>741</v>
      </c>
      <c r="C93" s="147">
        <f ca="1">IF(389=0,"-",IF(ISNUMBER(FIND("ED only",$B$4)),SUMIFS(sum_dest_other,site_level_range_dest,LEFT($B$4,LEN($B$4)-10),date_range_dest,C85,inputdata!$F:$F,"ED"),SUMIFS(sum_dest_other,site_level_range_dest,$B$4,date_range_dest,C85)))</f>
        <v>238</v>
      </c>
      <c r="D93" s="147">
        <f ca="1">IF(489=0,"-",IF(ISNUMBER(FIND("ED only",$B$4)),SUMIFS(sum_dest_other,site_level_range_dest,LEFT($B$4,LEN($B$4)-10),date_range_dest,D85,inputdata!$F:$F,"ED"),SUMIFS(sum_dest_other,site_level_range_dest,$B$4,date_range_dest,D85)))</f>
        <v>168</v>
      </c>
      <c r="E93" s="147">
        <f ca="1">IF(589=0,"-",IF(ISNUMBER(FIND("ED only",$B$4)),SUMIFS(sum_dest_other,site_level_range_dest,LEFT($B$4,LEN($B$4)-10),date_range_dest,E85,inputdata!$F:$F,"ED"),SUMIFS(sum_dest_other,site_level_range_dest,$B$4,date_range_dest,E85)))</f>
        <v>181</v>
      </c>
      <c r="F93" s="147">
        <f ca="1">IF(689=0,"-",IF(ISNUMBER(FIND("ED only",$B$4)),SUMIFS(sum_dest_other,site_level_range_dest,LEFT($B$4,LEN($B$4)-10),date_range_dest,F85,inputdata!$F:$F,"ED"),SUMIFS(sum_dest_other,site_level_range_dest,$B$4,date_range_dest,F85)))</f>
        <v>153</v>
      </c>
      <c r="G93" s="147">
        <f ca="1">IF(789=0,"-",IF(ISNUMBER(FIND("ED only",$B$4)),SUMIFS(sum_dest_other,site_level_range_dest,LEFT($B$4,LEN($B$4)-10),date_range_dest,G85,inputdata!$F:$F,"ED"),SUMIFS(sum_dest_other,site_level_range_dest,$B$4,date_range_dest,G85)))</f>
        <v>185</v>
      </c>
      <c r="H93" s="147">
        <f ca="1">IF(889=0,"-",IF(ISNUMBER(FIND("ED only",$B$4)),SUMIFS(sum_dest_other,site_level_range_dest,LEFT($B$4,LEN($B$4)-10),date_range_dest,H85,inputdata!$F:$F,"ED"),SUMIFS(sum_dest_other,site_level_range_dest,$B$4,date_range_dest,H85)))</f>
        <v>180</v>
      </c>
      <c r="I93" s="147">
        <f ca="1">IF(989=0,"-",IF(ISNUMBER(FIND("ED only",$B$4)),SUMIFS(sum_dest_other,site_level_range_dest,LEFT($B$4,LEN($B$4)-10),date_range_dest,I85,inputdata!$F:$F,"ED"),SUMIFS(sum_dest_other,site_level_range_dest,$B$4,date_range_dest,I85)))</f>
        <v>194</v>
      </c>
      <c r="J93" s="147">
        <f ca="1">IF(1089=0,"-",IF(ISNUMBER(FIND("ED only",$B$4)),SUMIFS(sum_dest_other,site_level_range_dest,LEFT($B$4,LEN($B$4)-10),date_range_dest,J85,inputdata!$F:$F,"ED"),SUMIFS(sum_dest_other,site_level_range_dest,$B$4,date_range_dest,J85)))</f>
        <v>182</v>
      </c>
      <c r="K93" s="147">
        <f ca="1">IF(1189=0,"-",IF(ISNUMBER(FIND("ED only",$B$4)),SUMIFS(sum_dest_other,site_level_range_dest,LEFT($B$4,LEN($B$4)-10),date_range_dest,K85,inputdata!$F:$F,"ED"),SUMIFS(sum_dest_other,site_level_range_dest,$B$4,date_range_dest,K85)))</f>
        <v>223</v>
      </c>
      <c r="L93" s="147">
        <f ca="1">IF(1289=0,"-",IF(ISNUMBER(FIND("ED only",$B$4)),SUMIFS(sum_dest_other,site_level_range_dest,LEFT($B$4,LEN($B$4)-10),date_range_dest,L85,inputdata!$F:$F,"ED"),SUMIFS(sum_dest_other,site_level_range_dest,$B$4,date_range_dest,L85)))</f>
        <v>229</v>
      </c>
      <c r="M93" s="147">
        <f ca="1">IF(1389=0,"-",IF(ISNUMBER(FIND("ED only",$B$4)),SUMIFS(sum_dest_other,site_level_range_dest,LEFT($B$4,LEN($B$4)-10),date_range_dest,M85,inputdata!$F:$F,"ED"),SUMIFS(sum_dest_other,site_level_range_dest,$B$4,date_range_dest,M85)))</f>
        <v>170</v>
      </c>
      <c r="N93" s="156">
        <f ca="1">IF(1489=0,"-",IF(ISNUMBER(FIND("ED only",$B$4)),SUMIFS(sum_dest_other,site_level_range_dest,LEFT($B$4,LEN($B$4)-10),date_range_dest,N85,inputdata!$F:$F,"ED"),SUMIFS(sum_dest_other,site_level_range_dest,$B$4,date_range_dest,N85)))</f>
        <v>219</v>
      </c>
      <c r="R93" s="40" t="s">
        <v>249</v>
      </c>
    </row>
    <row r="94" spans="1:18" ht="15" customHeight="1" x14ac:dyDescent="0.2">
      <c r="A94" s="132"/>
      <c r="B94" s="154" t="s">
        <v>742</v>
      </c>
      <c r="C94" s="150">
        <f ca="1">IF(389=0,"-",IF(ISNUMBER(FIND("ED only",$B$4)),SUMIFS(sum_dest_unknown,site_level_range_dest,LEFT($B$4,LEN($B$4)-10),date_range_dest,C85,inputdata!$F:$F,"ED"),SUMIFS(sum_dest_unknown,site_level_range_dest,$B$4,date_range_dest,C85)))</f>
        <v>3438</v>
      </c>
      <c r="D94" s="150">
        <f ca="1">IF(489=0,"-",IF(ISNUMBER(FIND("ED only",$B$4)),SUMIFS(sum_dest_unknown,site_level_range_dest,LEFT($B$4,LEN($B$4)-10),date_range_dest,D85,inputdata!$F:$F,"ED"),SUMIFS(sum_dest_unknown,site_level_range_dest,$B$4,date_range_dest,D85)))</f>
        <v>3719</v>
      </c>
      <c r="E94" s="150">
        <f ca="1">IF(589=0,"-",IF(ISNUMBER(FIND("ED only",$B$4)),SUMIFS(sum_dest_unknown,site_level_range_dest,LEFT($B$4,LEN($B$4)-10),date_range_dest,E85,inputdata!$F:$F,"ED"),SUMIFS(sum_dest_unknown,site_level_range_dest,$B$4,date_range_dest,E85)))</f>
        <v>3715</v>
      </c>
      <c r="F94" s="150">
        <f ca="1">IF(689=0,"-",IF(ISNUMBER(FIND("ED only",$B$4)),SUMIFS(sum_dest_unknown,site_level_range_dest,LEFT($B$4,LEN($B$4)-10),date_range_dest,F85,inputdata!$F:$F,"ED"),SUMIFS(sum_dest_unknown,site_level_range_dest,$B$4,date_range_dest,F85)))</f>
        <v>3394</v>
      </c>
      <c r="G94" s="150">
        <f ca="1">IF(789=0,"-",IF(ISNUMBER(FIND("ED only",$B$4)),SUMIFS(sum_dest_unknown,site_level_range_dest,LEFT($B$4,LEN($B$4)-10),date_range_dest,G85,inputdata!$F:$F,"ED"),SUMIFS(sum_dest_unknown,site_level_range_dest,$B$4,date_range_dest,G85)))</f>
        <v>3588</v>
      </c>
      <c r="H94" s="150">
        <f ca="1">IF(889=0,"-",IF(ISNUMBER(FIND("ED only",$B$4)),SUMIFS(sum_dest_unknown,site_level_range_dest,LEFT($B$4,LEN($B$4)-10),date_range_dest,H85,inputdata!$F:$F,"ED"),SUMIFS(sum_dest_unknown,site_level_range_dest,$B$4,date_range_dest,H85)))</f>
        <v>3613</v>
      </c>
      <c r="I94" s="150">
        <f ca="1">IF(989=0,"-",IF(ISNUMBER(FIND("ED only",$B$4)),SUMIFS(sum_dest_unknown,site_level_range_dest,LEFT($B$4,LEN($B$4)-10),date_range_dest,I85,inputdata!$F:$F,"ED"),SUMIFS(sum_dest_unknown,site_level_range_dest,$B$4,date_range_dest,I85)))</f>
        <v>3289</v>
      </c>
      <c r="J94" s="150">
        <f ca="1">IF(1089=0,"-",IF(ISNUMBER(FIND("ED only",$B$4)),SUMIFS(sum_dest_unknown,site_level_range_dest,LEFT($B$4,LEN($B$4)-10),date_range_dest,J85,inputdata!$F:$F,"ED"),SUMIFS(sum_dest_unknown,site_level_range_dest,$B$4,date_range_dest,J85)))</f>
        <v>3176</v>
      </c>
      <c r="K94" s="150">
        <f ca="1">IF(1189=0,"-",IF(ISNUMBER(FIND("ED only",$B$4)),SUMIFS(sum_dest_unknown,site_level_range_dest,LEFT($B$4,LEN($B$4)-10),date_range_dest,K85,inputdata!$F:$F,"ED"),SUMIFS(sum_dest_unknown,site_level_range_dest,$B$4,date_range_dest,K85)))</f>
        <v>2855</v>
      </c>
      <c r="L94" s="150">
        <f ca="1">IF(1289=0,"-",IF(ISNUMBER(FIND("ED only",$B$4)),SUMIFS(sum_dest_unknown,site_level_range_dest,LEFT($B$4,LEN($B$4)-10),date_range_dest,L85,inputdata!$F:$F,"ED"),SUMIFS(sum_dest_unknown,site_level_range_dest,$B$4,date_range_dest,L85)))</f>
        <v>3456</v>
      </c>
      <c r="M94" s="150">
        <f ca="1">IF(1389=0,"-",IF(ISNUMBER(FIND("ED only",$B$4)),SUMIFS(sum_dest_unknown,site_level_range_dest,LEFT($B$4,LEN($B$4)-10),date_range_dest,M85,inputdata!$F:$F,"ED"),SUMIFS(sum_dest_unknown,site_level_range_dest,$B$4,date_range_dest,M85)))</f>
        <v>3136</v>
      </c>
      <c r="N94" s="159">
        <f ca="1">IF(1489=0,"-",IF(ISNUMBER(FIND("ED only",$B$4)),SUMIFS(sum_dest_unknown,site_level_range_dest,LEFT($B$4,LEN($B$4)-10),date_range_dest,N85,inputdata!$F:$F,"ED"),SUMIFS(sum_dest_unknown,site_level_range_dest,$B$4,date_range_dest,N85)))</f>
        <v>3930</v>
      </c>
      <c r="R94" s="40" t="s">
        <v>346</v>
      </c>
    </row>
    <row r="95" spans="1:18" ht="14.45" customHeight="1" x14ac:dyDescent="0.2">
      <c r="B95" s="127"/>
      <c r="C95" s="127"/>
      <c r="D95" s="127"/>
      <c r="E95" s="127"/>
      <c r="F95" s="127"/>
      <c r="G95" s="127"/>
      <c r="H95" s="127"/>
      <c r="I95" s="127"/>
      <c r="J95" s="127"/>
      <c r="K95" s="127"/>
      <c r="L95" s="127"/>
      <c r="M95" s="127"/>
      <c r="N95" s="127"/>
      <c r="R95" s="40" t="s">
        <v>386</v>
      </c>
    </row>
    <row r="96" spans="1:18" ht="15" customHeight="1" x14ac:dyDescent="0.25">
      <c r="A96" s="132"/>
      <c r="B96" s="153" t="str">
        <f>IF(ISNUMBER(FIND("ED only",$B$4)),"2014/2015 (ED Only)","2014/2015")</f>
        <v>2014/2015</v>
      </c>
      <c r="C96" s="149">
        <v>41759</v>
      </c>
      <c r="D96" s="149">
        <v>41790</v>
      </c>
      <c r="E96" s="149">
        <v>41820</v>
      </c>
      <c r="F96" s="149">
        <v>41851</v>
      </c>
      <c r="G96" s="149">
        <v>41882</v>
      </c>
      <c r="H96" s="149">
        <v>41912</v>
      </c>
      <c r="I96" s="149">
        <v>41943</v>
      </c>
      <c r="J96" s="149">
        <v>41973</v>
      </c>
      <c r="K96" s="149">
        <v>42004</v>
      </c>
      <c r="L96" s="149">
        <v>42035</v>
      </c>
      <c r="M96" s="149">
        <v>42063</v>
      </c>
      <c r="N96" s="158">
        <v>42094</v>
      </c>
      <c r="R96" s="40" t="s">
        <v>347</v>
      </c>
    </row>
    <row r="97" spans="1:18" ht="15" customHeight="1" x14ac:dyDescent="0.2">
      <c r="A97" s="132"/>
      <c r="B97" s="164" t="s">
        <v>735</v>
      </c>
      <c r="C97" s="162"/>
      <c r="D97" s="162"/>
      <c r="E97" s="162"/>
      <c r="F97" s="162"/>
      <c r="G97" s="162"/>
      <c r="H97" s="162"/>
      <c r="I97" s="162"/>
      <c r="J97" s="162"/>
      <c r="K97" s="162"/>
      <c r="L97" s="162"/>
      <c r="M97" s="162"/>
      <c r="N97" s="152"/>
      <c r="R97" s="40" t="s">
        <v>68</v>
      </c>
    </row>
    <row r="98" spans="1:18" ht="15" customHeight="1" x14ac:dyDescent="0.2">
      <c r="A98" s="132"/>
      <c r="B98" s="154" t="s">
        <v>736</v>
      </c>
      <c r="C98" s="150">
        <f ca="1">IF(ISNUMBER(FIND("ED only",$B$4)),SUMIFS(sum_range_dest,site_level_range_dest,LEFT($B$4,LEN($B$4)-10),date_range_dest,C96,inputdata!$F:$F,"ED"),SUMIFS(sum_range_dest,site_level_range_dest,$B$4,date_range_dest,C96))</f>
        <v>137430</v>
      </c>
      <c r="D98" s="150">
        <f ca="1">IF(ISNUMBER(FIND("ED only",$B$4)),SUMIFS(sum_range_dest,site_level_range_dest,LEFT($B$4,LEN($B$4)-10),date_range_dest,D96,inputdata!$F:$F,"ED"),SUMIFS(sum_range_dest,site_level_range_dest,$B$4,date_range_dest,D96))</f>
        <v>146675</v>
      </c>
      <c r="E98" s="150">
        <f ca="1">IF(ISNUMBER(FIND("ED only",$B$4)),SUMIFS(sum_range_dest,site_level_range_dest,LEFT($B$4,LEN($B$4)-10),date_range_dest,E96,inputdata!$F:$F,"ED"),SUMIFS(sum_range_dest,site_level_range_dest,$B$4,date_range_dest,E96))</f>
        <v>144812</v>
      </c>
      <c r="F98" s="150">
        <f ca="1">IF(ISNUMBER(FIND("ED only",$B$4)),SUMIFS(sum_range_dest,site_level_range_dest,LEFT($B$4,LEN($B$4)-10),date_range_dest,F96,inputdata!$F:$F,"ED"),SUMIFS(sum_range_dest,site_level_range_dest,$B$4,date_range_dest,F96))</f>
        <v>144201</v>
      </c>
      <c r="G98" s="150">
        <f ca="1">IF(ISNUMBER(FIND("ED only",$B$4)),SUMIFS(sum_range_dest,site_level_range_dest,LEFT($B$4,LEN($B$4)-10),date_range_dest,G96,inputdata!$F:$F,"ED"),SUMIFS(sum_range_dest,site_level_range_dest,$B$4,date_range_dest,G96))</f>
        <v>141962</v>
      </c>
      <c r="H98" s="150">
        <f ca="1">IF(ISNUMBER(FIND("ED only",$B$4)),SUMIFS(sum_range_dest,site_level_range_dest,LEFT($B$4,LEN($B$4)-10),date_range_dest,H96,inputdata!$F:$F,"ED"),SUMIFS(sum_range_dest,site_level_range_dest,$B$4,date_range_dest,H96))</f>
        <v>142542</v>
      </c>
      <c r="I98" s="150">
        <f ca="1">IF(ISNUMBER(FIND("ED only",$B$4)),SUMIFS(sum_range_dest,site_level_range_dest,LEFT($B$4,LEN($B$4)-10),date_range_dest,I96,inputdata!$F:$F,"ED"),SUMIFS(sum_range_dest,site_level_range_dest,$B$4,date_range_dest,I96))</f>
        <v>133463</v>
      </c>
      <c r="J98" s="150">
        <f ca="1">IF(ISNUMBER(FIND("ED only",$B$4)),SUMIFS(sum_range_dest,site_level_range_dest,LEFT($B$4,LEN($B$4)-10),date_range_dest,J96,inputdata!$F:$F,"ED"),SUMIFS(sum_range_dest,site_level_range_dest,$B$4,date_range_dest,J96))</f>
        <v>130941</v>
      </c>
      <c r="K98" s="150">
        <f ca="1">IF(ISNUMBER(FIND("ED only",$B$4)),SUMIFS(sum_range_dest,site_level_range_dest,LEFT($B$4,LEN($B$4)-10),date_range_dest,K96,inputdata!$F:$F,"ED"),SUMIFS(sum_range_dest,site_level_range_dest,$B$4,date_range_dest,K96))</f>
        <v>129255</v>
      </c>
      <c r="L98" s="150">
        <f ca="1">IF(ISNUMBER(FIND("ED only",$B$4)),SUMIFS(sum_range_dest,site_level_range_dest,LEFT($B$4,LEN($B$4)-10),date_range_dest,L96,inputdata!$F:$F,"ED"),SUMIFS(sum_range_dest,site_level_range_dest,$B$4,date_range_dest,L96))</f>
        <v>129208</v>
      </c>
      <c r="M98" s="150">
        <f ca="1">IF(ISNUMBER(FIND("ED only",$B$4)),SUMIFS(sum_range_dest,site_level_range_dest,LEFT($B$4,LEN($B$4)-10),date_range_dest,M96,inputdata!$F:$F,"ED"),SUMIFS(sum_range_dest,site_level_range_dest,$B$4,date_range_dest,M96))</f>
        <v>121271</v>
      </c>
      <c r="N98" s="159">
        <f ca="1">IF(ISNUMBER(FIND("ED only",$B$4)),SUMIFS(sum_range_dest,site_level_range_dest,LEFT($B$4,LEN($B$4)-10),date_range_dest,N96,inputdata!$F:$F,"ED"),SUMIFS(sum_range_dest,site_level_range_dest,$B$4,date_range_dest,N96))</f>
        <v>137560</v>
      </c>
      <c r="R98" s="40" t="s">
        <v>348</v>
      </c>
    </row>
    <row r="99" spans="1:18" ht="15" customHeight="1" x14ac:dyDescent="0.2">
      <c r="A99" s="132"/>
      <c r="B99" s="164" t="s">
        <v>737</v>
      </c>
      <c r="C99" s="162"/>
      <c r="D99" s="162"/>
      <c r="E99" s="162"/>
      <c r="F99" s="162"/>
      <c r="G99" s="162"/>
      <c r="H99" s="162"/>
      <c r="I99" s="162"/>
      <c r="J99" s="162"/>
      <c r="K99" s="162"/>
      <c r="L99" s="162"/>
      <c r="M99" s="162"/>
      <c r="N99" s="152"/>
      <c r="R99" s="40" t="s">
        <v>58</v>
      </c>
    </row>
    <row r="100" spans="1:18" ht="15" customHeight="1" x14ac:dyDescent="0.2">
      <c r="A100" s="132"/>
      <c r="B100" s="152" t="s">
        <v>736</v>
      </c>
      <c r="C100" s="147">
        <f ca="1">IF(ISNUMBER(FIND("ED only",$B$4)),SUMIFS(sum_total_epi_dest,site_level_range_dest,LEFT($B$4,LEN($B$4)-10),date_range_dest,C96,inputdata!$F:$F,"ED"),SUMIFS(sum_total_epi_dest,site_level_range_dest,$B$4,date_range_dest,C96))</f>
        <v>128578</v>
      </c>
      <c r="D100" s="147">
        <f ca="1">IF(ISNUMBER(FIND("ED only",$B$4)),SUMIFS(sum_total_epi_dest,site_level_range_dest,LEFT($B$4,LEN($B$4)-10),date_range_dest,D96,inputdata!$F:$F,"ED"),SUMIFS(sum_total_epi_dest,site_level_range_dest,$B$4,date_range_dest,D96))</f>
        <v>137076</v>
      </c>
      <c r="E100" s="147">
        <f ca="1">IF(ISNUMBER(FIND("ED only",$B$4)),SUMIFS(sum_total_epi_dest,site_level_range_dest,LEFT($B$4,LEN($B$4)-10),date_range_dest,E96,inputdata!$F:$F,"ED"),SUMIFS(sum_total_epi_dest,site_level_range_dest,$B$4,date_range_dest,E96))</f>
        <v>135058</v>
      </c>
      <c r="F100" s="147">
        <f ca="1">IF(ISNUMBER(FIND("ED only",$B$4)),SUMIFS(sum_total_epi_dest,site_level_range_dest,LEFT($B$4,LEN($B$4)-10),date_range_dest,F96,inputdata!$F:$F,"ED"),SUMIFS(sum_total_epi_dest,site_level_range_dest,$B$4,date_range_dest,F96))</f>
        <v>134083</v>
      </c>
      <c r="G100" s="147">
        <f ca="1">IF(ISNUMBER(FIND("ED only",$B$4)),SUMIFS(sum_total_epi_dest,site_level_range_dest,LEFT($B$4,LEN($B$4)-10),date_range_dest,G96,inputdata!$F:$F,"ED"),SUMIFS(sum_total_epi_dest,site_level_range_dest,$B$4,date_range_dest,G96))</f>
        <v>132241</v>
      </c>
      <c r="H100" s="147">
        <f ca="1">IF(ISNUMBER(FIND("ED only",$B$4)),SUMIFS(sum_total_epi_dest,site_level_range_dest,LEFT($B$4,LEN($B$4)-10),date_range_dest,H96,inputdata!$F:$F,"ED"),SUMIFS(sum_total_epi_dest,site_level_range_dest,$B$4,date_range_dest,H96))</f>
        <v>133334</v>
      </c>
      <c r="I100" s="147">
        <f ca="1">IF(ISNUMBER(FIND("ED only",$B$4)),SUMIFS(sum_total_epi_dest,site_level_range_dest,LEFT($B$4,LEN($B$4)-10),date_range_dest,I96,inputdata!$F:$F,"ED"),SUMIFS(sum_total_epi_dest,site_level_range_dest,$B$4,date_range_dest,I96))</f>
        <v>125396</v>
      </c>
      <c r="J100" s="147">
        <f ca="1">IF(ISNUMBER(FIND("ED only",$B$4)),SUMIFS(sum_total_epi_dest,site_level_range_dest,LEFT($B$4,LEN($B$4)-10),date_range_dest,J96,inputdata!$F:$F,"ED"),SUMIFS(sum_total_epi_dest,site_level_range_dest,$B$4,date_range_dest,J96))</f>
        <v>123192</v>
      </c>
      <c r="K100" s="147">
        <f ca="1">IF(ISNUMBER(FIND("ED only",$B$4)),SUMIFS(sum_total_epi_dest,site_level_range_dest,LEFT($B$4,LEN($B$4)-10),date_range_dest,K96,inputdata!$F:$F,"ED"),SUMIFS(sum_total_epi_dest,site_level_range_dest,$B$4,date_range_dest,K96))</f>
        <v>121706</v>
      </c>
      <c r="L100" s="147">
        <f ca="1">IF(ISNUMBER(FIND("ED only",$B$4)),SUMIFS(sum_total_epi_dest,site_level_range_dest,LEFT($B$4,LEN($B$4)-10),date_range_dest,L96,inputdata!$F:$F,"ED"),SUMIFS(sum_total_epi_dest,site_level_range_dest,$B$4,date_range_dest,L96))</f>
        <v>121352</v>
      </c>
      <c r="M100" s="147">
        <f ca="1">IF(ISNUMBER(FIND("ED only",$B$4)),SUMIFS(sum_total_epi_dest,site_level_range_dest,LEFT($B$4,LEN($B$4)-10),date_range_dest,M96,inputdata!$F:$F,"ED"),SUMIFS(sum_total_epi_dest,site_level_range_dest,$B$4,date_range_dest,M96))</f>
        <v>114031</v>
      </c>
      <c r="N100" s="156">
        <f ca="1">IF(ISNUMBER(FIND("ED only",$B$4)),SUMIFS(sum_total_epi_dest,site_level_range_dest,LEFT($B$4,LEN($B$4)-10),date_range_dest,N96,inputdata!$F:$F,"ED"),SUMIFS(sum_total_epi_dest,site_level_range_dest,$B$4,date_range_dest,N96))</f>
        <v>129216</v>
      </c>
      <c r="R100" s="40" t="s">
        <v>349</v>
      </c>
    </row>
    <row r="101" spans="1:18" ht="15" customHeight="1" x14ac:dyDescent="0.2">
      <c r="A101" s="132"/>
      <c r="B101" s="152" t="s">
        <v>738</v>
      </c>
      <c r="C101" s="147">
        <f ca="1">IF(3100=0,"-",IF(ISNUMBER(FIND("ED only",$B$4)),SUMIFS(sum_dest_res,site_level_range_dest,LEFT($B$4,LEN($B$4)-10),date_range_dest,C96,inputdata!$F:$F,"ED"),SUMIFS(sum_dest_res,site_level_range_dest,$B$4,date_range_dest,C96)))</f>
        <v>86057</v>
      </c>
      <c r="D101" s="147">
        <f ca="1">IF(4100=0,"-",IF(ISNUMBER(FIND("ED only",$B$4)),SUMIFS(sum_dest_res,site_level_range_dest,LEFT($B$4,LEN($B$4)-10),date_range_dest,D96,inputdata!$F:$F,"ED"),SUMIFS(sum_dest_res,site_level_range_dest,$B$4,date_range_dest,D96)))</f>
        <v>92420</v>
      </c>
      <c r="E101" s="147">
        <f ca="1">IF(5100=0,"-",IF(ISNUMBER(FIND("ED only",$B$4)),SUMIFS(sum_dest_res,site_level_range_dest,LEFT($B$4,LEN($B$4)-10),date_range_dest,E96,inputdata!$F:$F,"ED"),SUMIFS(sum_dest_res,site_level_range_dest,$B$4,date_range_dest,E96)))</f>
        <v>95078</v>
      </c>
      <c r="F101" s="147">
        <f ca="1">IF(6100=0,"-",IF(ISNUMBER(FIND("ED only",$B$4)),SUMIFS(sum_dest_res,site_level_range_dest,LEFT($B$4,LEN($B$4)-10),date_range_dest,F96,inputdata!$F:$F,"ED"),SUMIFS(sum_dest_res,site_level_range_dest,$B$4,date_range_dest,F96)))</f>
        <v>94074</v>
      </c>
      <c r="G101" s="147">
        <f ca="1">IF(7100=0,"-",IF(ISNUMBER(FIND("ED only",$B$4)),SUMIFS(sum_dest_res,site_level_range_dest,LEFT($B$4,LEN($B$4)-10),date_range_dest,G96,inputdata!$F:$F,"ED"),SUMIFS(sum_dest_res,site_level_range_dest,$B$4,date_range_dest,G96)))</f>
        <v>91701</v>
      </c>
      <c r="H101" s="147">
        <f ca="1">IF(8100=0,"-",IF(ISNUMBER(FIND("ED only",$B$4)),SUMIFS(sum_dest_res,site_level_range_dest,LEFT($B$4,LEN($B$4)-10),date_range_dest,H96,inputdata!$F:$F,"ED"),SUMIFS(sum_dest_res,site_level_range_dest,$B$4,date_range_dest,H96)))</f>
        <v>93520</v>
      </c>
      <c r="I101" s="147">
        <f ca="1">IF(9100=0,"-",IF(ISNUMBER(FIND("ED only",$B$4)),SUMIFS(sum_dest_res,site_level_range_dest,LEFT($B$4,LEN($B$4)-10),date_range_dest,I96,inputdata!$F:$F,"ED"),SUMIFS(sum_dest_res,site_level_range_dest,$B$4,date_range_dest,I96)))</f>
        <v>85490</v>
      </c>
      <c r="J101" s="147">
        <f ca="1">IF(10100=0,"-",IF(ISNUMBER(FIND("ED only",$B$4)),SUMIFS(sum_dest_res,site_level_range_dest,LEFT($B$4,LEN($B$4)-10),date_range_dest,J96,inputdata!$F:$F,"ED"),SUMIFS(sum_dest_res,site_level_range_dest,$B$4,date_range_dest,J96)))</f>
        <v>83911</v>
      </c>
      <c r="K101" s="147">
        <f ca="1">IF(11100=0,"-",IF(ISNUMBER(FIND("ED only",$B$4)),SUMIFS(sum_dest_res,site_level_range_dest,LEFT($B$4,LEN($B$4)-10),date_range_dest,K96,inputdata!$F:$F,"ED"),SUMIFS(sum_dest_res,site_level_range_dest,$B$4,date_range_dest,K96)))</f>
        <v>80308</v>
      </c>
      <c r="L101" s="147">
        <f ca="1">IF(12100=0,"-",IF(ISNUMBER(FIND("ED only",$B$4)),SUMIFS(sum_dest_res,site_level_range_dest,LEFT($B$4,LEN($B$4)-10),date_range_dest,L96,inputdata!$F:$F,"ED"),SUMIFS(sum_dest_res,site_level_range_dest,$B$4,date_range_dest,L96)))</f>
        <v>80053</v>
      </c>
      <c r="M101" s="147">
        <f ca="1">IF(13100=0,"-",IF(ISNUMBER(FIND("ED only",$B$4)),SUMIFS(sum_dest_res,site_level_range_dest,LEFT($B$4,LEN($B$4)-10),date_range_dest,M96,inputdata!$F:$F,"ED"),SUMIFS(sum_dest_res,site_level_range_dest,$B$4,date_range_dest,M96)))</f>
        <v>76520</v>
      </c>
      <c r="N101" s="156">
        <f ca="1">IF(14100=0,"-",IF(ISNUMBER(FIND("ED only",$B$4)),SUMIFS(sum_dest_res,site_level_range_dest,LEFT($B$4,LEN($B$4)-10),date_range_dest,N96,inputdata!$F:$F,"ED"),SUMIFS(sum_dest_res,site_level_range_dest,$B$4,date_range_dest,N96)))</f>
        <v>88220</v>
      </c>
      <c r="R101" s="40" t="s">
        <v>350</v>
      </c>
    </row>
    <row r="102" spans="1:18" ht="15" customHeight="1" x14ac:dyDescent="0.2">
      <c r="A102" s="132"/>
      <c r="B102" s="152" t="s">
        <v>739</v>
      </c>
      <c r="C102" s="147">
        <f ca="1">IF(3100=0,"-",IF(ISNUMBER(FIND("ED only",$B$4)),SUMIFS(sum_dest_adm,site_level_range_dest,LEFT($B$4,LEN($B$4)-10),date_range_dest,C96,inputdata!$F:$F,"ED"),SUMIFS(sum_dest_adm,site_level_range_dest,$B$4,date_range_dest,C96)))</f>
        <v>33371</v>
      </c>
      <c r="D102" s="147">
        <f ca="1">IF(4100=0,"-",IF(ISNUMBER(FIND("ED only",$B$4)),SUMIFS(sum_dest_adm,site_level_range_dest,LEFT($B$4,LEN($B$4)-10),date_range_dest,D96,inputdata!$F:$F,"ED"),SUMIFS(sum_dest_adm,site_level_range_dest,$B$4,date_range_dest,D96)))</f>
        <v>34750</v>
      </c>
      <c r="E102" s="147">
        <f ca="1">IF(5100=0,"-",IF(ISNUMBER(FIND("ED only",$B$4)),SUMIFS(sum_dest_adm,site_level_range_dest,LEFT($B$4,LEN($B$4)-10),date_range_dest,E96,inputdata!$F:$F,"ED"),SUMIFS(sum_dest_adm,site_level_range_dest,$B$4,date_range_dest,E96)))</f>
        <v>33059</v>
      </c>
      <c r="F102" s="147">
        <f ca="1">IF(6100=0,"-",IF(ISNUMBER(FIND("ED only",$B$4)),SUMIFS(sum_dest_adm,site_level_range_dest,LEFT($B$4,LEN($B$4)-10),date_range_dest,F96,inputdata!$F:$F,"ED"),SUMIFS(sum_dest_adm,site_level_range_dest,$B$4,date_range_dest,F96)))</f>
        <v>33160</v>
      </c>
      <c r="G102" s="147">
        <f ca="1">IF(7100=0,"-",IF(ISNUMBER(FIND("ED only",$B$4)),SUMIFS(sum_dest_adm,site_level_range_dest,LEFT($B$4,LEN($B$4)-10),date_range_dest,G96,inputdata!$F:$F,"ED"),SUMIFS(sum_dest_adm,site_level_range_dest,$B$4,date_range_dest,G96)))</f>
        <v>33545</v>
      </c>
      <c r="H102" s="147">
        <f ca="1">IF(8100=0,"-",IF(ISNUMBER(FIND("ED only",$B$4)),SUMIFS(sum_dest_adm,site_level_range_dest,LEFT($B$4,LEN($B$4)-10),date_range_dest,H96,inputdata!$F:$F,"ED"),SUMIFS(sum_dest_adm,site_level_range_dest,$B$4,date_range_dest,H96)))</f>
        <v>33034</v>
      </c>
      <c r="I102" s="147">
        <f ca="1">IF(9100=0,"-",IF(ISNUMBER(FIND("ED only",$B$4)),SUMIFS(sum_dest_adm,site_level_range_dest,LEFT($B$4,LEN($B$4)-10),date_range_dest,I96,inputdata!$F:$F,"ED"),SUMIFS(sum_dest_adm,site_level_range_dest,$B$4,date_range_dest,I96)))</f>
        <v>33433</v>
      </c>
      <c r="J102" s="147">
        <f ca="1">IF(10100=0,"-",IF(ISNUMBER(FIND("ED only",$B$4)),SUMIFS(sum_dest_adm,site_level_range_dest,LEFT($B$4,LEN($B$4)-10),date_range_dest,J96,inputdata!$F:$F,"ED"),SUMIFS(sum_dest_adm,site_level_range_dest,$B$4,date_range_dest,J96)))</f>
        <v>33037</v>
      </c>
      <c r="K102" s="147">
        <f ca="1">IF(11100=0,"-",IF(ISNUMBER(FIND("ED only",$B$4)),SUMIFS(sum_dest_adm,site_level_range_dest,LEFT($B$4,LEN($B$4)-10),date_range_dest,K96,inputdata!$F:$F,"ED"),SUMIFS(sum_dest_adm,site_level_range_dest,$B$4,date_range_dest,K96)))</f>
        <v>34949</v>
      </c>
      <c r="L102" s="147">
        <f ca="1">IF(12100=0,"-",IF(ISNUMBER(FIND("ED only",$B$4)),SUMIFS(sum_dest_adm,site_level_range_dest,LEFT($B$4,LEN($B$4)-10),date_range_dest,L96,inputdata!$F:$F,"ED"),SUMIFS(sum_dest_adm,site_level_range_dest,$B$4,date_range_dest,L96)))</f>
        <v>34637</v>
      </c>
      <c r="M102" s="147">
        <f ca="1">IF(13100=0,"-",IF(ISNUMBER(FIND("ED only",$B$4)),SUMIFS(sum_dest_adm,site_level_range_dest,LEFT($B$4,LEN($B$4)-10),date_range_dest,M96,inputdata!$F:$F,"ED"),SUMIFS(sum_dest_adm,site_level_range_dest,$B$4,date_range_dest,M96)))</f>
        <v>31458</v>
      </c>
      <c r="N102" s="156">
        <f ca="1">IF(14100=0,"-",IF(ISNUMBER(FIND("ED only",$B$4)),SUMIFS(sum_dest_adm,site_level_range_dest,LEFT($B$4,LEN($B$4)-10),date_range_dest,N96,inputdata!$F:$F,"ED"),SUMIFS(sum_dest_adm,site_level_range_dest,$B$4,date_range_dest,N96)))</f>
        <v>34459</v>
      </c>
      <c r="R102" s="40" t="s">
        <v>101</v>
      </c>
    </row>
    <row r="103" spans="1:18" ht="15" customHeight="1" x14ac:dyDescent="0.2">
      <c r="A103" s="132"/>
      <c r="B103" s="152" t="s">
        <v>740</v>
      </c>
      <c r="C103" s="147">
        <f ca="1">IF(3100=0,"-",IF(ISNUMBER(FIND("ED only",$B$4)),SUMIFS(sum_dest_tran,site_level_range_dest,LEFT($B$4,LEN($B$4)-10),date_range_dest,C96,inputdata!$F:$F,"ED"),SUMIFS(sum_dest_tran,site_level_range_dest,$B$4,date_range_dest,C96)))</f>
        <v>3830</v>
      </c>
      <c r="D103" s="147">
        <f ca="1">IF(4100=0,"-",IF(ISNUMBER(FIND("ED only",$B$4)),SUMIFS(sum_dest_tran,site_level_range_dest,LEFT($B$4,LEN($B$4)-10),date_range_dest,D96,inputdata!$F:$F,"ED"),SUMIFS(sum_dest_tran,site_level_range_dest,$B$4,date_range_dest,D96)))</f>
        <v>4139</v>
      </c>
      <c r="E103" s="147">
        <f ca="1">IF(5100=0,"-",IF(ISNUMBER(FIND("ED only",$B$4)),SUMIFS(sum_dest_tran,site_level_range_dest,LEFT($B$4,LEN($B$4)-10),date_range_dest,E96,inputdata!$F:$F,"ED"),SUMIFS(sum_dest_tran,site_level_range_dest,$B$4,date_range_dest,E96)))</f>
        <v>3886</v>
      </c>
      <c r="F103" s="147">
        <f ca="1">IF(6100=0,"-",IF(ISNUMBER(FIND("ED only",$B$4)),SUMIFS(sum_dest_tran,site_level_range_dest,LEFT($B$4,LEN($B$4)-10),date_range_dest,F96,inputdata!$F:$F,"ED"),SUMIFS(sum_dest_tran,site_level_range_dest,$B$4,date_range_dest,F96)))</f>
        <v>3842</v>
      </c>
      <c r="G103" s="147">
        <f ca="1">IF(7100=0,"-",IF(ISNUMBER(FIND("ED only",$B$4)),SUMIFS(sum_dest_tran,site_level_range_dest,LEFT($B$4,LEN($B$4)-10),date_range_dest,G96,inputdata!$F:$F,"ED"),SUMIFS(sum_dest_tran,site_level_range_dest,$B$4,date_range_dest,G96)))</f>
        <v>3862</v>
      </c>
      <c r="H103" s="147">
        <f ca="1">IF(8100=0,"-",IF(ISNUMBER(FIND("ED only",$B$4)),SUMIFS(sum_dest_tran,site_level_range_dest,LEFT($B$4,LEN($B$4)-10),date_range_dest,H96,inputdata!$F:$F,"ED"),SUMIFS(sum_dest_tran,site_level_range_dest,$B$4,date_range_dest,H96)))</f>
        <v>3549</v>
      </c>
      <c r="I103" s="147">
        <f ca="1">IF(9100=0,"-",IF(ISNUMBER(FIND("ED only",$B$4)),SUMIFS(sum_dest_tran,site_level_range_dest,LEFT($B$4,LEN($B$4)-10),date_range_dest,I96,inputdata!$F:$F,"ED"),SUMIFS(sum_dest_tran,site_level_range_dest,$B$4,date_range_dest,I96)))</f>
        <v>3516</v>
      </c>
      <c r="J103" s="147">
        <f ca="1">IF(10100=0,"-",IF(ISNUMBER(FIND("ED only",$B$4)),SUMIFS(sum_dest_tran,site_level_range_dest,LEFT($B$4,LEN($B$4)-10),date_range_dest,J96,inputdata!$F:$F,"ED"),SUMIFS(sum_dest_tran,site_level_range_dest,$B$4,date_range_dest,J96)))</f>
        <v>3561</v>
      </c>
      <c r="K103" s="147">
        <f ca="1">IF(11100=0,"-",IF(ISNUMBER(FIND("ED only",$B$4)),SUMIFS(sum_dest_tran,site_level_range_dest,LEFT($B$4,LEN($B$4)-10),date_range_dest,K96,inputdata!$F:$F,"ED"),SUMIFS(sum_dest_tran,site_level_range_dest,$B$4,date_range_dest,K96)))</f>
        <v>3570</v>
      </c>
      <c r="L103" s="147">
        <f ca="1">IF(12100=0,"-",IF(ISNUMBER(FIND("ED only",$B$4)),SUMIFS(sum_dest_tran,site_level_range_dest,LEFT($B$4,LEN($B$4)-10),date_range_dest,L96,inputdata!$F:$F,"ED"),SUMIFS(sum_dest_tran,site_level_range_dest,$B$4,date_range_dest,L96)))</f>
        <v>3800</v>
      </c>
      <c r="M103" s="147">
        <f ca="1">IF(13100=0,"-",IF(ISNUMBER(FIND("ED only",$B$4)),SUMIFS(sum_dest_tran,site_level_range_dest,LEFT($B$4,LEN($B$4)-10),date_range_dest,M96,inputdata!$F:$F,"ED"),SUMIFS(sum_dest_tran,site_level_range_dest,$B$4,date_range_dest,M96)))</f>
        <v>3193</v>
      </c>
      <c r="N103" s="156">
        <f ca="1">IF(14100=0,"-",IF(ISNUMBER(FIND("ED only",$B$4)),SUMIFS(sum_dest_tran,site_level_range_dest,LEFT($B$4,LEN($B$4)-10),date_range_dest,N96,inputdata!$F:$F,"ED"),SUMIFS(sum_dest_tran,site_level_range_dest,$B$4,date_range_dest,N96)))</f>
        <v>3694</v>
      </c>
      <c r="R103" s="40" t="s">
        <v>351</v>
      </c>
    </row>
    <row r="104" spans="1:18" ht="15" customHeight="1" x14ac:dyDescent="0.2">
      <c r="A104" s="132"/>
      <c r="B104" s="152" t="s">
        <v>741</v>
      </c>
      <c r="C104" s="147">
        <f ca="1">IF(3100=0,"-",IF(ISNUMBER(FIND("ED only",$B$4)),SUMIFS(sum_dest_other,site_level_range_dest,LEFT($B$4,LEN($B$4)-10),date_range_dest,C96,inputdata!$F:$F,"ED"),SUMIFS(sum_dest_other,site_level_range_dest,$B$4,date_range_dest,C96)))</f>
        <v>190</v>
      </c>
      <c r="D104" s="147">
        <f ca="1">IF(4100=0,"-",IF(ISNUMBER(FIND("ED only",$B$4)),SUMIFS(sum_dest_other,site_level_range_dest,LEFT($B$4,LEN($B$4)-10),date_range_dest,D96,inputdata!$F:$F,"ED"),SUMIFS(sum_dest_other,site_level_range_dest,$B$4,date_range_dest,D96)))</f>
        <v>201</v>
      </c>
      <c r="E104" s="147">
        <f ca="1">IF(5100=0,"-",IF(ISNUMBER(FIND("ED only",$B$4)),SUMIFS(sum_dest_other,site_level_range_dest,LEFT($B$4,LEN($B$4)-10),date_range_dest,E96,inputdata!$F:$F,"ED"),SUMIFS(sum_dest_other,site_level_range_dest,$B$4,date_range_dest,E96)))</f>
        <v>147</v>
      </c>
      <c r="F104" s="147">
        <f ca="1">IF(6100=0,"-",IF(ISNUMBER(FIND("ED only",$B$4)),SUMIFS(sum_dest_other,site_level_range_dest,LEFT($B$4,LEN($B$4)-10),date_range_dest,F96,inputdata!$F:$F,"ED"),SUMIFS(sum_dest_other,site_level_range_dest,$B$4,date_range_dest,F96)))</f>
        <v>172</v>
      </c>
      <c r="G104" s="147">
        <f ca="1">IF(7100=0,"-",IF(ISNUMBER(FIND("ED only",$B$4)),SUMIFS(sum_dest_other,site_level_range_dest,LEFT($B$4,LEN($B$4)-10),date_range_dest,G96,inputdata!$F:$F,"ED"),SUMIFS(sum_dest_other,site_level_range_dest,$B$4,date_range_dest,G96)))</f>
        <v>213</v>
      </c>
      <c r="H104" s="147">
        <f ca="1">IF(8100=0,"-",IF(ISNUMBER(FIND("ED only",$B$4)),SUMIFS(sum_dest_other,site_level_range_dest,LEFT($B$4,LEN($B$4)-10),date_range_dest,H96,inputdata!$F:$F,"ED"),SUMIFS(sum_dest_other,site_level_range_dest,$B$4,date_range_dest,H96)))</f>
        <v>188</v>
      </c>
      <c r="I104" s="147">
        <f ca="1">IF(9100=0,"-",IF(ISNUMBER(FIND("ED only",$B$4)),SUMIFS(sum_dest_other,site_level_range_dest,LEFT($B$4,LEN($B$4)-10),date_range_dest,I96,inputdata!$F:$F,"ED"),SUMIFS(sum_dest_other,site_level_range_dest,$B$4,date_range_dest,I96)))</f>
        <v>208</v>
      </c>
      <c r="J104" s="147">
        <f ca="1">IF(10100=0,"-",IF(ISNUMBER(FIND("ED only",$B$4)),SUMIFS(sum_dest_other,site_level_range_dest,LEFT($B$4,LEN($B$4)-10),date_range_dest,J96,inputdata!$F:$F,"ED"),SUMIFS(sum_dest_other,site_level_range_dest,$B$4,date_range_dest,J96)))</f>
        <v>251</v>
      </c>
      <c r="K104" s="147">
        <f ca="1">IF(11100=0,"-",IF(ISNUMBER(FIND("ED only",$B$4)),SUMIFS(sum_dest_other,site_level_range_dest,LEFT($B$4,LEN($B$4)-10),date_range_dest,K96,inputdata!$F:$F,"ED"),SUMIFS(sum_dest_other,site_level_range_dest,$B$4,date_range_dest,K96)))</f>
        <v>282</v>
      </c>
      <c r="L104" s="147">
        <f ca="1">IF(12100=0,"-",IF(ISNUMBER(FIND("ED only",$B$4)),SUMIFS(sum_dest_other,site_level_range_dest,LEFT($B$4,LEN($B$4)-10),date_range_dest,L96,inputdata!$F:$F,"ED"),SUMIFS(sum_dest_other,site_level_range_dest,$B$4,date_range_dest,L96)))</f>
        <v>250</v>
      </c>
      <c r="M104" s="147">
        <f ca="1">IF(13100=0,"-",IF(ISNUMBER(FIND("ED only",$B$4)),SUMIFS(sum_dest_other,site_level_range_dest,LEFT($B$4,LEN($B$4)-10),date_range_dest,M96,inputdata!$F:$F,"ED"),SUMIFS(sum_dest_other,site_level_range_dest,$B$4,date_range_dest,M96)))</f>
        <v>176</v>
      </c>
      <c r="N104" s="156">
        <f ca="1">IF(14100=0,"-",IF(ISNUMBER(FIND("ED only",$B$4)),SUMIFS(sum_dest_other,site_level_range_dest,LEFT($B$4,LEN($B$4)-10),date_range_dest,N96,inputdata!$F:$F,"ED"),SUMIFS(sum_dest_other,site_level_range_dest,$B$4,date_range_dest,N96)))</f>
        <v>220</v>
      </c>
      <c r="R104" s="40" t="s">
        <v>352</v>
      </c>
    </row>
    <row r="105" spans="1:18" ht="15" customHeight="1" x14ac:dyDescent="0.2">
      <c r="A105" s="132"/>
      <c r="B105" s="154" t="s">
        <v>742</v>
      </c>
      <c r="C105" s="150">
        <f ca="1">IF(3100=0,"-",IF(ISNUMBER(FIND("ED only",$B$4)),SUMIFS(sum_dest_unknown,site_level_range_dest,LEFT($B$4,LEN($B$4)-10),date_range_dest,C96,inputdata!$F:$F,"ED"),SUMIFS(sum_dest_unknown,site_level_range_dest,$B$4,date_range_dest,C96)))</f>
        <v>5130</v>
      </c>
      <c r="D105" s="150">
        <f ca="1">IF(4100=0,"-",IF(ISNUMBER(FIND("ED only",$B$4)),SUMIFS(sum_dest_unknown,site_level_range_dest,LEFT($B$4,LEN($B$4)-10),date_range_dest,D96,inputdata!$F:$F,"ED"),SUMIFS(sum_dest_unknown,site_level_range_dest,$B$4,date_range_dest,D96)))</f>
        <v>5566</v>
      </c>
      <c r="E105" s="150">
        <f ca="1">IF(5100=0,"-",IF(ISNUMBER(FIND("ED only",$B$4)),SUMIFS(sum_dest_unknown,site_level_range_dest,LEFT($B$4,LEN($B$4)-10),date_range_dest,E96,inputdata!$F:$F,"ED"),SUMIFS(sum_dest_unknown,site_level_range_dest,$B$4,date_range_dest,E96)))</f>
        <v>2888</v>
      </c>
      <c r="F105" s="150">
        <f ca="1">IF(6100=0,"-",IF(ISNUMBER(FIND("ED only",$B$4)),SUMIFS(sum_dest_unknown,site_level_range_dest,LEFT($B$4,LEN($B$4)-10),date_range_dest,F96,inputdata!$F:$F,"ED"),SUMIFS(sum_dest_unknown,site_level_range_dest,$B$4,date_range_dest,F96)))</f>
        <v>2835</v>
      </c>
      <c r="G105" s="150">
        <f ca="1">IF(7100=0,"-",IF(ISNUMBER(FIND("ED only",$B$4)),SUMIFS(sum_dest_unknown,site_level_range_dest,LEFT($B$4,LEN($B$4)-10),date_range_dest,G96,inputdata!$F:$F,"ED"),SUMIFS(sum_dest_unknown,site_level_range_dest,$B$4,date_range_dest,G96)))</f>
        <v>2920</v>
      </c>
      <c r="H105" s="150">
        <f ca="1">IF(8100=0,"-",IF(ISNUMBER(FIND("ED only",$B$4)),SUMIFS(sum_dest_unknown,site_level_range_dest,LEFT($B$4,LEN($B$4)-10),date_range_dest,H96,inputdata!$F:$F,"ED"),SUMIFS(sum_dest_unknown,site_level_range_dest,$B$4,date_range_dest,H96)))</f>
        <v>3043</v>
      </c>
      <c r="I105" s="150">
        <f ca="1">IF(9100=0,"-",IF(ISNUMBER(FIND("ED only",$B$4)),SUMIFS(sum_dest_unknown,site_level_range_dest,LEFT($B$4,LEN($B$4)-10),date_range_dest,I96,inputdata!$F:$F,"ED"),SUMIFS(sum_dest_unknown,site_level_range_dest,$B$4,date_range_dest,I96)))</f>
        <v>2749</v>
      </c>
      <c r="J105" s="150">
        <f ca="1">IF(10100=0,"-",IF(ISNUMBER(FIND("ED only",$B$4)),SUMIFS(sum_dest_unknown,site_level_range_dest,LEFT($B$4,LEN($B$4)-10),date_range_dest,J96,inputdata!$F:$F,"ED"),SUMIFS(sum_dest_unknown,site_level_range_dest,$B$4,date_range_dest,J96)))</f>
        <v>2432</v>
      </c>
      <c r="K105" s="150">
        <f ca="1">IF(11100=0,"-",IF(ISNUMBER(FIND("ED only",$B$4)),SUMIFS(sum_dest_unknown,site_level_range_dest,LEFT($B$4,LEN($B$4)-10),date_range_dest,K96,inputdata!$F:$F,"ED"),SUMIFS(sum_dest_unknown,site_level_range_dest,$B$4,date_range_dest,K96)))</f>
        <v>2597</v>
      </c>
      <c r="L105" s="150">
        <f ca="1">IF(12100=0,"-",IF(ISNUMBER(FIND("ED only",$B$4)),SUMIFS(sum_dest_unknown,site_level_range_dest,LEFT($B$4,LEN($B$4)-10),date_range_dest,L96,inputdata!$F:$F,"ED"),SUMIFS(sum_dest_unknown,site_level_range_dest,$B$4,date_range_dest,L96)))</f>
        <v>2612</v>
      </c>
      <c r="M105" s="150">
        <f ca="1">IF(13100=0,"-",IF(ISNUMBER(FIND("ED only",$B$4)),SUMIFS(sum_dest_unknown,site_level_range_dest,LEFT($B$4,LEN($B$4)-10),date_range_dest,M96,inputdata!$F:$F,"ED"),SUMIFS(sum_dest_unknown,site_level_range_dest,$B$4,date_range_dest,M96)))</f>
        <v>2684</v>
      </c>
      <c r="N105" s="159">
        <f ca="1">IF(14100=0,"-",IF(ISNUMBER(FIND("ED only",$B$4)),SUMIFS(sum_dest_unknown,site_level_range_dest,LEFT($B$4,LEN($B$4)-10),date_range_dest,N96,inputdata!$F:$F,"ED"),SUMIFS(sum_dest_unknown,site_level_range_dest,$B$4,date_range_dest,N96)))</f>
        <v>2623</v>
      </c>
      <c r="R105" s="40" t="s">
        <v>70</v>
      </c>
    </row>
    <row r="106" spans="1:18" ht="14.45" customHeight="1" x14ac:dyDescent="0.2">
      <c r="B106" s="127"/>
      <c r="C106" s="127"/>
      <c r="D106" s="127"/>
      <c r="E106" s="127"/>
      <c r="F106" s="127"/>
      <c r="G106" s="127"/>
      <c r="H106" s="127"/>
      <c r="I106" s="127"/>
      <c r="J106" s="127"/>
      <c r="K106" s="127"/>
      <c r="L106" s="127"/>
      <c r="M106" s="127"/>
      <c r="N106" s="127"/>
      <c r="R106" s="40" t="s">
        <v>353</v>
      </c>
    </row>
    <row r="107" spans="1:18" ht="15" customHeight="1" x14ac:dyDescent="0.25">
      <c r="A107" s="132"/>
      <c r="B107" s="153" t="str">
        <f>IF(ISNUMBER(FIND("ED only",$B$4)),"2013/2014 (ED Only)","2013/2014")</f>
        <v>2013/2014</v>
      </c>
      <c r="C107" s="149">
        <v>41394</v>
      </c>
      <c r="D107" s="149">
        <v>41425</v>
      </c>
      <c r="E107" s="149">
        <v>41455</v>
      </c>
      <c r="F107" s="149">
        <v>41486</v>
      </c>
      <c r="G107" s="149">
        <v>41517</v>
      </c>
      <c r="H107" s="149">
        <v>41547</v>
      </c>
      <c r="I107" s="149">
        <v>41578</v>
      </c>
      <c r="J107" s="149">
        <v>41608</v>
      </c>
      <c r="K107" s="149">
        <v>41639</v>
      </c>
      <c r="L107" s="149">
        <v>41670</v>
      </c>
      <c r="M107" s="149">
        <v>41698</v>
      </c>
      <c r="N107" s="158">
        <v>41729</v>
      </c>
      <c r="R107" s="40" t="s">
        <v>354</v>
      </c>
    </row>
    <row r="108" spans="1:18" ht="15" customHeight="1" x14ac:dyDescent="0.2">
      <c r="A108" s="132"/>
      <c r="B108" s="164" t="s">
        <v>735</v>
      </c>
      <c r="C108" s="162"/>
      <c r="D108" s="162"/>
      <c r="E108" s="162"/>
      <c r="F108" s="162"/>
      <c r="G108" s="162"/>
      <c r="H108" s="162"/>
      <c r="I108" s="162"/>
      <c r="J108" s="162"/>
      <c r="K108" s="162"/>
      <c r="L108" s="162"/>
      <c r="M108" s="162"/>
      <c r="N108" s="152"/>
      <c r="R108" s="40" t="s">
        <v>355</v>
      </c>
    </row>
    <row r="109" spans="1:18" ht="15" customHeight="1" x14ac:dyDescent="0.2">
      <c r="A109" s="132"/>
      <c r="B109" s="154" t="s">
        <v>736</v>
      </c>
      <c r="C109" s="150">
        <f ca="1">IF(ISNUMBER(FIND("ED only",$B$4)),SUMIFS(sum_range_dest,site_level_range_dest,LEFT($B$4,LEN($B$4)-10),date_range_dest,C107,inputdata!$F:$F,"ED"),SUMIFS(sum_range_dest,site_level_range_dest,$B$4,date_range_dest,C107))</f>
        <v>135542</v>
      </c>
      <c r="D109" s="150">
        <f ca="1">IF(ISNUMBER(FIND("ED only",$B$4)),SUMIFS(sum_range_dest,site_level_range_dest,LEFT($B$4,LEN($B$4)-10),date_range_dest,D107,inputdata!$F:$F,"ED"),SUMIFS(sum_range_dest,site_level_range_dest,$B$4,date_range_dest,D107))</f>
        <v>142038</v>
      </c>
      <c r="E109" s="150">
        <f ca="1">IF(ISNUMBER(FIND("ED only",$B$4)),SUMIFS(sum_range_dest,site_level_range_dest,LEFT($B$4,LEN($B$4)-10),date_range_dest,E107,inputdata!$F:$F,"ED"),SUMIFS(sum_range_dest,site_level_range_dest,$B$4,date_range_dest,E107))</f>
        <v>139902</v>
      </c>
      <c r="F109" s="150">
        <f ca="1">IF(ISNUMBER(FIND("ED only",$B$4)),SUMIFS(sum_range_dest,site_level_range_dest,LEFT($B$4,LEN($B$4)-10),date_range_dest,F107,inputdata!$F:$F,"ED"),SUMIFS(sum_range_dest,site_level_range_dest,$B$4,date_range_dest,F107))</f>
        <v>145315</v>
      </c>
      <c r="G109" s="150">
        <f ca="1">IF(ISNUMBER(FIND("ED only",$B$4)),SUMIFS(sum_range_dest,site_level_range_dest,LEFT($B$4,LEN($B$4)-10),date_range_dest,G107,inputdata!$F:$F,"ED"),SUMIFS(sum_range_dest,site_level_range_dest,$B$4,date_range_dest,G107))</f>
        <v>144108</v>
      </c>
      <c r="H109" s="150">
        <f ca="1">IF(ISNUMBER(FIND("ED only",$B$4)),SUMIFS(sum_range_dest,site_level_range_dest,LEFT($B$4,LEN($B$4)-10),date_range_dest,H107,inputdata!$F:$F,"ED"),SUMIFS(sum_range_dest,site_level_range_dest,$B$4,date_range_dest,H107))</f>
        <v>136658</v>
      </c>
      <c r="I109" s="150">
        <f ca="1">IF(ISNUMBER(FIND("ED only",$B$4)),SUMIFS(sum_range_dest,site_level_range_dest,LEFT($B$4,LEN($B$4)-10),date_range_dest,I107,inputdata!$F:$F,"ED"),SUMIFS(sum_range_dest,site_level_range_dest,$B$4,date_range_dest,I107))</f>
        <v>132050</v>
      </c>
      <c r="J109" s="150">
        <f ca="1">IF(ISNUMBER(FIND("ED only",$B$4)),SUMIFS(sum_range_dest,site_level_range_dest,LEFT($B$4,LEN($B$4)-10),date_range_dest,J107,inputdata!$F:$F,"ED"),SUMIFS(sum_range_dest,site_level_range_dest,$B$4,date_range_dest,J107))</f>
        <v>125817</v>
      </c>
      <c r="K109" s="150">
        <f ca="1">IF(ISNUMBER(FIND("ED only",$B$4)),SUMIFS(sum_range_dest,site_level_range_dest,LEFT($B$4,LEN($B$4)-10),date_range_dest,K107,inputdata!$F:$F,"ED"),SUMIFS(sum_range_dest,site_level_range_dest,$B$4,date_range_dest,K107))</f>
        <v>126791</v>
      </c>
      <c r="L109" s="150">
        <f ca="1">IF(ISNUMBER(FIND("ED only",$B$4)),SUMIFS(sum_range_dest,site_level_range_dest,LEFT($B$4,LEN($B$4)-10),date_range_dest,L107,inputdata!$F:$F,"ED"),SUMIFS(sum_range_dest,site_level_range_dest,$B$4,date_range_dest,L107))</f>
        <v>128785</v>
      </c>
      <c r="M109" s="150">
        <f ca="1">IF(ISNUMBER(FIND("ED only",$B$4)),SUMIFS(sum_range_dest,site_level_range_dest,LEFT($B$4,LEN($B$4)-10),date_range_dest,M107,inputdata!$F:$F,"ED"),SUMIFS(sum_range_dest,site_level_range_dest,$B$4,date_range_dest,M107))</f>
        <v>122556</v>
      </c>
      <c r="N109" s="159">
        <f ca="1">IF(ISNUMBER(FIND("ED only",$B$4)),SUMIFS(sum_range_dest,site_level_range_dest,LEFT($B$4,LEN($B$4)-10),date_range_dest,N107,inputdata!$F:$F,"ED"),SUMIFS(sum_range_dest,site_level_range_dest,$B$4,date_range_dest,N107))</f>
        <v>141895</v>
      </c>
      <c r="R109" s="40" t="s">
        <v>201</v>
      </c>
    </row>
    <row r="110" spans="1:18" ht="15" customHeight="1" x14ac:dyDescent="0.2">
      <c r="A110" s="132"/>
      <c r="B110" s="164" t="s">
        <v>737</v>
      </c>
      <c r="C110" s="162"/>
      <c r="D110" s="162"/>
      <c r="E110" s="162"/>
      <c r="F110" s="162"/>
      <c r="G110" s="162"/>
      <c r="H110" s="162"/>
      <c r="I110" s="162"/>
      <c r="J110" s="162"/>
      <c r="K110" s="162"/>
      <c r="L110" s="162"/>
      <c r="M110" s="162"/>
      <c r="N110" s="152"/>
      <c r="R110" s="40" t="s">
        <v>356</v>
      </c>
    </row>
    <row r="111" spans="1:18" ht="15" customHeight="1" x14ac:dyDescent="0.2">
      <c r="A111" s="132"/>
      <c r="B111" s="152" t="s">
        <v>736</v>
      </c>
      <c r="C111" s="147">
        <f ca="1">IF(ISNUMBER(FIND("ED only",$B$4)),SUMIFS(sum_total_epi_dest,site_level_range_dest,LEFT($B$4,LEN($B$4)-10),date_range_dest,C107,inputdata!$F:$F,"ED"),SUMIFS(sum_total_epi_dest,site_level_range_dest,$B$4,date_range_dest,C107))</f>
        <v>126921</v>
      </c>
      <c r="D111" s="147">
        <f ca="1">IF(ISNUMBER(FIND("ED only",$B$4)),SUMIFS(sum_total_epi_dest,site_level_range_dest,LEFT($B$4,LEN($B$4)-10),date_range_dest,D107,inputdata!$F:$F,"ED"),SUMIFS(sum_total_epi_dest,site_level_range_dest,$B$4,date_range_dest,D107))</f>
        <v>132595</v>
      </c>
      <c r="E111" s="147">
        <f ca="1">IF(ISNUMBER(FIND("ED only",$B$4)),SUMIFS(sum_total_epi_dest,site_level_range_dest,LEFT($B$4,LEN($B$4)-10),date_range_dest,E107,inputdata!$F:$F,"ED"),SUMIFS(sum_total_epi_dest,site_level_range_dest,$B$4,date_range_dest,E107))</f>
        <v>130390</v>
      </c>
      <c r="F111" s="147">
        <f ca="1">IF(ISNUMBER(FIND("ED only",$B$4)),SUMIFS(sum_total_epi_dest,site_level_range_dest,LEFT($B$4,LEN($B$4)-10),date_range_dest,F107,inputdata!$F:$F,"ED"),SUMIFS(sum_total_epi_dest,site_level_range_dest,$B$4,date_range_dest,F107))</f>
        <v>134530</v>
      </c>
      <c r="G111" s="147">
        <f ca="1">IF(ISNUMBER(FIND("ED only",$B$4)),SUMIFS(sum_total_epi_dest,site_level_range_dest,LEFT($B$4,LEN($B$4)-10),date_range_dest,G107,inputdata!$F:$F,"ED"),SUMIFS(sum_total_epi_dest,site_level_range_dest,$B$4,date_range_dest,G107))</f>
        <v>134084</v>
      </c>
      <c r="H111" s="147">
        <f ca="1">IF(ISNUMBER(FIND("ED only",$B$4)),SUMIFS(sum_total_epi_dest,site_level_range_dest,LEFT($B$4,LEN($B$4)-10),date_range_dest,H107,inputdata!$F:$F,"ED"),SUMIFS(sum_total_epi_dest,site_level_range_dest,$B$4,date_range_dest,H107))</f>
        <v>127473</v>
      </c>
      <c r="I111" s="147">
        <f ca="1">IF(ISNUMBER(FIND("ED only",$B$4)),SUMIFS(sum_total_epi_dest,site_level_range_dest,LEFT($B$4,LEN($B$4)-10),date_range_dest,I107,inputdata!$F:$F,"ED"),SUMIFS(sum_total_epi_dest,site_level_range_dest,$B$4,date_range_dest,I107))</f>
        <v>123955</v>
      </c>
      <c r="J111" s="147">
        <f ca="1">IF(ISNUMBER(FIND("ED only",$B$4)),SUMIFS(sum_total_epi_dest,site_level_range_dest,LEFT($B$4,LEN($B$4)-10),date_range_dest,J107,inputdata!$F:$F,"ED"),SUMIFS(sum_total_epi_dest,site_level_range_dest,$B$4,date_range_dest,J107))</f>
        <v>118009</v>
      </c>
      <c r="K111" s="147">
        <f ca="1">IF(ISNUMBER(FIND("ED only",$B$4)),SUMIFS(sum_total_epi_dest,site_level_range_dest,LEFT($B$4,LEN($B$4)-10),date_range_dest,K107,inputdata!$F:$F,"ED"),SUMIFS(sum_total_epi_dest,site_level_range_dest,$B$4,date_range_dest,K107))</f>
        <v>118833</v>
      </c>
      <c r="L111" s="147">
        <f ca="1">IF(ISNUMBER(FIND("ED only",$B$4)),SUMIFS(sum_total_epi_dest,site_level_range_dest,LEFT($B$4,LEN($B$4)-10),date_range_dest,L107,inputdata!$F:$F,"ED"),SUMIFS(sum_total_epi_dest,site_level_range_dest,$B$4,date_range_dest,L107))</f>
        <v>121295</v>
      </c>
      <c r="M111" s="147">
        <f ca="1">IF(ISNUMBER(FIND("ED only",$B$4)),SUMIFS(sum_total_epi_dest,site_level_range_dest,LEFT($B$4,LEN($B$4)-10),date_range_dest,M107,inputdata!$F:$F,"ED"),SUMIFS(sum_total_epi_dest,site_level_range_dest,$B$4,date_range_dest,M107))</f>
        <v>115368</v>
      </c>
      <c r="N111" s="156">
        <f ca="1">IF(ISNUMBER(FIND("ED only",$B$4)),SUMIFS(sum_total_epi_dest,site_level_range_dest,LEFT($B$4,LEN($B$4)-10),date_range_dest,N107,inputdata!$F:$F,"ED"),SUMIFS(sum_total_epi_dest,site_level_range_dest,$B$4,date_range_dest,N107))</f>
        <v>133296</v>
      </c>
      <c r="R111" s="40" t="s">
        <v>74</v>
      </c>
    </row>
    <row r="112" spans="1:18" ht="15" customHeight="1" x14ac:dyDescent="0.2">
      <c r="A112" s="132"/>
      <c r="B112" s="152" t="s">
        <v>738</v>
      </c>
      <c r="C112" s="147">
        <f ca="1">IF(3111=0,"-",IF(ISNUMBER(FIND("ED only",$B$4)),SUMIFS(sum_dest_res,site_level_range_dest,LEFT($B$4,LEN($B$4)-10),date_range_dest,C107,inputdata!$F:$F,"ED"),SUMIFS(sum_dest_res,site_level_range_dest,$B$4,date_range_dest,C107)))</f>
        <v>85552</v>
      </c>
      <c r="D112" s="147">
        <f ca="1">IF(4111=0,"-",IF(ISNUMBER(FIND("ED only",$B$4)),SUMIFS(sum_dest_res,site_level_range_dest,LEFT($B$4,LEN($B$4)-10),date_range_dest,D107,inputdata!$F:$F,"ED"),SUMIFS(sum_dest_res,site_level_range_dest,$B$4,date_range_dest,D107)))</f>
        <v>93193</v>
      </c>
      <c r="E112" s="147">
        <f ca="1">IF(5111=0,"-",IF(ISNUMBER(FIND("ED only",$B$4)),SUMIFS(sum_dest_res,site_level_range_dest,LEFT($B$4,LEN($B$4)-10),date_range_dest,E107,inputdata!$F:$F,"ED"),SUMIFS(sum_dest_res,site_level_range_dest,$B$4,date_range_dest,E107)))</f>
        <v>88390</v>
      </c>
      <c r="F112" s="147">
        <f ca="1">IF(6111=0,"-",IF(ISNUMBER(FIND("ED only",$B$4)),SUMIFS(sum_dest_res,site_level_range_dest,LEFT($B$4,LEN($B$4)-10),date_range_dest,F107,inputdata!$F:$F,"ED"),SUMIFS(sum_dest_res,site_level_range_dest,$B$4,date_range_dest,F107)))</f>
        <v>91210</v>
      </c>
      <c r="G112" s="147">
        <f ca="1">IF(7111=0,"-",IF(ISNUMBER(FIND("ED only",$B$4)),SUMIFS(sum_dest_res,site_level_range_dest,LEFT($B$4,LEN($B$4)-10),date_range_dest,G107,inputdata!$F:$F,"ED"),SUMIFS(sum_dest_res,site_level_range_dest,$B$4,date_range_dest,G107)))</f>
        <v>89815</v>
      </c>
      <c r="H112" s="147">
        <f ca="1">IF(8111=0,"-",IF(ISNUMBER(FIND("ED only",$B$4)),SUMIFS(sum_dest_res,site_level_range_dest,LEFT($B$4,LEN($B$4)-10),date_range_dest,H107,inputdata!$F:$F,"ED"),SUMIFS(sum_dest_res,site_level_range_dest,$B$4,date_range_dest,H107)))</f>
        <v>85619</v>
      </c>
      <c r="I112" s="147">
        <f ca="1">IF(9111=0,"-",IF(ISNUMBER(FIND("ED only",$B$4)),SUMIFS(sum_dest_res,site_level_range_dest,LEFT($B$4,LEN($B$4)-10),date_range_dest,I107,inputdata!$F:$F,"ED"),SUMIFS(sum_dest_res,site_level_range_dest,$B$4,date_range_dest,I107)))</f>
        <v>81719</v>
      </c>
      <c r="J112" s="147">
        <f ca="1">IF(10111=0,"-",IF(ISNUMBER(FIND("ED only",$B$4)),SUMIFS(sum_dest_res,site_level_range_dest,LEFT($B$4,LEN($B$4)-10),date_range_dest,J107,inputdata!$F:$F,"ED"),SUMIFS(sum_dest_res,site_level_range_dest,$B$4,date_range_dest,J107)))</f>
        <v>77730</v>
      </c>
      <c r="K112" s="147">
        <f ca="1">IF(11111=0,"-",IF(ISNUMBER(FIND("ED only",$B$4)),SUMIFS(sum_dest_res,site_level_range_dest,LEFT($B$4,LEN($B$4)-10),date_range_dest,K107,inputdata!$F:$F,"ED"),SUMIFS(sum_dest_res,site_level_range_dest,$B$4,date_range_dest,K107)))</f>
        <v>76309</v>
      </c>
      <c r="L112" s="147">
        <f ca="1">IF(12111=0,"-",IF(ISNUMBER(FIND("ED only",$B$4)),SUMIFS(sum_dest_res,site_level_range_dest,LEFT($B$4,LEN($B$4)-10),date_range_dest,L107,inputdata!$F:$F,"ED"),SUMIFS(sum_dest_res,site_level_range_dest,$B$4,date_range_dest,L107)))</f>
        <v>78261</v>
      </c>
      <c r="M112" s="147">
        <f ca="1">IF(13111=0,"-",IF(ISNUMBER(FIND("ED only",$B$4)),SUMIFS(sum_dest_res,site_level_range_dest,LEFT($B$4,LEN($B$4)-10),date_range_dest,M107,inputdata!$F:$F,"ED"),SUMIFS(sum_dest_res,site_level_range_dest,$B$4,date_range_dest,M107)))</f>
        <v>75408</v>
      </c>
      <c r="N112" s="156">
        <f ca="1">IF(14111=0,"-",IF(ISNUMBER(FIND("ED only",$B$4)),SUMIFS(sum_dest_res,site_level_range_dest,LEFT($B$4,LEN($B$4)-10),date_range_dest,N107,inputdata!$F:$F,"ED"),SUMIFS(sum_dest_res,site_level_range_dest,$B$4,date_range_dest,N107)))</f>
        <v>89189</v>
      </c>
      <c r="R112" s="40" t="s">
        <v>357</v>
      </c>
    </row>
    <row r="113" spans="1:18" ht="15" customHeight="1" x14ac:dyDescent="0.2">
      <c r="A113" s="132"/>
      <c r="B113" s="152" t="s">
        <v>739</v>
      </c>
      <c r="C113" s="147">
        <f ca="1">IF(3111=0,"-",IF(ISNUMBER(FIND("ED only",$B$4)),SUMIFS(sum_dest_adm,site_level_range_dest,LEFT($B$4,LEN($B$4)-10),date_range_dest,C107,inputdata!$F:$F,"ED"),SUMIFS(sum_dest_adm,site_level_range_dest,$B$4,date_range_dest,C107)))</f>
        <v>31994</v>
      </c>
      <c r="D113" s="147">
        <f ca="1">IF(4111=0,"-",IF(ISNUMBER(FIND("ED only",$B$4)),SUMIFS(sum_dest_adm,site_level_range_dest,LEFT($B$4,LEN($B$4)-10),date_range_dest,D107,inputdata!$F:$F,"ED"),SUMIFS(sum_dest_adm,site_level_range_dest,$B$4,date_range_dest,D107)))</f>
        <v>32353</v>
      </c>
      <c r="E113" s="147">
        <f ca="1">IF(5111=0,"-",IF(ISNUMBER(FIND("ED only",$B$4)),SUMIFS(sum_dest_adm,site_level_range_dest,LEFT($B$4,LEN($B$4)-10),date_range_dest,E107,inputdata!$F:$F,"ED"),SUMIFS(sum_dest_adm,site_level_range_dest,$B$4,date_range_dest,E107)))</f>
        <v>31958</v>
      </c>
      <c r="F113" s="147">
        <f ca="1">IF(6111=0,"-",IF(ISNUMBER(FIND("ED only",$B$4)),SUMIFS(sum_dest_adm,site_level_range_dest,LEFT($B$4,LEN($B$4)-10),date_range_dest,F107,inputdata!$F:$F,"ED"),SUMIFS(sum_dest_adm,site_level_range_dest,$B$4,date_range_dest,F107)))</f>
        <v>32959</v>
      </c>
      <c r="G113" s="147">
        <f ca="1">IF(7111=0,"-",IF(ISNUMBER(FIND("ED only",$B$4)),SUMIFS(sum_dest_adm,site_level_range_dest,LEFT($B$4,LEN($B$4)-10),date_range_dest,G107,inputdata!$F:$F,"ED"),SUMIFS(sum_dest_adm,site_level_range_dest,$B$4,date_range_dest,G107)))</f>
        <v>33823</v>
      </c>
      <c r="H113" s="147">
        <f ca="1">IF(8111=0,"-",IF(ISNUMBER(FIND("ED only",$B$4)),SUMIFS(sum_dest_adm,site_level_range_dest,LEFT($B$4,LEN($B$4)-10),date_range_dest,H107,inputdata!$F:$F,"ED"),SUMIFS(sum_dest_adm,site_level_range_dest,$B$4,date_range_dest,H107)))</f>
        <v>32324</v>
      </c>
      <c r="I113" s="147">
        <f ca="1">IF(9111=0,"-",IF(ISNUMBER(FIND("ED only",$B$4)),SUMIFS(sum_dest_adm,site_level_range_dest,LEFT($B$4,LEN($B$4)-10),date_range_dest,I107,inputdata!$F:$F,"ED"),SUMIFS(sum_dest_adm,site_level_range_dest,$B$4,date_range_dest,I107)))</f>
        <v>33167</v>
      </c>
      <c r="J113" s="147">
        <f ca="1">IF(10111=0,"-",IF(ISNUMBER(FIND("ED only",$B$4)),SUMIFS(sum_dest_adm,site_level_range_dest,LEFT($B$4,LEN($B$4)-10),date_range_dest,J107,inputdata!$F:$F,"ED"),SUMIFS(sum_dest_adm,site_level_range_dest,$B$4,date_range_dest,J107)))</f>
        <v>32074</v>
      </c>
      <c r="K113" s="147">
        <f ca="1">IF(11111=0,"-",IF(ISNUMBER(FIND("ED only",$B$4)),SUMIFS(sum_dest_adm,site_level_range_dest,LEFT($B$4,LEN($B$4)-10),date_range_dest,K107,inputdata!$F:$F,"ED"),SUMIFS(sum_dest_adm,site_level_range_dest,$B$4,date_range_dest,K107)))</f>
        <v>34291</v>
      </c>
      <c r="L113" s="147">
        <f ca="1">IF(12111=0,"-",IF(ISNUMBER(FIND("ED only",$B$4)),SUMIFS(sum_dest_adm,site_level_range_dest,LEFT($B$4,LEN($B$4)-10),date_range_dest,L107,inputdata!$F:$F,"ED"),SUMIFS(sum_dest_adm,site_level_range_dest,$B$4,date_range_dest,L107)))</f>
        <v>34600</v>
      </c>
      <c r="M113" s="147">
        <f ca="1">IF(13111=0,"-",IF(ISNUMBER(FIND("ED only",$B$4)),SUMIFS(sum_dest_adm,site_level_range_dest,LEFT($B$4,LEN($B$4)-10),date_range_dest,M107,inputdata!$F:$F,"ED"),SUMIFS(sum_dest_adm,site_level_range_dest,$B$4,date_range_dest,M107)))</f>
        <v>31461</v>
      </c>
      <c r="N113" s="156">
        <f ca="1">IF(14111=0,"-",IF(ISNUMBER(FIND("ED only",$B$4)),SUMIFS(sum_dest_adm,site_level_range_dest,LEFT($B$4,LEN($B$4)-10),date_range_dest,N107,inputdata!$F:$F,"ED"),SUMIFS(sum_dest_adm,site_level_range_dest,$B$4,date_range_dest,N107)))</f>
        <v>34544</v>
      </c>
      <c r="R113" s="40" t="s">
        <v>253</v>
      </c>
    </row>
    <row r="114" spans="1:18" ht="15" customHeight="1" x14ac:dyDescent="0.2">
      <c r="A114" s="132"/>
      <c r="B114" s="152" t="s">
        <v>740</v>
      </c>
      <c r="C114" s="147">
        <f ca="1">IF(3111=0,"-",IF(ISNUMBER(FIND("ED only",$B$4)),SUMIFS(sum_dest_tran,site_level_range_dest,LEFT($B$4,LEN($B$4)-10),date_range_dest,C107,inputdata!$F:$F,"ED"),SUMIFS(sum_dest_tran,site_level_range_dest,$B$4,date_range_dest,C107)))</f>
        <v>3805</v>
      </c>
      <c r="D114" s="147">
        <f ca="1">IF(4111=0,"-",IF(ISNUMBER(FIND("ED only",$B$4)),SUMIFS(sum_dest_tran,site_level_range_dest,LEFT($B$4,LEN($B$4)-10),date_range_dest,D107,inputdata!$F:$F,"ED"),SUMIFS(sum_dest_tran,site_level_range_dest,$B$4,date_range_dest,D107)))</f>
        <v>3850</v>
      </c>
      <c r="E114" s="147">
        <f ca="1">IF(5111=0,"-",IF(ISNUMBER(FIND("ED only",$B$4)),SUMIFS(sum_dest_tran,site_level_range_dest,LEFT($B$4,LEN($B$4)-10),date_range_dest,E107,inputdata!$F:$F,"ED"),SUMIFS(sum_dest_tran,site_level_range_dest,$B$4,date_range_dest,E107)))</f>
        <v>3902</v>
      </c>
      <c r="F114" s="147">
        <f ca="1">IF(6111=0,"-",IF(ISNUMBER(FIND("ED only",$B$4)),SUMIFS(sum_dest_tran,site_level_range_dest,LEFT($B$4,LEN($B$4)-10),date_range_dest,F107,inputdata!$F:$F,"ED"),SUMIFS(sum_dest_tran,site_level_range_dest,$B$4,date_range_dest,F107)))</f>
        <v>4164</v>
      </c>
      <c r="G114" s="147">
        <f ca="1">IF(7111=0,"-",IF(ISNUMBER(FIND("ED only",$B$4)),SUMIFS(sum_dest_tran,site_level_range_dest,LEFT($B$4,LEN($B$4)-10),date_range_dest,G107,inputdata!$F:$F,"ED"),SUMIFS(sum_dest_tran,site_level_range_dest,$B$4,date_range_dest,G107)))</f>
        <v>4084</v>
      </c>
      <c r="H114" s="147">
        <f ca="1">IF(8111=0,"-",IF(ISNUMBER(FIND("ED only",$B$4)),SUMIFS(sum_dest_tran,site_level_range_dest,LEFT($B$4,LEN($B$4)-10),date_range_dest,H107,inputdata!$F:$F,"ED"),SUMIFS(sum_dest_tran,site_level_range_dest,$B$4,date_range_dest,H107)))</f>
        <v>3716</v>
      </c>
      <c r="I114" s="147">
        <f ca="1">IF(9111=0,"-",IF(ISNUMBER(FIND("ED only",$B$4)),SUMIFS(sum_dest_tran,site_level_range_dest,LEFT($B$4,LEN($B$4)-10),date_range_dest,I107,inputdata!$F:$F,"ED"),SUMIFS(sum_dest_tran,site_level_range_dest,$B$4,date_range_dest,I107)))</f>
        <v>3572</v>
      </c>
      <c r="J114" s="147">
        <f ca="1">IF(10111=0,"-",IF(ISNUMBER(FIND("ED only",$B$4)),SUMIFS(sum_dest_tran,site_level_range_dest,LEFT($B$4,LEN($B$4)-10),date_range_dest,J107,inputdata!$F:$F,"ED"),SUMIFS(sum_dest_tran,site_level_range_dest,$B$4,date_range_dest,J107)))</f>
        <v>3370</v>
      </c>
      <c r="K114" s="147">
        <f ca="1">IF(11111=0,"-",IF(ISNUMBER(FIND("ED only",$B$4)),SUMIFS(sum_dest_tran,site_level_range_dest,LEFT($B$4,LEN($B$4)-10),date_range_dest,K107,inputdata!$F:$F,"ED"),SUMIFS(sum_dest_tran,site_level_range_dest,$B$4,date_range_dest,K107)))</f>
        <v>3527</v>
      </c>
      <c r="L114" s="147">
        <f ca="1">IF(12111=0,"-",IF(ISNUMBER(FIND("ED only",$B$4)),SUMIFS(sum_dest_tran,site_level_range_dest,LEFT($B$4,LEN($B$4)-10),date_range_dest,L107,inputdata!$F:$F,"ED"),SUMIFS(sum_dest_tran,site_level_range_dest,$B$4,date_range_dest,L107)))</f>
        <v>3861</v>
      </c>
      <c r="M114" s="147">
        <f ca="1">IF(13111=0,"-",IF(ISNUMBER(FIND("ED only",$B$4)),SUMIFS(sum_dest_tran,site_level_range_dest,LEFT($B$4,LEN($B$4)-10),date_range_dest,M107,inputdata!$F:$F,"ED"),SUMIFS(sum_dest_tran,site_level_range_dest,$B$4,date_range_dest,M107)))</f>
        <v>3625</v>
      </c>
      <c r="N114" s="156">
        <f ca="1">IF(14111=0,"-",IF(ISNUMBER(FIND("ED only",$B$4)),SUMIFS(sum_dest_tran,site_level_range_dest,LEFT($B$4,LEN($B$4)-10),date_range_dest,N107,inputdata!$F:$F,"ED"),SUMIFS(sum_dest_tran,site_level_range_dest,$B$4,date_range_dest,N107)))</f>
        <v>3837</v>
      </c>
      <c r="R114" s="40" t="s">
        <v>358</v>
      </c>
    </row>
    <row r="115" spans="1:18" ht="15" customHeight="1" x14ac:dyDescent="0.2">
      <c r="A115" s="132"/>
      <c r="B115" s="152" t="s">
        <v>741</v>
      </c>
      <c r="C115" s="147">
        <f ca="1">IF(3111=0,"-",IF(ISNUMBER(FIND("ED only",$B$4)),SUMIFS(sum_dest_other,site_level_range_dest,LEFT($B$4,LEN($B$4)-10),date_range_dest,C107,inputdata!$F:$F,"ED"),SUMIFS(sum_dest_other,site_level_range_dest,$B$4,date_range_dest,C107)))</f>
        <v>213</v>
      </c>
      <c r="D115" s="147">
        <f ca="1">IF(4111=0,"-",IF(ISNUMBER(FIND("ED only",$B$4)),SUMIFS(sum_dest_other,site_level_range_dest,LEFT($B$4,LEN($B$4)-10),date_range_dest,D107,inputdata!$F:$F,"ED"),SUMIFS(sum_dest_other,site_level_range_dest,$B$4,date_range_dest,D107)))</f>
        <v>207</v>
      </c>
      <c r="E115" s="147">
        <f ca="1">IF(5111=0,"-",IF(ISNUMBER(FIND("ED only",$B$4)),SUMIFS(sum_dest_other,site_level_range_dest,LEFT($B$4,LEN($B$4)-10),date_range_dest,E107,inputdata!$F:$F,"ED"),SUMIFS(sum_dest_other,site_level_range_dest,$B$4,date_range_dest,E107)))</f>
        <v>224</v>
      </c>
      <c r="F115" s="147">
        <f ca="1">IF(6111=0,"-",IF(ISNUMBER(FIND("ED only",$B$4)),SUMIFS(sum_dest_other,site_level_range_dest,LEFT($B$4,LEN($B$4)-10),date_range_dest,F107,inputdata!$F:$F,"ED"),SUMIFS(sum_dest_other,site_level_range_dest,$B$4,date_range_dest,F107)))</f>
        <v>193</v>
      </c>
      <c r="G115" s="147">
        <f ca="1">IF(7111=0,"-",IF(ISNUMBER(FIND("ED only",$B$4)),SUMIFS(sum_dest_other,site_level_range_dest,LEFT($B$4,LEN($B$4)-10),date_range_dest,G107,inputdata!$F:$F,"ED"),SUMIFS(sum_dest_other,site_level_range_dest,$B$4,date_range_dest,G107)))</f>
        <v>196</v>
      </c>
      <c r="H115" s="147">
        <f ca="1">IF(8111=0,"-",IF(ISNUMBER(FIND("ED only",$B$4)),SUMIFS(sum_dest_other,site_level_range_dest,LEFT($B$4,LEN($B$4)-10),date_range_dest,H107,inputdata!$F:$F,"ED"),SUMIFS(sum_dest_other,site_level_range_dest,$B$4,date_range_dest,H107)))</f>
        <v>190</v>
      </c>
      <c r="I115" s="147">
        <f ca="1">IF(9111=0,"-",IF(ISNUMBER(FIND("ED only",$B$4)),SUMIFS(sum_dest_other,site_level_range_dest,LEFT($B$4,LEN($B$4)-10),date_range_dest,I107,inputdata!$F:$F,"ED"),SUMIFS(sum_dest_other,site_level_range_dest,$B$4,date_range_dest,I107)))</f>
        <v>192</v>
      </c>
      <c r="J115" s="147">
        <f ca="1">IF(10111=0,"-",IF(ISNUMBER(FIND("ED only",$B$4)),SUMIFS(sum_dest_other,site_level_range_dest,LEFT($B$4,LEN($B$4)-10),date_range_dest,J107,inputdata!$F:$F,"ED"),SUMIFS(sum_dest_other,site_level_range_dest,$B$4,date_range_dest,J107)))</f>
        <v>213</v>
      </c>
      <c r="K115" s="147">
        <f ca="1">IF(11111=0,"-",IF(ISNUMBER(FIND("ED only",$B$4)),SUMIFS(sum_dest_other,site_level_range_dest,LEFT($B$4,LEN($B$4)-10),date_range_dest,K107,inputdata!$F:$F,"ED"),SUMIFS(sum_dest_other,site_level_range_dest,$B$4,date_range_dest,K107)))</f>
        <v>205</v>
      </c>
      <c r="L115" s="147">
        <f ca="1">IF(12111=0,"-",IF(ISNUMBER(FIND("ED only",$B$4)),SUMIFS(sum_dest_other,site_level_range_dest,LEFT($B$4,LEN($B$4)-10),date_range_dest,L107,inputdata!$F:$F,"ED"),SUMIFS(sum_dest_other,site_level_range_dest,$B$4,date_range_dest,L107)))</f>
        <v>204</v>
      </c>
      <c r="M115" s="147">
        <f ca="1">IF(13111=0,"-",IF(ISNUMBER(FIND("ED only",$B$4)),SUMIFS(sum_dest_other,site_level_range_dest,LEFT($B$4,LEN($B$4)-10),date_range_dest,M107,inputdata!$F:$F,"ED"),SUMIFS(sum_dest_other,site_level_range_dest,$B$4,date_range_dest,M107)))</f>
        <v>181</v>
      </c>
      <c r="N115" s="156">
        <f ca="1">IF(14111=0,"-",IF(ISNUMBER(FIND("ED only",$B$4)),SUMIFS(sum_dest_other,site_level_range_dest,LEFT($B$4,LEN($B$4)-10),date_range_dest,N107,inputdata!$F:$F,"ED"),SUMIFS(sum_dest_other,site_level_range_dest,$B$4,date_range_dest,N107)))</f>
        <v>202</v>
      </c>
      <c r="R115" s="40" t="s">
        <v>115</v>
      </c>
    </row>
    <row r="116" spans="1:18" ht="15" customHeight="1" x14ac:dyDescent="0.2">
      <c r="A116" s="132"/>
      <c r="B116" s="154" t="s">
        <v>742</v>
      </c>
      <c r="C116" s="150">
        <f ca="1">IF(3111=0,"-",IF(ISNUMBER(FIND("ED only",$B$4)),SUMIFS(sum_dest_unknown,site_level_range_dest,LEFT($B$4,LEN($B$4)-10),date_range_dest,C107,inputdata!$F:$F,"ED"),SUMIFS(sum_dest_unknown,site_level_range_dest,$B$4,date_range_dest,C107)))</f>
        <v>5357</v>
      </c>
      <c r="D116" s="150">
        <f ca="1">IF(4111=0,"-",IF(ISNUMBER(FIND("ED only",$B$4)),SUMIFS(sum_dest_unknown,site_level_range_dest,LEFT($B$4,LEN($B$4)-10),date_range_dest,D107,inputdata!$F:$F,"ED"),SUMIFS(sum_dest_unknown,site_level_range_dest,$B$4,date_range_dest,D107)))</f>
        <v>2992</v>
      </c>
      <c r="E116" s="150">
        <f ca="1">IF(5111=0,"-",IF(ISNUMBER(FIND("ED only",$B$4)),SUMIFS(sum_dest_unknown,site_level_range_dest,LEFT($B$4,LEN($B$4)-10),date_range_dest,E107,inputdata!$F:$F,"ED"),SUMIFS(sum_dest_unknown,site_level_range_dest,$B$4,date_range_dest,E107)))</f>
        <v>5916</v>
      </c>
      <c r="F116" s="150">
        <f ca="1">IF(6111=0,"-",IF(ISNUMBER(FIND("ED only",$B$4)),SUMIFS(sum_dest_unknown,site_level_range_dest,LEFT($B$4,LEN($B$4)-10),date_range_dest,F107,inputdata!$F:$F,"ED"),SUMIFS(sum_dest_unknown,site_level_range_dest,$B$4,date_range_dest,F107)))</f>
        <v>6004</v>
      </c>
      <c r="G116" s="150">
        <f ca="1">IF(7111=0,"-",IF(ISNUMBER(FIND("ED only",$B$4)),SUMIFS(sum_dest_unknown,site_level_range_dest,LEFT($B$4,LEN($B$4)-10),date_range_dest,G107,inputdata!$F:$F,"ED"),SUMIFS(sum_dest_unknown,site_level_range_dest,$B$4,date_range_dest,G107)))</f>
        <v>6166</v>
      </c>
      <c r="H116" s="150">
        <f ca="1">IF(8111=0,"-",IF(ISNUMBER(FIND("ED only",$B$4)),SUMIFS(sum_dest_unknown,site_level_range_dest,LEFT($B$4,LEN($B$4)-10),date_range_dest,H107,inputdata!$F:$F,"ED"),SUMIFS(sum_dest_unknown,site_level_range_dest,$B$4,date_range_dest,H107)))</f>
        <v>5624</v>
      </c>
      <c r="I116" s="150">
        <f ca="1">IF(9111=0,"-",IF(ISNUMBER(FIND("ED only",$B$4)),SUMIFS(sum_dest_unknown,site_level_range_dest,LEFT($B$4,LEN($B$4)-10),date_range_dest,I107,inputdata!$F:$F,"ED"),SUMIFS(sum_dest_unknown,site_level_range_dest,$B$4,date_range_dest,I107)))</f>
        <v>5305</v>
      </c>
      <c r="J116" s="150">
        <f ca="1">IF(10111=0,"-",IF(ISNUMBER(FIND("ED only",$B$4)),SUMIFS(sum_dest_unknown,site_level_range_dest,LEFT($B$4,LEN($B$4)-10),date_range_dest,J107,inputdata!$F:$F,"ED"),SUMIFS(sum_dest_unknown,site_level_range_dest,$B$4,date_range_dest,J107)))</f>
        <v>4622</v>
      </c>
      <c r="K116" s="150">
        <f ca="1">IF(11111=0,"-",IF(ISNUMBER(FIND("ED only",$B$4)),SUMIFS(sum_dest_unknown,site_level_range_dest,LEFT($B$4,LEN($B$4)-10),date_range_dest,K107,inputdata!$F:$F,"ED"),SUMIFS(sum_dest_unknown,site_level_range_dest,$B$4,date_range_dest,K107)))</f>
        <v>4501</v>
      </c>
      <c r="L116" s="150">
        <f ca="1">IF(12111=0,"-",IF(ISNUMBER(FIND("ED only",$B$4)),SUMIFS(sum_dest_unknown,site_level_range_dest,LEFT($B$4,LEN($B$4)-10),date_range_dest,L107,inputdata!$F:$F,"ED"),SUMIFS(sum_dest_unknown,site_level_range_dest,$B$4,date_range_dest,L107)))</f>
        <v>4369</v>
      </c>
      <c r="M116" s="150">
        <f ca="1">IF(13111=0,"-",IF(ISNUMBER(FIND("ED only",$B$4)),SUMIFS(sum_dest_unknown,site_level_range_dest,LEFT($B$4,LEN($B$4)-10),date_range_dest,M107,inputdata!$F:$F,"ED"),SUMIFS(sum_dest_unknown,site_level_range_dest,$B$4,date_range_dest,M107)))</f>
        <v>4693</v>
      </c>
      <c r="N116" s="159">
        <f ca="1">IF(14111=0,"-",IF(ISNUMBER(FIND("ED only",$B$4)),SUMIFS(sum_dest_unknown,site_level_range_dest,LEFT($B$4,LEN($B$4)-10),date_range_dest,N107,inputdata!$F:$F,"ED"),SUMIFS(sum_dest_unknown,site_level_range_dest,$B$4,date_range_dest,N107)))</f>
        <v>5524</v>
      </c>
      <c r="R116" s="40" t="s">
        <v>116</v>
      </c>
    </row>
    <row r="117" spans="1:18" ht="14.25" x14ac:dyDescent="0.2">
      <c r="B117" s="127"/>
      <c r="C117" s="127"/>
      <c r="D117" s="127"/>
      <c r="E117" s="127"/>
      <c r="F117" s="127"/>
      <c r="G117" s="127"/>
      <c r="H117" s="127"/>
      <c r="I117" s="127"/>
      <c r="J117" s="127"/>
      <c r="K117" s="127"/>
      <c r="L117" s="127"/>
      <c r="M117" s="127"/>
      <c r="N117" s="127"/>
      <c r="R117" s="40" t="s">
        <v>191</v>
      </c>
    </row>
    <row r="118" spans="1:18" ht="15" customHeight="1" x14ac:dyDescent="0.25">
      <c r="A118" s="132"/>
      <c r="B118" s="153" t="str">
        <f>IF(ISNUMBER(FIND("ED only",$B$4)),"2012/2013 (ED Only)","2012/2013")</f>
        <v>2012/2013</v>
      </c>
      <c r="C118" s="149">
        <v>41029</v>
      </c>
      <c r="D118" s="149">
        <v>41060</v>
      </c>
      <c r="E118" s="149">
        <v>41090</v>
      </c>
      <c r="F118" s="149">
        <v>41121</v>
      </c>
      <c r="G118" s="149">
        <v>41152</v>
      </c>
      <c r="H118" s="149">
        <v>41182</v>
      </c>
      <c r="I118" s="149">
        <v>41213</v>
      </c>
      <c r="J118" s="149">
        <v>41243</v>
      </c>
      <c r="K118" s="149">
        <v>41274</v>
      </c>
      <c r="L118" s="149">
        <v>41305</v>
      </c>
      <c r="M118" s="149">
        <v>41333</v>
      </c>
      <c r="N118" s="158">
        <v>41364</v>
      </c>
      <c r="R118" s="40" t="s">
        <v>359</v>
      </c>
    </row>
    <row r="119" spans="1:18" ht="15" customHeight="1" x14ac:dyDescent="0.2">
      <c r="A119" s="132"/>
      <c r="B119" s="164" t="s">
        <v>735</v>
      </c>
      <c r="C119" s="162"/>
      <c r="D119" s="162"/>
      <c r="E119" s="162"/>
      <c r="F119" s="162"/>
      <c r="G119" s="162"/>
      <c r="H119" s="162"/>
      <c r="I119" s="162"/>
      <c r="J119" s="162"/>
      <c r="K119" s="162"/>
      <c r="L119" s="162"/>
      <c r="M119" s="162"/>
      <c r="N119" s="152"/>
      <c r="R119" s="40" t="s">
        <v>266</v>
      </c>
    </row>
    <row r="120" spans="1:18" ht="15" customHeight="1" x14ac:dyDescent="0.2">
      <c r="A120" s="132"/>
      <c r="B120" s="154" t="s">
        <v>736</v>
      </c>
      <c r="C120" s="150">
        <f ca="1">IF(ISNUMBER(FIND("ED only",$B$4)),SUMIFS(sum_range_dest,site_level_range_dest,LEFT($B$4,LEN($B$4)-10),date_range_dest,C118,inputdata!$F:$F,"ED"),SUMIFS(sum_range_dest,site_level_range_dest,$B$4,date_range_dest,C118))</f>
        <v>137337</v>
      </c>
      <c r="D120" s="150">
        <f ca="1">IF(ISNUMBER(FIND("ED only",$B$4)),SUMIFS(sum_range_dest,site_level_range_dest,LEFT($B$4,LEN($B$4)-10),date_range_dest,D118,inputdata!$F:$F,"ED"),SUMIFS(sum_range_dest,site_level_range_dest,$B$4,date_range_dest,D118))</f>
        <v>148147</v>
      </c>
      <c r="E120" s="150">
        <f ca="1">IF(ISNUMBER(FIND("ED only",$B$4)),SUMIFS(sum_range_dest,site_level_range_dest,LEFT($B$4,LEN($B$4)-10),date_range_dest,E118,inputdata!$F:$F,"ED"),SUMIFS(sum_range_dest,site_level_range_dest,$B$4,date_range_dest,E118))</f>
        <v>138851</v>
      </c>
      <c r="F120" s="150">
        <f ca="1">IF(ISNUMBER(FIND("ED only",$B$4)),SUMIFS(sum_range_dest,site_level_range_dest,LEFT($B$4,LEN($B$4)-10),date_range_dest,F118,inputdata!$F:$F,"ED"),SUMIFS(sum_range_dest,site_level_range_dest,$B$4,date_range_dest,F118))</f>
        <v>135507</v>
      </c>
      <c r="G120" s="150">
        <f ca="1">IF(ISNUMBER(FIND("ED only",$B$4)),SUMIFS(sum_range_dest,site_level_range_dest,LEFT($B$4,LEN($B$4)-10),date_range_dest,G118,inputdata!$F:$F,"ED"),SUMIFS(sum_range_dest,site_level_range_dest,$B$4,date_range_dest,G118))</f>
        <v>144935</v>
      </c>
      <c r="H120" s="150">
        <f ca="1">IF(ISNUMBER(FIND("ED only",$B$4)),SUMIFS(sum_range_dest,site_level_range_dest,LEFT($B$4,LEN($B$4)-10),date_range_dest,H118,inputdata!$F:$F,"ED"),SUMIFS(sum_range_dest,site_level_range_dest,$B$4,date_range_dest,H118))</f>
        <v>139143</v>
      </c>
      <c r="I120" s="150">
        <f ca="1">IF(ISNUMBER(FIND("ED only",$B$4)),SUMIFS(sum_range_dest,site_level_range_dest,LEFT($B$4,LEN($B$4)-10),date_range_dest,I118,inputdata!$F:$F,"ED"),SUMIFS(sum_range_dest,site_level_range_dest,$B$4,date_range_dest,I118))</f>
        <v>133424</v>
      </c>
      <c r="J120" s="150">
        <f ca="1">IF(ISNUMBER(FIND("ED only",$B$4)),SUMIFS(sum_range_dest,site_level_range_dest,LEFT($B$4,LEN($B$4)-10),date_range_dest,J118,inputdata!$F:$F,"ED"),SUMIFS(sum_range_dest,site_level_range_dest,$B$4,date_range_dest,J118))</f>
        <v>128396</v>
      </c>
      <c r="K120" s="150">
        <f ca="1">IF(ISNUMBER(FIND("ED only",$B$4)),SUMIFS(sum_range_dest,site_level_range_dest,LEFT($B$4,LEN($B$4)-10),date_range_dest,K118,inputdata!$F:$F,"ED"),SUMIFS(sum_range_dest,site_level_range_dest,$B$4,date_range_dest,K118))</f>
        <v>132453</v>
      </c>
      <c r="L120" s="150">
        <f ca="1">IF(ISNUMBER(FIND("ED only",$B$4)),SUMIFS(sum_range_dest,site_level_range_dest,LEFT($B$4,LEN($B$4)-10),date_range_dest,L118,inputdata!$F:$F,"ED"),SUMIFS(sum_range_dest,site_level_range_dest,$B$4,date_range_dest,L118))</f>
        <v>125688</v>
      </c>
      <c r="M120" s="150">
        <f ca="1">IF(ISNUMBER(FIND("ED only",$B$4)),SUMIFS(sum_range_dest,site_level_range_dest,LEFT($B$4,LEN($B$4)-10),date_range_dest,M118,inputdata!$F:$F,"ED"),SUMIFS(sum_range_dest,site_level_range_dest,$B$4,date_range_dest,M118))</f>
        <v>120693</v>
      </c>
      <c r="N120" s="159">
        <f ca="1">IF(ISNUMBER(FIND("ED only",$B$4)),SUMIFS(sum_range_dest,site_level_range_dest,LEFT($B$4,LEN($B$4)-10),date_range_dest,N118,inputdata!$F:$F,"ED"),SUMIFS(sum_range_dest,site_level_range_dest,$B$4,date_range_dest,N118))</f>
        <v>133854</v>
      </c>
      <c r="R120" s="40" t="s">
        <v>254</v>
      </c>
    </row>
    <row r="121" spans="1:18" ht="15" customHeight="1" x14ac:dyDescent="0.2">
      <c r="A121" s="132"/>
      <c r="B121" s="164" t="s">
        <v>737</v>
      </c>
      <c r="C121" s="162"/>
      <c r="D121" s="162"/>
      <c r="E121" s="162"/>
      <c r="F121" s="162"/>
      <c r="G121" s="162"/>
      <c r="H121" s="162"/>
      <c r="I121" s="162"/>
      <c r="J121" s="162"/>
      <c r="K121" s="162"/>
      <c r="L121" s="162"/>
      <c r="M121" s="162"/>
      <c r="N121" s="152"/>
      <c r="R121" s="40" t="s">
        <v>360</v>
      </c>
    </row>
    <row r="122" spans="1:18" ht="15" customHeight="1" x14ac:dyDescent="0.2">
      <c r="A122" s="132"/>
      <c r="B122" s="152" t="s">
        <v>736</v>
      </c>
      <c r="C122" s="147">
        <f ca="1">IF(ISNUMBER(FIND("ED only",$B$4)),SUMIFS(sum_total_epi_dest,site_level_range_dest,LEFT($B$4,LEN($B$4)-10),date_range_dest,C118,inputdata!$F:$F,"ED"),SUMIFS(sum_total_epi_dest,site_level_range_dest,$B$4,date_range_dest,C118))</f>
        <v>129020</v>
      </c>
      <c r="D122" s="147">
        <f ca="1">IF(ISNUMBER(FIND("ED only",$B$4)),SUMIFS(sum_total_epi_dest,site_level_range_dest,LEFT($B$4,LEN($B$4)-10),date_range_dest,D118,inputdata!$F:$F,"ED"),SUMIFS(sum_total_epi_dest,site_level_range_dest,$B$4,date_range_dest,D118))</f>
        <v>138625</v>
      </c>
      <c r="E122" s="147">
        <f ca="1">IF(ISNUMBER(FIND("ED only",$B$4)),SUMIFS(sum_total_epi_dest,site_level_range_dest,LEFT($B$4,LEN($B$4)-10),date_range_dest,E118,inputdata!$F:$F,"ED"),SUMIFS(sum_total_epi_dest,site_level_range_dest,$B$4,date_range_dest,E118))</f>
        <v>129726</v>
      </c>
      <c r="F122" s="147">
        <f ca="1">IF(ISNUMBER(FIND("ED only",$B$4)),SUMIFS(sum_total_epi_dest,site_level_range_dest,LEFT($B$4,LEN($B$4)-10),date_range_dest,F118,inputdata!$F:$F,"ED"),SUMIFS(sum_total_epi_dest,site_level_range_dest,$B$4,date_range_dest,F118))</f>
        <v>126094</v>
      </c>
      <c r="G122" s="147">
        <f ca="1">IF(ISNUMBER(FIND("ED only",$B$4)),SUMIFS(sum_total_epi_dest,site_level_range_dest,LEFT($B$4,LEN($B$4)-10),date_range_dest,G118,inputdata!$F:$F,"ED"),SUMIFS(sum_total_epi_dest,site_level_range_dest,$B$4,date_range_dest,G118))</f>
        <v>134885</v>
      </c>
      <c r="H122" s="147">
        <f ca="1">IF(ISNUMBER(FIND("ED only",$B$4)),SUMIFS(sum_total_epi_dest,site_level_range_dest,LEFT($B$4,LEN($B$4)-10),date_range_dest,H118,inputdata!$F:$F,"ED"),SUMIFS(sum_total_epi_dest,site_level_range_dest,$B$4,date_range_dest,H118))</f>
        <v>129944</v>
      </c>
      <c r="I122" s="147">
        <f ca="1">IF(ISNUMBER(FIND("ED only",$B$4)),SUMIFS(sum_total_epi_dest,site_level_range_dest,LEFT($B$4,LEN($B$4)-10),date_range_dest,I118,inputdata!$F:$F,"ED"),SUMIFS(sum_total_epi_dest,site_level_range_dest,$B$4,date_range_dest,I118))</f>
        <v>125474</v>
      </c>
      <c r="J122" s="147">
        <f ca="1">IF(ISNUMBER(FIND("ED only",$B$4)),SUMIFS(sum_total_epi_dest,site_level_range_dest,LEFT($B$4,LEN($B$4)-10),date_range_dest,J118,inputdata!$F:$F,"ED"),SUMIFS(sum_total_epi_dest,site_level_range_dest,$B$4,date_range_dest,J118))</f>
        <v>120904</v>
      </c>
      <c r="K122" s="147">
        <f ca="1">IF(ISNUMBER(FIND("ED only",$B$4)),SUMIFS(sum_total_epi_dest,site_level_range_dest,LEFT($B$4,LEN($B$4)-10),date_range_dest,K118,inputdata!$F:$F,"ED"),SUMIFS(sum_total_epi_dest,site_level_range_dest,$B$4,date_range_dest,K118))</f>
        <v>124649</v>
      </c>
      <c r="L122" s="147">
        <f ca="1">IF(ISNUMBER(FIND("ED only",$B$4)),SUMIFS(sum_total_epi_dest,site_level_range_dest,LEFT($B$4,LEN($B$4)-10),date_range_dest,L118,inputdata!$F:$F,"ED"),SUMIFS(sum_total_epi_dest,site_level_range_dest,$B$4,date_range_dest,L118))</f>
        <v>118352</v>
      </c>
      <c r="M122" s="147">
        <f ca="1">IF(ISNUMBER(FIND("ED only",$B$4)),SUMIFS(sum_total_epi_dest,site_level_range_dest,LEFT($B$4,LEN($B$4)-10),date_range_dest,M118,inputdata!$F:$F,"ED"),SUMIFS(sum_total_epi_dest,site_level_range_dest,$B$4,date_range_dest,M118))</f>
        <v>113367</v>
      </c>
      <c r="N122" s="156">
        <f ca="1">IF(ISNUMBER(FIND("ED only",$B$4)),SUMIFS(sum_total_epi_dest,site_level_range_dest,LEFT($B$4,LEN($B$4)-10),date_range_dest,N118,inputdata!$F:$F,"ED"),SUMIFS(sum_total_epi_dest,site_level_range_dest,$B$4,date_range_dest,N118))</f>
        <v>125473</v>
      </c>
      <c r="R122" s="40" t="s">
        <v>361</v>
      </c>
    </row>
    <row r="123" spans="1:18" ht="15" customHeight="1" x14ac:dyDescent="0.2">
      <c r="A123" s="132"/>
      <c r="B123" s="152" t="s">
        <v>738</v>
      </c>
      <c r="C123" s="147">
        <f ca="1">IF(3122=0,"-",IF(ISNUMBER(FIND("ED only",$B$4)),SUMIFS(sum_dest_res,site_level_range_dest,LEFT($B$4,LEN($B$4)-10),date_range_dest,C118,inputdata!$F:$F,"ED"),SUMIFS(sum_dest_res,site_level_range_dest,$B$4,date_range_dest,C118)))</f>
        <v>85467</v>
      </c>
      <c r="D123" s="147">
        <f ca="1">IF(4122=0,"-",IF(ISNUMBER(FIND("ED only",$B$4)),SUMIFS(sum_dest_res,site_level_range_dest,LEFT($B$4,LEN($B$4)-10),date_range_dest,D118,inputdata!$F:$F,"ED"),SUMIFS(sum_dest_res,site_level_range_dest,$B$4,date_range_dest,D118)))</f>
        <v>94997</v>
      </c>
      <c r="E123" s="147">
        <f ca="1">IF(5122=0,"-",IF(ISNUMBER(FIND("ED only",$B$4)),SUMIFS(sum_dest_res,site_level_range_dest,LEFT($B$4,LEN($B$4)-10),date_range_dest,E118,inputdata!$F:$F,"ED"),SUMIFS(sum_dest_res,site_level_range_dest,$B$4,date_range_dest,E118)))</f>
        <v>91590</v>
      </c>
      <c r="F123" s="147">
        <f ca="1">IF(6122=0,"-",IF(ISNUMBER(FIND("ED only",$B$4)),SUMIFS(sum_dest_res,site_level_range_dest,LEFT($B$4,LEN($B$4)-10),date_range_dest,F118,inputdata!$F:$F,"ED"),SUMIFS(sum_dest_res,site_level_range_dest,$B$4,date_range_dest,F118)))</f>
        <v>88390</v>
      </c>
      <c r="G123" s="147">
        <f ca="1">IF(7122=0,"-",IF(ISNUMBER(FIND("ED only",$B$4)),SUMIFS(sum_dest_res,site_level_range_dest,LEFT($B$4,LEN($B$4)-10),date_range_dest,G118,inputdata!$F:$F,"ED"),SUMIFS(sum_dest_res,site_level_range_dest,$B$4,date_range_dest,G118)))</f>
        <v>95945</v>
      </c>
      <c r="H123" s="147">
        <f ca="1">IF(8122=0,"-",IF(ISNUMBER(FIND("ED only",$B$4)),SUMIFS(sum_dest_res,site_level_range_dest,LEFT($B$4,LEN($B$4)-10),date_range_dest,H118,inputdata!$F:$F,"ED"),SUMIFS(sum_dest_res,site_level_range_dest,$B$4,date_range_dest,H118)))</f>
        <v>91442</v>
      </c>
      <c r="I123" s="147">
        <f ca="1">IF(9122=0,"-",IF(ISNUMBER(FIND("ED only",$B$4)),SUMIFS(sum_dest_res,site_level_range_dest,LEFT($B$4,LEN($B$4)-10),date_range_dest,I118,inputdata!$F:$F,"ED"),SUMIFS(sum_dest_res,site_level_range_dest,$B$4,date_range_dest,I118)))</f>
        <v>86719</v>
      </c>
      <c r="J123" s="147">
        <f ca="1">IF(10122=0,"-",IF(ISNUMBER(FIND("ED only",$B$4)),SUMIFS(sum_dest_res,site_level_range_dest,LEFT($B$4,LEN($B$4)-10),date_range_dest,J118,inputdata!$F:$F,"ED"),SUMIFS(sum_dest_res,site_level_range_dest,$B$4,date_range_dest,J118)))</f>
        <v>83801</v>
      </c>
      <c r="K123" s="147">
        <f ca="1">IF(11122=0,"-",IF(ISNUMBER(FIND("ED only",$B$4)),SUMIFS(sum_dest_res,site_level_range_dest,LEFT($B$4,LEN($B$4)-10),date_range_dest,K118,inputdata!$F:$F,"ED"),SUMIFS(sum_dest_res,site_level_range_dest,$B$4,date_range_dest,K118)))</f>
        <v>82737</v>
      </c>
      <c r="L123" s="147">
        <f ca="1">IF(12122=0,"-",IF(ISNUMBER(FIND("ED only",$B$4)),SUMIFS(sum_dest_res,site_level_range_dest,LEFT($B$4,LEN($B$4)-10),date_range_dest,L118,inputdata!$F:$F,"ED"),SUMIFS(sum_dest_res,site_level_range_dest,$B$4,date_range_dest,L118)))</f>
        <v>78837</v>
      </c>
      <c r="M123" s="147">
        <f ca="1">IF(13122=0,"-",IF(ISNUMBER(FIND("ED only",$B$4)),SUMIFS(sum_dest_res,site_level_range_dest,LEFT($B$4,LEN($B$4)-10),date_range_dest,M118,inputdata!$F:$F,"ED"),SUMIFS(sum_dest_res,site_level_range_dest,$B$4,date_range_dest,M118)))</f>
        <v>76127</v>
      </c>
      <c r="N123" s="156">
        <f ca="1">IF(14122=0,"-",IF(ISNUMBER(FIND("ED only",$B$4)),SUMIFS(sum_dest_res,site_level_range_dest,LEFT($B$4,LEN($B$4)-10),date_range_dest,N118,inputdata!$F:$F,"ED"),SUMIFS(sum_dest_res,site_level_range_dest,$B$4,date_range_dest,N118)))</f>
        <v>85855</v>
      </c>
      <c r="R123" s="40" t="s">
        <v>258</v>
      </c>
    </row>
    <row r="124" spans="1:18" ht="15" customHeight="1" x14ac:dyDescent="0.2">
      <c r="A124" s="132"/>
      <c r="B124" s="152" t="s">
        <v>739</v>
      </c>
      <c r="C124" s="147">
        <f ca="1">IF(3122=0,"-",IF(ISNUMBER(FIND("ED only",$B$4)),SUMIFS(sum_dest_adm,site_level_range_dest,LEFT($B$4,LEN($B$4)-10),date_range_dest,C118,inputdata!$F:$F,"ED"),SUMIFS(sum_dest_adm,site_level_range_dest,$B$4,date_range_dest,C118)))</f>
        <v>30748</v>
      </c>
      <c r="D124" s="147">
        <f ca="1">IF(4122=0,"-",IF(ISNUMBER(FIND("ED only",$B$4)),SUMIFS(sum_dest_adm,site_level_range_dest,LEFT($B$4,LEN($B$4)-10),date_range_dest,D118,inputdata!$F:$F,"ED"),SUMIFS(sum_dest_adm,site_level_range_dest,$B$4,date_range_dest,D118)))</f>
        <v>31413</v>
      </c>
      <c r="E124" s="147">
        <f ca="1">IF(5122=0,"-",IF(ISNUMBER(FIND("ED only",$B$4)),SUMIFS(sum_dest_adm,site_level_range_dest,LEFT($B$4,LEN($B$4)-10),date_range_dest,E118,inputdata!$F:$F,"ED"),SUMIFS(sum_dest_adm,site_level_range_dest,$B$4,date_range_dest,E118)))</f>
        <v>31081</v>
      </c>
      <c r="F124" s="147">
        <f ca="1">IF(6122=0,"-",IF(ISNUMBER(FIND("ED only",$B$4)),SUMIFS(sum_dest_adm,site_level_range_dest,LEFT($B$4,LEN($B$4)-10),date_range_dest,F118,inputdata!$F:$F,"ED"),SUMIFS(sum_dest_adm,site_level_range_dest,$B$4,date_range_dest,F118)))</f>
        <v>31154</v>
      </c>
      <c r="G124" s="147">
        <f ca="1">IF(7122=0,"-",IF(ISNUMBER(FIND("ED only",$B$4)),SUMIFS(sum_dest_adm,site_level_range_dest,LEFT($B$4,LEN($B$4)-10),date_range_dest,G118,inputdata!$F:$F,"ED"),SUMIFS(sum_dest_adm,site_level_range_dest,$B$4,date_range_dest,G118)))</f>
        <v>32312</v>
      </c>
      <c r="H124" s="147">
        <f ca="1">IF(8122=0,"-",IF(ISNUMBER(FIND("ED only",$B$4)),SUMIFS(sum_dest_adm,site_level_range_dest,LEFT($B$4,LEN($B$4)-10),date_range_dest,H118,inputdata!$F:$F,"ED"),SUMIFS(sum_dest_adm,site_level_range_dest,$B$4,date_range_dest,H118)))</f>
        <v>31660</v>
      </c>
      <c r="I124" s="147">
        <f ca="1">IF(9122=0,"-",IF(ISNUMBER(FIND("ED only",$B$4)),SUMIFS(sum_dest_adm,site_level_range_dest,LEFT($B$4,LEN($B$4)-10),date_range_dest,I118,inputdata!$F:$F,"ED"),SUMIFS(sum_dest_adm,site_level_range_dest,$B$4,date_range_dest,I118)))</f>
        <v>32460</v>
      </c>
      <c r="J124" s="147">
        <f ca="1">IF(10122=0,"-",IF(ISNUMBER(FIND("ED only",$B$4)),SUMIFS(sum_dest_adm,site_level_range_dest,LEFT($B$4,LEN($B$4)-10),date_range_dest,J118,inputdata!$F:$F,"ED"),SUMIFS(sum_dest_adm,site_level_range_dest,$B$4,date_range_dest,J118)))</f>
        <v>31406</v>
      </c>
      <c r="K124" s="147">
        <f ca="1">IF(11122=0,"-",IF(ISNUMBER(FIND("ED only",$B$4)),SUMIFS(sum_dest_adm,site_level_range_dest,LEFT($B$4,LEN($B$4)-10),date_range_dest,K118,inputdata!$F:$F,"ED"),SUMIFS(sum_dest_adm,site_level_range_dest,$B$4,date_range_dest,K118)))</f>
        <v>34394</v>
      </c>
      <c r="L124" s="147">
        <f ca="1">IF(12122=0,"-",IF(ISNUMBER(FIND("ED only",$B$4)),SUMIFS(sum_dest_adm,site_level_range_dest,LEFT($B$4,LEN($B$4)-10),date_range_dest,L118,inputdata!$F:$F,"ED"),SUMIFS(sum_dest_adm,site_level_range_dest,$B$4,date_range_dest,L118)))</f>
        <v>32679</v>
      </c>
      <c r="M124" s="147">
        <f ca="1">IF(13122=0,"-",IF(ISNUMBER(FIND("ED only",$B$4)),SUMIFS(sum_dest_adm,site_level_range_dest,LEFT($B$4,LEN($B$4)-10),date_range_dest,M118,inputdata!$F:$F,"ED"),SUMIFS(sum_dest_adm,site_level_range_dest,$B$4,date_range_dest,M118)))</f>
        <v>29672</v>
      </c>
      <c r="N124" s="156">
        <f ca="1">IF(14122=0,"-",IF(ISNUMBER(FIND("ED only",$B$4)),SUMIFS(sum_dest_adm,site_level_range_dest,LEFT($B$4,LEN($B$4)-10),date_range_dest,N118,inputdata!$F:$F,"ED"),SUMIFS(sum_dest_adm,site_level_range_dest,$B$4,date_range_dest,N118)))</f>
        <v>32498</v>
      </c>
      <c r="R124" s="40" t="s">
        <v>302</v>
      </c>
    </row>
    <row r="125" spans="1:18" ht="15" customHeight="1" x14ac:dyDescent="0.2">
      <c r="A125" s="132"/>
      <c r="B125" s="152" t="s">
        <v>740</v>
      </c>
      <c r="C125" s="147">
        <f ca="1">IF(3122=0,"-",IF(ISNUMBER(FIND("ED only",$B$4)),SUMIFS(sum_dest_tran,site_level_range_dest,LEFT($B$4,LEN($B$4)-10),date_range_dest,C118,inputdata!$F:$F,"ED"),SUMIFS(sum_dest_tran,site_level_range_dest,$B$4,date_range_dest,C118)))</f>
        <v>4122</v>
      </c>
      <c r="D125" s="147">
        <f ca="1">IF(4122=0,"-",IF(ISNUMBER(FIND("ED only",$B$4)),SUMIFS(sum_dest_tran,site_level_range_dest,LEFT($B$4,LEN($B$4)-10),date_range_dest,D118,inputdata!$F:$F,"ED"),SUMIFS(sum_dest_tran,site_level_range_dest,$B$4,date_range_dest,D118)))</f>
        <v>4045</v>
      </c>
      <c r="E125" s="147">
        <f ca="1">IF(5122=0,"-",IF(ISNUMBER(FIND("ED only",$B$4)),SUMIFS(sum_dest_tran,site_level_range_dest,LEFT($B$4,LEN($B$4)-10),date_range_dest,E118,inputdata!$F:$F,"ED"),SUMIFS(sum_dest_tran,site_level_range_dest,$B$4,date_range_dest,E118)))</f>
        <v>3926</v>
      </c>
      <c r="F125" s="147">
        <f ca="1">IF(6122=0,"-",IF(ISNUMBER(FIND("ED only",$B$4)),SUMIFS(sum_dest_tran,site_level_range_dest,LEFT($B$4,LEN($B$4)-10),date_range_dest,F118,inputdata!$F:$F,"ED"),SUMIFS(sum_dest_tran,site_level_range_dest,$B$4,date_range_dest,F118)))</f>
        <v>3841</v>
      </c>
      <c r="G125" s="147">
        <f ca="1">IF(7122=0,"-",IF(ISNUMBER(FIND("ED only",$B$4)),SUMIFS(sum_dest_tran,site_level_range_dest,LEFT($B$4,LEN($B$4)-10),date_range_dest,G118,inputdata!$F:$F,"ED"),SUMIFS(sum_dest_tran,site_level_range_dest,$B$4,date_range_dest,G118)))</f>
        <v>3659</v>
      </c>
      <c r="H125" s="147">
        <f ca="1">IF(8122=0,"-",IF(ISNUMBER(FIND("ED only",$B$4)),SUMIFS(sum_dest_tran,site_level_range_dest,LEFT($B$4,LEN($B$4)-10),date_range_dest,H118,inputdata!$F:$F,"ED"),SUMIFS(sum_dest_tran,site_level_range_dest,$B$4,date_range_dest,H118)))</f>
        <v>4045</v>
      </c>
      <c r="I125" s="147">
        <f ca="1">IF(9122=0,"-",IF(ISNUMBER(FIND("ED only",$B$4)),SUMIFS(sum_dest_tran,site_level_range_dest,LEFT($B$4,LEN($B$4)-10),date_range_dest,I118,inputdata!$F:$F,"ED"),SUMIFS(sum_dest_tran,site_level_range_dest,$B$4,date_range_dest,I118)))</f>
        <v>3590</v>
      </c>
      <c r="J125" s="147">
        <f ca="1">IF(10122=0,"-",IF(ISNUMBER(FIND("ED only",$B$4)),SUMIFS(sum_dest_tran,site_level_range_dest,LEFT($B$4,LEN($B$4)-10),date_range_dest,J118,inputdata!$F:$F,"ED"),SUMIFS(sum_dest_tran,site_level_range_dest,$B$4,date_range_dest,J118)))</f>
        <v>3253</v>
      </c>
      <c r="K125" s="147">
        <f ca="1">IF(11122=0,"-",IF(ISNUMBER(FIND("ED only",$B$4)),SUMIFS(sum_dest_tran,site_level_range_dest,LEFT($B$4,LEN($B$4)-10),date_range_dest,K118,inputdata!$F:$F,"ED"),SUMIFS(sum_dest_tran,site_level_range_dest,$B$4,date_range_dest,K118)))</f>
        <v>3995</v>
      </c>
      <c r="L125" s="147">
        <f ca="1">IF(12122=0,"-",IF(ISNUMBER(FIND("ED only",$B$4)),SUMIFS(sum_dest_tran,site_level_range_dest,LEFT($B$4,LEN($B$4)-10),date_range_dest,L118,inputdata!$F:$F,"ED"),SUMIFS(sum_dest_tran,site_level_range_dest,$B$4,date_range_dest,L118)))</f>
        <v>3949</v>
      </c>
      <c r="M125" s="147">
        <f ca="1">IF(13122=0,"-",IF(ISNUMBER(FIND("ED only",$B$4)),SUMIFS(sum_dest_tran,site_level_range_dest,LEFT($B$4,LEN($B$4)-10),date_range_dest,M118,inputdata!$F:$F,"ED"),SUMIFS(sum_dest_tran,site_level_range_dest,$B$4,date_range_dest,M118)))</f>
        <v>3499</v>
      </c>
      <c r="N125" s="156">
        <f ca="1">IF(14122=0,"-",IF(ISNUMBER(FIND("ED only",$B$4)),SUMIFS(sum_dest_tran,site_level_range_dest,LEFT($B$4,LEN($B$4)-10),date_range_dest,N118,inputdata!$F:$F,"ED"),SUMIFS(sum_dest_tran,site_level_range_dest,$B$4,date_range_dest,N118)))</f>
        <v>3958</v>
      </c>
      <c r="R125" s="40" t="s">
        <v>362</v>
      </c>
    </row>
    <row r="126" spans="1:18" ht="15" customHeight="1" x14ac:dyDescent="0.2">
      <c r="A126" s="132"/>
      <c r="B126" s="152" t="s">
        <v>741</v>
      </c>
      <c r="C126" s="147">
        <f ca="1">IF(3122=0,"-",IF(ISNUMBER(FIND("ED only",$B$4)),SUMIFS(sum_dest_other,site_level_range_dest,LEFT($B$4,LEN($B$4)-10),date_range_dest,C118,inputdata!$F:$F,"ED"),SUMIFS(sum_dest_other,site_level_range_dest,$B$4,date_range_dest,C118)))</f>
        <v>186</v>
      </c>
      <c r="D126" s="147">
        <f ca="1">IF(4122=0,"-",IF(ISNUMBER(FIND("ED only",$B$4)),SUMIFS(sum_dest_other,site_level_range_dest,LEFT($B$4,LEN($B$4)-10),date_range_dest,D118,inputdata!$F:$F,"ED"),SUMIFS(sum_dest_other,site_level_range_dest,$B$4,date_range_dest,D118)))</f>
        <v>222</v>
      </c>
      <c r="E126" s="147">
        <f ca="1">IF(5122=0,"-",IF(ISNUMBER(FIND("ED only",$B$4)),SUMIFS(sum_dest_other,site_level_range_dest,LEFT($B$4,LEN($B$4)-10),date_range_dest,E118,inputdata!$F:$F,"ED"),SUMIFS(sum_dest_other,site_level_range_dest,$B$4,date_range_dest,E118)))</f>
        <v>178</v>
      </c>
      <c r="F126" s="147">
        <f ca="1">IF(6122=0,"-",IF(ISNUMBER(FIND("ED only",$B$4)),SUMIFS(sum_dest_other,site_level_range_dest,LEFT($B$4,LEN($B$4)-10),date_range_dest,F118,inputdata!$F:$F,"ED"),SUMIFS(sum_dest_other,site_level_range_dest,$B$4,date_range_dest,F118)))</f>
        <v>209</v>
      </c>
      <c r="G126" s="147">
        <f ca="1">IF(7122=0,"-",IF(ISNUMBER(FIND("ED only",$B$4)),SUMIFS(sum_dest_other,site_level_range_dest,LEFT($B$4,LEN($B$4)-10),date_range_dest,G118,inputdata!$F:$F,"ED"),SUMIFS(sum_dest_other,site_level_range_dest,$B$4,date_range_dest,G118)))</f>
        <v>213</v>
      </c>
      <c r="H126" s="147">
        <f ca="1">IF(8122=0,"-",IF(ISNUMBER(FIND("ED only",$B$4)),SUMIFS(sum_dest_other,site_level_range_dest,LEFT($B$4,LEN($B$4)-10),date_range_dest,H118,inputdata!$F:$F,"ED"),SUMIFS(sum_dest_other,site_level_range_dest,$B$4,date_range_dest,H118)))</f>
        <v>202</v>
      </c>
      <c r="I126" s="147">
        <f ca="1">IF(9122=0,"-",IF(ISNUMBER(FIND("ED only",$B$4)),SUMIFS(sum_dest_other,site_level_range_dest,LEFT($B$4,LEN($B$4)-10),date_range_dest,I118,inputdata!$F:$F,"ED"),SUMIFS(sum_dest_other,site_level_range_dest,$B$4,date_range_dest,I118)))</f>
        <v>212</v>
      </c>
      <c r="J126" s="147">
        <f ca="1">IF(10122=0,"-",IF(ISNUMBER(FIND("ED only",$B$4)),SUMIFS(sum_dest_other,site_level_range_dest,LEFT($B$4,LEN($B$4)-10),date_range_dest,J118,inputdata!$F:$F,"ED"),SUMIFS(sum_dest_other,site_level_range_dest,$B$4,date_range_dest,J118)))</f>
        <v>163</v>
      </c>
      <c r="K126" s="147">
        <f ca="1">IF(11122=0,"-",IF(ISNUMBER(FIND("ED only",$B$4)),SUMIFS(sum_dest_other,site_level_range_dest,LEFT($B$4,LEN($B$4)-10),date_range_dest,K118,inputdata!$F:$F,"ED"),SUMIFS(sum_dest_other,site_level_range_dest,$B$4,date_range_dest,K118)))</f>
        <v>265</v>
      </c>
      <c r="L126" s="147">
        <f ca="1">IF(12122=0,"-",IF(ISNUMBER(FIND("ED only",$B$4)),SUMIFS(sum_dest_other,site_level_range_dest,LEFT($B$4,LEN($B$4)-10),date_range_dest,L118,inputdata!$F:$F,"ED"),SUMIFS(sum_dest_other,site_level_range_dest,$B$4,date_range_dest,L118)))</f>
        <v>256</v>
      </c>
      <c r="M126" s="147">
        <f ca="1">IF(13122=0,"-",IF(ISNUMBER(FIND("ED only",$B$4)),SUMIFS(sum_dest_other,site_level_range_dest,LEFT($B$4,LEN($B$4)-10),date_range_dest,M118,inputdata!$F:$F,"ED"),SUMIFS(sum_dest_other,site_level_range_dest,$B$4,date_range_dest,M118)))</f>
        <v>170</v>
      </c>
      <c r="N126" s="156">
        <f ca="1">IF(14122=0,"-",IF(ISNUMBER(FIND("ED only",$B$4)),SUMIFS(sum_dest_other,site_level_range_dest,LEFT($B$4,LEN($B$4)-10),date_range_dest,N118,inputdata!$F:$F,"ED"),SUMIFS(sum_dest_other,site_level_range_dest,$B$4,date_range_dest,N118)))</f>
        <v>225</v>
      </c>
      <c r="R126" s="40" t="s">
        <v>259</v>
      </c>
    </row>
    <row r="127" spans="1:18" ht="15" customHeight="1" x14ac:dyDescent="0.2">
      <c r="A127" s="132"/>
      <c r="B127" s="154" t="s">
        <v>742</v>
      </c>
      <c r="C127" s="150">
        <f ca="1">IF(3122=0,"-",IF(ISNUMBER(FIND("ED only",$B$4)),SUMIFS(sum_dest_unknown,site_level_range_dest,LEFT($B$4,LEN($B$4)-10),date_range_dest,C118,inputdata!$F:$F,"ED"),SUMIFS(sum_dest_unknown,site_level_range_dest,$B$4,date_range_dest,C118)))</f>
        <v>8497</v>
      </c>
      <c r="D127" s="150">
        <f ca="1">IF(4122=0,"-",IF(ISNUMBER(FIND("ED only",$B$4)),SUMIFS(sum_dest_unknown,site_level_range_dest,LEFT($B$4,LEN($B$4)-10),date_range_dest,D118,inputdata!$F:$F,"ED"),SUMIFS(sum_dest_unknown,site_level_range_dest,$B$4,date_range_dest,D118)))</f>
        <v>7948</v>
      </c>
      <c r="E127" s="150">
        <f ca="1">IF(5122=0,"-",IF(ISNUMBER(FIND("ED only",$B$4)),SUMIFS(sum_dest_unknown,site_level_range_dest,LEFT($B$4,LEN($B$4)-10),date_range_dest,E118,inputdata!$F:$F,"ED"),SUMIFS(sum_dest_unknown,site_level_range_dest,$B$4,date_range_dest,E118)))</f>
        <v>2951</v>
      </c>
      <c r="F127" s="150">
        <f ca="1">IF(6122=0,"-",IF(ISNUMBER(FIND("ED only",$B$4)),SUMIFS(sum_dest_unknown,site_level_range_dest,LEFT($B$4,LEN($B$4)-10),date_range_dest,F118,inputdata!$F:$F,"ED"),SUMIFS(sum_dest_unknown,site_level_range_dest,$B$4,date_range_dest,F118)))</f>
        <v>2500</v>
      </c>
      <c r="G127" s="150">
        <f ca="1">IF(7122=0,"-",IF(ISNUMBER(FIND("ED only",$B$4)),SUMIFS(sum_dest_unknown,site_level_range_dest,LEFT($B$4,LEN($B$4)-10),date_range_dest,G118,inputdata!$F:$F,"ED"),SUMIFS(sum_dest_unknown,site_level_range_dest,$B$4,date_range_dest,G118)))</f>
        <v>2756</v>
      </c>
      <c r="H127" s="150">
        <f ca="1">IF(8122=0,"-",IF(ISNUMBER(FIND("ED only",$B$4)),SUMIFS(sum_dest_unknown,site_level_range_dest,LEFT($B$4,LEN($B$4)-10),date_range_dest,H118,inputdata!$F:$F,"ED"),SUMIFS(sum_dest_unknown,site_level_range_dest,$B$4,date_range_dest,H118)))</f>
        <v>2595</v>
      </c>
      <c r="I127" s="150">
        <f ca="1">IF(9122=0,"-",IF(ISNUMBER(FIND("ED only",$B$4)),SUMIFS(sum_dest_unknown,site_level_range_dest,LEFT($B$4,LEN($B$4)-10),date_range_dest,I118,inputdata!$F:$F,"ED"),SUMIFS(sum_dest_unknown,site_level_range_dest,$B$4,date_range_dest,I118)))</f>
        <v>2493</v>
      </c>
      <c r="J127" s="150">
        <f ca="1">IF(10122=0,"-",IF(ISNUMBER(FIND("ED only",$B$4)),SUMIFS(sum_dest_unknown,site_level_range_dest,LEFT($B$4,LEN($B$4)-10),date_range_dest,J118,inputdata!$F:$F,"ED"),SUMIFS(sum_dest_unknown,site_level_range_dest,$B$4,date_range_dest,J118)))</f>
        <v>2281</v>
      </c>
      <c r="K127" s="150">
        <f ca="1">IF(11122=0,"-",IF(ISNUMBER(FIND("ED only",$B$4)),SUMIFS(sum_dest_unknown,site_level_range_dest,LEFT($B$4,LEN($B$4)-10),date_range_dest,K118,inputdata!$F:$F,"ED"),SUMIFS(sum_dest_unknown,site_level_range_dest,$B$4,date_range_dest,K118)))</f>
        <v>3258</v>
      </c>
      <c r="L127" s="150">
        <f ca="1">IF(12122=0,"-",IF(ISNUMBER(FIND("ED only",$B$4)),SUMIFS(sum_dest_unknown,site_level_range_dest,LEFT($B$4,LEN($B$4)-10),date_range_dest,L118,inputdata!$F:$F,"ED"),SUMIFS(sum_dest_unknown,site_level_range_dest,$B$4,date_range_dest,L118)))</f>
        <v>2631</v>
      </c>
      <c r="M127" s="150">
        <f ca="1">IF(13122=0,"-",IF(ISNUMBER(FIND("ED only",$B$4)),SUMIFS(sum_dest_unknown,site_level_range_dest,LEFT($B$4,LEN($B$4)-10),date_range_dest,M118,inputdata!$F:$F,"ED"),SUMIFS(sum_dest_unknown,site_level_range_dest,$B$4,date_range_dest,M118)))</f>
        <v>3899</v>
      </c>
      <c r="N127" s="159">
        <f ca="1">IF(14122=0,"-",IF(ISNUMBER(FIND("ED only",$B$4)),SUMIFS(sum_dest_unknown,site_level_range_dest,LEFT($B$4,LEN($B$4)-10),date_range_dest,N118,inputdata!$F:$F,"ED"),SUMIFS(sum_dest_unknown,site_level_range_dest,$B$4,date_range_dest,N118)))</f>
        <v>2937</v>
      </c>
      <c r="R127" s="40" t="s">
        <v>260</v>
      </c>
    </row>
    <row r="128" spans="1:18" ht="14.25" x14ac:dyDescent="0.2">
      <c r="B128" s="127"/>
      <c r="C128" s="127"/>
      <c r="D128" s="127"/>
      <c r="E128" s="127"/>
      <c r="F128" s="127"/>
      <c r="G128" s="127"/>
      <c r="H128" s="127"/>
      <c r="I128" s="127"/>
      <c r="J128" s="127"/>
      <c r="K128" s="127"/>
      <c r="L128" s="127"/>
      <c r="M128" s="127"/>
      <c r="N128" s="127"/>
      <c r="R128" s="40" t="s">
        <v>80</v>
      </c>
    </row>
    <row r="129" spans="1:18" ht="15" customHeight="1" x14ac:dyDescent="0.25">
      <c r="A129" s="132"/>
      <c r="B129" s="153" t="str">
        <f>IF(ISNUMBER(FIND("ED only",$B$4)),"2011/2012 (ED Only)","2011/2012")</f>
        <v>2011/2012</v>
      </c>
      <c r="C129" s="149">
        <v>40663</v>
      </c>
      <c r="D129" s="149">
        <v>40694</v>
      </c>
      <c r="E129" s="149">
        <v>40724</v>
      </c>
      <c r="F129" s="149">
        <v>40755</v>
      </c>
      <c r="G129" s="149">
        <v>40786</v>
      </c>
      <c r="H129" s="149">
        <v>40816</v>
      </c>
      <c r="I129" s="149">
        <v>40847</v>
      </c>
      <c r="J129" s="149">
        <v>40877</v>
      </c>
      <c r="K129" s="149">
        <v>40908</v>
      </c>
      <c r="L129" s="149">
        <v>40939</v>
      </c>
      <c r="M129" s="149">
        <v>40968</v>
      </c>
      <c r="N129" s="158">
        <v>40999</v>
      </c>
      <c r="R129" s="40" t="s">
        <v>363</v>
      </c>
    </row>
    <row r="130" spans="1:18" ht="15" customHeight="1" x14ac:dyDescent="0.2">
      <c r="A130" s="132"/>
      <c r="B130" s="164" t="s">
        <v>735</v>
      </c>
      <c r="C130" s="162"/>
      <c r="D130" s="162"/>
      <c r="E130" s="162"/>
      <c r="F130" s="162"/>
      <c r="G130" s="162"/>
      <c r="H130" s="162"/>
      <c r="I130" s="162"/>
      <c r="J130" s="162"/>
      <c r="K130" s="162"/>
      <c r="L130" s="162"/>
      <c r="M130" s="162"/>
      <c r="N130" s="152"/>
      <c r="R130" s="40" t="s">
        <v>77</v>
      </c>
    </row>
    <row r="131" spans="1:18" ht="15" customHeight="1" x14ac:dyDescent="0.2">
      <c r="A131" s="132"/>
      <c r="B131" s="154" t="s">
        <v>736</v>
      </c>
      <c r="C131" s="150">
        <f ca="1">IF(ISNUMBER(FIND("ED only",$B$4)),SUMIFS(sum_range_dest,site_level_range_dest,LEFT($B$4,LEN($B$4)-10),date_range_dest,C129,inputdata!$F:$F,"ED"),SUMIFS(sum_range_dest,site_level_range_dest,$B$4,date_range_dest,C129))</f>
        <v>139320</v>
      </c>
      <c r="D131" s="150">
        <f ca="1">IF(ISNUMBER(FIND("ED only",$B$4)),SUMIFS(sum_range_dest,site_level_range_dest,LEFT($B$4,LEN($B$4)-10),date_range_dest,D129,inputdata!$F:$F,"ED"),SUMIFS(sum_range_dest,site_level_range_dest,$B$4,date_range_dest,D129))</f>
        <v>143310</v>
      </c>
      <c r="E131" s="150">
        <f ca="1">IF(ISNUMBER(FIND("ED only",$B$4)),SUMIFS(sum_range_dest,site_level_range_dest,LEFT($B$4,LEN($B$4)-10),date_range_dest,E129,inputdata!$F:$F,"ED"),SUMIFS(sum_range_dest,site_level_range_dest,$B$4,date_range_dest,E129))</f>
        <v>137053</v>
      </c>
      <c r="F131" s="150">
        <f ca="1">IF(ISNUMBER(FIND("ED only",$B$4)),SUMIFS(sum_range_dest,site_level_range_dest,LEFT($B$4,LEN($B$4)-10),date_range_dest,F129,inputdata!$F:$F,"ED"),SUMIFS(sum_range_dest,site_level_range_dest,$B$4,date_range_dest,F129))</f>
        <v>140899</v>
      </c>
      <c r="G131" s="150">
        <f ca="1">IF(ISNUMBER(FIND("ED only",$B$4)),SUMIFS(sum_range_dest,site_level_range_dest,LEFT($B$4,LEN($B$4)-10),date_range_dest,G129,inputdata!$F:$F,"ED"),SUMIFS(sum_range_dest,site_level_range_dest,$B$4,date_range_dest,G129))</f>
        <v>140077</v>
      </c>
      <c r="H131" s="150">
        <f ca="1">IF(ISNUMBER(FIND("ED only",$B$4)),SUMIFS(sum_range_dest,site_level_range_dest,LEFT($B$4,LEN($B$4)-10),date_range_dest,H129,inputdata!$F:$F,"ED"),SUMIFS(sum_range_dest,site_level_range_dest,$B$4,date_range_dest,H129))</f>
        <v>138561</v>
      </c>
      <c r="I131" s="150">
        <f ca="1">IF(ISNUMBER(FIND("ED only",$B$4)),SUMIFS(sum_range_dest,site_level_range_dest,LEFT($B$4,LEN($B$4)-10),date_range_dest,I129,inputdata!$F:$F,"ED"),SUMIFS(sum_range_dest,site_level_range_dest,$B$4,date_range_dest,I129))</f>
        <v>134329</v>
      </c>
      <c r="J131" s="150">
        <f ca="1">IF(ISNUMBER(FIND("ED only",$B$4)),SUMIFS(sum_range_dest,site_level_range_dest,LEFT($B$4,LEN($B$4)-10),date_range_dest,J129,inputdata!$F:$F,"ED"),SUMIFS(sum_range_dest,site_level_range_dest,$B$4,date_range_dest,J129))</f>
        <v>127389</v>
      </c>
      <c r="K131" s="150">
        <f ca="1">IF(ISNUMBER(FIND("ED only",$B$4)),SUMIFS(sum_range_dest,site_level_range_dest,LEFT($B$4,LEN($B$4)-10),date_range_dest,K129,inputdata!$F:$F,"ED"),SUMIFS(sum_range_dest,site_level_range_dest,$B$4,date_range_dest,K129))</f>
        <v>129251</v>
      </c>
      <c r="L131" s="150">
        <f ca="1">IF(ISNUMBER(FIND("ED only",$B$4)),SUMIFS(sum_range_dest,site_level_range_dest,LEFT($B$4,LEN($B$4)-10),date_range_dest,L129,inputdata!$F:$F,"ED"),SUMIFS(sum_range_dest,site_level_range_dest,$B$4,date_range_dest,L129))</f>
        <v>129030</v>
      </c>
      <c r="M131" s="150">
        <f ca="1">IF(ISNUMBER(FIND("ED only",$B$4)),SUMIFS(sum_range_dest,site_level_range_dest,LEFT($B$4,LEN($B$4)-10),date_range_dest,M129,inputdata!$F:$F,"ED"),SUMIFS(sum_range_dest,site_level_range_dest,$B$4,date_range_dest,M129))</f>
        <v>127012</v>
      </c>
      <c r="N131" s="159">
        <f ca="1">IF(ISNUMBER(FIND("ED only",$B$4)),SUMIFS(sum_range_dest,site_level_range_dest,LEFT($B$4,LEN($B$4)-10),date_range_dest,N129,inputdata!$F:$F,"ED"),SUMIFS(sum_range_dest,site_level_range_dest,$B$4,date_range_dest,N129))</f>
        <v>147675</v>
      </c>
      <c r="R131" s="40" t="s">
        <v>79</v>
      </c>
    </row>
    <row r="132" spans="1:18" ht="15" customHeight="1" x14ac:dyDescent="0.2">
      <c r="A132" s="132"/>
      <c r="B132" s="164" t="s">
        <v>737</v>
      </c>
      <c r="C132" s="162"/>
      <c r="D132" s="162"/>
      <c r="E132" s="162"/>
      <c r="F132" s="162"/>
      <c r="G132" s="162"/>
      <c r="H132" s="162"/>
      <c r="I132" s="162"/>
      <c r="J132" s="162"/>
      <c r="K132" s="162"/>
      <c r="L132" s="162"/>
      <c r="M132" s="162"/>
      <c r="N132" s="152"/>
      <c r="R132" s="40" t="s">
        <v>364</v>
      </c>
    </row>
    <row r="133" spans="1:18" ht="15" customHeight="1" x14ac:dyDescent="0.2">
      <c r="A133" s="132"/>
      <c r="B133" s="152" t="s">
        <v>736</v>
      </c>
      <c r="C133" s="147">
        <f ca="1">IF(ISNUMBER(FIND("ED only",$B$4)),SUMIFS(sum_total_epi_dest,site_level_range_dest,LEFT($B$4,LEN($B$4)-10),date_range_dest,C129,inputdata!$F:$F,"ED"),SUMIFS(sum_total_epi_dest,site_level_range_dest,$B$4,date_range_dest,C129))</f>
        <v>129509</v>
      </c>
      <c r="D133" s="147">
        <f ca="1">IF(ISNUMBER(FIND("ED only",$B$4)),SUMIFS(sum_total_epi_dest,site_level_range_dest,LEFT($B$4,LEN($B$4)-10),date_range_dest,D129,inputdata!$F:$F,"ED"),SUMIFS(sum_total_epi_dest,site_level_range_dest,$B$4,date_range_dest,D129))</f>
        <v>133613</v>
      </c>
      <c r="E133" s="147">
        <f ca="1">IF(ISNUMBER(FIND("ED only",$B$4)),SUMIFS(sum_total_epi_dest,site_level_range_dest,LEFT($B$4,LEN($B$4)-10),date_range_dest,E129,inputdata!$F:$F,"ED"),SUMIFS(sum_total_epi_dest,site_level_range_dest,$B$4,date_range_dest,E129))</f>
        <v>127759</v>
      </c>
      <c r="F133" s="147">
        <f ca="1">IF(ISNUMBER(FIND("ED only",$B$4)),SUMIFS(sum_total_epi_dest,site_level_range_dest,LEFT($B$4,LEN($B$4)-10),date_range_dest,F129,inputdata!$F:$F,"ED"),SUMIFS(sum_total_epi_dest,site_level_range_dest,$B$4,date_range_dest,F129))</f>
        <v>130290</v>
      </c>
      <c r="G133" s="147">
        <f ca="1">IF(ISNUMBER(FIND("ED only",$B$4)),SUMIFS(sum_total_epi_dest,site_level_range_dest,LEFT($B$4,LEN($B$4)-10),date_range_dest,G129,inputdata!$F:$F,"ED"),SUMIFS(sum_total_epi_dest,site_level_range_dest,$B$4,date_range_dest,G129))</f>
        <v>130117</v>
      </c>
      <c r="H133" s="147">
        <f ca="1">IF(ISNUMBER(FIND("ED only",$B$4)),SUMIFS(sum_total_epi_dest,site_level_range_dest,LEFT($B$4,LEN($B$4)-10),date_range_dest,H129,inputdata!$F:$F,"ED"),SUMIFS(sum_total_epi_dest,site_level_range_dest,$B$4,date_range_dest,H129))</f>
        <v>128413</v>
      </c>
      <c r="I133" s="147">
        <f ca="1">IF(ISNUMBER(FIND("ED only",$B$4)),SUMIFS(sum_total_epi_dest,site_level_range_dest,LEFT($B$4,LEN($B$4)-10),date_range_dest,I129,inputdata!$F:$F,"ED"),SUMIFS(sum_total_epi_dest,site_level_range_dest,$B$4,date_range_dest,I129))</f>
        <v>125805</v>
      </c>
      <c r="J133" s="147">
        <f ca="1">IF(ISNUMBER(FIND("ED only",$B$4)),SUMIFS(sum_total_epi_dest,site_level_range_dest,LEFT($B$4,LEN($B$4)-10),date_range_dest,J129,inputdata!$F:$F,"ED"),SUMIFS(sum_total_epi_dest,site_level_range_dest,$B$4,date_range_dest,J129))</f>
        <v>119365</v>
      </c>
      <c r="K133" s="147">
        <f ca="1">IF(ISNUMBER(FIND("ED only",$B$4)),SUMIFS(sum_total_epi_dest,site_level_range_dest,LEFT($B$4,LEN($B$4)-10),date_range_dest,K129,inputdata!$F:$F,"ED"),SUMIFS(sum_total_epi_dest,site_level_range_dest,$B$4,date_range_dest,K129))</f>
        <v>121105</v>
      </c>
      <c r="L133" s="147">
        <f ca="1">IF(ISNUMBER(FIND("ED only",$B$4)),SUMIFS(sum_total_epi_dest,site_level_range_dest,LEFT($B$4,LEN($B$4)-10),date_range_dest,L129,inputdata!$F:$F,"ED"),SUMIFS(sum_total_epi_dest,site_level_range_dest,$B$4,date_range_dest,L129))</f>
        <v>121379</v>
      </c>
      <c r="M133" s="147">
        <f ca="1">IF(ISNUMBER(FIND("ED only",$B$4)),SUMIFS(sum_total_epi_dest,site_level_range_dest,LEFT($B$4,LEN($B$4)-10),date_range_dest,M129,inputdata!$F:$F,"ED"),SUMIFS(sum_total_epi_dest,site_level_range_dest,$B$4,date_range_dest,M129))</f>
        <v>119293</v>
      </c>
      <c r="N133" s="156">
        <f ca="1">IF(ISNUMBER(FIND("ED only",$B$4)),SUMIFS(sum_total_epi_dest,site_level_range_dest,LEFT($B$4,LEN($B$4)-10),date_range_dest,N129,inputdata!$F:$F,"ED"),SUMIFS(sum_total_epi_dest,site_level_range_dest,$B$4,date_range_dest,N129))</f>
        <v>138362</v>
      </c>
      <c r="R133" s="40" t="s">
        <v>81</v>
      </c>
    </row>
    <row r="134" spans="1:18" ht="15" customHeight="1" x14ac:dyDescent="0.2">
      <c r="A134" s="132"/>
      <c r="B134" s="152" t="s">
        <v>738</v>
      </c>
      <c r="C134" s="147">
        <f ca="1">IF(3133=0,"-",IF(ISNUMBER(FIND("ED only",$B$4)),SUMIFS(sum_dest_res,site_level_range_dest,LEFT($B$4,LEN($B$4)-10),date_range_dest,C129,inputdata!$F:$F,"ED"),SUMIFS(sum_dest_res,site_level_range_dest,$B$4,date_range_dest,C129)))</f>
        <v>83199</v>
      </c>
      <c r="D134" s="147">
        <f ca="1">IF(4133=0,"-",IF(ISNUMBER(FIND("ED only",$B$4)),SUMIFS(sum_dest_res,site_level_range_dest,LEFT($B$4,LEN($B$4)-10),date_range_dest,D129,inputdata!$F:$F,"ED"),SUMIFS(sum_dest_res,site_level_range_dest,$B$4,date_range_dest,D129)))</f>
        <v>87454</v>
      </c>
      <c r="E134" s="147">
        <f ca="1">IF(5133=0,"-",IF(ISNUMBER(FIND("ED only",$B$4)),SUMIFS(sum_dest_res,site_level_range_dest,LEFT($B$4,LEN($B$4)-10),date_range_dest,E129,inputdata!$F:$F,"ED"),SUMIFS(sum_dest_res,site_level_range_dest,$B$4,date_range_dest,E129)))</f>
        <v>82846</v>
      </c>
      <c r="F134" s="147">
        <f ca="1">IF(6133=0,"-",IF(ISNUMBER(FIND("ED only",$B$4)),SUMIFS(sum_dest_res,site_level_range_dest,LEFT($B$4,LEN($B$4)-10),date_range_dest,F129,inputdata!$F:$F,"ED"),SUMIFS(sum_dest_res,site_level_range_dest,$B$4,date_range_dest,F129)))</f>
        <v>83547</v>
      </c>
      <c r="G134" s="147">
        <f ca="1">IF(7133=0,"-",IF(ISNUMBER(FIND("ED only",$B$4)),SUMIFS(sum_dest_res,site_level_range_dest,LEFT($B$4,LEN($B$4)-10),date_range_dest,G129,inputdata!$F:$F,"ED"),SUMIFS(sum_dest_res,site_level_range_dest,$B$4,date_range_dest,G129)))</f>
        <v>80695</v>
      </c>
      <c r="H134" s="147">
        <f ca="1">IF(8133=0,"-",IF(ISNUMBER(FIND("ED only",$B$4)),SUMIFS(sum_dest_res,site_level_range_dest,LEFT($B$4,LEN($B$4)-10),date_range_dest,H129,inputdata!$F:$F,"ED"),SUMIFS(sum_dest_res,site_level_range_dest,$B$4,date_range_dest,H129)))</f>
        <v>82912</v>
      </c>
      <c r="I134" s="147">
        <f ca="1">IF(9133=0,"-",IF(ISNUMBER(FIND("ED only",$B$4)),SUMIFS(sum_dest_res,site_level_range_dest,LEFT($B$4,LEN($B$4)-10),date_range_dest,I129,inputdata!$F:$F,"ED"),SUMIFS(sum_dest_res,site_level_range_dest,$B$4,date_range_dest,I129)))</f>
        <v>79035</v>
      </c>
      <c r="J134" s="147">
        <f ca="1">IF(10133=0,"-",IF(ISNUMBER(FIND("ED only",$B$4)),SUMIFS(sum_dest_res,site_level_range_dest,LEFT($B$4,LEN($B$4)-10),date_range_dest,J129,inputdata!$F:$F,"ED"),SUMIFS(sum_dest_res,site_level_range_dest,$B$4,date_range_dest,J129)))</f>
        <v>77437</v>
      </c>
      <c r="K134" s="147">
        <f ca="1">IF(11133=0,"-",IF(ISNUMBER(FIND("ED only",$B$4)),SUMIFS(sum_dest_res,site_level_range_dest,LEFT($B$4,LEN($B$4)-10),date_range_dest,K129,inputdata!$F:$F,"ED"),SUMIFS(sum_dest_res,site_level_range_dest,$B$4,date_range_dest,K129)))</f>
        <v>76580</v>
      </c>
      <c r="L134" s="147">
        <f ca="1">IF(12133=0,"-",IF(ISNUMBER(FIND("ED only",$B$4)),SUMIFS(sum_dest_res,site_level_range_dest,LEFT($B$4,LEN($B$4)-10),date_range_dest,L129,inputdata!$F:$F,"ED"),SUMIFS(sum_dest_res,site_level_range_dest,$B$4,date_range_dest,L129)))</f>
        <v>77362</v>
      </c>
      <c r="M134" s="147">
        <f ca="1">IF(13133=0,"-",IF(ISNUMBER(FIND("ED only",$B$4)),SUMIFS(sum_dest_res,site_level_range_dest,LEFT($B$4,LEN($B$4)-10),date_range_dest,M129,inputdata!$F:$F,"ED"),SUMIFS(sum_dest_res,site_level_range_dest,$B$4,date_range_dest,M129)))</f>
        <v>77758</v>
      </c>
      <c r="N134" s="156">
        <f ca="1">IF(14133=0,"-",IF(ISNUMBER(FIND("ED only",$B$4)),SUMIFS(sum_dest_res,site_level_range_dest,LEFT($B$4,LEN($B$4)-10),date_range_dest,N129,inputdata!$F:$F,"ED"),SUMIFS(sum_dest_res,site_level_range_dest,$B$4,date_range_dest,N129)))</f>
        <v>93806</v>
      </c>
      <c r="R134" s="40" t="s">
        <v>121</v>
      </c>
    </row>
    <row r="135" spans="1:18" ht="15" customHeight="1" x14ac:dyDescent="0.2">
      <c r="A135" s="132"/>
      <c r="B135" s="152" t="s">
        <v>739</v>
      </c>
      <c r="C135" s="147">
        <f ca="1">IF(3133=0,"-",IF(ISNUMBER(FIND("ED only",$B$4)),SUMIFS(sum_dest_adm,site_level_range_dest,LEFT($B$4,LEN($B$4)-10),date_range_dest,C129,inputdata!$F:$F,"ED"),SUMIFS(sum_dest_adm,site_level_range_dest,$B$4,date_range_dest,C129)))</f>
        <v>28016</v>
      </c>
      <c r="D135" s="147">
        <f ca="1">IF(4133=0,"-",IF(ISNUMBER(FIND("ED only",$B$4)),SUMIFS(sum_dest_adm,site_level_range_dest,LEFT($B$4,LEN($B$4)-10),date_range_dest,D129,inputdata!$F:$F,"ED"),SUMIFS(sum_dest_adm,site_level_range_dest,$B$4,date_range_dest,D129)))</f>
        <v>29229</v>
      </c>
      <c r="E135" s="147">
        <f ca="1">IF(5133=0,"-",IF(ISNUMBER(FIND("ED only",$B$4)),SUMIFS(sum_dest_adm,site_level_range_dest,LEFT($B$4,LEN($B$4)-10),date_range_dest,E129,inputdata!$F:$F,"ED"),SUMIFS(sum_dest_adm,site_level_range_dest,$B$4,date_range_dest,E129)))</f>
        <v>28438</v>
      </c>
      <c r="F135" s="147">
        <f ca="1">IF(6133=0,"-",IF(ISNUMBER(FIND("ED only",$B$4)),SUMIFS(sum_dest_adm,site_level_range_dest,LEFT($B$4,LEN($B$4)-10),date_range_dest,F129,inputdata!$F:$F,"ED"),SUMIFS(sum_dest_adm,site_level_range_dest,$B$4,date_range_dest,F129)))</f>
        <v>28113</v>
      </c>
      <c r="G135" s="147">
        <f ca="1">IF(7133=0,"-",IF(ISNUMBER(FIND("ED only",$B$4)),SUMIFS(sum_dest_adm,site_level_range_dest,LEFT($B$4,LEN($B$4)-10),date_range_dest,G129,inputdata!$F:$F,"ED"),SUMIFS(sum_dest_adm,site_level_range_dest,$B$4,date_range_dest,G129)))</f>
        <v>28644</v>
      </c>
      <c r="H135" s="147">
        <f ca="1">IF(8133=0,"-",IF(ISNUMBER(FIND("ED only",$B$4)),SUMIFS(sum_dest_adm,site_level_range_dest,LEFT($B$4,LEN($B$4)-10),date_range_dest,H129,inputdata!$F:$F,"ED"),SUMIFS(sum_dest_adm,site_level_range_dest,$B$4,date_range_dest,H129)))</f>
        <v>27447</v>
      </c>
      <c r="I135" s="147">
        <f ca="1">IF(9133=0,"-",IF(ISNUMBER(FIND("ED only",$B$4)),SUMIFS(sum_dest_adm,site_level_range_dest,LEFT($B$4,LEN($B$4)-10),date_range_dest,I129,inputdata!$F:$F,"ED"),SUMIFS(sum_dest_adm,site_level_range_dest,$B$4,date_range_dest,I129)))</f>
        <v>29379</v>
      </c>
      <c r="J135" s="147">
        <f ca="1">IF(10133=0,"-",IF(ISNUMBER(FIND("ED only",$B$4)),SUMIFS(sum_dest_adm,site_level_range_dest,LEFT($B$4,LEN($B$4)-10),date_range_dest,J129,inputdata!$F:$F,"ED"),SUMIFS(sum_dest_adm,site_level_range_dest,$B$4,date_range_dest,J129)))</f>
        <v>29415</v>
      </c>
      <c r="K135" s="147">
        <f ca="1">IF(11133=0,"-",IF(ISNUMBER(FIND("ED only",$B$4)),SUMIFS(sum_dest_adm,site_level_range_dest,LEFT($B$4,LEN($B$4)-10),date_range_dest,K129,inputdata!$F:$F,"ED"),SUMIFS(sum_dest_adm,site_level_range_dest,$B$4,date_range_dest,K129)))</f>
        <v>31379</v>
      </c>
      <c r="L135" s="147">
        <f ca="1">IF(12133=0,"-",IF(ISNUMBER(FIND("ED only",$B$4)),SUMIFS(sum_dest_adm,site_level_range_dest,LEFT($B$4,LEN($B$4)-10),date_range_dest,L129,inputdata!$F:$F,"ED"),SUMIFS(sum_dest_adm,site_level_range_dest,$B$4,date_range_dest,L129)))</f>
        <v>31572</v>
      </c>
      <c r="M135" s="147">
        <f ca="1">IF(13133=0,"-",IF(ISNUMBER(FIND("ED only",$B$4)),SUMIFS(sum_dest_adm,site_level_range_dest,LEFT($B$4,LEN($B$4)-10),date_range_dest,M129,inputdata!$F:$F,"ED"),SUMIFS(sum_dest_adm,site_level_range_dest,$B$4,date_range_dest,M129)))</f>
        <v>29142</v>
      </c>
      <c r="N135" s="156">
        <f ca="1">IF(14133=0,"-",IF(ISNUMBER(FIND("ED only",$B$4)),SUMIFS(sum_dest_adm,site_level_range_dest,LEFT($B$4,LEN($B$4)-10),date_range_dest,N129,inputdata!$F:$F,"ED"),SUMIFS(sum_dest_adm,site_level_range_dest,$B$4,date_range_dest,N129)))</f>
        <v>31516</v>
      </c>
      <c r="R135" s="40" t="s">
        <v>118</v>
      </c>
    </row>
    <row r="136" spans="1:18" ht="15" customHeight="1" x14ac:dyDescent="0.2">
      <c r="A136" s="132"/>
      <c r="B136" s="152" t="s">
        <v>740</v>
      </c>
      <c r="C136" s="147">
        <f ca="1">IF(3133=0,"-",IF(ISNUMBER(FIND("ED only",$B$4)),SUMIFS(sum_dest_tran,site_level_range_dest,LEFT($B$4,LEN($B$4)-10),date_range_dest,C129,inputdata!$F:$F,"ED"),SUMIFS(sum_dest_tran,site_level_range_dest,$B$4,date_range_dest,C129)))</f>
        <v>4360</v>
      </c>
      <c r="D136" s="147">
        <f ca="1">IF(4133=0,"-",IF(ISNUMBER(FIND("ED only",$B$4)),SUMIFS(sum_dest_tran,site_level_range_dest,LEFT($B$4,LEN($B$4)-10),date_range_dest,D129,inputdata!$F:$F,"ED"),SUMIFS(sum_dest_tran,site_level_range_dest,$B$4,date_range_dest,D129)))</f>
        <v>4379</v>
      </c>
      <c r="E136" s="147">
        <f ca="1">IF(5133=0,"-",IF(ISNUMBER(FIND("ED only",$B$4)),SUMIFS(sum_dest_tran,site_level_range_dest,LEFT($B$4,LEN($B$4)-10),date_range_dest,E129,inputdata!$F:$F,"ED"),SUMIFS(sum_dest_tran,site_level_range_dest,$B$4,date_range_dest,E129)))</f>
        <v>4363</v>
      </c>
      <c r="F136" s="147">
        <f ca="1">IF(6133=0,"-",IF(ISNUMBER(FIND("ED only",$B$4)),SUMIFS(sum_dest_tran,site_level_range_dest,LEFT($B$4,LEN($B$4)-10),date_range_dest,F129,inputdata!$F:$F,"ED"),SUMIFS(sum_dest_tran,site_level_range_dest,$B$4,date_range_dest,F129)))</f>
        <v>4306</v>
      </c>
      <c r="G136" s="147">
        <f ca="1">IF(7133=0,"-",IF(ISNUMBER(FIND("ED only",$B$4)),SUMIFS(sum_dest_tran,site_level_range_dest,LEFT($B$4,LEN($B$4)-10),date_range_dest,G129,inputdata!$F:$F,"ED"),SUMIFS(sum_dest_tran,site_level_range_dest,$B$4,date_range_dest,G129)))</f>
        <v>4272</v>
      </c>
      <c r="H136" s="147">
        <f ca="1">IF(8133=0,"-",IF(ISNUMBER(FIND("ED only",$B$4)),SUMIFS(sum_dest_tran,site_level_range_dest,LEFT($B$4,LEN($B$4)-10),date_range_dest,H129,inputdata!$F:$F,"ED"),SUMIFS(sum_dest_tran,site_level_range_dest,$B$4,date_range_dest,H129)))</f>
        <v>3741</v>
      </c>
      <c r="I136" s="147">
        <f ca="1">IF(9133=0,"-",IF(ISNUMBER(FIND("ED only",$B$4)),SUMIFS(sum_dest_tran,site_level_range_dest,LEFT($B$4,LEN($B$4)-10),date_range_dest,I129,inputdata!$F:$F,"ED"),SUMIFS(sum_dest_tran,site_level_range_dest,$B$4,date_range_dest,I129)))</f>
        <v>3972</v>
      </c>
      <c r="J136" s="147">
        <f ca="1">IF(10133=0,"-",IF(ISNUMBER(FIND("ED only",$B$4)),SUMIFS(sum_dest_tran,site_level_range_dest,LEFT($B$4,LEN($B$4)-10),date_range_dest,J129,inputdata!$F:$F,"ED"),SUMIFS(sum_dest_tran,site_level_range_dest,$B$4,date_range_dest,J129)))</f>
        <v>3811</v>
      </c>
      <c r="K136" s="147">
        <f ca="1">IF(11133=0,"-",IF(ISNUMBER(FIND("ED only",$B$4)),SUMIFS(sum_dest_tran,site_level_range_dest,LEFT($B$4,LEN($B$4)-10),date_range_dest,K129,inputdata!$F:$F,"ED"),SUMIFS(sum_dest_tran,site_level_range_dest,$B$4,date_range_dest,K129)))</f>
        <v>4335</v>
      </c>
      <c r="L136" s="147">
        <f ca="1">IF(12133=0,"-",IF(ISNUMBER(FIND("ED only",$B$4)),SUMIFS(sum_dest_tran,site_level_range_dest,LEFT($B$4,LEN($B$4)-10),date_range_dest,L129,inputdata!$F:$F,"ED"),SUMIFS(sum_dest_tran,site_level_range_dest,$B$4,date_range_dest,L129)))</f>
        <v>3991</v>
      </c>
      <c r="M136" s="147">
        <f ca="1">IF(13133=0,"-",IF(ISNUMBER(FIND("ED only",$B$4)),SUMIFS(sum_dest_tran,site_level_range_dest,LEFT($B$4,LEN($B$4)-10),date_range_dest,M129,inputdata!$F:$F,"ED"),SUMIFS(sum_dest_tran,site_level_range_dest,$B$4,date_range_dest,M129)))</f>
        <v>3574</v>
      </c>
      <c r="N136" s="156">
        <f ca="1">IF(14133=0,"-",IF(ISNUMBER(FIND("ED only",$B$4)),SUMIFS(sum_dest_tran,site_level_range_dest,LEFT($B$4,LEN($B$4)-10),date_range_dest,N129,inputdata!$F:$F,"ED"),SUMIFS(sum_dest_tran,site_level_range_dest,$B$4,date_range_dest,N129)))</f>
        <v>3974</v>
      </c>
      <c r="R136" s="40" t="s">
        <v>365</v>
      </c>
    </row>
    <row r="137" spans="1:18" ht="15" customHeight="1" x14ac:dyDescent="0.2">
      <c r="A137" s="132"/>
      <c r="B137" s="152" t="s">
        <v>741</v>
      </c>
      <c r="C137" s="147">
        <f ca="1">IF(3133=0,"-",IF(ISNUMBER(FIND("ED only",$B$4)),SUMIFS(sum_dest_other,site_level_range_dest,LEFT($B$4,LEN($B$4)-10),date_range_dest,C129,inputdata!$F:$F,"ED"),SUMIFS(sum_dest_other,site_level_range_dest,$B$4,date_range_dest,C129)))</f>
        <v>172</v>
      </c>
      <c r="D137" s="147">
        <f ca="1">IF(4133=0,"-",IF(ISNUMBER(FIND("ED only",$B$4)),SUMIFS(sum_dest_other,site_level_range_dest,LEFT($B$4,LEN($B$4)-10),date_range_dest,D129,inputdata!$F:$F,"ED"),SUMIFS(sum_dest_other,site_level_range_dest,$B$4,date_range_dest,D129)))</f>
        <v>150</v>
      </c>
      <c r="E137" s="147">
        <f ca="1">IF(5133=0,"-",IF(ISNUMBER(FIND("ED only",$B$4)),SUMIFS(sum_dest_other,site_level_range_dest,LEFT($B$4,LEN($B$4)-10),date_range_dest,E129,inputdata!$F:$F,"ED"),SUMIFS(sum_dest_other,site_level_range_dest,$B$4,date_range_dest,E129)))</f>
        <v>174</v>
      </c>
      <c r="F137" s="147">
        <f ca="1">IF(6133=0,"-",IF(ISNUMBER(FIND("ED only",$B$4)),SUMIFS(sum_dest_other,site_level_range_dest,LEFT($B$4,LEN($B$4)-10),date_range_dest,F129,inputdata!$F:$F,"ED"),SUMIFS(sum_dest_other,site_level_range_dest,$B$4,date_range_dest,F129)))</f>
        <v>156</v>
      </c>
      <c r="G137" s="147">
        <f ca="1">IF(7133=0,"-",IF(ISNUMBER(FIND("ED only",$B$4)),SUMIFS(sum_dest_other,site_level_range_dest,LEFT($B$4,LEN($B$4)-10),date_range_dest,G129,inputdata!$F:$F,"ED"),SUMIFS(sum_dest_other,site_level_range_dest,$B$4,date_range_dest,G129)))</f>
        <v>153</v>
      </c>
      <c r="H137" s="147">
        <f ca="1">IF(8133=0,"-",IF(ISNUMBER(FIND("ED only",$B$4)),SUMIFS(sum_dest_other,site_level_range_dest,LEFT($B$4,LEN($B$4)-10),date_range_dest,H129,inputdata!$F:$F,"ED"),SUMIFS(sum_dest_other,site_level_range_dest,$B$4,date_range_dest,H129)))</f>
        <v>152</v>
      </c>
      <c r="I137" s="147">
        <f ca="1">IF(9133=0,"-",IF(ISNUMBER(FIND("ED only",$B$4)),SUMIFS(sum_dest_other,site_level_range_dest,LEFT($B$4,LEN($B$4)-10),date_range_dest,I129,inputdata!$F:$F,"ED"),SUMIFS(sum_dest_other,site_level_range_dest,$B$4,date_range_dest,I129)))</f>
        <v>179</v>
      </c>
      <c r="J137" s="147">
        <f ca="1">IF(10133=0,"-",IF(ISNUMBER(FIND("ED only",$B$4)),SUMIFS(sum_dest_other,site_level_range_dest,LEFT($B$4,LEN($B$4)-10),date_range_dest,J129,inputdata!$F:$F,"ED"),SUMIFS(sum_dest_other,site_level_range_dest,$B$4,date_range_dest,J129)))</f>
        <v>218</v>
      </c>
      <c r="K137" s="147">
        <f ca="1">IF(11133=0,"-",IF(ISNUMBER(FIND("ED only",$B$4)),SUMIFS(sum_dest_other,site_level_range_dest,LEFT($B$4,LEN($B$4)-10),date_range_dest,K129,inputdata!$F:$F,"ED"),SUMIFS(sum_dest_other,site_level_range_dest,$B$4,date_range_dest,K129)))</f>
        <v>197</v>
      </c>
      <c r="L137" s="147">
        <f ca="1">IF(12133=0,"-",IF(ISNUMBER(FIND("ED only",$B$4)),SUMIFS(sum_dest_other,site_level_range_dest,LEFT($B$4,LEN($B$4)-10),date_range_dest,L129,inputdata!$F:$F,"ED"),SUMIFS(sum_dest_other,site_level_range_dest,$B$4,date_range_dest,L129)))</f>
        <v>243</v>
      </c>
      <c r="M137" s="147">
        <f ca="1">IF(13133=0,"-",IF(ISNUMBER(FIND("ED only",$B$4)),SUMIFS(sum_dest_other,site_level_range_dest,LEFT($B$4,LEN($B$4)-10),date_range_dest,M129,inputdata!$F:$F,"ED"),SUMIFS(sum_dest_other,site_level_range_dest,$B$4,date_range_dest,M129)))</f>
        <v>184</v>
      </c>
      <c r="N137" s="156">
        <f ca="1">IF(14133=0,"-",IF(ISNUMBER(FIND("ED only",$B$4)),SUMIFS(sum_dest_other,site_level_range_dest,LEFT($B$4,LEN($B$4)-10),date_range_dest,N129,inputdata!$F:$F,"ED"),SUMIFS(sum_dest_other,site_level_range_dest,$B$4,date_range_dest,N129)))</f>
        <v>228</v>
      </c>
      <c r="R137" s="40" t="s">
        <v>120</v>
      </c>
    </row>
    <row r="138" spans="1:18" ht="15" customHeight="1" x14ac:dyDescent="0.2">
      <c r="A138" s="132"/>
      <c r="B138" s="154" t="s">
        <v>742</v>
      </c>
      <c r="C138" s="150">
        <f ca="1">IF(3133=0,"-",IF(ISNUMBER(FIND("ED only",$B$4)),SUMIFS(sum_dest_unknown,site_level_range_dest,LEFT($B$4,LEN($B$4)-10),date_range_dest,C129,inputdata!$F:$F,"ED"),SUMIFS(sum_dest_unknown,site_level_range_dest,$B$4,date_range_dest,C129)))</f>
        <v>13762</v>
      </c>
      <c r="D138" s="150">
        <f ca="1">IF(4133=0,"-",IF(ISNUMBER(FIND("ED only",$B$4)),SUMIFS(sum_dest_unknown,site_level_range_dest,LEFT($B$4,LEN($B$4)-10),date_range_dest,D129,inputdata!$F:$F,"ED"),SUMIFS(sum_dest_unknown,site_level_range_dest,$B$4,date_range_dest,D129)))</f>
        <v>12401</v>
      </c>
      <c r="E138" s="150">
        <f ca="1">IF(5133=0,"-",IF(ISNUMBER(FIND("ED only",$B$4)),SUMIFS(sum_dest_unknown,site_level_range_dest,LEFT($B$4,LEN($B$4)-10),date_range_dest,E129,inputdata!$F:$F,"ED"),SUMIFS(sum_dest_unknown,site_level_range_dest,$B$4,date_range_dest,E129)))</f>
        <v>11938</v>
      </c>
      <c r="F138" s="150">
        <f ca="1">IF(6133=0,"-",IF(ISNUMBER(FIND("ED only",$B$4)),SUMIFS(sum_dest_unknown,site_level_range_dest,LEFT($B$4,LEN($B$4)-10),date_range_dest,F129,inputdata!$F:$F,"ED"),SUMIFS(sum_dest_unknown,site_level_range_dest,$B$4,date_range_dest,F129)))</f>
        <v>14168</v>
      </c>
      <c r="G138" s="150">
        <f ca="1">IF(7133=0,"-",IF(ISNUMBER(FIND("ED only",$B$4)),SUMIFS(sum_dest_unknown,site_level_range_dest,LEFT($B$4,LEN($B$4)-10),date_range_dest,G129,inputdata!$F:$F,"ED"),SUMIFS(sum_dest_unknown,site_level_range_dest,$B$4,date_range_dest,G129)))</f>
        <v>16353</v>
      </c>
      <c r="H138" s="150">
        <f ca="1">IF(8133=0,"-",IF(ISNUMBER(FIND("ED only",$B$4)),SUMIFS(sum_dest_unknown,site_level_range_dest,LEFT($B$4,LEN($B$4)-10),date_range_dest,H129,inputdata!$F:$F,"ED"),SUMIFS(sum_dest_unknown,site_level_range_dest,$B$4,date_range_dest,H129)))</f>
        <v>14161</v>
      </c>
      <c r="I138" s="150">
        <f ca="1">IF(9133=0,"-",IF(ISNUMBER(FIND("ED only",$B$4)),SUMIFS(sum_dest_unknown,site_level_range_dest,LEFT($B$4,LEN($B$4)-10),date_range_dest,I129,inputdata!$F:$F,"ED"),SUMIFS(sum_dest_unknown,site_level_range_dest,$B$4,date_range_dest,I129)))</f>
        <v>13240</v>
      </c>
      <c r="J138" s="150">
        <f ca="1">IF(10133=0,"-",IF(ISNUMBER(FIND("ED only",$B$4)),SUMIFS(sum_dest_unknown,site_level_range_dest,LEFT($B$4,LEN($B$4)-10),date_range_dest,J129,inputdata!$F:$F,"ED"),SUMIFS(sum_dest_unknown,site_level_range_dest,$B$4,date_range_dest,J129)))</f>
        <v>8484</v>
      </c>
      <c r="K138" s="150">
        <f ca="1">IF(11133=0,"-",IF(ISNUMBER(FIND("ED only",$B$4)),SUMIFS(sum_dest_unknown,site_level_range_dest,LEFT($B$4,LEN($B$4)-10),date_range_dest,K129,inputdata!$F:$F,"ED"),SUMIFS(sum_dest_unknown,site_level_range_dest,$B$4,date_range_dest,K129)))</f>
        <v>8614</v>
      </c>
      <c r="L138" s="150">
        <f ca="1">IF(12133=0,"-",IF(ISNUMBER(FIND("ED only",$B$4)),SUMIFS(sum_dest_unknown,site_level_range_dest,LEFT($B$4,LEN($B$4)-10),date_range_dest,L129,inputdata!$F:$F,"ED"),SUMIFS(sum_dest_unknown,site_level_range_dest,$B$4,date_range_dest,L129)))</f>
        <v>8211</v>
      </c>
      <c r="M138" s="150">
        <f ca="1">IF(13133=0,"-",IF(ISNUMBER(FIND("ED only",$B$4)),SUMIFS(sum_dest_unknown,site_level_range_dest,LEFT($B$4,LEN($B$4)-10),date_range_dest,M129,inputdata!$F:$F,"ED"),SUMIFS(sum_dest_unknown,site_level_range_dest,$B$4,date_range_dest,M129)))</f>
        <v>8635</v>
      </c>
      <c r="N138" s="159">
        <f ca="1">IF(14133=0,"-",IF(ISNUMBER(FIND("ED only",$B$4)),SUMIFS(sum_dest_unknown,site_level_range_dest,LEFT($B$4,LEN($B$4)-10),date_range_dest,N129,inputdata!$F:$F,"ED"),SUMIFS(sum_dest_unknown,site_level_range_dest,$B$4,date_range_dest,N129)))</f>
        <v>8838</v>
      </c>
      <c r="R138" s="40" t="s">
        <v>366</v>
      </c>
    </row>
    <row r="139" spans="1:18" ht="14.25" x14ac:dyDescent="0.2">
      <c r="R139" s="40" t="s">
        <v>367</v>
      </c>
    </row>
    <row r="140" spans="1:18" ht="14.25" x14ac:dyDescent="0.2">
      <c r="R140" s="40" t="s">
        <v>368</v>
      </c>
    </row>
    <row r="141" spans="1:18" ht="14.25" x14ac:dyDescent="0.2">
      <c r="R141" s="40" t="s">
        <v>261</v>
      </c>
    </row>
    <row r="142" spans="1:18" ht="14.25" x14ac:dyDescent="0.2">
      <c r="R142" s="40" t="s">
        <v>85</v>
      </c>
    </row>
  </sheetData>
  <mergeCells count="4">
    <mergeCell ref="B5:L5"/>
    <mergeCell ref="E3:K4"/>
    <mergeCell ref="K2:N2"/>
    <mergeCell ref="B3:D3"/>
  </mergeCells>
  <dataValidations count="1">
    <dataValidation type="list" allowBlank="1" showInputMessage="1" showErrorMessage="1" sqref="B4" xr:uid="{00000000-0002-0000-0400-000000000000}">
      <formula1>$R$4:$R$141</formula1>
    </dataValidation>
  </dataValidations>
  <hyperlinks>
    <hyperlink ref="K2" location="'Contents&amp;Notes'!A1" display="Return to Contents &amp; Notes" xr:uid="{00000000-0004-0000-0400-000000000000}"/>
  </hyperlinks>
  <pageMargins left="0.70866141732283472" right="0.70866141732283472" top="0.74803149606299213" bottom="0.74803149606299213" header="0.31496062992125984" footer="0.31496062992125984"/>
  <pageSetup scale="7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6269"/>
  <sheetViews>
    <sheetView showGridLines="0" zoomScaleNormal="100" workbookViewId="0">
      <pane ySplit="1" topLeftCell="A16256" activePane="bottomLeft" state="frozen"/>
      <selection pane="bottomLeft"/>
    </sheetView>
  </sheetViews>
  <sheetFormatPr defaultColWidth="11.42578125" defaultRowHeight="12.75" x14ac:dyDescent="0.2"/>
  <cols>
    <col min="1" max="1" width="17.85546875" customWidth="1"/>
    <col min="2" max="2" width="16" customWidth="1"/>
    <col min="3" max="3" width="30.7109375" customWidth="1"/>
    <col min="4" max="4" width="9.140625" customWidth="1"/>
    <col min="5" max="5" width="62.140625" customWidth="1"/>
    <col min="6" max="6" width="12.28515625" customWidth="1"/>
    <col min="7" max="7" width="22.7109375" customWidth="1"/>
    <col min="8" max="8" width="31" customWidth="1"/>
    <col min="9" max="9" width="31.28515625" customWidth="1"/>
    <col min="16" max="16" width="27.140625" customWidth="1"/>
    <col min="17" max="17" width="29.85546875" customWidth="1"/>
  </cols>
  <sheetData>
    <row r="1" spans="1:17" ht="15" customHeight="1" x14ac:dyDescent="0.2">
      <c r="A1" s="121" t="s">
        <v>389</v>
      </c>
      <c r="B1" s="60" t="s">
        <v>390</v>
      </c>
      <c r="C1" s="60" t="s">
        <v>391</v>
      </c>
      <c r="D1" s="60" t="s">
        <v>392</v>
      </c>
      <c r="E1" s="60" t="s">
        <v>393</v>
      </c>
      <c r="F1" s="60" t="s">
        <v>394</v>
      </c>
      <c r="G1" s="60" t="s">
        <v>395</v>
      </c>
      <c r="H1" s="60" t="s">
        <v>396</v>
      </c>
      <c r="I1" s="60" t="s">
        <v>397</v>
      </c>
      <c r="J1" s="60" t="s">
        <v>398</v>
      </c>
      <c r="K1" s="60" t="s">
        <v>399</v>
      </c>
      <c r="L1" s="60" t="s">
        <v>400</v>
      </c>
      <c r="M1" s="60" t="s">
        <v>401</v>
      </c>
      <c r="N1" s="60" t="s">
        <v>402</v>
      </c>
      <c r="O1" s="60" t="s">
        <v>403</v>
      </c>
      <c r="P1" s="60" t="s">
        <v>404</v>
      </c>
      <c r="Q1" s="60" t="s">
        <v>405</v>
      </c>
    </row>
    <row r="2" spans="1:17" ht="14.45" customHeight="1" x14ac:dyDescent="0.2">
      <c r="A2" s="121">
        <v>39294</v>
      </c>
      <c r="B2" t="s">
        <v>406</v>
      </c>
      <c r="C2" t="s">
        <v>407</v>
      </c>
      <c r="D2" t="s">
        <v>408</v>
      </c>
      <c r="E2" t="s">
        <v>409</v>
      </c>
      <c r="F2" t="s">
        <v>410</v>
      </c>
      <c r="G2">
        <v>252</v>
      </c>
      <c r="I2">
        <v>252</v>
      </c>
    </row>
    <row r="3" spans="1:17" ht="14.45" customHeight="1" x14ac:dyDescent="0.2">
      <c r="A3" s="121">
        <v>39294</v>
      </c>
      <c r="B3" t="s">
        <v>406</v>
      </c>
      <c r="C3" t="s">
        <v>407</v>
      </c>
      <c r="D3" t="s">
        <v>411</v>
      </c>
      <c r="E3" t="s">
        <v>412</v>
      </c>
      <c r="F3" t="s">
        <v>413</v>
      </c>
      <c r="G3">
        <v>5414</v>
      </c>
      <c r="H3">
        <v>5414</v>
      </c>
      <c r="I3">
        <v>5290</v>
      </c>
      <c r="J3">
        <v>5290</v>
      </c>
      <c r="K3">
        <v>1985</v>
      </c>
      <c r="L3">
        <v>11</v>
      </c>
      <c r="M3">
        <v>3374</v>
      </c>
      <c r="N3">
        <v>44</v>
      </c>
      <c r="O3">
        <v>0</v>
      </c>
      <c r="P3">
        <v>26</v>
      </c>
      <c r="Q3">
        <v>24</v>
      </c>
    </row>
    <row r="4" spans="1:17" ht="14.45" customHeight="1" x14ac:dyDescent="0.2">
      <c r="A4" s="121">
        <v>39294</v>
      </c>
      <c r="B4" t="s">
        <v>406</v>
      </c>
      <c r="C4" t="s">
        <v>407</v>
      </c>
      <c r="D4" t="s">
        <v>414</v>
      </c>
      <c r="E4" t="s">
        <v>415</v>
      </c>
      <c r="F4" t="s">
        <v>410</v>
      </c>
      <c r="G4">
        <v>92</v>
      </c>
      <c r="I4">
        <v>92</v>
      </c>
    </row>
    <row r="5" spans="1:17" ht="14.45" customHeight="1" x14ac:dyDescent="0.2">
      <c r="A5" s="121">
        <v>39294</v>
      </c>
      <c r="B5" t="s">
        <v>406</v>
      </c>
      <c r="C5" t="s">
        <v>407</v>
      </c>
      <c r="D5" t="s">
        <v>416</v>
      </c>
      <c r="E5" t="s">
        <v>417</v>
      </c>
      <c r="F5" t="s">
        <v>413</v>
      </c>
      <c r="G5">
        <v>3530</v>
      </c>
      <c r="H5">
        <v>3530</v>
      </c>
      <c r="I5">
        <v>3355</v>
      </c>
      <c r="J5">
        <v>3355</v>
      </c>
      <c r="K5">
        <v>106</v>
      </c>
      <c r="L5">
        <v>0</v>
      </c>
      <c r="M5">
        <v>3369</v>
      </c>
      <c r="N5">
        <v>8</v>
      </c>
      <c r="O5">
        <v>47</v>
      </c>
      <c r="P5">
        <v>3</v>
      </c>
      <c r="Q5">
        <v>1</v>
      </c>
    </row>
    <row r="6" spans="1:17" ht="14.45" customHeight="1" x14ac:dyDescent="0.2">
      <c r="A6" s="121">
        <v>39294</v>
      </c>
      <c r="B6" t="s">
        <v>406</v>
      </c>
      <c r="C6" t="s">
        <v>418</v>
      </c>
      <c r="D6" t="s">
        <v>419</v>
      </c>
      <c r="E6" t="s">
        <v>420</v>
      </c>
      <c r="F6" t="s">
        <v>410</v>
      </c>
      <c r="G6">
        <v>20</v>
      </c>
      <c r="I6">
        <v>20</v>
      </c>
    </row>
    <row r="7" spans="1:17" ht="14.45" customHeight="1" x14ac:dyDescent="0.2">
      <c r="A7" s="121">
        <v>39294</v>
      </c>
      <c r="B7" t="s">
        <v>406</v>
      </c>
      <c r="C7" t="s">
        <v>418</v>
      </c>
      <c r="D7" t="s">
        <v>421</v>
      </c>
      <c r="E7" t="s">
        <v>422</v>
      </c>
      <c r="F7" t="s">
        <v>410</v>
      </c>
      <c r="G7">
        <v>105</v>
      </c>
      <c r="I7">
        <v>105</v>
      </c>
    </row>
    <row r="8" spans="1:17" ht="14.45" customHeight="1" x14ac:dyDescent="0.2">
      <c r="A8" s="121">
        <v>39294</v>
      </c>
      <c r="B8" t="s">
        <v>406</v>
      </c>
      <c r="C8" t="s">
        <v>418</v>
      </c>
      <c r="D8" t="s">
        <v>423</v>
      </c>
      <c r="E8" t="s">
        <v>424</v>
      </c>
      <c r="F8" t="s">
        <v>410</v>
      </c>
      <c r="G8">
        <v>31</v>
      </c>
      <c r="I8">
        <v>31</v>
      </c>
    </row>
    <row r="9" spans="1:17" ht="14.45" customHeight="1" x14ac:dyDescent="0.2">
      <c r="A9" s="121">
        <v>39294</v>
      </c>
      <c r="B9" t="s">
        <v>406</v>
      </c>
      <c r="C9" t="s">
        <v>418</v>
      </c>
      <c r="D9" t="s">
        <v>425</v>
      </c>
      <c r="E9" t="s">
        <v>426</v>
      </c>
      <c r="F9" t="s">
        <v>410</v>
      </c>
      <c r="G9">
        <v>87</v>
      </c>
      <c r="I9">
        <v>87</v>
      </c>
    </row>
    <row r="10" spans="1:17" ht="14.45" customHeight="1" x14ac:dyDescent="0.2">
      <c r="A10" s="121">
        <v>39294</v>
      </c>
      <c r="B10" t="s">
        <v>406</v>
      </c>
      <c r="C10" t="s">
        <v>418</v>
      </c>
      <c r="D10" t="s">
        <v>427</v>
      </c>
      <c r="E10" t="s">
        <v>428</v>
      </c>
      <c r="F10" t="s">
        <v>413</v>
      </c>
      <c r="G10">
        <v>1823</v>
      </c>
      <c r="H10">
        <v>1823</v>
      </c>
      <c r="I10">
        <v>1804</v>
      </c>
      <c r="J10">
        <v>1804</v>
      </c>
      <c r="K10">
        <v>571</v>
      </c>
      <c r="L10">
        <v>1</v>
      </c>
      <c r="M10">
        <v>1033</v>
      </c>
      <c r="N10">
        <v>27</v>
      </c>
      <c r="O10">
        <v>191</v>
      </c>
      <c r="P10">
        <v>0</v>
      </c>
      <c r="Q10">
        <v>0</v>
      </c>
    </row>
    <row r="11" spans="1:17" ht="14.45" customHeight="1" x14ac:dyDescent="0.2">
      <c r="A11" s="121">
        <v>39294</v>
      </c>
      <c r="B11" t="s">
        <v>406</v>
      </c>
      <c r="C11" t="s">
        <v>429</v>
      </c>
      <c r="D11" t="s">
        <v>430</v>
      </c>
      <c r="E11" t="s">
        <v>431</v>
      </c>
      <c r="F11" t="s">
        <v>410</v>
      </c>
      <c r="G11">
        <v>86</v>
      </c>
      <c r="I11">
        <v>86</v>
      </c>
    </row>
    <row r="12" spans="1:17" ht="14.45" customHeight="1" x14ac:dyDescent="0.2">
      <c r="A12" s="121">
        <v>39294</v>
      </c>
      <c r="B12" t="s">
        <v>406</v>
      </c>
      <c r="C12" t="s">
        <v>429</v>
      </c>
      <c r="D12" t="s">
        <v>432</v>
      </c>
      <c r="E12" t="s">
        <v>433</v>
      </c>
      <c r="F12" t="s">
        <v>410</v>
      </c>
      <c r="G12">
        <v>83</v>
      </c>
      <c r="I12">
        <v>83</v>
      </c>
    </row>
    <row r="13" spans="1:17" ht="14.45" customHeight="1" x14ac:dyDescent="0.2">
      <c r="A13" s="121">
        <v>39294</v>
      </c>
      <c r="B13" t="s">
        <v>406</v>
      </c>
      <c r="C13" t="s">
        <v>429</v>
      </c>
      <c r="D13" t="s">
        <v>434</v>
      </c>
      <c r="E13" t="s">
        <v>435</v>
      </c>
      <c r="F13" t="s">
        <v>410</v>
      </c>
      <c r="G13">
        <v>7</v>
      </c>
      <c r="I13">
        <v>7</v>
      </c>
    </row>
    <row r="14" spans="1:17" ht="14.45" customHeight="1" x14ac:dyDescent="0.2">
      <c r="A14" s="121">
        <v>39294</v>
      </c>
      <c r="B14" t="s">
        <v>406</v>
      </c>
      <c r="C14" t="s">
        <v>429</v>
      </c>
      <c r="D14" t="s">
        <v>436</v>
      </c>
      <c r="E14" t="s">
        <v>437</v>
      </c>
      <c r="F14" t="s">
        <v>410</v>
      </c>
      <c r="G14">
        <v>85</v>
      </c>
      <c r="I14">
        <v>85</v>
      </c>
    </row>
    <row r="15" spans="1:17" ht="14.45" customHeight="1" x14ac:dyDescent="0.2">
      <c r="A15" s="121">
        <v>39294</v>
      </c>
      <c r="B15" t="s">
        <v>406</v>
      </c>
      <c r="C15" t="s">
        <v>429</v>
      </c>
      <c r="D15" t="s">
        <v>438</v>
      </c>
      <c r="E15" t="s">
        <v>439</v>
      </c>
      <c r="F15" t="s">
        <v>413</v>
      </c>
      <c r="G15">
        <v>1189</v>
      </c>
      <c r="I15">
        <v>1167</v>
      </c>
    </row>
    <row r="16" spans="1:17" ht="14.45" customHeight="1" x14ac:dyDescent="0.2">
      <c r="A16" s="121">
        <v>39294</v>
      </c>
      <c r="B16" t="s">
        <v>406</v>
      </c>
      <c r="C16" t="s">
        <v>429</v>
      </c>
      <c r="D16" t="s">
        <v>440</v>
      </c>
      <c r="E16" t="s">
        <v>441</v>
      </c>
      <c r="F16" t="s">
        <v>413</v>
      </c>
      <c r="G16">
        <v>2970</v>
      </c>
      <c r="H16">
        <v>2970</v>
      </c>
      <c r="I16">
        <v>2862</v>
      </c>
      <c r="J16">
        <v>2862</v>
      </c>
      <c r="K16">
        <v>900</v>
      </c>
      <c r="L16">
        <v>5</v>
      </c>
      <c r="M16">
        <v>1984</v>
      </c>
      <c r="N16">
        <v>19</v>
      </c>
      <c r="O16">
        <v>62</v>
      </c>
      <c r="P16">
        <v>0</v>
      </c>
      <c r="Q16">
        <v>0</v>
      </c>
    </row>
    <row r="17" spans="1:17" ht="14.45" customHeight="1" x14ac:dyDescent="0.2">
      <c r="A17" s="121">
        <v>39294</v>
      </c>
      <c r="B17" t="s">
        <v>406</v>
      </c>
      <c r="C17" t="s">
        <v>442</v>
      </c>
      <c r="D17" t="s">
        <v>443</v>
      </c>
      <c r="E17" t="s">
        <v>444</v>
      </c>
      <c r="F17" t="s">
        <v>413</v>
      </c>
      <c r="G17">
        <v>3912</v>
      </c>
      <c r="H17">
        <v>3912</v>
      </c>
      <c r="I17">
        <v>3703</v>
      </c>
      <c r="J17">
        <v>3703</v>
      </c>
      <c r="K17">
        <v>677</v>
      </c>
      <c r="L17">
        <v>53</v>
      </c>
      <c r="M17">
        <v>3051</v>
      </c>
      <c r="N17">
        <v>33</v>
      </c>
      <c r="O17">
        <v>98</v>
      </c>
      <c r="P17">
        <v>6</v>
      </c>
      <c r="Q17">
        <v>1</v>
      </c>
    </row>
    <row r="18" spans="1:17" ht="14.45" customHeight="1" x14ac:dyDescent="0.2">
      <c r="A18" s="121">
        <v>39294</v>
      </c>
      <c r="B18" t="s">
        <v>406</v>
      </c>
      <c r="C18" t="s">
        <v>442</v>
      </c>
      <c r="D18" t="s">
        <v>445</v>
      </c>
      <c r="E18" t="s">
        <v>446</v>
      </c>
      <c r="F18" t="s">
        <v>410</v>
      </c>
      <c r="G18">
        <v>174</v>
      </c>
      <c r="I18">
        <v>174</v>
      </c>
    </row>
    <row r="19" spans="1:17" ht="14.45" customHeight="1" x14ac:dyDescent="0.2">
      <c r="A19" s="121">
        <v>39294</v>
      </c>
      <c r="B19" t="s">
        <v>406</v>
      </c>
      <c r="C19" t="s">
        <v>442</v>
      </c>
      <c r="D19" t="s">
        <v>447</v>
      </c>
      <c r="E19" t="s">
        <v>448</v>
      </c>
      <c r="F19" t="s">
        <v>410</v>
      </c>
      <c r="G19">
        <v>282</v>
      </c>
      <c r="I19">
        <v>282</v>
      </c>
    </row>
    <row r="20" spans="1:17" ht="14.45" customHeight="1" x14ac:dyDescent="0.2">
      <c r="A20" s="121">
        <v>39294</v>
      </c>
      <c r="B20" t="s">
        <v>406</v>
      </c>
      <c r="C20" t="s">
        <v>442</v>
      </c>
      <c r="D20" t="s">
        <v>449</v>
      </c>
      <c r="E20" t="s">
        <v>450</v>
      </c>
      <c r="F20" t="s">
        <v>413</v>
      </c>
      <c r="G20">
        <v>3638</v>
      </c>
      <c r="H20">
        <v>3638</v>
      </c>
      <c r="I20">
        <v>3570</v>
      </c>
      <c r="J20">
        <v>3570</v>
      </c>
      <c r="K20">
        <v>762</v>
      </c>
      <c r="L20">
        <v>152</v>
      </c>
      <c r="M20">
        <v>2655</v>
      </c>
      <c r="N20">
        <v>38</v>
      </c>
      <c r="O20">
        <v>31</v>
      </c>
      <c r="P20">
        <v>2</v>
      </c>
      <c r="Q20">
        <v>0</v>
      </c>
    </row>
    <row r="21" spans="1:17" ht="14.45" customHeight="1" x14ac:dyDescent="0.2">
      <c r="A21" s="121">
        <v>39294</v>
      </c>
      <c r="B21" t="s">
        <v>406</v>
      </c>
      <c r="C21" t="s">
        <v>451</v>
      </c>
      <c r="D21" t="s">
        <v>452</v>
      </c>
      <c r="E21" t="s">
        <v>453</v>
      </c>
      <c r="F21" t="s">
        <v>410</v>
      </c>
      <c r="G21">
        <v>1772</v>
      </c>
      <c r="H21">
        <v>1772</v>
      </c>
      <c r="I21">
        <v>1768</v>
      </c>
      <c r="J21">
        <v>1768</v>
      </c>
      <c r="K21">
        <v>0</v>
      </c>
      <c r="L21">
        <v>0</v>
      </c>
      <c r="M21">
        <v>1283</v>
      </c>
      <c r="N21">
        <v>199</v>
      </c>
      <c r="O21">
        <v>290</v>
      </c>
      <c r="P21">
        <v>0</v>
      </c>
      <c r="Q21">
        <v>0</v>
      </c>
    </row>
    <row r="22" spans="1:17" ht="14.45" customHeight="1" x14ac:dyDescent="0.2">
      <c r="A22" s="121">
        <v>39294</v>
      </c>
      <c r="B22" t="s">
        <v>406</v>
      </c>
      <c r="C22" t="s">
        <v>451</v>
      </c>
      <c r="D22" t="s">
        <v>454</v>
      </c>
      <c r="E22" t="s">
        <v>455</v>
      </c>
      <c r="F22" t="s">
        <v>413</v>
      </c>
      <c r="G22">
        <v>4195</v>
      </c>
      <c r="H22">
        <v>4195</v>
      </c>
      <c r="I22">
        <v>4003</v>
      </c>
      <c r="J22">
        <v>4003</v>
      </c>
      <c r="K22">
        <v>1133</v>
      </c>
      <c r="L22">
        <v>14</v>
      </c>
      <c r="M22">
        <v>2421</v>
      </c>
      <c r="N22">
        <v>34</v>
      </c>
      <c r="O22">
        <v>593</v>
      </c>
      <c r="P22">
        <v>5</v>
      </c>
      <c r="Q22">
        <v>1</v>
      </c>
    </row>
    <row r="23" spans="1:17" ht="14.45" customHeight="1" x14ac:dyDescent="0.2">
      <c r="A23" s="121">
        <v>39294</v>
      </c>
      <c r="B23" t="s">
        <v>406</v>
      </c>
      <c r="C23" t="s">
        <v>456</v>
      </c>
      <c r="D23" t="s">
        <v>457</v>
      </c>
      <c r="E23" t="s">
        <v>458</v>
      </c>
      <c r="F23" t="s">
        <v>413</v>
      </c>
      <c r="G23">
        <v>5312</v>
      </c>
      <c r="H23">
        <v>5312</v>
      </c>
      <c r="I23">
        <v>5168</v>
      </c>
      <c r="J23">
        <v>5168</v>
      </c>
      <c r="K23">
        <v>1236</v>
      </c>
      <c r="L23">
        <v>29</v>
      </c>
      <c r="M23">
        <v>3918</v>
      </c>
      <c r="N23">
        <v>97</v>
      </c>
      <c r="O23">
        <v>32</v>
      </c>
      <c r="P23">
        <v>8</v>
      </c>
      <c r="Q23">
        <v>0</v>
      </c>
    </row>
    <row r="24" spans="1:17" ht="14.45" customHeight="1" x14ac:dyDescent="0.2">
      <c r="A24" s="121">
        <v>39294</v>
      </c>
      <c r="B24" t="s">
        <v>406</v>
      </c>
      <c r="C24" t="s">
        <v>456</v>
      </c>
      <c r="D24" t="s">
        <v>459</v>
      </c>
      <c r="E24" t="s">
        <v>460</v>
      </c>
      <c r="F24" t="s">
        <v>413</v>
      </c>
      <c r="G24">
        <v>1333</v>
      </c>
      <c r="H24">
        <v>1333</v>
      </c>
      <c r="I24">
        <v>1324</v>
      </c>
      <c r="J24">
        <v>1324</v>
      </c>
      <c r="K24">
        <v>335</v>
      </c>
      <c r="L24">
        <v>0</v>
      </c>
      <c r="M24">
        <v>997</v>
      </c>
      <c r="N24">
        <v>1</v>
      </c>
      <c r="O24">
        <v>0</v>
      </c>
      <c r="P24">
        <v>0</v>
      </c>
      <c r="Q24">
        <v>0</v>
      </c>
    </row>
    <row r="25" spans="1:17" ht="14.45" customHeight="1" x14ac:dyDescent="0.2">
      <c r="A25" s="121">
        <v>39294</v>
      </c>
      <c r="B25" t="s">
        <v>406</v>
      </c>
      <c r="C25" t="s">
        <v>456</v>
      </c>
      <c r="D25" t="s">
        <v>461</v>
      </c>
      <c r="E25" t="s">
        <v>462</v>
      </c>
      <c r="F25" t="s">
        <v>410</v>
      </c>
      <c r="G25">
        <v>72</v>
      </c>
      <c r="I25">
        <v>72</v>
      </c>
    </row>
    <row r="26" spans="1:17" ht="14.45" customHeight="1" x14ac:dyDescent="0.2">
      <c r="A26" s="121">
        <v>39294</v>
      </c>
      <c r="B26" t="s">
        <v>406</v>
      </c>
      <c r="C26" t="s">
        <v>456</v>
      </c>
      <c r="D26" t="s">
        <v>463</v>
      </c>
      <c r="E26" t="s">
        <v>464</v>
      </c>
      <c r="F26" t="s">
        <v>410</v>
      </c>
      <c r="G26">
        <v>40</v>
      </c>
      <c r="I26">
        <v>40</v>
      </c>
    </row>
    <row r="27" spans="1:17" ht="14.45" customHeight="1" x14ac:dyDescent="0.2">
      <c r="A27" s="121">
        <v>39294</v>
      </c>
      <c r="B27" t="s">
        <v>406</v>
      </c>
      <c r="C27" t="s">
        <v>456</v>
      </c>
      <c r="D27" t="s">
        <v>465</v>
      </c>
      <c r="E27" t="s">
        <v>466</v>
      </c>
      <c r="F27" t="s">
        <v>410</v>
      </c>
      <c r="G27">
        <v>62</v>
      </c>
      <c r="I27">
        <v>62</v>
      </c>
    </row>
    <row r="28" spans="1:17" ht="14.45" customHeight="1" x14ac:dyDescent="0.2">
      <c r="A28" s="121">
        <v>39294</v>
      </c>
      <c r="B28" t="s">
        <v>406</v>
      </c>
      <c r="C28" t="s">
        <v>456</v>
      </c>
      <c r="D28" t="s">
        <v>467</v>
      </c>
      <c r="E28" t="s">
        <v>468</v>
      </c>
      <c r="F28" t="s">
        <v>410</v>
      </c>
      <c r="G28">
        <v>1114</v>
      </c>
      <c r="I28">
        <v>1113</v>
      </c>
    </row>
    <row r="29" spans="1:17" ht="14.45" customHeight="1" x14ac:dyDescent="0.2">
      <c r="A29" s="121">
        <v>39294</v>
      </c>
      <c r="B29" t="s">
        <v>406</v>
      </c>
      <c r="C29" t="s">
        <v>456</v>
      </c>
      <c r="D29" t="s">
        <v>469</v>
      </c>
      <c r="E29" t="s">
        <v>470</v>
      </c>
      <c r="F29" t="s">
        <v>410</v>
      </c>
      <c r="G29">
        <v>904</v>
      </c>
      <c r="I29">
        <v>898</v>
      </c>
    </row>
    <row r="30" spans="1:17" ht="14.45" customHeight="1" x14ac:dyDescent="0.2">
      <c r="A30" s="121">
        <v>39294</v>
      </c>
      <c r="B30" t="s">
        <v>406</v>
      </c>
      <c r="C30" t="s">
        <v>456</v>
      </c>
      <c r="D30" t="s">
        <v>471</v>
      </c>
      <c r="E30" t="s">
        <v>472</v>
      </c>
      <c r="F30" t="s">
        <v>410</v>
      </c>
      <c r="G30">
        <v>279</v>
      </c>
      <c r="I30">
        <v>277</v>
      </c>
    </row>
    <row r="31" spans="1:17" ht="14.45" customHeight="1" x14ac:dyDescent="0.2">
      <c r="A31" s="121">
        <v>39294</v>
      </c>
      <c r="B31" t="s">
        <v>406</v>
      </c>
      <c r="C31" t="s">
        <v>456</v>
      </c>
      <c r="D31" t="s">
        <v>473</v>
      </c>
      <c r="E31" t="s">
        <v>474</v>
      </c>
      <c r="F31" t="s">
        <v>410</v>
      </c>
      <c r="G31">
        <v>178</v>
      </c>
      <c r="I31">
        <v>178</v>
      </c>
    </row>
    <row r="32" spans="1:17" ht="14.45" customHeight="1" x14ac:dyDescent="0.2">
      <c r="A32" s="121">
        <v>39294</v>
      </c>
      <c r="B32" t="s">
        <v>406</v>
      </c>
      <c r="C32" t="s">
        <v>456</v>
      </c>
      <c r="D32" t="s">
        <v>475</v>
      </c>
      <c r="E32" t="s">
        <v>476</v>
      </c>
      <c r="F32" t="s">
        <v>410</v>
      </c>
      <c r="G32">
        <v>359</v>
      </c>
      <c r="I32">
        <v>359</v>
      </c>
    </row>
    <row r="33" spans="1:17" ht="14.45" customHeight="1" x14ac:dyDescent="0.2">
      <c r="A33" s="121">
        <v>39294</v>
      </c>
      <c r="B33" t="s">
        <v>406</v>
      </c>
      <c r="C33" t="s">
        <v>456</v>
      </c>
      <c r="D33" t="s">
        <v>477</v>
      </c>
      <c r="E33" t="s">
        <v>478</v>
      </c>
      <c r="F33" t="s">
        <v>413</v>
      </c>
      <c r="G33">
        <v>1925</v>
      </c>
      <c r="H33">
        <v>1925</v>
      </c>
      <c r="I33">
        <v>1850</v>
      </c>
      <c r="J33">
        <v>1850</v>
      </c>
      <c r="K33">
        <v>465</v>
      </c>
      <c r="L33">
        <v>3</v>
      </c>
      <c r="M33">
        <v>1409</v>
      </c>
      <c r="N33">
        <v>22</v>
      </c>
      <c r="O33">
        <v>26</v>
      </c>
      <c r="P33">
        <v>1</v>
      </c>
      <c r="Q33">
        <v>1</v>
      </c>
    </row>
    <row r="34" spans="1:17" ht="14.45" customHeight="1" x14ac:dyDescent="0.2">
      <c r="A34" s="121">
        <v>39294</v>
      </c>
      <c r="B34" t="s">
        <v>406</v>
      </c>
      <c r="C34" t="s">
        <v>456</v>
      </c>
      <c r="D34" t="s">
        <v>479</v>
      </c>
      <c r="E34" t="s">
        <v>480</v>
      </c>
      <c r="F34" t="s">
        <v>410</v>
      </c>
      <c r="G34">
        <v>107</v>
      </c>
      <c r="I34">
        <v>107</v>
      </c>
    </row>
    <row r="35" spans="1:17" ht="14.45" customHeight="1" x14ac:dyDescent="0.2">
      <c r="A35" s="121">
        <v>39294</v>
      </c>
      <c r="B35" t="s">
        <v>406</v>
      </c>
      <c r="C35" t="s">
        <v>456</v>
      </c>
      <c r="D35" t="s">
        <v>481</v>
      </c>
      <c r="E35" t="s">
        <v>482</v>
      </c>
      <c r="F35" t="s">
        <v>410</v>
      </c>
      <c r="G35">
        <v>37</v>
      </c>
      <c r="I35">
        <v>37</v>
      </c>
    </row>
    <row r="36" spans="1:17" ht="14.45" customHeight="1" x14ac:dyDescent="0.2">
      <c r="A36" s="121">
        <v>39294</v>
      </c>
      <c r="B36" t="s">
        <v>406</v>
      </c>
      <c r="C36" t="s">
        <v>456</v>
      </c>
      <c r="D36" t="s">
        <v>483</v>
      </c>
      <c r="E36" t="s">
        <v>484</v>
      </c>
      <c r="F36" t="s">
        <v>410</v>
      </c>
      <c r="G36">
        <v>113</v>
      </c>
      <c r="I36">
        <v>113</v>
      </c>
    </row>
    <row r="37" spans="1:17" ht="14.45" customHeight="1" x14ac:dyDescent="0.2">
      <c r="A37" s="121">
        <v>39294</v>
      </c>
      <c r="B37" t="s">
        <v>406</v>
      </c>
      <c r="C37" t="s">
        <v>456</v>
      </c>
      <c r="D37" t="s">
        <v>485</v>
      </c>
      <c r="E37" t="s">
        <v>486</v>
      </c>
      <c r="F37" t="s">
        <v>410</v>
      </c>
      <c r="G37">
        <v>62</v>
      </c>
      <c r="I37">
        <v>62</v>
      </c>
    </row>
    <row r="38" spans="1:17" ht="14.45" customHeight="1" x14ac:dyDescent="0.2">
      <c r="A38" s="121">
        <v>39294</v>
      </c>
      <c r="B38" t="s">
        <v>406</v>
      </c>
      <c r="C38" t="s">
        <v>456</v>
      </c>
      <c r="D38" t="s">
        <v>487</v>
      </c>
      <c r="E38" t="s">
        <v>488</v>
      </c>
      <c r="F38" t="s">
        <v>410</v>
      </c>
      <c r="G38">
        <v>32</v>
      </c>
      <c r="I38">
        <v>32</v>
      </c>
    </row>
    <row r="39" spans="1:17" ht="14.45" customHeight="1" x14ac:dyDescent="0.2">
      <c r="A39" s="121">
        <v>39294</v>
      </c>
      <c r="B39" t="s">
        <v>406</v>
      </c>
      <c r="C39" t="s">
        <v>456</v>
      </c>
      <c r="D39" t="s">
        <v>489</v>
      </c>
      <c r="E39" t="s">
        <v>490</v>
      </c>
      <c r="F39" t="s">
        <v>410</v>
      </c>
      <c r="G39">
        <v>153</v>
      </c>
      <c r="H39">
        <v>153</v>
      </c>
      <c r="I39">
        <v>153</v>
      </c>
      <c r="J39">
        <v>153</v>
      </c>
      <c r="K39">
        <v>0</v>
      </c>
      <c r="L39">
        <v>0</v>
      </c>
      <c r="M39">
        <v>130</v>
      </c>
      <c r="N39">
        <v>23</v>
      </c>
      <c r="O39">
        <v>0</v>
      </c>
      <c r="P39">
        <v>0</v>
      </c>
      <c r="Q39">
        <v>0</v>
      </c>
    </row>
    <row r="40" spans="1:17" ht="14.45" customHeight="1" x14ac:dyDescent="0.2">
      <c r="A40" s="121">
        <v>39294</v>
      </c>
      <c r="B40" t="s">
        <v>406</v>
      </c>
      <c r="C40" t="s">
        <v>491</v>
      </c>
      <c r="D40" t="s">
        <v>492</v>
      </c>
      <c r="E40" t="s">
        <v>493</v>
      </c>
      <c r="F40" t="s">
        <v>410</v>
      </c>
      <c r="G40">
        <v>1382</v>
      </c>
      <c r="H40">
        <v>1382</v>
      </c>
      <c r="I40">
        <v>1354</v>
      </c>
      <c r="J40">
        <v>1354</v>
      </c>
      <c r="K40">
        <v>348</v>
      </c>
      <c r="L40">
        <v>3</v>
      </c>
      <c r="M40">
        <v>963</v>
      </c>
      <c r="N40">
        <v>65</v>
      </c>
      <c r="O40">
        <v>3</v>
      </c>
      <c r="P40">
        <v>1</v>
      </c>
      <c r="Q40">
        <v>1</v>
      </c>
    </row>
    <row r="41" spans="1:17" ht="14.45" customHeight="1" x14ac:dyDescent="0.2">
      <c r="A41" s="121">
        <v>39294</v>
      </c>
      <c r="B41" t="s">
        <v>406</v>
      </c>
      <c r="C41" t="s">
        <v>491</v>
      </c>
      <c r="D41" t="s">
        <v>494</v>
      </c>
      <c r="E41" t="s">
        <v>495</v>
      </c>
      <c r="F41" t="s">
        <v>413</v>
      </c>
      <c r="G41">
        <v>2693</v>
      </c>
      <c r="H41">
        <v>2693</v>
      </c>
      <c r="I41">
        <v>2648</v>
      </c>
      <c r="J41">
        <v>2648</v>
      </c>
      <c r="K41">
        <v>550</v>
      </c>
      <c r="L41">
        <v>6</v>
      </c>
      <c r="M41">
        <v>1973</v>
      </c>
      <c r="N41">
        <v>34</v>
      </c>
      <c r="O41">
        <v>130</v>
      </c>
      <c r="P41">
        <v>1</v>
      </c>
      <c r="Q41">
        <v>0</v>
      </c>
    </row>
    <row r="42" spans="1:17" ht="14.45" customHeight="1" x14ac:dyDescent="0.2">
      <c r="A42" s="121">
        <v>39294</v>
      </c>
      <c r="B42" t="s">
        <v>406</v>
      </c>
      <c r="C42" t="s">
        <v>491</v>
      </c>
      <c r="D42" t="s">
        <v>496</v>
      </c>
      <c r="E42" t="s">
        <v>497</v>
      </c>
      <c r="F42" t="s">
        <v>413</v>
      </c>
      <c r="G42">
        <v>5479</v>
      </c>
      <c r="H42">
        <v>5479</v>
      </c>
      <c r="I42">
        <v>5324</v>
      </c>
      <c r="J42">
        <v>5324</v>
      </c>
      <c r="K42">
        <v>1473</v>
      </c>
      <c r="L42">
        <v>9</v>
      </c>
      <c r="M42">
        <v>3624</v>
      </c>
      <c r="N42">
        <v>58</v>
      </c>
      <c r="O42">
        <v>315</v>
      </c>
      <c r="P42">
        <v>4</v>
      </c>
      <c r="Q42">
        <v>0</v>
      </c>
    </row>
    <row r="43" spans="1:17" ht="14.45" customHeight="1" x14ac:dyDescent="0.2">
      <c r="A43" s="121">
        <v>39294</v>
      </c>
      <c r="B43" t="s">
        <v>406</v>
      </c>
      <c r="C43" t="s">
        <v>491</v>
      </c>
      <c r="D43" t="s">
        <v>498</v>
      </c>
      <c r="E43" t="s">
        <v>499</v>
      </c>
      <c r="F43" t="s">
        <v>413</v>
      </c>
      <c r="G43">
        <v>6200</v>
      </c>
      <c r="H43">
        <v>6200</v>
      </c>
      <c r="I43">
        <v>5951</v>
      </c>
      <c r="J43">
        <v>5951</v>
      </c>
      <c r="K43">
        <v>1697</v>
      </c>
      <c r="L43">
        <v>16</v>
      </c>
      <c r="M43">
        <v>4054</v>
      </c>
      <c r="N43">
        <v>115</v>
      </c>
      <c r="O43">
        <v>318</v>
      </c>
      <c r="P43">
        <v>6</v>
      </c>
      <c r="Q43">
        <v>2</v>
      </c>
    </row>
    <row r="44" spans="1:17" ht="14.45" customHeight="1" x14ac:dyDescent="0.2">
      <c r="A44" s="121">
        <v>39294</v>
      </c>
      <c r="B44" t="s">
        <v>406</v>
      </c>
      <c r="C44" t="s">
        <v>491</v>
      </c>
      <c r="D44" t="s">
        <v>500</v>
      </c>
      <c r="E44" t="s">
        <v>501</v>
      </c>
      <c r="F44" t="s">
        <v>413</v>
      </c>
      <c r="G44">
        <v>3390</v>
      </c>
      <c r="H44">
        <v>3390</v>
      </c>
      <c r="I44">
        <v>3264</v>
      </c>
      <c r="J44">
        <v>3264</v>
      </c>
      <c r="K44">
        <v>1014</v>
      </c>
      <c r="L44">
        <v>2</v>
      </c>
      <c r="M44">
        <v>2203</v>
      </c>
      <c r="N44">
        <v>30</v>
      </c>
      <c r="O44">
        <v>141</v>
      </c>
      <c r="P44">
        <v>1</v>
      </c>
      <c r="Q44">
        <v>0</v>
      </c>
    </row>
    <row r="45" spans="1:17" ht="14.45" customHeight="1" x14ac:dyDescent="0.2">
      <c r="A45" s="121">
        <v>39294</v>
      </c>
      <c r="B45" t="s">
        <v>406</v>
      </c>
      <c r="C45" t="s">
        <v>491</v>
      </c>
      <c r="D45" t="s">
        <v>502</v>
      </c>
      <c r="E45" t="s">
        <v>503</v>
      </c>
      <c r="F45" t="s">
        <v>413</v>
      </c>
      <c r="G45">
        <v>5864</v>
      </c>
      <c r="H45">
        <v>5864</v>
      </c>
      <c r="I45">
        <v>5744</v>
      </c>
      <c r="J45">
        <v>5744</v>
      </c>
      <c r="K45">
        <v>1583</v>
      </c>
      <c r="L45">
        <v>14</v>
      </c>
      <c r="M45">
        <v>4043</v>
      </c>
      <c r="N45">
        <v>137</v>
      </c>
      <c r="O45">
        <v>87</v>
      </c>
      <c r="P45">
        <v>1</v>
      </c>
      <c r="Q45">
        <v>0</v>
      </c>
    </row>
    <row r="46" spans="1:17" ht="14.45" customHeight="1" x14ac:dyDescent="0.2">
      <c r="A46" s="121">
        <v>39294</v>
      </c>
      <c r="B46" t="s">
        <v>406</v>
      </c>
      <c r="C46" t="s">
        <v>491</v>
      </c>
      <c r="D46" t="s">
        <v>504</v>
      </c>
      <c r="E46" t="s">
        <v>505</v>
      </c>
      <c r="F46" t="s">
        <v>413</v>
      </c>
      <c r="G46">
        <v>4186</v>
      </c>
      <c r="H46">
        <v>4186</v>
      </c>
      <c r="I46">
        <v>3952</v>
      </c>
      <c r="J46">
        <v>3952</v>
      </c>
      <c r="K46">
        <v>1094</v>
      </c>
      <c r="L46">
        <v>11</v>
      </c>
      <c r="M46">
        <v>2927</v>
      </c>
      <c r="N46">
        <v>38</v>
      </c>
      <c r="O46">
        <v>116</v>
      </c>
      <c r="P46">
        <v>4</v>
      </c>
      <c r="Q46">
        <v>0</v>
      </c>
    </row>
    <row r="47" spans="1:17" ht="14.45" customHeight="1" x14ac:dyDescent="0.2">
      <c r="A47" s="121">
        <v>39294</v>
      </c>
      <c r="B47" t="s">
        <v>406</v>
      </c>
      <c r="C47" t="s">
        <v>491</v>
      </c>
      <c r="D47" t="s">
        <v>506</v>
      </c>
      <c r="E47" t="s">
        <v>507</v>
      </c>
      <c r="F47" t="s">
        <v>413</v>
      </c>
      <c r="G47">
        <v>2981</v>
      </c>
      <c r="H47">
        <v>2981</v>
      </c>
      <c r="I47">
        <v>2942</v>
      </c>
      <c r="J47">
        <v>2942</v>
      </c>
      <c r="K47">
        <v>524</v>
      </c>
      <c r="L47">
        <v>3</v>
      </c>
      <c r="M47">
        <v>2438</v>
      </c>
      <c r="N47">
        <v>5</v>
      </c>
      <c r="O47">
        <v>11</v>
      </c>
      <c r="P47">
        <v>1</v>
      </c>
      <c r="Q47">
        <v>0</v>
      </c>
    </row>
    <row r="48" spans="1:17" ht="14.45" customHeight="1" x14ac:dyDescent="0.2">
      <c r="A48" s="121">
        <v>39294</v>
      </c>
      <c r="B48" t="s">
        <v>406</v>
      </c>
      <c r="C48" t="s">
        <v>491</v>
      </c>
      <c r="D48" t="s">
        <v>508</v>
      </c>
      <c r="E48" t="s">
        <v>509</v>
      </c>
      <c r="F48" t="s">
        <v>413</v>
      </c>
      <c r="G48">
        <v>5040</v>
      </c>
      <c r="H48">
        <v>5040</v>
      </c>
      <c r="I48">
        <v>4529</v>
      </c>
      <c r="J48">
        <v>4529</v>
      </c>
      <c r="K48">
        <v>1607</v>
      </c>
      <c r="L48">
        <v>19</v>
      </c>
      <c r="M48">
        <v>2917</v>
      </c>
      <c r="N48">
        <v>116</v>
      </c>
      <c r="O48">
        <v>381</v>
      </c>
      <c r="P48">
        <v>40</v>
      </c>
      <c r="Q48">
        <v>6</v>
      </c>
    </row>
    <row r="49" spans="1:17" ht="14.45" customHeight="1" x14ac:dyDescent="0.2">
      <c r="A49" s="121">
        <v>39294</v>
      </c>
      <c r="B49" t="s">
        <v>406</v>
      </c>
      <c r="C49" t="s">
        <v>510</v>
      </c>
      <c r="D49" t="s">
        <v>511</v>
      </c>
      <c r="E49" t="s">
        <v>512</v>
      </c>
      <c r="F49" t="s">
        <v>410</v>
      </c>
      <c r="G49">
        <v>401</v>
      </c>
      <c r="I49">
        <v>401</v>
      </c>
    </row>
    <row r="50" spans="1:17" ht="14.45" customHeight="1" x14ac:dyDescent="0.2">
      <c r="A50" s="121">
        <v>39294</v>
      </c>
      <c r="B50" t="s">
        <v>406</v>
      </c>
      <c r="C50" t="s">
        <v>510</v>
      </c>
      <c r="D50" t="s">
        <v>513</v>
      </c>
      <c r="E50" t="s">
        <v>514</v>
      </c>
      <c r="F50" t="s">
        <v>410</v>
      </c>
      <c r="G50">
        <v>615</v>
      </c>
      <c r="I50">
        <v>612</v>
      </c>
    </row>
    <row r="51" spans="1:17" ht="14.45" customHeight="1" x14ac:dyDescent="0.2">
      <c r="A51" s="121">
        <v>39294</v>
      </c>
      <c r="B51" t="s">
        <v>406</v>
      </c>
      <c r="C51" t="s">
        <v>510</v>
      </c>
      <c r="D51" t="s">
        <v>515</v>
      </c>
      <c r="E51" t="s">
        <v>516</v>
      </c>
      <c r="F51" t="s">
        <v>410</v>
      </c>
      <c r="G51">
        <v>110</v>
      </c>
      <c r="I51">
        <v>110</v>
      </c>
    </row>
    <row r="52" spans="1:17" ht="14.45" customHeight="1" x14ac:dyDescent="0.2">
      <c r="A52" s="121">
        <v>39294</v>
      </c>
      <c r="B52" t="s">
        <v>406</v>
      </c>
      <c r="C52" t="s">
        <v>510</v>
      </c>
      <c r="D52" t="s">
        <v>517</v>
      </c>
      <c r="E52" t="s">
        <v>518</v>
      </c>
      <c r="F52" t="s">
        <v>410</v>
      </c>
      <c r="G52">
        <v>468</v>
      </c>
      <c r="I52">
        <v>467</v>
      </c>
    </row>
    <row r="53" spans="1:17" ht="14.45" customHeight="1" x14ac:dyDescent="0.2">
      <c r="A53" s="121">
        <v>39294</v>
      </c>
      <c r="B53" t="s">
        <v>406</v>
      </c>
      <c r="C53" t="s">
        <v>510</v>
      </c>
      <c r="D53" t="s">
        <v>519</v>
      </c>
      <c r="E53" t="s">
        <v>520</v>
      </c>
      <c r="F53" t="s">
        <v>410</v>
      </c>
      <c r="G53">
        <v>369</v>
      </c>
      <c r="I53">
        <v>363</v>
      </c>
    </row>
    <row r="54" spans="1:17" ht="14.45" customHeight="1" x14ac:dyDescent="0.2">
      <c r="A54" s="121">
        <v>39294</v>
      </c>
      <c r="B54" t="s">
        <v>406</v>
      </c>
      <c r="C54" t="s">
        <v>510</v>
      </c>
      <c r="D54" t="s">
        <v>521</v>
      </c>
      <c r="E54" t="s">
        <v>522</v>
      </c>
      <c r="F54" t="s">
        <v>410</v>
      </c>
      <c r="G54">
        <v>67</v>
      </c>
      <c r="I54">
        <v>65</v>
      </c>
    </row>
    <row r="55" spans="1:17" ht="14.45" customHeight="1" x14ac:dyDescent="0.2">
      <c r="A55" s="121">
        <v>39294</v>
      </c>
      <c r="B55" t="s">
        <v>406</v>
      </c>
      <c r="C55" t="s">
        <v>510</v>
      </c>
      <c r="D55" t="s">
        <v>523</v>
      </c>
      <c r="E55" t="s">
        <v>524</v>
      </c>
      <c r="F55" t="s">
        <v>413</v>
      </c>
      <c r="G55">
        <v>616</v>
      </c>
      <c r="I55">
        <v>611</v>
      </c>
    </row>
    <row r="56" spans="1:17" ht="14.45" customHeight="1" x14ac:dyDescent="0.2">
      <c r="A56" s="121">
        <v>39294</v>
      </c>
      <c r="B56" t="s">
        <v>406</v>
      </c>
      <c r="C56" t="s">
        <v>510</v>
      </c>
      <c r="D56" t="s">
        <v>525</v>
      </c>
      <c r="E56" t="s">
        <v>526</v>
      </c>
      <c r="F56" t="s">
        <v>410</v>
      </c>
      <c r="G56">
        <v>211</v>
      </c>
      <c r="I56">
        <v>211</v>
      </c>
    </row>
    <row r="57" spans="1:17" ht="14.45" customHeight="1" x14ac:dyDescent="0.2">
      <c r="A57" s="121">
        <v>39294</v>
      </c>
      <c r="B57" t="s">
        <v>406</v>
      </c>
      <c r="C57" t="s">
        <v>510</v>
      </c>
      <c r="D57" t="s">
        <v>527</v>
      </c>
      <c r="E57" t="s">
        <v>528</v>
      </c>
      <c r="F57" t="s">
        <v>410</v>
      </c>
      <c r="G57">
        <v>199</v>
      </c>
      <c r="I57">
        <v>199</v>
      </c>
    </row>
    <row r="58" spans="1:17" ht="14.45" customHeight="1" x14ac:dyDescent="0.2">
      <c r="A58" s="121">
        <v>39294</v>
      </c>
      <c r="B58" t="s">
        <v>406</v>
      </c>
      <c r="C58" t="s">
        <v>510</v>
      </c>
      <c r="D58" t="s">
        <v>529</v>
      </c>
      <c r="E58" t="s">
        <v>530</v>
      </c>
      <c r="F58" t="s">
        <v>413</v>
      </c>
      <c r="G58">
        <v>496</v>
      </c>
      <c r="I58">
        <v>488</v>
      </c>
    </row>
    <row r="59" spans="1:17" ht="14.45" customHeight="1" x14ac:dyDescent="0.2">
      <c r="A59" s="121">
        <v>39294</v>
      </c>
      <c r="B59" t="s">
        <v>406</v>
      </c>
      <c r="C59" t="s">
        <v>510</v>
      </c>
      <c r="D59" t="s">
        <v>531</v>
      </c>
      <c r="E59" t="s">
        <v>532</v>
      </c>
      <c r="F59" t="s">
        <v>410</v>
      </c>
      <c r="G59">
        <v>73</v>
      </c>
      <c r="I59">
        <v>72</v>
      </c>
    </row>
    <row r="60" spans="1:17" ht="14.45" customHeight="1" x14ac:dyDescent="0.2">
      <c r="A60" s="121">
        <v>39294</v>
      </c>
      <c r="B60" t="s">
        <v>406</v>
      </c>
      <c r="C60" t="s">
        <v>510</v>
      </c>
      <c r="D60" t="s">
        <v>533</v>
      </c>
      <c r="E60" t="s">
        <v>534</v>
      </c>
      <c r="F60" t="s">
        <v>413</v>
      </c>
      <c r="G60">
        <v>2618</v>
      </c>
      <c r="H60">
        <v>2618</v>
      </c>
      <c r="I60">
        <v>2553</v>
      </c>
      <c r="J60">
        <v>2553</v>
      </c>
      <c r="K60">
        <v>549</v>
      </c>
      <c r="L60">
        <v>18</v>
      </c>
      <c r="M60">
        <v>2051</v>
      </c>
      <c r="N60">
        <v>0</v>
      </c>
      <c r="O60">
        <v>0</v>
      </c>
      <c r="P60">
        <v>3</v>
      </c>
      <c r="Q60">
        <v>1</v>
      </c>
    </row>
    <row r="61" spans="1:17" ht="14.45" customHeight="1" x14ac:dyDescent="0.2">
      <c r="A61" s="121">
        <v>39294</v>
      </c>
      <c r="B61" t="s">
        <v>406</v>
      </c>
      <c r="C61" t="s">
        <v>510</v>
      </c>
      <c r="D61" t="s">
        <v>535</v>
      </c>
      <c r="E61" t="s">
        <v>536</v>
      </c>
      <c r="F61" t="s">
        <v>410</v>
      </c>
      <c r="G61">
        <v>281</v>
      </c>
      <c r="I61">
        <v>280</v>
      </c>
    </row>
    <row r="62" spans="1:17" ht="14.45" customHeight="1" x14ac:dyDescent="0.2">
      <c r="A62" s="121">
        <v>39294</v>
      </c>
      <c r="B62" t="s">
        <v>406</v>
      </c>
      <c r="C62" t="s">
        <v>510</v>
      </c>
      <c r="D62" t="s">
        <v>537</v>
      </c>
      <c r="E62" t="s">
        <v>538</v>
      </c>
      <c r="F62" t="s">
        <v>410</v>
      </c>
      <c r="G62">
        <v>113</v>
      </c>
      <c r="I62">
        <v>111</v>
      </c>
    </row>
    <row r="63" spans="1:17" ht="14.45" customHeight="1" x14ac:dyDescent="0.2">
      <c r="A63" s="121">
        <v>39294</v>
      </c>
      <c r="B63" t="s">
        <v>406</v>
      </c>
      <c r="C63" t="s">
        <v>510</v>
      </c>
      <c r="D63" t="s">
        <v>539</v>
      </c>
      <c r="E63" t="s">
        <v>540</v>
      </c>
      <c r="F63" t="s">
        <v>413</v>
      </c>
      <c r="G63">
        <v>896</v>
      </c>
      <c r="I63">
        <v>879</v>
      </c>
    </row>
    <row r="64" spans="1:17" ht="14.45" customHeight="1" x14ac:dyDescent="0.2">
      <c r="A64" s="121">
        <v>39294</v>
      </c>
      <c r="B64" t="s">
        <v>406</v>
      </c>
      <c r="C64" t="s">
        <v>510</v>
      </c>
      <c r="D64" t="s">
        <v>541</v>
      </c>
      <c r="E64" t="s">
        <v>542</v>
      </c>
      <c r="F64" t="s">
        <v>410</v>
      </c>
      <c r="G64">
        <v>300</v>
      </c>
      <c r="I64">
        <v>296</v>
      </c>
    </row>
    <row r="65" spans="1:17" ht="14.45" customHeight="1" x14ac:dyDescent="0.2">
      <c r="A65" s="121">
        <v>39294</v>
      </c>
      <c r="B65" t="s">
        <v>406</v>
      </c>
      <c r="C65" t="s">
        <v>510</v>
      </c>
      <c r="D65" t="s">
        <v>543</v>
      </c>
      <c r="E65" t="s">
        <v>544</v>
      </c>
      <c r="F65" t="s">
        <v>410</v>
      </c>
      <c r="G65">
        <v>153</v>
      </c>
      <c r="I65">
        <v>152</v>
      </c>
    </row>
    <row r="66" spans="1:17" ht="14.45" customHeight="1" x14ac:dyDescent="0.2">
      <c r="A66" s="121">
        <v>39294</v>
      </c>
      <c r="B66" t="s">
        <v>406</v>
      </c>
      <c r="C66" t="s">
        <v>510</v>
      </c>
      <c r="D66" t="s">
        <v>545</v>
      </c>
      <c r="E66" t="s">
        <v>546</v>
      </c>
      <c r="F66" t="s">
        <v>410</v>
      </c>
      <c r="G66">
        <v>185</v>
      </c>
      <c r="I66">
        <v>185</v>
      </c>
    </row>
    <row r="67" spans="1:17" ht="14.45" customHeight="1" x14ac:dyDescent="0.2">
      <c r="A67" s="121">
        <v>39294</v>
      </c>
      <c r="B67" t="s">
        <v>406</v>
      </c>
      <c r="C67" t="s">
        <v>510</v>
      </c>
      <c r="D67" t="s">
        <v>547</v>
      </c>
      <c r="E67" t="s">
        <v>548</v>
      </c>
      <c r="F67" t="s">
        <v>410</v>
      </c>
      <c r="G67">
        <v>91</v>
      </c>
      <c r="I67">
        <v>91</v>
      </c>
    </row>
    <row r="68" spans="1:17" ht="14.45" customHeight="1" x14ac:dyDescent="0.2">
      <c r="A68" s="121">
        <v>39294</v>
      </c>
      <c r="B68" t="s">
        <v>406</v>
      </c>
      <c r="C68" t="s">
        <v>510</v>
      </c>
      <c r="D68" t="s">
        <v>549</v>
      </c>
      <c r="E68" t="s">
        <v>550</v>
      </c>
      <c r="F68" t="s">
        <v>410</v>
      </c>
      <c r="G68">
        <v>202</v>
      </c>
      <c r="I68">
        <v>202</v>
      </c>
    </row>
    <row r="69" spans="1:17" ht="14.45" customHeight="1" x14ac:dyDescent="0.2">
      <c r="A69" s="121">
        <v>39294</v>
      </c>
      <c r="B69" t="s">
        <v>406</v>
      </c>
      <c r="C69" t="s">
        <v>551</v>
      </c>
      <c r="D69" t="s">
        <v>552</v>
      </c>
      <c r="E69" t="s">
        <v>553</v>
      </c>
      <c r="F69" t="s">
        <v>413</v>
      </c>
      <c r="G69">
        <v>5662</v>
      </c>
      <c r="H69">
        <v>5662</v>
      </c>
      <c r="I69">
        <v>5443</v>
      </c>
      <c r="J69">
        <v>5443</v>
      </c>
      <c r="K69">
        <v>1537</v>
      </c>
      <c r="L69">
        <v>11</v>
      </c>
      <c r="M69">
        <v>4050</v>
      </c>
      <c r="N69">
        <v>22</v>
      </c>
      <c r="O69">
        <v>42</v>
      </c>
      <c r="P69">
        <v>3</v>
      </c>
      <c r="Q69">
        <v>0</v>
      </c>
    </row>
    <row r="70" spans="1:17" ht="14.45" customHeight="1" x14ac:dyDescent="0.2">
      <c r="A70" s="121">
        <v>39294</v>
      </c>
      <c r="B70" t="s">
        <v>406</v>
      </c>
      <c r="C70" t="s">
        <v>551</v>
      </c>
      <c r="D70" t="s">
        <v>554</v>
      </c>
      <c r="E70" t="s">
        <v>555</v>
      </c>
      <c r="F70" t="s">
        <v>410</v>
      </c>
      <c r="G70">
        <v>165</v>
      </c>
      <c r="I70">
        <v>165</v>
      </c>
    </row>
    <row r="71" spans="1:17" ht="14.45" customHeight="1" x14ac:dyDescent="0.2">
      <c r="A71" s="121">
        <v>39294</v>
      </c>
      <c r="B71" t="s">
        <v>406</v>
      </c>
      <c r="C71" t="s">
        <v>551</v>
      </c>
      <c r="D71" t="s">
        <v>556</v>
      </c>
      <c r="E71" t="s">
        <v>557</v>
      </c>
      <c r="F71" t="s">
        <v>410</v>
      </c>
      <c r="G71">
        <v>166</v>
      </c>
      <c r="I71">
        <v>166</v>
      </c>
    </row>
    <row r="72" spans="1:17" ht="14.45" customHeight="1" x14ac:dyDescent="0.2">
      <c r="A72" s="121">
        <v>39294</v>
      </c>
      <c r="B72" t="s">
        <v>406</v>
      </c>
      <c r="C72" t="s">
        <v>551</v>
      </c>
      <c r="D72" t="s">
        <v>558</v>
      </c>
      <c r="E72" t="s">
        <v>559</v>
      </c>
      <c r="F72" t="s">
        <v>413</v>
      </c>
      <c r="G72">
        <v>4545</v>
      </c>
      <c r="H72">
        <v>4545</v>
      </c>
      <c r="I72">
        <v>4270</v>
      </c>
      <c r="J72">
        <v>4270</v>
      </c>
      <c r="K72">
        <v>1089</v>
      </c>
      <c r="L72">
        <v>12</v>
      </c>
      <c r="M72">
        <v>3384</v>
      </c>
      <c r="N72">
        <v>12</v>
      </c>
      <c r="O72">
        <v>48</v>
      </c>
      <c r="P72">
        <v>87</v>
      </c>
      <c r="Q72">
        <v>45</v>
      </c>
    </row>
    <row r="73" spans="1:17" ht="14.45" customHeight="1" x14ac:dyDescent="0.2">
      <c r="A73" s="121">
        <v>39294</v>
      </c>
      <c r="B73" t="s">
        <v>406</v>
      </c>
      <c r="C73" t="s">
        <v>551</v>
      </c>
      <c r="D73" t="s">
        <v>560</v>
      </c>
      <c r="E73" t="s">
        <v>561</v>
      </c>
      <c r="F73" t="s">
        <v>413</v>
      </c>
      <c r="G73">
        <v>5555</v>
      </c>
      <c r="H73">
        <v>5555</v>
      </c>
      <c r="I73">
        <v>5351</v>
      </c>
      <c r="J73">
        <v>5351</v>
      </c>
      <c r="K73">
        <v>1276</v>
      </c>
      <c r="L73">
        <v>7</v>
      </c>
      <c r="M73">
        <v>4240</v>
      </c>
      <c r="N73">
        <v>15</v>
      </c>
      <c r="O73">
        <v>17</v>
      </c>
      <c r="P73">
        <v>44</v>
      </c>
      <c r="Q73">
        <v>20</v>
      </c>
    </row>
    <row r="74" spans="1:17" ht="14.45" customHeight="1" x14ac:dyDescent="0.2">
      <c r="A74" s="121">
        <v>39294</v>
      </c>
      <c r="B74" t="s">
        <v>406</v>
      </c>
      <c r="C74" t="s">
        <v>562</v>
      </c>
      <c r="D74" t="s">
        <v>563</v>
      </c>
      <c r="E74" t="s">
        <v>564</v>
      </c>
      <c r="F74" t="s">
        <v>410</v>
      </c>
      <c r="G74">
        <v>2761</v>
      </c>
      <c r="H74">
        <v>2761</v>
      </c>
      <c r="I74">
        <v>2600</v>
      </c>
      <c r="J74">
        <v>2600</v>
      </c>
      <c r="K74">
        <v>914</v>
      </c>
      <c r="L74">
        <v>4</v>
      </c>
      <c r="M74">
        <v>1840</v>
      </c>
      <c r="N74">
        <v>3</v>
      </c>
      <c r="O74">
        <v>0</v>
      </c>
      <c r="P74">
        <v>4</v>
      </c>
      <c r="Q74">
        <v>0</v>
      </c>
    </row>
    <row r="75" spans="1:17" ht="14.45" customHeight="1" x14ac:dyDescent="0.2">
      <c r="A75" s="121">
        <v>39294</v>
      </c>
      <c r="B75" t="s">
        <v>406</v>
      </c>
      <c r="C75" t="s">
        <v>562</v>
      </c>
      <c r="D75" t="s">
        <v>565</v>
      </c>
      <c r="E75" t="s">
        <v>566</v>
      </c>
      <c r="F75" t="s">
        <v>413</v>
      </c>
      <c r="G75">
        <v>3900</v>
      </c>
      <c r="H75">
        <v>3900</v>
      </c>
      <c r="I75">
        <v>3642</v>
      </c>
      <c r="J75">
        <v>3642</v>
      </c>
      <c r="K75">
        <v>841</v>
      </c>
      <c r="L75">
        <v>4</v>
      </c>
      <c r="M75">
        <v>2755</v>
      </c>
      <c r="N75">
        <v>75</v>
      </c>
      <c r="O75">
        <v>225</v>
      </c>
      <c r="P75">
        <v>2</v>
      </c>
      <c r="Q75">
        <v>0</v>
      </c>
    </row>
    <row r="76" spans="1:17" ht="14.45" customHeight="1" x14ac:dyDescent="0.2">
      <c r="A76" s="121">
        <v>39294</v>
      </c>
      <c r="B76" t="s">
        <v>406</v>
      </c>
      <c r="C76" t="s">
        <v>562</v>
      </c>
      <c r="D76" t="s">
        <v>567</v>
      </c>
      <c r="E76" t="s">
        <v>568</v>
      </c>
      <c r="F76" t="s">
        <v>413</v>
      </c>
      <c r="G76">
        <v>8947</v>
      </c>
      <c r="H76">
        <v>8947</v>
      </c>
      <c r="I76">
        <v>8468</v>
      </c>
      <c r="J76">
        <v>8468</v>
      </c>
      <c r="K76">
        <v>2683</v>
      </c>
      <c r="L76">
        <v>15</v>
      </c>
      <c r="M76">
        <v>6044</v>
      </c>
      <c r="N76">
        <v>205</v>
      </c>
      <c r="O76">
        <v>0</v>
      </c>
      <c r="P76">
        <v>19</v>
      </c>
      <c r="Q76">
        <v>0</v>
      </c>
    </row>
    <row r="77" spans="1:17" ht="14.45" customHeight="1" x14ac:dyDescent="0.2">
      <c r="A77" s="121">
        <v>39294</v>
      </c>
      <c r="B77" t="s">
        <v>406</v>
      </c>
      <c r="C77" t="s">
        <v>562</v>
      </c>
      <c r="D77" t="s">
        <v>569</v>
      </c>
      <c r="E77" t="s">
        <v>570</v>
      </c>
      <c r="F77" t="s">
        <v>413</v>
      </c>
      <c r="G77">
        <v>2620</v>
      </c>
      <c r="H77">
        <v>2620</v>
      </c>
      <c r="I77">
        <v>2603</v>
      </c>
      <c r="J77">
        <v>2603</v>
      </c>
      <c r="K77">
        <v>396</v>
      </c>
      <c r="L77">
        <v>1</v>
      </c>
      <c r="M77">
        <v>2218</v>
      </c>
      <c r="N77">
        <v>5</v>
      </c>
      <c r="O77">
        <v>0</v>
      </c>
      <c r="P77">
        <v>0</v>
      </c>
      <c r="Q77">
        <v>0</v>
      </c>
    </row>
    <row r="78" spans="1:17" ht="14.45" customHeight="1" x14ac:dyDescent="0.2">
      <c r="A78" s="121">
        <v>39294</v>
      </c>
      <c r="B78" t="s">
        <v>406</v>
      </c>
      <c r="C78" t="s">
        <v>571</v>
      </c>
      <c r="D78" t="s">
        <v>572</v>
      </c>
      <c r="E78" t="s">
        <v>573</v>
      </c>
      <c r="F78" t="s">
        <v>410</v>
      </c>
      <c r="G78">
        <v>225</v>
      </c>
      <c r="I78">
        <v>225</v>
      </c>
    </row>
    <row r="79" spans="1:17" ht="14.45" customHeight="1" x14ac:dyDescent="0.2">
      <c r="A79" s="121">
        <v>39294</v>
      </c>
      <c r="B79" t="s">
        <v>406</v>
      </c>
      <c r="C79" t="s">
        <v>574</v>
      </c>
      <c r="D79" t="s">
        <v>575</v>
      </c>
      <c r="E79" t="s">
        <v>576</v>
      </c>
      <c r="F79" t="s">
        <v>413</v>
      </c>
      <c r="G79">
        <v>802</v>
      </c>
      <c r="H79">
        <v>802</v>
      </c>
      <c r="I79">
        <v>791</v>
      </c>
      <c r="J79">
        <v>791</v>
      </c>
      <c r="K79">
        <v>125</v>
      </c>
      <c r="L79">
        <v>0</v>
      </c>
      <c r="M79">
        <v>651</v>
      </c>
      <c r="N79">
        <v>3</v>
      </c>
      <c r="O79">
        <v>23</v>
      </c>
      <c r="P79">
        <v>0</v>
      </c>
      <c r="Q79">
        <v>0</v>
      </c>
    </row>
    <row r="80" spans="1:17" ht="14.45" customHeight="1" x14ac:dyDescent="0.2">
      <c r="A80" s="121">
        <v>39294</v>
      </c>
      <c r="B80" t="s">
        <v>406</v>
      </c>
      <c r="C80" t="s">
        <v>577</v>
      </c>
      <c r="D80" t="s">
        <v>578</v>
      </c>
      <c r="E80" t="s">
        <v>579</v>
      </c>
      <c r="F80" t="s">
        <v>413</v>
      </c>
      <c r="G80">
        <v>3940</v>
      </c>
      <c r="H80">
        <v>3940</v>
      </c>
      <c r="I80">
        <v>3927</v>
      </c>
      <c r="J80">
        <v>3927</v>
      </c>
      <c r="K80">
        <v>854</v>
      </c>
      <c r="L80">
        <v>9</v>
      </c>
      <c r="M80">
        <v>3038</v>
      </c>
      <c r="N80">
        <v>20</v>
      </c>
      <c r="O80">
        <v>19</v>
      </c>
      <c r="P80">
        <v>0</v>
      </c>
      <c r="Q80">
        <v>0</v>
      </c>
    </row>
    <row r="81" spans="1:17" ht="14.45" customHeight="1" x14ac:dyDescent="0.2">
      <c r="A81" s="121">
        <v>39294</v>
      </c>
      <c r="B81" t="s">
        <v>406</v>
      </c>
      <c r="C81" t="s">
        <v>577</v>
      </c>
      <c r="D81" t="s">
        <v>580</v>
      </c>
      <c r="E81" t="s">
        <v>581</v>
      </c>
      <c r="F81" t="s">
        <v>413</v>
      </c>
      <c r="G81">
        <v>2208</v>
      </c>
      <c r="H81">
        <v>2208</v>
      </c>
      <c r="I81">
        <v>2192</v>
      </c>
      <c r="J81">
        <v>2192</v>
      </c>
      <c r="K81">
        <v>389</v>
      </c>
      <c r="L81">
        <v>1</v>
      </c>
      <c r="M81">
        <v>1665</v>
      </c>
      <c r="N81">
        <v>69</v>
      </c>
      <c r="O81">
        <v>84</v>
      </c>
      <c r="P81">
        <v>0</v>
      </c>
      <c r="Q81">
        <v>0</v>
      </c>
    </row>
    <row r="82" spans="1:17" ht="14.45" customHeight="1" x14ac:dyDescent="0.2">
      <c r="A82" s="121">
        <v>39294</v>
      </c>
      <c r="B82" t="s">
        <v>406</v>
      </c>
      <c r="C82" t="s">
        <v>577</v>
      </c>
      <c r="D82" t="s">
        <v>582</v>
      </c>
      <c r="E82" t="s">
        <v>583</v>
      </c>
      <c r="F82" t="s">
        <v>410</v>
      </c>
      <c r="G82">
        <v>78</v>
      </c>
      <c r="H82">
        <v>78</v>
      </c>
      <c r="I82">
        <v>78</v>
      </c>
      <c r="J82">
        <v>78</v>
      </c>
      <c r="K82">
        <v>0</v>
      </c>
      <c r="L82">
        <v>0</v>
      </c>
      <c r="M82">
        <v>78</v>
      </c>
      <c r="N82">
        <v>0</v>
      </c>
      <c r="O82">
        <v>0</v>
      </c>
      <c r="P82">
        <v>0</v>
      </c>
      <c r="Q82">
        <v>0</v>
      </c>
    </row>
    <row r="83" spans="1:17" ht="14.45" customHeight="1" x14ac:dyDescent="0.2">
      <c r="A83" s="121">
        <v>39294</v>
      </c>
      <c r="B83" t="s">
        <v>406</v>
      </c>
      <c r="C83" t="s">
        <v>577</v>
      </c>
      <c r="D83" t="s">
        <v>584</v>
      </c>
      <c r="E83" t="s">
        <v>585</v>
      </c>
      <c r="F83" t="s">
        <v>410</v>
      </c>
      <c r="G83">
        <v>167</v>
      </c>
      <c r="H83">
        <v>167</v>
      </c>
      <c r="I83">
        <v>166</v>
      </c>
      <c r="J83">
        <v>166</v>
      </c>
      <c r="K83">
        <v>9</v>
      </c>
      <c r="L83">
        <v>0</v>
      </c>
      <c r="M83">
        <v>158</v>
      </c>
      <c r="N83">
        <v>0</v>
      </c>
      <c r="O83">
        <v>0</v>
      </c>
      <c r="P83">
        <v>0</v>
      </c>
      <c r="Q83">
        <v>0</v>
      </c>
    </row>
    <row r="84" spans="1:17" ht="14.45" customHeight="1" x14ac:dyDescent="0.2">
      <c r="A84" s="121">
        <v>39294</v>
      </c>
      <c r="B84" t="s">
        <v>406</v>
      </c>
      <c r="C84" t="s">
        <v>577</v>
      </c>
      <c r="D84" t="s">
        <v>586</v>
      </c>
      <c r="E84" t="s">
        <v>587</v>
      </c>
      <c r="F84" t="s">
        <v>410</v>
      </c>
      <c r="G84">
        <v>847</v>
      </c>
      <c r="H84">
        <v>847</v>
      </c>
      <c r="I84">
        <v>846</v>
      </c>
      <c r="J84">
        <v>846</v>
      </c>
      <c r="K84">
        <v>56</v>
      </c>
      <c r="L84">
        <v>0</v>
      </c>
      <c r="M84">
        <v>791</v>
      </c>
      <c r="N84">
        <v>0</v>
      </c>
      <c r="O84">
        <v>0</v>
      </c>
      <c r="P84">
        <v>0</v>
      </c>
      <c r="Q84">
        <v>0</v>
      </c>
    </row>
    <row r="85" spans="1:17" ht="14.45" customHeight="1" x14ac:dyDescent="0.2">
      <c r="A85" s="121">
        <v>39294</v>
      </c>
      <c r="B85" t="s">
        <v>406</v>
      </c>
      <c r="C85" t="s">
        <v>577</v>
      </c>
      <c r="D85" t="s">
        <v>588</v>
      </c>
      <c r="E85" t="s">
        <v>589</v>
      </c>
      <c r="F85" t="s">
        <v>410</v>
      </c>
      <c r="G85">
        <v>228</v>
      </c>
      <c r="H85">
        <v>228</v>
      </c>
      <c r="I85">
        <v>228</v>
      </c>
      <c r="J85">
        <v>228</v>
      </c>
      <c r="K85">
        <v>9</v>
      </c>
      <c r="L85">
        <v>0</v>
      </c>
      <c r="M85">
        <v>219</v>
      </c>
      <c r="N85">
        <v>0</v>
      </c>
      <c r="O85">
        <v>0</v>
      </c>
      <c r="P85">
        <v>0</v>
      </c>
      <c r="Q85">
        <v>0</v>
      </c>
    </row>
    <row r="86" spans="1:17" ht="14.45" customHeight="1" x14ac:dyDescent="0.2">
      <c r="A86" s="121">
        <v>39294</v>
      </c>
      <c r="B86" t="s">
        <v>406</v>
      </c>
      <c r="C86" t="s">
        <v>577</v>
      </c>
      <c r="D86" t="s">
        <v>590</v>
      </c>
      <c r="E86" t="s">
        <v>591</v>
      </c>
      <c r="F86" t="s">
        <v>410</v>
      </c>
      <c r="G86">
        <v>504</v>
      </c>
      <c r="H86">
        <v>504</v>
      </c>
      <c r="I86">
        <v>504</v>
      </c>
      <c r="J86">
        <v>504</v>
      </c>
      <c r="K86">
        <v>12</v>
      </c>
      <c r="L86">
        <v>0</v>
      </c>
      <c r="M86">
        <v>492</v>
      </c>
      <c r="N86">
        <v>0</v>
      </c>
      <c r="O86">
        <v>0</v>
      </c>
      <c r="P86">
        <v>0</v>
      </c>
      <c r="Q86">
        <v>0</v>
      </c>
    </row>
    <row r="87" spans="1:17" ht="14.45" customHeight="1" x14ac:dyDescent="0.2">
      <c r="A87" s="121">
        <v>39294</v>
      </c>
      <c r="B87" t="s">
        <v>406</v>
      </c>
      <c r="C87" t="s">
        <v>577</v>
      </c>
      <c r="D87" t="s">
        <v>592</v>
      </c>
      <c r="E87" t="s">
        <v>593</v>
      </c>
      <c r="F87" t="s">
        <v>410</v>
      </c>
      <c r="G87">
        <v>444</v>
      </c>
      <c r="H87">
        <v>444</v>
      </c>
      <c r="I87">
        <v>444</v>
      </c>
      <c r="J87">
        <v>444</v>
      </c>
      <c r="K87">
        <v>0</v>
      </c>
      <c r="L87">
        <v>0</v>
      </c>
      <c r="M87">
        <v>0</v>
      </c>
      <c r="N87">
        <v>0</v>
      </c>
      <c r="O87">
        <v>444</v>
      </c>
      <c r="P87">
        <v>0</v>
      </c>
      <c r="Q87">
        <v>0</v>
      </c>
    </row>
    <row r="88" spans="1:17" ht="14.45" customHeight="1" x14ac:dyDescent="0.2">
      <c r="A88" s="121">
        <v>39294</v>
      </c>
      <c r="B88" t="s">
        <v>406</v>
      </c>
      <c r="C88" t="s">
        <v>594</v>
      </c>
      <c r="D88" t="s">
        <v>595</v>
      </c>
      <c r="E88" t="s">
        <v>596</v>
      </c>
      <c r="F88" t="s">
        <v>410</v>
      </c>
      <c r="G88">
        <v>57</v>
      </c>
      <c r="I88">
        <v>57</v>
      </c>
    </row>
    <row r="89" spans="1:17" ht="14.45" customHeight="1" x14ac:dyDescent="0.2">
      <c r="A89" s="121">
        <v>39294</v>
      </c>
      <c r="B89" t="s">
        <v>406</v>
      </c>
      <c r="C89" t="s">
        <v>594</v>
      </c>
      <c r="D89" t="s">
        <v>597</v>
      </c>
      <c r="E89" t="s">
        <v>598</v>
      </c>
      <c r="F89" t="s">
        <v>413</v>
      </c>
      <c r="G89">
        <v>776</v>
      </c>
      <c r="H89">
        <v>776</v>
      </c>
      <c r="I89">
        <v>762</v>
      </c>
      <c r="J89">
        <v>762</v>
      </c>
      <c r="K89">
        <v>168</v>
      </c>
      <c r="L89">
        <v>0</v>
      </c>
      <c r="M89">
        <v>603</v>
      </c>
      <c r="N89">
        <v>0</v>
      </c>
      <c r="O89">
        <v>5</v>
      </c>
      <c r="P89">
        <v>1</v>
      </c>
      <c r="Q89">
        <v>0</v>
      </c>
    </row>
    <row r="90" spans="1:17" ht="14.45" customHeight="1" x14ac:dyDescent="0.2">
      <c r="A90" s="121">
        <v>39294</v>
      </c>
      <c r="B90" t="s">
        <v>406</v>
      </c>
      <c r="C90" t="s">
        <v>594</v>
      </c>
      <c r="D90" t="s">
        <v>599</v>
      </c>
      <c r="E90" t="s">
        <v>600</v>
      </c>
      <c r="F90" t="s">
        <v>410</v>
      </c>
      <c r="G90">
        <v>135</v>
      </c>
      <c r="I90">
        <v>135</v>
      </c>
    </row>
    <row r="91" spans="1:17" ht="14.45" customHeight="1" x14ac:dyDescent="0.2">
      <c r="A91" s="121">
        <v>39325</v>
      </c>
      <c r="B91" t="s">
        <v>406</v>
      </c>
      <c r="C91" t="s">
        <v>407</v>
      </c>
      <c r="D91" t="s">
        <v>408</v>
      </c>
      <c r="E91" t="s">
        <v>409</v>
      </c>
      <c r="F91" t="s">
        <v>410</v>
      </c>
      <c r="G91">
        <v>265</v>
      </c>
      <c r="I91">
        <v>265</v>
      </c>
    </row>
    <row r="92" spans="1:17" ht="14.45" customHeight="1" x14ac:dyDescent="0.2">
      <c r="A92" s="121">
        <v>39325</v>
      </c>
      <c r="B92" t="s">
        <v>406</v>
      </c>
      <c r="C92" t="s">
        <v>407</v>
      </c>
      <c r="D92" t="s">
        <v>411</v>
      </c>
      <c r="E92" t="s">
        <v>412</v>
      </c>
      <c r="F92" t="s">
        <v>413</v>
      </c>
      <c r="G92">
        <v>5655</v>
      </c>
      <c r="H92">
        <v>5655</v>
      </c>
      <c r="I92">
        <v>5508</v>
      </c>
      <c r="J92">
        <v>5508</v>
      </c>
      <c r="K92">
        <v>1987</v>
      </c>
      <c r="L92">
        <v>9</v>
      </c>
      <c r="M92">
        <v>3548</v>
      </c>
      <c r="N92">
        <v>33</v>
      </c>
      <c r="O92">
        <v>78</v>
      </c>
      <c r="P92">
        <v>5</v>
      </c>
      <c r="Q92">
        <v>3</v>
      </c>
    </row>
    <row r="93" spans="1:17" ht="14.45" customHeight="1" x14ac:dyDescent="0.2">
      <c r="A93" s="121">
        <v>39325</v>
      </c>
      <c r="B93" t="s">
        <v>406</v>
      </c>
      <c r="C93" t="s">
        <v>407</v>
      </c>
      <c r="D93" t="s">
        <v>414</v>
      </c>
      <c r="E93" t="s">
        <v>415</v>
      </c>
      <c r="F93" t="s">
        <v>410</v>
      </c>
      <c r="G93">
        <v>86</v>
      </c>
      <c r="I93">
        <v>86</v>
      </c>
    </row>
    <row r="94" spans="1:17" ht="14.45" customHeight="1" x14ac:dyDescent="0.2">
      <c r="A94" s="121">
        <v>39325</v>
      </c>
      <c r="B94" t="s">
        <v>406</v>
      </c>
      <c r="C94" t="s">
        <v>407</v>
      </c>
      <c r="D94" t="s">
        <v>416</v>
      </c>
      <c r="E94" t="s">
        <v>417</v>
      </c>
      <c r="F94" t="s">
        <v>413</v>
      </c>
      <c r="G94">
        <v>3558</v>
      </c>
      <c r="H94">
        <v>3558</v>
      </c>
      <c r="I94">
        <v>3388</v>
      </c>
      <c r="J94">
        <v>3388</v>
      </c>
      <c r="K94">
        <v>1211</v>
      </c>
      <c r="L94">
        <v>0</v>
      </c>
      <c r="M94">
        <v>2211</v>
      </c>
      <c r="N94">
        <v>77</v>
      </c>
      <c r="O94">
        <v>59</v>
      </c>
      <c r="P94">
        <v>1</v>
      </c>
      <c r="Q94">
        <v>0</v>
      </c>
    </row>
    <row r="95" spans="1:17" ht="14.45" customHeight="1" x14ac:dyDescent="0.2">
      <c r="A95" s="121">
        <v>39325</v>
      </c>
      <c r="B95" t="s">
        <v>406</v>
      </c>
      <c r="C95" t="s">
        <v>418</v>
      </c>
      <c r="D95" t="s">
        <v>419</v>
      </c>
      <c r="E95" t="s">
        <v>420</v>
      </c>
      <c r="F95" t="s">
        <v>410</v>
      </c>
      <c r="G95">
        <v>14</v>
      </c>
      <c r="I95">
        <v>14</v>
      </c>
    </row>
    <row r="96" spans="1:17" ht="14.45" customHeight="1" x14ac:dyDescent="0.2">
      <c r="A96" s="121">
        <v>39325</v>
      </c>
      <c r="B96" t="s">
        <v>406</v>
      </c>
      <c r="C96" t="s">
        <v>418</v>
      </c>
      <c r="D96" t="s">
        <v>421</v>
      </c>
      <c r="E96" t="s">
        <v>422</v>
      </c>
      <c r="F96" t="s">
        <v>410</v>
      </c>
      <c r="G96">
        <v>106</v>
      </c>
      <c r="I96">
        <v>106</v>
      </c>
    </row>
    <row r="97" spans="1:17" ht="14.45" customHeight="1" x14ac:dyDescent="0.2">
      <c r="A97" s="121">
        <v>39325</v>
      </c>
      <c r="B97" t="s">
        <v>406</v>
      </c>
      <c r="C97" t="s">
        <v>418</v>
      </c>
      <c r="D97" t="s">
        <v>423</v>
      </c>
      <c r="E97" t="s">
        <v>424</v>
      </c>
      <c r="F97" t="s">
        <v>410</v>
      </c>
      <c r="G97">
        <v>28</v>
      </c>
      <c r="I97">
        <v>28</v>
      </c>
    </row>
    <row r="98" spans="1:17" ht="14.45" customHeight="1" x14ac:dyDescent="0.2">
      <c r="A98" s="121">
        <v>39325</v>
      </c>
      <c r="B98" t="s">
        <v>406</v>
      </c>
      <c r="C98" t="s">
        <v>418</v>
      </c>
      <c r="D98" t="s">
        <v>425</v>
      </c>
      <c r="E98" t="s">
        <v>426</v>
      </c>
      <c r="F98" t="s">
        <v>410</v>
      </c>
      <c r="G98">
        <v>122</v>
      </c>
      <c r="I98">
        <v>122</v>
      </c>
    </row>
    <row r="99" spans="1:17" ht="14.45" customHeight="1" x14ac:dyDescent="0.2">
      <c r="A99" s="121">
        <v>39325</v>
      </c>
      <c r="B99" t="s">
        <v>406</v>
      </c>
      <c r="C99" t="s">
        <v>418</v>
      </c>
      <c r="D99" t="s">
        <v>427</v>
      </c>
      <c r="E99" t="s">
        <v>428</v>
      </c>
      <c r="F99" t="s">
        <v>413</v>
      </c>
      <c r="G99">
        <v>2005</v>
      </c>
      <c r="H99">
        <v>2005</v>
      </c>
      <c r="I99">
        <v>1993</v>
      </c>
      <c r="J99">
        <v>1993</v>
      </c>
      <c r="K99">
        <v>600</v>
      </c>
      <c r="L99">
        <v>4</v>
      </c>
      <c r="M99">
        <v>1197</v>
      </c>
      <c r="N99">
        <v>34</v>
      </c>
      <c r="O99">
        <v>170</v>
      </c>
      <c r="P99">
        <v>0</v>
      </c>
      <c r="Q99">
        <v>0</v>
      </c>
    </row>
    <row r="100" spans="1:17" ht="14.45" customHeight="1" x14ac:dyDescent="0.2">
      <c r="A100" s="121">
        <v>39325</v>
      </c>
      <c r="B100" t="s">
        <v>406</v>
      </c>
      <c r="C100" t="s">
        <v>429</v>
      </c>
      <c r="D100" t="s">
        <v>430</v>
      </c>
      <c r="E100" t="s">
        <v>431</v>
      </c>
      <c r="F100" t="s">
        <v>410</v>
      </c>
      <c r="G100">
        <v>92</v>
      </c>
      <c r="I100">
        <v>92</v>
      </c>
    </row>
    <row r="101" spans="1:17" ht="14.45" customHeight="1" x14ac:dyDescent="0.2">
      <c r="A101" s="121">
        <v>39325</v>
      </c>
      <c r="B101" t="s">
        <v>406</v>
      </c>
      <c r="C101" t="s">
        <v>429</v>
      </c>
      <c r="D101" t="s">
        <v>432</v>
      </c>
      <c r="E101" t="s">
        <v>433</v>
      </c>
      <c r="F101" t="s">
        <v>410</v>
      </c>
      <c r="G101">
        <v>77</v>
      </c>
      <c r="I101">
        <v>77</v>
      </c>
    </row>
    <row r="102" spans="1:17" ht="14.45" customHeight="1" x14ac:dyDescent="0.2">
      <c r="A102" s="121">
        <v>39325</v>
      </c>
      <c r="B102" t="s">
        <v>406</v>
      </c>
      <c r="C102" t="s">
        <v>429</v>
      </c>
      <c r="D102" t="s">
        <v>434</v>
      </c>
      <c r="E102" t="s">
        <v>435</v>
      </c>
      <c r="F102" t="s">
        <v>410</v>
      </c>
      <c r="G102">
        <v>10</v>
      </c>
      <c r="I102">
        <v>10</v>
      </c>
    </row>
    <row r="103" spans="1:17" ht="14.45" customHeight="1" x14ac:dyDescent="0.2">
      <c r="A103" s="121">
        <v>39325</v>
      </c>
      <c r="B103" t="s">
        <v>406</v>
      </c>
      <c r="C103" t="s">
        <v>429</v>
      </c>
      <c r="D103" t="s">
        <v>436</v>
      </c>
      <c r="E103" t="s">
        <v>437</v>
      </c>
      <c r="F103" t="s">
        <v>410</v>
      </c>
      <c r="G103">
        <v>62</v>
      </c>
      <c r="I103">
        <v>62</v>
      </c>
    </row>
    <row r="104" spans="1:17" ht="14.45" customHeight="1" x14ac:dyDescent="0.2">
      <c r="A104" s="121">
        <v>39325</v>
      </c>
      <c r="B104" t="s">
        <v>406</v>
      </c>
      <c r="C104" t="s">
        <v>429</v>
      </c>
      <c r="D104" t="s">
        <v>438</v>
      </c>
      <c r="E104" t="s">
        <v>439</v>
      </c>
      <c r="F104" t="s">
        <v>413</v>
      </c>
      <c r="G104">
        <v>1269</v>
      </c>
      <c r="I104">
        <v>1248</v>
      </c>
    </row>
    <row r="105" spans="1:17" ht="14.45" customHeight="1" x14ac:dyDescent="0.2">
      <c r="A105" s="121">
        <v>39325</v>
      </c>
      <c r="B105" t="s">
        <v>406</v>
      </c>
      <c r="C105" t="s">
        <v>429</v>
      </c>
      <c r="D105" t="s">
        <v>440</v>
      </c>
      <c r="E105" t="s">
        <v>441</v>
      </c>
      <c r="F105" t="s">
        <v>413</v>
      </c>
      <c r="G105">
        <v>3010</v>
      </c>
      <c r="H105">
        <v>3010</v>
      </c>
      <c r="I105">
        <v>2903</v>
      </c>
      <c r="J105">
        <v>2903</v>
      </c>
      <c r="K105">
        <v>938</v>
      </c>
      <c r="L105">
        <v>3</v>
      </c>
      <c r="M105">
        <v>2005</v>
      </c>
      <c r="N105">
        <v>10</v>
      </c>
      <c r="O105">
        <v>54</v>
      </c>
      <c r="P105">
        <v>2</v>
      </c>
      <c r="Q105">
        <v>0</v>
      </c>
    </row>
    <row r="106" spans="1:17" ht="14.45" customHeight="1" x14ac:dyDescent="0.2">
      <c r="A106" s="121">
        <v>39325</v>
      </c>
      <c r="B106" t="s">
        <v>406</v>
      </c>
      <c r="C106" t="s">
        <v>442</v>
      </c>
      <c r="D106" t="s">
        <v>443</v>
      </c>
      <c r="E106" t="s">
        <v>444</v>
      </c>
      <c r="F106" t="s">
        <v>413</v>
      </c>
      <c r="G106">
        <v>3877</v>
      </c>
      <c r="H106">
        <v>3877</v>
      </c>
      <c r="I106">
        <v>3745</v>
      </c>
      <c r="J106">
        <v>3745</v>
      </c>
      <c r="K106">
        <v>572</v>
      </c>
      <c r="L106">
        <v>254</v>
      </c>
      <c r="M106">
        <v>2935</v>
      </c>
      <c r="N106">
        <v>49</v>
      </c>
      <c r="O106">
        <v>67</v>
      </c>
      <c r="P106">
        <v>8</v>
      </c>
      <c r="Q106">
        <v>3</v>
      </c>
    </row>
    <row r="107" spans="1:17" ht="14.45" customHeight="1" x14ac:dyDescent="0.2">
      <c r="A107" s="121">
        <v>39325</v>
      </c>
      <c r="B107" t="s">
        <v>406</v>
      </c>
      <c r="C107" t="s">
        <v>442</v>
      </c>
      <c r="D107" t="s">
        <v>445</v>
      </c>
      <c r="E107" t="s">
        <v>446</v>
      </c>
      <c r="F107" t="s">
        <v>410</v>
      </c>
      <c r="G107">
        <v>155</v>
      </c>
      <c r="I107">
        <v>155</v>
      </c>
    </row>
    <row r="108" spans="1:17" ht="14.45" customHeight="1" x14ac:dyDescent="0.2">
      <c r="A108" s="121">
        <v>39325</v>
      </c>
      <c r="B108" t="s">
        <v>406</v>
      </c>
      <c r="C108" t="s">
        <v>442</v>
      </c>
      <c r="D108" t="s">
        <v>447</v>
      </c>
      <c r="E108" t="s">
        <v>448</v>
      </c>
      <c r="F108" t="s">
        <v>410</v>
      </c>
      <c r="G108">
        <v>251</v>
      </c>
      <c r="I108">
        <v>250</v>
      </c>
    </row>
    <row r="109" spans="1:17" ht="14.45" customHeight="1" x14ac:dyDescent="0.2">
      <c r="A109" s="121">
        <v>39325</v>
      </c>
      <c r="B109" t="s">
        <v>406</v>
      </c>
      <c r="C109" t="s">
        <v>442</v>
      </c>
      <c r="D109" t="s">
        <v>449</v>
      </c>
      <c r="E109" t="s">
        <v>450</v>
      </c>
      <c r="F109" t="s">
        <v>413</v>
      </c>
      <c r="G109">
        <v>3507</v>
      </c>
      <c r="H109">
        <v>3507</v>
      </c>
      <c r="I109">
        <v>3400</v>
      </c>
      <c r="J109">
        <v>3400</v>
      </c>
      <c r="K109">
        <v>712</v>
      </c>
      <c r="L109">
        <v>55</v>
      </c>
      <c r="M109">
        <v>2684</v>
      </c>
      <c r="N109">
        <v>31</v>
      </c>
      <c r="O109">
        <v>25</v>
      </c>
      <c r="P109">
        <v>3</v>
      </c>
      <c r="Q109">
        <v>0</v>
      </c>
    </row>
    <row r="110" spans="1:17" ht="14.45" customHeight="1" x14ac:dyDescent="0.2">
      <c r="A110" s="121">
        <v>39325</v>
      </c>
      <c r="B110" t="s">
        <v>406</v>
      </c>
      <c r="C110" t="s">
        <v>451</v>
      </c>
      <c r="D110" t="s">
        <v>452</v>
      </c>
      <c r="E110" t="s">
        <v>453</v>
      </c>
      <c r="F110" t="s">
        <v>410</v>
      </c>
      <c r="G110">
        <v>1872</v>
      </c>
      <c r="H110">
        <v>1872</v>
      </c>
      <c r="I110">
        <v>1870</v>
      </c>
      <c r="J110">
        <v>1870</v>
      </c>
      <c r="K110">
        <v>0</v>
      </c>
      <c r="L110">
        <v>0</v>
      </c>
      <c r="M110">
        <v>1344</v>
      </c>
      <c r="N110">
        <v>227</v>
      </c>
      <c r="O110">
        <v>301</v>
      </c>
      <c r="P110">
        <v>0</v>
      </c>
      <c r="Q110">
        <v>0</v>
      </c>
    </row>
    <row r="111" spans="1:17" ht="14.45" customHeight="1" x14ac:dyDescent="0.2">
      <c r="A111" s="121">
        <v>39325</v>
      </c>
      <c r="B111" t="s">
        <v>406</v>
      </c>
      <c r="C111" t="s">
        <v>451</v>
      </c>
      <c r="D111" t="s">
        <v>454</v>
      </c>
      <c r="E111" t="s">
        <v>455</v>
      </c>
      <c r="F111" t="s">
        <v>413</v>
      </c>
      <c r="G111">
        <v>4370</v>
      </c>
      <c r="H111">
        <v>4370</v>
      </c>
      <c r="I111">
        <v>4055</v>
      </c>
      <c r="J111">
        <v>4055</v>
      </c>
      <c r="K111">
        <v>1096</v>
      </c>
      <c r="L111">
        <v>4</v>
      </c>
      <c r="M111">
        <v>2572</v>
      </c>
      <c r="N111">
        <v>38</v>
      </c>
      <c r="O111">
        <v>660</v>
      </c>
      <c r="P111">
        <v>10</v>
      </c>
      <c r="Q111">
        <v>0</v>
      </c>
    </row>
    <row r="112" spans="1:17" ht="14.45" customHeight="1" x14ac:dyDescent="0.2">
      <c r="A112" s="121">
        <v>39325</v>
      </c>
      <c r="B112" t="s">
        <v>406</v>
      </c>
      <c r="C112" t="s">
        <v>456</v>
      </c>
      <c r="D112" t="s">
        <v>457</v>
      </c>
      <c r="E112" t="s">
        <v>458</v>
      </c>
      <c r="F112" t="s">
        <v>413</v>
      </c>
      <c r="G112">
        <v>5421</v>
      </c>
      <c r="H112">
        <v>5421</v>
      </c>
      <c r="I112">
        <v>5261</v>
      </c>
      <c r="J112">
        <v>5261</v>
      </c>
      <c r="K112">
        <v>1278</v>
      </c>
      <c r="L112">
        <v>27</v>
      </c>
      <c r="M112">
        <v>3979</v>
      </c>
      <c r="N112">
        <v>108</v>
      </c>
      <c r="O112">
        <v>29</v>
      </c>
      <c r="P112">
        <v>5</v>
      </c>
      <c r="Q112">
        <v>1</v>
      </c>
    </row>
    <row r="113" spans="1:17" ht="14.45" customHeight="1" x14ac:dyDescent="0.2">
      <c r="A113" s="121">
        <v>39325</v>
      </c>
      <c r="B113" t="s">
        <v>406</v>
      </c>
      <c r="C113" t="s">
        <v>456</v>
      </c>
      <c r="D113" t="s">
        <v>459</v>
      </c>
      <c r="E113" t="s">
        <v>460</v>
      </c>
      <c r="F113" t="s">
        <v>413</v>
      </c>
      <c r="G113">
        <v>1412</v>
      </c>
      <c r="H113">
        <v>1412</v>
      </c>
      <c r="I113">
        <v>1402</v>
      </c>
      <c r="J113">
        <v>1402</v>
      </c>
      <c r="K113">
        <v>343</v>
      </c>
      <c r="L113">
        <v>0</v>
      </c>
      <c r="M113">
        <v>1069</v>
      </c>
      <c r="N113">
        <v>0</v>
      </c>
      <c r="O113">
        <v>0</v>
      </c>
      <c r="P113">
        <v>0</v>
      </c>
      <c r="Q113">
        <v>0</v>
      </c>
    </row>
    <row r="114" spans="1:17" ht="14.45" customHeight="1" x14ac:dyDescent="0.2">
      <c r="A114" s="121">
        <v>39325</v>
      </c>
      <c r="B114" t="s">
        <v>406</v>
      </c>
      <c r="C114" t="s">
        <v>456</v>
      </c>
      <c r="D114" t="s">
        <v>461</v>
      </c>
      <c r="E114" t="s">
        <v>462</v>
      </c>
      <c r="F114" t="s">
        <v>410</v>
      </c>
      <c r="G114">
        <v>72</v>
      </c>
      <c r="I114">
        <v>72</v>
      </c>
    </row>
    <row r="115" spans="1:17" ht="14.45" customHeight="1" x14ac:dyDescent="0.2">
      <c r="A115" s="121">
        <v>39325</v>
      </c>
      <c r="B115" t="s">
        <v>406</v>
      </c>
      <c r="C115" t="s">
        <v>456</v>
      </c>
      <c r="D115" t="s">
        <v>463</v>
      </c>
      <c r="E115" t="s">
        <v>464</v>
      </c>
      <c r="F115" t="s">
        <v>410</v>
      </c>
      <c r="G115">
        <v>48</v>
      </c>
      <c r="I115">
        <v>48</v>
      </c>
    </row>
    <row r="116" spans="1:17" ht="14.45" customHeight="1" x14ac:dyDescent="0.2">
      <c r="A116" s="121">
        <v>39325</v>
      </c>
      <c r="B116" t="s">
        <v>406</v>
      </c>
      <c r="C116" t="s">
        <v>456</v>
      </c>
      <c r="D116" t="s">
        <v>465</v>
      </c>
      <c r="E116" t="s">
        <v>466</v>
      </c>
      <c r="F116" t="s">
        <v>410</v>
      </c>
      <c r="G116">
        <v>93</v>
      </c>
      <c r="I116">
        <v>93</v>
      </c>
    </row>
    <row r="117" spans="1:17" ht="14.45" customHeight="1" x14ac:dyDescent="0.2">
      <c r="A117" s="121">
        <v>39325</v>
      </c>
      <c r="B117" t="s">
        <v>406</v>
      </c>
      <c r="C117" t="s">
        <v>456</v>
      </c>
      <c r="D117" t="s">
        <v>467</v>
      </c>
      <c r="E117" t="s">
        <v>468</v>
      </c>
      <c r="F117" t="s">
        <v>410</v>
      </c>
      <c r="G117">
        <v>1105</v>
      </c>
      <c r="I117">
        <v>1104</v>
      </c>
    </row>
    <row r="118" spans="1:17" ht="14.45" customHeight="1" x14ac:dyDescent="0.2">
      <c r="A118" s="121">
        <v>39325</v>
      </c>
      <c r="B118" t="s">
        <v>406</v>
      </c>
      <c r="C118" t="s">
        <v>456</v>
      </c>
      <c r="D118" t="s">
        <v>469</v>
      </c>
      <c r="E118" t="s">
        <v>470</v>
      </c>
      <c r="F118" t="s">
        <v>410</v>
      </c>
      <c r="G118">
        <v>806</v>
      </c>
      <c r="I118">
        <v>802</v>
      </c>
    </row>
    <row r="119" spans="1:17" ht="14.45" customHeight="1" x14ac:dyDescent="0.2">
      <c r="A119" s="121">
        <v>39325</v>
      </c>
      <c r="B119" t="s">
        <v>406</v>
      </c>
      <c r="C119" t="s">
        <v>456</v>
      </c>
      <c r="D119" t="s">
        <v>471</v>
      </c>
      <c r="E119" t="s">
        <v>472</v>
      </c>
      <c r="F119" t="s">
        <v>410</v>
      </c>
      <c r="G119">
        <v>256</v>
      </c>
      <c r="I119">
        <v>256</v>
      </c>
    </row>
    <row r="120" spans="1:17" ht="14.45" customHeight="1" x14ac:dyDescent="0.2">
      <c r="A120" s="121">
        <v>39325</v>
      </c>
      <c r="B120" t="s">
        <v>406</v>
      </c>
      <c r="C120" t="s">
        <v>456</v>
      </c>
      <c r="D120" t="s">
        <v>473</v>
      </c>
      <c r="E120" t="s">
        <v>474</v>
      </c>
      <c r="F120" t="s">
        <v>410</v>
      </c>
      <c r="G120">
        <v>178</v>
      </c>
      <c r="I120">
        <v>178</v>
      </c>
    </row>
    <row r="121" spans="1:17" ht="14.45" customHeight="1" x14ac:dyDescent="0.2">
      <c r="A121" s="121">
        <v>39325</v>
      </c>
      <c r="B121" t="s">
        <v>406</v>
      </c>
      <c r="C121" t="s">
        <v>456</v>
      </c>
      <c r="D121" t="s">
        <v>475</v>
      </c>
      <c r="E121" t="s">
        <v>476</v>
      </c>
      <c r="F121" t="s">
        <v>410</v>
      </c>
      <c r="G121">
        <v>385</v>
      </c>
      <c r="I121">
        <v>385</v>
      </c>
    </row>
    <row r="122" spans="1:17" ht="14.45" customHeight="1" x14ac:dyDescent="0.2">
      <c r="A122" s="121">
        <v>39325</v>
      </c>
      <c r="B122" t="s">
        <v>406</v>
      </c>
      <c r="C122" t="s">
        <v>456</v>
      </c>
      <c r="D122" t="s">
        <v>477</v>
      </c>
      <c r="E122" t="s">
        <v>478</v>
      </c>
      <c r="F122" t="s">
        <v>413</v>
      </c>
      <c r="G122">
        <v>1905</v>
      </c>
      <c r="H122">
        <v>1905</v>
      </c>
      <c r="I122">
        <v>1791</v>
      </c>
      <c r="J122">
        <v>1791</v>
      </c>
      <c r="K122">
        <v>560</v>
      </c>
      <c r="L122">
        <v>2</v>
      </c>
      <c r="M122">
        <v>1273</v>
      </c>
      <c r="N122">
        <v>27</v>
      </c>
      <c r="O122">
        <v>43</v>
      </c>
      <c r="P122">
        <v>6</v>
      </c>
      <c r="Q122">
        <v>0</v>
      </c>
    </row>
    <row r="123" spans="1:17" ht="14.45" customHeight="1" x14ac:dyDescent="0.2">
      <c r="A123" s="121">
        <v>39325</v>
      </c>
      <c r="B123" t="s">
        <v>406</v>
      </c>
      <c r="C123" t="s">
        <v>456</v>
      </c>
      <c r="D123" t="s">
        <v>479</v>
      </c>
      <c r="E123" t="s">
        <v>480</v>
      </c>
      <c r="F123" t="s">
        <v>410</v>
      </c>
      <c r="G123">
        <v>104</v>
      </c>
      <c r="I123">
        <v>104</v>
      </c>
    </row>
    <row r="124" spans="1:17" ht="14.45" customHeight="1" x14ac:dyDescent="0.2">
      <c r="A124" s="121">
        <v>39325</v>
      </c>
      <c r="B124" t="s">
        <v>406</v>
      </c>
      <c r="C124" t="s">
        <v>456</v>
      </c>
      <c r="D124" t="s">
        <v>481</v>
      </c>
      <c r="E124" t="s">
        <v>482</v>
      </c>
      <c r="F124" t="s">
        <v>410</v>
      </c>
      <c r="G124">
        <v>45</v>
      </c>
      <c r="I124">
        <v>45</v>
      </c>
    </row>
    <row r="125" spans="1:17" ht="14.45" customHeight="1" x14ac:dyDescent="0.2">
      <c r="A125" s="121">
        <v>39325</v>
      </c>
      <c r="B125" t="s">
        <v>406</v>
      </c>
      <c r="C125" t="s">
        <v>456</v>
      </c>
      <c r="D125" t="s">
        <v>483</v>
      </c>
      <c r="E125" t="s">
        <v>484</v>
      </c>
      <c r="F125" t="s">
        <v>410</v>
      </c>
      <c r="G125">
        <v>118</v>
      </c>
      <c r="I125">
        <v>118</v>
      </c>
    </row>
    <row r="126" spans="1:17" ht="14.45" customHeight="1" x14ac:dyDescent="0.2">
      <c r="A126" s="121">
        <v>39325</v>
      </c>
      <c r="B126" t="s">
        <v>406</v>
      </c>
      <c r="C126" t="s">
        <v>456</v>
      </c>
      <c r="D126" t="s">
        <v>485</v>
      </c>
      <c r="E126" t="s">
        <v>486</v>
      </c>
      <c r="F126" t="s">
        <v>410</v>
      </c>
      <c r="G126">
        <v>62</v>
      </c>
      <c r="I126">
        <v>62</v>
      </c>
    </row>
    <row r="127" spans="1:17" ht="14.45" customHeight="1" x14ac:dyDescent="0.2">
      <c r="A127" s="121">
        <v>39325</v>
      </c>
      <c r="B127" t="s">
        <v>406</v>
      </c>
      <c r="C127" t="s">
        <v>456</v>
      </c>
      <c r="D127" t="s">
        <v>487</v>
      </c>
      <c r="E127" t="s">
        <v>488</v>
      </c>
      <c r="F127" t="s">
        <v>410</v>
      </c>
      <c r="G127">
        <v>36</v>
      </c>
      <c r="I127">
        <v>36</v>
      </c>
    </row>
    <row r="128" spans="1:17" ht="14.45" customHeight="1" x14ac:dyDescent="0.2">
      <c r="A128" s="121">
        <v>39325</v>
      </c>
      <c r="B128" t="s">
        <v>406</v>
      </c>
      <c r="C128" t="s">
        <v>456</v>
      </c>
      <c r="D128" t="s">
        <v>489</v>
      </c>
      <c r="E128" t="s">
        <v>490</v>
      </c>
      <c r="F128" t="s">
        <v>410</v>
      </c>
      <c r="G128">
        <v>150</v>
      </c>
      <c r="H128">
        <v>150</v>
      </c>
      <c r="I128">
        <v>150</v>
      </c>
      <c r="J128">
        <v>150</v>
      </c>
      <c r="K128">
        <v>0</v>
      </c>
      <c r="L128">
        <v>1</v>
      </c>
      <c r="M128">
        <v>122</v>
      </c>
      <c r="N128">
        <v>27</v>
      </c>
      <c r="O128">
        <v>0</v>
      </c>
      <c r="P128">
        <v>0</v>
      </c>
      <c r="Q128">
        <v>0</v>
      </c>
    </row>
    <row r="129" spans="1:17" ht="14.45" customHeight="1" x14ac:dyDescent="0.2">
      <c r="A129" s="121">
        <v>39325</v>
      </c>
      <c r="B129" t="s">
        <v>406</v>
      </c>
      <c r="C129" t="s">
        <v>491</v>
      </c>
      <c r="D129" t="s">
        <v>492</v>
      </c>
      <c r="E129" t="s">
        <v>493</v>
      </c>
      <c r="F129" t="s">
        <v>410</v>
      </c>
      <c r="G129">
        <v>1407</v>
      </c>
      <c r="H129">
        <v>1407</v>
      </c>
      <c r="I129">
        <v>1388</v>
      </c>
      <c r="J129">
        <v>1388</v>
      </c>
      <c r="K129">
        <v>352</v>
      </c>
      <c r="L129">
        <v>1</v>
      </c>
      <c r="M129">
        <v>956</v>
      </c>
      <c r="N129">
        <v>84</v>
      </c>
      <c r="O129">
        <v>14</v>
      </c>
      <c r="P129">
        <v>0</v>
      </c>
      <c r="Q129">
        <v>0</v>
      </c>
    </row>
    <row r="130" spans="1:17" ht="14.45" customHeight="1" x14ac:dyDescent="0.2">
      <c r="A130" s="121">
        <v>39325</v>
      </c>
      <c r="B130" t="s">
        <v>406</v>
      </c>
      <c r="C130" t="s">
        <v>491</v>
      </c>
      <c r="D130" t="s">
        <v>494</v>
      </c>
      <c r="E130" t="s">
        <v>495</v>
      </c>
      <c r="F130" t="s">
        <v>413</v>
      </c>
      <c r="G130">
        <v>2791</v>
      </c>
      <c r="H130">
        <v>2791</v>
      </c>
      <c r="I130">
        <v>2732</v>
      </c>
      <c r="J130">
        <v>2732</v>
      </c>
      <c r="K130">
        <v>577</v>
      </c>
      <c r="L130">
        <v>1</v>
      </c>
      <c r="M130">
        <v>2039</v>
      </c>
      <c r="N130">
        <v>25</v>
      </c>
      <c r="O130">
        <v>149</v>
      </c>
      <c r="P130">
        <v>0</v>
      </c>
      <c r="Q130">
        <v>0</v>
      </c>
    </row>
    <row r="131" spans="1:17" ht="14.45" customHeight="1" x14ac:dyDescent="0.2">
      <c r="A131" s="121">
        <v>39325</v>
      </c>
      <c r="B131" t="s">
        <v>406</v>
      </c>
      <c r="C131" t="s">
        <v>491</v>
      </c>
      <c r="D131" t="s">
        <v>496</v>
      </c>
      <c r="E131" t="s">
        <v>497</v>
      </c>
      <c r="F131" t="s">
        <v>413</v>
      </c>
      <c r="G131">
        <v>5691</v>
      </c>
      <c r="H131">
        <v>5691</v>
      </c>
      <c r="I131">
        <v>5548</v>
      </c>
      <c r="J131">
        <v>5548</v>
      </c>
      <c r="K131">
        <v>1577</v>
      </c>
      <c r="L131">
        <v>6</v>
      </c>
      <c r="M131">
        <v>3742</v>
      </c>
      <c r="N131">
        <v>64</v>
      </c>
      <c r="O131">
        <v>302</v>
      </c>
      <c r="P131">
        <v>2</v>
      </c>
      <c r="Q131">
        <v>0</v>
      </c>
    </row>
    <row r="132" spans="1:17" ht="14.45" customHeight="1" x14ac:dyDescent="0.2">
      <c r="A132" s="121">
        <v>39325</v>
      </c>
      <c r="B132" t="s">
        <v>406</v>
      </c>
      <c r="C132" t="s">
        <v>491</v>
      </c>
      <c r="D132" t="s">
        <v>498</v>
      </c>
      <c r="E132" t="s">
        <v>499</v>
      </c>
      <c r="F132" t="s">
        <v>413</v>
      </c>
      <c r="G132">
        <v>6248</v>
      </c>
      <c r="H132">
        <v>6248</v>
      </c>
      <c r="I132">
        <v>5881</v>
      </c>
      <c r="J132">
        <v>5881</v>
      </c>
      <c r="K132">
        <v>1898</v>
      </c>
      <c r="L132">
        <v>18</v>
      </c>
      <c r="M132">
        <v>3883</v>
      </c>
      <c r="N132">
        <v>113</v>
      </c>
      <c r="O132">
        <v>336</v>
      </c>
      <c r="P132">
        <v>9</v>
      </c>
      <c r="Q132">
        <v>2</v>
      </c>
    </row>
    <row r="133" spans="1:17" ht="14.45" customHeight="1" x14ac:dyDescent="0.2">
      <c r="A133" s="121">
        <v>39325</v>
      </c>
      <c r="B133" t="s">
        <v>406</v>
      </c>
      <c r="C133" t="s">
        <v>491</v>
      </c>
      <c r="D133" t="s">
        <v>500</v>
      </c>
      <c r="E133" t="s">
        <v>501</v>
      </c>
      <c r="F133" t="s">
        <v>413</v>
      </c>
      <c r="G133">
        <v>3627</v>
      </c>
      <c r="H133">
        <v>3627</v>
      </c>
      <c r="I133">
        <v>3348</v>
      </c>
      <c r="J133">
        <v>3348</v>
      </c>
      <c r="K133">
        <v>1062</v>
      </c>
      <c r="L133">
        <v>1</v>
      </c>
      <c r="M133">
        <v>2380</v>
      </c>
      <c r="N133">
        <v>41</v>
      </c>
      <c r="O133">
        <v>143</v>
      </c>
      <c r="P133">
        <v>23</v>
      </c>
      <c r="Q133">
        <v>4</v>
      </c>
    </row>
    <row r="134" spans="1:17" ht="14.45" customHeight="1" x14ac:dyDescent="0.2">
      <c r="A134" s="121">
        <v>39325</v>
      </c>
      <c r="B134" t="s">
        <v>406</v>
      </c>
      <c r="C134" t="s">
        <v>491</v>
      </c>
      <c r="D134" t="s">
        <v>502</v>
      </c>
      <c r="E134" t="s">
        <v>503</v>
      </c>
      <c r="F134" t="s">
        <v>413</v>
      </c>
      <c r="G134">
        <v>5964</v>
      </c>
      <c r="H134">
        <v>5964</v>
      </c>
      <c r="I134">
        <v>5844</v>
      </c>
      <c r="J134">
        <v>5844</v>
      </c>
      <c r="K134">
        <v>1572</v>
      </c>
      <c r="L134">
        <v>13</v>
      </c>
      <c r="M134">
        <v>4225</v>
      </c>
      <c r="N134">
        <v>105</v>
      </c>
      <c r="O134">
        <v>49</v>
      </c>
      <c r="P134">
        <v>2</v>
      </c>
      <c r="Q134">
        <v>0</v>
      </c>
    </row>
    <row r="135" spans="1:17" ht="14.45" customHeight="1" x14ac:dyDescent="0.2">
      <c r="A135" s="121">
        <v>39325</v>
      </c>
      <c r="B135" t="s">
        <v>406</v>
      </c>
      <c r="C135" t="s">
        <v>491</v>
      </c>
      <c r="D135" t="s">
        <v>504</v>
      </c>
      <c r="E135" t="s">
        <v>505</v>
      </c>
      <c r="F135" t="s">
        <v>413</v>
      </c>
      <c r="G135">
        <v>4162</v>
      </c>
      <c r="H135">
        <v>4162</v>
      </c>
      <c r="I135">
        <v>3813</v>
      </c>
      <c r="J135">
        <v>3813</v>
      </c>
      <c r="K135">
        <v>1146</v>
      </c>
      <c r="L135">
        <v>12</v>
      </c>
      <c r="M135">
        <v>2743</v>
      </c>
      <c r="N135">
        <v>36</v>
      </c>
      <c r="O135">
        <v>225</v>
      </c>
      <c r="P135">
        <v>7</v>
      </c>
      <c r="Q135">
        <v>0</v>
      </c>
    </row>
    <row r="136" spans="1:17" ht="14.45" customHeight="1" x14ac:dyDescent="0.2">
      <c r="A136" s="121">
        <v>39325</v>
      </c>
      <c r="B136" t="s">
        <v>406</v>
      </c>
      <c r="C136" t="s">
        <v>491</v>
      </c>
      <c r="D136" t="s">
        <v>506</v>
      </c>
      <c r="E136" t="s">
        <v>507</v>
      </c>
      <c r="F136" t="s">
        <v>413</v>
      </c>
      <c r="G136">
        <v>3007</v>
      </c>
      <c r="H136">
        <v>3007</v>
      </c>
      <c r="I136">
        <v>2962</v>
      </c>
      <c r="J136">
        <v>2962</v>
      </c>
      <c r="K136">
        <v>529</v>
      </c>
      <c r="L136">
        <v>0</v>
      </c>
      <c r="M136">
        <v>2467</v>
      </c>
      <c r="N136">
        <v>3</v>
      </c>
      <c r="O136">
        <v>8</v>
      </c>
      <c r="P136">
        <v>2</v>
      </c>
      <c r="Q136">
        <v>1</v>
      </c>
    </row>
    <row r="137" spans="1:17" ht="14.45" customHeight="1" x14ac:dyDescent="0.2">
      <c r="A137" s="121">
        <v>39325</v>
      </c>
      <c r="B137" t="s">
        <v>406</v>
      </c>
      <c r="C137" t="s">
        <v>491</v>
      </c>
      <c r="D137" t="s">
        <v>508</v>
      </c>
      <c r="E137" t="s">
        <v>509</v>
      </c>
      <c r="F137" t="s">
        <v>413</v>
      </c>
      <c r="G137">
        <v>5177</v>
      </c>
      <c r="H137">
        <v>5177</v>
      </c>
      <c r="I137">
        <v>4733</v>
      </c>
      <c r="J137">
        <v>4733</v>
      </c>
      <c r="K137">
        <v>1643</v>
      </c>
      <c r="L137">
        <v>9</v>
      </c>
      <c r="M137">
        <v>3112</v>
      </c>
      <c r="N137">
        <v>113</v>
      </c>
      <c r="O137">
        <v>300</v>
      </c>
      <c r="P137">
        <v>26</v>
      </c>
      <c r="Q137">
        <v>3</v>
      </c>
    </row>
    <row r="138" spans="1:17" ht="14.45" customHeight="1" x14ac:dyDescent="0.2">
      <c r="A138" s="121">
        <v>39325</v>
      </c>
      <c r="B138" t="s">
        <v>406</v>
      </c>
      <c r="C138" t="s">
        <v>510</v>
      </c>
      <c r="D138" t="s">
        <v>511</v>
      </c>
      <c r="E138" t="s">
        <v>512</v>
      </c>
      <c r="F138" t="s">
        <v>410</v>
      </c>
      <c r="G138">
        <v>423</v>
      </c>
      <c r="I138">
        <v>422</v>
      </c>
    </row>
    <row r="139" spans="1:17" ht="14.45" customHeight="1" x14ac:dyDescent="0.2">
      <c r="A139" s="121">
        <v>39325</v>
      </c>
      <c r="B139" t="s">
        <v>406</v>
      </c>
      <c r="C139" t="s">
        <v>510</v>
      </c>
      <c r="D139" t="s">
        <v>513</v>
      </c>
      <c r="E139" t="s">
        <v>514</v>
      </c>
      <c r="F139" t="s">
        <v>410</v>
      </c>
      <c r="G139">
        <v>628</v>
      </c>
      <c r="I139">
        <v>627</v>
      </c>
    </row>
    <row r="140" spans="1:17" ht="14.45" customHeight="1" x14ac:dyDescent="0.2">
      <c r="A140" s="121">
        <v>39325</v>
      </c>
      <c r="B140" t="s">
        <v>406</v>
      </c>
      <c r="C140" t="s">
        <v>510</v>
      </c>
      <c r="D140" t="s">
        <v>515</v>
      </c>
      <c r="E140" t="s">
        <v>516</v>
      </c>
      <c r="F140" t="s">
        <v>410</v>
      </c>
      <c r="G140">
        <v>94</v>
      </c>
      <c r="I140">
        <v>94</v>
      </c>
    </row>
    <row r="141" spans="1:17" ht="14.45" customHeight="1" x14ac:dyDescent="0.2">
      <c r="A141" s="121">
        <v>39325</v>
      </c>
      <c r="B141" t="s">
        <v>406</v>
      </c>
      <c r="C141" t="s">
        <v>510</v>
      </c>
      <c r="D141" t="s">
        <v>517</v>
      </c>
      <c r="E141" t="s">
        <v>518</v>
      </c>
      <c r="F141" t="s">
        <v>410</v>
      </c>
      <c r="G141">
        <v>364</v>
      </c>
      <c r="I141">
        <v>364</v>
      </c>
    </row>
    <row r="142" spans="1:17" ht="14.45" customHeight="1" x14ac:dyDescent="0.2">
      <c r="A142" s="121">
        <v>39325</v>
      </c>
      <c r="B142" t="s">
        <v>406</v>
      </c>
      <c r="C142" t="s">
        <v>510</v>
      </c>
      <c r="D142" t="s">
        <v>519</v>
      </c>
      <c r="E142" t="s">
        <v>520</v>
      </c>
      <c r="F142" t="s">
        <v>410</v>
      </c>
      <c r="G142">
        <v>367</v>
      </c>
      <c r="I142">
        <v>361</v>
      </c>
    </row>
    <row r="143" spans="1:17" ht="14.45" customHeight="1" x14ac:dyDescent="0.2">
      <c r="A143" s="121">
        <v>39325</v>
      </c>
      <c r="B143" t="s">
        <v>406</v>
      </c>
      <c r="C143" t="s">
        <v>510</v>
      </c>
      <c r="D143" t="s">
        <v>521</v>
      </c>
      <c r="E143" t="s">
        <v>522</v>
      </c>
      <c r="F143" t="s">
        <v>410</v>
      </c>
      <c r="G143">
        <v>74</v>
      </c>
      <c r="I143">
        <v>73</v>
      </c>
    </row>
    <row r="144" spans="1:17" ht="14.45" customHeight="1" x14ac:dyDescent="0.2">
      <c r="A144" s="121">
        <v>39325</v>
      </c>
      <c r="B144" t="s">
        <v>406</v>
      </c>
      <c r="C144" t="s">
        <v>510</v>
      </c>
      <c r="D144" t="s">
        <v>523</v>
      </c>
      <c r="E144" t="s">
        <v>524</v>
      </c>
      <c r="F144" t="s">
        <v>413</v>
      </c>
      <c r="G144">
        <v>631</v>
      </c>
      <c r="I144">
        <v>629</v>
      </c>
    </row>
    <row r="145" spans="1:17" ht="14.45" customHeight="1" x14ac:dyDescent="0.2">
      <c r="A145" s="121">
        <v>39325</v>
      </c>
      <c r="B145" t="s">
        <v>406</v>
      </c>
      <c r="C145" t="s">
        <v>510</v>
      </c>
      <c r="D145" t="s">
        <v>525</v>
      </c>
      <c r="E145" t="s">
        <v>526</v>
      </c>
      <c r="F145" t="s">
        <v>410</v>
      </c>
      <c r="G145">
        <v>250</v>
      </c>
      <c r="I145">
        <v>249</v>
      </c>
    </row>
    <row r="146" spans="1:17" x14ac:dyDescent="0.2">
      <c r="A146" s="121">
        <v>39325</v>
      </c>
      <c r="B146" t="s">
        <v>406</v>
      </c>
      <c r="C146" t="s">
        <v>510</v>
      </c>
      <c r="D146" t="s">
        <v>527</v>
      </c>
      <c r="E146" t="s">
        <v>528</v>
      </c>
      <c r="F146" t="s">
        <v>410</v>
      </c>
      <c r="G146">
        <v>228</v>
      </c>
      <c r="I146">
        <v>227</v>
      </c>
    </row>
    <row r="147" spans="1:17" x14ac:dyDescent="0.2">
      <c r="A147" s="121">
        <v>39325</v>
      </c>
      <c r="B147" t="s">
        <v>406</v>
      </c>
      <c r="C147" t="s">
        <v>510</v>
      </c>
      <c r="D147" t="s">
        <v>529</v>
      </c>
      <c r="E147" t="s">
        <v>530</v>
      </c>
      <c r="F147" t="s">
        <v>413</v>
      </c>
      <c r="G147">
        <v>578</v>
      </c>
      <c r="I147">
        <v>573</v>
      </c>
    </row>
    <row r="148" spans="1:17" x14ac:dyDescent="0.2">
      <c r="A148" s="121">
        <v>39325</v>
      </c>
      <c r="B148" t="s">
        <v>406</v>
      </c>
      <c r="C148" t="s">
        <v>510</v>
      </c>
      <c r="D148" t="s">
        <v>531</v>
      </c>
      <c r="E148" t="s">
        <v>532</v>
      </c>
      <c r="F148" t="s">
        <v>410</v>
      </c>
      <c r="G148">
        <v>66</v>
      </c>
      <c r="I148">
        <v>66</v>
      </c>
    </row>
    <row r="149" spans="1:17" x14ac:dyDescent="0.2">
      <c r="A149" s="121">
        <v>39325</v>
      </c>
      <c r="B149" t="s">
        <v>406</v>
      </c>
      <c r="C149" t="s">
        <v>510</v>
      </c>
      <c r="D149" t="s">
        <v>533</v>
      </c>
      <c r="E149" t="s">
        <v>534</v>
      </c>
      <c r="F149" t="s">
        <v>413</v>
      </c>
      <c r="G149">
        <v>2805</v>
      </c>
      <c r="H149">
        <v>2805</v>
      </c>
      <c r="I149">
        <v>2717</v>
      </c>
      <c r="J149">
        <v>2717</v>
      </c>
      <c r="K149">
        <v>578</v>
      </c>
      <c r="L149">
        <v>4</v>
      </c>
      <c r="M149">
        <v>2167</v>
      </c>
      <c r="N149">
        <v>1</v>
      </c>
      <c r="O149">
        <v>55</v>
      </c>
      <c r="P149">
        <v>3</v>
      </c>
      <c r="Q149">
        <v>0</v>
      </c>
    </row>
    <row r="150" spans="1:17" x14ac:dyDescent="0.2">
      <c r="A150" s="121">
        <v>39325</v>
      </c>
      <c r="B150" t="s">
        <v>406</v>
      </c>
      <c r="C150" t="s">
        <v>510</v>
      </c>
      <c r="D150" t="s">
        <v>535</v>
      </c>
      <c r="E150" t="s">
        <v>536</v>
      </c>
      <c r="F150" t="s">
        <v>410</v>
      </c>
      <c r="G150">
        <v>283</v>
      </c>
      <c r="I150">
        <v>281</v>
      </c>
    </row>
    <row r="151" spans="1:17" x14ac:dyDescent="0.2">
      <c r="A151" s="121">
        <v>39325</v>
      </c>
      <c r="B151" t="s">
        <v>406</v>
      </c>
      <c r="C151" t="s">
        <v>510</v>
      </c>
      <c r="D151" t="s">
        <v>537</v>
      </c>
      <c r="E151" t="s">
        <v>538</v>
      </c>
      <c r="F151" t="s">
        <v>410</v>
      </c>
      <c r="G151">
        <v>107</v>
      </c>
      <c r="I151">
        <v>107</v>
      </c>
    </row>
    <row r="152" spans="1:17" x14ac:dyDescent="0.2">
      <c r="A152" s="121">
        <v>39325</v>
      </c>
      <c r="B152" t="s">
        <v>406</v>
      </c>
      <c r="C152" t="s">
        <v>510</v>
      </c>
      <c r="D152" t="s">
        <v>539</v>
      </c>
      <c r="E152" t="s">
        <v>540</v>
      </c>
      <c r="F152" t="s">
        <v>413</v>
      </c>
      <c r="G152">
        <v>936</v>
      </c>
      <c r="I152">
        <v>921</v>
      </c>
    </row>
    <row r="153" spans="1:17" x14ac:dyDescent="0.2">
      <c r="A153" s="121">
        <v>39325</v>
      </c>
      <c r="B153" t="s">
        <v>406</v>
      </c>
      <c r="C153" t="s">
        <v>510</v>
      </c>
      <c r="D153" t="s">
        <v>541</v>
      </c>
      <c r="E153" t="s">
        <v>542</v>
      </c>
      <c r="F153" t="s">
        <v>410</v>
      </c>
      <c r="G153">
        <v>304</v>
      </c>
      <c r="I153">
        <v>287</v>
      </c>
    </row>
    <row r="154" spans="1:17" x14ac:dyDescent="0.2">
      <c r="A154" s="121">
        <v>39325</v>
      </c>
      <c r="B154" t="s">
        <v>406</v>
      </c>
      <c r="C154" t="s">
        <v>510</v>
      </c>
      <c r="D154" t="s">
        <v>543</v>
      </c>
      <c r="E154" t="s">
        <v>544</v>
      </c>
      <c r="F154" t="s">
        <v>410</v>
      </c>
      <c r="G154">
        <v>150</v>
      </c>
      <c r="I154">
        <v>146</v>
      </c>
    </row>
    <row r="155" spans="1:17" x14ac:dyDescent="0.2">
      <c r="A155" s="121">
        <v>39325</v>
      </c>
      <c r="B155" t="s">
        <v>406</v>
      </c>
      <c r="C155" t="s">
        <v>510</v>
      </c>
      <c r="D155" t="s">
        <v>545</v>
      </c>
      <c r="E155" t="s">
        <v>546</v>
      </c>
      <c r="F155" t="s">
        <v>410</v>
      </c>
      <c r="G155">
        <v>225</v>
      </c>
      <c r="I155">
        <v>225</v>
      </c>
    </row>
    <row r="156" spans="1:17" x14ac:dyDescent="0.2">
      <c r="A156" s="121">
        <v>39325</v>
      </c>
      <c r="B156" t="s">
        <v>406</v>
      </c>
      <c r="C156" t="s">
        <v>510</v>
      </c>
      <c r="D156" t="s">
        <v>547</v>
      </c>
      <c r="E156" t="s">
        <v>548</v>
      </c>
      <c r="F156" t="s">
        <v>410</v>
      </c>
      <c r="G156">
        <v>104</v>
      </c>
      <c r="I156">
        <v>103</v>
      </c>
    </row>
    <row r="157" spans="1:17" x14ac:dyDescent="0.2">
      <c r="A157" s="121">
        <v>39325</v>
      </c>
      <c r="B157" t="s">
        <v>406</v>
      </c>
      <c r="C157" t="s">
        <v>510</v>
      </c>
      <c r="D157" t="s">
        <v>549</v>
      </c>
      <c r="E157" t="s">
        <v>550</v>
      </c>
      <c r="F157" t="s">
        <v>410</v>
      </c>
      <c r="G157">
        <v>218</v>
      </c>
      <c r="I157">
        <v>218</v>
      </c>
    </row>
    <row r="158" spans="1:17" x14ac:dyDescent="0.2">
      <c r="A158" s="121">
        <v>39325</v>
      </c>
      <c r="B158" t="s">
        <v>406</v>
      </c>
      <c r="C158" t="s">
        <v>551</v>
      </c>
      <c r="D158" t="s">
        <v>552</v>
      </c>
      <c r="E158" t="s">
        <v>553</v>
      </c>
      <c r="F158" t="s">
        <v>413</v>
      </c>
      <c r="G158">
        <v>5692</v>
      </c>
      <c r="H158">
        <v>5692</v>
      </c>
      <c r="I158">
        <v>5498</v>
      </c>
      <c r="J158">
        <v>5498</v>
      </c>
      <c r="K158">
        <v>1668</v>
      </c>
      <c r="L158">
        <v>3</v>
      </c>
      <c r="M158">
        <v>3969</v>
      </c>
      <c r="N158">
        <v>25</v>
      </c>
      <c r="O158">
        <v>27</v>
      </c>
      <c r="P158">
        <v>6</v>
      </c>
      <c r="Q158">
        <v>0</v>
      </c>
    </row>
    <row r="159" spans="1:17" x14ac:dyDescent="0.2">
      <c r="A159" s="121">
        <v>39325</v>
      </c>
      <c r="B159" t="s">
        <v>406</v>
      </c>
      <c r="C159" t="s">
        <v>551</v>
      </c>
      <c r="D159" t="s">
        <v>554</v>
      </c>
      <c r="E159" t="s">
        <v>555</v>
      </c>
      <c r="F159" t="s">
        <v>410</v>
      </c>
      <c r="G159">
        <v>174</v>
      </c>
      <c r="I159">
        <v>174</v>
      </c>
    </row>
    <row r="160" spans="1:17" x14ac:dyDescent="0.2">
      <c r="A160" s="121">
        <v>39325</v>
      </c>
      <c r="B160" t="s">
        <v>406</v>
      </c>
      <c r="C160" t="s">
        <v>551</v>
      </c>
      <c r="D160" t="s">
        <v>556</v>
      </c>
      <c r="E160" t="s">
        <v>557</v>
      </c>
      <c r="F160" t="s">
        <v>410</v>
      </c>
      <c r="G160">
        <v>140</v>
      </c>
      <c r="I160">
        <v>140</v>
      </c>
    </row>
    <row r="161" spans="1:17" x14ac:dyDescent="0.2">
      <c r="A161" s="121">
        <v>39325</v>
      </c>
      <c r="B161" t="s">
        <v>406</v>
      </c>
      <c r="C161" t="s">
        <v>551</v>
      </c>
      <c r="D161" t="s">
        <v>558</v>
      </c>
      <c r="E161" t="s">
        <v>559</v>
      </c>
      <c r="F161" t="s">
        <v>413</v>
      </c>
      <c r="G161">
        <v>4833</v>
      </c>
      <c r="H161">
        <v>4833</v>
      </c>
      <c r="I161">
        <v>4717</v>
      </c>
      <c r="J161">
        <v>4717</v>
      </c>
      <c r="K161">
        <v>1059</v>
      </c>
      <c r="L161">
        <v>10</v>
      </c>
      <c r="M161">
        <v>3717</v>
      </c>
      <c r="N161">
        <v>15</v>
      </c>
      <c r="O161">
        <v>32</v>
      </c>
      <c r="P161">
        <v>20</v>
      </c>
      <c r="Q161">
        <v>6</v>
      </c>
    </row>
    <row r="162" spans="1:17" x14ac:dyDescent="0.2">
      <c r="A162" s="121">
        <v>39325</v>
      </c>
      <c r="B162" t="s">
        <v>406</v>
      </c>
      <c r="C162" t="s">
        <v>551</v>
      </c>
      <c r="D162" t="s">
        <v>560</v>
      </c>
      <c r="E162" t="s">
        <v>561</v>
      </c>
      <c r="F162" t="s">
        <v>413</v>
      </c>
      <c r="G162">
        <v>5614</v>
      </c>
      <c r="H162">
        <v>5614</v>
      </c>
      <c r="I162">
        <v>5531</v>
      </c>
      <c r="J162">
        <v>5531</v>
      </c>
      <c r="K162">
        <v>1298</v>
      </c>
      <c r="L162">
        <v>5</v>
      </c>
      <c r="M162">
        <v>4267</v>
      </c>
      <c r="N162">
        <v>23</v>
      </c>
      <c r="O162">
        <v>21</v>
      </c>
      <c r="P162">
        <v>2</v>
      </c>
      <c r="Q162">
        <v>0</v>
      </c>
    </row>
    <row r="163" spans="1:17" x14ac:dyDescent="0.2">
      <c r="A163" s="121">
        <v>39325</v>
      </c>
      <c r="B163" t="s">
        <v>406</v>
      </c>
      <c r="C163" t="s">
        <v>562</v>
      </c>
      <c r="D163" t="s">
        <v>563</v>
      </c>
      <c r="E163" t="s">
        <v>564</v>
      </c>
      <c r="F163" t="s">
        <v>410</v>
      </c>
      <c r="G163">
        <v>2972</v>
      </c>
      <c r="H163">
        <v>2972</v>
      </c>
      <c r="I163">
        <v>2784</v>
      </c>
      <c r="J163">
        <v>2784</v>
      </c>
      <c r="K163">
        <v>907</v>
      </c>
      <c r="L163">
        <v>2</v>
      </c>
      <c r="M163">
        <v>2060</v>
      </c>
      <c r="N163">
        <v>3</v>
      </c>
      <c r="O163">
        <v>0</v>
      </c>
      <c r="P163">
        <v>8</v>
      </c>
      <c r="Q163">
        <v>0</v>
      </c>
    </row>
    <row r="164" spans="1:17" x14ac:dyDescent="0.2">
      <c r="A164" s="121">
        <v>39325</v>
      </c>
      <c r="B164" t="s">
        <v>406</v>
      </c>
      <c r="C164" t="s">
        <v>562</v>
      </c>
      <c r="D164" t="s">
        <v>565</v>
      </c>
      <c r="E164" t="s">
        <v>566</v>
      </c>
      <c r="F164" t="s">
        <v>413</v>
      </c>
      <c r="G164">
        <v>4036</v>
      </c>
      <c r="H164">
        <v>4036</v>
      </c>
      <c r="I164">
        <v>3912</v>
      </c>
      <c r="J164">
        <v>3912</v>
      </c>
      <c r="K164">
        <v>763</v>
      </c>
      <c r="L164">
        <v>4</v>
      </c>
      <c r="M164">
        <v>2912</v>
      </c>
      <c r="N164">
        <v>123</v>
      </c>
      <c r="O164">
        <v>234</v>
      </c>
      <c r="P164">
        <v>1</v>
      </c>
      <c r="Q164">
        <v>0</v>
      </c>
    </row>
    <row r="165" spans="1:17" x14ac:dyDescent="0.2">
      <c r="A165" s="121">
        <v>39325</v>
      </c>
      <c r="B165" t="s">
        <v>406</v>
      </c>
      <c r="C165" t="s">
        <v>562</v>
      </c>
      <c r="D165" t="s">
        <v>567</v>
      </c>
      <c r="E165" t="s">
        <v>568</v>
      </c>
      <c r="F165" t="s">
        <v>413</v>
      </c>
      <c r="G165">
        <v>9473</v>
      </c>
      <c r="H165">
        <v>9473</v>
      </c>
      <c r="I165">
        <v>8620</v>
      </c>
      <c r="J165">
        <v>8620</v>
      </c>
      <c r="K165">
        <v>2759</v>
      </c>
      <c r="L165">
        <v>18</v>
      </c>
      <c r="M165">
        <v>6526</v>
      </c>
      <c r="N165">
        <v>170</v>
      </c>
      <c r="O165">
        <v>0</v>
      </c>
      <c r="P165">
        <v>56</v>
      </c>
      <c r="Q165">
        <v>1</v>
      </c>
    </row>
    <row r="166" spans="1:17" x14ac:dyDescent="0.2">
      <c r="A166" s="121">
        <v>39325</v>
      </c>
      <c r="B166" t="s">
        <v>406</v>
      </c>
      <c r="C166" t="s">
        <v>562</v>
      </c>
      <c r="D166" t="s">
        <v>569</v>
      </c>
      <c r="E166" t="s">
        <v>570</v>
      </c>
      <c r="F166" t="s">
        <v>413</v>
      </c>
      <c r="G166">
        <v>2875</v>
      </c>
      <c r="H166">
        <v>2875</v>
      </c>
      <c r="I166">
        <v>2847</v>
      </c>
      <c r="J166">
        <v>2847</v>
      </c>
      <c r="K166">
        <v>461</v>
      </c>
      <c r="L166">
        <v>0</v>
      </c>
      <c r="M166">
        <v>2410</v>
      </c>
      <c r="N166">
        <v>4</v>
      </c>
      <c r="O166">
        <v>0</v>
      </c>
      <c r="P166">
        <v>0</v>
      </c>
      <c r="Q166">
        <v>0</v>
      </c>
    </row>
    <row r="167" spans="1:17" x14ac:dyDescent="0.2">
      <c r="A167" s="121">
        <v>39325</v>
      </c>
      <c r="B167" t="s">
        <v>406</v>
      </c>
      <c r="C167" t="s">
        <v>571</v>
      </c>
      <c r="D167" t="s">
        <v>572</v>
      </c>
      <c r="E167" t="s">
        <v>573</v>
      </c>
      <c r="F167" t="s">
        <v>410</v>
      </c>
      <c r="G167">
        <v>237</v>
      </c>
      <c r="I167">
        <v>237</v>
      </c>
    </row>
    <row r="168" spans="1:17" x14ac:dyDescent="0.2">
      <c r="A168" s="121">
        <v>39325</v>
      </c>
      <c r="B168" t="s">
        <v>406</v>
      </c>
      <c r="C168" t="s">
        <v>574</v>
      </c>
      <c r="D168" t="s">
        <v>575</v>
      </c>
      <c r="E168" t="s">
        <v>576</v>
      </c>
      <c r="F168" t="s">
        <v>413</v>
      </c>
      <c r="G168">
        <v>745</v>
      </c>
      <c r="H168">
        <v>745</v>
      </c>
      <c r="I168">
        <v>727</v>
      </c>
      <c r="J168">
        <v>727</v>
      </c>
      <c r="K168">
        <v>140</v>
      </c>
      <c r="L168">
        <v>0</v>
      </c>
      <c r="M168">
        <v>568</v>
      </c>
      <c r="N168">
        <v>5</v>
      </c>
      <c r="O168">
        <v>32</v>
      </c>
      <c r="P168">
        <v>1</v>
      </c>
      <c r="Q168">
        <v>1</v>
      </c>
    </row>
    <row r="169" spans="1:17" x14ac:dyDescent="0.2">
      <c r="A169" s="121">
        <v>39325</v>
      </c>
      <c r="B169" t="s">
        <v>406</v>
      </c>
      <c r="C169" t="s">
        <v>577</v>
      </c>
      <c r="D169" t="s">
        <v>578</v>
      </c>
      <c r="E169" t="s">
        <v>579</v>
      </c>
      <c r="F169" t="s">
        <v>413</v>
      </c>
      <c r="G169">
        <v>4072</v>
      </c>
      <c r="H169">
        <v>4072</v>
      </c>
      <c r="I169">
        <v>4040</v>
      </c>
      <c r="J169">
        <v>4040</v>
      </c>
      <c r="K169">
        <v>938</v>
      </c>
      <c r="L169">
        <v>11</v>
      </c>
      <c r="M169">
        <v>3090</v>
      </c>
      <c r="N169">
        <v>33</v>
      </c>
      <c r="O169">
        <v>0</v>
      </c>
      <c r="P169">
        <v>1</v>
      </c>
      <c r="Q169">
        <v>0</v>
      </c>
    </row>
    <row r="170" spans="1:17" x14ac:dyDescent="0.2">
      <c r="A170" s="121">
        <v>39325</v>
      </c>
      <c r="B170" t="s">
        <v>406</v>
      </c>
      <c r="C170" t="s">
        <v>577</v>
      </c>
      <c r="D170" t="s">
        <v>580</v>
      </c>
      <c r="E170" t="s">
        <v>581</v>
      </c>
      <c r="F170" t="s">
        <v>413</v>
      </c>
      <c r="G170">
        <v>2300</v>
      </c>
      <c r="H170">
        <v>2300</v>
      </c>
      <c r="I170">
        <v>2281</v>
      </c>
      <c r="J170">
        <v>2281</v>
      </c>
      <c r="K170">
        <v>387</v>
      </c>
      <c r="L170">
        <v>0</v>
      </c>
      <c r="M170">
        <v>1769</v>
      </c>
      <c r="N170">
        <v>45</v>
      </c>
      <c r="O170">
        <v>99</v>
      </c>
      <c r="P170">
        <v>0</v>
      </c>
      <c r="Q170">
        <v>0</v>
      </c>
    </row>
    <row r="171" spans="1:17" x14ac:dyDescent="0.2">
      <c r="A171" s="121">
        <v>39325</v>
      </c>
      <c r="B171" t="s">
        <v>406</v>
      </c>
      <c r="C171" t="s">
        <v>577</v>
      </c>
      <c r="D171" t="s">
        <v>582</v>
      </c>
      <c r="E171" t="s">
        <v>583</v>
      </c>
      <c r="F171" t="s">
        <v>410</v>
      </c>
      <c r="G171">
        <v>63</v>
      </c>
      <c r="H171">
        <v>63</v>
      </c>
      <c r="I171">
        <v>63</v>
      </c>
      <c r="J171">
        <v>63</v>
      </c>
      <c r="K171">
        <v>0</v>
      </c>
      <c r="L171">
        <v>0</v>
      </c>
      <c r="M171">
        <v>63</v>
      </c>
      <c r="N171">
        <v>0</v>
      </c>
      <c r="O171">
        <v>0</v>
      </c>
      <c r="P171">
        <v>0</v>
      </c>
      <c r="Q171">
        <v>0</v>
      </c>
    </row>
    <row r="172" spans="1:17" x14ac:dyDescent="0.2">
      <c r="A172" s="121">
        <v>39325</v>
      </c>
      <c r="B172" t="s">
        <v>406</v>
      </c>
      <c r="C172" t="s">
        <v>577</v>
      </c>
      <c r="D172" t="s">
        <v>584</v>
      </c>
      <c r="E172" t="s">
        <v>585</v>
      </c>
      <c r="F172" t="s">
        <v>410</v>
      </c>
      <c r="G172">
        <v>147</v>
      </c>
      <c r="H172">
        <v>147</v>
      </c>
      <c r="I172">
        <v>145</v>
      </c>
      <c r="J172">
        <v>145</v>
      </c>
      <c r="K172">
        <v>7</v>
      </c>
      <c r="L172">
        <v>0</v>
      </c>
      <c r="M172">
        <v>140</v>
      </c>
      <c r="N172">
        <v>0</v>
      </c>
      <c r="O172">
        <v>0</v>
      </c>
      <c r="P172">
        <v>0</v>
      </c>
      <c r="Q172">
        <v>0</v>
      </c>
    </row>
    <row r="173" spans="1:17" x14ac:dyDescent="0.2">
      <c r="A173" s="121">
        <v>39325</v>
      </c>
      <c r="B173" t="s">
        <v>406</v>
      </c>
      <c r="C173" t="s">
        <v>577</v>
      </c>
      <c r="D173" t="s">
        <v>586</v>
      </c>
      <c r="E173" t="s">
        <v>587</v>
      </c>
      <c r="F173" t="s">
        <v>410</v>
      </c>
      <c r="G173">
        <v>700</v>
      </c>
      <c r="H173">
        <v>700</v>
      </c>
      <c r="I173">
        <v>699</v>
      </c>
      <c r="J173">
        <v>699</v>
      </c>
      <c r="K173">
        <v>43</v>
      </c>
      <c r="L173">
        <v>0</v>
      </c>
      <c r="M173">
        <v>657</v>
      </c>
      <c r="N173">
        <v>0</v>
      </c>
      <c r="O173">
        <v>0</v>
      </c>
      <c r="P173">
        <v>0</v>
      </c>
      <c r="Q173">
        <v>0</v>
      </c>
    </row>
    <row r="174" spans="1:17" x14ac:dyDescent="0.2">
      <c r="A174" s="121">
        <v>39325</v>
      </c>
      <c r="B174" t="s">
        <v>406</v>
      </c>
      <c r="C174" t="s">
        <v>577</v>
      </c>
      <c r="D174" t="s">
        <v>588</v>
      </c>
      <c r="E174" t="s">
        <v>589</v>
      </c>
      <c r="F174" t="s">
        <v>410</v>
      </c>
      <c r="G174">
        <v>146</v>
      </c>
      <c r="H174">
        <v>146</v>
      </c>
      <c r="I174">
        <v>146</v>
      </c>
      <c r="J174">
        <v>146</v>
      </c>
      <c r="K174">
        <v>4</v>
      </c>
      <c r="L174">
        <v>0</v>
      </c>
      <c r="M174">
        <v>140</v>
      </c>
      <c r="N174">
        <v>2</v>
      </c>
      <c r="O174">
        <v>0</v>
      </c>
      <c r="P174">
        <v>0</v>
      </c>
      <c r="Q174">
        <v>0</v>
      </c>
    </row>
    <row r="175" spans="1:17" x14ac:dyDescent="0.2">
      <c r="A175" s="121">
        <v>39325</v>
      </c>
      <c r="B175" t="s">
        <v>406</v>
      </c>
      <c r="C175" t="s">
        <v>577</v>
      </c>
      <c r="D175" t="s">
        <v>590</v>
      </c>
      <c r="E175" t="s">
        <v>591</v>
      </c>
      <c r="F175" t="s">
        <v>410</v>
      </c>
      <c r="G175">
        <v>422</v>
      </c>
      <c r="H175">
        <v>422</v>
      </c>
      <c r="I175">
        <v>422</v>
      </c>
      <c r="J175">
        <v>422</v>
      </c>
      <c r="K175">
        <v>14</v>
      </c>
      <c r="L175">
        <v>0</v>
      </c>
      <c r="M175">
        <v>407</v>
      </c>
      <c r="N175">
        <v>1</v>
      </c>
      <c r="O175">
        <v>0</v>
      </c>
      <c r="P175">
        <v>0</v>
      </c>
      <c r="Q175">
        <v>0</v>
      </c>
    </row>
    <row r="176" spans="1:17" x14ac:dyDescent="0.2">
      <c r="A176" s="121">
        <v>39325</v>
      </c>
      <c r="B176" t="s">
        <v>406</v>
      </c>
      <c r="C176" t="s">
        <v>577</v>
      </c>
      <c r="D176" t="s">
        <v>592</v>
      </c>
      <c r="E176" t="s">
        <v>593</v>
      </c>
      <c r="F176" t="s">
        <v>410</v>
      </c>
      <c r="G176">
        <v>334</v>
      </c>
      <c r="H176">
        <v>334</v>
      </c>
      <c r="I176">
        <v>334</v>
      </c>
      <c r="J176">
        <v>334</v>
      </c>
      <c r="K176">
        <v>19</v>
      </c>
      <c r="L176">
        <v>0</v>
      </c>
      <c r="M176">
        <v>307</v>
      </c>
      <c r="N176">
        <v>8</v>
      </c>
      <c r="O176">
        <v>0</v>
      </c>
      <c r="P176">
        <v>0</v>
      </c>
      <c r="Q176">
        <v>0</v>
      </c>
    </row>
    <row r="177" spans="1:17" x14ac:dyDescent="0.2">
      <c r="A177" s="121">
        <v>39325</v>
      </c>
      <c r="B177" t="s">
        <v>406</v>
      </c>
      <c r="C177" t="s">
        <v>594</v>
      </c>
      <c r="D177" t="s">
        <v>595</v>
      </c>
      <c r="E177" t="s">
        <v>596</v>
      </c>
      <c r="F177" t="s">
        <v>410</v>
      </c>
      <c r="G177">
        <v>36</v>
      </c>
      <c r="I177">
        <v>35</v>
      </c>
    </row>
    <row r="178" spans="1:17" x14ac:dyDescent="0.2">
      <c r="A178" s="121">
        <v>39325</v>
      </c>
      <c r="B178" t="s">
        <v>406</v>
      </c>
      <c r="C178" t="s">
        <v>594</v>
      </c>
      <c r="D178" t="s">
        <v>597</v>
      </c>
      <c r="E178" t="s">
        <v>598</v>
      </c>
      <c r="F178" t="s">
        <v>413</v>
      </c>
      <c r="G178">
        <v>767</v>
      </c>
      <c r="H178">
        <v>767</v>
      </c>
      <c r="I178">
        <v>742</v>
      </c>
      <c r="J178">
        <v>742</v>
      </c>
      <c r="K178">
        <v>180</v>
      </c>
      <c r="L178">
        <v>0</v>
      </c>
      <c r="M178">
        <v>584</v>
      </c>
      <c r="N178">
        <v>1</v>
      </c>
      <c r="O178">
        <v>2</v>
      </c>
      <c r="P178">
        <v>0</v>
      </c>
      <c r="Q178">
        <v>0</v>
      </c>
    </row>
    <row r="179" spans="1:17" x14ac:dyDescent="0.2">
      <c r="A179" s="121">
        <v>39325</v>
      </c>
      <c r="B179" t="s">
        <v>406</v>
      </c>
      <c r="C179" t="s">
        <v>594</v>
      </c>
      <c r="D179" t="s">
        <v>599</v>
      </c>
      <c r="E179" t="s">
        <v>600</v>
      </c>
      <c r="F179" t="s">
        <v>410</v>
      </c>
      <c r="G179">
        <v>112</v>
      </c>
      <c r="I179">
        <v>112</v>
      </c>
    </row>
    <row r="180" spans="1:17" x14ac:dyDescent="0.2">
      <c r="A180" s="121">
        <v>39355</v>
      </c>
      <c r="B180" t="s">
        <v>406</v>
      </c>
      <c r="C180" t="s">
        <v>407</v>
      </c>
      <c r="D180" t="s">
        <v>408</v>
      </c>
      <c r="E180" t="s">
        <v>409</v>
      </c>
      <c r="F180" t="s">
        <v>410</v>
      </c>
      <c r="G180">
        <v>173</v>
      </c>
      <c r="I180">
        <v>173</v>
      </c>
    </row>
    <row r="181" spans="1:17" x14ac:dyDescent="0.2">
      <c r="A181" s="121">
        <v>39355</v>
      </c>
      <c r="B181" t="s">
        <v>406</v>
      </c>
      <c r="C181" t="s">
        <v>407</v>
      </c>
      <c r="D181" t="s">
        <v>411</v>
      </c>
      <c r="E181" t="s">
        <v>412</v>
      </c>
      <c r="F181" t="s">
        <v>413</v>
      </c>
      <c r="G181">
        <v>5499</v>
      </c>
      <c r="H181">
        <v>5499</v>
      </c>
      <c r="I181">
        <v>5426</v>
      </c>
      <c r="J181">
        <v>5426</v>
      </c>
      <c r="K181">
        <v>2028</v>
      </c>
      <c r="L181">
        <v>9</v>
      </c>
      <c r="M181">
        <v>3321</v>
      </c>
      <c r="N181">
        <v>37</v>
      </c>
      <c r="O181">
        <v>104</v>
      </c>
      <c r="P181">
        <v>0</v>
      </c>
      <c r="Q181">
        <v>0</v>
      </c>
    </row>
    <row r="182" spans="1:17" x14ac:dyDescent="0.2">
      <c r="A182" s="121">
        <v>39355</v>
      </c>
      <c r="B182" t="s">
        <v>406</v>
      </c>
      <c r="C182" t="s">
        <v>407</v>
      </c>
      <c r="D182" t="s">
        <v>414</v>
      </c>
      <c r="E182" t="s">
        <v>415</v>
      </c>
      <c r="F182" t="s">
        <v>410</v>
      </c>
      <c r="G182">
        <v>78</v>
      </c>
      <c r="I182">
        <v>78</v>
      </c>
    </row>
    <row r="183" spans="1:17" x14ac:dyDescent="0.2">
      <c r="A183" s="121">
        <v>39355</v>
      </c>
      <c r="B183" t="s">
        <v>406</v>
      </c>
      <c r="C183" t="s">
        <v>407</v>
      </c>
      <c r="D183" t="s">
        <v>416</v>
      </c>
      <c r="E183" t="s">
        <v>417</v>
      </c>
      <c r="F183" t="s">
        <v>413</v>
      </c>
      <c r="G183">
        <v>3270</v>
      </c>
      <c r="H183">
        <v>3270</v>
      </c>
      <c r="I183">
        <v>3157</v>
      </c>
      <c r="J183">
        <v>3157</v>
      </c>
      <c r="K183">
        <v>1177</v>
      </c>
      <c r="L183">
        <v>0</v>
      </c>
      <c r="M183">
        <v>1937</v>
      </c>
      <c r="N183">
        <v>83</v>
      </c>
      <c r="O183">
        <v>73</v>
      </c>
      <c r="P183">
        <v>0</v>
      </c>
      <c r="Q183">
        <v>0</v>
      </c>
    </row>
    <row r="184" spans="1:17" x14ac:dyDescent="0.2">
      <c r="A184" s="121">
        <v>39355</v>
      </c>
      <c r="B184" t="s">
        <v>406</v>
      </c>
      <c r="C184" t="s">
        <v>418</v>
      </c>
      <c r="D184" t="s">
        <v>419</v>
      </c>
      <c r="E184" t="s">
        <v>420</v>
      </c>
      <c r="F184" t="s">
        <v>410</v>
      </c>
      <c r="G184">
        <v>19</v>
      </c>
      <c r="I184">
        <v>19</v>
      </c>
    </row>
    <row r="185" spans="1:17" x14ac:dyDescent="0.2">
      <c r="A185" s="121">
        <v>39355</v>
      </c>
      <c r="B185" t="s">
        <v>406</v>
      </c>
      <c r="C185" t="s">
        <v>418</v>
      </c>
      <c r="D185" t="s">
        <v>421</v>
      </c>
      <c r="E185" t="s">
        <v>422</v>
      </c>
      <c r="F185" t="s">
        <v>410</v>
      </c>
      <c r="G185">
        <v>106</v>
      </c>
      <c r="I185">
        <v>106</v>
      </c>
    </row>
    <row r="186" spans="1:17" x14ac:dyDescent="0.2">
      <c r="A186" s="121">
        <v>39355</v>
      </c>
      <c r="B186" t="s">
        <v>406</v>
      </c>
      <c r="C186" t="s">
        <v>418</v>
      </c>
      <c r="D186" t="s">
        <v>423</v>
      </c>
      <c r="E186" t="s">
        <v>424</v>
      </c>
      <c r="F186" t="s">
        <v>410</v>
      </c>
      <c r="G186">
        <v>31</v>
      </c>
      <c r="I186">
        <v>31</v>
      </c>
    </row>
    <row r="187" spans="1:17" x14ac:dyDescent="0.2">
      <c r="A187" s="121">
        <v>39355</v>
      </c>
      <c r="B187" t="s">
        <v>406</v>
      </c>
      <c r="C187" t="s">
        <v>418</v>
      </c>
      <c r="D187" t="s">
        <v>425</v>
      </c>
      <c r="E187" t="s">
        <v>426</v>
      </c>
      <c r="F187" t="s">
        <v>410</v>
      </c>
      <c r="G187">
        <v>87</v>
      </c>
      <c r="I187">
        <v>87</v>
      </c>
    </row>
    <row r="188" spans="1:17" x14ac:dyDescent="0.2">
      <c r="A188" s="121">
        <v>39355</v>
      </c>
      <c r="B188" t="s">
        <v>406</v>
      </c>
      <c r="C188" t="s">
        <v>418</v>
      </c>
      <c r="D188" t="s">
        <v>427</v>
      </c>
      <c r="E188" t="s">
        <v>428</v>
      </c>
      <c r="F188" t="s">
        <v>413</v>
      </c>
      <c r="G188">
        <v>2028</v>
      </c>
      <c r="H188">
        <v>2028</v>
      </c>
      <c r="I188">
        <v>2016</v>
      </c>
      <c r="J188">
        <v>2016</v>
      </c>
      <c r="K188">
        <v>596</v>
      </c>
      <c r="L188">
        <v>0</v>
      </c>
      <c r="M188">
        <v>1208</v>
      </c>
      <c r="N188">
        <v>13</v>
      </c>
      <c r="O188">
        <v>211</v>
      </c>
      <c r="P188">
        <v>0</v>
      </c>
      <c r="Q188">
        <v>0</v>
      </c>
    </row>
    <row r="189" spans="1:17" x14ac:dyDescent="0.2">
      <c r="A189" s="121">
        <v>39355</v>
      </c>
      <c r="B189" t="s">
        <v>406</v>
      </c>
      <c r="C189" t="s">
        <v>429</v>
      </c>
      <c r="D189" t="s">
        <v>430</v>
      </c>
      <c r="E189" t="s">
        <v>431</v>
      </c>
      <c r="F189" t="s">
        <v>410</v>
      </c>
      <c r="G189">
        <v>59</v>
      </c>
      <c r="I189">
        <v>59</v>
      </c>
    </row>
    <row r="190" spans="1:17" x14ac:dyDescent="0.2">
      <c r="A190" s="121">
        <v>39355</v>
      </c>
      <c r="B190" t="s">
        <v>406</v>
      </c>
      <c r="C190" t="s">
        <v>429</v>
      </c>
      <c r="D190" t="s">
        <v>432</v>
      </c>
      <c r="E190" t="s">
        <v>433</v>
      </c>
      <c r="F190" t="s">
        <v>410</v>
      </c>
      <c r="G190">
        <v>44</v>
      </c>
      <c r="I190">
        <v>44</v>
      </c>
    </row>
    <row r="191" spans="1:17" x14ac:dyDescent="0.2">
      <c r="A191" s="121">
        <v>39355</v>
      </c>
      <c r="B191" t="s">
        <v>406</v>
      </c>
      <c r="C191" t="s">
        <v>429</v>
      </c>
      <c r="D191" t="s">
        <v>434</v>
      </c>
      <c r="E191" t="s">
        <v>435</v>
      </c>
      <c r="F191" t="s">
        <v>410</v>
      </c>
      <c r="G191">
        <v>12</v>
      </c>
      <c r="I191">
        <v>12</v>
      </c>
    </row>
    <row r="192" spans="1:17" x14ac:dyDescent="0.2">
      <c r="A192" s="121">
        <v>39355</v>
      </c>
      <c r="B192" t="s">
        <v>406</v>
      </c>
      <c r="C192" t="s">
        <v>429</v>
      </c>
      <c r="D192" t="s">
        <v>436</v>
      </c>
      <c r="E192" t="s">
        <v>437</v>
      </c>
      <c r="F192" t="s">
        <v>410</v>
      </c>
      <c r="G192">
        <v>63</v>
      </c>
      <c r="I192">
        <v>63</v>
      </c>
    </row>
    <row r="193" spans="1:17" x14ac:dyDescent="0.2">
      <c r="A193" s="121">
        <v>39355</v>
      </c>
      <c r="B193" t="s">
        <v>406</v>
      </c>
      <c r="C193" t="s">
        <v>429</v>
      </c>
      <c r="D193" t="s">
        <v>438</v>
      </c>
      <c r="E193" t="s">
        <v>439</v>
      </c>
      <c r="F193" t="s">
        <v>413</v>
      </c>
      <c r="G193">
        <v>1064</v>
      </c>
      <c r="I193">
        <v>1046</v>
      </c>
    </row>
    <row r="194" spans="1:17" x14ac:dyDescent="0.2">
      <c r="A194" s="121">
        <v>39355</v>
      </c>
      <c r="B194" t="s">
        <v>406</v>
      </c>
      <c r="C194" t="s">
        <v>429</v>
      </c>
      <c r="D194" t="s">
        <v>440</v>
      </c>
      <c r="E194" t="s">
        <v>441</v>
      </c>
      <c r="F194" t="s">
        <v>413</v>
      </c>
      <c r="G194">
        <v>2909</v>
      </c>
      <c r="H194">
        <v>2909</v>
      </c>
      <c r="I194">
        <v>2835</v>
      </c>
      <c r="J194">
        <v>2835</v>
      </c>
      <c r="K194">
        <v>982</v>
      </c>
      <c r="L194">
        <v>5</v>
      </c>
      <c r="M194">
        <v>1872</v>
      </c>
      <c r="N194">
        <v>8</v>
      </c>
      <c r="O194">
        <v>42</v>
      </c>
      <c r="P194">
        <v>0</v>
      </c>
      <c r="Q194">
        <v>0</v>
      </c>
    </row>
    <row r="195" spans="1:17" x14ac:dyDescent="0.2">
      <c r="A195" s="121">
        <v>39355</v>
      </c>
      <c r="B195" t="s">
        <v>406</v>
      </c>
      <c r="C195" t="s">
        <v>442</v>
      </c>
      <c r="D195" t="s">
        <v>443</v>
      </c>
      <c r="E195" t="s">
        <v>444</v>
      </c>
      <c r="F195" t="s">
        <v>413</v>
      </c>
      <c r="G195">
        <v>3837</v>
      </c>
      <c r="H195">
        <v>3837</v>
      </c>
      <c r="I195">
        <v>3646</v>
      </c>
      <c r="J195">
        <v>3646</v>
      </c>
      <c r="K195">
        <v>612</v>
      </c>
      <c r="L195">
        <v>104</v>
      </c>
      <c r="M195">
        <v>2958</v>
      </c>
      <c r="N195">
        <v>41</v>
      </c>
      <c r="O195">
        <v>122</v>
      </c>
      <c r="P195">
        <v>12</v>
      </c>
      <c r="Q195">
        <v>1</v>
      </c>
    </row>
    <row r="196" spans="1:17" x14ac:dyDescent="0.2">
      <c r="A196" s="121">
        <v>39355</v>
      </c>
      <c r="B196" t="s">
        <v>406</v>
      </c>
      <c r="C196" t="s">
        <v>442</v>
      </c>
      <c r="D196" t="s">
        <v>445</v>
      </c>
      <c r="E196" t="s">
        <v>446</v>
      </c>
      <c r="F196" t="s">
        <v>410</v>
      </c>
      <c r="G196">
        <v>147</v>
      </c>
      <c r="I196">
        <v>147</v>
      </c>
    </row>
    <row r="197" spans="1:17" x14ac:dyDescent="0.2">
      <c r="A197" s="121">
        <v>39355</v>
      </c>
      <c r="B197" t="s">
        <v>406</v>
      </c>
      <c r="C197" t="s">
        <v>442</v>
      </c>
      <c r="D197" t="s">
        <v>447</v>
      </c>
      <c r="E197" t="s">
        <v>448</v>
      </c>
      <c r="F197" t="s">
        <v>410</v>
      </c>
      <c r="G197">
        <v>309</v>
      </c>
      <c r="I197">
        <v>308</v>
      </c>
    </row>
    <row r="198" spans="1:17" x14ac:dyDescent="0.2">
      <c r="A198" s="121">
        <v>39355</v>
      </c>
      <c r="B198" t="s">
        <v>406</v>
      </c>
      <c r="C198" t="s">
        <v>442</v>
      </c>
      <c r="D198" t="s">
        <v>449</v>
      </c>
      <c r="E198" t="s">
        <v>450</v>
      </c>
      <c r="F198" t="s">
        <v>413</v>
      </c>
      <c r="G198">
        <v>3393</v>
      </c>
      <c r="H198">
        <v>3393</v>
      </c>
      <c r="I198">
        <v>3289</v>
      </c>
      <c r="J198">
        <v>3289</v>
      </c>
      <c r="K198">
        <v>753</v>
      </c>
      <c r="L198">
        <v>137</v>
      </c>
      <c r="M198">
        <v>2422</v>
      </c>
      <c r="N198">
        <v>21</v>
      </c>
      <c r="O198">
        <v>60</v>
      </c>
      <c r="P198">
        <v>3</v>
      </c>
      <c r="Q198">
        <v>1</v>
      </c>
    </row>
    <row r="199" spans="1:17" x14ac:dyDescent="0.2">
      <c r="A199" s="121">
        <v>39355</v>
      </c>
      <c r="B199" t="s">
        <v>406</v>
      </c>
      <c r="C199" t="s">
        <v>451</v>
      </c>
      <c r="D199" t="s">
        <v>452</v>
      </c>
      <c r="E199" t="s">
        <v>453</v>
      </c>
      <c r="F199" t="s">
        <v>410</v>
      </c>
      <c r="G199">
        <v>1813</v>
      </c>
      <c r="H199">
        <v>1813</v>
      </c>
      <c r="I199">
        <v>1808</v>
      </c>
      <c r="J199">
        <v>1808</v>
      </c>
      <c r="K199">
        <v>0</v>
      </c>
      <c r="L199">
        <v>0</v>
      </c>
      <c r="M199">
        <v>1283</v>
      </c>
      <c r="N199">
        <v>225</v>
      </c>
      <c r="O199">
        <v>305</v>
      </c>
      <c r="P199">
        <v>0</v>
      </c>
      <c r="Q199">
        <v>0</v>
      </c>
    </row>
    <row r="200" spans="1:17" x14ac:dyDescent="0.2">
      <c r="A200" s="121">
        <v>39355</v>
      </c>
      <c r="B200" t="s">
        <v>406</v>
      </c>
      <c r="C200" t="s">
        <v>451</v>
      </c>
      <c r="D200" t="s">
        <v>454</v>
      </c>
      <c r="E200" t="s">
        <v>455</v>
      </c>
      <c r="F200" t="s">
        <v>413</v>
      </c>
      <c r="G200">
        <v>4301</v>
      </c>
      <c r="H200">
        <v>4301</v>
      </c>
      <c r="I200">
        <v>4012</v>
      </c>
      <c r="J200">
        <v>4012</v>
      </c>
      <c r="K200">
        <v>1125</v>
      </c>
      <c r="L200">
        <v>7</v>
      </c>
      <c r="M200">
        <v>2544</v>
      </c>
      <c r="N200">
        <v>37</v>
      </c>
      <c r="O200">
        <v>588</v>
      </c>
      <c r="P200">
        <v>10</v>
      </c>
      <c r="Q200">
        <v>0</v>
      </c>
    </row>
    <row r="201" spans="1:17" x14ac:dyDescent="0.2">
      <c r="A201" s="121">
        <v>39355</v>
      </c>
      <c r="B201" t="s">
        <v>406</v>
      </c>
      <c r="C201" t="s">
        <v>456</v>
      </c>
      <c r="D201" t="s">
        <v>457</v>
      </c>
      <c r="E201" t="s">
        <v>458</v>
      </c>
      <c r="F201" t="s">
        <v>413</v>
      </c>
      <c r="G201">
        <v>5246</v>
      </c>
      <c r="H201">
        <v>5246</v>
      </c>
      <c r="I201">
        <v>5038</v>
      </c>
      <c r="J201">
        <v>5038</v>
      </c>
      <c r="K201">
        <v>1199</v>
      </c>
      <c r="L201">
        <v>21</v>
      </c>
      <c r="M201">
        <v>3918</v>
      </c>
      <c r="N201">
        <v>74</v>
      </c>
      <c r="O201">
        <v>34</v>
      </c>
      <c r="P201">
        <v>16</v>
      </c>
      <c r="Q201">
        <v>4</v>
      </c>
    </row>
    <row r="202" spans="1:17" x14ac:dyDescent="0.2">
      <c r="A202" s="121">
        <v>39355</v>
      </c>
      <c r="B202" t="s">
        <v>406</v>
      </c>
      <c r="C202" t="s">
        <v>456</v>
      </c>
      <c r="D202" t="s">
        <v>459</v>
      </c>
      <c r="E202" t="s">
        <v>460</v>
      </c>
      <c r="F202" t="s">
        <v>413</v>
      </c>
      <c r="G202">
        <v>1486</v>
      </c>
      <c r="H202">
        <v>1486</v>
      </c>
      <c r="I202">
        <v>1480</v>
      </c>
      <c r="J202">
        <v>1480</v>
      </c>
      <c r="K202">
        <v>375</v>
      </c>
      <c r="L202">
        <v>0</v>
      </c>
      <c r="M202">
        <v>1107</v>
      </c>
      <c r="N202">
        <v>4</v>
      </c>
      <c r="O202">
        <v>0</v>
      </c>
      <c r="P202">
        <v>0</v>
      </c>
      <c r="Q202">
        <v>0</v>
      </c>
    </row>
    <row r="203" spans="1:17" x14ac:dyDescent="0.2">
      <c r="A203" s="121">
        <v>39355</v>
      </c>
      <c r="B203" t="s">
        <v>406</v>
      </c>
      <c r="C203" t="s">
        <v>456</v>
      </c>
      <c r="D203" t="s">
        <v>461</v>
      </c>
      <c r="E203" t="s">
        <v>462</v>
      </c>
      <c r="F203" t="s">
        <v>410</v>
      </c>
      <c r="G203">
        <v>89</v>
      </c>
      <c r="I203">
        <v>89</v>
      </c>
    </row>
    <row r="204" spans="1:17" x14ac:dyDescent="0.2">
      <c r="A204" s="121">
        <v>39355</v>
      </c>
      <c r="B204" t="s">
        <v>406</v>
      </c>
      <c r="C204" t="s">
        <v>456</v>
      </c>
      <c r="D204" t="s">
        <v>463</v>
      </c>
      <c r="E204" t="s">
        <v>464</v>
      </c>
      <c r="F204" t="s">
        <v>410</v>
      </c>
      <c r="G204">
        <v>64</v>
      </c>
      <c r="I204">
        <v>64</v>
      </c>
    </row>
    <row r="205" spans="1:17" x14ac:dyDescent="0.2">
      <c r="A205" s="121">
        <v>39355</v>
      </c>
      <c r="B205" t="s">
        <v>406</v>
      </c>
      <c r="C205" t="s">
        <v>456</v>
      </c>
      <c r="D205" t="s">
        <v>465</v>
      </c>
      <c r="E205" t="s">
        <v>466</v>
      </c>
      <c r="F205" t="s">
        <v>410</v>
      </c>
      <c r="G205">
        <v>70</v>
      </c>
      <c r="I205">
        <v>70</v>
      </c>
    </row>
    <row r="206" spans="1:17" x14ac:dyDescent="0.2">
      <c r="A206" s="121">
        <v>39355</v>
      </c>
      <c r="B206" t="s">
        <v>406</v>
      </c>
      <c r="C206" t="s">
        <v>456</v>
      </c>
      <c r="D206" t="s">
        <v>467</v>
      </c>
      <c r="E206" t="s">
        <v>468</v>
      </c>
      <c r="F206" t="s">
        <v>410</v>
      </c>
      <c r="G206">
        <v>1108</v>
      </c>
      <c r="I206">
        <v>1107</v>
      </c>
    </row>
    <row r="207" spans="1:17" x14ac:dyDescent="0.2">
      <c r="A207" s="121">
        <v>39355</v>
      </c>
      <c r="B207" t="s">
        <v>406</v>
      </c>
      <c r="C207" t="s">
        <v>456</v>
      </c>
      <c r="D207" t="s">
        <v>469</v>
      </c>
      <c r="E207" t="s">
        <v>470</v>
      </c>
      <c r="F207" t="s">
        <v>410</v>
      </c>
      <c r="G207">
        <v>845</v>
      </c>
      <c r="I207">
        <v>842</v>
      </c>
    </row>
    <row r="208" spans="1:17" x14ac:dyDescent="0.2">
      <c r="A208" s="121">
        <v>39355</v>
      </c>
      <c r="B208" t="s">
        <v>406</v>
      </c>
      <c r="C208" t="s">
        <v>456</v>
      </c>
      <c r="D208" t="s">
        <v>471</v>
      </c>
      <c r="E208" t="s">
        <v>472</v>
      </c>
      <c r="F208" t="s">
        <v>410</v>
      </c>
      <c r="G208">
        <v>259</v>
      </c>
      <c r="I208">
        <v>259</v>
      </c>
    </row>
    <row r="209" spans="1:17" x14ac:dyDescent="0.2">
      <c r="A209" s="121">
        <v>39355</v>
      </c>
      <c r="B209" t="s">
        <v>406</v>
      </c>
      <c r="C209" t="s">
        <v>456</v>
      </c>
      <c r="D209" t="s">
        <v>473</v>
      </c>
      <c r="E209" t="s">
        <v>474</v>
      </c>
      <c r="F209" t="s">
        <v>410</v>
      </c>
      <c r="G209">
        <v>185</v>
      </c>
      <c r="I209">
        <v>185</v>
      </c>
    </row>
    <row r="210" spans="1:17" x14ac:dyDescent="0.2">
      <c r="A210" s="121">
        <v>39355</v>
      </c>
      <c r="B210" t="s">
        <v>406</v>
      </c>
      <c r="C210" t="s">
        <v>456</v>
      </c>
      <c r="D210" t="s">
        <v>475</v>
      </c>
      <c r="E210" t="s">
        <v>476</v>
      </c>
      <c r="F210" t="s">
        <v>410</v>
      </c>
      <c r="G210">
        <v>343</v>
      </c>
      <c r="I210">
        <v>343</v>
      </c>
    </row>
    <row r="211" spans="1:17" x14ac:dyDescent="0.2">
      <c r="A211" s="121">
        <v>39355</v>
      </c>
      <c r="B211" t="s">
        <v>406</v>
      </c>
      <c r="C211" t="s">
        <v>456</v>
      </c>
      <c r="D211" t="s">
        <v>477</v>
      </c>
      <c r="E211" t="s">
        <v>478</v>
      </c>
      <c r="F211" t="s">
        <v>413</v>
      </c>
      <c r="G211">
        <v>1963</v>
      </c>
      <c r="H211">
        <v>1963</v>
      </c>
      <c r="I211">
        <v>1838</v>
      </c>
      <c r="J211">
        <v>1838</v>
      </c>
      <c r="K211">
        <v>482</v>
      </c>
      <c r="L211">
        <v>8</v>
      </c>
      <c r="M211">
        <v>1412</v>
      </c>
      <c r="N211">
        <v>19</v>
      </c>
      <c r="O211">
        <v>42</v>
      </c>
      <c r="P211">
        <v>6</v>
      </c>
      <c r="Q211">
        <v>1</v>
      </c>
    </row>
    <row r="212" spans="1:17" x14ac:dyDescent="0.2">
      <c r="A212" s="121">
        <v>39355</v>
      </c>
      <c r="B212" t="s">
        <v>406</v>
      </c>
      <c r="C212" t="s">
        <v>456</v>
      </c>
      <c r="D212" t="s">
        <v>479</v>
      </c>
      <c r="E212" t="s">
        <v>480</v>
      </c>
      <c r="F212" t="s">
        <v>410</v>
      </c>
      <c r="G212">
        <v>76</v>
      </c>
      <c r="I212">
        <v>76</v>
      </c>
    </row>
    <row r="213" spans="1:17" x14ac:dyDescent="0.2">
      <c r="A213" s="121">
        <v>39355</v>
      </c>
      <c r="B213" t="s">
        <v>406</v>
      </c>
      <c r="C213" t="s">
        <v>456</v>
      </c>
      <c r="D213" t="s">
        <v>481</v>
      </c>
      <c r="E213" t="s">
        <v>482</v>
      </c>
      <c r="F213" t="s">
        <v>410</v>
      </c>
      <c r="G213">
        <v>31</v>
      </c>
      <c r="I213">
        <v>31</v>
      </c>
    </row>
    <row r="214" spans="1:17" x14ac:dyDescent="0.2">
      <c r="A214" s="121">
        <v>39355</v>
      </c>
      <c r="B214" t="s">
        <v>406</v>
      </c>
      <c r="C214" t="s">
        <v>456</v>
      </c>
      <c r="D214" t="s">
        <v>483</v>
      </c>
      <c r="E214" t="s">
        <v>484</v>
      </c>
      <c r="F214" t="s">
        <v>410</v>
      </c>
      <c r="G214">
        <v>106</v>
      </c>
      <c r="I214">
        <v>106</v>
      </c>
    </row>
    <row r="215" spans="1:17" x14ac:dyDescent="0.2">
      <c r="A215" s="121">
        <v>39355</v>
      </c>
      <c r="B215" t="s">
        <v>406</v>
      </c>
      <c r="C215" t="s">
        <v>456</v>
      </c>
      <c r="D215" t="s">
        <v>485</v>
      </c>
      <c r="E215" t="s">
        <v>486</v>
      </c>
      <c r="F215" t="s">
        <v>410</v>
      </c>
      <c r="G215">
        <v>74</v>
      </c>
      <c r="I215">
        <v>74</v>
      </c>
    </row>
    <row r="216" spans="1:17" x14ac:dyDescent="0.2">
      <c r="A216" s="121">
        <v>39355</v>
      </c>
      <c r="B216" t="s">
        <v>406</v>
      </c>
      <c r="C216" t="s">
        <v>456</v>
      </c>
      <c r="D216" t="s">
        <v>487</v>
      </c>
      <c r="E216" t="s">
        <v>488</v>
      </c>
      <c r="F216" t="s">
        <v>410</v>
      </c>
      <c r="G216">
        <v>39</v>
      </c>
      <c r="I216">
        <v>39</v>
      </c>
    </row>
    <row r="217" spans="1:17" x14ac:dyDescent="0.2">
      <c r="A217" s="121">
        <v>39355</v>
      </c>
      <c r="B217" t="s">
        <v>406</v>
      </c>
      <c r="C217" t="s">
        <v>456</v>
      </c>
      <c r="D217" t="s">
        <v>489</v>
      </c>
      <c r="E217" t="s">
        <v>490</v>
      </c>
      <c r="F217" t="s">
        <v>410</v>
      </c>
      <c r="G217">
        <v>139</v>
      </c>
      <c r="H217">
        <v>139</v>
      </c>
      <c r="I217">
        <v>139</v>
      </c>
      <c r="J217">
        <v>139</v>
      </c>
      <c r="K217">
        <v>0</v>
      </c>
      <c r="L217">
        <v>0</v>
      </c>
      <c r="M217">
        <v>121</v>
      </c>
      <c r="N217">
        <v>18</v>
      </c>
      <c r="O217">
        <v>0</v>
      </c>
      <c r="P217">
        <v>0</v>
      </c>
      <c r="Q217">
        <v>0</v>
      </c>
    </row>
    <row r="218" spans="1:17" x14ac:dyDescent="0.2">
      <c r="A218" s="121">
        <v>39355</v>
      </c>
      <c r="B218" t="s">
        <v>406</v>
      </c>
      <c r="C218" t="s">
        <v>491</v>
      </c>
      <c r="D218" t="s">
        <v>492</v>
      </c>
      <c r="E218" t="s">
        <v>493</v>
      </c>
      <c r="F218" t="s">
        <v>410</v>
      </c>
      <c r="G218">
        <v>1224</v>
      </c>
      <c r="H218">
        <v>1224</v>
      </c>
      <c r="I218">
        <v>1218</v>
      </c>
      <c r="J218">
        <v>1218</v>
      </c>
      <c r="K218">
        <v>321</v>
      </c>
      <c r="L218">
        <v>1</v>
      </c>
      <c r="M218">
        <v>789</v>
      </c>
      <c r="N218">
        <v>99</v>
      </c>
      <c r="O218">
        <v>14</v>
      </c>
      <c r="P218">
        <v>0</v>
      </c>
      <c r="Q218">
        <v>0</v>
      </c>
    </row>
    <row r="219" spans="1:17" x14ac:dyDescent="0.2">
      <c r="A219" s="121">
        <v>39355</v>
      </c>
      <c r="B219" t="s">
        <v>406</v>
      </c>
      <c r="C219" t="s">
        <v>491</v>
      </c>
      <c r="D219" t="s">
        <v>494</v>
      </c>
      <c r="E219" t="s">
        <v>495</v>
      </c>
      <c r="F219" t="s">
        <v>413</v>
      </c>
      <c r="G219">
        <v>2616</v>
      </c>
      <c r="H219">
        <v>2616</v>
      </c>
      <c r="I219">
        <v>2581</v>
      </c>
      <c r="J219">
        <v>2581</v>
      </c>
      <c r="K219">
        <v>547</v>
      </c>
      <c r="L219">
        <v>5</v>
      </c>
      <c r="M219">
        <v>1883</v>
      </c>
      <c r="N219">
        <v>24</v>
      </c>
      <c r="O219">
        <v>157</v>
      </c>
      <c r="P219">
        <v>0</v>
      </c>
      <c r="Q219">
        <v>0</v>
      </c>
    </row>
    <row r="220" spans="1:17" x14ac:dyDescent="0.2">
      <c r="A220" s="121">
        <v>39355</v>
      </c>
      <c r="B220" t="s">
        <v>406</v>
      </c>
      <c r="C220" t="s">
        <v>491</v>
      </c>
      <c r="D220" t="s">
        <v>496</v>
      </c>
      <c r="E220" t="s">
        <v>497</v>
      </c>
      <c r="F220" t="s">
        <v>413</v>
      </c>
      <c r="G220">
        <v>5690</v>
      </c>
      <c r="H220">
        <v>5690</v>
      </c>
      <c r="I220">
        <v>5481</v>
      </c>
      <c r="J220">
        <v>5481</v>
      </c>
      <c r="K220">
        <v>1616</v>
      </c>
      <c r="L220">
        <v>14</v>
      </c>
      <c r="M220">
        <v>3679</v>
      </c>
      <c r="N220">
        <v>69</v>
      </c>
      <c r="O220">
        <v>312</v>
      </c>
      <c r="P220">
        <v>7</v>
      </c>
      <c r="Q220">
        <v>0</v>
      </c>
    </row>
    <row r="221" spans="1:17" x14ac:dyDescent="0.2">
      <c r="A221" s="121">
        <v>39355</v>
      </c>
      <c r="B221" t="s">
        <v>406</v>
      </c>
      <c r="C221" t="s">
        <v>491</v>
      </c>
      <c r="D221" t="s">
        <v>498</v>
      </c>
      <c r="E221" t="s">
        <v>499</v>
      </c>
      <c r="F221" t="s">
        <v>413</v>
      </c>
      <c r="G221">
        <v>6032</v>
      </c>
      <c r="H221">
        <v>6032</v>
      </c>
      <c r="I221">
        <v>5631</v>
      </c>
      <c r="J221">
        <v>5631</v>
      </c>
      <c r="K221">
        <v>1765</v>
      </c>
      <c r="L221">
        <v>14</v>
      </c>
      <c r="M221">
        <v>3812</v>
      </c>
      <c r="N221">
        <v>135</v>
      </c>
      <c r="O221">
        <v>306</v>
      </c>
      <c r="P221">
        <v>18</v>
      </c>
      <c r="Q221">
        <v>4</v>
      </c>
    </row>
    <row r="222" spans="1:17" x14ac:dyDescent="0.2">
      <c r="A222" s="121">
        <v>39355</v>
      </c>
      <c r="B222" t="s">
        <v>406</v>
      </c>
      <c r="C222" t="s">
        <v>491</v>
      </c>
      <c r="D222" t="s">
        <v>500</v>
      </c>
      <c r="E222" t="s">
        <v>501</v>
      </c>
      <c r="F222" t="s">
        <v>413</v>
      </c>
      <c r="G222">
        <v>3410</v>
      </c>
      <c r="H222">
        <v>3410</v>
      </c>
      <c r="I222">
        <v>3262</v>
      </c>
      <c r="J222">
        <v>3262</v>
      </c>
      <c r="K222">
        <v>951</v>
      </c>
      <c r="L222">
        <v>0</v>
      </c>
      <c r="M222">
        <v>2289</v>
      </c>
      <c r="N222">
        <v>40</v>
      </c>
      <c r="O222">
        <v>130</v>
      </c>
      <c r="P222">
        <v>3</v>
      </c>
      <c r="Q222">
        <v>0</v>
      </c>
    </row>
    <row r="223" spans="1:17" x14ac:dyDescent="0.2">
      <c r="A223" s="121">
        <v>39355</v>
      </c>
      <c r="B223" t="s">
        <v>406</v>
      </c>
      <c r="C223" t="s">
        <v>491</v>
      </c>
      <c r="D223" t="s">
        <v>502</v>
      </c>
      <c r="E223" t="s">
        <v>503</v>
      </c>
      <c r="F223" t="s">
        <v>413</v>
      </c>
      <c r="G223">
        <v>5838</v>
      </c>
      <c r="H223">
        <v>5838</v>
      </c>
      <c r="I223">
        <v>5712</v>
      </c>
      <c r="J223">
        <v>5712</v>
      </c>
      <c r="K223">
        <v>1535</v>
      </c>
      <c r="L223">
        <v>19</v>
      </c>
      <c r="M223">
        <v>4067</v>
      </c>
      <c r="N223">
        <v>136</v>
      </c>
      <c r="O223">
        <v>81</v>
      </c>
      <c r="P223">
        <v>1</v>
      </c>
      <c r="Q223">
        <v>0</v>
      </c>
    </row>
    <row r="224" spans="1:17" x14ac:dyDescent="0.2">
      <c r="A224" s="121">
        <v>39355</v>
      </c>
      <c r="B224" t="s">
        <v>406</v>
      </c>
      <c r="C224" t="s">
        <v>491</v>
      </c>
      <c r="D224" t="s">
        <v>504</v>
      </c>
      <c r="E224" t="s">
        <v>505</v>
      </c>
      <c r="F224" t="s">
        <v>413</v>
      </c>
      <c r="G224">
        <v>4043</v>
      </c>
      <c r="H224">
        <v>4043</v>
      </c>
      <c r="I224">
        <v>3854</v>
      </c>
      <c r="J224">
        <v>3854</v>
      </c>
      <c r="K224">
        <v>1172</v>
      </c>
      <c r="L224">
        <v>6</v>
      </c>
      <c r="M224">
        <v>2745</v>
      </c>
      <c r="N224">
        <v>26</v>
      </c>
      <c r="O224">
        <v>94</v>
      </c>
      <c r="P224">
        <v>3</v>
      </c>
      <c r="Q224">
        <v>0</v>
      </c>
    </row>
    <row r="225" spans="1:17" x14ac:dyDescent="0.2">
      <c r="A225" s="121">
        <v>39355</v>
      </c>
      <c r="B225" t="s">
        <v>406</v>
      </c>
      <c r="C225" t="s">
        <v>491</v>
      </c>
      <c r="D225" t="s">
        <v>506</v>
      </c>
      <c r="E225" t="s">
        <v>507</v>
      </c>
      <c r="F225" t="s">
        <v>413</v>
      </c>
      <c r="G225">
        <v>3168</v>
      </c>
      <c r="H225">
        <v>3168</v>
      </c>
      <c r="I225">
        <v>3123</v>
      </c>
      <c r="J225">
        <v>3123</v>
      </c>
      <c r="K225">
        <v>519</v>
      </c>
      <c r="L225">
        <v>0</v>
      </c>
      <c r="M225">
        <v>2641</v>
      </c>
      <c r="N225">
        <v>1</v>
      </c>
      <c r="O225">
        <v>7</v>
      </c>
      <c r="P225">
        <v>1</v>
      </c>
      <c r="Q225">
        <v>1</v>
      </c>
    </row>
    <row r="226" spans="1:17" x14ac:dyDescent="0.2">
      <c r="A226" s="121">
        <v>39355</v>
      </c>
      <c r="B226" t="s">
        <v>406</v>
      </c>
      <c r="C226" t="s">
        <v>491</v>
      </c>
      <c r="D226" t="s">
        <v>508</v>
      </c>
      <c r="E226" t="s">
        <v>509</v>
      </c>
      <c r="F226" t="s">
        <v>413</v>
      </c>
      <c r="G226">
        <v>4848</v>
      </c>
      <c r="H226">
        <v>4848</v>
      </c>
      <c r="I226">
        <v>4524</v>
      </c>
      <c r="J226">
        <v>4524</v>
      </c>
      <c r="K226">
        <v>1509</v>
      </c>
      <c r="L226">
        <v>8</v>
      </c>
      <c r="M226">
        <v>2917</v>
      </c>
      <c r="N226">
        <v>140</v>
      </c>
      <c r="O226">
        <v>274</v>
      </c>
      <c r="P226">
        <v>15</v>
      </c>
      <c r="Q226">
        <v>3</v>
      </c>
    </row>
    <row r="227" spans="1:17" x14ac:dyDescent="0.2">
      <c r="A227" s="121">
        <v>39355</v>
      </c>
      <c r="B227" t="s">
        <v>406</v>
      </c>
      <c r="C227" t="s">
        <v>510</v>
      </c>
      <c r="D227" t="s">
        <v>511</v>
      </c>
      <c r="E227" t="s">
        <v>512</v>
      </c>
      <c r="F227" t="s">
        <v>410</v>
      </c>
      <c r="G227">
        <v>541</v>
      </c>
      <c r="I227">
        <v>537</v>
      </c>
    </row>
    <row r="228" spans="1:17" x14ac:dyDescent="0.2">
      <c r="A228" s="121">
        <v>39355</v>
      </c>
      <c r="B228" t="s">
        <v>406</v>
      </c>
      <c r="C228" t="s">
        <v>510</v>
      </c>
      <c r="D228" t="s">
        <v>513</v>
      </c>
      <c r="E228" t="s">
        <v>514</v>
      </c>
      <c r="F228" t="s">
        <v>410</v>
      </c>
      <c r="G228">
        <v>554</v>
      </c>
      <c r="I228">
        <v>554</v>
      </c>
    </row>
    <row r="229" spans="1:17" x14ac:dyDescent="0.2">
      <c r="A229" s="121">
        <v>39355</v>
      </c>
      <c r="B229" t="s">
        <v>406</v>
      </c>
      <c r="C229" t="s">
        <v>510</v>
      </c>
      <c r="D229" t="s">
        <v>515</v>
      </c>
      <c r="E229" t="s">
        <v>516</v>
      </c>
      <c r="F229" t="s">
        <v>410</v>
      </c>
      <c r="G229">
        <v>77</v>
      </c>
      <c r="I229">
        <v>75</v>
      </c>
    </row>
    <row r="230" spans="1:17" x14ac:dyDescent="0.2">
      <c r="A230" s="121">
        <v>39355</v>
      </c>
      <c r="B230" t="s">
        <v>406</v>
      </c>
      <c r="C230" t="s">
        <v>510</v>
      </c>
      <c r="D230" t="s">
        <v>517</v>
      </c>
      <c r="E230" t="s">
        <v>518</v>
      </c>
      <c r="F230" t="s">
        <v>410</v>
      </c>
      <c r="G230">
        <v>266</v>
      </c>
      <c r="I230">
        <v>264</v>
      </c>
    </row>
    <row r="231" spans="1:17" x14ac:dyDescent="0.2">
      <c r="A231" s="121">
        <v>39355</v>
      </c>
      <c r="B231" t="s">
        <v>406</v>
      </c>
      <c r="C231" t="s">
        <v>510</v>
      </c>
      <c r="D231" t="s">
        <v>519</v>
      </c>
      <c r="E231" t="s">
        <v>520</v>
      </c>
      <c r="F231" t="s">
        <v>410</v>
      </c>
      <c r="G231">
        <v>386</v>
      </c>
      <c r="I231">
        <v>382</v>
      </c>
    </row>
    <row r="232" spans="1:17" x14ac:dyDescent="0.2">
      <c r="A232" s="121">
        <v>39355</v>
      </c>
      <c r="B232" t="s">
        <v>406</v>
      </c>
      <c r="C232" t="s">
        <v>510</v>
      </c>
      <c r="D232" t="s">
        <v>521</v>
      </c>
      <c r="E232" t="s">
        <v>522</v>
      </c>
      <c r="F232" t="s">
        <v>410</v>
      </c>
      <c r="G232">
        <v>35</v>
      </c>
      <c r="I232">
        <v>34</v>
      </c>
    </row>
    <row r="233" spans="1:17" x14ac:dyDescent="0.2">
      <c r="A233" s="121">
        <v>39355</v>
      </c>
      <c r="B233" t="s">
        <v>406</v>
      </c>
      <c r="C233" t="s">
        <v>510</v>
      </c>
      <c r="D233" t="s">
        <v>523</v>
      </c>
      <c r="E233" t="s">
        <v>524</v>
      </c>
      <c r="F233" t="s">
        <v>413</v>
      </c>
      <c r="G233">
        <v>557</v>
      </c>
      <c r="I233">
        <v>552</v>
      </c>
    </row>
    <row r="234" spans="1:17" x14ac:dyDescent="0.2">
      <c r="A234" s="121">
        <v>39355</v>
      </c>
      <c r="B234" t="s">
        <v>406</v>
      </c>
      <c r="C234" t="s">
        <v>510</v>
      </c>
      <c r="D234" t="s">
        <v>527</v>
      </c>
      <c r="E234" t="s">
        <v>528</v>
      </c>
      <c r="F234" t="s">
        <v>410</v>
      </c>
      <c r="G234">
        <v>204</v>
      </c>
      <c r="I234">
        <v>204</v>
      </c>
    </row>
    <row r="235" spans="1:17" x14ac:dyDescent="0.2">
      <c r="A235" s="121">
        <v>39355</v>
      </c>
      <c r="B235" t="s">
        <v>406</v>
      </c>
      <c r="C235" t="s">
        <v>510</v>
      </c>
      <c r="D235" t="s">
        <v>529</v>
      </c>
      <c r="E235" t="s">
        <v>530</v>
      </c>
      <c r="F235" t="s">
        <v>413</v>
      </c>
      <c r="G235">
        <v>478</v>
      </c>
      <c r="I235">
        <v>475</v>
      </c>
    </row>
    <row r="236" spans="1:17" x14ac:dyDescent="0.2">
      <c r="A236" s="121">
        <v>39355</v>
      </c>
      <c r="B236" t="s">
        <v>406</v>
      </c>
      <c r="C236" t="s">
        <v>510</v>
      </c>
      <c r="D236" t="s">
        <v>531</v>
      </c>
      <c r="E236" t="s">
        <v>532</v>
      </c>
      <c r="F236" t="s">
        <v>410</v>
      </c>
      <c r="G236">
        <v>43</v>
      </c>
      <c r="I236">
        <v>43</v>
      </c>
    </row>
    <row r="237" spans="1:17" x14ac:dyDescent="0.2">
      <c r="A237" s="121">
        <v>39355</v>
      </c>
      <c r="B237" t="s">
        <v>406</v>
      </c>
      <c r="C237" t="s">
        <v>510</v>
      </c>
      <c r="D237" t="s">
        <v>533</v>
      </c>
      <c r="E237" t="s">
        <v>534</v>
      </c>
      <c r="F237" t="s">
        <v>413</v>
      </c>
      <c r="G237">
        <v>2611</v>
      </c>
      <c r="H237">
        <v>2611</v>
      </c>
      <c r="I237">
        <v>2556</v>
      </c>
      <c r="J237">
        <v>2556</v>
      </c>
      <c r="K237">
        <v>576</v>
      </c>
      <c r="L237">
        <v>21</v>
      </c>
      <c r="M237">
        <v>2013</v>
      </c>
      <c r="N237">
        <v>1</v>
      </c>
      <c r="O237">
        <v>0</v>
      </c>
      <c r="P237">
        <v>1</v>
      </c>
      <c r="Q237">
        <v>0</v>
      </c>
    </row>
    <row r="238" spans="1:17" x14ac:dyDescent="0.2">
      <c r="A238" s="121">
        <v>39355</v>
      </c>
      <c r="B238" t="s">
        <v>406</v>
      </c>
      <c r="C238" t="s">
        <v>510</v>
      </c>
      <c r="D238" t="s">
        <v>535</v>
      </c>
      <c r="E238" t="s">
        <v>536</v>
      </c>
      <c r="F238" t="s">
        <v>410</v>
      </c>
      <c r="G238">
        <v>237</v>
      </c>
      <c r="I238">
        <v>236</v>
      </c>
    </row>
    <row r="239" spans="1:17" x14ac:dyDescent="0.2">
      <c r="A239" s="121">
        <v>39355</v>
      </c>
      <c r="B239" t="s">
        <v>406</v>
      </c>
      <c r="C239" t="s">
        <v>510</v>
      </c>
      <c r="D239" t="s">
        <v>537</v>
      </c>
      <c r="E239" t="s">
        <v>538</v>
      </c>
      <c r="F239" t="s">
        <v>410</v>
      </c>
      <c r="G239">
        <v>122</v>
      </c>
      <c r="I239">
        <v>122</v>
      </c>
    </row>
    <row r="240" spans="1:17" x14ac:dyDescent="0.2">
      <c r="A240" s="121">
        <v>39355</v>
      </c>
      <c r="B240" t="s">
        <v>406</v>
      </c>
      <c r="C240" t="s">
        <v>510</v>
      </c>
      <c r="D240" t="s">
        <v>539</v>
      </c>
      <c r="E240" t="s">
        <v>540</v>
      </c>
      <c r="F240" t="s">
        <v>413</v>
      </c>
      <c r="G240">
        <v>761</v>
      </c>
      <c r="I240">
        <v>749</v>
      </c>
    </row>
    <row r="241" spans="1:17" x14ac:dyDescent="0.2">
      <c r="A241" s="121">
        <v>39355</v>
      </c>
      <c r="B241" t="s">
        <v>406</v>
      </c>
      <c r="C241" t="s">
        <v>510</v>
      </c>
      <c r="D241" t="s">
        <v>541</v>
      </c>
      <c r="E241" t="s">
        <v>542</v>
      </c>
      <c r="F241" t="s">
        <v>410</v>
      </c>
      <c r="G241">
        <v>244</v>
      </c>
      <c r="I241">
        <v>237</v>
      </c>
    </row>
    <row r="242" spans="1:17" x14ac:dyDescent="0.2">
      <c r="A242" s="121">
        <v>39355</v>
      </c>
      <c r="B242" t="s">
        <v>406</v>
      </c>
      <c r="C242" t="s">
        <v>510</v>
      </c>
      <c r="D242" t="s">
        <v>543</v>
      </c>
      <c r="E242" t="s">
        <v>544</v>
      </c>
      <c r="F242" t="s">
        <v>410</v>
      </c>
      <c r="G242">
        <v>117</v>
      </c>
      <c r="I242">
        <v>116</v>
      </c>
    </row>
    <row r="243" spans="1:17" x14ac:dyDescent="0.2">
      <c r="A243" s="121">
        <v>39355</v>
      </c>
      <c r="B243" t="s">
        <v>406</v>
      </c>
      <c r="C243" t="s">
        <v>510</v>
      </c>
      <c r="D243" t="s">
        <v>545</v>
      </c>
      <c r="E243" t="s">
        <v>546</v>
      </c>
      <c r="F243" t="s">
        <v>410</v>
      </c>
      <c r="G243">
        <v>196</v>
      </c>
      <c r="I243">
        <v>196</v>
      </c>
    </row>
    <row r="244" spans="1:17" x14ac:dyDescent="0.2">
      <c r="A244" s="121">
        <v>39355</v>
      </c>
      <c r="B244" t="s">
        <v>406</v>
      </c>
      <c r="C244" t="s">
        <v>510</v>
      </c>
      <c r="D244" t="s">
        <v>547</v>
      </c>
      <c r="E244" t="s">
        <v>548</v>
      </c>
      <c r="F244" t="s">
        <v>410</v>
      </c>
      <c r="G244">
        <v>76</v>
      </c>
      <c r="I244">
        <v>75</v>
      </c>
    </row>
    <row r="245" spans="1:17" x14ac:dyDescent="0.2">
      <c r="A245" s="121">
        <v>39355</v>
      </c>
      <c r="B245" t="s">
        <v>406</v>
      </c>
      <c r="C245" t="s">
        <v>510</v>
      </c>
      <c r="D245" t="s">
        <v>549</v>
      </c>
      <c r="E245" t="s">
        <v>550</v>
      </c>
      <c r="F245" t="s">
        <v>410</v>
      </c>
      <c r="G245">
        <v>123</v>
      </c>
      <c r="I245">
        <v>123</v>
      </c>
    </row>
    <row r="246" spans="1:17" x14ac:dyDescent="0.2">
      <c r="A246" s="121">
        <v>39355</v>
      </c>
      <c r="B246" t="s">
        <v>406</v>
      </c>
      <c r="C246" t="s">
        <v>551</v>
      </c>
      <c r="D246" t="s">
        <v>552</v>
      </c>
      <c r="E246" t="s">
        <v>553</v>
      </c>
      <c r="F246" t="s">
        <v>413</v>
      </c>
      <c r="G246">
        <v>5495</v>
      </c>
      <c r="H246">
        <v>5495</v>
      </c>
      <c r="I246">
        <v>5384</v>
      </c>
      <c r="J246">
        <v>5384</v>
      </c>
      <c r="K246">
        <v>1515</v>
      </c>
      <c r="L246">
        <v>2</v>
      </c>
      <c r="M246">
        <v>3954</v>
      </c>
      <c r="N246">
        <v>12</v>
      </c>
      <c r="O246">
        <v>12</v>
      </c>
      <c r="P246">
        <v>4</v>
      </c>
      <c r="Q246">
        <v>0</v>
      </c>
    </row>
    <row r="247" spans="1:17" x14ac:dyDescent="0.2">
      <c r="A247" s="121">
        <v>39355</v>
      </c>
      <c r="B247" t="s">
        <v>406</v>
      </c>
      <c r="C247" t="s">
        <v>551</v>
      </c>
      <c r="D247" t="s">
        <v>554</v>
      </c>
      <c r="E247" t="s">
        <v>555</v>
      </c>
      <c r="F247" t="s">
        <v>410</v>
      </c>
      <c r="G247">
        <v>161</v>
      </c>
      <c r="I247">
        <v>161</v>
      </c>
    </row>
    <row r="248" spans="1:17" x14ac:dyDescent="0.2">
      <c r="A248" s="121">
        <v>39355</v>
      </c>
      <c r="B248" t="s">
        <v>406</v>
      </c>
      <c r="C248" t="s">
        <v>551</v>
      </c>
      <c r="D248" t="s">
        <v>556</v>
      </c>
      <c r="E248" t="s">
        <v>557</v>
      </c>
      <c r="F248" t="s">
        <v>410</v>
      </c>
      <c r="G248">
        <v>228</v>
      </c>
      <c r="I248">
        <v>228</v>
      </c>
    </row>
    <row r="249" spans="1:17" x14ac:dyDescent="0.2">
      <c r="A249" s="121">
        <v>39355</v>
      </c>
      <c r="B249" t="s">
        <v>406</v>
      </c>
      <c r="C249" t="s">
        <v>551</v>
      </c>
      <c r="D249" t="s">
        <v>558</v>
      </c>
      <c r="E249" t="s">
        <v>559</v>
      </c>
      <c r="F249" t="s">
        <v>413</v>
      </c>
      <c r="G249">
        <v>4752</v>
      </c>
      <c r="H249">
        <v>4752</v>
      </c>
      <c r="I249">
        <v>4530</v>
      </c>
      <c r="J249">
        <v>4530</v>
      </c>
      <c r="K249">
        <v>984</v>
      </c>
      <c r="L249">
        <v>7</v>
      </c>
      <c r="M249">
        <v>3710</v>
      </c>
      <c r="N249">
        <v>17</v>
      </c>
      <c r="O249">
        <v>34</v>
      </c>
      <c r="P249">
        <v>50</v>
      </c>
      <c r="Q249">
        <v>27</v>
      </c>
    </row>
    <row r="250" spans="1:17" x14ac:dyDescent="0.2">
      <c r="A250" s="121">
        <v>39355</v>
      </c>
      <c r="B250" t="s">
        <v>406</v>
      </c>
      <c r="C250" t="s">
        <v>551</v>
      </c>
      <c r="D250" t="s">
        <v>560</v>
      </c>
      <c r="E250" t="s">
        <v>561</v>
      </c>
      <c r="F250" t="s">
        <v>413</v>
      </c>
      <c r="G250">
        <v>5511</v>
      </c>
      <c r="H250">
        <v>5511</v>
      </c>
      <c r="I250">
        <v>5420</v>
      </c>
      <c r="J250">
        <v>5420</v>
      </c>
      <c r="K250">
        <v>1303</v>
      </c>
      <c r="L250">
        <v>7</v>
      </c>
      <c r="M250">
        <v>4162</v>
      </c>
      <c r="N250">
        <v>20</v>
      </c>
      <c r="O250">
        <v>19</v>
      </c>
      <c r="P250">
        <v>5</v>
      </c>
      <c r="Q250">
        <v>0</v>
      </c>
    </row>
    <row r="251" spans="1:17" x14ac:dyDescent="0.2">
      <c r="A251" s="121">
        <v>39355</v>
      </c>
      <c r="B251" t="s">
        <v>406</v>
      </c>
      <c r="C251" t="s">
        <v>562</v>
      </c>
      <c r="D251" t="s">
        <v>563</v>
      </c>
      <c r="E251" t="s">
        <v>564</v>
      </c>
      <c r="F251" t="s">
        <v>410</v>
      </c>
      <c r="G251">
        <v>3001</v>
      </c>
      <c r="H251">
        <v>3001</v>
      </c>
      <c r="I251">
        <v>2785</v>
      </c>
      <c r="J251">
        <v>2785</v>
      </c>
      <c r="K251">
        <v>874</v>
      </c>
      <c r="L251">
        <v>2</v>
      </c>
      <c r="M251">
        <v>2125</v>
      </c>
      <c r="N251">
        <v>0</v>
      </c>
      <c r="O251">
        <v>0</v>
      </c>
      <c r="P251">
        <v>11</v>
      </c>
      <c r="Q251">
        <v>1</v>
      </c>
    </row>
    <row r="252" spans="1:17" x14ac:dyDescent="0.2">
      <c r="A252" s="121">
        <v>39355</v>
      </c>
      <c r="B252" t="s">
        <v>406</v>
      </c>
      <c r="C252" t="s">
        <v>562</v>
      </c>
      <c r="D252" t="s">
        <v>565</v>
      </c>
      <c r="E252" t="s">
        <v>566</v>
      </c>
      <c r="F252" t="s">
        <v>413</v>
      </c>
      <c r="G252">
        <v>3999</v>
      </c>
      <c r="H252">
        <v>3999</v>
      </c>
      <c r="I252">
        <v>3937</v>
      </c>
      <c r="J252">
        <v>3937</v>
      </c>
      <c r="K252">
        <v>719</v>
      </c>
      <c r="L252">
        <v>7</v>
      </c>
      <c r="M252">
        <v>2943</v>
      </c>
      <c r="N252">
        <v>106</v>
      </c>
      <c r="O252">
        <v>224</v>
      </c>
      <c r="P252">
        <v>2</v>
      </c>
      <c r="Q252">
        <v>0</v>
      </c>
    </row>
    <row r="253" spans="1:17" x14ac:dyDescent="0.2">
      <c r="A253" s="121">
        <v>39355</v>
      </c>
      <c r="B253" t="s">
        <v>406</v>
      </c>
      <c r="C253" t="s">
        <v>562</v>
      </c>
      <c r="D253" t="s">
        <v>567</v>
      </c>
      <c r="E253" t="s">
        <v>568</v>
      </c>
      <c r="F253" t="s">
        <v>413</v>
      </c>
      <c r="G253">
        <v>8887</v>
      </c>
      <c r="H253">
        <v>8887</v>
      </c>
      <c r="I253">
        <v>8229</v>
      </c>
      <c r="J253">
        <v>8229</v>
      </c>
      <c r="K253">
        <v>2786</v>
      </c>
      <c r="L253">
        <v>21</v>
      </c>
      <c r="M253">
        <v>5882</v>
      </c>
      <c r="N253">
        <v>198</v>
      </c>
      <c r="O253">
        <v>0</v>
      </c>
      <c r="P253">
        <v>27</v>
      </c>
      <c r="Q253">
        <v>1</v>
      </c>
    </row>
    <row r="254" spans="1:17" x14ac:dyDescent="0.2">
      <c r="A254" s="121">
        <v>39355</v>
      </c>
      <c r="B254" t="s">
        <v>406</v>
      </c>
      <c r="C254" t="s">
        <v>562</v>
      </c>
      <c r="D254" t="s">
        <v>569</v>
      </c>
      <c r="E254" t="s">
        <v>570</v>
      </c>
      <c r="F254" t="s">
        <v>413</v>
      </c>
      <c r="G254">
        <v>2902</v>
      </c>
      <c r="H254">
        <v>2902</v>
      </c>
      <c r="I254">
        <v>2880</v>
      </c>
      <c r="J254">
        <v>2880</v>
      </c>
      <c r="K254">
        <v>435</v>
      </c>
      <c r="L254">
        <v>1</v>
      </c>
      <c r="M254">
        <v>2466</v>
      </c>
      <c r="N254">
        <v>0</v>
      </c>
      <c r="O254">
        <v>0</v>
      </c>
      <c r="P254">
        <v>0</v>
      </c>
      <c r="Q254">
        <v>0</v>
      </c>
    </row>
    <row r="255" spans="1:17" x14ac:dyDescent="0.2">
      <c r="A255" s="121">
        <v>39355</v>
      </c>
      <c r="B255" t="s">
        <v>406</v>
      </c>
      <c r="C255" t="s">
        <v>571</v>
      </c>
      <c r="D255" t="s">
        <v>572</v>
      </c>
      <c r="E255" t="s">
        <v>573</v>
      </c>
      <c r="F255" t="s">
        <v>410</v>
      </c>
      <c r="G255">
        <v>242</v>
      </c>
      <c r="I255">
        <v>242</v>
      </c>
    </row>
    <row r="256" spans="1:17" x14ac:dyDescent="0.2">
      <c r="A256" s="121">
        <v>39355</v>
      </c>
      <c r="B256" t="s">
        <v>406</v>
      </c>
      <c r="C256" t="s">
        <v>574</v>
      </c>
      <c r="D256" t="s">
        <v>575</v>
      </c>
      <c r="E256" t="s">
        <v>576</v>
      </c>
      <c r="F256" t="s">
        <v>413</v>
      </c>
      <c r="G256">
        <v>713</v>
      </c>
      <c r="H256">
        <v>713</v>
      </c>
      <c r="I256">
        <v>691</v>
      </c>
      <c r="J256">
        <v>691</v>
      </c>
      <c r="K256">
        <v>138</v>
      </c>
      <c r="L256">
        <v>2</v>
      </c>
      <c r="M256">
        <v>537</v>
      </c>
      <c r="N256">
        <v>3</v>
      </c>
      <c r="O256">
        <v>33</v>
      </c>
      <c r="P256">
        <v>3</v>
      </c>
      <c r="Q256">
        <v>2</v>
      </c>
    </row>
    <row r="257" spans="1:17" x14ac:dyDescent="0.2">
      <c r="A257" s="121">
        <v>39355</v>
      </c>
      <c r="B257" t="s">
        <v>406</v>
      </c>
      <c r="C257" t="s">
        <v>577</v>
      </c>
      <c r="D257" t="s">
        <v>578</v>
      </c>
      <c r="E257" t="s">
        <v>579</v>
      </c>
      <c r="F257" t="s">
        <v>413</v>
      </c>
      <c r="G257">
        <v>4113</v>
      </c>
      <c r="H257">
        <v>4113</v>
      </c>
      <c r="I257">
        <v>4086</v>
      </c>
      <c r="J257">
        <v>4086</v>
      </c>
      <c r="K257">
        <v>943</v>
      </c>
      <c r="L257">
        <v>13</v>
      </c>
      <c r="M257">
        <v>3053</v>
      </c>
      <c r="N257">
        <v>22</v>
      </c>
      <c r="O257">
        <v>82</v>
      </c>
      <c r="P257">
        <v>0</v>
      </c>
      <c r="Q257">
        <v>0</v>
      </c>
    </row>
    <row r="258" spans="1:17" x14ac:dyDescent="0.2">
      <c r="A258" s="121">
        <v>39355</v>
      </c>
      <c r="B258" t="s">
        <v>406</v>
      </c>
      <c r="C258" t="s">
        <v>577</v>
      </c>
      <c r="D258" t="s">
        <v>580</v>
      </c>
      <c r="E258" t="s">
        <v>581</v>
      </c>
      <c r="F258" t="s">
        <v>413</v>
      </c>
      <c r="G258">
        <v>2142</v>
      </c>
      <c r="H258">
        <v>2142</v>
      </c>
      <c r="I258">
        <v>2118</v>
      </c>
      <c r="J258">
        <v>2118</v>
      </c>
      <c r="K258">
        <v>369</v>
      </c>
      <c r="L258">
        <v>6</v>
      </c>
      <c r="M258">
        <v>1552</v>
      </c>
      <c r="N258">
        <v>55</v>
      </c>
      <c r="O258">
        <v>160</v>
      </c>
      <c r="P258">
        <v>1</v>
      </c>
      <c r="Q258">
        <v>0</v>
      </c>
    </row>
    <row r="259" spans="1:17" x14ac:dyDescent="0.2">
      <c r="A259" s="121">
        <v>39355</v>
      </c>
      <c r="B259" t="s">
        <v>406</v>
      </c>
      <c r="C259" t="s">
        <v>577</v>
      </c>
      <c r="D259" t="s">
        <v>582</v>
      </c>
      <c r="E259" t="s">
        <v>583</v>
      </c>
      <c r="F259" t="s">
        <v>410</v>
      </c>
      <c r="G259">
        <v>57</v>
      </c>
      <c r="H259">
        <v>57</v>
      </c>
      <c r="I259">
        <v>57</v>
      </c>
      <c r="J259">
        <v>57</v>
      </c>
      <c r="K259">
        <v>0</v>
      </c>
      <c r="L259">
        <v>0</v>
      </c>
      <c r="M259">
        <v>57</v>
      </c>
      <c r="N259">
        <v>0</v>
      </c>
      <c r="O259">
        <v>0</v>
      </c>
      <c r="P259">
        <v>0</v>
      </c>
      <c r="Q259">
        <v>0</v>
      </c>
    </row>
    <row r="260" spans="1:17" x14ac:dyDescent="0.2">
      <c r="A260" s="121">
        <v>39355</v>
      </c>
      <c r="B260" t="s">
        <v>406</v>
      </c>
      <c r="C260" t="s">
        <v>577</v>
      </c>
      <c r="D260" t="s">
        <v>584</v>
      </c>
      <c r="E260" t="s">
        <v>585</v>
      </c>
      <c r="F260" t="s">
        <v>410</v>
      </c>
      <c r="G260">
        <v>170</v>
      </c>
      <c r="H260">
        <v>170</v>
      </c>
      <c r="I260">
        <v>170</v>
      </c>
      <c r="J260">
        <v>170</v>
      </c>
      <c r="K260">
        <v>4</v>
      </c>
      <c r="L260">
        <v>0</v>
      </c>
      <c r="M260">
        <v>166</v>
      </c>
      <c r="N260">
        <v>0</v>
      </c>
      <c r="O260">
        <v>0</v>
      </c>
      <c r="P260">
        <v>0</v>
      </c>
      <c r="Q260">
        <v>0</v>
      </c>
    </row>
    <row r="261" spans="1:17" x14ac:dyDescent="0.2">
      <c r="A261" s="121">
        <v>39355</v>
      </c>
      <c r="B261" t="s">
        <v>406</v>
      </c>
      <c r="C261" t="s">
        <v>577</v>
      </c>
      <c r="D261" t="s">
        <v>586</v>
      </c>
      <c r="E261" t="s">
        <v>587</v>
      </c>
      <c r="F261" t="s">
        <v>410</v>
      </c>
      <c r="G261">
        <v>783</v>
      </c>
      <c r="H261">
        <v>783</v>
      </c>
      <c r="I261">
        <v>782</v>
      </c>
      <c r="J261">
        <v>782</v>
      </c>
      <c r="K261">
        <v>10</v>
      </c>
      <c r="L261">
        <v>0</v>
      </c>
      <c r="M261">
        <v>730</v>
      </c>
      <c r="N261">
        <v>43</v>
      </c>
      <c r="O261">
        <v>0</v>
      </c>
      <c r="P261">
        <v>0</v>
      </c>
      <c r="Q261">
        <v>0</v>
      </c>
    </row>
    <row r="262" spans="1:17" x14ac:dyDescent="0.2">
      <c r="A262" s="121">
        <v>39355</v>
      </c>
      <c r="B262" t="s">
        <v>406</v>
      </c>
      <c r="C262" t="s">
        <v>577</v>
      </c>
      <c r="D262" t="s">
        <v>588</v>
      </c>
      <c r="E262" t="s">
        <v>589</v>
      </c>
      <c r="F262" t="s">
        <v>410</v>
      </c>
      <c r="G262">
        <v>164</v>
      </c>
      <c r="H262">
        <v>164</v>
      </c>
      <c r="I262">
        <v>164</v>
      </c>
      <c r="J262">
        <v>164</v>
      </c>
      <c r="K262">
        <v>3</v>
      </c>
      <c r="L262">
        <v>0</v>
      </c>
      <c r="M262">
        <v>161</v>
      </c>
      <c r="N262">
        <v>0</v>
      </c>
      <c r="O262">
        <v>0</v>
      </c>
      <c r="P262">
        <v>0</v>
      </c>
      <c r="Q262">
        <v>0</v>
      </c>
    </row>
    <row r="263" spans="1:17" x14ac:dyDescent="0.2">
      <c r="A263" s="121">
        <v>39355</v>
      </c>
      <c r="B263" t="s">
        <v>406</v>
      </c>
      <c r="C263" t="s">
        <v>577</v>
      </c>
      <c r="D263" t="s">
        <v>590</v>
      </c>
      <c r="E263" t="s">
        <v>591</v>
      </c>
      <c r="F263" t="s">
        <v>410</v>
      </c>
      <c r="G263">
        <v>434</v>
      </c>
      <c r="H263">
        <v>434</v>
      </c>
      <c r="I263">
        <v>432</v>
      </c>
      <c r="J263">
        <v>432</v>
      </c>
      <c r="K263">
        <v>10</v>
      </c>
      <c r="L263">
        <v>0</v>
      </c>
      <c r="M263">
        <v>423</v>
      </c>
      <c r="N263">
        <v>1</v>
      </c>
      <c r="O263">
        <v>0</v>
      </c>
      <c r="P263">
        <v>0</v>
      </c>
      <c r="Q263">
        <v>0</v>
      </c>
    </row>
    <row r="264" spans="1:17" x14ac:dyDescent="0.2">
      <c r="A264" s="121">
        <v>39355</v>
      </c>
      <c r="B264" t="s">
        <v>406</v>
      </c>
      <c r="C264" t="s">
        <v>577</v>
      </c>
      <c r="D264" t="s">
        <v>592</v>
      </c>
      <c r="E264" t="s">
        <v>593</v>
      </c>
      <c r="F264" t="s">
        <v>410</v>
      </c>
      <c r="G264">
        <v>375</v>
      </c>
      <c r="H264">
        <v>375</v>
      </c>
      <c r="I264">
        <v>375</v>
      </c>
      <c r="J264">
        <v>375</v>
      </c>
      <c r="K264">
        <v>22</v>
      </c>
      <c r="L264">
        <v>0</v>
      </c>
      <c r="M264">
        <v>343</v>
      </c>
      <c r="N264">
        <v>10</v>
      </c>
      <c r="O264">
        <v>0</v>
      </c>
      <c r="P264">
        <v>0</v>
      </c>
      <c r="Q264">
        <v>0</v>
      </c>
    </row>
    <row r="265" spans="1:17" x14ac:dyDescent="0.2">
      <c r="A265" s="121">
        <v>39355</v>
      </c>
      <c r="B265" t="s">
        <v>406</v>
      </c>
      <c r="C265" t="s">
        <v>594</v>
      </c>
      <c r="D265" t="s">
        <v>595</v>
      </c>
      <c r="E265" t="s">
        <v>596</v>
      </c>
      <c r="F265" t="s">
        <v>410</v>
      </c>
      <c r="G265">
        <v>16</v>
      </c>
      <c r="I265">
        <v>16</v>
      </c>
    </row>
    <row r="266" spans="1:17" x14ac:dyDescent="0.2">
      <c r="A266" s="121">
        <v>39355</v>
      </c>
      <c r="B266" t="s">
        <v>406</v>
      </c>
      <c r="C266" t="s">
        <v>594</v>
      </c>
      <c r="D266" t="s">
        <v>597</v>
      </c>
      <c r="E266" t="s">
        <v>598</v>
      </c>
      <c r="F266" t="s">
        <v>413</v>
      </c>
      <c r="G266">
        <v>689</v>
      </c>
      <c r="H266">
        <v>689</v>
      </c>
      <c r="I266">
        <v>664</v>
      </c>
      <c r="J266">
        <v>664</v>
      </c>
      <c r="K266">
        <v>172</v>
      </c>
      <c r="L266">
        <v>0</v>
      </c>
      <c r="M266">
        <v>493</v>
      </c>
      <c r="N266">
        <v>1</v>
      </c>
      <c r="O266">
        <v>23</v>
      </c>
      <c r="P266">
        <v>0</v>
      </c>
      <c r="Q266">
        <v>0</v>
      </c>
    </row>
    <row r="267" spans="1:17" x14ac:dyDescent="0.2">
      <c r="A267" s="121">
        <v>39355</v>
      </c>
      <c r="B267" t="s">
        <v>406</v>
      </c>
      <c r="C267" t="s">
        <v>594</v>
      </c>
      <c r="D267" t="s">
        <v>599</v>
      </c>
      <c r="E267" t="s">
        <v>600</v>
      </c>
      <c r="F267" t="s">
        <v>410</v>
      </c>
      <c r="G267">
        <v>106</v>
      </c>
      <c r="I267">
        <v>106</v>
      </c>
    </row>
    <row r="268" spans="1:17" x14ac:dyDescent="0.2">
      <c r="A268" s="121">
        <v>39386</v>
      </c>
      <c r="B268" t="s">
        <v>406</v>
      </c>
      <c r="C268" t="s">
        <v>407</v>
      </c>
      <c r="D268" t="s">
        <v>408</v>
      </c>
      <c r="E268" t="s">
        <v>409</v>
      </c>
      <c r="F268" t="s">
        <v>410</v>
      </c>
      <c r="G268">
        <v>165</v>
      </c>
      <c r="I268">
        <v>165</v>
      </c>
    </row>
    <row r="269" spans="1:17" x14ac:dyDescent="0.2">
      <c r="A269" s="121">
        <v>39386</v>
      </c>
      <c r="B269" t="s">
        <v>406</v>
      </c>
      <c r="C269" t="s">
        <v>407</v>
      </c>
      <c r="D269" t="s">
        <v>601</v>
      </c>
      <c r="E269" t="s">
        <v>602</v>
      </c>
      <c r="F269" t="s">
        <v>410</v>
      </c>
      <c r="G269">
        <v>74</v>
      </c>
      <c r="I269">
        <v>74</v>
      </c>
    </row>
    <row r="270" spans="1:17" x14ac:dyDescent="0.2">
      <c r="A270" s="121">
        <v>39386</v>
      </c>
      <c r="B270" t="s">
        <v>406</v>
      </c>
      <c r="C270" t="s">
        <v>407</v>
      </c>
      <c r="D270" t="s">
        <v>411</v>
      </c>
      <c r="E270" t="s">
        <v>412</v>
      </c>
      <c r="F270" t="s">
        <v>413</v>
      </c>
      <c r="G270">
        <v>5481</v>
      </c>
      <c r="H270">
        <v>5481</v>
      </c>
      <c r="I270">
        <v>5374</v>
      </c>
      <c r="J270">
        <v>5374</v>
      </c>
      <c r="K270">
        <v>2038</v>
      </c>
      <c r="L270">
        <v>13</v>
      </c>
      <c r="M270">
        <v>3292</v>
      </c>
      <c r="N270">
        <v>44</v>
      </c>
      <c r="O270">
        <v>94</v>
      </c>
      <c r="P270">
        <v>3</v>
      </c>
      <c r="Q270">
        <v>1</v>
      </c>
    </row>
    <row r="271" spans="1:17" x14ac:dyDescent="0.2">
      <c r="A271" s="121">
        <v>39386</v>
      </c>
      <c r="B271" t="s">
        <v>406</v>
      </c>
      <c r="C271" t="s">
        <v>407</v>
      </c>
      <c r="D271" t="s">
        <v>414</v>
      </c>
      <c r="E271" t="s">
        <v>415</v>
      </c>
      <c r="F271" t="s">
        <v>410</v>
      </c>
      <c r="G271">
        <v>83</v>
      </c>
      <c r="I271">
        <v>83</v>
      </c>
    </row>
    <row r="272" spans="1:17" x14ac:dyDescent="0.2">
      <c r="A272" s="121">
        <v>39386</v>
      </c>
      <c r="B272" t="s">
        <v>406</v>
      </c>
      <c r="C272" t="s">
        <v>407</v>
      </c>
      <c r="D272" t="s">
        <v>416</v>
      </c>
      <c r="E272" t="s">
        <v>417</v>
      </c>
      <c r="F272" t="s">
        <v>413</v>
      </c>
      <c r="G272">
        <v>3452</v>
      </c>
      <c r="H272">
        <v>3452</v>
      </c>
      <c r="I272">
        <v>3304</v>
      </c>
      <c r="J272">
        <v>3304</v>
      </c>
      <c r="K272">
        <v>1275</v>
      </c>
      <c r="L272">
        <v>0</v>
      </c>
      <c r="M272">
        <v>2033</v>
      </c>
      <c r="N272">
        <v>78</v>
      </c>
      <c r="O272">
        <v>66</v>
      </c>
      <c r="P272">
        <v>1</v>
      </c>
      <c r="Q272">
        <v>0</v>
      </c>
    </row>
    <row r="273" spans="1:17" x14ac:dyDescent="0.2">
      <c r="A273" s="121">
        <v>39386</v>
      </c>
      <c r="B273" t="s">
        <v>406</v>
      </c>
      <c r="C273" t="s">
        <v>418</v>
      </c>
      <c r="D273" t="s">
        <v>419</v>
      </c>
      <c r="E273" t="s">
        <v>420</v>
      </c>
      <c r="F273" t="s">
        <v>410</v>
      </c>
      <c r="G273">
        <v>13</v>
      </c>
      <c r="I273">
        <v>13</v>
      </c>
    </row>
    <row r="274" spans="1:17" x14ac:dyDescent="0.2">
      <c r="A274" s="121">
        <v>39386</v>
      </c>
      <c r="B274" t="s">
        <v>406</v>
      </c>
      <c r="C274" t="s">
        <v>418</v>
      </c>
      <c r="D274" t="s">
        <v>421</v>
      </c>
      <c r="E274" t="s">
        <v>422</v>
      </c>
      <c r="F274" t="s">
        <v>410</v>
      </c>
      <c r="G274">
        <v>88</v>
      </c>
      <c r="I274">
        <v>88</v>
      </c>
    </row>
    <row r="275" spans="1:17" x14ac:dyDescent="0.2">
      <c r="A275" s="121">
        <v>39386</v>
      </c>
      <c r="B275" t="s">
        <v>406</v>
      </c>
      <c r="C275" t="s">
        <v>418</v>
      </c>
      <c r="D275" t="s">
        <v>423</v>
      </c>
      <c r="E275" t="s">
        <v>424</v>
      </c>
      <c r="F275" t="s">
        <v>410</v>
      </c>
      <c r="G275">
        <v>26</v>
      </c>
      <c r="I275">
        <v>26</v>
      </c>
    </row>
    <row r="276" spans="1:17" x14ac:dyDescent="0.2">
      <c r="A276" s="121">
        <v>39386</v>
      </c>
      <c r="B276" t="s">
        <v>406</v>
      </c>
      <c r="C276" t="s">
        <v>418</v>
      </c>
      <c r="D276" t="s">
        <v>425</v>
      </c>
      <c r="E276" t="s">
        <v>426</v>
      </c>
      <c r="F276" t="s">
        <v>410</v>
      </c>
      <c r="G276">
        <v>96</v>
      </c>
      <c r="I276">
        <v>96</v>
      </c>
    </row>
    <row r="277" spans="1:17" x14ac:dyDescent="0.2">
      <c r="A277" s="121">
        <v>39386</v>
      </c>
      <c r="B277" t="s">
        <v>406</v>
      </c>
      <c r="C277" t="s">
        <v>418</v>
      </c>
      <c r="D277" t="s">
        <v>427</v>
      </c>
      <c r="E277" t="s">
        <v>428</v>
      </c>
      <c r="F277" t="s">
        <v>413</v>
      </c>
      <c r="G277">
        <v>1912</v>
      </c>
      <c r="H277">
        <v>1912</v>
      </c>
      <c r="I277">
        <v>1895</v>
      </c>
      <c r="J277">
        <v>1895</v>
      </c>
      <c r="K277">
        <v>639</v>
      </c>
      <c r="L277">
        <v>3</v>
      </c>
      <c r="M277">
        <v>1056</v>
      </c>
      <c r="N277">
        <v>20</v>
      </c>
      <c r="O277">
        <v>194</v>
      </c>
      <c r="P277">
        <v>0</v>
      </c>
      <c r="Q277">
        <v>0</v>
      </c>
    </row>
    <row r="278" spans="1:17" x14ac:dyDescent="0.2">
      <c r="A278" s="121">
        <v>39386</v>
      </c>
      <c r="B278" t="s">
        <v>406</v>
      </c>
      <c r="C278" t="s">
        <v>429</v>
      </c>
      <c r="D278" t="s">
        <v>430</v>
      </c>
      <c r="E278" t="s">
        <v>431</v>
      </c>
      <c r="F278" t="s">
        <v>410</v>
      </c>
      <c r="G278">
        <v>63</v>
      </c>
      <c r="I278">
        <v>63</v>
      </c>
    </row>
    <row r="279" spans="1:17" x14ac:dyDescent="0.2">
      <c r="A279" s="121">
        <v>39386</v>
      </c>
      <c r="B279" t="s">
        <v>406</v>
      </c>
      <c r="C279" t="s">
        <v>429</v>
      </c>
      <c r="D279" t="s">
        <v>432</v>
      </c>
      <c r="E279" t="s">
        <v>433</v>
      </c>
      <c r="F279" t="s">
        <v>410</v>
      </c>
      <c r="G279">
        <v>51</v>
      </c>
      <c r="I279">
        <v>51</v>
      </c>
    </row>
    <row r="280" spans="1:17" x14ac:dyDescent="0.2">
      <c r="A280" s="121">
        <v>39386</v>
      </c>
      <c r="B280" t="s">
        <v>406</v>
      </c>
      <c r="C280" t="s">
        <v>429</v>
      </c>
      <c r="D280" t="s">
        <v>434</v>
      </c>
      <c r="E280" t="s">
        <v>435</v>
      </c>
      <c r="F280" t="s">
        <v>410</v>
      </c>
      <c r="G280">
        <v>13</v>
      </c>
      <c r="I280">
        <v>13</v>
      </c>
    </row>
    <row r="281" spans="1:17" x14ac:dyDescent="0.2">
      <c r="A281" s="121">
        <v>39386</v>
      </c>
      <c r="B281" t="s">
        <v>406</v>
      </c>
      <c r="C281" t="s">
        <v>429</v>
      </c>
      <c r="D281" t="s">
        <v>436</v>
      </c>
      <c r="E281" t="s">
        <v>437</v>
      </c>
      <c r="F281" t="s">
        <v>410</v>
      </c>
      <c r="G281">
        <v>61</v>
      </c>
      <c r="I281">
        <v>61</v>
      </c>
    </row>
    <row r="282" spans="1:17" x14ac:dyDescent="0.2">
      <c r="A282" s="121">
        <v>39386</v>
      </c>
      <c r="B282" t="s">
        <v>406</v>
      </c>
      <c r="C282" t="s">
        <v>429</v>
      </c>
      <c r="D282" t="s">
        <v>438</v>
      </c>
      <c r="E282" t="s">
        <v>439</v>
      </c>
      <c r="F282" t="s">
        <v>413</v>
      </c>
      <c r="G282">
        <v>913</v>
      </c>
      <c r="I282">
        <v>890</v>
      </c>
    </row>
    <row r="283" spans="1:17" x14ac:dyDescent="0.2">
      <c r="A283" s="121">
        <v>39386</v>
      </c>
      <c r="B283" t="s">
        <v>406</v>
      </c>
      <c r="C283" t="s">
        <v>429</v>
      </c>
      <c r="D283" t="s">
        <v>440</v>
      </c>
      <c r="E283" t="s">
        <v>441</v>
      </c>
      <c r="F283" t="s">
        <v>413</v>
      </c>
      <c r="G283">
        <v>2760</v>
      </c>
      <c r="H283">
        <v>2760</v>
      </c>
      <c r="I283">
        <v>2724</v>
      </c>
      <c r="J283">
        <v>2724</v>
      </c>
      <c r="K283">
        <v>924</v>
      </c>
      <c r="L283">
        <v>4</v>
      </c>
      <c r="M283">
        <v>1765</v>
      </c>
      <c r="N283">
        <v>19</v>
      </c>
      <c r="O283">
        <v>48</v>
      </c>
      <c r="P283">
        <v>1</v>
      </c>
      <c r="Q283">
        <v>0</v>
      </c>
    </row>
    <row r="284" spans="1:17" x14ac:dyDescent="0.2">
      <c r="A284" s="121">
        <v>39386</v>
      </c>
      <c r="B284" t="s">
        <v>406</v>
      </c>
      <c r="C284" t="s">
        <v>442</v>
      </c>
      <c r="D284" t="s">
        <v>443</v>
      </c>
      <c r="E284" t="s">
        <v>444</v>
      </c>
      <c r="F284" t="s">
        <v>413</v>
      </c>
      <c r="G284">
        <v>3726</v>
      </c>
      <c r="H284">
        <v>3726</v>
      </c>
      <c r="I284">
        <v>3629</v>
      </c>
      <c r="J284">
        <v>3629</v>
      </c>
      <c r="K284">
        <v>635</v>
      </c>
      <c r="L284">
        <v>158</v>
      </c>
      <c r="M284">
        <v>2831</v>
      </c>
      <c r="N284">
        <v>35</v>
      </c>
      <c r="O284">
        <v>67</v>
      </c>
      <c r="P284">
        <v>1</v>
      </c>
      <c r="Q284">
        <v>0</v>
      </c>
    </row>
    <row r="285" spans="1:17" x14ac:dyDescent="0.2">
      <c r="A285" s="121">
        <v>39386</v>
      </c>
      <c r="B285" t="s">
        <v>406</v>
      </c>
      <c r="C285" t="s">
        <v>442</v>
      </c>
      <c r="D285" t="s">
        <v>445</v>
      </c>
      <c r="E285" t="s">
        <v>446</v>
      </c>
      <c r="F285" t="s">
        <v>410</v>
      </c>
      <c r="G285">
        <v>149</v>
      </c>
      <c r="I285">
        <v>149</v>
      </c>
    </row>
    <row r="286" spans="1:17" x14ac:dyDescent="0.2">
      <c r="A286" s="121">
        <v>39386</v>
      </c>
      <c r="B286" t="s">
        <v>406</v>
      </c>
      <c r="C286" t="s">
        <v>442</v>
      </c>
      <c r="D286" t="s">
        <v>447</v>
      </c>
      <c r="E286" t="s">
        <v>448</v>
      </c>
      <c r="F286" t="s">
        <v>410</v>
      </c>
      <c r="G286">
        <v>319</v>
      </c>
      <c r="I286">
        <v>319</v>
      </c>
    </row>
    <row r="287" spans="1:17" x14ac:dyDescent="0.2">
      <c r="A287" s="121">
        <v>39386</v>
      </c>
      <c r="B287" t="s">
        <v>406</v>
      </c>
      <c r="C287" t="s">
        <v>442</v>
      </c>
      <c r="D287" t="s">
        <v>449</v>
      </c>
      <c r="E287" t="s">
        <v>450</v>
      </c>
      <c r="F287" t="s">
        <v>413</v>
      </c>
      <c r="G287">
        <v>3358</v>
      </c>
      <c r="H287">
        <v>3358</v>
      </c>
      <c r="I287">
        <v>3275</v>
      </c>
      <c r="J287">
        <v>3275</v>
      </c>
      <c r="K287">
        <v>680</v>
      </c>
      <c r="L287">
        <v>169</v>
      </c>
      <c r="M287">
        <v>2444</v>
      </c>
      <c r="N287">
        <v>29</v>
      </c>
      <c r="O287">
        <v>36</v>
      </c>
      <c r="P287">
        <v>3</v>
      </c>
      <c r="Q287">
        <v>0</v>
      </c>
    </row>
    <row r="288" spans="1:17" x14ac:dyDescent="0.2">
      <c r="A288" s="121">
        <v>39386</v>
      </c>
      <c r="B288" t="s">
        <v>406</v>
      </c>
      <c r="C288" t="s">
        <v>451</v>
      </c>
      <c r="D288" t="s">
        <v>452</v>
      </c>
      <c r="E288" t="s">
        <v>453</v>
      </c>
      <c r="F288" t="s">
        <v>410</v>
      </c>
      <c r="G288">
        <v>1812</v>
      </c>
      <c r="H288">
        <v>1812</v>
      </c>
      <c r="I288">
        <v>1810</v>
      </c>
      <c r="J288">
        <v>1810</v>
      </c>
      <c r="K288">
        <v>0</v>
      </c>
      <c r="L288">
        <v>0</v>
      </c>
      <c r="M288">
        <v>1295</v>
      </c>
      <c r="N288">
        <v>207</v>
      </c>
      <c r="O288">
        <v>310</v>
      </c>
      <c r="P288">
        <v>0</v>
      </c>
      <c r="Q288">
        <v>0</v>
      </c>
    </row>
    <row r="289" spans="1:17" x14ac:dyDescent="0.2">
      <c r="A289" s="121">
        <v>39386</v>
      </c>
      <c r="B289" t="s">
        <v>406</v>
      </c>
      <c r="C289" t="s">
        <v>451</v>
      </c>
      <c r="D289" t="s">
        <v>454</v>
      </c>
      <c r="E289" t="s">
        <v>455</v>
      </c>
      <c r="F289" t="s">
        <v>413</v>
      </c>
      <c r="G289">
        <v>4018</v>
      </c>
      <c r="H289">
        <v>4018</v>
      </c>
      <c r="I289">
        <v>3940</v>
      </c>
      <c r="J289">
        <v>3940</v>
      </c>
      <c r="K289">
        <v>1138</v>
      </c>
      <c r="L289">
        <v>7</v>
      </c>
      <c r="M289">
        <v>2307</v>
      </c>
      <c r="N289">
        <v>38</v>
      </c>
      <c r="O289">
        <v>528</v>
      </c>
      <c r="P289">
        <v>3</v>
      </c>
      <c r="Q289">
        <v>0</v>
      </c>
    </row>
    <row r="290" spans="1:17" x14ac:dyDescent="0.2">
      <c r="A290" s="121">
        <v>39386</v>
      </c>
      <c r="B290" t="s">
        <v>406</v>
      </c>
      <c r="C290" t="s">
        <v>456</v>
      </c>
      <c r="D290" t="s">
        <v>457</v>
      </c>
      <c r="E290" t="s">
        <v>458</v>
      </c>
      <c r="F290" t="s">
        <v>413</v>
      </c>
      <c r="G290">
        <v>5279</v>
      </c>
      <c r="H290">
        <v>5279</v>
      </c>
      <c r="I290">
        <v>5144</v>
      </c>
      <c r="J290">
        <v>5144</v>
      </c>
      <c r="K290">
        <v>1216</v>
      </c>
      <c r="L290">
        <v>31</v>
      </c>
      <c r="M290">
        <v>3920</v>
      </c>
      <c r="N290">
        <v>78</v>
      </c>
      <c r="O290">
        <v>34</v>
      </c>
      <c r="P290">
        <v>9</v>
      </c>
      <c r="Q290">
        <v>1</v>
      </c>
    </row>
    <row r="291" spans="1:17" x14ac:dyDescent="0.2">
      <c r="A291" s="121">
        <v>39386</v>
      </c>
      <c r="B291" t="s">
        <v>406</v>
      </c>
      <c r="C291" t="s">
        <v>456</v>
      </c>
      <c r="D291" t="s">
        <v>459</v>
      </c>
      <c r="E291" t="s">
        <v>460</v>
      </c>
      <c r="F291" t="s">
        <v>413</v>
      </c>
      <c r="G291">
        <v>1341</v>
      </c>
      <c r="H291">
        <v>1341</v>
      </c>
      <c r="I291">
        <v>1340</v>
      </c>
      <c r="J291">
        <v>1340</v>
      </c>
      <c r="K291">
        <v>361</v>
      </c>
      <c r="L291">
        <v>0</v>
      </c>
      <c r="M291">
        <v>979</v>
      </c>
      <c r="N291">
        <v>1</v>
      </c>
      <c r="O291">
        <v>0</v>
      </c>
      <c r="P291">
        <v>0</v>
      </c>
      <c r="Q291">
        <v>0</v>
      </c>
    </row>
    <row r="292" spans="1:17" x14ac:dyDescent="0.2">
      <c r="A292" s="121">
        <v>39386</v>
      </c>
      <c r="B292" t="s">
        <v>406</v>
      </c>
      <c r="C292" t="s">
        <v>456</v>
      </c>
      <c r="D292" t="s">
        <v>461</v>
      </c>
      <c r="E292" t="s">
        <v>462</v>
      </c>
      <c r="F292" t="s">
        <v>410</v>
      </c>
      <c r="G292">
        <v>58</v>
      </c>
      <c r="I292">
        <v>58</v>
      </c>
    </row>
    <row r="293" spans="1:17" x14ac:dyDescent="0.2">
      <c r="A293" s="121">
        <v>39386</v>
      </c>
      <c r="B293" t="s">
        <v>406</v>
      </c>
      <c r="C293" t="s">
        <v>456</v>
      </c>
      <c r="D293" t="s">
        <v>463</v>
      </c>
      <c r="E293" t="s">
        <v>464</v>
      </c>
      <c r="F293" t="s">
        <v>410</v>
      </c>
      <c r="G293">
        <v>31</v>
      </c>
      <c r="I293">
        <v>31</v>
      </c>
    </row>
    <row r="294" spans="1:17" x14ac:dyDescent="0.2">
      <c r="A294" s="121">
        <v>39386</v>
      </c>
      <c r="B294" t="s">
        <v>406</v>
      </c>
      <c r="C294" t="s">
        <v>456</v>
      </c>
      <c r="D294" t="s">
        <v>465</v>
      </c>
      <c r="E294" t="s">
        <v>466</v>
      </c>
      <c r="F294" t="s">
        <v>410</v>
      </c>
      <c r="G294">
        <v>51</v>
      </c>
      <c r="I294">
        <v>51</v>
      </c>
    </row>
    <row r="295" spans="1:17" x14ac:dyDescent="0.2">
      <c r="A295" s="121">
        <v>39386</v>
      </c>
      <c r="B295" t="s">
        <v>406</v>
      </c>
      <c r="C295" t="s">
        <v>456</v>
      </c>
      <c r="D295" t="s">
        <v>467</v>
      </c>
      <c r="E295" t="s">
        <v>468</v>
      </c>
      <c r="F295" t="s">
        <v>410</v>
      </c>
      <c r="G295">
        <v>1022</v>
      </c>
      <c r="I295">
        <v>1022</v>
      </c>
    </row>
    <row r="296" spans="1:17" x14ac:dyDescent="0.2">
      <c r="A296" s="121">
        <v>39386</v>
      </c>
      <c r="B296" t="s">
        <v>406</v>
      </c>
      <c r="C296" t="s">
        <v>456</v>
      </c>
      <c r="D296" t="s">
        <v>469</v>
      </c>
      <c r="E296" t="s">
        <v>470</v>
      </c>
      <c r="F296" t="s">
        <v>410</v>
      </c>
      <c r="G296">
        <v>933</v>
      </c>
      <c r="I296">
        <v>929</v>
      </c>
    </row>
    <row r="297" spans="1:17" x14ac:dyDescent="0.2">
      <c r="A297" s="121">
        <v>39386</v>
      </c>
      <c r="B297" t="s">
        <v>406</v>
      </c>
      <c r="C297" t="s">
        <v>456</v>
      </c>
      <c r="D297" t="s">
        <v>471</v>
      </c>
      <c r="E297" t="s">
        <v>472</v>
      </c>
      <c r="F297" t="s">
        <v>410</v>
      </c>
      <c r="G297">
        <v>241</v>
      </c>
      <c r="I297">
        <v>241</v>
      </c>
    </row>
    <row r="298" spans="1:17" x14ac:dyDescent="0.2">
      <c r="A298" s="121">
        <v>39386</v>
      </c>
      <c r="B298" t="s">
        <v>406</v>
      </c>
      <c r="C298" t="s">
        <v>456</v>
      </c>
      <c r="D298" t="s">
        <v>473</v>
      </c>
      <c r="E298" t="s">
        <v>474</v>
      </c>
      <c r="F298" t="s">
        <v>410</v>
      </c>
      <c r="G298">
        <v>168</v>
      </c>
      <c r="I298">
        <v>168</v>
      </c>
    </row>
    <row r="299" spans="1:17" x14ac:dyDescent="0.2">
      <c r="A299" s="121">
        <v>39386</v>
      </c>
      <c r="B299" t="s">
        <v>406</v>
      </c>
      <c r="C299" t="s">
        <v>456</v>
      </c>
      <c r="D299" t="s">
        <v>475</v>
      </c>
      <c r="E299" t="s">
        <v>476</v>
      </c>
      <c r="F299" t="s">
        <v>410</v>
      </c>
      <c r="G299">
        <v>318</v>
      </c>
      <c r="I299">
        <v>318</v>
      </c>
    </row>
    <row r="300" spans="1:17" x14ac:dyDescent="0.2">
      <c r="A300" s="121">
        <v>39386</v>
      </c>
      <c r="B300" t="s">
        <v>406</v>
      </c>
      <c r="C300" t="s">
        <v>456</v>
      </c>
      <c r="D300" t="s">
        <v>477</v>
      </c>
      <c r="E300" t="s">
        <v>478</v>
      </c>
      <c r="F300" t="s">
        <v>413</v>
      </c>
      <c r="G300">
        <v>1881</v>
      </c>
      <c r="H300">
        <v>1881</v>
      </c>
      <c r="I300">
        <v>1838</v>
      </c>
      <c r="J300">
        <v>1838</v>
      </c>
      <c r="K300">
        <v>536</v>
      </c>
      <c r="L300">
        <v>3</v>
      </c>
      <c r="M300">
        <v>1288</v>
      </c>
      <c r="N300">
        <v>27</v>
      </c>
      <c r="O300">
        <v>27</v>
      </c>
      <c r="P300">
        <v>0</v>
      </c>
      <c r="Q300">
        <v>0</v>
      </c>
    </row>
    <row r="301" spans="1:17" x14ac:dyDescent="0.2">
      <c r="A301" s="121">
        <v>39386</v>
      </c>
      <c r="B301" t="s">
        <v>406</v>
      </c>
      <c r="C301" t="s">
        <v>456</v>
      </c>
      <c r="D301" t="s">
        <v>479</v>
      </c>
      <c r="E301" t="s">
        <v>480</v>
      </c>
      <c r="F301" t="s">
        <v>410</v>
      </c>
      <c r="G301">
        <v>87</v>
      </c>
      <c r="I301">
        <v>87</v>
      </c>
    </row>
    <row r="302" spans="1:17" x14ac:dyDescent="0.2">
      <c r="A302" s="121">
        <v>39386</v>
      </c>
      <c r="B302" t="s">
        <v>406</v>
      </c>
      <c r="C302" t="s">
        <v>456</v>
      </c>
      <c r="D302" t="s">
        <v>481</v>
      </c>
      <c r="E302" t="s">
        <v>482</v>
      </c>
      <c r="F302" t="s">
        <v>410</v>
      </c>
      <c r="G302">
        <v>23</v>
      </c>
      <c r="I302">
        <v>23</v>
      </c>
    </row>
    <row r="303" spans="1:17" x14ac:dyDescent="0.2">
      <c r="A303" s="121">
        <v>39386</v>
      </c>
      <c r="B303" t="s">
        <v>406</v>
      </c>
      <c r="C303" t="s">
        <v>456</v>
      </c>
      <c r="D303" t="s">
        <v>483</v>
      </c>
      <c r="E303" t="s">
        <v>484</v>
      </c>
      <c r="F303" t="s">
        <v>410</v>
      </c>
      <c r="G303">
        <v>110</v>
      </c>
      <c r="I303">
        <v>110</v>
      </c>
    </row>
    <row r="304" spans="1:17" x14ac:dyDescent="0.2">
      <c r="A304" s="121">
        <v>39386</v>
      </c>
      <c r="B304" t="s">
        <v>406</v>
      </c>
      <c r="C304" t="s">
        <v>456</v>
      </c>
      <c r="D304" t="s">
        <v>485</v>
      </c>
      <c r="E304" t="s">
        <v>486</v>
      </c>
      <c r="F304" t="s">
        <v>410</v>
      </c>
      <c r="G304">
        <v>41</v>
      </c>
      <c r="I304">
        <v>41</v>
      </c>
    </row>
    <row r="305" spans="1:17" x14ac:dyDescent="0.2">
      <c r="A305" s="121">
        <v>39386</v>
      </c>
      <c r="B305" t="s">
        <v>406</v>
      </c>
      <c r="C305" t="s">
        <v>456</v>
      </c>
      <c r="D305" t="s">
        <v>487</v>
      </c>
      <c r="E305" t="s">
        <v>488</v>
      </c>
      <c r="F305" t="s">
        <v>410</v>
      </c>
      <c r="G305">
        <v>25</v>
      </c>
      <c r="I305">
        <v>25</v>
      </c>
    </row>
    <row r="306" spans="1:17" x14ac:dyDescent="0.2">
      <c r="A306" s="121">
        <v>39386</v>
      </c>
      <c r="B306" t="s">
        <v>406</v>
      </c>
      <c r="C306" t="s">
        <v>456</v>
      </c>
      <c r="D306" t="s">
        <v>489</v>
      </c>
      <c r="E306" t="s">
        <v>490</v>
      </c>
      <c r="F306" t="s">
        <v>410</v>
      </c>
      <c r="G306">
        <v>125</v>
      </c>
      <c r="H306">
        <v>125</v>
      </c>
      <c r="I306">
        <v>125</v>
      </c>
      <c r="J306">
        <v>125</v>
      </c>
      <c r="K306">
        <v>0</v>
      </c>
      <c r="L306">
        <v>0</v>
      </c>
      <c r="M306">
        <v>100</v>
      </c>
      <c r="N306">
        <v>24</v>
      </c>
      <c r="O306">
        <v>1</v>
      </c>
      <c r="P306">
        <v>0</v>
      </c>
      <c r="Q306">
        <v>0</v>
      </c>
    </row>
    <row r="307" spans="1:17" x14ac:dyDescent="0.2">
      <c r="A307" s="121">
        <v>39386</v>
      </c>
      <c r="B307" t="s">
        <v>406</v>
      </c>
      <c r="C307" t="s">
        <v>491</v>
      </c>
      <c r="D307" t="s">
        <v>492</v>
      </c>
      <c r="E307" t="s">
        <v>493</v>
      </c>
      <c r="F307" t="s">
        <v>410</v>
      </c>
      <c r="G307">
        <v>1196</v>
      </c>
      <c r="H307">
        <v>1196</v>
      </c>
      <c r="I307">
        <v>1193</v>
      </c>
      <c r="J307">
        <v>1193</v>
      </c>
      <c r="K307">
        <v>318</v>
      </c>
      <c r="L307">
        <v>0</v>
      </c>
      <c r="M307">
        <v>784</v>
      </c>
      <c r="N307">
        <v>84</v>
      </c>
      <c r="O307">
        <v>10</v>
      </c>
      <c r="P307">
        <v>0</v>
      </c>
      <c r="Q307">
        <v>0</v>
      </c>
    </row>
    <row r="308" spans="1:17" x14ac:dyDescent="0.2">
      <c r="A308" s="121">
        <v>39386</v>
      </c>
      <c r="B308" t="s">
        <v>406</v>
      </c>
      <c r="C308" t="s">
        <v>491</v>
      </c>
      <c r="D308" t="s">
        <v>494</v>
      </c>
      <c r="E308" t="s">
        <v>495</v>
      </c>
      <c r="F308" t="s">
        <v>413</v>
      </c>
      <c r="G308">
        <v>2645</v>
      </c>
      <c r="H308">
        <v>2645</v>
      </c>
      <c r="I308">
        <v>2590</v>
      </c>
      <c r="J308">
        <v>2590</v>
      </c>
      <c r="K308">
        <v>581</v>
      </c>
      <c r="L308">
        <v>7</v>
      </c>
      <c r="M308">
        <v>1904</v>
      </c>
      <c r="N308">
        <v>32</v>
      </c>
      <c r="O308">
        <v>121</v>
      </c>
      <c r="P308">
        <v>0</v>
      </c>
      <c r="Q308">
        <v>0</v>
      </c>
    </row>
    <row r="309" spans="1:17" x14ac:dyDescent="0.2">
      <c r="A309" s="121">
        <v>39386</v>
      </c>
      <c r="B309" t="s">
        <v>406</v>
      </c>
      <c r="C309" t="s">
        <v>491</v>
      </c>
      <c r="D309" t="s">
        <v>496</v>
      </c>
      <c r="E309" t="s">
        <v>497</v>
      </c>
      <c r="F309" t="s">
        <v>413</v>
      </c>
      <c r="G309">
        <v>5797</v>
      </c>
      <c r="H309">
        <v>5797</v>
      </c>
      <c r="I309">
        <v>5579</v>
      </c>
      <c r="J309">
        <v>5579</v>
      </c>
      <c r="K309">
        <v>1712</v>
      </c>
      <c r="L309">
        <v>7</v>
      </c>
      <c r="M309">
        <v>3651</v>
      </c>
      <c r="N309">
        <v>62</v>
      </c>
      <c r="O309">
        <v>365</v>
      </c>
      <c r="P309">
        <v>4</v>
      </c>
      <c r="Q309">
        <v>0</v>
      </c>
    </row>
    <row r="310" spans="1:17" x14ac:dyDescent="0.2">
      <c r="A310" s="121">
        <v>39386</v>
      </c>
      <c r="B310" t="s">
        <v>406</v>
      </c>
      <c r="C310" t="s">
        <v>491</v>
      </c>
      <c r="D310" t="s">
        <v>498</v>
      </c>
      <c r="E310" t="s">
        <v>499</v>
      </c>
      <c r="F310" t="s">
        <v>413</v>
      </c>
      <c r="G310">
        <v>6562</v>
      </c>
      <c r="H310">
        <v>6562</v>
      </c>
      <c r="I310">
        <v>6174</v>
      </c>
      <c r="J310">
        <v>6174</v>
      </c>
      <c r="K310">
        <v>2091</v>
      </c>
      <c r="L310">
        <v>19</v>
      </c>
      <c r="M310">
        <v>3934</v>
      </c>
      <c r="N310">
        <v>134</v>
      </c>
      <c r="O310">
        <v>384</v>
      </c>
      <c r="P310">
        <v>15</v>
      </c>
      <c r="Q310">
        <v>0</v>
      </c>
    </row>
    <row r="311" spans="1:17" x14ac:dyDescent="0.2">
      <c r="A311" s="121">
        <v>39386</v>
      </c>
      <c r="B311" t="s">
        <v>406</v>
      </c>
      <c r="C311" t="s">
        <v>491</v>
      </c>
      <c r="D311" t="s">
        <v>500</v>
      </c>
      <c r="E311" t="s">
        <v>501</v>
      </c>
      <c r="F311" t="s">
        <v>413</v>
      </c>
      <c r="G311">
        <v>3577</v>
      </c>
      <c r="H311">
        <v>3577</v>
      </c>
      <c r="I311">
        <v>3434</v>
      </c>
      <c r="J311">
        <v>3434</v>
      </c>
      <c r="K311">
        <v>1064</v>
      </c>
      <c r="L311">
        <v>1</v>
      </c>
      <c r="M311">
        <v>2333</v>
      </c>
      <c r="N311">
        <v>54</v>
      </c>
      <c r="O311">
        <v>125</v>
      </c>
      <c r="P311">
        <v>1</v>
      </c>
      <c r="Q311">
        <v>0</v>
      </c>
    </row>
    <row r="312" spans="1:17" x14ac:dyDescent="0.2">
      <c r="A312" s="121">
        <v>39386</v>
      </c>
      <c r="B312" t="s">
        <v>406</v>
      </c>
      <c r="C312" t="s">
        <v>491</v>
      </c>
      <c r="D312" t="s">
        <v>502</v>
      </c>
      <c r="E312" t="s">
        <v>503</v>
      </c>
      <c r="F312" t="s">
        <v>413</v>
      </c>
      <c r="G312">
        <v>5788</v>
      </c>
      <c r="H312">
        <v>5788</v>
      </c>
      <c r="I312">
        <v>5676</v>
      </c>
      <c r="J312">
        <v>5676</v>
      </c>
      <c r="K312">
        <v>1572</v>
      </c>
      <c r="L312">
        <v>21</v>
      </c>
      <c r="M312">
        <v>4022</v>
      </c>
      <c r="N312">
        <v>138</v>
      </c>
      <c r="O312">
        <v>35</v>
      </c>
      <c r="P312">
        <v>2</v>
      </c>
      <c r="Q312">
        <v>1</v>
      </c>
    </row>
    <row r="313" spans="1:17" x14ac:dyDescent="0.2">
      <c r="A313" s="121">
        <v>39386</v>
      </c>
      <c r="B313" t="s">
        <v>406</v>
      </c>
      <c r="C313" t="s">
        <v>491</v>
      </c>
      <c r="D313" t="s">
        <v>504</v>
      </c>
      <c r="E313" t="s">
        <v>505</v>
      </c>
      <c r="F313" t="s">
        <v>413</v>
      </c>
      <c r="G313">
        <v>4028</v>
      </c>
      <c r="H313">
        <v>4028</v>
      </c>
      <c r="I313">
        <v>3852</v>
      </c>
      <c r="J313">
        <v>3852</v>
      </c>
      <c r="K313">
        <v>1241</v>
      </c>
      <c r="L313">
        <v>9</v>
      </c>
      <c r="M313">
        <v>2604</v>
      </c>
      <c r="N313">
        <v>36</v>
      </c>
      <c r="O313">
        <v>138</v>
      </c>
      <c r="P313">
        <v>3</v>
      </c>
      <c r="Q313">
        <v>0</v>
      </c>
    </row>
    <row r="314" spans="1:17" x14ac:dyDescent="0.2">
      <c r="A314" s="121">
        <v>39386</v>
      </c>
      <c r="B314" t="s">
        <v>406</v>
      </c>
      <c r="C314" t="s">
        <v>491</v>
      </c>
      <c r="D314" t="s">
        <v>506</v>
      </c>
      <c r="E314" t="s">
        <v>507</v>
      </c>
      <c r="F314" t="s">
        <v>413</v>
      </c>
      <c r="G314">
        <v>3316</v>
      </c>
      <c r="H314">
        <v>3316</v>
      </c>
      <c r="I314">
        <v>3249</v>
      </c>
      <c r="J314">
        <v>3249</v>
      </c>
      <c r="K314">
        <v>528</v>
      </c>
      <c r="L314">
        <v>1</v>
      </c>
      <c r="M314">
        <v>2776</v>
      </c>
      <c r="N314">
        <v>4</v>
      </c>
      <c r="O314">
        <v>7</v>
      </c>
      <c r="P314">
        <v>0</v>
      </c>
      <c r="Q314">
        <v>0</v>
      </c>
    </row>
    <row r="315" spans="1:17" x14ac:dyDescent="0.2">
      <c r="A315" s="121">
        <v>39386</v>
      </c>
      <c r="B315" t="s">
        <v>406</v>
      </c>
      <c r="C315" t="s">
        <v>491</v>
      </c>
      <c r="D315" t="s">
        <v>508</v>
      </c>
      <c r="E315" t="s">
        <v>509</v>
      </c>
      <c r="F315" t="s">
        <v>413</v>
      </c>
      <c r="G315">
        <v>5270</v>
      </c>
      <c r="H315">
        <v>5270</v>
      </c>
      <c r="I315">
        <v>4876</v>
      </c>
      <c r="J315">
        <v>4876</v>
      </c>
      <c r="K315">
        <v>1701</v>
      </c>
      <c r="L315">
        <v>7</v>
      </c>
      <c r="M315">
        <v>3198</v>
      </c>
      <c r="N315">
        <v>108</v>
      </c>
      <c r="O315">
        <v>256</v>
      </c>
      <c r="P315">
        <v>21</v>
      </c>
      <c r="Q315">
        <v>3</v>
      </c>
    </row>
    <row r="316" spans="1:17" x14ac:dyDescent="0.2">
      <c r="A316" s="121">
        <v>39386</v>
      </c>
      <c r="B316" t="s">
        <v>406</v>
      </c>
      <c r="C316" t="s">
        <v>510</v>
      </c>
      <c r="D316" t="s">
        <v>511</v>
      </c>
      <c r="E316" t="s">
        <v>512</v>
      </c>
      <c r="F316" t="s">
        <v>410</v>
      </c>
      <c r="G316">
        <v>489</v>
      </c>
      <c r="I316">
        <v>488</v>
      </c>
    </row>
    <row r="317" spans="1:17" x14ac:dyDescent="0.2">
      <c r="A317" s="121">
        <v>39386</v>
      </c>
      <c r="B317" t="s">
        <v>406</v>
      </c>
      <c r="C317" t="s">
        <v>510</v>
      </c>
      <c r="D317" t="s">
        <v>513</v>
      </c>
      <c r="E317" t="s">
        <v>514</v>
      </c>
      <c r="F317" t="s">
        <v>410</v>
      </c>
      <c r="G317">
        <v>521</v>
      </c>
      <c r="I317">
        <v>520</v>
      </c>
    </row>
    <row r="318" spans="1:17" x14ac:dyDescent="0.2">
      <c r="A318" s="121">
        <v>39386</v>
      </c>
      <c r="B318" t="s">
        <v>406</v>
      </c>
      <c r="C318" t="s">
        <v>510</v>
      </c>
      <c r="D318" t="s">
        <v>515</v>
      </c>
      <c r="E318" t="s">
        <v>516</v>
      </c>
      <c r="F318" t="s">
        <v>410</v>
      </c>
      <c r="G318">
        <v>80</v>
      </c>
      <c r="I318">
        <v>79</v>
      </c>
    </row>
    <row r="319" spans="1:17" x14ac:dyDescent="0.2">
      <c r="A319" s="121">
        <v>39386</v>
      </c>
      <c r="B319" t="s">
        <v>406</v>
      </c>
      <c r="C319" t="s">
        <v>510</v>
      </c>
      <c r="D319" t="s">
        <v>517</v>
      </c>
      <c r="E319" t="s">
        <v>518</v>
      </c>
      <c r="F319" t="s">
        <v>410</v>
      </c>
      <c r="G319">
        <v>299</v>
      </c>
      <c r="I319">
        <v>290</v>
      </c>
    </row>
    <row r="320" spans="1:17" x14ac:dyDescent="0.2">
      <c r="A320" s="121">
        <v>39386</v>
      </c>
      <c r="B320" t="s">
        <v>406</v>
      </c>
      <c r="C320" t="s">
        <v>510</v>
      </c>
      <c r="D320" t="s">
        <v>519</v>
      </c>
      <c r="E320" t="s">
        <v>520</v>
      </c>
      <c r="F320" t="s">
        <v>410</v>
      </c>
      <c r="G320">
        <v>284</v>
      </c>
      <c r="I320">
        <v>279</v>
      </c>
    </row>
    <row r="321" spans="1:17" x14ac:dyDescent="0.2">
      <c r="A321" s="121">
        <v>39386</v>
      </c>
      <c r="B321" t="s">
        <v>406</v>
      </c>
      <c r="C321" t="s">
        <v>510</v>
      </c>
      <c r="D321" t="s">
        <v>521</v>
      </c>
      <c r="E321" t="s">
        <v>522</v>
      </c>
      <c r="F321" t="s">
        <v>410</v>
      </c>
      <c r="G321">
        <v>66</v>
      </c>
      <c r="I321">
        <v>65</v>
      </c>
    </row>
    <row r="322" spans="1:17" x14ac:dyDescent="0.2">
      <c r="A322" s="121">
        <v>39386</v>
      </c>
      <c r="B322" t="s">
        <v>406</v>
      </c>
      <c r="C322" t="s">
        <v>510</v>
      </c>
      <c r="D322" t="s">
        <v>523</v>
      </c>
      <c r="E322" t="s">
        <v>524</v>
      </c>
      <c r="F322" t="s">
        <v>413</v>
      </c>
      <c r="G322">
        <v>496</v>
      </c>
      <c r="I322">
        <v>494</v>
      </c>
    </row>
    <row r="323" spans="1:17" x14ac:dyDescent="0.2">
      <c r="A323" s="121">
        <v>39386</v>
      </c>
      <c r="B323" t="s">
        <v>406</v>
      </c>
      <c r="C323" t="s">
        <v>510</v>
      </c>
      <c r="D323" t="s">
        <v>527</v>
      </c>
      <c r="E323" t="s">
        <v>528</v>
      </c>
      <c r="F323" t="s">
        <v>410</v>
      </c>
      <c r="G323">
        <v>191</v>
      </c>
      <c r="I323">
        <v>191</v>
      </c>
    </row>
    <row r="324" spans="1:17" x14ac:dyDescent="0.2">
      <c r="A324" s="121">
        <v>39386</v>
      </c>
      <c r="B324" t="s">
        <v>406</v>
      </c>
      <c r="C324" t="s">
        <v>510</v>
      </c>
      <c r="D324" t="s">
        <v>529</v>
      </c>
      <c r="E324" t="s">
        <v>530</v>
      </c>
      <c r="F324" t="s">
        <v>413</v>
      </c>
      <c r="G324">
        <v>477</v>
      </c>
      <c r="I324">
        <v>473</v>
      </c>
    </row>
    <row r="325" spans="1:17" x14ac:dyDescent="0.2">
      <c r="A325" s="121">
        <v>39386</v>
      </c>
      <c r="B325" t="s">
        <v>406</v>
      </c>
      <c r="C325" t="s">
        <v>510</v>
      </c>
      <c r="D325" t="s">
        <v>531</v>
      </c>
      <c r="E325" t="s">
        <v>532</v>
      </c>
      <c r="F325" t="s">
        <v>410</v>
      </c>
      <c r="G325">
        <v>70</v>
      </c>
      <c r="I325">
        <v>70</v>
      </c>
    </row>
    <row r="326" spans="1:17" x14ac:dyDescent="0.2">
      <c r="A326" s="121">
        <v>39386</v>
      </c>
      <c r="B326" t="s">
        <v>406</v>
      </c>
      <c r="C326" t="s">
        <v>510</v>
      </c>
      <c r="D326" t="s">
        <v>533</v>
      </c>
      <c r="E326" t="s">
        <v>534</v>
      </c>
      <c r="F326" t="s">
        <v>413</v>
      </c>
      <c r="G326">
        <v>2360</v>
      </c>
      <c r="H326">
        <v>2360</v>
      </c>
      <c r="I326">
        <v>2337</v>
      </c>
      <c r="J326">
        <v>2337</v>
      </c>
      <c r="K326">
        <v>512</v>
      </c>
      <c r="L326">
        <v>20</v>
      </c>
      <c r="M326">
        <v>1828</v>
      </c>
      <c r="N326">
        <v>0</v>
      </c>
      <c r="O326">
        <v>0</v>
      </c>
      <c r="P326">
        <v>2</v>
      </c>
      <c r="Q326">
        <v>0</v>
      </c>
    </row>
    <row r="327" spans="1:17" x14ac:dyDescent="0.2">
      <c r="A327" s="121">
        <v>39386</v>
      </c>
      <c r="B327" t="s">
        <v>406</v>
      </c>
      <c r="C327" t="s">
        <v>510</v>
      </c>
      <c r="D327" t="s">
        <v>535</v>
      </c>
      <c r="E327" t="s">
        <v>536</v>
      </c>
      <c r="F327" t="s">
        <v>410</v>
      </c>
      <c r="G327">
        <v>195</v>
      </c>
      <c r="I327">
        <v>195</v>
      </c>
    </row>
    <row r="328" spans="1:17" x14ac:dyDescent="0.2">
      <c r="A328" s="121">
        <v>39386</v>
      </c>
      <c r="B328" t="s">
        <v>406</v>
      </c>
      <c r="C328" t="s">
        <v>510</v>
      </c>
      <c r="D328" t="s">
        <v>537</v>
      </c>
      <c r="E328" t="s">
        <v>538</v>
      </c>
      <c r="F328" t="s">
        <v>410</v>
      </c>
      <c r="G328">
        <v>79</v>
      </c>
      <c r="I328">
        <v>78</v>
      </c>
    </row>
    <row r="329" spans="1:17" x14ac:dyDescent="0.2">
      <c r="A329" s="121">
        <v>39386</v>
      </c>
      <c r="B329" t="s">
        <v>406</v>
      </c>
      <c r="C329" t="s">
        <v>510</v>
      </c>
      <c r="D329" t="s">
        <v>539</v>
      </c>
      <c r="E329" t="s">
        <v>540</v>
      </c>
      <c r="F329" t="s">
        <v>413</v>
      </c>
      <c r="G329">
        <v>791</v>
      </c>
      <c r="I329">
        <v>781</v>
      </c>
    </row>
    <row r="330" spans="1:17" x14ac:dyDescent="0.2">
      <c r="A330" s="121">
        <v>39386</v>
      </c>
      <c r="B330" t="s">
        <v>406</v>
      </c>
      <c r="C330" t="s">
        <v>510</v>
      </c>
      <c r="D330" t="s">
        <v>541</v>
      </c>
      <c r="E330" t="s">
        <v>542</v>
      </c>
      <c r="F330" t="s">
        <v>410</v>
      </c>
      <c r="G330">
        <v>213</v>
      </c>
      <c r="I330">
        <v>207</v>
      </c>
    </row>
    <row r="331" spans="1:17" x14ac:dyDescent="0.2">
      <c r="A331" s="121">
        <v>39386</v>
      </c>
      <c r="B331" t="s">
        <v>406</v>
      </c>
      <c r="C331" t="s">
        <v>510</v>
      </c>
      <c r="D331" t="s">
        <v>543</v>
      </c>
      <c r="E331" t="s">
        <v>544</v>
      </c>
      <c r="F331" t="s">
        <v>410</v>
      </c>
      <c r="G331">
        <v>120</v>
      </c>
      <c r="I331">
        <v>120</v>
      </c>
    </row>
    <row r="332" spans="1:17" x14ac:dyDescent="0.2">
      <c r="A332" s="121">
        <v>39386</v>
      </c>
      <c r="B332" t="s">
        <v>406</v>
      </c>
      <c r="C332" t="s">
        <v>510</v>
      </c>
      <c r="D332" t="s">
        <v>545</v>
      </c>
      <c r="E332" t="s">
        <v>546</v>
      </c>
      <c r="F332" t="s">
        <v>410</v>
      </c>
      <c r="G332">
        <v>169</v>
      </c>
      <c r="I332">
        <v>169</v>
      </c>
    </row>
    <row r="333" spans="1:17" x14ac:dyDescent="0.2">
      <c r="A333" s="121">
        <v>39386</v>
      </c>
      <c r="B333" t="s">
        <v>406</v>
      </c>
      <c r="C333" t="s">
        <v>510</v>
      </c>
      <c r="D333" t="s">
        <v>547</v>
      </c>
      <c r="E333" t="s">
        <v>548</v>
      </c>
      <c r="F333" t="s">
        <v>410</v>
      </c>
      <c r="G333">
        <v>83</v>
      </c>
      <c r="I333">
        <v>83</v>
      </c>
    </row>
    <row r="334" spans="1:17" x14ac:dyDescent="0.2">
      <c r="A334" s="121">
        <v>39386</v>
      </c>
      <c r="B334" t="s">
        <v>406</v>
      </c>
      <c r="C334" t="s">
        <v>510</v>
      </c>
      <c r="D334" t="s">
        <v>549</v>
      </c>
      <c r="E334" t="s">
        <v>550</v>
      </c>
      <c r="F334" t="s">
        <v>410</v>
      </c>
      <c r="G334">
        <v>149</v>
      </c>
      <c r="I334">
        <v>149</v>
      </c>
    </row>
    <row r="335" spans="1:17" x14ac:dyDescent="0.2">
      <c r="A335" s="121">
        <v>39386</v>
      </c>
      <c r="B335" t="s">
        <v>406</v>
      </c>
      <c r="C335" t="s">
        <v>551</v>
      </c>
      <c r="D335" t="s">
        <v>552</v>
      </c>
      <c r="E335" t="s">
        <v>553</v>
      </c>
      <c r="F335" t="s">
        <v>413</v>
      </c>
      <c r="G335">
        <v>5627</v>
      </c>
      <c r="H335">
        <v>5627</v>
      </c>
      <c r="I335">
        <v>5417</v>
      </c>
      <c r="J335">
        <v>5417</v>
      </c>
      <c r="K335">
        <v>1641</v>
      </c>
      <c r="L335">
        <v>12</v>
      </c>
      <c r="M335">
        <v>3934</v>
      </c>
      <c r="N335">
        <v>17</v>
      </c>
      <c r="O335">
        <v>23</v>
      </c>
      <c r="P335">
        <v>7</v>
      </c>
      <c r="Q335">
        <v>0</v>
      </c>
    </row>
    <row r="336" spans="1:17" x14ac:dyDescent="0.2">
      <c r="A336" s="121">
        <v>39386</v>
      </c>
      <c r="B336" t="s">
        <v>406</v>
      </c>
      <c r="C336" t="s">
        <v>551</v>
      </c>
      <c r="D336" t="s">
        <v>554</v>
      </c>
      <c r="E336" t="s">
        <v>555</v>
      </c>
      <c r="F336" t="s">
        <v>410</v>
      </c>
      <c r="G336">
        <v>160</v>
      </c>
      <c r="I336">
        <v>160</v>
      </c>
    </row>
    <row r="337" spans="1:17" x14ac:dyDescent="0.2">
      <c r="A337" s="121">
        <v>39386</v>
      </c>
      <c r="B337" t="s">
        <v>406</v>
      </c>
      <c r="C337" t="s">
        <v>551</v>
      </c>
      <c r="D337" t="s">
        <v>556</v>
      </c>
      <c r="E337" t="s">
        <v>557</v>
      </c>
      <c r="F337" t="s">
        <v>410</v>
      </c>
      <c r="G337">
        <v>133</v>
      </c>
      <c r="I337">
        <v>133</v>
      </c>
    </row>
    <row r="338" spans="1:17" x14ac:dyDescent="0.2">
      <c r="A338" s="121">
        <v>39386</v>
      </c>
      <c r="B338" t="s">
        <v>406</v>
      </c>
      <c r="C338" t="s">
        <v>551</v>
      </c>
      <c r="D338" t="s">
        <v>558</v>
      </c>
      <c r="E338" t="s">
        <v>559</v>
      </c>
      <c r="F338" t="s">
        <v>413</v>
      </c>
      <c r="G338">
        <v>4461</v>
      </c>
      <c r="H338">
        <v>4461</v>
      </c>
      <c r="I338">
        <v>4296</v>
      </c>
      <c r="J338">
        <v>4296</v>
      </c>
      <c r="K338">
        <v>880</v>
      </c>
      <c r="L338">
        <v>7</v>
      </c>
      <c r="M338">
        <v>3530</v>
      </c>
      <c r="N338">
        <v>11</v>
      </c>
      <c r="O338">
        <v>33</v>
      </c>
      <c r="P338">
        <v>20</v>
      </c>
      <c r="Q338">
        <v>5</v>
      </c>
    </row>
    <row r="339" spans="1:17" x14ac:dyDescent="0.2">
      <c r="A339" s="121">
        <v>39386</v>
      </c>
      <c r="B339" t="s">
        <v>406</v>
      </c>
      <c r="C339" t="s">
        <v>551</v>
      </c>
      <c r="D339" t="s">
        <v>560</v>
      </c>
      <c r="E339" t="s">
        <v>561</v>
      </c>
      <c r="F339" t="s">
        <v>413</v>
      </c>
      <c r="G339">
        <v>5575</v>
      </c>
      <c r="H339">
        <v>5575</v>
      </c>
      <c r="I339">
        <v>5479</v>
      </c>
      <c r="J339">
        <v>5479</v>
      </c>
      <c r="K339">
        <v>1336</v>
      </c>
      <c r="L339">
        <v>3</v>
      </c>
      <c r="M339">
        <v>4203</v>
      </c>
      <c r="N339">
        <v>7</v>
      </c>
      <c r="O339">
        <v>26</v>
      </c>
      <c r="P339">
        <v>4</v>
      </c>
      <c r="Q339">
        <v>1</v>
      </c>
    </row>
    <row r="340" spans="1:17" x14ac:dyDescent="0.2">
      <c r="A340" s="121">
        <v>39386</v>
      </c>
      <c r="B340" t="s">
        <v>406</v>
      </c>
      <c r="C340" t="s">
        <v>562</v>
      </c>
      <c r="D340" t="s">
        <v>563</v>
      </c>
      <c r="E340" t="s">
        <v>564</v>
      </c>
      <c r="F340" t="s">
        <v>410</v>
      </c>
      <c r="G340">
        <v>2934</v>
      </c>
      <c r="H340">
        <v>2934</v>
      </c>
      <c r="I340">
        <v>2745</v>
      </c>
      <c r="J340">
        <v>2745</v>
      </c>
      <c r="K340">
        <v>954</v>
      </c>
      <c r="L340">
        <v>4</v>
      </c>
      <c r="M340">
        <v>1972</v>
      </c>
      <c r="N340">
        <v>4</v>
      </c>
      <c r="O340">
        <v>0</v>
      </c>
      <c r="P340">
        <v>8</v>
      </c>
      <c r="Q340">
        <v>0</v>
      </c>
    </row>
    <row r="341" spans="1:17" x14ac:dyDescent="0.2">
      <c r="A341" s="121">
        <v>39386</v>
      </c>
      <c r="B341" t="s">
        <v>406</v>
      </c>
      <c r="C341" t="s">
        <v>562</v>
      </c>
      <c r="D341" t="s">
        <v>565</v>
      </c>
      <c r="E341" t="s">
        <v>566</v>
      </c>
      <c r="F341" t="s">
        <v>413</v>
      </c>
      <c r="G341">
        <v>3871</v>
      </c>
      <c r="H341">
        <v>3871</v>
      </c>
      <c r="I341">
        <v>3796</v>
      </c>
      <c r="J341">
        <v>3796</v>
      </c>
      <c r="K341">
        <v>759</v>
      </c>
      <c r="L341">
        <v>7</v>
      </c>
      <c r="M341">
        <v>2790</v>
      </c>
      <c r="N341">
        <v>91</v>
      </c>
      <c r="O341">
        <v>224</v>
      </c>
      <c r="P341">
        <v>2</v>
      </c>
      <c r="Q341">
        <v>0</v>
      </c>
    </row>
    <row r="342" spans="1:17" x14ac:dyDescent="0.2">
      <c r="A342" s="121">
        <v>39386</v>
      </c>
      <c r="B342" t="s">
        <v>406</v>
      </c>
      <c r="C342" t="s">
        <v>562</v>
      </c>
      <c r="D342" t="s">
        <v>567</v>
      </c>
      <c r="E342" t="s">
        <v>568</v>
      </c>
      <c r="F342" t="s">
        <v>413</v>
      </c>
      <c r="G342">
        <v>8971</v>
      </c>
      <c r="H342">
        <v>8971</v>
      </c>
      <c r="I342">
        <v>8438</v>
      </c>
      <c r="J342">
        <v>8438</v>
      </c>
      <c r="K342">
        <v>2829</v>
      </c>
      <c r="L342">
        <v>13</v>
      </c>
      <c r="M342">
        <v>5978</v>
      </c>
      <c r="N342">
        <v>151</v>
      </c>
      <c r="O342">
        <v>0</v>
      </c>
      <c r="P342">
        <v>13</v>
      </c>
      <c r="Q342">
        <v>0</v>
      </c>
    </row>
    <row r="343" spans="1:17" x14ac:dyDescent="0.2">
      <c r="A343" s="121">
        <v>39386</v>
      </c>
      <c r="B343" t="s">
        <v>406</v>
      </c>
      <c r="C343" t="s">
        <v>562</v>
      </c>
      <c r="D343" t="s">
        <v>569</v>
      </c>
      <c r="E343" t="s">
        <v>570</v>
      </c>
      <c r="F343" t="s">
        <v>413</v>
      </c>
      <c r="G343">
        <v>2956</v>
      </c>
      <c r="H343">
        <v>2956</v>
      </c>
      <c r="I343">
        <v>2928</v>
      </c>
      <c r="J343">
        <v>2928</v>
      </c>
      <c r="K343">
        <v>528</v>
      </c>
      <c r="L343">
        <v>1</v>
      </c>
      <c r="M343">
        <v>2425</v>
      </c>
      <c r="N343">
        <v>2</v>
      </c>
      <c r="O343">
        <v>0</v>
      </c>
      <c r="P343">
        <v>0</v>
      </c>
      <c r="Q343">
        <v>0</v>
      </c>
    </row>
    <row r="344" spans="1:17" x14ac:dyDescent="0.2">
      <c r="A344" s="121">
        <v>39386</v>
      </c>
      <c r="B344" t="s">
        <v>406</v>
      </c>
      <c r="C344" t="s">
        <v>571</v>
      </c>
      <c r="D344" t="s">
        <v>572</v>
      </c>
      <c r="E344" t="s">
        <v>573</v>
      </c>
      <c r="F344" t="s">
        <v>410</v>
      </c>
      <c r="G344">
        <v>199</v>
      </c>
      <c r="I344">
        <v>199</v>
      </c>
    </row>
    <row r="345" spans="1:17" x14ac:dyDescent="0.2">
      <c r="A345" s="121">
        <v>39386</v>
      </c>
      <c r="B345" t="s">
        <v>406</v>
      </c>
      <c r="C345" t="s">
        <v>574</v>
      </c>
      <c r="D345" t="s">
        <v>575</v>
      </c>
      <c r="E345" t="s">
        <v>576</v>
      </c>
      <c r="F345" t="s">
        <v>413</v>
      </c>
      <c r="G345">
        <v>676</v>
      </c>
      <c r="H345">
        <v>676</v>
      </c>
      <c r="I345">
        <v>670</v>
      </c>
      <c r="J345">
        <v>670</v>
      </c>
      <c r="K345">
        <v>130</v>
      </c>
      <c r="L345">
        <v>0</v>
      </c>
      <c r="M345">
        <v>519</v>
      </c>
      <c r="N345">
        <v>0</v>
      </c>
      <c r="O345">
        <v>27</v>
      </c>
      <c r="P345">
        <v>1</v>
      </c>
      <c r="Q345">
        <v>0</v>
      </c>
    </row>
    <row r="346" spans="1:17" x14ac:dyDescent="0.2">
      <c r="A346" s="121">
        <v>39386</v>
      </c>
      <c r="B346" t="s">
        <v>406</v>
      </c>
      <c r="C346" t="s">
        <v>577</v>
      </c>
      <c r="D346" t="s">
        <v>578</v>
      </c>
      <c r="E346" t="s">
        <v>579</v>
      </c>
      <c r="F346" t="s">
        <v>413</v>
      </c>
      <c r="G346">
        <v>4057</v>
      </c>
      <c r="H346">
        <v>4057</v>
      </c>
      <c r="I346">
        <v>4025</v>
      </c>
      <c r="J346">
        <v>4025</v>
      </c>
      <c r="K346">
        <v>952</v>
      </c>
      <c r="L346">
        <v>14</v>
      </c>
      <c r="M346">
        <v>2960</v>
      </c>
      <c r="N346">
        <v>30</v>
      </c>
      <c r="O346">
        <v>101</v>
      </c>
      <c r="P346">
        <v>0</v>
      </c>
      <c r="Q346">
        <v>0</v>
      </c>
    </row>
    <row r="347" spans="1:17" x14ac:dyDescent="0.2">
      <c r="A347" s="121">
        <v>39386</v>
      </c>
      <c r="B347" t="s">
        <v>406</v>
      </c>
      <c r="C347" t="s">
        <v>577</v>
      </c>
      <c r="D347" t="s">
        <v>580</v>
      </c>
      <c r="E347" t="s">
        <v>581</v>
      </c>
      <c r="F347" t="s">
        <v>413</v>
      </c>
      <c r="G347">
        <v>2105</v>
      </c>
      <c r="H347">
        <v>2105</v>
      </c>
      <c r="I347">
        <v>2071</v>
      </c>
      <c r="J347">
        <v>2071</v>
      </c>
      <c r="K347">
        <v>403</v>
      </c>
      <c r="L347">
        <v>2</v>
      </c>
      <c r="M347">
        <v>1489</v>
      </c>
      <c r="N347">
        <v>61</v>
      </c>
      <c r="O347">
        <v>150</v>
      </c>
      <c r="P347">
        <v>0</v>
      </c>
      <c r="Q347">
        <v>0</v>
      </c>
    </row>
    <row r="348" spans="1:17" x14ac:dyDescent="0.2">
      <c r="A348" s="121">
        <v>39386</v>
      </c>
      <c r="B348" t="s">
        <v>406</v>
      </c>
      <c r="C348" t="s">
        <v>577</v>
      </c>
      <c r="D348" t="s">
        <v>582</v>
      </c>
      <c r="E348" t="s">
        <v>583</v>
      </c>
      <c r="F348" t="s">
        <v>410</v>
      </c>
      <c r="G348">
        <v>52</v>
      </c>
      <c r="H348">
        <v>52</v>
      </c>
      <c r="I348">
        <v>52</v>
      </c>
      <c r="J348">
        <v>52</v>
      </c>
      <c r="K348">
        <v>0</v>
      </c>
      <c r="L348">
        <v>0</v>
      </c>
      <c r="M348">
        <v>52</v>
      </c>
      <c r="N348">
        <v>0</v>
      </c>
      <c r="O348">
        <v>0</v>
      </c>
      <c r="P348">
        <v>0</v>
      </c>
      <c r="Q348">
        <v>0</v>
      </c>
    </row>
    <row r="349" spans="1:17" x14ac:dyDescent="0.2">
      <c r="A349" s="121">
        <v>39386</v>
      </c>
      <c r="B349" t="s">
        <v>406</v>
      </c>
      <c r="C349" t="s">
        <v>577</v>
      </c>
      <c r="D349" t="s">
        <v>584</v>
      </c>
      <c r="E349" t="s">
        <v>585</v>
      </c>
      <c r="F349" t="s">
        <v>410</v>
      </c>
      <c r="G349">
        <v>116</v>
      </c>
      <c r="H349">
        <v>116</v>
      </c>
      <c r="I349">
        <v>116</v>
      </c>
      <c r="J349">
        <v>116</v>
      </c>
      <c r="K349">
        <v>2</v>
      </c>
      <c r="L349">
        <v>0</v>
      </c>
      <c r="M349">
        <v>114</v>
      </c>
      <c r="N349">
        <v>0</v>
      </c>
      <c r="O349">
        <v>0</v>
      </c>
      <c r="P349">
        <v>0</v>
      </c>
      <c r="Q349">
        <v>0</v>
      </c>
    </row>
    <row r="350" spans="1:17" x14ac:dyDescent="0.2">
      <c r="A350" s="121">
        <v>39386</v>
      </c>
      <c r="B350" t="s">
        <v>406</v>
      </c>
      <c r="C350" t="s">
        <v>577</v>
      </c>
      <c r="D350" t="s">
        <v>586</v>
      </c>
      <c r="E350" t="s">
        <v>587</v>
      </c>
      <c r="F350" t="s">
        <v>410</v>
      </c>
      <c r="G350">
        <v>666</v>
      </c>
      <c r="H350">
        <v>666</v>
      </c>
      <c r="I350">
        <v>666</v>
      </c>
      <c r="J350">
        <v>666</v>
      </c>
      <c r="K350">
        <v>39</v>
      </c>
      <c r="L350">
        <v>0</v>
      </c>
      <c r="M350">
        <v>627</v>
      </c>
      <c r="N350">
        <v>0</v>
      </c>
      <c r="O350">
        <v>0</v>
      </c>
      <c r="P350">
        <v>0</v>
      </c>
      <c r="Q350">
        <v>0</v>
      </c>
    </row>
    <row r="351" spans="1:17" x14ac:dyDescent="0.2">
      <c r="A351" s="121">
        <v>39386</v>
      </c>
      <c r="B351" t="s">
        <v>406</v>
      </c>
      <c r="C351" t="s">
        <v>577</v>
      </c>
      <c r="D351" t="s">
        <v>588</v>
      </c>
      <c r="E351" t="s">
        <v>589</v>
      </c>
      <c r="F351" t="s">
        <v>410</v>
      </c>
      <c r="G351">
        <v>143</v>
      </c>
      <c r="H351">
        <v>143</v>
      </c>
      <c r="I351">
        <v>143</v>
      </c>
      <c r="J351">
        <v>143</v>
      </c>
      <c r="K351">
        <v>3</v>
      </c>
      <c r="L351">
        <v>0</v>
      </c>
      <c r="M351">
        <v>140</v>
      </c>
      <c r="N351">
        <v>0</v>
      </c>
      <c r="O351">
        <v>0</v>
      </c>
      <c r="P351">
        <v>0</v>
      </c>
      <c r="Q351">
        <v>0</v>
      </c>
    </row>
    <row r="352" spans="1:17" x14ac:dyDescent="0.2">
      <c r="A352" s="121">
        <v>39386</v>
      </c>
      <c r="B352" t="s">
        <v>406</v>
      </c>
      <c r="C352" t="s">
        <v>577</v>
      </c>
      <c r="D352" t="s">
        <v>590</v>
      </c>
      <c r="E352" t="s">
        <v>591</v>
      </c>
      <c r="F352" t="s">
        <v>410</v>
      </c>
      <c r="G352">
        <v>405</v>
      </c>
      <c r="H352">
        <v>405</v>
      </c>
      <c r="I352">
        <v>405</v>
      </c>
      <c r="J352">
        <v>405</v>
      </c>
      <c r="K352">
        <v>4</v>
      </c>
      <c r="L352">
        <v>0</v>
      </c>
      <c r="M352">
        <v>401</v>
      </c>
      <c r="N352">
        <v>0</v>
      </c>
      <c r="O352">
        <v>0</v>
      </c>
      <c r="P352">
        <v>0</v>
      </c>
      <c r="Q352">
        <v>0</v>
      </c>
    </row>
    <row r="353" spans="1:17" x14ac:dyDescent="0.2">
      <c r="A353" s="121">
        <v>39386</v>
      </c>
      <c r="B353" t="s">
        <v>406</v>
      </c>
      <c r="C353" t="s">
        <v>577</v>
      </c>
      <c r="D353" t="s">
        <v>592</v>
      </c>
      <c r="E353" t="s">
        <v>593</v>
      </c>
      <c r="F353" t="s">
        <v>410</v>
      </c>
      <c r="G353">
        <v>408</v>
      </c>
      <c r="H353">
        <v>408</v>
      </c>
      <c r="I353">
        <v>407</v>
      </c>
      <c r="J353">
        <v>407</v>
      </c>
      <c r="K353">
        <v>13</v>
      </c>
      <c r="L353">
        <v>0</v>
      </c>
      <c r="M353">
        <v>395</v>
      </c>
      <c r="N353">
        <v>0</v>
      </c>
      <c r="O353">
        <v>0</v>
      </c>
      <c r="P353">
        <v>0</v>
      </c>
      <c r="Q353">
        <v>0</v>
      </c>
    </row>
    <row r="354" spans="1:17" x14ac:dyDescent="0.2">
      <c r="A354" s="121">
        <v>39386</v>
      </c>
      <c r="B354" t="s">
        <v>406</v>
      </c>
      <c r="C354" t="s">
        <v>594</v>
      </c>
      <c r="D354" t="s">
        <v>595</v>
      </c>
      <c r="E354" t="s">
        <v>596</v>
      </c>
      <c r="F354" t="s">
        <v>410</v>
      </c>
      <c r="G354">
        <v>14</v>
      </c>
      <c r="I354">
        <v>14</v>
      </c>
    </row>
    <row r="355" spans="1:17" x14ac:dyDescent="0.2">
      <c r="A355" s="121">
        <v>39386</v>
      </c>
      <c r="B355" t="s">
        <v>406</v>
      </c>
      <c r="C355" t="s">
        <v>594</v>
      </c>
      <c r="D355" t="s">
        <v>597</v>
      </c>
      <c r="E355" t="s">
        <v>598</v>
      </c>
      <c r="F355" t="s">
        <v>413</v>
      </c>
      <c r="G355">
        <v>643</v>
      </c>
      <c r="H355">
        <v>643</v>
      </c>
      <c r="I355">
        <v>627</v>
      </c>
      <c r="J355">
        <v>627</v>
      </c>
      <c r="K355">
        <v>155</v>
      </c>
      <c r="L355">
        <v>0</v>
      </c>
      <c r="M355">
        <v>476</v>
      </c>
      <c r="N355">
        <v>1</v>
      </c>
      <c r="O355">
        <v>11</v>
      </c>
      <c r="P355">
        <v>0</v>
      </c>
      <c r="Q355">
        <v>0</v>
      </c>
    </row>
    <row r="356" spans="1:17" x14ac:dyDescent="0.2">
      <c r="A356" s="121">
        <v>39386</v>
      </c>
      <c r="B356" t="s">
        <v>406</v>
      </c>
      <c r="C356" t="s">
        <v>594</v>
      </c>
      <c r="D356" t="s">
        <v>599</v>
      </c>
      <c r="E356" t="s">
        <v>600</v>
      </c>
      <c r="F356" t="s">
        <v>410</v>
      </c>
      <c r="G356">
        <v>114</v>
      </c>
      <c r="I356">
        <v>114</v>
      </c>
    </row>
    <row r="357" spans="1:17" x14ac:dyDescent="0.2">
      <c r="A357" s="121">
        <v>39416</v>
      </c>
      <c r="B357" t="s">
        <v>406</v>
      </c>
      <c r="C357" t="s">
        <v>407</v>
      </c>
      <c r="D357" t="s">
        <v>408</v>
      </c>
      <c r="E357" t="s">
        <v>409</v>
      </c>
      <c r="F357" t="s">
        <v>410</v>
      </c>
      <c r="G357">
        <v>111</v>
      </c>
      <c r="I357">
        <v>111</v>
      </c>
    </row>
    <row r="358" spans="1:17" x14ac:dyDescent="0.2">
      <c r="A358" s="121">
        <v>39416</v>
      </c>
      <c r="B358" t="s">
        <v>406</v>
      </c>
      <c r="C358" t="s">
        <v>407</v>
      </c>
      <c r="D358" t="s">
        <v>601</v>
      </c>
      <c r="E358" t="s">
        <v>602</v>
      </c>
      <c r="F358" t="s">
        <v>410</v>
      </c>
      <c r="G358">
        <v>42</v>
      </c>
      <c r="I358">
        <v>42</v>
      </c>
    </row>
    <row r="359" spans="1:17" x14ac:dyDescent="0.2">
      <c r="A359" s="121">
        <v>39416</v>
      </c>
      <c r="B359" t="s">
        <v>406</v>
      </c>
      <c r="C359" t="s">
        <v>407</v>
      </c>
      <c r="D359" t="s">
        <v>411</v>
      </c>
      <c r="E359" t="s">
        <v>412</v>
      </c>
      <c r="F359" t="s">
        <v>413</v>
      </c>
      <c r="G359">
        <v>5119</v>
      </c>
      <c r="H359">
        <v>5119</v>
      </c>
      <c r="I359">
        <v>5042</v>
      </c>
      <c r="J359">
        <v>5042</v>
      </c>
      <c r="K359">
        <v>2014</v>
      </c>
      <c r="L359">
        <v>7</v>
      </c>
      <c r="M359">
        <v>2877</v>
      </c>
      <c r="N359">
        <v>14</v>
      </c>
      <c r="O359">
        <v>207</v>
      </c>
      <c r="P359">
        <v>4</v>
      </c>
      <c r="Q359">
        <v>0</v>
      </c>
    </row>
    <row r="360" spans="1:17" x14ac:dyDescent="0.2">
      <c r="A360" s="121">
        <v>39416</v>
      </c>
      <c r="B360" t="s">
        <v>406</v>
      </c>
      <c r="C360" t="s">
        <v>407</v>
      </c>
      <c r="D360" t="s">
        <v>414</v>
      </c>
      <c r="E360" t="s">
        <v>415</v>
      </c>
      <c r="F360" t="s">
        <v>410</v>
      </c>
      <c r="G360">
        <v>117</v>
      </c>
      <c r="I360">
        <v>117</v>
      </c>
    </row>
    <row r="361" spans="1:17" x14ac:dyDescent="0.2">
      <c r="A361" s="121">
        <v>39416</v>
      </c>
      <c r="B361" t="s">
        <v>406</v>
      </c>
      <c r="C361" t="s">
        <v>407</v>
      </c>
      <c r="D361" t="s">
        <v>416</v>
      </c>
      <c r="E361" t="s">
        <v>417</v>
      </c>
      <c r="F361" t="s">
        <v>413</v>
      </c>
      <c r="G361">
        <v>3061</v>
      </c>
      <c r="H361">
        <v>3061</v>
      </c>
      <c r="I361">
        <v>2980</v>
      </c>
      <c r="J361">
        <v>2980</v>
      </c>
      <c r="K361">
        <v>1176</v>
      </c>
      <c r="L361">
        <v>0</v>
      </c>
      <c r="M361">
        <v>1748</v>
      </c>
      <c r="N361">
        <v>60</v>
      </c>
      <c r="O361">
        <v>77</v>
      </c>
      <c r="P361">
        <v>2</v>
      </c>
      <c r="Q361">
        <v>0</v>
      </c>
    </row>
    <row r="362" spans="1:17" x14ac:dyDescent="0.2">
      <c r="A362" s="121">
        <v>39416</v>
      </c>
      <c r="B362" t="s">
        <v>406</v>
      </c>
      <c r="C362" t="s">
        <v>418</v>
      </c>
      <c r="D362" t="s">
        <v>419</v>
      </c>
      <c r="E362" t="s">
        <v>420</v>
      </c>
      <c r="F362" t="s">
        <v>410</v>
      </c>
      <c r="G362">
        <v>12</v>
      </c>
      <c r="I362">
        <v>12</v>
      </c>
    </row>
    <row r="363" spans="1:17" x14ac:dyDescent="0.2">
      <c r="A363" s="121">
        <v>39416</v>
      </c>
      <c r="B363" t="s">
        <v>406</v>
      </c>
      <c r="C363" t="s">
        <v>418</v>
      </c>
      <c r="D363" t="s">
        <v>421</v>
      </c>
      <c r="E363" t="s">
        <v>422</v>
      </c>
      <c r="F363" t="s">
        <v>410</v>
      </c>
      <c r="G363">
        <v>71</v>
      </c>
      <c r="I363">
        <v>71</v>
      </c>
    </row>
    <row r="364" spans="1:17" x14ac:dyDescent="0.2">
      <c r="A364" s="121">
        <v>39416</v>
      </c>
      <c r="B364" t="s">
        <v>406</v>
      </c>
      <c r="C364" t="s">
        <v>418</v>
      </c>
      <c r="D364" t="s">
        <v>423</v>
      </c>
      <c r="E364" t="s">
        <v>424</v>
      </c>
      <c r="F364" t="s">
        <v>410</v>
      </c>
      <c r="G364">
        <v>32</v>
      </c>
      <c r="I364">
        <v>32</v>
      </c>
    </row>
    <row r="365" spans="1:17" x14ac:dyDescent="0.2">
      <c r="A365" s="121">
        <v>39416</v>
      </c>
      <c r="B365" t="s">
        <v>406</v>
      </c>
      <c r="C365" t="s">
        <v>418</v>
      </c>
      <c r="D365" t="s">
        <v>425</v>
      </c>
      <c r="E365" t="s">
        <v>426</v>
      </c>
      <c r="F365" t="s">
        <v>410</v>
      </c>
      <c r="G365">
        <v>53</v>
      </c>
      <c r="I365">
        <v>53</v>
      </c>
    </row>
    <row r="366" spans="1:17" x14ac:dyDescent="0.2">
      <c r="A366" s="121">
        <v>39416</v>
      </c>
      <c r="B366" t="s">
        <v>406</v>
      </c>
      <c r="C366" t="s">
        <v>418</v>
      </c>
      <c r="D366" t="s">
        <v>427</v>
      </c>
      <c r="E366" t="s">
        <v>428</v>
      </c>
      <c r="F366" t="s">
        <v>413</v>
      </c>
      <c r="G366">
        <v>1805</v>
      </c>
      <c r="H366">
        <v>1805</v>
      </c>
      <c r="I366">
        <v>1784</v>
      </c>
      <c r="J366">
        <v>1784</v>
      </c>
      <c r="K366">
        <v>620</v>
      </c>
      <c r="L366">
        <v>3</v>
      </c>
      <c r="M366">
        <v>976</v>
      </c>
      <c r="N366">
        <v>27</v>
      </c>
      <c r="O366">
        <v>179</v>
      </c>
      <c r="P366">
        <v>0</v>
      </c>
      <c r="Q366">
        <v>0</v>
      </c>
    </row>
    <row r="367" spans="1:17" x14ac:dyDescent="0.2">
      <c r="A367" s="121">
        <v>39416</v>
      </c>
      <c r="B367" t="s">
        <v>406</v>
      </c>
      <c r="C367" t="s">
        <v>429</v>
      </c>
      <c r="D367" t="s">
        <v>430</v>
      </c>
      <c r="E367" t="s">
        <v>431</v>
      </c>
      <c r="F367" t="s">
        <v>410</v>
      </c>
      <c r="G367">
        <v>51</v>
      </c>
      <c r="I367">
        <v>51</v>
      </c>
    </row>
    <row r="368" spans="1:17" x14ac:dyDescent="0.2">
      <c r="A368" s="121">
        <v>39416</v>
      </c>
      <c r="B368" t="s">
        <v>406</v>
      </c>
      <c r="C368" t="s">
        <v>429</v>
      </c>
      <c r="D368" t="s">
        <v>432</v>
      </c>
      <c r="E368" t="s">
        <v>433</v>
      </c>
      <c r="F368" t="s">
        <v>410</v>
      </c>
      <c r="G368">
        <v>53</v>
      </c>
      <c r="I368">
        <v>53</v>
      </c>
    </row>
    <row r="369" spans="1:17" x14ac:dyDescent="0.2">
      <c r="A369" s="121">
        <v>39416</v>
      </c>
      <c r="B369" t="s">
        <v>406</v>
      </c>
      <c r="C369" t="s">
        <v>429</v>
      </c>
      <c r="D369" t="s">
        <v>434</v>
      </c>
      <c r="E369" t="s">
        <v>435</v>
      </c>
      <c r="F369" t="s">
        <v>410</v>
      </c>
      <c r="G369">
        <v>1</v>
      </c>
      <c r="I369">
        <v>1</v>
      </c>
    </row>
    <row r="370" spans="1:17" x14ac:dyDescent="0.2">
      <c r="A370" s="121">
        <v>39416</v>
      </c>
      <c r="B370" t="s">
        <v>406</v>
      </c>
      <c r="C370" t="s">
        <v>429</v>
      </c>
      <c r="D370" t="s">
        <v>436</v>
      </c>
      <c r="E370" t="s">
        <v>437</v>
      </c>
      <c r="F370" t="s">
        <v>410</v>
      </c>
      <c r="G370">
        <v>13</v>
      </c>
      <c r="I370">
        <v>13</v>
      </c>
    </row>
    <row r="371" spans="1:17" x14ac:dyDescent="0.2">
      <c r="A371" s="121">
        <v>39416</v>
      </c>
      <c r="B371" t="s">
        <v>406</v>
      </c>
      <c r="C371" t="s">
        <v>429</v>
      </c>
      <c r="D371" t="s">
        <v>438</v>
      </c>
      <c r="E371" t="s">
        <v>439</v>
      </c>
      <c r="F371" t="s">
        <v>413</v>
      </c>
      <c r="G371">
        <v>877</v>
      </c>
      <c r="I371">
        <v>866</v>
      </c>
    </row>
    <row r="372" spans="1:17" x14ac:dyDescent="0.2">
      <c r="A372" s="121">
        <v>39416</v>
      </c>
      <c r="B372" t="s">
        <v>406</v>
      </c>
      <c r="C372" t="s">
        <v>429</v>
      </c>
      <c r="D372" t="s">
        <v>440</v>
      </c>
      <c r="E372" t="s">
        <v>441</v>
      </c>
      <c r="F372" t="s">
        <v>413</v>
      </c>
      <c r="G372">
        <v>2618</v>
      </c>
      <c r="H372">
        <v>2618</v>
      </c>
      <c r="I372">
        <v>2577</v>
      </c>
      <c r="J372">
        <v>2577</v>
      </c>
      <c r="K372">
        <v>910</v>
      </c>
      <c r="L372">
        <v>7</v>
      </c>
      <c r="M372">
        <v>1669</v>
      </c>
      <c r="N372">
        <v>13</v>
      </c>
      <c r="O372">
        <v>19</v>
      </c>
      <c r="P372">
        <v>0</v>
      </c>
      <c r="Q372">
        <v>0</v>
      </c>
    </row>
    <row r="373" spans="1:17" x14ac:dyDescent="0.2">
      <c r="A373" s="121">
        <v>39416</v>
      </c>
      <c r="B373" t="s">
        <v>406</v>
      </c>
      <c r="C373" t="s">
        <v>442</v>
      </c>
      <c r="D373" t="s">
        <v>443</v>
      </c>
      <c r="E373" t="s">
        <v>444</v>
      </c>
      <c r="F373" t="s">
        <v>413</v>
      </c>
      <c r="G373">
        <v>3361</v>
      </c>
      <c r="H373">
        <v>3361</v>
      </c>
      <c r="I373">
        <v>3287</v>
      </c>
      <c r="J373">
        <v>3287</v>
      </c>
      <c r="K373">
        <v>574</v>
      </c>
      <c r="L373">
        <v>30</v>
      </c>
      <c r="M373">
        <v>2646</v>
      </c>
      <c r="N373">
        <v>44</v>
      </c>
      <c r="O373">
        <v>67</v>
      </c>
      <c r="P373">
        <v>0</v>
      </c>
      <c r="Q373">
        <v>0</v>
      </c>
    </row>
    <row r="374" spans="1:17" x14ac:dyDescent="0.2">
      <c r="A374" s="121">
        <v>39416</v>
      </c>
      <c r="B374" t="s">
        <v>406</v>
      </c>
      <c r="C374" t="s">
        <v>442</v>
      </c>
      <c r="D374" t="s">
        <v>445</v>
      </c>
      <c r="E374" t="s">
        <v>446</v>
      </c>
      <c r="F374" t="s">
        <v>410</v>
      </c>
      <c r="G374">
        <v>147</v>
      </c>
      <c r="I374">
        <v>147</v>
      </c>
    </row>
    <row r="375" spans="1:17" x14ac:dyDescent="0.2">
      <c r="A375" s="121">
        <v>39416</v>
      </c>
      <c r="B375" t="s">
        <v>406</v>
      </c>
      <c r="C375" t="s">
        <v>442</v>
      </c>
      <c r="D375" t="s">
        <v>447</v>
      </c>
      <c r="E375" t="s">
        <v>448</v>
      </c>
      <c r="F375" t="s">
        <v>410</v>
      </c>
      <c r="G375">
        <v>268</v>
      </c>
      <c r="I375">
        <v>268</v>
      </c>
    </row>
    <row r="376" spans="1:17" x14ac:dyDescent="0.2">
      <c r="A376" s="121">
        <v>39416</v>
      </c>
      <c r="B376" t="s">
        <v>406</v>
      </c>
      <c r="C376" t="s">
        <v>442</v>
      </c>
      <c r="D376" t="s">
        <v>449</v>
      </c>
      <c r="E376" t="s">
        <v>450</v>
      </c>
      <c r="F376" t="s">
        <v>413</v>
      </c>
      <c r="G376">
        <v>3186</v>
      </c>
      <c r="H376">
        <v>3186</v>
      </c>
      <c r="I376">
        <v>3062</v>
      </c>
      <c r="J376">
        <v>3062</v>
      </c>
      <c r="K376">
        <v>699</v>
      </c>
      <c r="L376">
        <v>119</v>
      </c>
      <c r="M376">
        <v>2258</v>
      </c>
      <c r="N376">
        <v>26</v>
      </c>
      <c r="O376">
        <v>84</v>
      </c>
      <c r="P376">
        <v>4</v>
      </c>
      <c r="Q376">
        <v>0</v>
      </c>
    </row>
    <row r="377" spans="1:17" x14ac:dyDescent="0.2">
      <c r="A377" s="121">
        <v>39416</v>
      </c>
      <c r="B377" t="s">
        <v>406</v>
      </c>
      <c r="C377" t="s">
        <v>451</v>
      </c>
      <c r="D377" t="s">
        <v>452</v>
      </c>
      <c r="E377" t="s">
        <v>453</v>
      </c>
      <c r="F377" t="s">
        <v>410</v>
      </c>
      <c r="G377">
        <v>1610</v>
      </c>
      <c r="H377">
        <v>1610</v>
      </c>
      <c r="I377">
        <v>1606</v>
      </c>
      <c r="J377">
        <v>1606</v>
      </c>
      <c r="K377">
        <v>0</v>
      </c>
      <c r="L377">
        <v>0</v>
      </c>
      <c r="M377">
        <v>1182</v>
      </c>
      <c r="N377">
        <v>177</v>
      </c>
      <c r="O377">
        <v>251</v>
      </c>
      <c r="P377">
        <v>0</v>
      </c>
      <c r="Q377">
        <v>0</v>
      </c>
    </row>
    <row r="378" spans="1:17" x14ac:dyDescent="0.2">
      <c r="A378" s="121">
        <v>39416</v>
      </c>
      <c r="B378" t="s">
        <v>406</v>
      </c>
      <c r="C378" t="s">
        <v>451</v>
      </c>
      <c r="D378" t="s">
        <v>454</v>
      </c>
      <c r="E378" t="s">
        <v>455</v>
      </c>
      <c r="F378" t="s">
        <v>413</v>
      </c>
      <c r="G378">
        <v>3903</v>
      </c>
      <c r="H378">
        <v>3903</v>
      </c>
      <c r="I378">
        <v>3817</v>
      </c>
      <c r="J378">
        <v>3817</v>
      </c>
      <c r="K378">
        <v>1172</v>
      </c>
      <c r="L378">
        <v>4</v>
      </c>
      <c r="M378">
        <v>2193</v>
      </c>
      <c r="N378">
        <v>27</v>
      </c>
      <c r="O378">
        <v>507</v>
      </c>
      <c r="P378">
        <v>2</v>
      </c>
      <c r="Q378">
        <v>0</v>
      </c>
    </row>
    <row r="379" spans="1:17" x14ac:dyDescent="0.2">
      <c r="A379" s="121">
        <v>39416</v>
      </c>
      <c r="B379" t="s">
        <v>406</v>
      </c>
      <c r="C379" t="s">
        <v>456</v>
      </c>
      <c r="D379" t="s">
        <v>457</v>
      </c>
      <c r="E379" t="s">
        <v>458</v>
      </c>
      <c r="F379" t="s">
        <v>413</v>
      </c>
      <c r="G379">
        <v>4974</v>
      </c>
      <c r="H379">
        <v>4974</v>
      </c>
      <c r="I379">
        <v>4738</v>
      </c>
      <c r="J379">
        <v>4738</v>
      </c>
      <c r="K379">
        <v>1210</v>
      </c>
      <c r="L379">
        <v>22</v>
      </c>
      <c r="M379">
        <v>3629</v>
      </c>
      <c r="N379">
        <v>87</v>
      </c>
      <c r="O379">
        <v>26</v>
      </c>
      <c r="P379">
        <v>27</v>
      </c>
      <c r="Q379">
        <v>6</v>
      </c>
    </row>
    <row r="380" spans="1:17" x14ac:dyDescent="0.2">
      <c r="A380" s="121">
        <v>39416</v>
      </c>
      <c r="B380" t="s">
        <v>406</v>
      </c>
      <c r="C380" t="s">
        <v>456</v>
      </c>
      <c r="D380" t="s">
        <v>459</v>
      </c>
      <c r="E380" t="s">
        <v>460</v>
      </c>
      <c r="F380" t="s">
        <v>413</v>
      </c>
      <c r="G380">
        <v>1204</v>
      </c>
      <c r="H380">
        <v>1204</v>
      </c>
      <c r="I380">
        <v>1202</v>
      </c>
      <c r="J380">
        <v>1202</v>
      </c>
      <c r="K380">
        <v>374</v>
      </c>
      <c r="L380">
        <v>0</v>
      </c>
      <c r="M380">
        <v>827</v>
      </c>
      <c r="N380">
        <v>2</v>
      </c>
      <c r="O380">
        <v>1</v>
      </c>
      <c r="P380">
        <v>0</v>
      </c>
      <c r="Q380">
        <v>0</v>
      </c>
    </row>
    <row r="381" spans="1:17" x14ac:dyDescent="0.2">
      <c r="A381" s="121">
        <v>39416</v>
      </c>
      <c r="B381" t="s">
        <v>406</v>
      </c>
      <c r="C381" t="s">
        <v>456</v>
      </c>
      <c r="D381" t="s">
        <v>461</v>
      </c>
      <c r="E381" t="s">
        <v>462</v>
      </c>
      <c r="F381" t="s">
        <v>410</v>
      </c>
      <c r="G381">
        <v>66</v>
      </c>
      <c r="I381">
        <v>66</v>
      </c>
    </row>
    <row r="382" spans="1:17" x14ac:dyDescent="0.2">
      <c r="A382" s="121">
        <v>39416</v>
      </c>
      <c r="B382" t="s">
        <v>406</v>
      </c>
      <c r="C382" t="s">
        <v>456</v>
      </c>
      <c r="D382" t="s">
        <v>463</v>
      </c>
      <c r="E382" t="s">
        <v>464</v>
      </c>
      <c r="F382" t="s">
        <v>410</v>
      </c>
      <c r="G382">
        <v>39</v>
      </c>
      <c r="I382">
        <v>39</v>
      </c>
    </row>
    <row r="383" spans="1:17" x14ac:dyDescent="0.2">
      <c r="A383" s="121">
        <v>39416</v>
      </c>
      <c r="B383" t="s">
        <v>406</v>
      </c>
      <c r="C383" t="s">
        <v>456</v>
      </c>
      <c r="D383" t="s">
        <v>465</v>
      </c>
      <c r="E383" t="s">
        <v>466</v>
      </c>
      <c r="F383" t="s">
        <v>410</v>
      </c>
      <c r="G383">
        <v>61</v>
      </c>
      <c r="I383">
        <v>61</v>
      </c>
    </row>
    <row r="384" spans="1:17" x14ac:dyDescent="0.2">
      <c r="A384" s="121">
        <v>39416</v>
      </c>
      <c r="B384" t="s">
        <v>406</v>
      </c>
      <c r="C384" t="s">
        <v>456</v>
      </c>
      <c r="D384" t="s">
        <v>467</v>
      </c>
      <c r="E384" t="s">
        <v>468</v>
      </c>
      <c r="F384" t="s">
        <v>410</v>
      </c>
      <c r="G384">
        <v>926</v>
      </c>
      <c r="I384">
        <v>925</v>
      </c>
    </row>
    <row r="385" spans="1:17" x14ac:dyDescent="0.2">
      <c r="A385" s="121">
        <v>39416</v>
      </c>
      <c r="B385" t="s">
        <v>406</v>
      </c>
      <c r="C385" t="s">
        <v>456</v>
      </c>
      <c r="D385" t="s">
        <v>469</v>
      </c>
      <c r="E385" t="s">
        <v>470</v>
      </c>
      <c r="F385" t="s">
        <v>410</v>
      </c>
      <c r="G385">
        <v>769</v>
      </c>
      <c r="I385">
        <v>765</v>
      </c>
    </row>
    <row r="386" spans="1:17" x14ac:dyDescent="0.2">
      <c r="A386" s="121">
        <v>39416</v>
      </c>
      <c r="B386" t="s">
        <v>406</v>
      </c>
      <c r="C386" t="s">
        <v>456</v>
      </c>
      <c r="D386" t="s">
        <v>471</v>
      </c>
      <c r="E386" t="s">
        <v>472</v>
      </c>
      <c r="F386" t="s">
        <v>410</v>
      </c>
      <c r="G386">
        <v>215</v>
      </c>
      <c r="I386">
        <v>215</v>
      </c>
    </row>
    <row r="387" spans="1:17" x14ac:dyDescent="0.2">
      <c r="A387" s="121">
        <v>39416</v>
      </c>
      <c r="B387" t="s">
        <v>406</v>
      </c>
      <c r="C387" t="s">
        <v>456</v>
      </c>
      <c r="D387" t="s">
        <v>473</v>
      </c>
      <c r="E387" t="s">
        <v>474</v>
      </c>
      <c r="F387" t="s">
        <v>410</v>
      </c>
      <c r="G387">
        <v>163</v>
      </c>
      <c r="I387">
        <v>163</v>
      </c>
    </row>
    <row r="388" spans="1:17" x14ac:dyDescent="0.2">
      <c r="A388" s="121">
        <v>39416</v>
      </c>
      <c r="B388" t="s">
        <v>406</v>
      </c>
      <c r="C388" t="s">
        <v>456</v>
      </c>
      <c r="D388" t="s">
        <v>475</v>
      </c>
      <c r="E388" t="s">
        <v>476</v>
      </c>
      <c r="F388" t="s">
        <v>410</v>
      </c>
      <c r="G388">
        <v>271</v>
      </c>
      <c r="I388">
        <v>271</v>
      </c>
    </row>
    <row r="389" spans="1:17" x14ac:dyDescent="0.2">
      <c r="A389" s="121">
        <v>39416</v>
      </c>
      <c r="B389" t="s">
        <v>406</v>
      </c>
      <c r="C389" t="s">
        <v>456</v>
      </c>
      <c r="D389" t="s">
        <v>477</v>
      </c>
      <c r="E389" t="s">
        <v>478</v>
      </c>
      <c r="F389" t="s">
        <v>413</v>
      </c>
      <c r="G389">
        <v>1699</v>
      </c>
      <c r="H389">
        <v>1699</v>
      </c>
      <c r="I389">
        <v>1680</v>
      </c>
      <c r="J389">
        <v>1680</v>
      </c>
      <c r="K389">
        <v>505</v>
      </c>
      <c r="L389">
        <v>3</v>
      </c>
      <c r="M389">
        <v>1157</v>
      </c>
      <c r="N389">
        <v>13</v>
      </c>
      <c r="O389">
        <v>21</v>
      </c>
      <c r="P389">
        <v>0</v>
      </c>
      <c r="Q389">
        <v>0</v>
      </c>
    </row>
    <row r="390" spans="1:17" x14ac:dyDescent="0.2">
      <c r="A390" s="121">
        <v>39416</v>
      </c>
      <c r="B390" t="s">
        <v>406</v>
      </c>
      <c r="C390" t="s">
        <v>456</v>
      </c>
      <c r="D390" t="s">
        <v>479</v>
      </c>
      <c r="E390" t="s">
        <v>480</v>
      </c>
      <c r="F390" t="s">
        <v>410</v>
      </c>
      <c r="G390">
        <v>58</v>
      </c>
      <c r="I390">
        <v>58</v>
      </c>
    </row>
    <row r="391" spans="1:17" x14ac:dyDescent="0.2">
      <c r="A391" s="121">
        <v>39416</v>
      </c>
      <c r="B391" t="s">
        <v>406</v>
      </c>
      <c r="C391" t="s">
        <v>456</v>
      </c>
      <c r="D391" t="s">
        <v>481</v>
      </c>
      <c r="E391" t="s">
        <v>482</v>
      </c>
      <c r="F391" t="s">
        <v>410</v>
      </c>
      <c r="G391">
        <v>31</v>
      </c>
      <c r="I391">
        <v>31</v>
      </c>
    </row>
    <row r="392" spans="1:17" x14ac:dyDescent="0.2">
      <c r="A392" s="121">
        <v>39416</v>
      </c>
      <c r="B392" t="s">
        <v>406</v>
      </c>
      <c r="C392" t="s">
        <v>456</v>
      </c>
      <c r="D392" t="s">
        <v>483</v>
      </c>
      <c r="E392" t="s">
        <v>484</v>
      </c>
      <c r="F392" t="s">
        <v>410</v>
      </c>
      <c r="G392">
        <v>94</v>
      </c>
      <c r="I392">
        <v>94</v>
      </c>
    </row>
    <row r="393" spans="1:17" x14ac:dyDescent="0.2">
      <c r="A393" s="121">
        <v>39416</v>
      </c>
      <c r="B393" t="s">
        <v>406</v>
      </c>
      <c r="C393" t="s">
        <v>456</v>
      </c>
      <c r="D393" t="s">
        <v>485</v>
      </c>
      <c r="E393" t="s">
        <v>486</v>
      </c>
      <c r="F393" t="s">
        <v>410</v>
      </c>
      <c r="G393">
        <v>52</v>
      </c>
      <c r="I393">
        <v>52</v>
      </c>
    </row>
    <row r="394" spans="1:17" x14ac:dyDescent="0.2">
      <c r="A394" s="121">
        <v>39416</v>
      </c>
      <c r="B394" t="s">
        <v>406</v>
      </c>
      <c r="C394" t="s">
        <v>456</v>
      </c>
      <c r="D394" t="s">
        <v>487</v>
      </c>
      <c r="E394" t="s">
        <v>488</v>
      </c>
      <c r="F394" t="s">
        <v>410</v>
      </c>
      <c r="G394">
        <v>25</v>
      </c>
      <c r="I394">
        <v>25</v>
      </c>
    </row>
    <row r="395" spans="1:17" x14ac:dyDescent="0.2">
      <c r="A395" s="121">
        <v>39416</v>
      </c>
      <c r="B395" t="s">
        <v>406</v>
      </c>
      <c r="C395" t="s">
        <v>456</v>
      </c>
      <c r="D395" t="s">
        <v>489</v>
      </c>
      <c r="E395" t="s">
        <v>490</v>
      </c>
      <c r="F395" t="s">
        <v>410</v>
      </c>
      <c r="G395">
        <v>122</v>
      </c>
      <c r="H395">
        <v>122</v>
      </c>
      <c r="I395">
        <v>122</v>
      </c>
      <c r="J395">
        <v>122</v>
      </c>
      <c r="K395">
        <v>0</v>
      </c>
      <c r="L395">
        <v>0</v>
      </c>
      <c r="M395">
        <v>104</v>
      </c>
      <c r="N395">
        <v>18</v>
      </c>
      <c r="O395">
        <v>0</v>
      </c>
      <c r="P395">
        <v>0</v>
      </c>
      <c r="Q395">
        <v>0</v>
      </c>
    </row>
    <row r="396" spans="1:17" x14ac:dyDescent="0.2">
      <c r="A396" s="121">
        <v>39416</v>
      </c>
      <c r="B396" t="s">
        <v>406</v>
      </c>
      <c r="C396" t="s">
        <v>491</v>
      </c>
      <c r="D396" t="s">
        <v>492</v>
      </c>
      <c r="E396" t="s">
        <v>493</v>
      </c>
      <c r="F396" t="s">
        <v>410</v>
      </c>
      <c r="G396">
        <v>1153</v>
      </c>
      <c r="H396">
        <v>1153</v>
      </c>
      <c r="I396">
        <v>1148</v>
      </c>
      <c r="J396">
        <v>1148</v>
      </c>
      <c r="K396">
        <v>311</v>
      </c>
      <c r="L396">
        <v>1</v>
      </c>
      <c r="M396">
        <v>770</v>
      </c>
      <c r="N396">
        <v>65</v>
      </c>
      <c r="O396">
        <v>6</v>
      </c>
      <c r="P396">
        <v>0</v>
      </c>
      <c r="Q396">
        <v>0</v>
      </c>
    </row>
    <row r="397" spans="1:17" x14ac:dyDescent="0.2">
      <c r="A397" s="121">
        <v>39416</v>
      </c>
      <c r="B397" t="s">
        <v>406</v>
      </c>
      <c r="C397" t="s">
        <v>491</v>
      </c>
      <c r="D397" t="s">
        <v>494</v>
      </c>
      <c r="E397" t="s">
        <v>495</v>
      </c>
      <c r="F397" t="s">
        <v>413</v>
      </c>
      <c r="G397">
        <v>2493</v>
      </c>
      <c r="H397">
        <v>2493</v>
      </c>
      <c r="I397">
        <v>2459</v>
      </c>
      <c r="J397">
        <v>2459</v>
      </c>
      <c r="K397">
        <v>572</v>
      </c>
      <c r="L397">
        <v>1</v>
      </c>
      <c r="M397">
        <v>1800</v>
      </c>
      <c r="N397">
        <v>30</v>
      </c>
      <c r="O397">
        <v>90</v>
      </c>
      <c r="P397">
        <v>1</v>
      </c>
      <c r="Q397">
        <v>0</v>
      </c>
    </row>
    <row r="398" spans="1:17" x14ac:dyDescent="0.2">
      <c r="A398" s="121">
        <v>39416</v>
      </c>
      <c r="B398" t="s">
        <v>406</v>
      </c>
      <c r="C398" t="s">
        <v>491</v>
      </c>
      <c r="D398" t="s">
        <v>496</v>
      </c>
      <c r="E398" t="s">
        <v>497</v>
      </c>
      <c r="F398" t="s">
        <v>413</v>
      </c>
      <c r="G398">
        <v>5317</v>
      </c>
      <c r="H398">
        <v>5317</v>
      </c>
      <c r="I398">
        <v>5214</v>
      </c>
      <c r="J398">
        <v>5214</v>
      </c>
      <c r="K398">
        <v>1532</v>
      </c>
      <c r="L398">
        <v>11</v>
      </c>
      <c r="M398">
        <v>3383</v>
      </c>
      <c r="N398">
        <v>54</v>
      </c>
      <c r="O398">
        <v>337</v>
      </c>
      <c r="P398">
        <v>3</v>
      </c>
      <c r="Q398">
        <v>0</v>
      </c>
    </row>
    <row r="399" spans="1:17" x14ac:dyDescent="0.2">
      <c r="A399" s="121">
        <v>39416</v>
      </c>
      <c r="B399" t="s">
        <v>406</v>
      </c>
      <c r="C399" t="s">
        <v>491</v>
      </c>
      <c r="D399" t="s">
        <v>498</v>
      </c>
      <c r="E399" t="s">
        <v>499</v>
      </c>
      <c r="F399" t="s">
        <v>413</v>
      </c>
      <c r="G399">
        <v>5949</v>
      </c>
      <c r="H399">
        <v>5949</v>
      </c>
      <c r="I399">
        <v>5651</v>
      </c>
      <c r="J399">
        <v>5651</v>
      </c>
      <c r="K399">
        <v>1864</v>
      </c>
      <c r="L399">
        <v>22</v>
      </c>
      <c r="M399">
        <v>3670</v>
      </c>
      <c r="N399">
        <v>112</v>
      </c>
      <c r="O399">
        <v>281</v>
      </c>
      <c r="P399">
        <v>1</v>
      </c>
      <c r="Q399">
        <v>0</v>
      </c>
    </row>
    <row r="400" spans="1:17" x14ac:dyDescent="0.2">
      <c r="A400" s="121">
        <v>39416</v>
      </c>
      <c r="B400" t="s">
        <v>406</v>
      </c>
      <c r="C400" t="s">
        <v>491</v>
      </c>
      <c r="D400" t="s">
        <v>500</v>
      </c>
      <c r="E400" t="s">
        <v>501</v>
      </c>
      <c r="F400" t="s">
        <v>413</v>
      </c>
      <c r="G400">
        <v>3302</v>
      </c>
      <c r="H400">
        <v>3302</v>
      </c>
      <c r="I400">
        <v>3185</v>
      </c>
      <c r="J400">
        <v>3185</v>
      </c>
      <c r="K400">
        <v>980</v>
      </c>
      <c r="L400">
        <v>0</v>
      </c>
      <c r="M400">
        <v>2164</v>
      </c>
      <c r="N400">
        <v>41</v>
      </c>
      <c r="O400">
        <v>117</v>
      </c>
      <c r="P400">
        <v>4</v>
      </c>
      <c r="Q400">
        <v>0</v>
      </c>
    </row>
    <row r="401" spans="1:17" x14ac:dyDescent="0.2">
      <c r="A401" s="121">
        <v>39416</v>
      </c>
      <c r="B401" t="s">
        <v>406</v>
      </c>
      <c r="C401" t="s">
        <v>491</v>
      </c>
      <c r="D401" t="s">
        <v>502</v>
      </c>
      <c r="E401" t="s">
        <v>503</v>
      </c>
      <c r="F401" t="s">
        <v>413</v>
      </c>
      <c r="G401">
        <v>5412</v>
      </c>
      <c r="H401">
        <v>5412</v>
      </c>
      <c r="I401">
        <v>5320</v>
      </c>
      <c r="J401">
        <v>5320</v>
      </c>
      <c r="K401">
        <v>1446</v>
      </c>
      <c r="L401">
        <v>9</v>
      </c>
      <c r="M401">
        <v>3744</v>
      </c>
      <c r="N401">
        <v>96</v>
      </c>
      <c r="O401">
        <v>117</v>
      </c>
      <c r="P401">
        <v>2</v>
      </c>
      <c r="Q401">
        <v>0</v>
      </c>
    </row>
    <row r="402" spans="1:17" x14ac:dyDescent="0.2">
      <c r="A402" s="121">
        <v>39416</v>
      </c>
      <c r="B402" t="s">
        <v>406</v>
      </c>
      <c r="C402" t="s">
        <v>491</v>
      </c>
      <c r="D402" t="s">
        <v>504</v>
      </c>
      <c r="E402" t="s">
        <v>505</v>
      </c>
      <c r="F402" t="s">
        <v>413</v>
      </c>
      <c r="G402">
        <v>3750</v>
      </c>
      <c r="H402">
        <v>3750</v>
      </c>
      <c r="I402">
        <v>3590</v>
      </c>
      <c r="J402">
        <v>3590</v>
      </c>
      <c r="K402">
        <v>1079</v>
      </c>
      <c r="L402">
        <v>5</v>
      </c>
      <c r="M402">
        <v>2211</v>
      </c>
      <c r="N402">
        <v>31</v>
      </c>
      <c r="O402">
        <v>424</v>
      </c>
      <c r="P402">
        <v>1</v>
      </c>
      <c r="Q402">
        <v>0</v>
      </c>
    </row>
    <row r="403" spans="1:17" x14ac:dyDescent="0.2">
      <c r="A403" s="121">
        <v>39416</v>
      </c>
      <c r="B403" t="s">
        <v>406</v>
      </c>
      <c r="C403" t="s">
        <v>491</v>
      </c>
      <c r="D403" t="s">
        <v>506</v>
      </c>
      <c r="E403" t="s">
        <v>507</v>
      </c>
      <c r="F403" t="s">
        <v>413</v>
      </c>
      <c r="G403">
        <v>3456</v>
      </c>
      <c r="H403">
        <v>3456</v>
      </c>
      <c r="I403">
        <v>3393</v>
      </c>
      <c r="J403">
        <v>3393</v>
      </c>
      <c r="K403">
        <v>515</v>
      </c>
      <c r="L403">
        <v>0</v>
      </c>
      <c r="M403">
        <v>2929</v>
      </c>
      <c r="N403">
        <v>4</v>
      </c>
      <c r="O403">
        <v>8</v>
      </c>
      <c r="P403">
        <v>5</v>
      </c>
      <c r="Q403">
        <v>4</v>
      </c>
    </row>
    <row r="404" spans="1:17" x14ac:dyDescent="0.2">
      <c r="A404" s="121">
        <v>39416</v>
      </c>
      <c r="B404" t="s">
        <v>406</v>
      </c>
      <c r="C404" t="s">
        <v>491</v>
      </c>
      <c r="D404" t="s">
        <v>508</v>
      </c>
      <c r="E404" t="s">
        <v>509</v>
      </c>
      <c r="F404" t="s">
        <v>413</v>
      </c>
      <c r="G404">
        <v>4914</v>
      </c>
      <c r="H404">
        <v>4914</v>
      </c>
      <c r="I404">
        <v>4643</v>
      </c>
      <c r="J404">
        <v>4643</v>
      </c>
      <c r="K404">
        <v>1560</v>
      </c>
      <c r="L404">
        <v>13</v>
      </c>
      <c r="M404">
        <v>2974</v>
      </c>
      <c r="N404">
        <v>100</v>
      </c>
      <c r="O404">
        <v>267</v>
      </c>
      <c r="P404">
        <v>12</v>
      </c>
      <c r="Q404">
        <v>7</v>
      </c>
    </row>
    <row r="405" spans="1:17" x14ac:dyDescent="0.2">
      <c r="A405" s="121">
        <v>39416</v>
      </c>
      <c r="B405" t="s">
        <v>406</v>
      </c>
      <c r="C405" t="s">
        <v>510</v>
      </c>
      <c r="D405" t="s">
        <v>511</v>
      </c>
      <c r="E405" t="s">
        <v>512</v>
      </c>
      <c r="F405" t="s">
        <v>410</v>
      </c>
      <c r="G405">
        <v>547</v>
      </c>
      <c r="I405">
        <v>541</v>
      </c>
    </row>
    <row r="406" spans="1:17" x14ac:dyDescent="0.2">
      <c r="A406" s="121">
        <v>39416</v>
      </c>
      <c r="B406" t="s">
        <v>406</v>
      </c>
      <c r="C406" t="s">
        <v>510</v>
      </c>
      <c r="D406" t="s">
        <v>513</v>
      </c>
      <c r="E406" t="s">
        <v>514</v>
      </c>
      <c r="F406" t="s">
        <v>410</v>
      </c>
      <c r="G406">
        <v>494</v>
      </c>
      <c r="I406">
        <v>494</v>
      </c>
    </row>
    <row r="407" spans="1:17" x14ac:dyDescent="0.2">
      <c r="A407" s="121">
        <v>39416</v>
      </c>
      <c r="B407" t="s">
        <v>406</v>
      </c>
      <c r="C407" t="s">
        <v>510</v>
      </c>
      <c r="D407" t="s">
        <v>515</v>
      </c>
      <c r="E407" t="s">
        <v>516</v>
      </c>
      <c r="F407" t="s">
        <v>410</v>
      </c>
      <c r="G407">
        <v>59</v>
      </c>
      <c r="I407">
        <v>57</v>
      </c>
    </row>
    <row r="408" spans="1:17" x14ac:dyDescent="0.2">
      <c r="A408" s="121">
        <v>39416</v>
      </c>
      <c r="B408" t="s">
        <v>406</v>
      </c>
      <c r="C408" t="s">
        <v>510</v>
      </c>
      <c r="D408" t="s">
        <v>517</v>
      </c>
      <c r="E408" t="s">
        <v>518</v>
      </c>
      <c r="F408" t="s">
        <v>410</v>
      </c>
      <c r="G408">
        <v>265</v>
      </c>
      <c r="I408">
        <v>260</v>
      </c>
    </row>
    <row r="409" spans="1:17" x14ac:dyDescent="0.2">
      <c r="A409" s="121">
        <v>39416</v>
      </c>
      <c r="B409" t="s">
        <v>406</v>
      </c>
      <c r="C409" t="s">
        <v>510</v>
      </c>
      <c r="D409" t="s">
        <v>519</v>
      </c>
      <c r="E409" t="s">
        <v>520</v>
      </c>
      <c r="F409" t="s">
        <v>410</v>
      </c>
      <c r="G409">
        <v>266</v>
      </c>
      <c r="I409">
        <v>261</v>
      </c>
    </row>
    <row r="410" spans="1:17" x14ac:dyDescent="0.2">
      <c r="A410" s="121">
        <v>39416</v>
      </c>
      <c r="B410" t="s">
        <v>406</v>
      </c>
      <c r="C410" t="s">
        <v>510</v>
      </c>
      <c r="D410" t="s">
        <v>521</v>
      </c>
      <c r="E410" t="s">
        <v>522</v>
      </c>
      <c r="F410" t="s">
        <v>410</v>
      </c>
      <c r="G410">
        <v>40</v>
      </c>
      <c r="I410">
        <v>40</v>
      </c>
    </row>
    <row r="411" spans="1:17" x14ac:dyDescent="0.2">
      <c r="A411" s="121">
        <v>39416</v>
      </c>
      <c r="B411" t="s">
        <v>406</v>
      </c>
      <c r="C411" t="s">
        <v>510</v>
      </c>
      <c r="D411" t="s">
        <v>523</v>
      </c>
      <c r="E411" t="s">
        <v>524</v>
      </c>
      <c r="F411" t="s">
        <v>413</v>
      </c>
      <c r="G411">
        <v>480</v>
      </c>
      <c r="I411">
        <v>476</v>
      </c>
    </row>
    <row r="412" spans="1:17" x14ac:dyDescent="0.2">
      <c r="A412" s="121">
        <v>39416</v>
      </c>
      <c r="B412" t="s">
        <v>406</v>
      </c>
      <c r="C412" t="s">
        <v>510</v>
      </c>
      <c r="D412" t="s">
        <v>527</v>
      </c>
      <c r="E412" t="s">
        <v>528</v>
      </c>
      <c r="F412" t="s">
        <v>410</v>
      </c>
      <c r="G412">
        <v>150</v>
      </c>
      <c r="I412">
        <v>150</v>
      </c>
    </row>
    <row r="413" spans="1:17" x14ac:dyDescent="0.2">
      <c r="A413" s="121">
        <v>39416</v>
      </c>
      <c r="B413" t="s">
        <v>406</v>
      </c>
      <c r="C413" t="s">
        <v>510</v>
      </c>
      <c r="D413" t="s">
        <v>529</v>
      </c>
      <c r="E413" t="s">
        <v>530</v>
      </c>
      <c r="F413" t="s">
        <v>413</v>
      </c>
      <c r="G413">
        <v>473</v>
      </c>
      <c r="I413">
        <v>471</v>
      </c>
    </row>
    <row r="414" spans="1:17" x14ac:dyDescent="0.2">
      <c r="A414" s="121">
        <v>39416</v>
      </c>
      <c r="B414" t="s">
        <v>406</v>
      </c>
      <c r="C414" t="s">
        <v>510</v>
      </c>
      <c r="D414" t="s">
        <v>531</v>
      </c>
      <c r="E414" t="s">
        <v>532</v>
      </c>
      <c r="F414" t="s">
        <v>410</v>
      </c>
      <c r="G414">
        <v>37</v>
      </c>
      <c r="I414">
        <v>37</v>
      </c>
    </row>
    <row r="415" spans="1:17" x14ac:dyDescent="0.2">
      <c r="A415" s="121">
        <v>39416</v>
      </c>
      <c r="B415" t="s">
        <v>406</v>
      </c>
      <c r="C415" t="s">
        <v>510</v>
      </c>
      <c r="D415" t="s">
        <v>533</v>
      </c>
      <c r="E415" t="s">
        <v>534</v>
      </c>
      <c r="F415" t="s">
        <v>413</v>
      </c>
      <c r="G415">
        <v>2218</v>
      </c>
      <c r="H415">
        <v>2218</v>
      </c>
      <c r="I415">
        <v>2191</v>
      </c>
      <c r="J415">
        <v>2191</v>
      </c>
      <c r="K415">
        <v>514</v>
      </c>
      <c r="L415">
        <v>16</v>
      </c>
      <c r="M415">
        <v>1687</v>
      </c>
      <c r="N415">
        <v>1</v>
      </c>
      <c r="O415">
        <v>0</v>
      </c>
      <c r="P415">
        <v>0</v>
      </c>
      <c r="Q415">
        <v>0</v>
      </c>
    </row>
    <row r="416" spans="1:17" x14ac:dyDescent="0.2">
      <c r="A416" s="121">
        <v>39416</v>
      </c>
      <c r="B416" t="s">
        <v>406</v>
      </c>
      <c r="C416" t="s">
        <v>510</v>
      </c>
      <c r="D416" t="s">
        <v>535</v>
      </c>
      <c r="E416" t="s">
        <v>536</v>
      </c>
      <c r="F416" t="s">
        <v>410</v>
      </c>
      <c r="G416">
        <v>188</v>
      </c>
      <c r="I416">
        <v>186</v>
      </c>
    </row>
    <row r="417" spans="1:17" x14ac:dyDescent="0.2">
      <c r="A417" s="121">
        <v>39416</v>
      </c>
      <c r="B417" t="s">
        <v>406</v>
      </c>
      <c r="C417" t="s">
        <v>510</v>
      </c>
      <c r="D417" t="s">
        <v>537</v>
      </c>
      <c r="E417" t="s">
        <v>538</v>
      </c>
      <c r="F417" t="s">
        <v>410</v>
      </c>
      <c r="G417">
        <v>68</v>
      </c>
      <c r="I417">
        <v>67</v>
      </c>
    </row>
    <row r="418" spans="1:17" x14ac:dyDescent="0.2">
      <c r="A418" s="121">
        <v>39416</v>
      </c>
      <c r="B418" t="s">
        <v>406</v>
      </c>
      <c r="C418" t="s">
        <v>510</v>
      </c>
      <c r="D418" t="s">
        <v>539</v>
      </c>
      <c r="E418" t="s">
        <v>540</v>
      </c>
      <c r="F418" t="s">
        <v>413</v>
      </c>
      <c r="G418">
        <v>612</v>
      </c>
      <c r="I418">
        <v>608</v>
      </c>
    </row>
    <row r="419" spans="1:17" x14ac:dyDescent="0.2">
      <c r="A419" s="121">
        <v>39416</v>
      </c>
      <c r="B419" t="s">
        <v>406</v>
      </c>
      <c r="C419" t="s">
        <v>510</v>
      </c>
      <c r="D419" t="s">
        <v>541</v>
      </c>
      <c r="E419" t="s">
        <v>542</v>
      </c>
      <c r="F419" t="s">
        <v>410</v>
      </c>
      <c r="G419">
        <v>207</v>
      </c>
      <c r="I419">
        <v>205</v>
      </c>
    </row>
    <row r="420" spans="1:17" x14ac:dyDescent="0.2">
      <c r="A420" s="121">
        <v>39416</v>
      </c>
      <c r="B420" t="s">
        <v>406</v>
      </c>
      <c r="C420" t="s">
        <v>510</v>
      </c>
      <c r="D420" t="s">
        <v>543</v>
      </c>
      <c r="E420" t="s">
        <v>544</v>
      </c>
      <c r="F420" t="s">
        <v>410</v>
      </c>
      <c r="G420">
        <v>101</v>
      </c>
      <c r="I420">
        <v>100</v>
      </c>
    </row>
    <row r="421" spans="1:17" x14ac:dyDescent="0.2">
      <c r="A421" s="121">
        <v>39416</v>
      </c>
      <c r="B421" t="s">
        <v>406</v>
      </c>
      <c r="C421" t="s">
        <v>510</v>
      </c>
      <c r="D421" t="s">
        <v>545</v>
      </c>
      <c r="E421" t="s">
        <v>546</v>
      </c>
      <c r="F421" t="s">
        <v>410</v>
      </c>
      <c r="G421">
        <v>165</v>
      </c>
      <c r="I421">
        <v>165</v>
      </c>
    </row>
    <row r="422" spans="1:17" x14ac:dyDescent="0.2">
      <c r="A422" s="121">
        <v>39416</v>
      </c>
      <c r="B422" t="s">
        <v>406</v>
      </c>
      <c r="C422" t="s">
        <v>510</v>
      </c>
      <c r="D422" t="s">
        <v>547</v>
      </c>
      <c r="E422" t="s">
        <v>548</v>
      </c>
      <c r="F422" t="s">
        <v>410</v>
      </c>
      <c r="G422">
        <v>70</v>
      </c>
      <c r="I422">
        <v>70</v>
      </c>
    </row>
    <row r="423" spans="1:17" x14ac:dyDescent="0.2">
      <c r="A423" s="121">
        <v>39416</v>
      </c>
      <c r="B423" t="s">
        <v>406</v>
      </c>
      <c r="C423" t="s">
        <v>510</v>
      </c>
      <c r="D423" t="s">
        <v>549</v>
      </c>
      <c r="E423" t="s">
        <v>550</v>
      </c>
      <c r="F423" t="s">
        <v>410</v>
      </c>
      <c r="G423">
        <v>70</v>
      </c>
      <c r="I423">
        <v>69</v>
      </c>
    </row>
    <row r="424" spans="1:17" x14ac:dyDescent="0.2">
      <c r="A424" s="121">
        <v>39416</v>
      </c>
      <c r="B424" t="s">
        <v>406</v>
      </c>
      <c r="C424" t="s">
        <v>551</v>
      </c>
      <c r="D424" t="s">
        <v>552</v>
      </c>
      <c r="E424" t="s">
        <v>553</v>
      </c>
      <c r="F424" t="s">
        <v>413</v>
      </c>
      <c r="G424">
        <v>5208</v>
      </c>
      <c r="H424">
        <v>5208</v>
      </c>
      <c r="I424">
        <v>5145</v>
      </c>
      <c r="J424">
        <v>5145</v>
      </c>
      <c r="K424">
        <v>1528</v>
      </c>
      <c r="L424">
        <v>9</v>
      </c>
      <c r="M424">
        <v>3640</v>
      </c>
      <c r="N424">
        <v>19</v>
      </c>
      <c r="O424">
        <v>12</v>
      </c>
      <c r="P424">
        <v>7</v>
      </c>
      <c r="Q424">
        <v>0</v>
      </c>
    </row>
    <row r="425" spans="1:17" x14ac:dyDescent="0.2">
      <c r="A425" s="121">
        <v>39416</v>
      </c>
      <c r="B425" t="s">
        <v>406</v>
      </c>
      <c r="C425" t="s">
        <v>551</v>
      </c>
      <c r="D425" t="s">
        <v>554</v>
      </c>
      <c r="E425" t="s">
        <v>555</v>
      </c>
      <c r="F425" t="s">
        <v>410</v>
      </c>
      <c r="G425">
        <v>123</v>
      </c>
      <c r="I425">
        <v>123</v>
      </c>
    </row>
    <row r="426" spans="1:17" x14ac:dyDescent="0.2">
      <c r="A426" s="121">
        <v>39416</v>
      </c>
      <c r="B426" t="s">
        <v>406</v>
      </c>
      <c r="C426" t="s">
        <v>551</v>
      </c>
      <c r="D426" t="s">
        <v>556</v>
      </c>
      <c r="E426" t="s">
        <v>557</v>
      </c>
      <c r="F426" t="s">
        <v>410</v>
      </c>
      <c r="G426">
        <v>126</v>
      </c>
      <c r="I426">
        <v>126</v>
      </c>
    </row>
    <row r="427" spans="1:17" x14ac:dyDescent="0.2">
      <c r="A427" s="121">
        <v>39416</v>
      </c>
      <c r="B427" t="s">
        <v>406</v>
      </c>
      <c r="C427" t="s">
        <v>551</v>
      </c>
      <c r="D427" t="s">
        <v>558</v>
      </c>
      <c r="E427" t="s">
        <v>559</v>
      </c>
      <c r="F427" t="s">
        <v>413</v>
      </c>
      <c r="G427">
        <v>4526</v>
      </c>
      <c r="H427">
        <v>4526</v>
      </c>
      <c r="I427">
        <v>4323</v>
      </c>
      <c r="J427">
        <v>4323</v>
      </c>
      <c r="K427">
        <v>998</v>
      </c>
      <c r="L427">
        <v>7</v>
      </c>
      <c r="M427">
        <v>3483</v>
      </c>
      <c r="N427">
        <v>15</v>
      </c>
      <c r="O427">
        <v>23</v>
      </c>
      <c r="P427">
        <v>34</v>
      </c>
      <c r="Q427">
        <v>20</v>
      </c>
    </row>
    <row r="428" spans="1:17" x14ac:dyDescent="0.2">
      <c r="A428" s="121">
        <v>39416</v>
      </c>
      <c r="B428" t="s">
        <v>406</v>
      </c>
      <c r="C428" t="s">
        <v>551</v>
      </c>
      <c r="D428" t="s">
        <v>560</v>
      </c>
      <c r="E428" t="s">
        <v>561</v>
      </c>
      <c r="F428" t="s">
        <v>413</v>
      </c>
      <c r="G428">
        <v>5408</v>
      </c>
      <c r="H428">
        <v>5408</v>
      </c>
      <c r="I428">
        <v>5345</v>
      </c>
      <c r="J428">
        <v>5345</v>
      </c>
      <c r="K428">
        <v>1291</v>
      </c>
      <c r="L428">
        <v>7</v>
      </c>
      <c r="M428">
        <v>4073</v>
      </c>
      <c r="N428">
        <v>14</v>
      </c>
      <c r="O428">
        <v>23</v>
      </c>
      <c r="P428">
        <v>7</v>
      </c>
      <c r="Q428">
        <v>0</v>
      </c>
    </row>
    <row r="429" spans="1:17" x14ac:dyDescent="0.2">
      <c r="A429" s="121">
        <v>39416</v>
      </c>
      <c r="B429" t="s">
        <v>406</v>
      </c>
      <c r="C429" t="s">
        <v>562</v>
      </c>
      <c r="D429" t="s">
        <v>563</v>
      </c>
      <c r="E429" t="s">
        <v>564</v>
      </c>
      <c r="F429" t="s">
        <v>410</v>
      </c>
      <c r="G429">
        <v>2900</v>
      </c>
      <c r="H429">
        <v>2900</v>
      </c>
      <c r="I429">
        <v>2802</v>
      </c>
      <c r="J429">
        <v>2802</v>
      </c>
      <c r="K429">
        <v>921</v>
      </c>
      <c r="L429">
        <v>1</v>
      </c>
      <c r="M429">
        <v>1967</v>
      </c>
      <c r="N429">
        <v>11</v>
      </c>
      <c r="O429">
        <v>0</v>
      </c>
      <c r="P429">
        <v>10</v>
      </c>
      <c r="Q429">
        <v>0</v>
      </c>
    </row>
    <row r="430" spans="1:17" x14ac:dyDescent="0.2">
      <c r="A430" s="121">
        <v>39416</v>
      </c>
      <c r="B430" t="s">
        <v>406</v>
      </c>
      <c r="C430" t="s">
        <v>562</v>
      </c>
      <c r="D430" t="s">
        <v>565</v>
      </c>
      <c r="E430" t="s">
        <v>566</v>
      </c>
      <c r="F430" t="s">
        <v>413</v>
      </c>
      <c r="G430">
        <v>3635</v>
      </c>
      <c r="H430">
        <v>3635</v>
      </c>
      <c r="I430">
        <v>3599</v>
      </c>
      <c r="J430">
        <v>3599</v>
      </c>
      <c r="K430">
        <v>797</v>
      </c>
      <c r="L430">
        <v>2</v>
      </c>
      <c r="M430">
        <v>2576</v>
      </c>
      <c r="N430">
        <v>84</v>
      </c>
      <c r="O430">
        <v>176</v>
      </c>
      <c r="P430">
        <v>0</v>
      </c>
      <c r="Q430">
        <v>0</v>
      </c>
    </row>
    <row r="431" spans="1:17" x14ac:dyDescent="0.2">
      <c r="A431" s="121">
        <v>39416</v>
      </c>
      <c r="B431" t="s">
        <v>406</v>
      </c>
      <c r="C431" t="s">
        <v>562</v>
      </c>
      <c r="D431" t="s">
        <v>567</v>
      </c>
      <c r="E431" t="s">
        <v>568</v>
      </c>
      <c r="F431" t="s">
        <v>413</v>
      </c>
      <c r="G431">
        <v>8516</v>
      </c>
      <c r="H431">
        <v>8516</v>
      </c>
      <c r="I431">
        <v>8155</v>
      </c>
      <c r="J431">
        <v>8155</v>
      </c>
      <c r="K431">
        <v>2627</v>
      </c>
      <c r="L431">
        <v>14</v>
      </c>
      <c r="M431">
        <v>5692</v>
      </c>
      <c r="N431">
        <v>183</v>
      </c>
      <c r="O431">
        <v>0</v>
      </c>
      <c r="P431">
        <v>20</v>
      </c>
      <c r="Q431">
        <v>0</v>
      </c>
    </row>
    <row r="432" spans="1:17" x14ac:dyDescent="0.2">
      <c r="A432" s="121">
        <v>39416</v>
      </c>
      <c r="B432" t="s">
        <v>406</v>
      </c>
      <c r="C432" t="s">
        <v>562</v>
      </c>
      <c r="D432" t="s">
        <v>569</v>
      </c>
      <c r="E432" t="s">
        <v>570</v>
      </c>
      <c r="F432" t="s">
        <v>413</v>
      </c>
      <c r="G432">
        <v>3002</v>
      </c>
      <c r="H432">
        <v>3002</v>
      </c>
      <c r="I432">
        <v>2964</v>
      </c>
      <c r="J432">
        <v>2964</v>
      </c>
      <c r="K432">
        <v>534</v>
      </c>
      <c r="L432">
        <v>0</v>
      </c>
      <c r="M432">
        <v>2467</v>
      </c>
      <c r="N432">
        <v>1</v>
      </c>
      <c r="O432">
        <v>0</v>
      </c>
      <c r="P432">
        <v>0</v>
      </c>
      <c r="Q432">
        <v>0</v>
      </c>
    </row>
    <row r="433" spans="1:17" x14ac:dyDescent="0.2">
      <c r="A433" s="121">
        <v>39416</v>
      </c>
      <c r="B433" t="s">
        <v>406</v>
      </c>
      <c r="C433" t="s">
        <v>571</v>
      </c>
      <c r="D433" t="s">
        <v>572</v>
      </c>
      <c r="E433" t="s">
        <v>573</v>
      </c>
      <c r="F433" t="s">
        <v>410</v>
      </c>
      <c r="G433">
        <v>146</v>
      </c>
      <c r="I433">
        <v>146</v>
      </c>
    </row>
    <row r="434" spans="1:17" x14ac:dyDescent="0.2">
      <c r="A434" s="121">
        <v>39416</v>
      </c>
      <c r="B434" t="s">
        <v>406</v>
      </c>
      <c r="C434" t="s">
        <v>574</v>
      </c>
      <c r="D434" t="s">
        <v>575</v>
      </c>
      <c r="E434" t="s">
        <v>576</v>
      </c>
      <c r="F434" t="s">
        <v>413</v>
      </c>
      <c r="G434">
        <v>622</v>
      </c>
      <c r="H434">
        <v>622</v>
      </c>
      <c r="I434">
        <v>621</v>
      </c>
      <c r="J434">
        <v>621</v>
      </c>
      <c r="K434">
        <v>113</v>
      </c>
      <c r="L434">
        <v>0</v>
      </c>
      <c r="M434">
        <v>489</v>
      </c>
      <c r="N434">
        <v>3</v>
      </c>
      <c r="O434">
        <v>17</v>
      </c>
      <c r="P434">
        <v>0</v>
      </c>
      <c r="Q434">
        <v>0</v>
      </c>
    </row>
    <row r="435" spans="1:17" x14ac:dyDescent="0.2">
      <c r="A435" s="121">
        <v>39416</v>
      </c>
      <c r="B435" t="s">
        <v>406</v>
      </c>
      <c r="C435" t="s">
        <v>577</v>
      </c>
      <c r="D435" t="s">
        <v>578</v>
      </c>
      <c r="E435" t="s">
        <v>579</v>
      </c>
      <c r="F435" t="s">
        <v>413</v>
      </c>
      <c r="G435">
        <v>3863</v>
      </c>
      <c r="H435">
        <v>3863</v>
      </c>
      <c r="I435">
        <v>3821</v>
      </c>
      <c r="J435">
        <v>3821</v>
      </c>
      <c r="K435">
        <v>930</v>
      </c>
      <c r="L435">
        <v>15</v>
      </c>
      <c r="M435">
        <v>2798</v>
      </c>
      <c r="N435">
        <v>38</v>
      </c>
      <c r="O435">
        <v>82</v>
      </c>
      <c r="P435">
        <v>1</v>
      </c>
      <c r="Q435">
        <v>0</v>
      </c>
    </row>
    <row r="436" spans="1:17" x14ac:dyDescent="0.2">
      <c r="A436" s="121">
        <v>39416</v>
      </c>
      <c r="B436" t="s">
        <v>406</v>
      </c>
      <c r="C436" t="s">
        <v>577</v>
      </c>
      <c r="D436" t="s">
        <v>580</v>
      </c>
      <c r="E436" t="s">
        <v>581</v>
      </c>
      <c r="F436" t="s">
        <v>413</v>
      </c>
      <c r="G436">
        <v>1938</v>
      </c>
      <c r="H436">
        <v>1938</v>
      </c>
      <c r="I436">
        <v>1930</v>
      </c>
      <c r="J436">
        <v>1930</v>
      </c>
      <c r="K436">
        <v>334</v>
      </c>
      <c r="L436">
        <v>6</v>
      </c>
      <c r="M436">
        <v>1437</v>
      </c>
      <c r="N436">
        <v>40</v>
      </c>
      <c r="O436">
        <v>121</v>
      </c>
      <c r="P436">
        <v>0</v>
      </c>
      <c r="Q436">
        <v>0</v>
      </c>
    </row>
    <row r="437" spans="1:17" x14ac:dyDescent="0.2">
      <c r="A437" s="121">
        <v>39416</v>
      </c>
      <c r="B437" t="s">
        <v>406</v>
      </c>
      <c r="C437" t="s">
        <v>577</v>
      </c>
      <c r="D437" t="s">
        <v>582</v>
      </c>
      <c r="E437" t="s">
        <v>583</v>
      </c>
      <c r="F437" t="s">
        <v>410</v>
      </c>
      <c r="G437">
        <v>28</v>
      </c>
      <c r="H437">
        <v>28</v>
      </c>
      <c r="I437">
        <v>28</v>
      </c>
      <c r="J437">
        <v>28</v>
      </c>
      <c r="K437">
        <v>0</v>
      </c>
      <c r="L437">
        <v>0</v>
      </c>
      <c r="M437">
        <v>28</v>
      </c>
      <c r="N437">
        <v>0</v>
      </c>
      <c r="O437">
        <v>0</v>
      </c>
      <c r="P437">
        <v>0</v>
      </c>
      <c r="Q437">
        <v>0</v>
      </c>
    </row>
    <row r="438" spans="1:17" x14ac:dyDescent="0.2">
      <c r="A438" s="121">
        <v>39416</v>
      </c>
      <c r="B438" t="s">
        <v>406</v>
      </c>
      <c r="C438" t="s">
        <v>577</v>
      </c>
      <c r="D438" t="s">
        <v>584</v>
      </c>
      <c r="E438" t="s">
        <v>585</v>
      </c>
      <c r="F438" t="s">
        <v>410</v>
      </c>
      <c r="G438">
        <v>146</v>
      </c>
      <c r="H438">
        <v>146</v>
      </c>
      <c r="I438">
        <v>146</v>
      </c>
      <c r="J438">
        <v>146</v>
      </c>
      <c r="K438">
        <v>4</v>
      </c>
      <c r="L438">
        <v>0</v>
      </c>
      <c r="M438">
        <v>142</v>
      </c>
      <c r="N438">
        <v>0</v>
      </c>
      <c r="O438">
        <v>0</v>
      </c>
      <c r="P438">
        <v>0</v>
      </c>
      <c r="Q438">
        <v>0</v>
      </c>
    </row>
    <row r="439" spans="1:17" x14ac:dyDescent="0.2">
      <c r="A439" s="121">
        <v>39416</v>
      </c>
      <c r="B439" t="s">
        <v>406</v>
      </c>
      <c r="C439" t="s">
        <v>577</v>
      </c>
      <c r="D439" t="s">
        <v>586</v>
      </c>
      <c r="E439" t="s">
        <v>587</v>
      </c>
      <c r="F439" t="s">
        <v>410</v>
      </c>
      <c r="G439">
        <v>682</v>
      </c>
      <c r="H439">
        <v>682</v>
      </c>
      <c r="I439">
        <v>682</v>
      </c>
      <c r="J439">
        <v>682</v>
      </c>
      <c r="K439">
        <v>33</v>
      </c>
      <c r="L439">
        <v>0</v>
      </c>
      <c r="M439">
        <v>649</v>
      </c>
      <c r="N439">
        <v>0</v>
      </c>
      <c r="O439">
        <v>0</v>
      </c>
      <c r="P439">
        <v>0</v>
      </c>
      <c r="Q439">
        <v>0</v>
      </c>
    </row>
    <row r="440" spans="1:17" x14ac:dyDescent="0.2">
      <c r="A440" s="121">
        <v>39416</v>
      </c>
      <c r="B440" t="s">
        <v>406</v>
      </c>
      <c r="C440" t="s">
        <v>577</v>
      </c>
      <c r="D440" t="s">
        <v>588</v>
      </c>
      <c r="E440" t="s">
        <v>589</v>
      </c>
      <c r="F440" t="s">
        <v>410</v>
      </c>
      <c r="G440">
        <v>143</v>
      </c>
      <c r="H440">
        <v>143</v>
      </c>
      <c r="I440">
        <v>143</v>
      </c>
      <c r="J440">
        <v>143</v>
      </c>
      <c r="K440">
        <v>1</v>
      </c>
      <c r="L440">
        <v>0</v>
      </c>
      <c r="M440">
        <v>142</v>
      </c>
      <c r="N440">
        <v>0</v>
      </c>
      <c r="O440">
        <v>0</v>
      </c>
      <c r="P440">
        <v>0</v>
      </c>
      <c r="Q440">
        <v>0</v>
      </c>
    </row>
    <row r="441" spans="1:17" x14ac:dyDescent="0.2">
      <c r="A441" s="121">
        <v>39416</v>
      </c>
      <c r="B441" t="s">
        <v>406</v>
      </c>
      <c r="C441" t="s">
        <v>577</v>
      </c>
      <c r="D441" t="s">
        <v>590</v>
      </c>
      <c r="E441" t="s">
        <v>591</v>
      </c>
      <c r="F441" t="s">
        <v>410</v>
      </c>
      <c r="G441">
        <v>358</v>
      </c>
      <c r="H441">
        <v>358</v>
      </c>
      <c r="I441">
        <v>358</v>
      </c>
      <c r="J441">
        <v>358</v>
      </c>
      <c r="K441">
        <v>3</v>
      </c>
      <c r="L441">
        <v>0</v>
      </c>
      <c r="M441">
        <v>355</v>
      </c>
      <c r="N441">
        <v>0</v>
      </c>
      <c r="O441">
        <v>0</v>
      </c>
      <c r="P441">
        <v>0</v>
      </c>
      <c r="Q441">
        <v>0</v>
      </c>
    </row>
    <row r="442" spans="1:17" x14ac:dyDescent="0.2">
      <c r="A442" s="121">
        <v>39416</v>
      </c>
      <c r="B442" t="s">
        <v>406</v>
      </c>
      <c r="C442" t="s">
        <v>577</v>
      </c>
      <c r="D442" t="s">
        <v>592</v>
      </c>
      <c r="E442" t="s">
        <v>593</v>
      </c>
      <c r="F442" t="s">
        <v>410</v>
      </c>
      <c r="G442">
        <v>321</v>
      </c>
      <c r="H442">
        <v>321</v>
      </c>
      <c r="I442">
        <v>321</v>
      </c>
      <c r="J442">
        <v>321</v>
      </c>
      <c r="K442">
        <v>7</v>
      </c>
      <c r="L442">
        <v>0</v>
      </c>
      <c r="M442">
        <v>314</v>
      </c>
      <c r="N442">
        <v>0</v>
      </c>
      <c r="O442">
        <v>0</v>
      </c>
      <c r="P442">
        <v>0</v>
      </c>
      <c r="Q442">
        <v>0</v>
      </c>
    </row>
    <row r="443" spans="1:17" x14ac:dyDescent="0.2">
      <c r="A443" s="121">
        <v>39416</v>
      </c>
      <c r="B443" t="s">
        <v>406</v>
      </c>
      <c r="C443" t="s">
        <v>594</v>
      </c>
      <c r="D443" t="s">
        <v>595</v>
      </c>
      <c r="E443" t="s">
        <v>596</v>
      </c>
      <c r="F443" t="s">
        <v>410</v>
      </c>
      <c r="G443">
        <v>21</v>
      </c>
      <c r="I443">
        <v>21</v>
      </c>
    </row>
    <row r="444" spans="1:17" x14ac:dyDescent="0.2">
      <c r="A444" s="121">
        <v>39416</v>
      </c>
      <c r="B444" t="s">
        <v>406</v>
      </c>
      <c r="C444" t="s">
        <v>594</v>
      </c>
      <c r="D444" t="s">
        <v>597</v>
      </c>
      <c r="E444" t="s">
        <v>598</v>
      </c>
      <c r="F444" t="s">
        <v>413</v>
      </c>
      <c r="G444">
        <v>463</v>
      </c>
      <c r="H444">
        <v>463</v>
      </c>
      <c r="I444">
        <v>456</v>
      </c>
      <c r="J444">
        <v>456</v>
      </c>
      <c r="K444">
        <v>115</v>
      </c>
      <c r="L444">
        <v>0</v>
      </c>
      <c r="M444">
        <v>344</v>
      </c>
      <c r="N444">
        <v>0</v>
      </c>
      <c r="O444">
        <v>4</v>
      </c>
      <c r="P444">
        <v>0</v>
      </c>
      <c r="Q444">
        <v>0</v>
      </c>
    </row>
    <row r="445" spans="1:17" x14ac:dyDescent="0.2">
      <c r="A445" s="121">
        <v>39416</v>
      </c>
      <c r="B445" t="s">
        <v>406</v>
      </c>
      <c r="C445" t="s">
        <v>594</v>
      </c>
      <c r="D445" t="s">
        <v>599</v>
      </c>
      <c r="E445" t="s">
        <v>600</v>
      </c>
      <c r="F445" t="s">
        <v>410</v>
      </c>
      <c r="G445">
        <v>72</v>
      </c>
      <c r="I445">
        <v>72</v>
      </c>
    </row>
    <row r="446" spans="1:17" x14ac:dyDescent="0.2">
      <c r="A446" s="121">
        <v>39447</v>
      </c>
      <c r="B446" t="s">
        <v>406</v>
      </c>
      <c r="C446" t="s">
        <v>407</v>
      </c>
      <c r="D446" t="s">
        <v>408</v>
      </c>
      <c r="E446" t="s">
        <v>409</v>
      </c>
      <c r="F446" t="s">
        <v>410</v>
      </c>
      <c r="G446">
        <v>140</v>
      </c>
      <c r="I446">
        <v>140</v>
      </c>
    </row>
    <row r="447" spans="1:17" x14ac:dyDescent="0.2">
      <c r="A447" s="121">
        <v>39447</v>
      </c>
      <c r="B447" t="s">
        <v>406</v>
      </c>
      <c r="C447" t="s">
        <v>407</v>
      </c>
      <c r="D447" t="s">
        <v>601</v>
      </c>
      <c r="E447" t="s">
        <v>602</v>
      </c>
      <c r="F447" t="s">
        <v>410</v>
      </c>
      <c r="G447">
        <v>33</v>
      </c>
      <c r="I447">
        <v>33</v>
      </c>
    </row>
    <row r="448" spans="1:17" x14ac:dyDescent="0.2">
      <c r="A448" s="121">
        <v>39447</v>
      </c>
      <c r="B448" t="s">
        <v>406</v>
      </c>
      <c r="C448" t="s">
        <v>407</v>
      </c>
      <c r="D448" t="s">
        <v>411</v>
      </c>
      <c r="E448" t="s">
        <v>412</v>
      </c>
      <c r="F448" t="s">
        <v>413</v>
      </c>
      <c r="G448">
        <v>5067</v>
      </c>
      <c r="H448">
        <v>5067</v>
      </c>
      <c r="I448">
        <v>4979</v>
      </c>
      <c r="J448">
        <v>4979</v>
      </c>
      <c r="K448">
        <v>2147</v>
      </c>
      <c r="L448">
        <v>5</v>
      </c>
      <c r="M448">
        <v>2739</v>
      </c>
      <c r="N448">
        <v>58</v>
      </c>
      <c r="O448">
        <v>118</v>
      </c>
      <c r="P448">
        <v>2</v>
      </c>
      <c r="Q448">
        <v>0</v>
      </c>
    </row>
    <row r="449" spans="1:17" x14ac:dyDescent="0.2">
      <c r="A449" s="121">
        <v>39447</v>
      </c>
      <c r="B449" t="s">
        <v>406</v>
      </c>
      <c r="C449" t="s">
        <v>407</v>
      </c>
      <c r="D449" t="s">
        <v>414</v>
      </c>
      <c r="E449" t="s">
        <v>415</v>
      </c>
      <c r="F449" t="s">
        <v>410</v>
      </c>
      <c r="G449">
        <v>49</v>
      </c>
      <c r="I449">
        <v>49</v>
      </c>
    </row>
    <row r="450" spans="1:17" x14ac:dyDescent="0.2">
      <c r="A450" s="121">
        <v>39447</v>
      </c>
      <c r="B450" t="s">
        <v>406</v>
      </c>
      <c r="C450" t="s">
        <v>407</v>
      </c>
      <c r="D450" t="s">
        <v>416</v>
      </c>
      <c r="E450" t="s">
        <v>417</v>
      </c>
      <c r="F450" t="s">
        <v>413</v>
      </c>
      <c r="G450">
        <v>3189</v>
      </c>
      <c r="H450">
        <v>3189</v>
      </c>
      <c r="I450">
        <v>3094</v>
      </c>
      <c r="J450">
        <v>3094</v>
      </c>
      <c r="K450">
        <v>1247</v>
      </c>
      <c r="L450">
        <v>0</v>
      </c>
      <c r="M450">
        <v>1801</v>
      </c>
      <c r="N450">
        <v>73</v>
      </c>
      <c r="O450">
        <v>68</v>
      </c>
      <c r="P450">
        <v>1</v>
      </c>
      <c r="Q450">
        <v>0</v>
      </c>
    </row>
    <row r="451" spans="1:17" x14ac:dyDescent="0.2">
      <c r="A451" s="121">
        <v>39447</v>
      </c>
      <c r="B451" t="s">
        <v>406</v>
      </c>
      <c r="C451" t="s">
        <v>418</v>
      </c>
      <c r="D451" t="s">
        <v>419</v>
      </c>
      <c r="E451" t="s">
        <v>420</v>
      </c>
      <c r="F451" t="s">
        <v>410</v>
      </c>
      <c r="G451">
        <v>8</v>
      </c>
      <c r="I451">
        <v>8</v>
      </c>
    </row>
    <row r="452" spans="1:17" x14ac:dyDescent="0.2">
      <c r="A452" s="121">
        <v>39447</v>
      </c>
      <c r="B452" t="s">
        <v>406</v>
      </c>
      <c r="C452" t="s">
        <v>418</v>
      </c>
      <c r="D452" t="s">
        <v>421</v>
      </c>
      <c r="E452" t="s">
        <v>422</v>
      </c>
      <c r="F452" t="s">
        <v>410</v>
      </c>
      <c r="G452">
        <v>46</v>
      </c>
      <c r="I452">
        <v>46</v>
      </c>
    </row>
    <row r="453" spans="1:17" x14ac:dyDescent="0.2">
      <c r="A453" s="121">
        <v>39447</v>
      </c>
      <c r="B453" t="s">
        <v>406</v>
      </c>
      <c r="C453" t="s">
        <v>418</v>
      </c>
      <c r="D453" t="s">
        <v>423</v>
      </c>
      <c r="E453" t="s">
        <v>424</v>
      </c>
      <c r="F453" t="s">
        <v>410</v>
      </c>
      <c r="G453">
        <v>30</v>
      </c>
      <c r="I453">
        <v>30</v>
      </c>
    </row>
    <row r="454" spans="1:17" x14ac:dyDescent="0.2">
      <c r="A454" s="121">
        <v>39447</v>
      </c>
      <c r="B454" t="s">
        <v>406</v>
      </c>
      <c r="C454" t="s">
        <v>418</v>
      </c>
      <c r="D454" t="s">
        <v>425</v>
      </c>
      <c r="E454" t="s">
        <v>426</v>
      </c>
      <c r="F454" t="s">
        <v>410</v>
      </c>
      <c r="G454">
        <v>61</v>
      </c>
      <c r="I454">
        <v>61</v>
      </c>
    </row>
    <row r="455" spans="1:17" x14ac:dyDescent="0.2">
      <c r="A455" s="121">
        <v>39447</v>
      </c>
      <c r="B455" t="s">
        <v>406</v>
      </c>
      <c r="C455" t="s">
        <v>418</v>
      </c>
      <c r="D455" t="s">
        <v>427</v>
      </c>
      <c r="E455" t="s">
        <v>428</v>
      </c>
      <c r="F455" t="s">
        <v>413</v>
      </c>
      <c r="G455">
        <v>1962</v>
      </c>
      <c r="H455">
        <v>1962</v>
      </c>
      <c r="I455">
        <v>1919</v>
      </c>
      <c r="J455">
        <v>1919</v>
      </c>
      <c r="K455">
        <v>719</v>
      </c>
      <c r="L455">
        <v>9</v>
      </c>
      <c r="M455">
        <v>1007</v>
      </c>
      <c r="N455">
        <v>21</v>
      </c>
      <c r="O455">
        <v>206</v>
      </c>
      <c r="P455">
        <v>1</v>
      </c>
      <c r="Q455">
        <v>0</v>
      </c>
    </row>
    <row r="456" spans="1:17" x14ac:dyDescent="0.2">
      <c r="A456" s="121">
        <v>39447</v>
      </c>
      <c r="B456" t="s">
        <v>406</v>
      </c>
      <c r="C456" t="s">
        <v>429</v>
      </c>
      <c r="D456" t="s">
        <v>430</v>
      </c>
      <c r="E456" t="s">
        <v>431</v>
      </c>
      <c r="F456" t="s">
        <v>410</v>
      </c>
      <c r="G456">
        <v>58</v>
      </c>
      <c r="I456">
        <v>58</v>
      </c>
    </row>
    <row r="457" spans="1:17" x14ac:dyDescent="0.2">
      <c r="A457" s="121">
        <v>39447</v>
      </c>
      <c r="B457" t="s">
        <v>406</v>
      </c>
      <c r="C457" t="s">
        <v>429</v>
      </c>
      <c r="D457" t="s">
        <v>432</v>
      </c>
      <c r="E457" t="s">
        <v>433</v>
      </c>
      <c r="F457" t="s">
        <v>410</v>
      </c>
      <c r="G457">
        <v>63</v>
      </c>
      <c r="I457">
        <v>63</v>
      </c>
    </row>
    <row r="458" spans="1:17" x14ac:dyDescent="0.2">
      <c r="A458" s="121">
        <v>39447</v>
      </c>
      <c r="B458" t="s">
        <v>406</v>
      </c>
      <c r="C458" t="s">
        <v>429</v>
      </c>
      <c r="D458" t="s">
        <v>434</v>
      </c>
      <c r="E458" t="s">
        <v>435</v>
      </c>
      <c r="F458" t="s">
        <v>410</v>
      </c>
      <c r="G458">
        <v>7</v>
      </c>
      <c r="I458">
        <v>7</v>
      </c>
    </row>
    <row r="459" spans="1:17" x14ac:dyDescent="0.2">
      <c r="A459" s="121">
        <v>39447</v>
      </c>
      <c r="B459" t="s">
        <v>406</v>
      </c>
      <c r="C459" t="s">
        <v>429</v>
      </c>
      <c r="D459" t="s">
        <v>436</v>
      </c>
      <c r="E459" t="s">
        <v>437</v>
      </c>
      <c r="F459" t="s">
        <v>410</v>
      </c>
      <c r="G459">
        <v>59</v>
      </c>
      <c r="I459">
        <v>59</v>
      </c>
    </row>
    <row r="460" spans="1:17" x14ac:dyDescent="0.2">
      <c r="A460" s="121">
        <v>39447</v>
      </c>
      <c r="B460" t="s">
        <v>406</v>
      </c>
      <c r="C460" t="s">
        <v>429</v>
      </c>
      <c r="D460" t="s">
        <v>438</v>
      </c>
      <c r="E460" t="s">
        <v>439</v>
      </c>
      <c r="F460" t="s">
        <v>413</v>
      </c>
      <c r="G460">
        <v>860</v>
      </c>
      <c r="H460">
        <v>860</v>
      </c>
      <c r="I460">
        <v>851</v>
      </c>
      <c r="J460">
        <v>851</v>
      </c>
      <c r="K460">
        <v>53</v>
      </c>
      <c r="L460">
        <v>0</v>
      </c>
      <c r="M460">
        <v>737</v>
      </c>
      <c r="N460">
        <v>6</v>
      </c>
      <c r="O460">
        <v>64</v>
      </c>
      <c r="P460">
        <v>0</v>
      </c>
      <c r="Q460">
        <v>0</v>
      </c>
    </row>
    <row r="461" spans="1:17" x14ac:dyDescent="0.2">
      <c r="A461" s="121">
        <v>39447</v>
      </c>
      <c r="B461" t="s">
        <v>406</v>
      </c>
      <c r="C461" t="s">
        <v>429</v>
      </c>
      <c r="D461" t="s">
        <v>440</v>
      </c>
      <c r="E461" t="s">
        <v>441</v>
      </c>
      <c r="F461" t="s">
        <v>413</v>
      </c>
      <c r="G461">
        <v>2813</v>
      </c>
      <c r="H461">
        <v>2813</v>
      </c>
      <c r="I461">
        <v>2743</v>
      </c>
      <c r="J461">
        <v>2743</v>
      </c>
      <c r="K461">
        <v>1020</v>
      </c>
      <c r="L461">
        <v>4</v>
      </c>
      <c r="M461">
        <v>1740</v>
      </c>
      <c r="N461">
        <v>20</v>
      </c>
      <c r="O461">
        <v>29</v>
      </c>
      <c r="P461">
        <v>0</v>
      </c>
      <c r="Q461">
        <v>0</v>
      </c>
    </row>
    <row r="462" spans="1:17" x14ac:dyDescent="0.2">
      <c r="A462" s="121">
        <v>39447</v>
      </c>
      <c r="B462" t="s">
        <v>406</v>
      </c>
      <c r="C462" t="s">
        <v>442</v>
      </c>
      <c r="D462" t="s">
        <v>443</v>
      </c>
      <c r="E462" t="s">
        <v>444</v>
      </c>
      <c r="F462" t="s">
        <v>413</v>
      </c>
      <c r="G462">
        <v>3426</v>
      </c>
      <c r="H462">
        <v>3426</v>
      </c>
      <c r="I462">
        <v>3348</v>
      </c>
      <c r="J462">
        <v>3348</v>
      </c>
      <c r="K462">
        <v>671</v>
      </c>
      <c r="L462">
        <v>163</v>
      </c>
      <c r="M462">
        <v>2479</v>
      </c>
      <c r="N462">
        <v>38</v>
      </c>
      <c r="O462">
        <v>75</v>
      </c>
      <c r="P462">
        <v>4</v>
      </c>
      <c r="Q462">
        <v>0</v>
      </c>
    </row>
    <row r="463" spans="1:17" x14ac:dyDescent="0.2">
      <c r="A463" s="121">
        <v>39447</v>
      </c>
      <c r="B463" t="s">
        <v>406</v>
      </c>
      <c r="C463" t="s">
        <v>442</v>
      </c>
      <c r="D463" t="s">
        <v>445</v>
      </c>
      <c r="E463" t="s">
        <v>446</v>
      </c>
      <c r="F463" t="s">
        <v>410</v>
      </c>
      <c r="G463">
        <v>116</v>
      </c>
      <c r="I463">
        <v>116</v>
      </c>
    </row>
    <row r="464" spans="1:17" x14ac:dyDescent="0.2">
      <c r="A464" s="121">
        <v>39447</v>
      </c>
      <c r="B464" t="s">
        <v>406</v>
      </c>
      <c r="C464" t="s">
        <v>442</v>
      </c>
      <c r="D464" t="s">
        <v>447</v>
      </c>
      <c r="E464" t="s">
        <v>448</v>
      </c>
      <c r="F464" t="s">
        <v>410</v>
      </c>
      <c r="G464">
        <v>208</v>
      </c>
      <c r="I464">
        <v>208</v>
      </c>
    </row>
    <row r="465" spans="1:17" x14ac:dyDescent="0.2">
      <c r="A465" s="121">
        <v>39447</v>
      </c>
      <c r="B465" t="s">
        <v>406</v>
      </c>
      <c r="C465" t="s">
        <v>442</v>
      </c>
      <c r="D465" t="s">
        <v>449</v>
      </c>
      <c r="E465" t="s">
        <v>450</v>
      </c>
      <c r="F465" t="s">
        <v>413</v>
      </c>
      <c r="G465">
        <v>3106</v>
      </c>
      <c r="H465">
        <v>3106</v>
      </c>
      <c r="I465">
        <v>3037</v>
      </c>
      <c r="J465">
        <v>3037</v>
      </c>
      <c r="K465">
        <v>690</v>
      </c>
      <c r="L465">
        <v>133</v>
      </c>
      <c r="M465">
        <v>2164</v>
      </c>
      <c r="N465">
        <v>22</v>
      </c>
      <c r="O465">
        <v>97</v>
      </c>
      <c r="P465">
        <v>3</v>
      </c>
      <c r="Q465">
        <v>0</v>
      </c>
    </row>
    <row r="466" spans="1:17" x14ac:dyDescent="0.2">
      <c r="A466" s="121">
        <v>39447</v>
      </c>
      <c r="B466" t="s">
        <v>406</v>
      </c>
      <c r="C466" t="s">
        <v>451</v>
      </c>
      <c r="D466" t="s">
        <v>452</v>
      </c>
      <c r="E466" t="s">
        <v>453</v>
      </c>
      <c r="F466" t="s">
        <v>410</v>
      </c>
      <c r="G466">
        <v>1505</v>
      </c>
      <c r="H466">
        <v>1505</v>
      </c>
      <c r="I466">
        <v>1497</v>
      </c>
      <c r="J466">
        <v>1497</v>
      </c>
      <c r="K466">
        <v>0</v>
      </c>
      <c r="L466">
        <v>0</v>
      </c>
      <c r="M466">
        <v>1029</v>
      </c>
      <c r="N466">
        <v>193</v>
      </c>
      <c r="O466">
        <v>283</v>
      </c>
      <c r="P466">
        <v>0</v>
      </c>
      <c r="Q466">
        <v>0</v>
      </c>
    </row>
    <row r="467" spans="1:17" x14ac:dyDescent="0.2">
      <c r="A467" s="121">
        <v>39447</v>
      </c>
      <c r="B467" t="s">
        <v>406</v>
      </c>
      <c r="C467" t="s">
        <v>451</v>
      </c>
      <c r="D467" t="s">
        <v>454</v>
      </c>
      <c r="E467" t="s">
        <v>455</v>
      </c>
      <c r="F467" t="s">
        <v>413</v>
      </c>
      <c r="G467">
        <v>3798</v>
      </c>
      <c r="H467">
        <v>3798</v>
      </c>
      <c r="I467">
        <v>3704</v>
      </c>
      <c r="J467">
        <v>3704</v>
      </c>
      <c r="K467">
        <v>1173</v>
      </c>
      <c r="L467">
        <v>10</v>
      </c>
      <c r="M467">
        <v>2127</v>
      </c>
      <c r="N467">
        <v>28</v>
      </c>
      <c r="O467">
        <v>460</v>
      </c>
      <c r="P467">
        <v>2</v>
      </c>
      <c r="Q467">
        <v>0</v>
      </c>
    </row>
    <row r="468" spans="1:17" x14ac:dyDescent="0.2">
      <c r="A468" s="121">
        <v>39447</v>
      </c>
      <c r="B468" t="s">
        <v>406</v>
      </c>
      <c r="C468" t="s">
        <v>456</v>
      </c>
      <c r="D468" t="s">
        <v>457</v>
      </c>
      <c r="E468" t="s">
        <v>458</v>
      </c>
      <c r="F468" t="s">
        <v>413</v>
      </c>
      <c r="G468">
        <v>5040</v>
      </c>
      <c r="H468">
        <v>5040</v>
      </c>
      <c r="I468">
        <v>4806</v>
      </c>
      <c r="J468">
        <v>4806</v>
      </c>
      <c r="K468">
        <v>1319</v>
      </c>
      <c r="L468">
        <v>32</v>
      </c>
      <c r="M468">
        <v>3575</v>
      </c>
      <c r="N468">
        <v>84</v>
      </c>
      <c r="O468">
        <v>30</v>
      </c>
      <c r="P468">
        <v>26</v>
      </c>
      <c r="Q468">
        <v>2</v>
      </c>
    </row>
    <row r="469" spans="1:17" x14ac:dyDescent="0.2">
      <c r="A469" s="121">
        <v>39447</v>
      </c>
      <c r="B469" t="s">
        <v>406</v>
      </c>
      <c r="C469" t="s">
        <v>456</v>
      </c>
      <c r="D469" t="s">
        <v>459</v>
      </c>
      <c r="E469" t="s">
        <v>460</v>
      </c>
      <c r="F469" t="s">
        <v>413</v>
      </c>
      <c r="G469">
        <v>1227</v>
      </c>
      <c r="H469">
        <v>1227</v>
      </c>
      <c r="I469">
        <v>1225</v>
      </c>
      <c r="J469">
        <v>1225</v>
      </c>
      <c r="K469">
        <v>376</v>
      </c>
      <c r="L469">
        <v>0</v>
      </c>
      <c r="M469">
        <v>850</v>
      </c>
      <c r="N469">
        <v>1</v>
      </c>
      <c r="O469">
        <v>0</v>
      </c>
      <c r="P469">
        <v>0</v>
      </c>
      <c r="Q469">
        <v>0</v>
      </c>
    </row>
    <row r="470" spans="1:17" x14ac:dyDescent="0.2">
      <c r="A470" s="121">
        <v>39447</v>
      </c>
      <c r="B470" t="s">
        <v>406</v>
      </c>
      <c r="C470" t="s">
        <v>456</v>
      </c>
      <c r="D470" t="s">
        <v>461</v>
      </c>
      <c r="E470" t="s">
        <v>462</v>
      </c>
      <c r="F470" t="s">
        <v>410</v>
      </c>
      <c r="G470">
        <v>67</v>
      </c>
      <c r="I470">
        <v>67</v>
      </c>
    </row>
    <row r="471" spans="1:17" x14ac:dyDescent="0.2">
      <c r="A471" s="121">
        <v>39447</v>
      </c>
      <c r="B471" t="s">
        <v>406</v>
      </c>
      <c r="C471" t="s">
        <v>456</v>
      </c>
      <c r="D471" t="s">
        <v>463</v>
      </c>
      <c r="E471" t="s">
        <v>464</v>
      </c>
      <c r="F471" t="s">
        <v>410</v>
      </c>
      <c r="G471">
        <v>16</v>
      </c>
      <c r="I471">
        <v>16</v>
      </c>
    </row>
    <row r="472" spans="1:17" x14ac:dyDescent="0.2">
      <c r="A472" s="121">
        <v>39447</v>
      </c>
      <c r="B472" t="s">
        <v>406</v>
      </c>
      <c r="C472" t="s">
        <v>456</v>
      </c>
      <c r="D472" t="s">
        <v>465</v>
      </c>
      <c r="E472" t="s">
        <v>466</v>
      </c>
      <c r="F472" t="s">
        <v>410</v>
      </c>
      <c r="G472">
        <v>51</v>
      </c>
      <c r="I472">
        <v>51</v>
      </c>
    </row>
    <row r="473" spans="1:17" x14ac:dyDescent="0.2">
      <c r="A473" s="121">
        <v>39447</v>
      </c>
      <c r="B473" t="s">
        <v>406</v>
      </c>
      <c r="C473" t="s">
        <v>456</v>
      </c>
      <c r="D473" t="s">
        <v>467</v>
      </c>
      <c r="E473" t="s">
        <v>468</v>
      </c>
      <c r="F473" t="s">
        <v>410</v>
      </c>
      <c r="G473">
        <v>1110</v>
      </c>
      <c r="I473">
        <v>1109</v>
      </c>
    </row>
    <row r="474" spans="1:17" x14ac:dyDescent="0.2">
      <c r="A474" s="121">
        <v>39447</v>
      </c>
      <c r="B474" t="s">
        <v>406</v>
      </c>
      <c r="C474" t="s">
        <v>456</v>
      </c>
      <c r="D474" t="s">
        <v>469</v>
      </c>
      <c r="E474" t="s">
        <v>470</v>
      </c>
      <c r="F474" t="s">
        <v>410</v>
      </c>
      <c r="G474">
        <v>813</v>
      </c>
      <c r="I474">
        <v>805</v>
      </c>
    </row>
    <row r="475" spans="1:17" x14ac:dyDescent="0.2">
      <c r="A475" s="121">
        <v>39447</v>
      </c>
      <c r="B475" t="s">
        <v>406</v>
      </c>
      <c r="C475" t="s">
        <v>456</v>
      </c>
      <c r="D475" t="s">
        <v>471</v>
      </c>
      <c r="E475" t="s">
        <v>472</v>
      </c>
      <c r="F475" t="s">
        <v>410</v>
      </c>
      <c r="G475">
        <v>198</v>
      </c>
      <c r="I475">
        <v>198</v>
      </c>
    </row>
    <row r="476" spans="1:17" x14ac:dyDescent="0.2">
      <c r="A476" s="121">
        <v>39447</v>
      </c>
      <c r="B476" t="s">
        <v>406</v>
      </c>
      <c r="C476" t="s">
        <v>456</v>
      </c>
      <c r="D476" t="s">
        <v>473</v>
      </c>
      <c r="E476" t="s">
        <v>474</v>
      </c>
      <c r="F476" t="s">
        <v>410</v>
      </c>
      <c r="G476">
        <v>162</v>
      </c>
      <c r="I476">
        <v>162</v>
      </c>
    </row>
    <row r="477" spans="1:17" x14ac:dyDescent="0.2">
      <c r="A477" s="121">
        <v>39447</v>
      </c>
      <c r="B477" t="s">
        <v>406</v>
      </c>
      <c r="C477" t="s">
        <v>456</v>
      </c>
      <c r="D477" t="s">
        <v>475</v>
      </c>
      <c r="E477" t="s">
        <v>476</v>
      </c>
      <c r="F477" t="s">
        <v>410</v>
      </c>
      <c r="G477">
        <v>282</v>
      </c>
      <c r="I477">
        <v>282</v>
      </c>
    </row>
    <row r="478" spans="1:17" x14ac:dyDescent="0.2">
      <c r="A478" s="121">
        <v>39447</v>
      </c>
      <c r="B478" t="s">
        <v>406</v>
      </c>
      <c r="C478" t="s">
        <v>456</v>
      </c>
      <c r="D478" t="s">
        <v>477</v>
      </c>
      <c r="E478" t="s">
        <v>478</v>
      </c>
      <c r="F478" t="s">
        <v>413</v>
      </c>
      <c r="G478">
        <v>1736</v>
      </c>
      <c r="H478">
        <v>1736</v>
      </c>
      <c r="I478">
        <v>1679</v>
      </c>
      <c r="J478">
        <v>1679</v>
      </c>
      <c r="K478">
        <v>516</v>
      </c>
      <c r="L478">
        <v>7</v>
      </c>
      <c r="M478">
        <v>1148</v>
      </c>
      <c r="N478">
        <v>31</v>
      </c>
      <c r="O478">
        <v>34</v>
      </c>
      <c r="P478">
        <v>1</v>
      </c>
      <c r="Q478">
        <v>0</v>
      </c>
    </row>
    <row r="479" spans="1:17" x14ac:dyDescent="0.2">
      <c r="A479" s="121">
        <v>39447</v>
      </c>
      <c r="B479" t="s">
        <v>406</v>
      </c>
      <c r="C479" t="s">
        <v>456</v>
      </c>
      <c r="D479" t="s">
        <v>479</v>
      </c>
      <c r="E479" t="s">
        <v>480</v>
      </c>
      <c r="F479" t="s">
        <v>410</v>
      </c>
      <c r="G479">
        <v>76</v>
      </c>
      <c r="I479">
        <v>76</v>
      </c>
    </row>
    <row r="480" spans="1:17" x14ac:dyDescent="0.2">
      <c r="A480" s="121">
        <v>39447</v>
      </c>
      <c r="B480" t="s">
        <v>406</v>
      </c>
      <c r="C480" t="s">
        <v>456</v>
      </c>
      <c r="D480" t="s">
        <v>481</v>
      </c>
      <c r="E480" t="s">
        <v>482</v>
      </c>
      <c r="F480" t="s">
        <v>410</v>
      </c>
      <c r="G480">
        <v>26</v>
      </c>
      <c r="I480">
        <v>26</v>
      </c>
    </row>
    <row r="481" spans="1:17" x14ac:dyDescent="0.2">
      <c r="A481" s="121">
        <v>39447</v>
      </c>
      <c r="B481" t="s">
        <v>406</v>
      </c>
      <c r="C481" t="s">
        <v>456</v>
      </c>
      <c r="D481" t="s">
        <v>483</v>
      </c>
      <c r="E481" t="s">
        <v>484</v>
      </c>
      <c r="F481" t="s">
        <v>410</v>
      </c>
      <c r="G481">
        <v>93</v>
      </c>
      <c r="I481">
        <v>93</v>
      </c>
    </row>
    <row r="482" spans="1:17" x14ac:dyDescent="0.2">
      <c r="A482" s="121">
        <v>39447</v>
      </c>
      <c r="B482" t="s">
        <v>406</v>
      </c>
      <c r="C482" t="s">
        <v>456</v>
      </c>
      <c r="D482" t="s">
        <v>485</v>
      </c>
      <c r="E482" t="s">
        <v>486</v>
      </c>
      <c r="F482" t="s">
        <v>410</v>
      </c>
      <c r="G482">
        <v>44</v>
      </c>
      <c r="I482">
        <v>44</v>
      </c>
    </row>
    <row r="483" spans="1:17" x14ac:dyDescent="0.2">
      <c r="A483" s="121">
        <v>39447</v>
      </c>
      <c r="B483" t="s">
        <v>406</v>
      </c>
      <c r="C483" t="s">
        <v>456</v>
      </c>
      <c r="D483" t="s">
        <v>487</v>
      </c>
      <c r="E483" t="s">
        <v>488</v>
      </c>
      <c r="F483" t="s">
        <v>410</v>
      </c>
      <c r="G483">
        <v>29</v>
      </c>
      <c r="I483">
        <v>29</v>
      </c>
    </row>
    <row r="484" spans="1:17" x14ac:dyDescent="0.2">
      <c r="A484" s="121">
        <v>39447</v>
      </c>
      <c r="B484" t="s">
        <v>406</v>
      </c>
      <c r="C484" t="s">
        <v>456</v>
      </c>
      <c r="D484" t="s">
        <v>489</v>
      </c>
      <c r="E484" t="s">
        <v>490</v>
      </c>
      <c r="F484" t="s">
        <v>410</v>
      </c>
      <c r="G484">
        <v>91</v>
      </c>
      <c r="H484">
        <v>91</v>
      </c>
      <c r="I484">
        <v>91</v>
      </c>
      <c r="J484">
        <v>91</v>
      </c>
      <c r="K484">
        <v>0</v>
      </c>
      <c r="L484">
        <v>0</v>
      </c>
      <c r="M484">
        <v>75</v>
      </c>
      <c r="N484">
        <v>16</v>
      </c>
      <c r="O484">
        <v>0</v>
      </c>
      <c r="P484">
        <v>0</v>
      </c>
      <c r="Q484">
        <v>0</v>
      </c>
    </row>
    <row r="485" spans="1:17" x14ac:dyDescent="0.2">
      <c r="A485" s="121">
        <v>39447</v>
      </c>
      <c r="B485" t="s">
        <v>406</v>
      </c>
      <c r="C485" t="s">
        <v>491</v>
      </c>
      <c r="D485" t="s">
        <v>492</v>
      </c>
      <c r="E485" t="s">
        <v>493</v>
      </c>
      <c r="F485" t="s">
        <v>410</v>
      </c>
      <c r="G485">
        <v>1082</v>
      </c>
      <c r="H485">
        <v>1082</v>
      </c>
      <c r="I485">
        <v>1061</v>
      </c>
      <c r="J485">
        <v>1061</v>
      </c>
      <c r="K485">
        <v>322</v>
      </c>
      <c r="L485">
        <v>1</v>
      </c>
      <c r="M485">
        <v>677</v>
      </c>
      <c r="N485">
        <v>69</v>
      </c>
      <c r="O485">
        <v>13</v>
      </c>
      <c r="P485">
        <v>0</v>
      </c>
      <c r="Q485">
        <v>0</v>
      </c>
    </row>
    <row r="486" spans="1:17" x14ac:dyDescent="0.2">
      <c r="A486" s="121">
        <v>39447</v>
      </c>
      <c r="B486" t="s">
        <v>406</v>
      </c>
      <c r="C486" t="s">
        <v>491</v>
      </c>
      <c r="D486" t="s">
        <v>494</v>
      </c>
      <c r="E486" t="s">
        <v>495</v>
      </c>
      <c r="F486" t="s">
        <v>413</v>
      </c>
      <c r="G486">
        <v>2426</v>
      </c>
      <c r="H486">
        <v>2426</v>
      </c>
      <c r="I486">
        <v>2370</v>
      </c>
      <c r="J486">
        <v>2370</v>
      </c>
      <c r="K486">
        <v>618</v>
      </c>
      <c r="L486">
        <v>3</v>
      </c>
      <c r="M486">
        <v>1647</v>
      </c>
      <c r="N486">
        <v>32</v>
      </c>
      <c r="O486">
        <v>126</v>
      </c>
      <c r="P486">
        <v>1</v>
      </c>
      <c r="Q486">
        <v>0</v>
      </c>
    </row>
    <row r="487" spans="1:17" x14ac:dyDescent="0.2">
      <c r="A487" s="121">
        <v>39447</v>
      </c>
      <c r="B487" t="s">
        <v>406</v>
      </c>
      <c r="C487" t="s">
        <v>491</v>
      </c>
      <c r="D487" t="s">
        <v>496</v>
      </c>
      <c r="E487" t="s">
        <v>497</v>
      </c>
      <c r="F487" t="s">
        <v>413</v>
      </c>
      <c r="G487">
        <v>5281</v>
      </c>
      <c r="H487">
        <v>5281</v>
      </c>
      <c r="I487">
        <v>5135</v>
      </c>
      <c r="J487">
        <v>5135</v>
      </c>
      <c r="K487">
        <v>1679</v>
      </c>
      <c r="L487">
        <v>8</v>
      </c>
      <c r="M487">
        <v>3063</v>
      </c>
      <c r="N487">
        <v>58</v>
      </c>
      <c r="O487">
        <v>473</v>
      </c>
      <c r="P487">
        <v>0</v>
      </c>
      <c r="Q487">
        <v>0</v>
      </c>
    </row>
    <row r="488" spans="1:17" x14ac:dyDescent="0.2">
      <c r="A488" s="121">
        <v>39447</v>
      </c>
      <c r="B488" t="s">
        <v>406</v>
      </c>
      <c r="C488" t="s">
        <v>491</v>
      </c>
      <c r="D488" t="s">
        <v>498</v>
      </c>
      <c r="E488" t="s">
        <v>499</v>
      </c>
      <c r="F488" t="s">
        <v>413</v>
      </c>
      <c r="G488">
        <v>5898</v>
      </c>
      <c r="H488">
        <v>5898</v>
      </c>
      <c r="I488">
        <v>5792</v>
      </c>
      <c r="J488">
        <v>5792</v>
      </c>
      <c r="K488">
        <v>1917</v>
      </c>
      <c r="L488">
        <v>20</v>
      </c>
      <c r="M488">
        <v>3555</v>
      </c>
      <c r="N488">
        <v>107</v>
      </c>
      <c r="O488">
        <v>299</v>
      </c>
      <c r="P488">
        <v>4</v>
      </c>
      <c r="Q488">
        <v>0</v>
      </c>
    </row>
    <row r="489" spans="1:17" x14ac:dyDescent="0.2">
      <c r="A489" s="121">
        <v>39447</v>
      </c>
      <c r="B489" t="s">
        <v>406</v>
      </c>
      <c r="C489" t="s">
        <v>491</v>
      </c>
      <c r="D489" t="s">
        <v>500</v>
      </c>
      <c r="E489" t="s">
        <v>501</v>
      </c>
      <c r="F489" t="s">
        <v>413</v>
      </c>
      <c r="G489">
        <v>3227</v>
      </c>
      <c r="H489">
        <v>3227</v>
      </c>
      <c r="I489">
        <v>3149</v>
      </c>
      <c r="J489">
        <v>3149</v>
      </c>
      <c r="K489">
        <v>1061</v>
      </c>
      <c r="L489">
        <v>0</v>
      </c>
      <c r="M489">
        <v>1893</v>
      </c>
      <c r="N489">
        <v>54</v>
      </c>
      <c r="O489">
        <v>219</v>
      </c>
      <c r="P489">
        <v>2</v>
      </c>
      <c r="Q489">
        <v>0</v>
      </c>
    </row>
    <row r="490" spans="1:17" x14ac:dyDescent="0.2">
      <c r="A490" s="121">
        <v>39447</v>
      </c>
      <c r="B490" t="s">
        <v>406</v>
      </c>
      <c r="C490" t="s">
        <v>491</v>
      </c>
      <c r="D490" t="s">
        <v>502</v>
      </c>
      <c r="E490" t="s">
        <v>503</v>
      </c>
      <c r="F490" t="s">
        <v>413</v>
      </c>
      <c r="G490">
        <v>5267</v>
      </c>
      <c r="H490">
        <v>5267</v>
      </c>
      <c r="I490">
        <v>5171</v>
      </c>
      <c r="J490">
        <v>5171</v>
      </c>
      <c r="K490">
        <v>1481</v>
      </c>
      <c r="L490">
        <v>25</v>
      </c>
      <c r="M490">
        <v>3592</v>
      </c>
      <c r="N490">
        <v>128</v>
      </c>
      <c r="O490">
        <v>41</v>
      </c>
      <c r="P490">
        <v>4</v>
      </c>
      <c r="Q490">
        <v>0</v>
      </c>
    </row>
    <row r="491" spans="1:17" x14ac:dyDescent="0.2">
      <c r="A491" s="121">
        <v>39447</v>
      </c>
      <c r="B491" t="s">
        <v>406</v>
      </c>
      <c r="C491" t="s">
        <v>491</v>
      </c>
      <c r="D491" t="s">
        <v>504</v>
      </c>
      <c r="E491" t="s">
        <v>505</v>
      </c>
      <c r="F491" t="s">
        <v>413</v>
      </c>
      <c r="G491">
        <v>3652</v>
      </c>
      <c r="H491">
        <v>3652</v>
      </c>
      <c r="I491">
        <v>3603</v>
      </c>
      <c r="J491">
        <v>3603</v>
      </c>
      <c r="K491">
        <v>1186</v>
      </c>
      <c r="L491">
        <v>4</v>
      </c>
      <c r="M491">
        <v>2329</v>
      </c>
      <c r="N491">
        <v>36</v>
      </c>
      <c r="O491">
        <v>97</v>
      </c>
      <c r="P491">
        <v>1</v>
      </c>
      <c r="Q491">
        <v>0</v>
      </c>
    </row>
    <row r="492" spans="1:17" x14ac:dyDescent="0.2">
      <c r="A492" s="121">
        <v>39447</v>
      </c>
      <c r="B492" t="s">
        <v>406</v>
      </c>
      <c r="C492" t="s">
        <v>491</v>
      </c>
      <c r="D492" t="s">
        <v>506</v>
      </c>
      <c r="E492" t="s">
        <v>507</v>
      </c>
      <c r="F492" t="s">
        <v>413</v>
      </c>
      <c r="G492">
        <v>3685</v>
      </c>
      <c r="H492">
        <v>3685</v>
      </c>
      <c r="I492">
        <v>3611</v>
      </c>
      <c r="J492">
        <v>3611</v>
      </c>
      <c r="K492">
        <v>566</v>
      </c>
      <c r="L492">
        <v>67</v>
      </c>
      <c r="M492">
        <v>3049</v>
      </c>
      <c r="N492">
        <v>1</v>
      </c>
      <c r="O492">
        <v>2</v>
      </c>
      <c r="P492">
        <v>0</v>
      </c>
      <c r="Q492">
        <v>0</v>
      </c>
    </row>
    <row r="493" spans="1:17" x14ac:dyDescent="0.2">
      <c r="A493" s="121">
        <v>39447</v>
      </c>
      <c r="B493" t="s">
        <v>406</v>
      </c>
      <c r="C493" t="s">
        <v>491</v>
      </c>
      <c r="D493" t="s">
        <v>508</v>
      </c>
      <c r="E493" t="s">
        <v>509</v>
      </c>
      <c r="F493" t="s">
        <v>413</v>
      </c>
      <c r="G493">
        <v>4837</v>
      </c>
      <c r="H493">
        <v>4837</v>
      </c>
      <c r="I493">
        <v>4682</v>
      </c>
      <c r="J493">
        <v>4682</v>
      </c>
      <c r="K493">
        <v>1613</v>
      </c>
      <c r="L493">
        <v>15</v>
      </c>
      <c r="M493">
        <v>2752</v>
      </c>
      <c r="N493">
        <v>137</v>
      </c>
      <c r="O493">
        <v>320</v>
      </c>
      <c r="P493">
        <v>10</v>
      </c>
      <c r="Q493">
        <v>1</v>
      </c>
    </row>
    <row r="494" spans="1:17" x14ac:dyDescent="0.2">
      <c r="A494" s="121">
        <v>39447</v>
      </c>
      <c r="B494" t="s">
        <v>406</v>
      </c>
      <c r="C494" t="s">
        <v>510</v>
      </c>
      <c r="D494" t="s">
        <v>511</v>
      </c>
      <c r="E494" t="s">
        <v>512</v>
      </c>
      <c r="F494" t="s">
        <v>410</v>
      </c>
      <c r="G494">
        <v>507</v>
      </c>
      <c r="I494">
        <v>498</v>
      </c>
    </row>
    <row r="495" spans="1:17" x14ac:dyDescent="0.2">
      <c r="A495" s="121">
        <v>39447</v>
      </c>
      <c r="B495" t="s">
        <v>406</v>
      </c>
      <c r="C495" t="s">
        <v>510</v>
      </c>
      <c r="D495" t="s">
        <v>513</v>
      </c>
      <c r="E495" t="s">
        <v>514</v>
      </c>
      <c r="F495" t="s">
        <v>410</v>
      </c>
      <c r="G495">
        <v>464</v>
      </c>
      <c r="I495">
        <v>464</v>
      </c>
    </row>
    <row r="496" spans="1:17" x14ac:dyDescent="0.2">
      <c r="A496" s="121">
        <v>39447</v>
      </c>
      <c r="B496" t="s">
        <v>406</v>
      </c>
      <c r="C496" t="s">
        <v>510</v>
      </c>
      <c r="D496" t="s">
        <v>515</v>
      </c>
      <c r="E496" t="s">
        <v>516</v>
      </c>
      <c r="F496" t="s">
        <v>410</v>
      </c>
      <c r="G496">
        <v>58</v>
      </c>
      <c r="I496">
        <v>56</v>
      </c>
    </row>
    <row r="497" spans="1:17" x14ac:dyDescent="0.2">
      <c r="A497" s="121">
        <v>39447</v>
      </c>
      <c r="B497" t="s">
        <v>406</v>
      </c>
      <c r="C497" t="s">
        <v>510</v>
      </c>
      <c r="D497" t="s">
        <v>517</v>
      </c>
      <c r="E497" t="s">
        <v>518</v>
      </c>
      <c r="F497" t="s">
        <v>410</v>
      </c>
      <c r="G497">
        <v>303</v>
      </c>
      <c r="I497">
        <v>297</v>
      </c>
    </row>
    <row r="498" spans="1:17" x14ac:dyDescent="0.2">
      <c r="A498" s="121">
        <v>39447</v>
      </c>
      <c r="B498" t="s">
        <v>406</v>
      </c>
      <c r="C498" t="s">
        <v>510</v>
      </c>
      <c r="D498" t="s">
        <v>519</v>
      </c>
      <c r="E498" t="s">
        <v>520</v>
      </c>
      <c r="F498" t="s">
        <v>410</v>
      </c>
      <c r="G498">
        <v>340</v>
      </c>
      <c r="I498">
        <v>336</v>
      </c>
    </row>
    <row r="499" spans="1:17" x14ac:dyDescent="0.2">
      <c r="A499" s="121">
        <v>39447</v>
      </c>
      <c r="B499" t="s">
        <v>406</v>
      </c>
      <c r="C499" t="s">
        <v>510</v>
      </c>
      <c r="D499" t="s">
        <v>521</v>
      </c>
      <c r="E499" t="s">
        <v>522</v>
      </c>
      <c r="F499" t="s">
        <v>410</v>
      </c>
      <c r="G499">
        <v>40</v>
      </c>
      <c r="I499">
        <v>39</v>
      </c>
    </row>
    <row r="500" spans="1:17" x14ac:dyDescent="0.2">
      <c r="A500" s="121">
        <v>39447</v>
      </c>
      <c r="B500" t="s">
        <v>406</v>
      </c>
      <c r="C500" t="s">
        <v>510</v>
      </c>
      <c r="D500" t="s">
        <v>523</v>
      </c>
      <c r="E500" t="s">
        <v>524</v>
      </c>
      <c r="F500" t="s">
        <v>413</v>
      </c>
      <c r="G500">
        <v>420</v>
      </c>
      <c r="I500">
        <v>418</v>
      </c>
    </row>
    <row r="501" spans="1:17" x14ac:dyDescent="0.2">
      <c r="A501" s="121">
        <v>39447</v>
      </c>
      <c r="B501" t="s">
        <v>406</v>
      </c>
      <c r="C501" t="s">
        <v>510</v>
      </c>
      <c r="D501" t="s">
        <v>527</v>
      </c>
      <c r="E501" t="s">
        <v>528</v>
      </c>
      <c r="F501" t="s">
        <v>410</v>
      </c>
      <c r="G501">
        <v>107</v>
      </c>
      <c r="I501">
        <v>107</v>
      </c>
    </row>
    <row r="502" spans="1:17" x14ac:dyDescent="0.2">
      <c r="A502" s="121">
        <v>39447</v>
      </c>
      <c r="B502" t="s">
        <v>406</v>
      </c>
      <c r="C502" t="s">
        <v>510</v>
      </c>
      <c r="D502" t="s">
        <v>529</v>
      </c>
      <c r="E502" t="s">
        <v>530</v>
      </c>
      <c r="F502" t="s">
        <v>413</v>
      </c>
      <c r="G502">
        <v>490</v>
      </c>
      <c r="I502">
        <v>481</v>
      </c>
    </row>
    <row r="503" spans="1:17" x14ac:dyDescent="0.2">
      <c r="A503" s="121">
        <v>39447</v>
      </c>
      <c r="B503" t="s">
        <v>406</v>
      </c>
      <c r="C503" t="s">
        <v>510</v>
      </c>
      <c r="D503" t="s">
        <v>531</v>
      </c>
      <c r="E503" t="s">
        <v>532</v>
      </c>
      <c r="F503" t="s">
        <v>410</v>
      </c>
      <c r="G503">
        <v>47</v>
      </c>
      <c r="I503">
        <v>47</v>
      </c>
    </row>
    <row r="504" spans="1:17" x14ac:dyDescent="0.2">
      <c r="A504" s="121">
        <v>39447</v>
      </c>
      <c r="B504" t="s">
        <v>406</v>
      </c>
      <c r="C504" t="s">
        <v>510</v>
      </c>
      <c r="D504" t="s">
        <v>533</v>
      </c>
      <c r="E504" t="s">
        <v>534</v>
      </c>
      <c r="F504" t="s">
        <v>413</v>
      </c>
      <c r="G504">
        <v>2332</v>
      </c>
      <c r="H504">
        <v>2332</v>
      </c>
      <c r="I504">
        <v>2299</v>
      </c>
      <c r="J504">
        <v>2299</v>
      </c>
      <c r="K504">
        <v>534</v>
      </c>
      <c r="L504">
        <v>26</v>
      </c>
      <c r="M504">
        <v>1772</v>
      </c>
      <c r="N504">
        <v>0</v>
      </c>
      <c r="O504">
        <v>0</v>
      </c>
      <c r="P504">
        <v>2</v>
      </c>
      <c r="Q504">
        <v>0</v>
      </c>
    </row>
    <row r="505" spans="1:17" x14ac:dyDescent="0.2">
      <c r="A505" s="121">
        <v>39447</v>
      </c>
      <c r="B505" t="s">
        <v>406</v>
      </c>
      <c r="C505" t="s">
        <v>510</v>
      </c>
      <c r="D505" t="s">
        <v>535</v>
      </c>
      <c r="E505" t="s">
        <v>536</v>
      </c>
      <c r="F505" t="s">
        <v>410</v>
      </c>
      <c r="G505">
        <v>173</v>
      </c>
      <c r="I505">
        <v>172</v>
      </c>
    </row>
    <row r="506" spans="1:17" x14ac:dyDescent="0.2">
      <c r="A506" s="121">
        <v>39447</v>
      </c>
      <c r="B506" t="s">
        <v>406</v>
      </c>
      <c r="C506" t="s">
        <v>510</v>
      </c>
      <c r="D506" t="s">
        <v>537</v>
      </c>
      <c r="E506" t="s">
        <v>538</v>
      </c>
      <c r="F506" t="s">
        <v>410</v>
      </c>
      <c r="G506">
        <v>53</v>
      </c>
      <c r="I506">
        <v>53</v>
      </c>
    </row>
    <row r="507" spans="1:17" x14ac:dyDescent="0.2">
      <c r="A507" s="121">
        <v>39447</v>
      </c>
      <c r="B507" t="s">
        <v>406</v>
      </c>
      <c r="C507" t="s">
        <v>510</v>
      </c>
      <c r="D507" t="s">
        <v>539</v>
      </c>
      <c r="E507" t="s">
        <v>540</v>
      </c>
      <c r="F507" t="s">
        <v>413</v>
      </c>
      <c r="G507">
        <v>590</v>
      </c>
      <c r="I507">
        <v>577</v>
      </c>
    </row>
    <row r="508" spans="1:17" x14ac:dyDescent="0.2">
      <c r="A508" s="121">
        <v>39447</v>
      </c>
      <c r="B508" t="s">
        <v>406</v>
      </c>
      <c r="C508" t="s">
        <v>510</v>
      </c>
      <c r="D508" t="s">
        <v>541</v>
      </c>
      <c r="E508" t="s">
        <v>542</v>
      </c>
      <c r="F508" t="s">
        <v>410</v>
      </c>
      <c r="G508">
        <v>217</v>
      </c>
      <c r="I508">
        <v>212</v>
      </c>
    </row>
    <row r="509" spans="1:17" x14ac:dyDescent="0.2">
      <c r="A509" s="121">
        <v>39447</v>
      </c>
      <c r="B509" t="s">
        <v>406</v>
      </c>
      <c r="C509" t="s">
        <v>510</v>
      </c>
      <c r="D509" t="s">
        <v>543</v>
      </c>
      <c r="E509" t="s">
        <v>544</v>
      </c>
      <c r="F509" t="s">
        <v>410</v>
      </c>
      <c r="G509">
        <v>121</v>
      </c>
      <c r="I509">
        <v>120</v>
      </c>
    </row>
    <row r="510" spans="1:17" x14ac:dyDescent="0.2">
      <c r="A510" s="121">
        <v>39447</v>
      </c>
      <c r="B510" t="s">
        <v>406</v>
      </c>
      <c r="C510" t="s">
        <v>510</v>
      </c>
      <c r="D510" t="s">
        <v>545</v>
      </c>
      <c r="E510" t="s">
        <v>546</v>
      </c>
      <c r="F510" t="s">
        <v>410</v>
      </c>
      <c r="G510">
        <v>145</v>
      </c>
      <c r="I510">
        <v>145</v>
      </c>
    </row>
    <row r="511" spans="1:17" x14ac:dyDescent="0.2">
      <c r="A511" s="121">
        <v>39447</v>
      </c>
      <c r="B511" t="s">
        <v>406</v>
      </c>
      <c r="C511" t="s">
        <v>510</v>
      </c>
      <c r="D511" t="s">
        <v>547</v>
      </c>
      <c r="E511" t="s">
        <v>548</v>
      </c>
      <c r="F511" t="s">
        <v>410</v>
      </c>
      <c r="G511">
        <v>55</v>
      </c>
      <c r="I511">
        <v>55</v>
      </c>
    </row>
    <row r="512" spans="1:17" x14ac:dyDescent="0.2">
      <c r="A512" s="121">
        <v>39447</v>
      </c>
      <c r="B512" t="s">
        <v>406</v>
      </c>
      <c r="C512" t="s">
        <v>510</v>
      </c>
      <c r="D512" t="s">
        <v>549</v>
      </c>
      <c r="E512" t="s">
        <v>550</v>
      </c>
      <c r="F512" t="s">
        <v>410</v>
      </c>
      <c r="G512">
        <v>106</v>
      </c>
      <c r="I512">
        <v>106</v>
      </c>
    </row>
    <row r="513" spans="1:17" x14ac:dyDescent="0.2">
      <c r="A513" s="121">
        <v>39447</v>
      </c>
      <c r="B513" t="s">
        <v>406</v>
      </c>
      <c r="C513" t="s">
        <v>551</v>
      </c>
      <c r="D513" t="s">
        <v>552</v>
      </c>
      <c r="E513" t="s">
        <v>553</v>
      </c>
      <c r="F513" t="s">
        <v>413</v>
      </c>
      <c r="G513">
        <v>5193</v>
      </c>
      <c r="H513">
        <v>5193</v>
      </c>
      <c r="I513">
        <v>5137</v>
      </c>
      <c r="J513">
        <v>5137</v>
      </c>
      <c r="K513">
        <v>1632</v>
      </c>
      <c r="L513">
        <v>11</v>
      </c>
      <c r="M513">
        <v>3517</v>
      </c>
      <c r="N513">
        <v>20</v>
      </c>
      <c r="O513">
        <v>13</v>
      </c>
      <c r="P513">
        <v>5</v>
      </c>
      <c r="Q513">
        <v>0</v>
      </c>
    </row>
    <row r="514" spans="1:17" x14ac:dyDescent="0.2">
      <c r="A514" s="121">
        <v>39447</v>
      </c>
      <c r="B514" t="s">
        <v>406</v>
      </c>
      <c r="C514" t="s">
        <v>551</v>
      </c>
      <c r="D514" t="s">
        <v>554</v>
      </c>
      <c r="E514" t="s">
        <v>555</v>
      </c>
      <c r="F514" t="s">
        <v>410</v>
      </c>
      <c r="G514">
        <v>176</v>
      </c>
      <c r="I514">
        <v>176</v>
      </c>
    </row>
    <row r="515" spans="1:17" x14ac:dyDescent="0.2">
      <c r="A515" s="121">
        <v>39447</v>
      </c>
      <c r="B515" t="s">
        <v>406</v>
      </c>
      <c r="C515" t="s">
        <v>551</v>
      </c>
      <c r="D515" t="s">
        <v>556</v>
      </c>
      <c r="E515" t="s">
        <v>557</v>
      </c>
      <c r="F515" t="s">
        <v>410</v>
      </c>
      <c r="G515">
        <v>112</v>
      </c>
      <c r="I515">
        <v>112</v>
      </c>
    </row>
    <row r="516" spans="1:17" x14ac:dyDescent="0.2">
      <c r="A516" s="121">
        <v>39447</v>
      </c>
      <c r="B516" t="s">
        <v>406</v>
      </c>
      <c r="C516" t="s">
        <v>551</v>
      </c>
      <c r="D516" t="s">
        <v>558</v>
      </c>
      <c r="E516" t="s">
        <v>559</v>
      </c>
      <c r="F516" t="s">
        <v>413</v>
      </c>
      <c r="G516">
        <v>4488</v>
      </c>
      <c r="H516">
        <v>4488</v>
      </c>
      <c r="I516">
        <v>4433</v>
      </c>
      <c r="J516">
        <v>4433</v>
      </c>
      <c r="K516">
        <v>1121</v>
      </c>
      <c r="L516">
        <v>12</v>
      </c>
      <c r="M516">
        <v>3310</v>
      </c>
      <c r="N516">
        <v>13</v>
      </c>
      <c r="O516">
        <v>32</v>
      </c>
      <c r="P516">
        <v>2</v>
      </c>
      <c r="Q516">
        <v>0</v>
      </c>
    </row>
    <row r="517" spans="1:17" x14ac:dyDescent="0.2">
      <c r="A517" s="121">
        <v>39447</v>
      </c>
      <c r="B517" t="s">
        <v>406</v>
      </c>
      <c r="C517" t="s">
        <v>551</v>
      </c>
      <c r="D517" t="s">
        <v>560</v>
      </c>
      <c r="E517" t="s">
        <v>561</v>
      </c>
      <c r="F517" t="s">
        <v>413</v>
      </c>
      <c r="G517">
        <v>5264</v>
      </c>
      <c r="H517">
        <v>5264</v>
      </c>
      <c r="I517">
        <v>5197</v>
      </c>
      <c r="J517">
        <v>5197</v>
      </c>
      <c r="K517">
        <v>1359</v>
      </c>
      <c r="L517">
        <v>11</v>
      </c>
      <c r="M517">
        <v>3852</v>
      </c>
      <c r="N517">
        <v>18</v>
      </c>
      <c r="O517">
        <v>24</v>
      </c>
      <c r="P517">
        <v>26</v>
      </c>
      <c r="Q517">
        <v>15</v>
      </c>
    </row>
    <row r="518" spans="1:17" x14ac:dyDescent="0.2">
      <c r="A518" s="121">
        <v>39447</v>
      </c>
      <c r="B518" t="s">
        <v>406</v>
      </c>
      <c r="C518" t="s">
        <v>562</v>
      </c>
      <c r="D518" t="s">
        <v>603</v>
      </c>
      <c r="E518" t="s">
        <v>604</v>
      </c>
      <c r="F518" t="s">
        <v>410</v>
      </c>
      <c r="G518">
        <v>7</v>
      </c>
      <c r="I518">
        <v>7</v>
      </c>
    </row>
    <row r="519" spans="1:17" x14ac:dyDescent="0.2">
      <c r="A519" s="121">
        <v>39447</v>
      </c>
      <c r="B519" t="s">
        <v>406</v>
      </c>
      <c r="C519" t="s">
        <v>562</v>
      </c>
      <c r="D519" t="s">
        <v>605</v>
      </c>
      <c r="E519" t="s">
        <v>606</v>
      </c>
      <c r="F519" t="s">
        <v>410</v>
      </c>
      <c r="G519">
        <v>131</v>
      </c>
      <c r="I519">
        <v>131</v>
      </c>
    </row>
    <row r="520" spans="1:17" x14ac:dyDescent="0.2">
      <c r="A520" s="121">
        <v>39447</v>
      </c>
      <c r="B520" t="s">
        <v>406</v>
      </c>
      <c r="C520" t="s">
        <v>562</v>
      </c>
      <c r="D520" t="s">
        <v>563</v>
      </c>
      <c r="E520" t="s">
        <v>564</v>
      </c>
      <c r="F520" t="s">
        <v>410</v>
      </c>
      <c r="G520">
        <v>2670</v>
      </c>
      <c r="H520">
        <v>2670</v>
      </c>
      <c r="I520">
        <v>2584</v>
      </c>
      <c r="J520">
        <v>2584</v>
      </c>
      <c r="K520">
        <v>964</v>
      </c>
      <c r="L520">
        <v>3</v>
      </c>
      <c r="M520">
        <v>1680</v>
      </c>
      <c r="N520">
        <v>23</v>
      </c>
      <c r="O520">
        <v>0</v>
      </c>
      <c r="P520">
        <v>0</v>
      </c>
      <c r="Q520">
        <v>0</v>
      </c>
    </row>
    <row r="521" spans="1:17" x14ac:dyDescent="0.2">
      <c r="A521" s="121">
        <v>39447</v>
      </c>
      <c r="B521" t="s">
        <v>406</v>
      </c>
      <c r="C521" t="s">
        <v>562</v>
      </c>
      <c r="D521" t="s">
        <v>565</v>
      </c>
      <c r="E521" t="s">
        <v>566</v>
      </c>
      <c r="F521" t="s">
        <v>413</v>
      </c>
      <c r="G521">
        <v>3711</v>
      </c>
      <c r="H521">
        <v>3711</v>
      </c>
      <c r="I521">
        <v>3671</v>
      </c>
      <c r="J521">
        <v>3671</v>
      </c>
      <c r="K521">
        <v>799</v>
      </c>
      <c r="L521">
        <v>7</v>
      </c>
      <c r="M521">
        <v>2579</v>
      </c>
      <c r="N521">
        <v>89</v>
      </c>
      <c r="O521">
        <v>237</v>
      </c>
      <c r="P521">
        <v>2</v>
      </c>
      <c r="Q521">
        <v>0</v>
      </c>
    </row>
    <row r="522" spans="1:17" x14ac:dyDescent="0.2">
      <c r="A522" s="121">
        <v>39447</v>
      </c>
      <c r="B522" t="s">
        <v>406</v>
      </c>
      <c r="C522" t="s">
        <v>562</v>
      </c>
      <c r="D522" t="s">
        <v>567</v>
      </c>
      <c r="E522" t="s">
        <v>568</v>
      </c>
      <c r="F522" t="s">
        <v>413</v>
      </c>
      <c r="G522">
        <v>8567</v>
      </c>
      <c r="H522">
        <v>8567</v>
      </c>
      <c r="I522">
        <v>8146</v>
      </c>
      <c r="J522">
        <v>8146</v>
      </c>
      <c r="K522">
        <v>2796</v>
      </c>
      <c r="L522">
        <v>24</v>
      </c>
      <c r="M522">
        <v>5576</v>
      </c>
      <c r="N522">
        <v>171</v>
      </c>
      <c r="O522">
        <v>0</v>
      </c>
      <c r="P522">
        <v>36</v>
      </c>
      <c r="Q522">
        <v>0</v>
      </c>
    </row>
    <row r="523" spans="1:17" x14ac:dyDescent="0.2">
      <c r="A523" s="121">
        <v>39447</v>
      </c>
      <c r="B523" t="s">
        <v>406</v>
      </c>
      <c r="C523" t="s">
        <v>562</v>
      </c>
      <c r="D523" t="s">
        <v>569</v>
      </c>
      <c r="E523" t="s">
        <v>570</v>
      </c>
      <c r="F523" t="s">
        <v>413</v>
      </c>
      <c r="G523">
        <v>2916</v>
      </c>
      <c r="H523">
        <v>2916</v>
      </c>
      <c r="I523">
        <v>2896</v>
      </c>
      <c r="J523">
        <v>2896</v>
      </c>
      <c r="K523">
        <v>528</v>
      </c>
      <c r="L523">
        <v>0</v>
      </c>
      <c r="M523">
        <v>2387</v>
      </c>
      <c r="N523">
        <v>1</v>
      </c>
      <c r="O523">
        <v>0</v>
      </c>
      <c r="P523">
        <v>0</v>
      </c>
      <c r="Q523">
        <v>0</v>
      </c>
    </row>
    <row r="524" spans="1:17" x14ac:dyDescent="0.2">
      <c r="A524" s="121">
        <v>39447</v>
      </c>
      <c r="B524" t="s">
        <v>406</v>
      </c>
      <c r="C524" t="s">
        <v>571</v>
      </c>
      <c r="D524" t="s">
        <v>572</v>
      </c>
      <c r="E524" t="s">
        <v>573</v>
      </c>
      <c r="F524" t="s">
        <v>410</v>
      </c>
      <c r="G524">
        <v>154</v>
      </c>
      <c r="I524">
        <v>154</v>
      </c>
    </row>
    <row r="525" spans="1:17" x14ac:dyDescent="0.2">
      <c r="A525" s="121">
        <v>39447</v>
      </c>
      <c r="B525" t="s">
        <v>406</v>
      </c>
      <c r="C525" t="s">
        <v>574</v>
      </c>
      <c r="D525" t="s">
        <v>575</v>
      </c>
      <c r="E525" t="s">
        <v>576</v>
      </c>
      <c r="F525" t="s">
        <v>413</v>
      </c>
      <c r="G525">
        <v>704</v>
      </c>
      <c r="H525">
        <v>704</v>
      </c>
      <c r="I525">
        <v>698</v>
      </c>
      <c r="J525">
        <v>698</v>
      </c>
      <c r="K525">
        <v>129</v>
      </c>
      <c r="L525">
        <v>2</v>
      </c>
      <c r="M525">
        <v>550</v>
      </c>
      <c r="N525">
        <v>3</v>
      </c>
      <c r="O525">
        <v>20</v>
      </c>
      <c r="P525">
        <v>0</v>
      </c>
      <c r="Q525">
        <v>0</v>
      </c>
    </row>
    <row r="526" spans="1:17" x14ac:dyDescent="0.2">
      <c r="A526" s="121">
        <v>39447</v>
      </c>
      <c r="B526" t="s">
        <v>406</v>
      </c>
      <c r="C526" t="s">
        <v>577</v>
      </c>
      <c r="D526" t="s">
        <v>578</v>
      </c>
      <c r="E526" t="s">
        <v>579</v>
      </c>
      <c r="F526" t="s">
        <v>413</v>
      </c>
      <c r="G526">
        <v>3902</v>
      </c>
      <c r="H526">
        <v>3902</v>
      </c>
      <c r="I526">
        <v>3816</v>
      </c>
      <c r="J526">
        <v>3816</v>
      </c>
      <c r="K526">
        <v>1128</v>
      </c>
      <c r="L526">
        <v>18</v>
      </c>
      <c r="M526">
        <v>2451</v>
      </c>
      <c r="N526">
        <v>31</v>
      </c>
      <c r="O526">
        <v>274</v>
      </c>
      <c r="P526">
        <v>1</v>
      </c>
      <c r="Q526">
        <v>0</v>
      </c>
    </row>
    <row r="527" spans="1:17" x14ac:dyDescent="0.2">
      <c r="A527" s="121">
        <v>39447</v>
      </c>
      <c r="B527" t="s">
        <v>406</v>
      </c>
      <c r="C527" t="s">
        <v>577</v>
      </c>
      <c r="D527" t="s">
        <v>580</v>
      </c>
      <c r="E527" t="s">
        <v>581</v>
      </c>
      <c r="F527" t="s">
        <v>413</v>
      </c>
      <c r="G527">
        <v>2058</v>
      </c>
      <c r="H527">
        <v>2058</v>
      </c>
      <c r="I527">
        <v>1952</v>
      </c>
      <c r="J527">
        <v>1952</v>
      </c>
      <c r="K527">
        <v>437</v>
      </c>
      <c r="L527">
        <v>4</v>
      </c>
      <c r="M527">
        <v>1366</v>
      </c>
      <c r="N527">
        <v>68</v>
      </c>
      <c r="O527">
        <v>183</v>
      </c>
      <c r="P527">
        <v>6</v>
      </c>
      <c r="Q527">
        <v>0</v>
      </c>
    </row>
    <row r="528" spans="1:17" x14ac:dyDescent="0.2">
      <c r="A528" s="121">
        <v>39447</v>
      </c>
      <c r="B528" t="s">
        <v>406</v>
      </c>
      <c r="C528" t="s">
        <v>577</v>
      </c>
      <c r="D528" t="s">
        <v>582</v>
      </c>
      <c r="E528" t="s">
        <v>583</v>
      </c>
      <c r="F528" t="s">
        <v>410</v>
      </c>
      <c r="G528">
        <v>49</v>
      </c>
      <c r="H528">
        <v>49</v>
      </c>
      <c r="I528">
        <v>49</v>
      </c>
      <c r="J528">
        <v>49</v>
      </c>
      <c r="K528">
        <v>0</v>
      </c>
      <c r="L528">
        <v>0</v>
      </c>
      <c r="M528">
        <v>49</v>
      </c>
      <c r="N528">
        <v>0</v>
      </c>
      <c r="O528">
        <v>0</v>
      </c>
      <c r="P528">
        <v>0</v>
      </c>
      <c r="Q528">
        <v>0</v>
      </c>
    </row>
    <row r="529" spans="1:17" x14ac:dyDescent="0.2">
      <c r="A529" s="121">
        <v>39447</v>
      </c>
      <c r="B529" t="s">
        <v>406</v>
      </c>
      <c r="C529" t="s">
        <v>577</v>
      </c>
      <c r="D529" t="s">
        <v>584</v>
      </c>
      <c r="E529" t="s">
        <v>585</v>
      </c>
      <c r="F529" t="s">
        <v>410</v>
      </c>
      <c r="G529">
        <v>175</v>
      </c>
      <c r="H529">
        <v>175</v>
      </c>
      <c r="I529">
        <v>175</v>
      </c>
      <c r="J529">
        <v>175</v>
      </c>
      <c r="K529">
        <v>8</v>
      </c>
      <c r="L529">
        <v>0</v>
      </c>
      <c r="M529">
        <v>167</v>
      </c>
      <c r="N529">
        <v>0</v>
      </c>
      <c r="O529">
        <v>0</v>
      </c>
      <c r="P529">
        <v>0</v>
      </c>
      <c r="Q529">
        <v>0</v>
      </c>
    </row>
    <row r="530" spans="1:17" x14ac:dyDescent="0.2">
      <c r="A530" s="121">
        <v>39447</v>
      </c>
      <c r="B530" t="s">
        <v>406</v>
      </c>
      <c r="C530" t="s">
        <v>577</v>
      </c>
      <c r="D530" t="s">
        <v>586</v>
      </c>
      <c r="E530" t="s">
        <v>587</v>
      </c>
      <c r="F530" t="s">
        <v>410</v>
      </c>
      <c r="G530">
        <v>840</v>
      </c>
      <c r="H530">
        <v>840</v>
      </c>
      <c r="I530">
        <v>840</v>
      </c>
      <c r="J530">
        <v>840</v>
      </c>
      <c r="K530">
        <v>37</v>
      </c>
      <c r="L530">
        <v>0</v>
      </c>
      <c r="M530">
        <v>803</v>
      </c>
      <c r="N530">
        <v>0</v>
      </c>
      <c r="O530">
        <v>0</v>
      </c>
      <c r="P530">
        <v>0</v>
      </c>
      <c r="Q530">
        <v>0</v>
      </c>
    </row>
    <row r="531" spans="1:17" x14ac:dyDescent="0.2">
      <c r="A531" s="121">
        <v>39447</v>
      </c>
      <c r="B531" t="s">
        <v>406</v>
      </c>
      <c r="C531" t="s">
        <v>577</v>
      </c>
      <c r="D531" t="s">
        <v>588</v>
      </c>
      <c r="E531" t="s">
        <v>589</v>
      </c>
      <c r="F531" t="s">
        <v>410</v>
      </c>
      <c r="G531">
        <v>153</v>
      </c>
      <c r="H531">
        <v>153</v>
      </c>
      <c r="I531">
        <v>152</v>
      </c>
      <c r="J531">
        <v>152</v>
      </c>
      <c r="K531">
        <v>2</v>
      </c>
      <c r="L531">
        <v>0</v>
      </c>
      <c r="M531">
        <v>151</v>
      </c>
      <c r="N531">
        <v>0</v>
      </c>
      <c r="O531">
        <v>0</v>
      </c>
      <c r="P531">
        <v>0</v>
      </c>
      <c r="Q531">
        <v>0</v>
      </c>
    </row>
    <row r="532" spans="1:17" x14ac:dyDescent="0.2">
      <c r="A532" s="121">
        <v>39447</v>
      </c>
      <c r="B532" t="s">
        <v>406</v>
      </c>
      <c r="C532" t="s">
        <v>577</v>
      </c>
      <c r="D532" t="s">
        <v>590</v>
      </c>
      <c r="E532" t="s">
        <v>591</v>
      </c>
      <c r="F532" t="s">
        <v>410</v>
      </c>
      <c r="G532">
        <v>507</v>
      </c>
      <c r="H532">
        <v>507</v>
      </c>
      <c r="I532">
        <v>506</v>
      </c>
      <c r="J532">
        <v>506</v>
      </c>
      <c r="K532">
        <v>0</v>
      </c>
      <c r="L532">
        <v>0</v>
      </c>
      <c r="M532">
        <v>507</v>
      </c>
      <c r="N532">
        <v>0</v>
      </c>
      <c r="O532">
        <v>0</v>
      </c>
      <c r="P532">
        <v>0</v>
      </c>
      <c r="Q532">
        <v>0</v>
      </c>
    </row>
    <row r="533" spans="1:17" x14ac:dyDescent="0.2">
      <c r="A533" s="121">
        <v>39447</v>
      </c>
      <c r="B533" t="s">
        <v>406</v>
      </c>
      <c r="C533" t="s">
        <v>577</v>
      </c>
      <c r="D533" t="s">
        <v>592</v>
      </c>
      <c r="E533" t="s">
        <v>593</v>
      </c>
      <c r="F533" t="s">
        <v>410</v>
      </c>
      <c r="G533">
        <v>387</v>
      </c>
      <c r="H533">
        <v>387</v>
      </c>
      <c r="I533">
        <v>387</v>
      </c>
      <c r="J533">
        <v>387</v>
      </c>
      <c r="K533">
        <v>11</v>
      </c>
      <c r="L533">
        <v>0</v>
      </c>
      <c r="M533">
        <v>376</v>
      </c>
      <c r="N533">
        <v>0</v>
      </c>
      <c r="O533">
        <v>0</v>
      </c>
      <c r="P533">
        <v>0</v>
      </c>
      <c r="Q533">
        <v>0</v>
      </c>
    </row>
    <row r="534" spans="1:17" x14ac:dyDescent="0.2">
      <c r="A534" s="121">
        <v>39447</v>
      </c>
      <c r="B534" t="s">
        <v>406</v>
      </c>
      <c r="C534" t="s">
        <v>594</v>
      </c>
      <c r="D534" t="s">
        <v>595</v>
      </c>
      <c r="E534" t="s">
        <v>596</v>
      </c>
      <c r="F534" t="s">
        <v>410</v>
      </c>
      <c r="G534">
        <v>28</v>
      </c>
      <c r="I534">
        <v>28</v>
      </c>
    </row>
    <row r="535" spans="1:17" x14ac:dyDescent="0.2">
      <c r="A535" s="121">
        <v>39447</v>
      </c>
      <c r="B535" t="s">
        <v>406</v>
      </c>
      <c r="C535" t="s">
        <v>594</v>
      </c>
      <c r="D535" t="s">
        <v>597</v>
      </c>
      <c r="E535" t="s">
        <v>598</v>
      </c>
      <c r="F535" t="s">
        <v>413</v>
      </c>
      <c r="G535">
        <v>512</v>
      </c>
      <c r="H535">
        <v>512</v>
      </c>
      <c r="I535">
        <v>504</v>
      </c>
      <c r="J535">
        <v>504</v>
      </c>
      <c r="K535">
        <v>120</v>
      </c>
      <c r="L535">
        <v>0</v>
      </c>
      <c r="M535">
        <v>378</v>
      </c>
      <c r="N535">
        <v>2</v>
      </c>
      <c r="O535">
        <v>12</v>
      </c>
      <c r="P535">
        <v>0</v>
      </c>
      <c r="Q535">
        <v>0</v>
      </c>
    </row>
    <row r="536" spans="1:17" x14ac:dyDescent="0.2">
      <c r="A536" s="121">
        <v>39447</v>
      </c>
      <c r="B536" t="s">
        <v>406</v>
      </c>
      <c r="C536" t="s">
        <v>594</v>
      </c>
      <c r="D536" t="s">
        <v>599</v>
      </c>
      <c r="E536" t="s">
        <v>600</v>
      </c>
      <c r="F536" t="s">
        <v>410</v>
      </c>
      <c r="G536">
        <v>80</v>
      </c>
      <c r="I536">
        <v>80</v>
      </c>
    </row>
    <row r="537" spans="1:17" x14ac:dyDescent="0.2">
      <c r="A537" s="121">
        <v>39478</v>
      </c>
      <c r="B537" t="s">
        <v>406</v>
      </c>
      <c r="C537" t="s">
        <v>407</v>
      </c>
      <c r="D537" t="s">
        <v>408</v>
      </c>
      <c r="E537" t="s">
        <v>409</v>
      </c>
      <c r="F537" t="s">
        <v>410</v>
      </c>
      <c r="G537">
        <v>153</v>
      </c>
      <c r="I537">
        <v>153</v>
      </c>
    </row>
    <row r="538" spans="1:17" x14ac:dyDescent="0.2">
      <c r="A538" s="121">
        <v>39478</v>
      </c>
      <c r="B538" t="s">
        <v>406</v>
      </c>
      <c r="C538" t="s">
        <v>407</v>
      </c>
      <c r="D538" t="s">
        <v>601</v>
      </c>
      <c r="E538" t="s">
        <v>602</v>
      </c>
      <c r="F538" t="s">
        <v>410</v>
      </c>
      <c r="G538">
        <v>77</v>
      </c>
      <c r="I538">
        <v>77</v>
      </c>
    </row>
    <row r="539" spans="1:17" x14ac:dyDescent="0.2">
      <c r="A539" s="121">
        <v>39478</v>
      </c>
      <c r="B539" t="s">
        <v>406</v>
      </c>
      <c r="C539" t="s">
        <v>407</v>
      </c>
      <c r="D539" t="s">
        <v>411</v>
      </c>
      <c r="E539" t="s">
        <v>412</v>
      </c>
      <c r="F539" t="s">
        <v>413</v>
      </c>
      <c r="G539">
        <v>5048</v>
      </c>
      <c r="H539">
        <v>5048</v>
      </c>
      <c r="I539">
        <v>4980</v>
      </c>
      <c r="J539">
        <v>4980</v>
      </c>
      <c r="K539">
        <v>2014</v>
      </c>
      <c r="L539">
        <v>4</v>
      </c>
      <c r="M539">
        <v>2770</v>
      </c>
      <c r="N539">
        <v>52</v>
      </c>
      <c r="O539">
        <v>208</v>
      </c>
      <c r="P539">
        <v>0</v>
      </c>
      <c r="Q539">
        <v>0</v>
      </c>
    </row>
    <row r="540" spans="1:17" x14ac:dyDescent="0.2">
      <c r="A540" s="121">
        <v>39478</v>
      </c>
      <c r="B540" t="s">
        <v>406</v>
      </c>
      <c r="C540" t="s">
        <v>407</v>
      </c>
      <c r="D540" t="s">
        <v>414</v>
      </c>
      <c r="E540" t="s">
        <v>415</v>
      </c>
      <c r="F540" t="s">
        <v>410</v>
      </c>
      <c r="G540">
        <v>69</v>
      </c>
      <c r="I540">
        <v>69</v>
      </c>
    </row>
    <row r="541" spans="1:17" x14ac:dyDescent="0.2">
      <c r="A541" s="121">
        <v>39478</v>
      </c>
      <c r="B541" t="s">
        <v>406</v>
      </c>
      <c r="C541" t="s">
        <v>407</v>
      </c>
      <c r="D541" t="s">
        <v>416</v>
      </c>
      <c r="E541" t="s">
        <v>417</v>
      </c>
      <c r="F541" t="s">
        <v>413</v>
      </c>
      <c r="G541">
        <v>3212</v>
      </c>
      <c r="H541">
        <v>3212</v>
      </c>
      <c r="I541">
        <v>3156</v>
      </c>
      <c r="J541">
        <v>3156</v>
      </c>
      <c r="K541">
        <v>1280</v>
      </c>
      <c r="L541">
        <v>1</v>
      </c>
      <c r="M541">
        <v>1798</v>
      </c>
      <c r="N541">
        <v>77</v>
      </c>
      <c r="O541">
        <v>56</v>
      </c>
      <c r="P541">
        <v>0</v>
      </c>
      <c r="Q541">
        <v>0</v>
      </c>
    </row>
    <row r="542" spans="1:17" x14ac:dyDescent="0.2">
      <c r="A542" s="121">
        <v>39478</v>
      </c>
      <c r="B542" t="s">
        <v>406</v>
      </c>
      <c r="C542" t="s">
        <v>418</v>
      </c>
      <c r="D542" t="s">
        <v>419</v>
      </c>
      <c r="E542" t="s">
        <v>420</v>
      </c>
      <c r="F542" t="s">
        <v>410</v>
      </c>
      <c r="G542">
        <v>15</v>
      </c>
      <c r="I542">
        <v>15</v>
      </c>
    </row>
    <row r="543" spans="1:17" x14ac:dyDescent="0.2">
      <c r="A543" s="121">
        <v>39478</v>
      </c>
      <c r="B543" t="s">
        <v>406</v>
      </c>
      <c r="C543" t="s">
        <v>418</v>
      </c>
      <c r="D543" t="s">
        <v>421</v>
      </c>
      <c r="E543" t="s">
        <v>422</v>
      </c>
      <c r="F543" t="s">
        <v>410</v>
      </c>
      <c r="G543">
        <v>80</v>
      </c>
      <c r="I543">
        <v>80</v>
      </c>
    </row>
    <row r="544" spans="1:17" x14ac:dyDescent="0.2">
      <c r="A544" s="121">
        <v>39478</v>
      </c>
      <c r="B544" t="s">
        <v>406</v>
      </c>
      <c r="C544" t="s">
        <v>418</v>
      </c>
      <c r="D544" t="s">
        <v>423</v>
      </c>
      <c r="E544" t="s">
        <v>424</v>
      </c>
      <c r="F544" t="s">
        <v>410</v>
      </c>
      <c r="G544">
        <v>28</v>
      </c>
      <c r="I544">
        <v>28</v>
      </c>
    </row>
    <row r="545" spans="1:17" x14ac:dyDescent="0.2">
      <c r="A545" s="121">
        <v>39478</v>
      </c>
      <c r="B545" t="s">
        <v>406</v>
      </c>
      <c r="C545" t="s">
        <v>418</v>
      </c>
      <c r="D545" t="s">
        <v>425</v>
      </c>
      <c r="E545" t="s">
        <v>426</v>
      </c>
      <c r="F545" t="s">
        <v>410</v>
      </c>
      <c r="G545">
        <v>54</v>
      </c>
      <c r="I545">
        <v>54</v>
      </c>
    </row>
    <row r="546" spans="1:17" x14ac:dyDescent="0.2">
      <c r="A546" s="121">
        <v>39478</v>
      </c>
      <c r="B546" t="s">
        <v>406</v>
      </c>
      <c r="C546" t="s">
        <v>418</v>
      </c>
      <c r="D546" t="s">
        <v>427</v>
      </c>
      <c r="E546" t="s">
        <v>428</v>
      </c>
      <c r="F546" t="s">
        <v>413</v>
      </c>
      <c r="G546">
        <v>1857</v>
      </c>
      <c r="H546">
        <v>1857</v>
      </c>
      <c r="I546">
        <v>1796</v>
      </c>
      <c r="J546">
        <v>1796</v>
      </c>
      <c r="K546">
        <v>746</v>
      </c>
      <c r="L546">
        <v>7</v>
      </c>
      <c r="M546">
        <v>914</v>
      </c>
      <c r="N546">
        <v>22</v>
      </c>
      <c r="O546">
        <v>168</v>
      </c>
      <c r="P546">
        <v>2</v>
      </c>
      <c r="Q546">
        <v>0</v>
      </c>
    </row>
    <row r="547" spans="1:17" x14ac:dyDescent="0.2">
      <c r="A547" s="121">
        <v>39478</v>
      </c>
      <c r="B547" t="s">
        <v>406</v>
      </c>
      <c r="C547" t="s">
        <v>429</v>
      </c>
      <c r="D547" t="s">
        <v>430</v>
      </c>
      <c r="E547" t="s">
        <v>431</v>
      </c>
      <c r="F547" t="s">
        <v>410</v>
      </c>
      <c r="G547">
        <v>59</v>
      </c>
      <c r="I547">
        <v>59</v>
      </c>
    </row>
    <row r="548" spans="1:17" x14ac:dyDescent="0.2">
      <c r="A548" s="121">
        <v>39478</v>
      </c>
      <c r="B548" t="s">
        <v>406</v>
      </c>
      <c r="C548" t="s">
        <v>429</v>
      </c>
      <c r="D548" t="s">
        <v>432</v>
      </c>
      <c r="E548" t="s">
        <v>433</v>
      </c>
      <c r="F548" t="s">
        <v>410</v>
      </c>
      <c r="G548">
        <v>43</v>
      </c>
      <c r="I548">
        <v>43</v>
      </c>
    </row>
    <row r="549" spans="1:17" x14ac:dyDescent="0.2">
      <c r="A549" s="121">
        <v>39478</v>
      </c>
      <c r="B549" t="s">
        <v>406</v>
      </c>
      <c r="C549" t="s">
        <v>429</v>
      </c>
      <c r="D549" t="s">
        <v>434</v>
      </c>
      <c r="E549" t="s">
        <v>435</v>
      </c>
      <c r="F549" t="s">
        <v>410</v>
      </c>
      <c r="G549">
        <v>4</v>
      </c>
      <c r="I549">
        <v>4</v>
      </c>
    </row>
    <row r="550" spans="1:17" x14ac:dyDescent="0.2">
      <c r="A550" s="121">
        <v>39478</v>
      </c>
      <c r="B550" t="s">
        <v>406</v>
      </c>
      <c r="C550" t="s">
        <v>429</v>
      </c>
      <c r="D550" t="s">
        <v>436</v>
      </c>
      <c r="E550" t="s">
        <v>437</v>
      </c>
      <c r="F550" t="s">
        <v>410</v>
      </c>
      <c r="G550">
        <v>23</v>
      </c>
      <c r="I550">
        <v>23</v>
      </c>
    </row>
    <row r="551" spans="1:17" x14ac:dyDescent="0.2">
      <c r="A551" s="121">
        <v>39478</v>
      </c>
      <c r="B551" t="s">
        <v>406</v>
      </c>
      <c r="C551" t="s">
        <v>429</v>
      </c>
      <c r="D551" t="s">
        <v>438</v>
      </c>
      <c r="E551" t="s">
        <v>439</v>
      </c>
      <c r="F551" t="s">
        <v>413</v>
      </c>
      <c r="G551">
        <v>891</v>
      </c>
      <c r="H551">
        <v>891</v>
      </c>
      <c r="I551">
        <v>872</v>
      </c>
      <c r="J551">
        <v>872</v>
      </c>
      <c r="K551">
        <v>116</v>
      </c>
      <c r="L551">
        <v>2</v>
      </c>
      <c r="M551">
        <v>761</v>
      </c>
      <c r="N551">
        <v>12</v>
      </c>
      <c r="O551">
        <v>0</v>
      </c>
      <c r="P551">
        <v>4</v>
      </c>
      <c r="Q551">
        <v>0</v>
      </c>
    </row>
    <row r="552" spans="1:17" x14ac:dyDescent="0.2">
      <c r="A552" s="121">
        <v>39478</v>
      </c>
      <c r="B552" t="s">
        <v>406</v>
      </c>
      <c r="C552" t="s">
        <v>429</v>
      </c>
      <c r="D552" t="s">
        <v>440</v>
      </c>
      <c r="E552" t="s">
        <v>441</v>
      </c>
      <c r="F552" t="s">
        <v>413</v>
      </c>
      <c r="G552">
        <v>2686</v>
      </c>
      <c r="H552">
        <v>2686</v>
      </c>
      <c r="I552">
        <v>2598</v>
      </c>
      <c r="J552">
        <v>2598</v>
      </c>
      <c r="K552">
        <v>976</v>
      </c>
      <c r="L552">
        <v>8</v>
      </c>
      <c r="M552">
        <v>1650</v>
      </c>
      <c r="N552">
        <v>14</v>
      </c>
      <c r="O552">
        <v>38</v>
      </c>
      <c r="P552">
        <v>3</v>
      </c>
      <c r="Q552">
        <v>0</v>
      </c>
    </row>
    <row r="553" spans="1:17" x14ac:dyDescent="0.2">
      <c r="A553" s="121">
        <v>39478</v>
      </c>
      <c r="B553" t="s">
        <v>406</v>
      </c>
      <c r="C553" t="s">
        <v>442</v>
      </c>
      <c r="D553" t="s">
        <v>443</v>
      </c>
      <c r="E553" t="s">
        <v>444</v>
      </c>
      <c r="F553" t="s">
        <v>413</v>
      </c>
      <c r="G553">
        <v>3572</v>
      </c>
      <c r="H553">
        <v>3572</v>
      </c>
      <c r="I553">
        <v>3389</v>
      </c>
      <c r="J553">
        <v>3389</v>
      </c>
      <c r="K553">
        <v>669</v>
      </c>
      <c r="L553">
        <v>91</v>
      </c>
      <c r="M553">
        <v>2627</v>
      </c>
      <c r="N553">
        <v>41</v>
      </c>
      <c r="O553">
        <v>144</v>
      </c>
      <c r="P553">
        <v>32</v>
      </c>
      <c r="Q553">
        <v>10</v>
      </c>
    </row>
    <row r="554" spans="1:17" x14ac:dyDescent="0.2">
      <c r="A554" s="121">
        <v>39478</v>
      </c>
      <c r="B554" t="s">
        <v>406</v>
      </c>
      <c r="C554" t="s">
        <v>442</v>
      </c>
      <c r="D554" t="s">
        <v>445</v>
      </c>
      <c r="E554" t="s">
        <v>446</v>
      </c>
      <c r="F554" t="s">
        <v>410</v>
      </c>
      <c r="G554">
        <v>122</v>
      </c>
      <c r="I554">
        <v>122</v>
      </c>
    </row>
    <row r="555" spans="1:17" x14ac:dyDescent="0.2">
      <c r="A555" s="121">
        <v>39478</v>
      </c>
      <c r="B555" t="s">
        <v>406</v>
      </c>
      <c r="C555" t="s">
        <v>442</v>
      </c>
      <c r="D555" t="s">
        <v>447</v>
      </c>
      <c r="E555" t="s">
        <v>448</v>
      </c>
      <c r="F555" t="s">
        <v>410</v>
      </c>
      <c r="G555">
        <v>187</v>
      </c>
      <c r="I555">
        <v>187</v>
      </c>
    </row>
    <row r="556" spans="1:17" x14ac:dyDescent="0.2">
      <c r="A556" s="121">
        <v>39478</v>
      </c>
      <c r="B556" t="s">
        <v>406</v>
      </c>
      <c r="C556" t="s">
        <v>442</v>
      </c>
      <c r="D556" t="s">
        <v>449</v>
      </c>
      <c r="E556" t="s">
        <v>450</v>
      </c>
      <c r="F556" t="s">
        <v>413</v>
      </c>
      <c r="G556">
        <v>3122</v>
      </c>
      <c r="H556">
        <v>3122</v>
      </c>
      <c r="I556">
        <v>2902</v>
      </c>
      <c r="J556">
        <v>2902</v>
      </c>
      <c r="K556">
        <v>791</v>
      </c>
      <c r="L556">
        <v>71</v>
      </c>
      <c r="M556">
        <v>2127</v>
      </c>
      <c r="N556">
        <v>35</v>
      </c>
      <c r="O556">
        <v>98</v>
      </c>
      <c r="P556">
        <v>36</v>
      </c>
      <c r="Q556">
        <v>10</v>
      </c>
    </row>
    <row r="557" spans="1:17" x14ac:dyDescent="0.2">
      <c r="A557" s="121">
        <v>39478</v>
      </c>
      <c r="B557" t="s">
        <v>406</v>
      </c>
      <c r="C557" t="s">
        <v>451</v>
      </c>
      <c r="D557" t="s">
        <v>452</v>
      </c>
      <c r="E557" t="s">
        <v>453</v>
      </c>
      <c r="F557" t="s">
        <v>410</v>
      </c>
      <c r="G557">
        <v>1416</v>
      </c>
      <c r="H557">
        <v>1416</v>
      </c>
      <c r="I557">
        <v>1414</v>
      </c>
      <c r="J557">
        <v>1414</v>
      </c>
      <c r="K557">
        <v>0</v>
      </c>
      <c r="L557">
        <v>0</v>
      </c>
      <c r="M557">
        <v>1002</v>
      </c>
      <c r="N557">
        <v>163</v>
      </c>
      <c r="O557">
        <v>251</v>
      </c>
      <c r="P557">
        <v>0</v>
      </c>
      <c r="Q557">
        <v>0</v>
      </c>
    </row>
    <row r="558" spans="1:17" x14ac:dyDescent="0.2">
      <c r="A558" s="121">
        <v>39478</v>
      </c>
      <c r="B558" t="s">
        <v>406</v>
      </c>
      <c r="C558" t="s">
        <v>451</v>
      </c>
      <c r="D558" t="s">
        <v>454</v>
      </c>
      <c r="E558" t="s">
        <v>455</v>
      </c>
      <c r="F558" t="s">
        <v>413</v>
      </c>
      <c r="G558">
        <v>3882</v>
      </c>
      <c r="H558">
        <v>3882</v>
      </c>
      <c r="I558">
        <v>3774</v>
      </c>
      <c r="J558">
        <v>3774</v>
      </c>
      <c r="K558">
        <v>1191</v>
      </c>
      <c r="L558">
        <v>9</v>
      </c>
      <c r="M558">
        <v>2187</v>
      </c>
      <c r="N558">
        <v>27</v>
      </c>
      <c r="O558">
        <v>468</v>
      </c>
      <c r="P558">
        <v>5</v>
      </c>
      <c r="Q558">
        <v>3</v>
      </c>
    </row>
    <row r="559" spans="1:17" x14ac:dyDescent="0.2">
      <c r="A559" s="121">
        <v>39478</v>
      </c>
      <c r="B559" t="s">
        <v>406</v>
      </c>
      <c r="C559" t="s">
        <v>456</v>
      </c>
      <c r="D559" t="s">
        <v>457</v>
      </c>
      <c r="E559" t="s">
        <v>458</v>
      </c>
      <c r="F559" t="s">
        <v>413</v>
      </c>
      <c r="G559">
        <v>5037</v>
      </c>
      <c r="H559">
        <v>5037</v>
      </c>
      <c r="I559">
        <v>4724</v>
      </c>
      <c r="J559">
        <v>4724</v>
      </c>
      <c r="K559">
        <v>1296</v>
      </c>
      <c r="L559">
        <v>32</v>
      </c>
      <c r="M559">
        <v>3603</v>
      </c>
      <c r="N559">
        <v>78</v>
      </c>
      <c r="O559">
        <v>28</v>
      </c>
      <c r="P559">
        <v>45</v>
      </c>
      <c r="Q559">
        <v>4</v>
      </c>
    </row>
    <row r="560" spans="1:17" x14ac:dyDescent="0.2">
      <c r="A560" s="121">
        <v>39478</v>
      </c>
      <c r="B560" t="s">
        <v>406</v>
      </c>
      <c r="C560" t="s">
        <v>456</v>
      </c>
      <c r="D560" t="s">
        <v>459</v>
      </c>
      <c r="E560" t="s">
        <v>460</v>
      </c>
      <c r="F560" t="s">
        <v>413</v>
      </c>
      <c r="G560">
        <v>1253</v>
      </c>
      <c r="H560">
        <v>1253</v>
      </c>
      <c r="I560">
        <v>1252</v>
      </c>
      <c r="J560">
        <v>1252</v>
      </c>
      <c r="K560">
        <v>384</v>
      </c>
      <c r="L560">
        <v>0</v>
      </c>
      <c r="M560">
        <v>868</v>
      </c>
      <c r="N560">
        <v>1</v>
      </c>
      <c r="O560">
        <v>0</v>
      </c>
      <c r="P560">
        <v>0</v>
      </c>
      <c r="Q560">
        <v>0</v>
      </c>
    </row>
    <row r="561" spans="1:17" x14ac:dyDescent="0.2">
      <c r="A561" s="121">
        <v>39478</v>
      </c>
      <c r="B561" t="s">
        <v>406</v>
      </c>
      <c r="C561" t="s">
        <v>456</v>
      </c>
      <c r="D561" t="s">
        <v>461</v>
      </c>
      <c r="E561" t="s">
        <v>462</v>
      </c>
      <c r="F561" t="s">
        <v>410</v>
      </c>
      <c r="G561">
        <v>69</v>
      </c>
      <c r="I561">
        <v>69</v>
      </c>
    </row>
    <row r="562" spans="1:17" x14ac:dyDescent="0.2">
      <c r="A562" s="121">
        <v>39478</v>
      </c>
      <c r="B562" t="s">
        <v>406</v>
      </c>
      <c r="C562" t="s">
        <v>456</v>
      </c>
      <c r="D562" t="s">
        <v>463</v>
      </c>
      <c r="E562" t="s">
        <v>464</v>
      </c>
      <c r="F562" t="s">
        <v>410</v>
      </c>
      <c r="G562">
        <v>19</v>
      </c>
      <c r="I562">
        <v>19</v>
      </c>
    </row>
    <row r="563" spans="1:17" x14ac:dyDescent="0.2">
      <c r="A563" s="121">
        <v>39478</v>
      </c>
      <c r="B563" t="s">
        <v>406</v>
      </c>
      <c r="C563" t="s">
        <v>456</v>
      </c>
      <c r="D563" t="s">
        <v>465</v>
      </c>
      <c r="E563" t="s">
        <v>466</v>
      </c>
      <c r="F563" t="s">
        <v>410</v>
      </c>
      <c r="G563">
        <v>55</v>
      </c>
      <c r="I563">
        <v>55</v>
      </c>
    </row>
    <row r="564" spans="1:17" x14ac:dyDescent="0.2">
      <c r="A564" s="121">
        <v>39478</v>
      </c>
      <c r="B564" t="s">
        <v>406</v>
      </c>
      <c r="C564" t="s">
        <v>456</v>
      </c>
      <c r="D564" t="s">
        <v>467</v>
      </c>
      <c r="E564" t="s">
        <v>468</v>
      </c>
      <c r="F564" t="s">
        <v>410</v>
      </c>
      <c r="G564">
        <v>1100</v>
      </c>
      <c r="I564">
        <v>1100</v>
      </c>
    </row>
    <row r="565" spans="1:17" x14ac:dyDescent="0.2">
      <c r="A565" s="121">
        <v>39478</v>
      </c>
      <c r="B565" t="s">
        <v>406</v>
      </c>
      <c r="C565" t="s">
        <v>456</v>
      </c>
      <c r="D565" t="s">
        <v>469</v>
      </c>
      <c r="E565" t="s">
        <v>470</v>
      </c>
      <c r="F565" t="s">
        <v>410</v>
      </c>
      <c r="G565">
        <v>774</v>
      </c>
      <c r="I565">
        <v>771</v>
      </c>
    </row>
    <row r="566" spans="1:17" x14ac:dyDescent="0.2">
      <c r="A566" s="121">
        <v>39478</v>
      </c>
      <c r="B566" t="s">
        <v>406</v>
      </c>
      <c r="C566" t="s">
        <v>456</v>
      </c>
      <c r="D566" t="s">
        <v>471</v>
      </c>
      <c r="E566" t="s">
        <v>472</v>
      </c>
      <c r="F566" t="s">
        <v>410</v>
      </c>
      <c r="G566">
        <v>219</v>
      </c>
      <c r="I566">
        <v>218</v>
      </c>
    </row>
    <row r="567" spans="1:17" x14ac:dyDescent="0.2">
      <c r="A567" s="121">
        <v>39478</v>
      </c>
      <c r="B567" t="s">
        <v>406</v>
      </c>
      <c r="C567" t="s">
        <v>456</v>
      </c>
      <c r="D567" t="s">
        <v>473</v>
      </c>
      <c r="E567" t="s">
        <v>474</v>
      </c>
      <c r="F567" t="s">
        <v>410</v>
      </c>
      <c r="G567">
        <v>129</v>
      </c>
      <c r="I567">
        <v>129</v>
      </c>
    </row>
    <row r="568" spans="1:17" x14ac:dyDescent="0.2">
      <c r="A568" s="121">
        <v>39478</v>
      </c>
      <c r="B568" t="s">
        <v>406</v>
      </c>
      <c r="C568" t="s">
        <v>456</v>
      </c>
      <c r="D568" t="s">
        <v>475</v>
      </c>
      <c r="E568" t="s">
        <v>476</v>
      </c>
      <c r="F568" t="s">
        <v>410</v>
      </c>
      <c r="G568">
        <v>269</v>
      </c>
      <c r="I568">
        <v>264</v>
      </c>
    </row>
    <row r="569" spans="1:17" x14ac:dyDescent="0.2">
      <c r="A569" s="121">
        <v>39478</v>
      </c>
      <c r="B569" t="s">
        <v>406</v>
      </c>
      <c r="C569" t="s">
        <v>456</v>
      </c>
      <c r="D569" t="s">
        <v>477</v>
      </c>
      <c r="E569" t="s">
        <v>478</v>
      </c>
      <c r="F569" t="s">
        <v>413</v>
      </c>
      <c r="G569">
        <v>1734</v>
      </c>
      <c r="H569">
        <v>1734</v>
      </c>
      <c r="I569">
        <v>1638</v>
      </c>
      <c r="J569">
        <v>1638</v>
      </c>
      <c r="K569">
        <v>570</v>
      </c>
      <c r="L569">
        <v>2</v>
      </c>
      <c r="M569">
        <v>1116</v>
      </c>
      <c r="N569">
        <v>21</v>
      </c>
      <c r="O569">
        <v>25</v>
      </c>
      <c r="P569">
        <v>8</v>
      </c>
      <c r="Q569">
        <v>1</v>
      </c>
    </row>
    <row r="570" spans="1:17" x14ac:dyDescent="0.2">
      <c r="A570" s="121">
        <v>39478</v>
      </c>
      <c r="B570" t="s">
        <v>406</v>
      </c>
      <c r="C570" t="s">
        <v>456</v>
      </c>
      <c r="D570" t="s">
        <v>479</v>
      </c>
      <c r="E570" t="s">
        <v>480</v>
      </c>
      <c r="F570" t="s">
        <v>410</v>
      </c>
      <c r="G570">
        <v>61</v>
      </c>
      <c r="I570">
        <v>61</v>
      </c>
    </row>
    <row r="571" spans="1:17" x14ac:dyDescent="0.2">
      <c r="A571" s="121">
        <v>39478</v>
      </c>
      <c r="B571" t="s">
        <v>406</v>
      </c>
      <c r="C571" t="s">
        <v>456</v>
      </c>
      <c r="D571" t="s">
        <v>481</v>
      </c>
      <c r="E571" t="s">
        <v>482</v>
      </c>
      <c r="F571" t="s">
        <v>410</v>
      </c>
      <c r="G571">
        <v>26</v>
      </c>
      <c r="I571">
        <v>26</v>
      </c>
    </row>
    <row r="572" spans="1:17" x14ac:dyDescent="0.2">
      <c r="A572" s="121">
        <v>39478</v>
      </c>
      <c r="B572" t="s">
        <v>406</v>
      </c>
      <c r="C572" t="s">
        <v>456</v>
      </c>
      <c r="D572" t="s">
        <v>483</v>
      </c>
      <c r="E572" t="s">
        <v>484</v>
      </c>
      <c r="F572" t="s">
        <v>410</v>
      </c>
      <c r="G572">
        <v>104</v>
      </c>
      <c r="I572">
        <v>104</v>
      </c>
    </row>
    <row r="573" spans="1:17" x14ac:dyDescent="0.2">
      <c r="A573" s="121">
        <v>39478</v>
      </c>
      <c r="B573" t="s">
        <v>406</v>
      </c>
      <c r="C573" t="s">
        <v>456</v>
      </c>
      <c r="D573" t="s">
        <v>485</v>
      </c>
      <c r="E573" t="s">
        <v>486</v>
      </c>
      <c r="F573" t="s">
        <v>410</v>
      </c>
      <c r="G573">
        <v>55</v>
      </c>
      <c r="I573">
        <v>55</v>
      </c>
    </row>
    <row r="574" spans="1:17" x14ac:dyDescent="0.2">
      <c r="A574" s="121">
        <v>39478</v>
      </c>
      <c r="B574" t="s">
        <v>406</v>
      </c>
      <c r="C574" t="s">
        <v>456</v>
      </c>
      <c r="D574" t="s">
        <v>487</v>
      </c>
      <c r="E574" t="s">
        <v>488</v>
      </c>
      <c r="F574" t="s">
        <v>410</v>
      </c>
      <c r="G574">
        <v>30</v>
      </c>
      <c r="I574">
        <v>30</v>
      </c>
    </row>
    <row r="575" spans="1:17" x14ac:dyDescent="0.2">
      <c r="A575" s="121">
        <v>39478</v>
      </c>
      <c r="B575" t="s">
        <v>406</v>
      </c>
      <c r="C575" t="s">
        <v>456</v>
      </c>
      <c r="D575" t="s">
        <v>489</v>
      </c>
      <c r="E575" t="s">
        <v>490</v>
      </c>
      <c r="F575" t="s">
        <v>410</v>
      </c>
      <c r="G575">
        <v>86</v>
      </c>
      <c r="H575">
        <v>86</v>
      </c>
      <c r="I575">
        <v>86</v>
      </c>
      <c r="J575">
        <v>86</v>
      </c>
      <c r="K575">
        <v>0</v>
      </c>
      <c r="L575">
        <v>0</v>
      </c>
      <c r="M575">
        <v>73</v>
      </c>
      <c r="N575">
        <v>13</v>
      </c>
      <c r="O575">
        <v>0</v>
      </c>
      <c r="P575">
        <v>0</v>
      </c>
      <c r="Q575">
        <v>0</v>
      </c>
    </row>
    <row r="576" spans="1:17" x14ac:dyDescent="0.2">
      <c r="A576" s="121">
        <v>39478</v>
      </c>
      <c r="B576" t="s">
        <v>406</v>
      </c>
      <c r="C576" t="s">
        <v>491</v>
      </c>
      <c r="D576" t="s">
        <v>492</v>
      </c>
      <c r="E576" t="s">
        <v>493</v>
      </c>
      <c r="F576" t="s">
        <v>410</v>
      </c>
      <c r="G576">
        <v>1119</v>
      </c>
      <c r="H576">
        <v>1119</v>
      </c>
      <c r="I576">
        <v>1100</v>
      </c>
      <c r="J576">
        <v>1100</v>
      </c>
      <c r="K576">
        <v>328</v>
      </c>
      <c r="L576">
        <v>1</v>
      </c>
      <c r="M576">
        <v>728</v>
      </c>
      <c r="N576">
        <v>52</v>
      </c>
      <c r="O576">
        <v>10</v>
      </c>
      <c r="P576">
        <v>0</v>
      </c>
      <c r="Q576">
        <v>0</v>
      </c>
    </row>
    <row r="577" spans="1:17" x14ac:dyDescent="0.2">
      <c r="A577" s="121">
        <v>39478</v>
      </c>
      <c r="B577" t="s">
        <v>406</v>
      </c>
      <c r="C577" t="s">
        <v>491</v>
      </c>
      <c r="D577" t="s">
        <v>494</v>
      </c>
      <c r="E577" t="s">
        <v>495</v>
      </c>
      <c r="F577" t="s">
        <v>413</v>
      </c>
      <c r="G577">
        <v>2348</v>
      </c>
      <c r="H577">
        <v>2348</v>
      </c>
      <c r="I577">
        <v>2328</v>
      </c>
      <c r="J577">
        <v>2328</v>
      </c>
      <c r="K577">
        <v>559</v>
      </c>
      <c r="L577">
        <v>6</v>
      </c>
      <c r="M577">
        <v>1654</v>
      </c>
      <c r="N577">
        <v>42</v>
      </c>
      <c r="O577">
        <v>87</v>
      </c>
      <c r="P577">
        <v>0</v>
      </c>
      <c r="Q577">
        <v>0</v>
      </c>
    </row>
    <row r="578" spans="1:17" x14ac:dyDescent="0.2">
      <c r="A578" s="121">
        <v>39478</v>
      </c>
      <c r="B578" t="s">
        <v>406</v>
      </c>
      <c r="C578" t="s">
        <v>491</v>
      </c>
      <c r="D578" t="s">
        <v>496</v>
      </c>
      <c r="E578" t="s">
        <v>497</v>
      </c>
      <c r="F578" t="s">
        <v>413</v>
      </c>
      <c r="G578">
        <v>5379</v>
      </c>
      <c r="H578">
        <v>5379</v>
      </c>
      <c r="I578">
        <v>5253</v>
      </c>
      <c r="J578">
        <v>5253</v>
      </c>
      <c r="K578">
        <v>1541</v>
      </c>
      <c r="L578">
        <v>16</v>
      </c>
      <c r="M578">
        <v>3236</v>
      </c>
      <c r="N578">
        <v>54</v>
      </c>
      <c r="O578">
        <v>532</v>
      </c>
      <c r="P578">
        <v>0</v>
      </c>
      <c r="Q578">
        <v>0</v>
      </c>
    </row>
    <row r="579" spans="1:17" x14ac:dyDescent="0.2">
      <c r="A579" s="121">
        <v>39478</v>
      </c>
      <c r="B579" t="s">
        <v>406</v>
      </c>
      <c r="C579" t="s">
        <v>491</v>
      </c>
      <c r="D579" t="s">
        <v>498</v>
      </c>
      <c r="E579" t="s">
        <v>499</v>
      </c>
      <c r="F579" t="s">
        <v>413</v>
      </c>
      <c r="G579">
        <v>5910</v>
      </c>
      <c r="H579">
        <v>5910</v>
      </c>
      <c r="I579">
        <v>5680</v>
      </c>
      <c r="J579">
        <v>5680</v>
      </c>
      <c r="K579">
        <v>2048</v>
      </c>
      <c r="L579">
        <v>14</v>
      </c>
      <c r="M579">
        <v>3476</v>
      </c>
      <c r="N579">
        <v>122</v>
      </c>
      <c r="O579">
        <v>250</v>
      </c>
      <c r="P579">
        <v>9</v>
      </c>
      <c r="Q579">
        <v>0</v>
      </c>
    </row>
    <row r="580" spans="1:17" x14ac:dyDescent="0.2">
      <c r="A580" s="121">
        <v>39478</v>
      </c>
      <c r="B580" t="s">
        <v>406</v>
      </c>
      <c r="C580" t="s">
        <v>491</v>
      </c>
      <c r="D580" t="s">
        <v>500</v>
      </c>
      <c r="E580" t="s">
        <v>501</v>
      </c>
      <c r="F580" t="s">
        <v>413</v>
      </c>
      <c r="G580">
        <v>3283</v>
      </c>
      <c r="H580">
        <v>3283</v>
      </c>
      <c r="I580">
        <v>3237</v>
      </c>
      <c r="J580">
        <v>3237</v>
      </c>
      <c r="K580">
        <v>991</v>
      </c>
      <c r="L580">
        <v>1</v>
      </c>
      <c r="M580">
        <v>2076</v>
      </c>
      <c r="N580">
        <v>33</v>
      </c>
      <c r="O580">
        <v>182</v>
      </c>
      <c r="P580">
        <v>0</v>
      </c>
      <c r="Q580">
        <v>0</v>
      </c>
    </row>
    <row r="581" spans="1:17" x14ac:dyDescent="0.2">
      <c r="A581" s="121">
        <v>39478</v>
      </c>
      <c r="B581" t="s">
        <v>406</v>
      </c>
      <c r="C581" t="s">
        <v>491</v>
      </c>
      <c r="D581" t="s">
        <v>502</v>
      </c>
      <c r="E581" t="s">
        <v>503</v>
      </c>
      <c r="F581" t="s">
        <v>413</v>
      </c>
      <c r="G581">
        <v>5259</v>
      </c>
      <c r="H581">
        <v>5259</v>
      </c>
      <c r="I581">
        <v>5174</v>
      </c>
      <c r="J581">
        <v>5174</v>
      </c>
      <c r="K581">
        <v>1447</v>
      </c>
      <c r="L581">
        <v>13</v>
      </c>
      <c r="M581">
        <v>3658</v>
      </c>
      <c r="N581">
        <v>98</v>
      </c>
      <c r="O581">
        <v>43</v>
      </c>
      <c r="P581">
        <v>2</v>
      </c>
      <c r="Q581">
        <v>0</v>
      </c>
    </row>
    <row r="582" spans="1:17" x14ac:dyDescent="0.2">
      <c r="A582" s="121">
        <v>39478</v>
      </c>
      <c r="B582" t="s">
        <v>406</v>
      </c>
      <c r="C582" t="s">
        <v>491</v>
      </c>
      <c r="D582" t="s">
        <v>504</v>
      </c>
      <c r="E582" t="s">
        <v>505</v>
      </c>
      <c r="F582" t="s">
        <v>413</v>
      </c>
      <c r="G582">
        <v>3878</v>
      </c>
      <c r="H582">
        <v>3878</v>
      </c>
      <c r="I582">
        <v>3796</v>
      </c>
      <c r="J582">
        <v>3796</v>
      </c>
      <c r="K582">
        <v>1292</v>
      </c>
      <c r="L582">
        <v>17</v>
      </c>
      <c r="M582">
        <v>2447</v>
      </c>
      <c r="N582">
        <v>25</v>
      </c>
      <c r="O582">
        <v>97</v>
      </c>
      <c r="P582">
        <v>1</v>
      </c>
      <c r="Q582">
        <v>0</v>
      </c>
    </row>
    <row r="583" spans="1:17" x14ac:dyDescent="0.2">
      <c r="A583" s="121">
        <v>39478</v>
      </c>
      <c r="B583" t="s">
        <v>406</v>
      </c>
      <c r="C583" t="s">
        <v>491</v>
      </c>
      <c r="D583" t="s">
        <v>506</v>
      </c>
      <c r="E583" t="s">
        <v>507</v>
      </c>
      <c r="F583" t="s">
        <v>413</v>
      </c>
      <c r="G583">
        <v>2989</v>
      </c>
      <c r="H583">
        <v>2989</v>
      </c>
      <c r="I583">
        <v>2918</v>
      </c>
      <c r="J583">
        <v>2918</v>
      </c>
      <c r="K583">
        <v>526</v>
      </c>
      <c r="L583">
        <v>0</v>
      </c>
      <c r="M583">
        <v>2461</v>
      </c>
      <c r="N583">
        <v>1</v>
      </c>
      <c r="O583">
        <v>1</v>
      </c>
      <c r="P583">
        <v>2</v>
      </c>
      <c r="Q583">
        <v>1</v>
      </c>
    </row>
    <row r="584" spans="1:17" x14ac:dyDescent="0.2">
      <c r="A584" s="121">
        <v>39478</v>
      </c>
      <c r="B584" t="s">
        <v>406</v>
      </c>
      <c r="C584" t="s">
        <v>491</v>
      </c>
      <c r="D584" t="s">
        <v>508</v>
      </c>
      <c r="E584" t="s">
        <v>509</v>
      </c>
      <c r="F584" t="s">
        <v>413</v>
      </c>
      <c r="G584">
        <v>4998</v>
      </c>
      <c r="H584">
        <v>4998</v>
      </c>
      <c r="I584">
        <v>4826</v>
      </c>
      <c r="J584">
        <v>4826</v>
      </c>
      <c r="K584">
        <v>1687</v>
      </c>
      <c r="L584">
        <v>11</v>
      </c>
      <c r="M584">
        <v>2880</v>
      </c>
      <c r="N584">
        <v>133</v>
      </c>
      <c r="O584">
        <v>287</v>
      </c>
      <c r="P584">
        <v>4</v>
      </c>
      <c r="Q584">
        <v>0</v>
      </c>
    </row>
    <row r="585" spans="1:17" x14ac:dyDescent="0.2">
      <c r="A585" s="121">
        <v>39478</v>
      </c>
      <c r="B585" t="s">
        <v>406</v>
      </c>
      <c r="C585" t="s">
        <v>510</v>
      </c>
      <c r="D585" t="s">
        <v>511</v>
      </c>
      <c r="E585" t="s">
        <v>512</v>
      </c>
      <c r="F585" t="s">
        <v>410</v>
      </c>
      <c r="G585">
        <v>529</v>
      </c>
      <c r="I585">
        <v>524</v>
      </c>
    </row>
    <row r="586" spans="1:17" x14ac:dyDescent="0.2">
      <c r="A586" s="121">
        <v>39478</v>
      </c>
      <c r="B586" t="s">
        <v>406</v>
      </c>
      <c r="C586" t="s">
        <v>510</v>
      </c>
      <c r="D586" t="s">
        <v>513</v>
      </c>
      <c r="E586" t="s">
        <v>514</v>
      </c>
      <c r="F586" t="s">
        <v>410</v>
      </c>
      <c r="G586">
        <v>438</v>
      </c>
      <c r="I586">
        <v>437</v>
      </c>
    </row>
    <row r="587" spans="1:17" x14ac:dyDescent="0.2">
      <c r="A587" s="121">
        <v>39478</v>
      </c>
      <c r="B587" t="s">
        <v>406</v>
      </c>
      <c r="C587" t="s">
        <v>510</v>
      </c>
      <c r="D587" t="s">
        <v>515</v>
      </c>
      <c r="E587" t="s">
        <v>516</v>
      </c>
      <c r="F587" t="s">
        <v>410</v>
      </c>
      <c r="G587">
        <v>56</v>
      </c>
      <c r="I587">
        <v>56</v>
      </c>
    </row>
    <row r="588" spans="1:17" x14ac:dyDescent="0.2">
      <c r="A588" s="121">
        <v>39478</v>
      </c>
      <c r="B588" t="s">
        <v>406</v>
      </c>
      <c r="C588" t="s">
        <v>510</v>
      </c>
      <c r="D588" t="s">
        <v>517</v>
      </c>
      <c r="E588" t="s">
        <v>518</v>
      </c>
      <c r="F588" t="s">
        <v>410</v>
      </c>
      <c r="G588">
        <v>293</v>
      </c>
      <c r="I588">
        <v>289</v>
      </c>
    </row>
    <row r="589" spans="1:17" x14ac:dyDescent="0.2">
      <c r="A589" s="121">
        <v>39478</v>
      </c>
      <c r="B589" t="s">
        <v>406</v>
      </c>
      <c r="C589" t="s">
        <v>510</v>
      </c>
      <c r="D589" t="s">
        <v>519</v>
      </c>
      <c r="E589" t="s">
        <v>520</v>
      </c>
      <c r="F589" t="s">
        <v>410</v>
      </c>
      <c r="G589">
        <v>349</v>
      </c>
      <c r="I589">
        <v>349</v>
      </c>
    </row>
    <row r="590" spans="1:17" x14ac:dyDescent="0.2">
      <c r="A590" s="121">
        <v>39478</v>
      </c>
      <c r="B590" t="s">
        <v>406</v>
      </c>
      <c r="C590" t="s">
        <v>510</v>
      </c>
      <c r="D590" t="s">
        <v>521</v>
      </c>
      <c r="E590" t="s">
        <v>522</v>
      </c>
      <c r="F590" t="s">
        <v>410</v>
      </c>
      <c r="G590">
        <v>40</v>
      </c>
      <c r="I590">
        <v>40</v>
      </c>
    </row>
    <row r="591" spans="1:17" x14ac:dyDescent="0.2">
      <c r="A591" s="121">
        <v>39478</v>
      </c>
      <c r="B591" t="s">
        <v>406</v>
      </c>
      <c r="C591" t="s">
        <v>510</v>
      </c>
      <c r="D591" t="s">
        <v>523</v>
      </c>
      <c r="E591" t="s">
        <v>524</v>
      </c>
      <c r="F591" t="s">
        <v>413</v>
      </c>
      <c r="G591">
        <v>362</v>
      </c>
      <c r="I591">
        <v>359</v>
      </c>
    </row>
    <row r="592" spans="1:17" x14ac:dyDescent="0.2">
      <c r="A592" s="121">
        <v>39478</v>
      </c>
      <c r="B592" t="s">
        <v>406</v>
      </c>
      <c r="C592" t="s">
        <v>510</v>
      </c>
      <c r="D592" t="s">
        <v>527</v>
      </c>
      <c r="E592" t="s">
        <v>528</v>
      </c>
      <c r="F592" t="s">
        <v>410</v>
      </c>
      <c r="G592">
        <v>93</v>
      </c>
      <c r="I592">
        <v>93</v>
      </c>
    </row>
    <row r="593" spans="1:17" x14ac:dyDescent="0.2">
      <c r="A593" s="121">
        <v>39478</v>
      </c>
      <c r="B593" t="s">
        <v>406</v>
      </c>
      <c r="C593" t="s">
        <v>510</v>
      </c>
      <c r="D593" t="s">
        <v>529</v>
      </c>
      <c r="E593" t="s">
        <v>530</v>
      </c>
      <c r="F593" t="s">
        <v>413</v>
      </c>
      <c r="G593">
        <v>400</v>
      </c>
      <c r="I593">
        <v>396</v>
      </c>
    </row>
    <row r="594" spans="1:17" x14ac:dyDescent="0.2">
      <c r="A594" s="121">
        <v>39478</v>
      </c>
      <c r="B594" t="s">
        <v>406</v>
      </c>
      <c r="C594" t="s">
        <v>510</v>
      </c>
      <c r="D594" t="s">
        <v>531</v>
      </c>
      <c r="E594" t="s">
        <v>532</v>
      </c>
      <c r="F594" t="s">
        <v>410</v>
      </c>
      <c r="G594">
        <v>40</v>
      </c>
      <c r="I594">
        <v>40</v>
      </c>
    </row>
    <row r="595" spans="1:17" x14ac:dyDescent="0.2">
      <c r="A595" s="121">
        <v>39478</v>
      </c>
      <c r="B595" t="s">
        <v>406</v>
      </c>
      <c r="C595" t="s">
        <v>510</v>
      </c>
      <c r="D595" t="s">
        <v>533</v>
      </c>
      <c r="E595" t="s">
        <v>534</v>
      </c>
      <c r="F595" t="s">
        <v>413</v>
      </c>
      <c r="G595">
        <v>2260</v>
      </c>
      <c r="H595">
        <v>2260</v>
      </c>
      <c r="I595">
        <v>2220</v>
      </c>
      <c r="J595">
        <v>2220</v>
      </c>
      <c r="K595">
        <v>501</v>
      </c>
      <c r="L595">
        <v>30</v>
      </c>
      <c r="M595">
        <v>1729</v>
      </c>
      <c r="N595">
        <v>0</v>
      </c>
      <c r="O595">
        <v>0</v>
      </c>
      <c r="P595">
        <v>3</v>
      </c>
      <c r="Q595">
        <v>0</v>
      </c>
    </row>
    <row r="596" spans="1:17" x14ac:dyDescent="0.2">
      <c r="A596" s="121">
        <v>39478</v>
      </c>
      <c r="B596" t="s">
        <v>406</v>
      </c>
      <c r="C596" t="s">
        <v>510</v>
      </c>
      <c r="D596" t="s">
        <v>535</v>
      </c>
      <c r="E596" t="s">
        <v>536</v>
      </c>
      <c r="F596" t="s">
        <v>410</v>
      </c>
      <c r="G596">
        <v>157</v>
      </c>
      <c r="I596">
        <v>157</v>
      </c>
    </row>
    <row r="597" spans="1:17" x14ac:dyDescent="0.2">
      <c r="A597" s="121">
        <v>39478</v>
      </c>
      <c r="B597" t="s">
        <v>406</v>
      </c>
      <c r="C597" t="s">
        <v>510</v>
      </c>
      <c r="D597" t="s">
        <v>537</v>
      </c>
      <c r="E597" t="s">
        <v>538</v>
      </c>
      <c r="F597" t="s">
        <v>410</v>
      </c>
      <c r="G597">
        <v>107</v>
      </c>
      <c r="I597">
        <v>106</v>
      </c>
    </row>
    <row r="598" spans="1:17" x14ac:dyDescent="0.2">
      <c r="A598" s="121">
        <v>39478</v>
      </c>
      <c r="B598" t="s">
        <v>406</v>
      </c>
      <c r="C598" t="s">
        <v>510</v>
      </c>
      <c r="D598" t="s">
        <v>539</v>
      </c>
      <c r="E598" t="s">
        <v>540</v>
      </c>
      <c r="F598" t="s">
        <v>413</v>
      </c>
      <c r="G598">
        <v>566</v>
      </c>
      <c r="I598">
        <v>556</v>
      </c>
    </row>
    <row r="599" spans="1:17" x14ac:dyDescent="0.2">
      <c r="A599" s="121">
        <v>39478</v>
      </c>
      <c r="B599" t="s">
        <v>406</v>
      </c>
      <c r="C599" t="s">
        <v>510</v>
      </c>
      <c r="D599" t="s">
        <v>541</v>
      </c>
      <c r="E599" t="s">
        <v>542</v>
      </c>
      <c r="F599" t="s">
        <v>410</v>
      </c>
      <c r="G599">
        <v>184</v>
      </c>
      <c r="I599">
        <v>181</v>
      </c>
    </row>
    <row r="600" spans="1:17" x14ac:dyDescent="0.2">
      <c r="A600" s="121">
        <v>39478</v>
      </c>
      <c r="B600" t="s">
        <v>406</v>
      </c>
      <c r="C600" t="s">
        <v>510</v>
      </c>
      <c r="D600" t="s">
        <v>543</v>
      </c>
      <c r="E600" t="s">
        <v>544</v>
      </c>
      <c r="F600" t="s">
        <v>410</v>
      </c>
      <c r="G600">
        <v>84</v>
      </c>
      <c r="I600">
        <v>80</v>
      </c>
    </row>
    <row r="601" spans="1:17" x14ac:dyDescent="0.2">
      <c r="A601" s="121">
        <v>39478</v>
      </c>
      <c r="B601" t="s">
        <v>406</v>
      </c>
      <c r="C601" t="s">
        <v>510</v>
      </c>
      <c r="D601" t="s">
        <v>545</v>
      </c>
      <c r="E601" t="s">
        <v>546</v>
      </c>
      <c r="F601" t="s">
        <v>410</v>
      </c>
      <c r="G601">
        <v>170</v>
      </c>
      <c r="I601">
        <v>170</v>
      </c>
    </row>
    <row r="602" spans="1:17" x14ac:dyDescent="0.2">
      <c r="A602" s="121">
        <v>39478</v>
      </c>
      <c r="B602" t="s">
        <v>406</v>
      </c>
      <c r="C602" t="s">
        <v>510</v>
      </c>
      <c r="D602" t="s">
        <v>547</v>
      </c>
      <c r="E602" t="s">
        <v>548</v>
      </c>
      <c r="F602" t="s">
        <v>410</v>
      </c>
      <c r="G602">
        <v>90</v>
      </c>
      <c r="I602">
        <v>90</v>
      </c>
    </row>
    <row r="603" spans="1:17" x14ac:dyDescent="0.2">
      <c r="A603" s="121">
        <v>39478</v>
      </c>
      <c r="B603" t="s">
        <v>406</v>
      </c>
      <c r="C603" t="s">
        <v>510</v>
      </c>
      <c r="D603" t="s">
        <v>549</v>
      </c>
      <c r="E603" t="s">
        <v>550</v>
      </c>
      <c r="F603" t="s">
        <v>410</v>
      </c>
      <c r="G603">
        <v>148</v>
      </c>
      <c r="I603">
        <v>148</v>
      </c>
    </row>
    <row r="604" spans="1:17" x14ac:dyDescent="0.2">
      <c r="A604" s="121">
        <v>39478</v>
      </c>
      <c r="B604" t="s">
        <v>406</v>
      </c>
      <c r="C604" t="s">
        <v>551</v>
      </c>
      <c r="D604" t="s">
        <v>552</v>
      </c>
      <c r="E604" t="s">
        <v>553</v>
      </c>
      <c r="F604" t="s">
        <v>413</v>
      </c>
      <c r="G604">
        <v>5230</v>
      </c>
      <c r="H604">
        <v>5230</v>
      </c>
      <c r="I604">
        <v>5189</v>
      </c>
      <c r="J604">
        <v>5189</v>
      </c>
      <c r="K604">
        <v>1641</v>
      </c>
      <c r="L604">
        <v>6</v>
      </c>
      <c r="M604">
        <v>3558</v>
      </c>
      <c r="N604">
        <v>15</v>
      </c>
      <c r="O604">
        <v>10</v>
      </c>
      <c r="P604">
        <v>3</v>
      </c>
      <c r="Q604">
        <v>0</v>
      </c>
    </row>
    <row r="605" spans="1:17" x14ac:dyDescent="0.2">
      <c r="A605" s="121">
        <v>39478</v>
      </c>
      <c r="B605" t="s">
        <v>406</v>
      </c>
      <c r="C605" t="s">
        <v>551</v>
      </c>
      <c r="D605" t="s">
        <v>554</v>
      </c>
      <c r="E605" t="s">
        <v>555</v>
      </c>
      <c r="F605" t="s">
        <v>410</v>
      </c>
      <c r="G605">
        <v>124</v>
      </c>
      <c r="I605">
        <v>124</v>
      </c>
    </row>
    <row r="606" spans="1:17" x14ac:dyDescent="0.2">
      <c r="A606" s="121">
        <v>39478</v>
      </c>
      <c r="B606" t="s">
        <v>406</v>
      </c>
      <c r="C606" t="s">
        <v>551</v>
      </c>
      <c r="D606" t="s">
        <v>556</v>
      </c>
      <c r="E606" t="s">
        <v>557</v>
      </c>
      <c r="F606" t="s">
        <v>410</v>
      </c>
      <c r="G606">
        <v>123</v>
      </c>
      <c r="I606">
        <v>123</v>
      </c>
    </row>
    <row r="607" spans="1:17" x14ac:dyDescent="0.2">
      <c r="A607" s="121">
        <v>39478</v>
      </c>
      <c r="B607" t="s">
        <v>406</v>
      </c>
      <c r="C607" t="s">
        <v>551</v>
      </c>
      <c r="D607" t="s">
        <v>558</v>
      </c>
      <c r="E607" t="s">
        <v>559</v>
      </c>
      <c r="F607" t="s">
        <v>413</v>
      </c>
      <c r="G607">
        <v>4566</v>
      </c>
      <c r="H607">
        <v>4566</v>
      </c>
      <c r="I607">
        <v>4436</v>
      </c>
      <c r="J607">
        <v>4436</v>
      </c>
      <c r="K607">
        <v>1241</v>
      </c>
      <c r="L607">
        <v>11</v>
      </c>
      <c r="M607">
        <v>3265</v>
      </c>
      <c r="N607">
        <v>15</v>
      </c>
      <c r="O607">
        <v>34</v>
      </c>
      <c r="P607">
        <v>17</v>
      </c>
      <c r="Q607">
        <v>9</v>
      </c>
    </row>
    <row r="608" spans="1:17" x14ac:dyDescent="0.2">
      <c r="A608" s="121">
        <v>39478</v>
      </c>
      <c r="B608" t="s">
        <v>406</v>
      </c>
      <c r="C608" t="s">
        <v>551</v>
      </c>
      <c r="D608" t="s">
        <v>560</v>
      </c>
      <c r="E608" t="s">
        <v>561</v>
      </c>
      <c r="F608" t="s">
        <v>413</v>
      </c>
      <c r="G608">
        <v>5264</v>
      </c>
      <c r="H608">
        <v>5264</v>
      </c>
      <c r="I608">
        <v>4997</v>
      </c>
      <c r="J608">
        <v>4997</v>
      </c>
      <c r="K608">
        <v>1322</v>
      </c>
      <c r="L608">
        <v>10</v>
      </c>
      <c r="M608">
        <v>3887</v>
      </c>
      <c r="N608">
        <v>9</v>
      </c>
      <c r="O608">
        <v>36</v>
      </c>
      <c r="P608">
        <v>78</v>
      </c>
      <c r="Q608">
        <v>31</v>
      </c>
    </row>
    <row r="609" spans="1:17" x14ac:dyDescent="0.2">
      <c r="A609" s="121">
        <v>39478</v>
      </c>
      <c r="B609" t="s">
        <v>406</v>
      </c>
      <c r="C609" t="s">
        <v>562</v>
      </c>
      <c r="D609" t="s">
        <v>603</v>
      </c>
      <c r="E609" t="s">
        <v>604</v>
      </c>
      <c r="F609" t="s">
        <v>410</v>
      </c>
      <c r="G609">
        <v>8</v>
      </c>
      <c r="I609">
        <v>8</v>
      </c>
    </row>
    <row r="610" spans="1:17" x14ac:dyDescent="0.2">
      <c r="A610" s="121">
        <v>39478</v>
      </c>
      <c r="B610" t="s">
        <v>406</v>
      </c>
      <c r="C610" t="s">
        <v>562</v>
      </c>
      <c r="D610" t="s">
        <v>605</v>
      </c>
      <c r="E610" t="s">
        <v>606</v>
      </c>
      <c r="F610" t="s">
        <v>410</v>
      </c>
      <c r="G610">
        <v>128</v>
      </c>
      <c r="I610">
        <v>128</v>
      </c>
    </row>
    <row r="611" spans="1:17" x14ac:dyDescent="0.2">
      <c r="A611" s="121">
        <v>39478</v>
      </c>
      <c r="B611" t="s">
        <v>406</v>
      </c>
      <c r="C611" t="s">
        <v>562</v>
      </c>
      <c r="D611" t="s">
        <v>563</v>
      </c>
      <c r="E611" t="s">
        <v>564</v>
      </c>
      <c r="F611" t="s">
        <v>410</v>
      </c>
      <c r="G611">
        <v>2744</v>
      </c>
      <c r="H611">
        <v>2744</v>
      </c>
      <c r="I611">
        <v>2659</v>
      </c>
      <c r="J611">
        <v>2659</v>
      </c>
      <c r="K611">
        <v>1011</v>
      </c>
      <c r="L611">
        <v>2</v>
      </c>
      <c r="M611">
        <v>1719</v>
      </c>
      <c r="N611">
        <v>12</v>
      </c>
      <c r="O611">
        <v>0</v>
      </c>
      <c r="P611">
        <v>1</v>
      </c>
      <c r="Q611">
        <v>0</v>
      </c>
    </row>
    <row r="612" spans="1:17" x14ac:dyDescent="0.2">
      <c r="A612" s="121">
        <v>39478</v>
      </c>
      <c r="B612" t="s">
        <v>406</v>
      </c>
      <c r="C612" t="s">
        <v>562</v>
      </c>
      <c r="D612" t="s">
        <v>565</v>
      </c>
      <c r="E612" t="s">
        <v>566</v>
      </c>
      <c r="F612" t="s">
        <v>413</v>
      </c>
      <c r="G612">
        <v>3584</v>
      </c>
      <c r="H612">
        <v>3584</v>
      </c>
      <c r="I612">
        <v>3571</v>
      </c>
      <c r="J612">
        <v>3571</v>
      </c>
      <c r="K612">
        <v>771</v>
      </c>
      <c r="L612">
        <v>9</v>
      </c>
      <c r="M612">
        <v>2550</v>
      </c>
      <c r="N612">
        <v>85</v>
      </c>
      <c r="O612">
        <v>169</v>
      </c>
      <c r="P612">
        <v>0</v>
      </c>
      <c r="Q612">
        <v>0</v>
      </c>
    </row>
    <row r="613" spans="1:17" x14ac:dyDescent="0.2">
      <c r="A613" s="121">
        <v>39478</v>
      </c>
      <c r="B613" t="s">
        <v>406</v>
      </c>
      <c r="C613" t="s">
        <v>562</v>
      </c>
      <c r="D613" t="s">
        <v>567</v>
      </c>
      <c r="E613" t="s">
        <v>568</v>
      </c>
      <c r="F613" t="s">
        <v>413</v>
      </c>
      <c r="G613">
        <v>8517</v>
      </c>
      <c r="H613">
        <v>8517</v>
      </c>
      <c r="I613">
        <v>8212</v>
      </c>
      <c r="J613">
        <v>8212</v>
      </c>
      <c r="K613">
        <v>2795</v>
      </c>
      <c r="L613">
        <v>28</v>
      </c>
      <c r="M613">
        <v>5569</v>
      </c>
      <c r="N613">
        <v>125</v>
      </c>
      <c r="O613">
        <v>0</v>
      </c>
      <c r="P613">
        <v>27</v>
      </c>
      <c r="Q613">
        <v>2</v>
      </c>
    </row>
    <row r="614" spans="1:17" x14ac:dyDescent="0.2">
      <c r="A614" s="121">
        <v>39478</v>
      </c>
      <c r="B614" t="s">
        <v>406</v>
      </c>
      <c r="C614" t="s">
        <v>562</v>
      </c>
      <c r="D614" t="s">
        <v>569</v>
      </c>
      <c r="E614" t="s">
        <v>570</v>
      </c>
      <c r="F614" t="s">
        <v>413</v>
      </c>
      <c r="G614">
        <v>2520</v>
      </c>
      <c r="H614">
        <v>2520</v>
      </c>
      <c r="I614">
        <v>2505</v>
      </c>
      <c r="J614">
        <v>2505</v>
      </c>
      <c r="K614">
        <v>427</v>
      </c>
      <c r="L614">
        <v>0</v>
      </c>
      <c r="M614">
        <v>2093</v>
      </c>
      <c r="N614">
        <v>0</v>
      </c>
      <c r="O614">
        <v>0</v>
      </c>
      <c r="P614">
        <v>0</v>
      </c>
      <c r="Q614">
        <v>0</v>
      </c>
    </row>
    <row r="615" spans="1:17" x14ac:dyDescent="0.2">
      <c r="A615" s="121">
        <v>39478</v>
      </c>
      <c r="B615" t="s">
        <v>406</v>
      </c>
      <c r="C615" t="s">
        <v>571</v>
      </c>
      <c r="D615" t="s">
        <v>572</v>
      </c>
      <c r="E615" t="s">
        <v>573</v>
      </c>
      <c r="F615" t="s">
        <v>410</v>
      </c>
      <c r="G615">
        <v>154</v>
      </c>
      <c r="I615">
        <v>154</v>
      </c>
    </row>
    <row r="616" spans="1:17" x14ac:dyDescent="0.2">
      <c r="A616" s="121">
        <v>39478</v>
      </c>
      <c r="B616" t="s">
        <v>406</v>
      </c>
      <c r="C616" t="s">
        <v>574</v>
      </c>
      <c r="D616" t="s">
        <v>575</v>
      </c>
      <c r="E616" t="s">
        <v>576</v>
      </c>
      <c r="F616" t="s">
        <v>413</v>
      </c>
      <c r="G616">
        <v>629</v>
      </c>
      <c r="H616">
        <v>629</v>
      </c>
      <c r="I616">
        <v>618</v>
      </c>
      <c r="J616">
        <v>618</v>
      </c>
      <c r="K616">
        <v>139</v>
      </c>
      <c r="L616">
        <v>0</v>
      </c>
      <c r="M616">
        <v>468</v>
      </c>
      <c r="N616">
        <v>2</v>
      </c>
      <c r="O616">
        <v>20</v>
      </c>
      <c r="P616">
        <v>0</v>
      </c>
      <c r="Q616">
        <v>0</v>
      </c>
    </row>
    <row r="617" spans="1:17" x14ac:dyDescent="0.2">
      <c r="A617" s="121">
        <v>39478</v>
      </c>
      <c r="B617" t="s">
        <v>406</v>
      </c>
      <c r="C617" t="s">
        <v>577</v>
      </c>
      <c r="D617" t="s">
        <v>578</v>
      </c>
      <c r="E617" t="s">
        <v>579</v>
      </c>
      <c r="F617" t="s">
        <v>413</v>
      </c>
      <c r="G617">
        <v>3727</v>
      </c>
      <c r="H617">
        <v>3727</v>
      </c>
      <c r="I617">
        <v>3660</v>
      </c>
      <c r="J617">
        <v>3660</v>
      </c>
      <c r="K617">
        <v>964</v>
      </c>
      <c r="L617">
        <v>19</v>
      </c>
      <c r="M617">
        <v>2461</v>
      </c>
      <c r="N617">
        <v>39</v>
      </c>
      <c r="O617">
        <v>244</v>
      </c>
      <c r="P617">
        <v>0</v>
      </c>
      <c r="Q617">
        <v>0</v>
      </c>
    </row>
    <row r="618" spans="1:17" x14ac:dyDescent="0.2">
      <c r="A618" s="121">
        <v>39478</v>
      </c>
      <c r="B618" t="s">
        <v>406</v>
      </c>
      <c r="C618" t="s">
        <v>577</v>
      </c>
      <c r="D618" t="s">
        <v>580</v>
      </c>
      <c r="E618" t="s">
        <v>581</v>
      </c>
      <c r="F618" t="s">
        <v>413</v>
      </c>
      <c r="G618">
        <v>1898</v>
      </c>
      <c r="H618">
        <v>1898</v>
      </c>
      <c r="I618">
        <v>1879</v>
      </c>
      <c r="J618">
        <v>1879</v>
      </c>
      <c r="K618">
        <v>357</v>
      </c>
      <c r="L618">
        <v>3</v>
      </c>
      <c r="M618">
        <v>1233</v>
      </c>
      <c r="N618">
        <v>58</v>
      </c>
      <c r="O618">
        <v>247</v>
      </c>
      <c r="P618">
        <v>1</v>
      </c>
      <c r="Q618">
        <v>0</v>
      </c>
    </row>
    <row r="619" spans="1:17" x14ac:dyDescent="0.2">
      <c r="A619" s="121">
        <v>39478</v>
      </c>
      <c r="B619" t="s">
        <v>406</v>
      </c>
      <c r="C619" t="s">
        <v>577</v>
      </c>
      <c r="D619" t="s">
        <v>582</v>
      </c>
      <c r="E619" t="s">
        <v>583</v>
      </c>
      <c r="F619" t="s">
        <v>410</v>
      </c>
      <c r="G619">
        <v>39</v>
      </c>
      <c r="H619">
        <v>39</v>
      </c>
      <c r="I619">
        <v>39</v>
      </c>
      <c r="J619">
        <v>39</v>
      </c>
      <c r="K619">
        <v>0</v>
      </c>
      <c r="L619">
        <v>0</v>
      </c>
      <c r="M619">
        <v>39</v>
      </c>
      <c r="N619">
        <v>0</v>
      </c>
      <c r="O619">
        <v>0</v>
      </c>
      <c r="P619">
        <v>0</v>
      </c>
      <c r="Q619">
        <v>0</v>
      </c>
    </row>
    <row r="620" spans="1:17" x14ac:dyDescent="0.2">
      <c r="A620" s="121">
        <v>39478</v>
      </c>
      <c r="B620" t="s">
        <v>406</v>
      </c>
      <c r="C620" t="s">
        <v>577</v>
      </c>
      <c r="D620" t="s">
        <v>584</v>
      </c>
      <c r="E620" t="s">
        <v>585</v>
      </c>
      <c r="F620" t="s">
        <v>410</v>
      </c>
      <c r="G620">
        <v>137</v>
      </c>
      <c r="H620">
        <v>137</v>
      </c>
      <c r="I620">
        <v>137</v>
      </c>
      <c r="J620">
        <v>137</v>
      </c>
      <c r="K620">
        <v>2</v>
      </c>
      <c r="L620">
        <v>0</v>
      </c>
      <c r="M620">
        <v>135</v>
      </c>
      <c r="N620">
        <v>0</v>
      </c>
      <c r="O620">
        <v>0</v>
      </c>
      <c r="P620">
        <v>0</v>
      </c>
      <c r="Q620">
        <v>0</v>
      </c>
    </row>
    <row r="621" spans="1:17" x14ac:dyDescent="0.2">
      <c r="A621" s="121">
        <v>39478</v>
      </c>
      <c r="B621" t="s">
        <v>406</v>
      </c>
      <c r="C621" t="s">
        <v>577</v>
      </c>
      <c r="D621" t="s">
        <v>586</v>
      </c>
      <c r="E621" t="s">
        <v>587</v>
      </c>
      <c r="F621" t="s">
        <v>410</v>
      </c>
      <c r="G621">
        <v>607</v>
      </c>
      <c r="H621">
        <v>607</v>
      </c>
      <c r="I621">
        <v>607</v>
      </c>
      <c r="J621">
        <v>607</v>
      </c>
      <c r="K621">
        <v>31</v>
      </c>
      <c r="L621">
        <v>0</v>
      </c>
      <c r="M621">
        <v>576</v>
      </c>
      <c r="N621">
        <v>0</v>
      </c>
      <c r="O621">
        <v>0</v>
      </c>
      <c r="P621">
        <v>0</v>
      </c>
      <c r="Q621">
        <v>0</v>
      </c>
    </row>
    <row r="622" spans="1:17" x14ac:dyDescent="0.2">
      <c r="A622" s="121">
        <v>39478</v>
      </c>
      <c r="B622" t="s">
        <v>406</v>
      </c>
      <c r="C622" t="s">
        <v>577</v>
      </c>
      <c r="D622" t="s">
        <v>588</v>
      </c>
      <c r="E622" t="s">
        <v>589</v>
      </c>
      <c r="F622" t="s">
        <v>410</v>
      </c>
      <c r="G622">
        <v>153</v>
      </c>
      <c r="H622">
        <v>153</v>
      </c>
      <c r="I622">
        <v>153</v>
      </c>
      <c r="J622">
        <v>153</v>
      </c>
      <c r="K622">
        <v>3</v>
      </c>
      <c r="L622">
        <v>0</v>
      </c>
      <c r="M622">
        <v>150</v>
      </c>
      <c r="N622">
        <v>0</v>
      </c>
      <c r="O622">
        <v>0</v>
      </c>
      <c r="P622">
        <v>0</v>
      </c>
      <c r="Q622">
        <v>0</v>
      </c>
    </row>
    <row r="623" spans="1:17" x14ac:dyDescent="0.2">
      <c r="A623" s="121">
        <v>39478</v>
      </c>
      <c r="B623" t="s">
        <v>406</v>
      </c>
      <c r="C623" t="s">
        <v>577</v>
      </c>
      <c r="D623" t="s">
        <v>590</v>
      </c>
      <c r="E623" t="s">
        <v>591</v>
      </c>
      <c r="F623" t="s">
        <v>410</v>
      </c>
      <c r="G623">
        <v>410</v>
      </c>
      <c r="H623">
        <v>410</v>
      </c>
      <c r="I623">
        <v>410</v>
      </c>
      <c r="J623">
        <v>410</v>
      </c>
      <c r="K623">
        <v>3</v>
      </c>
      <c r="L623">
        <v>0</v>
      </c>
      <c r="M623">
        <v>407</v>
      </c>
      <c r="N623">
        <v>0</v>
      </c>
      <c r="O623">
        <v>0</v>
      </c>
      <c r="P623">
        <v>0</v>
      </c>
      <c r="Q623">
        <v>0</v>
      </c>
    </row>
    <row r="624" spans="1:17" x14ac:dyDescent="0.2">
      <c r="A624" s="121">
        <v>39478</v>
      </c>
      <c r="B624" t="s">
        <v>406</v>
      </c>
      <c r="C624" t="s">
        <v>577</v>
      </c>
      <c r="D624" t="s">
        <v>592</v>
      </c>
      <c r="E624" t="s">
        <v>593</v>
      </c>
      <c r="F624" t="s">
        <v>410</v>
      </c>
      <c r="G624">
        <v>380</v>
      </c>
      <c r="H624">
        <v>380</v>
      </c>
      <c r="I624">
        <v>380</v>
      </c>
      <c r="J624">
        <v>380</v>
      </c>
      <c r="K624">
        <v>8</v>
      </c>
      <c r="L624">
        <v>0</v>
      </c>
      <c r="M624">
        <v>372</v>
      </c>
      <c r="N624">
        <v>0</v>
      </c>
      <c r="O624">
        <v>0</v>
      </c>
      <c r="P624">
        <v>0</v>
      </c>
      <c r="Q624">
        <v>0</v>
      </c>
    </row>
    <row r="625" spans="1:17" x14ac:dyDescent="0.2">
      <c r="A625" s="121">
        <v>39478</v>
      </c>
      <c r="B625" t="s">
        <v>406</v>
      </c>
      <c r="C625" t="s">
        <v>594</v>
      </c>
      <c r="D625" t="s">
        <v>595</v>
      </c>
      <c r="E625" t="s">
        <v>596</v>
      </c>
      <c r="F625" t="s">
        <v>410</v>
      </c>
      <c r="G625">
        <v>11</v>
      </c>
      <c r="I625">
        <v>11</v>
      </c>
    </row>
    <row r="626" spans="1:17" x14ac:dyDescent="0.2">
      <c r="A626" s="121">
        <v>39478</v>
      </c>
      <c r="B626" t="s">
        <v>406</v>
      </c>
      <c r="C626" t="s">
        <v>594</v>
      </c>
      <c r="D626" t="s">
        <v>597</v>
      </c>
      <c r="E626" t="s">
        <v>598</v>
      </c>
      <c r="F626" t="s">
        <v>413</v>
      </c>
      <c r="G626">
        <v>517</v>
      </c>
      <c r="H626">
        <v>517</v>
      </c>
      <c r="I626">
        <v>510</v>
      </c>
      <c r="J626">
        <v>510</v>
      </c>
      <c r="K626">
        <v>130</v>
      </c>
      <c r="L626">
        <v>0</v>
      </c>
      <c r="M626">
        <v>379</v>
      </c>
      <c r="N626">
        <v>0</v>
      </c>
      <c r="O626">
        <v>8</v>
      </c>
      <c r="P626">
        <v>0</v>
      </c>
      <c r="Q626">
        <v>0</v>
      </c>
    </row>
    <row r="627" spans="1:17" x14ac:dyDescent="0.2">
      <c r="A627" s="121">
        <v>39478</v>
      </c>
      <c r="B627" t="s">
        <v>406</v>
      </c>
      <c r="C627" t="s">
        <v>594</v>
      </c>
      <c r="D627" t="s">
        <v>599</v>
      </c>
      <c r="E627" t="s">
        <v>600</v>
      </c>
      <c r="F627" t="s">
        <v>410</v>
      </c>
      <c r="G627">
        <v>75</v>
      </c>
      <c r="I627">
        <v>75</v>
      </c>
    </row>
    <row r="628" spans="1:17" x14ac:dyDescent="0.2">
      <c r="A628" s="121">
        <v>39507</v>
      </c>
      <c r="B628" t="s">
        <v>406</v>
      </c>
      <c r="C628" t="s">
        <v>407</v>
      </c>
      <c r="D628" t="s">
        <v>408</v>
      </c>
      <c r="E628" t="s">
        <v>409</v>
      </c>
      <c r="F628" t="s">
        <v>410</v>
      </c>
      <c r="G628">
        <v>145</v>
      </c>
      <c r="I628">
        <v>145</v>
      </c>
    </row>
    <row r="629" spans="1:17" x14ac:dyDescent="0.2">
      <c r="A629" s="121">
        <v>39507</v>
      </c>
      <c r="B629" t="s">
        <v>406</v>
      </c>
      <c r="C629" t="s">
        <v>407</v>
      </c>
      <c r="D629" t="s">
        <v>601</v>
      </c>
      <c r="E629" t="s">
        <v>602</v>
      </c>
      <c r="F629" t="s">
        <v>410</v>
      </c>
      <c r="G629">
        <v>72</v>
      </c>
      <c r="I629">
        <v>72</v>
      </c>
    </row>
    <row r="630" spans="1:17" x14ac:dyDescent="0.2">
      <c r="A630" s="121">
        <v>39507</v>
      </c>
      <c r="B630" t="s">
        <v>406</v>
      </c>
      <c r="C630" t="s">
        <v>407</v>
      </c>
      <c r="D630" t="s">
        <v>411</v>
      </c>
      <c r="E630" t="s">
        <v>412</v>
      </c>
      <c r="F630" t="s">
        <v>413</v>
      </c>
      <c r="G630">
        <v>5111</v>
      </c>
      <c r="H630">
        <v>5111</v>
      </c>
      <c r="I630">
        <v>5038</v>
      </c>
      <c r="J630">
        <v>5038</v>
      </c>
      <c r="K630">
        <v>1613</v>
      </c>
      <c r="L630">
        <v>7</v>
      </c>
      <c r="M630">
        <v>3259</v>
      </c>
      <c r="N630">
        <v>60</v>
      </c>
      <c r="O630">
        <v>172</v>
      </c>
      <c r="P630">
        <v>3</v>
      </c>
      <c r="Q630">
        <v>2</v>
      </c>
    </row>
    <row r="631" spans="1:17" x14ac:dyDescent="0.2">
      <c r="A631" s="121">
        <v>39507</v>
      </c>
      <c r="B631" t="s">
        <v>406</v>
      </c>
      <c r="C631" t="s">
        <v>407</v>
      </c>
      <c r="D631" t="s">
        <v>414</v>
      </c>
      <c r="E631" t="s">
        <v>415</v>
      </c>
      <c r="F631" t="s">
        <v>410</v>
      </c>
      <c r="G631">
        <v>72</v>
      </c>
      <c r="I631">
        <v>72</v>
      </c>
    </row>
    <row r="632" spans="1:17" x14ac:dyDescent="0.2">
      <c r="A632" s="121">
        <v>39507</v>
      </c>
      <c r="B632" t="s">
        <v>406</v>
      </c>
      <c r="C632" t="s">
        <v>407</v>
      </c>
      <c r="D632" t="s">
        <v>416</v>
      </c>
      <c r="E632" t="s">
        <v>417</v>
      </c>
      <c r="F632" t="s">
        <v>413</v>
      </c>
      <c r="G632">
        <v>3155</v>
      </c>
      <c r="H632">
        <v>3155</v>
      </c>
      <c r="I632">
        <v>3124</v>
      </c>
      <c r="J632">
        <v>3124</v>
      </c>
      <c r="K632">
        <v>1188</v>
      </c>
      <c r="L632">
        <v>0</v>
      </c>
      <c r="M632">
        <v>1828</v>
      </c>
      <c r="N632">
        <v>82</v>
      </c>
      <c r="O632">
        <v>57</v>
      </c>
      <c r="P632">
        <v>0</v>
      </c>
      <c r="Q632">
        <v>0</v>
      </c>
    </row>
    <row r="633" spans="1:17" x14ac:dyDescent="0.2">
      <c r="A633" s="121">
        <v>39507</v>
      </c>
      <c r="B633" t="s">
        <v>406</v>
      </c>
      <c r="C633" t="s">
        <v>418</v>
      </c>
      <c r="D633" t="s">
        <v>419</v>
      </c>
      <c r="E633" t="s">
        <v>420</v>
      </c>
      <c r="F633" t="s">
        <v>410</v>
      </c>
      <c r="G633">
        <v>10</v>
      </c>
      <c r="I633">
        <v>10</v>
      </c>
    </row>
    <row r="634" spans="1:17" x14ac:dyDescent="0.2">
      <c r="A634" s="121">
        <v>39507</v>
      </c>
      <c r="B634" t="s">
        <v>406</v>
      </c>
      <c r="C634" t="s">
        <v>418</v>
      </c>
      <c r="D634" t="s">
        <v>421</v>
      </c>
      <c r="E634" t="s">
        <v>422</v>
      </c>
      <c r="F634" t="s">
        <v>410</v>
      </c>
      <c r="G634">
        <v>81</v>
      </c>
      <c r="I634">
        <v>81</v>
      </c>
    </row>
    <row r="635" spans="1:17" x14ac:dyDescent="0.2">
      <c r="A635" s="121">
        <v>39507</v>
      </c>
      <c r="B635" t="s">
        <v>406</v>
      </c>
      <c r="C635" t="s">
        <v>418</v>
      </c>
      <c r="D635" t="s">
        <v>423</v>
      </c>
      <c r="E635" t="s">
        <v>424</v>
      </c>
      <c r="F635" t="s">
        <v>410</v>
      </c>
      <c r="G635">
        <v>23</v>
      </c>
      <c r="I635">
        <v>23</v>
      </c>
    </row>
    <row r="636" spans="1:17" x14ac:dyDescent="0.2">
      <c r="A636" s="121">
        <v>39507</v>
      </c>
      <c r="B636" t="s">
        <v>406</v>
      </c>
      <c r="C636" t="s">
        <v>418</v>
      </c>
      <c r="D636" t="s">
        <v>425</v>
      </c>
      <c r="E636" t="s">
        <v>426</v>
      </c>
      <c r="F636" t="s">
        <v>410</v>
      </c>
      <c r="G636">
        <v>91</v>
      </c>
      <c r="I636">
        <v>91</v>
      </c>
    </row>
    <row r="637" spans="1:17" x14ac:dyDescent="0.2">
      <c r="A637" s="121">
        <v>39507</v>
      </c>
      <c r="B637" t="s">
        <v>406</v>
      </c>
      <c r="C637" t="s">
        <v>418</v>
      </c>
      <c r="D637" t="s">
        <v>427</v>
      </c>
      <c r="E637" t="s">
        <v>428</v>
      </c>
      <c r="F637" t="s">
        <v>413</v>
      </c>
      <c r="G637">
        <v>1683</v>
      </c>
      <c r="H637">
        <v>1683</v>
      </c>
      <c r="I637">
        <v>1664</v>
      </c>
      <c r="J637">
        <v>1664</v>
      </c>
      <c r="K637">
        <v>593</v>
      </c>
      <c r="L637">
        <v>2</v>
      </c>
      <c r="M637">
        <v>883</v>
      </c>
      <c r="N637">
        <v>25</v>
      </c>
      <c r="O637">
        <v>180</v>
      </c>
      <c r="P637">
        <v>0</v>
      </c>
      <c r="Q637">
        <v>0</v>
      </c>
    </row>
    <row r="638" spans="1:17" x14ac:dyDescent="0.2">
      <c r="A638" s="121">
        <v>39507</v>
      </c>
      <c r="B638" t="s">
        <v>406</v>
      </c>
      <c r="C638" t="s">
        <v>429</v>
      </c>
      <c r="D638" t="s">
        <v>430</v>
      </c>
      <c r="E638" t="s">
        <v>431</v>
      </c>
      <c r="F638" t="s">
        <v>410</v>
      </c>
      <c r="G638">
        <v>38</v>
      </c>
      <c r="I638">
        <v>38</v>
      </c>
    </row>
    <row r="639" spans="1:17" x14ac:dyDescent="0.2">
      <c r="A639" s="121">
        <v>39507</v>
      </c>
      <c r="B639" t="s">
        <v>406</v>
      </c>
      <c r="C639" t="s">
        <v>429</v>
      </c>
      <c r="D639" t="s">
        <v>432</v>
      </c>
      <c r="E639" t="s">
        <v>433</v>
      </c>
      <c r="F639" t="s">
        <v>410</v>
      </c>
      <c r="G639">
        <v>40</v>
      </c>
      <c r="I639">
        <v>40</v>
      </c>
    </row>
    <row r="640" spans="1:17" x14ac:dyDescent="0.2">
      <c r="A640" s="121">
        <v>39507</v>
      </c>
      <c r="B640" t="s">
        <v>406</v>
      </c>
      <c r="C640" t="s">
        <v>429</v>
      </c>
      <c r="D640" t="s">
        <v>434</v>
      </c>
      <c r="E640" t="s">
        <v>435</v>
      </c>
      <c r="F640" t="s">
        <v>410</v>
      </c>
      <c r="G640">
        <v>6</v>
      </c>
      <c r="I640">
        <v>6</v>
      </c>
    </row>
    <row r="641" spans="1:17" x14ac:dyDescent="0.2">
      <c r="A641" s="121">
        <v>39507</v>
      </c>
      <c r="B641" t="s">
        <v>406</v>
      </c>
      <c r="C641" t="s">
        <v>429</v>
      </c>
      <c r="D641" t="s">
        <v>436</v>
      </c>
      <c r="E641" t="s">
        <v>437</v>
      </c>
      <c r="F641" t="s">
        <v>410</v>
      </c>
      <c r="G641">
        <v>46</v>
      </c>
      <c r="I641">
        <v>46</v>
      </c>
    </row>
    <row r="642" spans="1:17" x14ac:dyDescent="0.2">
      <c r="A642" s="121">
        <v>39507</v>
      </c>
      <c r="B642" t="s">
        <v>406</v>
      </c>
      <c r="C642" t="s">
        <v>429</v>
      </c>
      <c r="D642" t="s">
        <v>438</v>
      </c>
      <c r="E642" t="s">
        <v>439</v>
      </c>
      <c r="F642" t="s">
        <v>413</v>
      </c>
      <c r="G642">
        <v>918</v>
      </c>
      <c r="H642">
        <v>918</v>
      </c>
      <c r="I642">
        <v>902</v>
      </c>
      <c r="J642">
        <v>902</v>
      </c>
      <c r="K642">
        <v>105</v>
      </c>
      <c r="L642">
        <v>2</v>
      </c>
      <c r="M642">
        <v>799</v>
      </c>
      <c r="N642">
        <v>12</v>
      </c>
      <c r="O642">
        <v>0</v>
      </c>
      <c r="P642">
        <v>3</v>
      </c>
      <c r="Q642">
        <v>0</v>
      </c>
    </row>
    <row r="643" spans="1:17" x14ac:dyDescent="0.2">
      <c r="A643" s="121">
        <v>39507</v>
      </c>
      <c r="B643" t="s">
        <v>406</v>
      </c>
      <c r="C643" t="s">
        <v>429</v>
      </c>
      <c r="D643" t="s">
        <v>440</v>
      </c>
      <c r="E643" t="s">
        <v>441</v>
      </c>
      <c r="F643" t="s">
        <v>413</v>
      </c>
      <c r="G643">
        <v>2586</v>
      </c>
      <c r="H643">
        <v>2586</v>
      </c>
      <c r="I643">
        <v>2509</v>
      </c>
      <c r="J643">
        <v>2509</v>
      </c>
      <c r="K643">
        <v>930</v>
      </c>
      <c r="L643">
        <v>4</v>
      </c>
      <c r="M643">
        <v>1604</v>
      </c>
      <c r="N643">
        <v>21</v>
      </c>
      <c r="O643">
        <v>27</v>
      </c>
      <c r="P643">
        <v>0</v>
      </c>
      <c r="Q643">
        <v>0</v>
      </c>
    </row>
    <row r="644" spans="1:17" x14ac:dyDescent="0.2">
      <c r="A644" s="121">
        <v>39507</v>
      </c>
      <c r="B644" t="s">
        <v>406</v>
      </c>
      <c r="C644" t="s">
        <v>442</v>
      </c>
      <c r="D644" t="s">
        <v>443</v>
      </c>
      <c r="E644" t="s">
        <v>444</v>
      </c>
      <c r="F644" t="s">
        <v>413</v>
      </c>
      <c r="G644">
        <v>3344</v>
      </c>
      <c r="H644">
        <v>3344</v>
      </c>
      <c r="I644">
        <v>3206</v>
      </c>
      <c r="J644">
        <v>3206</v>
      </c>
      <c r="K644">
        <v>597</v>
      </c>
      <c r="L644">
        <v>31</v>
      </c>
      <c r="M644">
        <v>2567</v>
      </c>
      <c r="N644">
        <v>33</v>
      </c>
      <c r="O644">
        <v>116</v>
      </c>
      <c r="P644">
        <v>7</v>
      </c>
      <c r="Q644">
        <v>2</v>
      </c>
    </row>
    <row r="645" spans="1:17" x14ac:dyDescent="0.2">
      <c r="A645" s="121">
        <v>39507</v>
      </c>
      <c r="B645" t="s">
        <v>406</v>
      </c>
      <c r="C645" t="s">
        <v>442</v>
      </c>
      <c r="D645" t="s">
        <v>445</v>
      </c>
      <c r="E645" t="s">
        <v>446</v>
      </c>
      <c r="F645" t="s">
        <v>410</v>
      </c>
      <c r="G645">
        <v>133</v>
      </c>
      <c r="I645">
        <v>133</v>
      </c>
    </row>
    <row r="646" spans="1:17" x14ac:dyDescent="0.2">
      <c r="A646" s="121">
        <v>39507</v>
      </c>
      <c r="B646" t="s">
        <v>406</v>
      </c>
      <c r="C646" t="s">
        <v>442</v>
      </c>
      <c r="D646" t="s">
        <v>447</v>
      </c>
      <c r="E646" t="s">
        <v>448</v>
      </c>
      <c r="F646" t="s">
        <v>410</v>
      </c>
      <c r="G646">
        <v>251</v>
      </c>
      <c r="I646">
        <v>250</v>
      </c>
    </row>
    <row r="647" spans="1:17" x14ac:dyDescent="0.2">
      <c r="A647" s="121">
        <v>39507</v>
      </c>
      <c r="B647" t="s">
        <v>406</v>
      </c>
      <c r="C647" t="s">
        <v>442</v>
      </c>
      <c r="D647" t="s">
        <v>449</v>
      </c>
      <c r="E647" t="s">
        <v>450</v>
      </c>
      <c r="F647" t="s">
        <v>413</v>
      </c>
      <c r="G647">
        <v>3124</v>
      </c>
      <c r="H647">
        <v>3124</v>
      </c>
      <c r="I647">
        <v>3059</v>
      </c>
      <c r="J647">
        <v>3059</v>
      </c>
      <c r="K647">
        <v>656</v>
      </c>
      <c r="L647">
        <v>45</v>
      </c>
      <c r="M647">
        <v>2372</v>
      </c>
      <c r="N647">
        <v>17</v>
      </c>
      <c r="O647">
        <v>34</v>
      </c>
      <c r="P647">
        <v>2</v>
      </c>
      <c r="Q647">
        <v>0</v>
      </c>
    </row>
    <row r="648" spans="1:17" x14ac:dyDescent="0.2">
      <c r="A648" s="121">
        <v>39507</v>
      </c>
      <c r="B648" t="s">
        <v>406</v>
      </c>
      <c r="C648" t="s">
        <v>451</v>
      </c>
      <c r="D648" t="s">
        <v>452</v>
      </c>
      <c r="E648" t="s">
        <v>453</v>
      </c>
      <c r="F648" t="s">
        <v>410</v>
      </c>
      <c r="G648">
        <v>1526</v>
      </c>
      <c r="H648">
        <v>1526</v>
      </c>
      <c r="I648">
        <v>1524</v>
      </c>
      <c r="J648">
        <v>1524</v>
      </c>
      <c r="K648">
        <v>0</v>
      </c>
      <c r="L648">
        <v>0</v>
      </c>
      <c r="M648">
        <v>1098</v>
      </c>
      <c r="N648">
        <v>177</v>
      </c>
      <c r="O648">
        <v>251</v>
      </c>
      <c r="P648">
        <v>0</v>
      </c>
      <c r="Q648">
        <v>0</v>
      </c>
    </row>
    <row r="649" spans="1:17" x14ac:dyDescent="0.2">
      <c r="A649" s="121">
        <v>39507</v>
      </c>
      <c r="B649" t="s">
        <v>406</v>
      </c>
      <c r="C649" t="s">
        <v>451</v>
      </c>
      <c r="D649" t="s">
        <v>454</v>
      </c>
      <c r="E649" t="s">
        <v>455</v>
      </c>
      <c r="F649" t="s">
        <v>413</v>
      </c>
      <c r="G649">
        <v>3713</v>
      </c>
      <c r="H649">
        <v>3713</v>
      </c>
      <c r="I649">
        <v>3627</v>
      </c>
      <c r="J649">
        <v>3627</v>
      </c>
      <c r="K649">
        <v>1057</v>
      </c>
      <c r="L649">
        <v>8</v>
      </c>
      <c r="M649">
        <v>2134</v>
      </c>
      <c r="N649">
        <v>35</v>
      </c>
      <c r="O649">
        <v>479</v>
      </c>
      <c r="P649">
        <v>4</v>
      </c>
      <c r="Q649">
        <v>2</v>
      </c>
    </row>
    <row r="650" spans="1:17" x14ac:dyDescent="0.2">
      <c r="A650" s="121">
        <v>39507</v>
      </c>
      <c r="B650" t="s">
        <v>406</v>
      </c>
      <c r="C650" t="s">
        <v>456</v>
      </c>
      <c r="D650" t="s">
        <v>457</v>
      </c>
      <c r="E650" t="s">
        <v>458</v>
      </c>
      <c r="F650" t="s">
        <v>413</v>
      </c>
      <c r="G650">
        <v>4901</v>
      </c>
      <c r="H650">
        <v>4901</v>
      </c>
      <c r="I650">
        <v>4577</v>
      </c>
      <c r="J650">
        <v>4577</v>
      </c>
      <c r="K650">
        <v>1175</v>
      </c>
      <c r="L650">
        <v>28</v>
      </c>
      <c r="M650">
        <v>3580</v>
      </c>
      <c r="N650">
        <v>86</v>
      </c>
      <c r="O650">
        <v>32</v>
      </c>
      <c r="P650">
        <v>49</v>
      </c>
      <c r="Q650">
        <v>7</v>
      </c>
    </row>
    <row r="651" spans="1:17" x14ac:dyDescent="0.2">
      <c r="A651" s="121">
        <v>39507</v>
      </c>
      <c r="B651" t="s">
        <v>406</v>
      </c>
      <c r="C651" t="s">
        <v>456</v>
      </c>
      <c r="D651" t="s">
        <v>459</v>
      </c>
      <c r="E651" t="s">
        <v>460</v>
      </c>
      <c r="F651" t="s">
        <v>413</v>
      </c>
      <c r="G651">
        <v>1383</v>
      </c>
      <c r="H651">
        <v>1383</v>
      </c>
      <c r="I651">
        <v>1378</v>
      </c>
      <c r="J651">
        <v>1378</v>
      </c>
      <c r="K651">
        <v>425</v>
      </c>
      <c r="L651">
        <v>0</v>
      </c>
      <c r="M651">
        <v>957</v>
      </c>
      <c r="N651">
        <v>1</v>
      </c>
      <c r="O651">
        <v>0</v>
      </c>
      <c r="P651">
        <v>0</v>
      </c>
      <c r="Q651">
        <v>0</v>
      </c>
    </row>
    <row r="652" spans="1:17" x14ac:dyDescent="0.2">
      <c r="A652" s="121">
        <v>39507</v>
      </c>
      <c r="B652" t="s">
        <v>406</v>
      </c>
      <c r="C652" t="s">
        <v>456</v>
      </c>
      <c r="D652" t="s">
        <v>461</v>
      </c>
      <c r="E652" t="s">
        <v>462</v>
      </c>
      <c r="F652" t="s">
        <v>410</v>
      </c>
      <c r="G652">
        <v>56</v>
      </c>
      <c r="I652">
        <v>56</v>
      </c>
    </row>
    <row r="653" spans="1:17" x14ac:dyDescent="0.2">
      <c r="A653" s="121">
        <v>39507</v>
      </c>
      <c r="B653" t="s">
        <v>406</v>
      </c>
      <c r="C653" t="s">
        <v>456</v>
      </c>
      <c r="D653" t="s">
        <v>463</v>
      </c>
      <c r="E653" t="s">
        <v>464</v>
      </c>
      <c r="F653" t="s">
        <v>410</v>
      </c>
      <c r="G653">
        <v>31</v>
      </c>
      <c r="I653">
        <v>31</v>
      </c>
    </row>
    <row r="654" spans="1:17" x14ac:dyDescent="0.2">
      <c r="A654" s="121">
        <v>39507</v>
      </c>
      <c r="B654" t="s">
        <v>406</v>
      </c>
      <c r="C654" t="s">
        <v>456</v>
      </c>
      <c r="D654" t="s">
        <v>465</v>
      </c>
      <c r="E654" t="s">
        <v>466</v>
      </c>
      <c r="F654" t="s">
        <v>410</v>
      </c>
      <c r="G654">
        <v>54</v>
      </c>
      <c r="I654">
        <v>54</v>
      </c>
    </row>
    <row r="655" spans="1:17" x14ac:dyDescent="0.2">
      <c r="A655" s="121">
        <v>39507</v>
      </c>
      <c r="B655" t="s">
        <v>406</v>
      </c>
      <c r="C655" t="s">
        <v>456</v>
      </c>
      <c r="D655" t="s">
        <v>467</v>
      </c>
      <c r="E655" t="s">
        <v>468</v>
      </c>
      <c r="F655" t="s">
        <v>410</v>
      </c>
      <c r="G655">
        <v>1007</v>
      </c>
      <c r="I655">
        <v>1007</v>
      </c>
    </row>
    <row r="656" spans="1:17" x14ac:dyDescent="0.2">
      <c r="A656" s="121">
        <v>39507</v>
      </c>
      <c r="B656" t="s">
        <v>406</v>
      </c>
      <c r="C656" t="s">
        <v>456</v>
      </c>
      <c r="D656" t="s">
        <v>469</v>
      </c>
      <c r="E656" t="s">
        <v>470</v>
      </c>
      <c r="F656" t="s">
        <v>410</v>
      </c>
      <c r="G656">
        <v>768</v>
      </c>
      <c r="I656">
        <v>765</v>
      </c>
    </row>
    <row r="657" spans="1:17" x14ac:dyDescent="0.2">
      <c r="A657" s="121">
        <v>39507</v>
      </c>
      <c r="B657" t="s">
        <v>406</v>
      </c>
      <c r="C657" t="s">
        <v>456</v>
      </c>
      <c r="D657" t="s">
        <v>471</v>
      </c>
      <c r="E657" t="s">
        <v>472</v>
      </c>
      <c r="F657" t="s">
        <v>410</v>
      </c>
      <c r="G657">
        <v>207</v>
      </c>
      <c r="I657">
        <v>207</v>
      </c>
    </row>
    <row r="658" spans="1:17" x14ac:dyDescent="0.2">
      <c r="A658" s="121">
        <v>39507</v>
      </c>
      <c r="B658" t="s">
        <v>406</v>
      </c>
      <c r="C658" t="s">
        <v>456</v>
      </c>
      <c r="D658" t="s">
        <v>473</v>
      </c>
      <c r="E658" t="s">
        <v>474</v>
      </c>
      <c r="F658" t="s">
        <v>410</v>
      </c>
      <c r="G658">
        <v>151</v>
      </c>
      <c r="I658">
        <v>151</v>
      </c>
    </row>
    <row r="659" spans="1:17" x14ac:dyDescent="0.2">
      <c r="A659" s="121">
        <v>39507</v>
      </c>
      <c r="B659" t="s">
        <v>406</v>
      </c>
      <c r="C659" t="s">
        <v>456</v>
      </c>
      <c r="D659" t="s">
        <v>475</v>
      </c>
      <c r="E659" t="s">
        <v>476</v>
      </c>
      <c r="F659" t="s">
        <v>410</v>
      </c>
      <c r="G659">
        <v>276</v>
      </c>
      <c r="I659">
        <v>276</v>
      </c>
    </row>
    <row r="660" spans="1:17" x14ac:dyDescent="0.2">
      <c r="A660" s="121">
        <v>39507</v>
      </c>
      <c r="B660" t="s">
        <v>406</v>
      </c>
      <c r="C660" t="s">
        <v>456</v>
      </c>
      <c r="D660" t="s">
        <v>477</v>
      </c>
      <c r="E660" t="s">
        <v>478</v>
      </c>
      <c r="F660" t="s">
        <v>413</v>
      </c>
      <c r="G660">
        <v>1818</v>
      </c>
      <c r="H660">
        <v>1818</v>
      </c>
      <c r="I660">
        <v>1762</v>
      </c>
      <c r="J660">
        <v>1762</v>
      </c>
      <c r="K660">
        <v>542</v>
      </c>
      <c r="L660">
        <v>8</v>
      </c>
      <c r="M660">
        <v>1218</v>
      </c>
      <c r="N660">
        <v>19</v>
      </c>
      <c r="O660">
        <v>31</v>
      </c>
      <c r="P660">
        <v>5</v>
      </c>
      <c r="Q660">
        <v>1</v>
      </c>
    </row>
    <row r="661" spans="1:17" x14ac:dyDescent="0.2">
      <c r="A661" s="121">
        <v>39507</v>
      </c>
      <c r="B661" t="s">
        <v>406</v>
      </c>
      <c r="C661" t="s">
        <v>456</v>
      </c>
      <c r="D661" t="s">
        <v>479</v>
      </c>
      <c r="E661" t="s">
        <v>480</v>
      </c>
      <c r="F661" t="s">
        <v>410</v>
      </c>
      <c r="G661">
        <v>66</v>
      </c>
      <c r="I661">
        <v>66</v>
      </c>
    </row>
    <row r="662" spans="1:17" x14ac:dyDescent="0.2">
      <c r="A662" s="121">
        <v>39507</v>
      </c>
      <c r="B662" t="s">
        <v>406</v>
      </c>
      <c r="C662" t="s">
        <v>456</v>
      </c>
      <c r="D662" t="s">
        <v>481</v>
      </c>
      <c r="E662" t="s">
        <v>482</v>
      </c>
      <c r="F662" t="s">
        <v>410</v>
      </c>
      <c r="G662">
        <v>21</v>
      </c>
      <c r="I662">
        <v>21</v>
      </c>
    </row>
    <row r="663" spans="1:17" x14ac:dyDescent="0.2">
      <c r="A663" s="121">
        <v>39507</v>
      </c>
      <c r="B663" t="s">
        <v>406</v>
      </c>
      <c r="C663" t="s">
        <v>456</v>
      </c>
      <c r="D663" t="s">
        <v>483</v>
      </c>
      <c r="E663" t="s">
        <v>484</v>
      </c>
      <c r="F663" t="s">
        <v>410</v>
      </c>
      <c r="G663">
        <v>102</v>
      </c>
      <c r="I663">
        <v>102</v>
      </c>
    </row>
    <row r="664" spans="1:17" x14ac:dyDescent="0.2">
      <c r="A664" s="121">
        <v>39507</v>
      </c>
      <c r="B664" t="s">
        <v>406</v>
      </c>
      <c r="C664" t="s">
        <v>456</v>
      </c>
      <c r="D664" t="s">
        <v>485</v>
      </c>
      <c r="E664" t="s">
        <v>486</v>
      </c>
      <c r="F664" t="s">
        <v>410</v>
      </c>
      <c r="G664">
        <v>44</v>
      </c>
      <c r="I664">
        <v>44</v>
      </c>
    </row>
    <row r="665" spans="1:17" x14ac:dyDescent="0.2">
      <c r="A665" s="121">
        <v>39507</v>
      </c>
      <c r="B665" t="s">
        <v>406</v>
      </c>
      <c r="C665" t="s">
        <v>456</v>
      </c>
      <c r="D665" t="s">
        <v>487</v>
      </c>
      <c r="E665" t="s">
        <v>488</v>
      </c>
      <c r="F665" t="s">
        <v>410</v>
      </c>
      <c r="G665">
        <v>30</v>
      </c>
      <c r="I665">
        <v>30</v>
      </c>
    </row>
    <row r="666" spans="1:17" x14ac:dyDescent="0.2">
      <c r="A666" s="121">
        <v>39507</v>
      </c>
      <c r="B666" t="s">
        <v>406</v>
      </c>
      <c r="C666" t="s">
        <v>456</v>
      </c>
      <c r="D666" t="s">
        <v>489</v>
      </c>
      <c r="E666" t="s">
        <v>490</v>
      </c>
      <c r="F666" t="s">
        <v>410</v>
      </c>
      <c r="G666">
        <v>89</v>
      </c>
      <c r="H666">
        <v>89</v>
      </c>
      <c r="I666">
        <v>89</v>
      </c>
      <c r="J666">
        <v>89</v>
      </c>
      <c r="K666">
        <v>0</v>
      </c>
      <c r="L666">
        <v>0</v>
      </c>
      <c r="M666">
        <v>77</v>
      </c>
      <c r="N666">
        <v>12</v>
      </c>
      <c r="O666">
        <v>0</v>
      </c>
      <c r="P666">
        <v>0</v>
      </c>
      <c r="Q666">
        <v>0</v>
      </c>
    </row>
    <row r="667" spans="1:17" x14ac:dyDescent="0.2">
      <c r="A667" s="121">
        <v>39507</v>
      </c>
      <c r="B667" t="s">
        <v>406</v>
      </c>
      <c r="C667" t="s">
        <v>491</v>
      </c>
      <c r="D667" t="s">
        <v>492</v>
      </c>
      <c r="E667" t="s">
        <v>493</v>
      </c>
      <c r="F667" t="s">
        <v>410</v>
      </c>
      <c r="G667">
        <v>1103</v>
      </c>
      <c r="H667">
        <v>1103</v>
      </c>
      <c r="I667">
        <v>1090</v>
      </c>
      <c r="J667">
        <v>1090</v>
      </c>
      <c r="K667">
        <v>268</v>
      </c>
      <c r="L667">
        <v>1</v>
      </c>
      <c r="M667">
        <v>768</v>
      </c>
      <c r="N667">
        <v>64</v>
      </c>
      <c r="O667">
        <v>2</v>
      </c>
      <c r="P667">
        <v>0</v>
      </c>
      <c r="Q667">
        <v>0</v>
      </c>
    </row>
    <row r="668" spans="1:17" x14ac:dyDescent="0.2">
      <c r="A668" s="121">
        <v>39507</v>
      </c>
      <c r="B668" t="s">
        <v>406</v>
      </c>
      <c r="C668" t="s">
        <v>491</v>
      </c>
      <c r="D668" t="s">
        <v>494</v>
      </c>
      <c r="E668" t="s">
        <v>495</v>
      </c>
      <c r="F668" t="s">
        <v>413</v>
      </c>
      <c r="G668">
        <v>2362</v>
      </c>
      <c r="H668">
        <v>2362</v>
      </c>
      <c r="I668">
        <v>2328</v>
      </c>
      <c r="J668">
        <v>2328</v>
      </c>
      <c r="K668">
        <v>600</v>
      </c>
      <c r="L668">
        <v>3</v>
      </c>
      <c r="M668">
        <v>1622</v>
      </c>
      <c r="N668">
        <v>22</v>
      </c>
      <c r="O668">
        <v>115</v>
      </c>
      <c r="P668">
        <v>0</v>
      </c>
      <c r="Q668">
        <v>0</v>
      </c>
    </row>
    <row r="669" spans="1:17" x14ac:dyDescent="0.2">
      <c r="A669" s="121">
        <v>39507</v>
      </c>
      <c r="B669" t="s">
        <v>406</v>
      </c>
      <c r="C669" t="s">
        <v>491</v>
      </c>
      <c r="D669" t="s">
        <v>496</v>
      </c>
      <c r="E669" t="s">
        <v>497</v>
      </c>
      <c r="F669" t="s">
        <v>413</v>
      </c>
      <c r="G669">
        <v>5251</v>
      </c>
      <c r="H669">
        <v>5251</v>
      </c>
      <c r="I669">
        <v>5140</v>
      </c>
      <c r="J669">
        <v>5140</v>
      </c>
      <c r="K669">
        <v>1442</v>
      </c>
      <c r="L669">
        <v>5</v>
      </c>
      <c r="M669">
        <v>3204</v>
      </c>
      <c r="N669">
        <v>50</v>
      </c>
      <c r="O669">
        <v>550</v>
      </c>
      <c r="P669">
        <v>3</v>
      </c>
      <c r="Q669">
        <v>0</v>
      </c>
    </row>
    <row r="670" spans="1:17" x14ac:dyDescent="0.2">
      <c r="A670" s="121">
        <v>39507</v>
      </c>
      <c r="B670" t="s">
        <v>406</v>
      </c>
      <c r="C670" t="s">
        <v>491</v>
      </c>
      <c r="D670" t="s">
        <v>498</v>
      </c>
      <c r="E670" t="s">
        <v>499</v>
      </c>
      <c r="F670" t="s">
        <v>413</v>
      </c>
      <c r="G670">
        <v>5903</v>
      </c>
      <c r="H670">
        <v>5903</v>
      </c>
      <c r="I670">
        <v>5771</v>
      </c>
      <c r="J670">
        <v>5771</v>
      </c>
      <c r="K670">
        <v>1786</v>
      </c>
      <c r="L670">
        <v>10</v>
      </c>
      <c r="M670">
        <v>3775</v>
      </c>
      <c r="N670">
        <v>99</v>
      </c>
      <c r="O670">
        <v>233</v>
      </c>
      <c r="P670">
        <v>3</v>
      </c>
      <c r="Q670">
        <v>0</v>
      </c>
    </row>
    <row r="671" spans="1:17" x14ac:dyDescent="0.2">
      <c r="A671" s="121">
        <v>39507</v>
      </c>
      <c r="B671" t="s">
        <v>406</v>
      </c>
      <c r="C671" t="s">
        <v>491</v>
      </c>
      <c r="D671" t="s">
        <v>500</v>
      </c>
      <c r="E671" t="s">
        <v>501</v>
      </c>
      <c r="F671" t="s">
        <v>413</v>
      </c>
      <c r="G671">
        <v>3215</v>
      </c>
      <c r="H671">
        <v>3215</v>
      </c>
      <c r="I671">
        <v>3176</v>
      </c>
      <c r="J671">
        <v>3176</v>
      </c>
      <c r="K671">
        <v>895</v>
      </c>
      <c r="L671">
        <v>2</v>
      </c>
      <c r="M671">
        <v>2105</v>
      </c>
      <c r="N671">
        <v>35</v>
      </c>
      <c r="O671">
        <v>178</v>
      </c>
      <c r="P671">
        <v>0</v>
      </c>
      <c r="Q671">
        <v>0</v>
      </c>
    </row>
    <row r="672" spans="1:17" x14ac:dyDescent="0.2">
      <c r="A672" s="121">
        <v>39507</v>
      </c>
      <c r="B672" t="s">
        <v>406</v>
      </c>
      <c r="C672" t="s">
        <v>491</v>
      </c>
      <c r="D672" t="s">
        <v>502</v>
      </c>
      <c r="E672" t="s">
        <v>503</v>
      </c>
      <c r="F672" t="s">
        <v>413</v>
      </c>
      <c r="G672">
        <v>5169</v>
      </c>
      <c r="H672">
        <v>5169</v>
      </c>
      <c r="I672">
        <v>5089</v>
      </c>
      <c r="J672">
        <v>5089</v>
      </c>
      <c r="K672">
        <v>1324</v>
      </c>
      <c r="L672">
        <v>8</v>
      </c>
      <c r="M672">
        <v>3663</v>
      </c>
      <c r="N672">
        <v>120</v>
      </c>
      <c r="O672">
        <v>54</v>
      </c>
      <c r="P672">
        <v>2</v>
      </c>
      <c r="Q672">
        <v>0</v>
      </c>
    </row>
    <row r="673" spans="1:17" x14ac:dyDescent="0.2">
      <c r="A673" s="121">
        <v>39507</v>
      </c>
      <c r="B673" t="s">
        <v>406</v>
      </c>
      <c r="C673" t="s">
        <v>491</v>
      </c>
      <c r="D673" t="s">
        <v>504</v>
      </c>
      <c r="E673" t="s">
        <v>505</v>
      </c>
      <c r="F673" t="s">
        <v>413</v>
      </c>
      <c r="G673">
        <v>3613</v>
      </c>
      <c r="H673">
        <v>3613</v>
      </c>
      <c r="I673">
        <v>3531</v>
      </c>
      <c r="J673">
        <v>3531</v>
      </c>
      <c r="K673">
        <v>1133</v>
      </c>
      <c r="L673">
        <v>4</v>
      </c>
      <c r="M673">
        <v>2372</v>
      </c>
      <c r="N673">
        <v>23</v>
      </c>
      <c r="O673">
        <v>81</v>
      </c>
      <c r="P673">
        <v>1</v>
      </c>
      <c r="Q673">
        <v>0</v>
      </c>
    </row>
    <row r="674" spans="1:17" x14ac:dyDescent="0.2">
      <c r="A674" s="121">
        <v>39507</v>
      </c>
      <c r="B674" t="s">
        <v>406</v>
      </c>
      <c r="C674" t="s">
        <v>491</v>
      </c>
      <c r="D674" t="s">
        <v>506</v>
      </c>
      <c r="E674" t="s">
        <v>507</v>
      </c>
      <c r="F674" t="s">
        <v>413</v>
      </c>
      <c r="G674">
        <v>3289</v>
      </c>
      <c r="H674">
        <v>3289</v>
      </c>
      <c r="I674">
        <v>3219</v>
      </c>
      <c r="J674">
        <v>3219</v>
      </c>
      <c r="K674">
        <v>516</v>
      </c>
      <c r="L674">
        <v>0</v>
      </c>
      <c r="M674">
        <v>2763</v>
      </c>
      <c r="N674">
        <v>0</v>
      </c>
      <c r="O674">
        <v>10</v>
      </c>
      <c r="P674">
        <v>0</v>
      </c>
      <c r="Q674">
        <v>0</v>
      </c>
    </row>
    <row r="675" spans="1:17" x14ac:dyDescent="0.2">
      <c r="A675" s="121">
        <v>39507</v>
      </c>
      <c r="B675" t="s">
        <v>406</v>
      </c>
      <c r="C675" t="s">
        <v>491</v>
      </c>
      <c r="D675" t="s">
        <v>508</v>
      </c>
      <c r="E675" t="s">
        <v>509</v>
      </c>
      <c r="F675" t="s">
        <v>413</v>
      </c>
      <c r="G675">
        <v>4860</v>
      </c>
      <c r="H675">
        <v>4860</v>
      </c>
      <c r="I675">
        <v>4659</v>
      </c>
      <c r="J675">
        <v>4659</v>
      </c>
      <c r="K675">
        <v>1582</v>
      </c>
      <c r="L675">
        <v>6</v>
      </c>
      <c r="M675">
        <v>2829</v>
      </c>
      <c r="N675">
        <v>147</v>
      </c>
      <c r="O675">
        <v>296</v>
      </c>
      <c r="P675">
        <v>9</v>
      </c>
      <c r="Q675">
        <v>0</v>
      </c>
    </row>
    <row r="676" spans="1:17" x14ac:dyDescent="0.2">
      <c r="A676" s="121">
        <v>39507</v>
      </c>
      <c r="B676" t="s">
        <v>406</v>
      </c>
      <c r="C676" t="s">
        <v>510</v>
      </c>
      <c r="D676" t="s">
        <v>511</v>
      </c>
      <c r="E676" t="s">
        <v>512</v>
      </c>
      <c r="F676" t="s">
        <v>410</v>
      </c>
      <c r="G676">
        <v>156</v>
      </c>
      <c r="I676">
        <v>153</v>
      </c>
    </row>
    <row r="677" spans="1:17" x14ac:dyDescent="0.2">
      <c r="A677" s="121">
        <v>39507</v>
      </c>
      <c r="B677" t="s">
        <v>406</v>
      </c>
      <c r="C677" t="s">
        <v>510</v>
      </c>
      <c r="D677" t="s">
        <v>513</v>
      </c>
      <c r="E677" t="s">
        <v>514</v>
      </c>
      <c r="F677" t="s">
        <v>410</v>
      </c>
      <c r="G677">
        <v>431</v>
      </c>
      <c r="I677">
        <v>431</v>
      </c>
    </row>
    <row r="678" spans="1:17" x14ac:dyDescent="0.2">
      <c r="A678" s="121">
        <v>39507</v>
      </c>
      <c r="B678" t="s">
        <v>406</v>
      </c>
      <c r="C678" t="s">
        <v>510</v>
      </c>
      <c r="D678" t="s">
        <v>515</v>
      </c>
      <c r="E678" t="s">
        <v>516</v>
      </c>
      <c r="F678" t="s">
        <v>410</v>
      </c>
      <c r="G678">
        <v>56</v>
      </c>
      <c r="I678">
        <v>55</v>
      </c>
    </row>
    <row r="679" spans="1:17" x14ac:dyDescent="0.2">
      <c r="A679" s="121">
        <v>39507</v>
      </c>
      <c r="B679" t="s">
        <v>406</v>
      </c>
      <c r="C679" t="s">
        <v>510</v>
      </c>
      <c r="D679" t="s">
        <v>517</v>
      </c>
      <c r="E679" t="s">
        <v>518</v>
      </c>
      <c r="F679" t="s">
        <v>410</v>
      </c>
      <c r="G679">
        <v>212</v>
      </c>
      <c r="I679">
        <v>207</v>
      </c>
    </row>
    <row r="680" spans="1:17" x14ac:dyDescent="0.2">
      <c r="A680" s="121">
        <v>39507</v>
      </c>
      <c r="B680" t="s">
        <v>406</v>
      </c>
      <c r="C680" t="s">
        <v>510</v>
      </c>
      <c r="D680" t="s">
        <v>519</v>
      </c>
      <c r="E680" t="s">
        <v>520</v>
      </c>
      <c r="F680" t="s">
        <v>410</v>
      </c>
      <c r="G680">
        <v>328</v>
      </c>
      <c r="I680">
        <v>324</v>
      </c>
    </row>
    <row r="681" spans="1:17" x14ac:dyDescent="0.2">
      <c r="A681" s="121">
        <v>39507</v>
      </c>
      <c r="B681" t="s">
        <v>406</v>
      </c>
      <c r="C681" t="s">
        <v>510</v>
      </c>
      <c r="D681" t="s">
        <v>521</v>
      </c>
      <c r="E681" t="s">
        <v>522</v>
      </c>
      <c r="F681" t="s">
        <v>410</v>
      </c>
      <c r="G681">
        <v>40</v>
      </c>
      <c r="I681">
        <v>40</v>
      </c>
    </row>
    <row r="682" spans="1:17" x14ac:dyDescent="0.2">
      <c r="A682" s="121">
        <v>39507</v>
      </c>
      <c r="B682" t="s">
        <v>406</v>
      </c>
      <c r="C682" t="s">
        <v>510</v>
      </c>
      <c r="D682" t="s">
        <v>523</v>
      </c>
      <c r="E682" t="s">
        <v>524</v>
      </c>
      <c r="F682" t="s">
        <v>413</v>
      </c>
      <c r="G682">
        <v>413</v>
      </c>
      <c r="I682">
        <v>409</v>
      </c>
    </row>
    <row r="683" spans="1:17" x14ac:dyDescent="0.2">
      <c r="A683" s="121">
        <v>39507</v>
      </c>
      <c r="B683" t="s">
        <v>406</v>
      </c>
      <c r="C683" t="s">
        <v>510</v>
      </c>
      <c r="D683" t="s">
        <v>527</v>
      </c>
      <c r="E683" t="s">
        <v>528</v>
      </c>
      <c r="F683" t="s">
        <v>410</v>
      </c>
      <c r="G683">
        <v>178</v>
      </c>
      <c r="I683">
        <v>178</v>
      </c>
    </row>
    <row r="684" spans="1:17" x14ac:dyDescent="0.2">
      <c r="A684" s="121">
        <v>39507</v>
      </c>
      <c r="B684" t="s">
        <v>406</v>
      </c>
      <c r="C684" t="s">
        <v>510</v>
      </c>
      <c r="D684" t="s">
        <v>529</v>
      </c>
      <c r="E684" t="s">
        <v>530</v>
      </c>
      <c r="F684" t="s">
        <v>413</v>
      </c>
      <c r="G684">
        <v>410</v>
      </c>
      <c r="I684">
        <v>402</v>
      </c>
    </row>
    <row r="685" spans="1:17" x14ac:dyDescent="0.2">
      <c r="A685" s="121">
        <v>39507</v>
      </c>
      <c r="B685" t="s">
        <v>406</v>
      </c>
      <c r="C685" t="s">
        <v>510</v>
      </c>
      <c r="D685" t="s">
        <v>531</v>
      </c>
      <c r="E685" t="s">
        <v>532</v>
      </c>
      <c r="F685" t="s">
        <v>410</v>
      </c>
      <c r="G685">
        <v>43</v>
      </c>
      <c r="I685">
        <v>43</v>
      </c>
    </row>
    <row r="686" spans="1:17" x14ac:dyDescent="0.2">
      <c r="A686" s="121">
        <v>39507</v>
      </c>
      <c r="B686" t="s">
        <v>406</v>
      </c>
      <c r="C686" t="s">
        <v>510</v>
      </c>
      <c r="D686" t="s">
        <v>533</v>
      </c>
      <c r="E686" t="s">
        <v>534</v>
      </c>
      <c r="F686" t="s">
        <v>413</v>
      </c>
      <c r="G686">
        <v>2111</v>
      </c>
      <c r="H686">
        <v>2111</v>
      </c>
      <c r="I686">
        <v>2062</v>
      </c>
      <c r="J686">
        <v>2062</v>
      </c>
      <c r="K686">
        <v>436</v>
      </c>
      <c r="L686">
        <v>18</v>
      </c>
      <c r="M686">
        <v>1656</v>
      </c>
      <c r="N686">
        <v>1</v>
      </c>
      <c r="O686">
        <v>0</v>
      </c>
      <c r="P686">
        <v>1</v>
      </c>
      <c r="Q686">
        <v>0</v>
      </c>
    </row>
    <row r="687" spans="1:17" x14ac:dyDescent="0.2">
      <c r="A687" s="121">
        <v>39507</v>
      </c>
      <c r="B687" t="s">
        <v>406</v>
      </c>
      <c r="C687" t="s">
        <v>510</v>
      </c>
      <c r="D687" t="s">
        <v>535</v>
      </c>
      <c r="E687" t="s">
        <v>536</v>
      </c>
      <c r="F687" t="s">
        <v>410</v>
      </c>
      <c r="G687">
        <v>214</v>
      </c>
      <c r="I687">
        <v>214</v>
      </c>
    </row>
    <row r="688" spans="1:17" x14ac:dyDescent="0.2">
      <c r="A688" s="121">
        <v>39507</v>
      </c>
      <c r="B688" t="s">
        <v>406</v>
      </c>
      <c r="C688" t="s">
        <v>510</v>
      </c>
      <c r="D688" t="s">
        <v>537</v>
      </c>
      <c r="E688" t="s">
        <v>538</v>
      </c>
      <c r="F688" t="s">
        <v>410</v>
      </c>
      <c r="G688">
        <v>61</v>
      </c>
      <c r="I688">
        <v>60</v>
      </c>
    </row>
    <row r="689" spans="1:17" x14ac:dyDescent="0.2">
      <c r="A689" s="121">
        <v>39507</v>
      </c>
      <c r="B689" t="s">
        <v>406</v>
      </c>
      <c r="C689" t="s">
        <v>510</v>
      </c>
      <c r="D689" t="s">
        <v>539</v>
      </c>
      <c r="E689" t="s">
        <v>540</v>
      </c>
      <c r="F689" t="s">
        <v>413</v>
      </c>
      <c r="G689">
        <v>525</v>
      </c>
      <c r="I689">
        <v>521</v>
      </c>
    </row>
    <row r="690" spans="1:17" x14ac:dyDescent="0.2">
      <c r="A690" s="121">
        <v>39507</v>
      </c>
      <c r="B690" t="s">
        <v>406</v>
      </c>
      <c r="C690" t="s">
        <v>510</v>
      </c>
      <c r="D690" t="s">
        <v>541</v>
      </c>
      <c r="E690" t="s">
        <v>542</v>
      </c>
      <c r="F690" t="s">
        <v>410</v>
      </c>
      <c r="G690">
        <v>154</v>
      </c>
      <c r="I690">
        <v>151</v>
      </c>
    </row>
    <row r="691" spans="1:17" x14ac:dyDescent="0.2">
      <c r="A691" s="121">
        <v>39507</v>
      </c>
      <c r="B691" t="s">
        <v>406</v>
      </c>
      <c r="C691" t="s">
        <v>510</v>
      </c>
      <c r="D691" t="s">
        <v>543</v>
      </c>
      <c r="E691" t="s">
        <v>544</v>
      </c>
      <c r="F691" t="s">
        <v>410</v>
      </c>
      <c r="G691">
        <v>95</v>
      </c>
      <c r="I691">
        <v>93</v>
      </c>
    </row>
    <row r="692" spans="1:17" x14ac:dyDescent="0.2">
      <c r="A692" s="121">
        <v>39507</v>
      </c>
      <c r="B692" t="s">
        <v>406</v>
      </c>
      <c r="C692" t="s">
        <v>510</v>
      </c>
      <c r="D692" t="s">
        <v>545</v>
      </c>
      <c r="E692" t="s">
        <v>546</v>
      </c>
      <c r="F692" t="s">
        <v>410</v>
      </c>
      <c r="G692">
        <v>169</v>
      </c>
      <c r="I692">
        <v>169</v>
      </c>
    </row>
    <row r="693" spans="1:17" x14ac:dyDescent="0.2">
      <c r="A693" s="121">
        <v>39507</v>
      </c>
      <c r="B693" t="s">
        <v>406</v>
      </c>
      <c r="C693" t="s">
        <v>510</v>
      </c>
      <c r="D693" t="s">
        <v>547</v>
      </c>
      <c r="E693" t="s">
        <v>548</v>
      </c>
      <c r="F693" t="s">
        <v>410</v>
      </c>
      <c r="G693">
        <v>80</v>
      </c>
      <c r="I693">
        <v>80</v>
      </c>
    </row>
    <row r="694" spans="1:17" x14ac:dyDescent="0.2">
      <c r="A694" s="121">
        <v>39507</v>
      </c>
      <c r="B694" t="s">
        <v>406</v>
      </c>
      <c r="C694" t="s">
        <v>510</v>
      </c>
      <c r="D694" t="s">
        <v>549</v>
      </c>
      <c r="E694" t="s">
        <v>550</v>
      </c>
      <c r="F694" t="s">
        <v>410</v>
      </c>
      <c r="G694">
        <v>106</v>
      </c>
      <c r="I694">
        <v>106</v>
      </c>
    </row>
    <row r="695" spans="1:17" x14ac:dyDescent="0.2">
      <c r="A695" s="121">
        <v>39507</v>
      </c>
      <c r="B695" t="s">
        <v>406</v>
      </c>
      <c r="C695" t="s">
        <v>551</v>
      </c>
      <c r="D695" t="s">
        <v>552</v>
      </c>
      <c r="E695" t="s">
        <v>553</v>
      </c>
      <c r="F695" t="s">
        <v>413</v>
      </c>
      <c r="G695">
        <v>5165</v>
      </c>
      <c r="H695">
        <v>5165</v>
      </c>
      <c r="I695">
        <v>5102</v>
      </c>
      <c r="J695">
        <v>5102</v>
      </c>
      <c r="K695">
        <v>1492</v>
      </c>
      <c r="L695">
        <v>11</v>
      </c>
      <c r="M695">
        <v>3638</v>
      </c>
      <c r="N695">
        <v>16</v>
      </c>
      <c r="O695">
        <v>8</v>
      </c>
      <c r="P695">
        <v>3</v>
      </c>
      <c r="Q695">
        <v>0</v>
      </c>
    </row>
    <row r="696" spans="1:17" x14ac:dyDescent="0.2">
      <c r="A696" s="121">
        <v>39507</v>
      </c>
      <c r="B696" t="s">
        <v>406</v>
      </c>
      <c r="C696" t="s">
        <v>551</v>
      </c>
      <c r="D696" t="s">
        <v>554</v>
      </c>
      <c r="E696" t="s">
        <v>555</v>
      </c>
      <c r="F696" t="s">
        <v>410</v>
      </c>
      <c r="G696">
        <v>144</v>
      </c>
      <c r="I696">
        <v>144</v>
      </c>
    </row>
    <row r="697" spans="1:17" x14ac:dyDescent="0.2">
      <c r="A697" s="121">
        <v>39507</v>
      </c>
      <c r="B697" t="s">
        <v>406</v>
      </c>
      <c r="C697" t="s">
        <v>551</v>
      </c>
      <c r="D697" t="s">
        <v>556</v>
      </c>
      <c r="E697" t="s">
        <v>557</v>
      </c>
      <c r="F697" t="s">
        <v>410</v>
      </c>
      <c r="G697">
        <v>121</v>
      </c>
      <c r="I697">
        <v>121</v>
      </c>
    </row>
    <row r="698" spans="1:17" x14ac:dyDescent="0.2">
      <c r="A698" s="121">
        <v>39507</v>
      </c>
      <c r="B698" t="s">
        <v>406</v>
      </c>
      <c r="C698" t="s">
        <v>551</v>
      </c>
      <c r="D698" t="s">
        <v>558</v>
      </c>
      <c r="E698" t="s">
        <v>559</v>
      </c>
      <c r="F698" t="s">
        <v>413</v>
      </c>
      <c r="G698">
        <v>4386</v>
      </c>
      <c r="H698">
        <v>4386</v>
      </c>
      <c r="I698">
        <v>4230</v>
      </c>
      <c r="J698">
        <v>4230</v>
      </c>
      <c r="K698">
        <v>1006</v>
      </c>
      <c r="L698">
        <v>6</v>
      </c>
      <c r="M698">
        <v>3329</v>
      </c>
      <c r="N698">
        <v>9</v>
      </c>
      <c r="O698">
        <v>36</v>
      </c>
      <c r="P698">
        <v>20</v>
      </c>
      <c r="Q698">
        <v>13</v>
      </c>
    </row>
    <row r="699" spans="1:17" x14ac:dyDescent="0.2">
      <c r="A699" s="121">
        <v>39507</v>
      </c>
      <c r="B699" t="s">
        <v>406</v>
      </c>
      <c r="C699" t="s">
        <v>551</v>
      </c>
      <c r="D699" t="s">
        <v>560</v>
      </c>
      <c r="E699" t="s">
        <v>561</v>
      </c>
      <c r="F699" t="s">
        <v>413</v>
      </c>
      <c r="G699">
        <v>4994</v>
      </c>
      <c r="H699">
        <v>4994</v>
      </c>
      <c r="I699">
        <v>4834</v>
      </c>
      <c r="J699">
        <v>4834</v>
      </c>
      <c r="K699">
        <v>1081</v>
      </c>
      <c r="L699">
        <v>8</v>
      </c>
      <c r="M699">
        <v>3874</v>
      </c>
      <c r="N699">
        <v>5</v>
      </c>
      <c r="O699">
        <v>26</v>
      </c>
      <c r="P699">
        <v>37</v>
      </c>
      <c r="Q699">
        <v>22</v>
      </c>
    </row>
    <row r="700" spans="1:17" x14ac:dyDescent="0.2">
      <c r="A700" s="121">
        <v>39507</v>
      </c>
      <c r="B700" t="s">
        <v>406</v>
      </c>
      <c r="C700" t="s">
        <v>562</v>
      </c>
      <c r="D700" t="s">
        <v>603</v>
      </c>
      <c r="E700" t="s">
        <v>604</v>
      </c>
      <c r="F700" t="s">
        <v>410</v>
      </c>
      <c r="G700">
        <v>8</v>
      </c>
      <c r="I700">
        <v>8</v>
      </c>
    </row>
    <row r="701" spans="1:17" x14ac:dyDescent="0.2">
      <c r="A701" s="121">
        <v>39507</v>
      </c>
      <c r="B701" t="s">
        <v>406</v>
      </c>
      <c r="C701" t="s">
        <v>562</v>
      </c>
      <c r="D701" t="s">
        <v>605</v>
      </c>
      <c r="E701" t="s">
        <v>606</v>
      </c>
      <c r="F701" t="s">
        <v>410</v>
      </c>
      <c r="G701">
        <v>134</v>
      </c>
      <c r="I701">
        <v>134</v>
      </c>
    </row>
    <row r="702" spans="1:17" x14ac:dyDescent="0.2">
      <c r="A702" s="121">
        <v>39507</v>
      </c>
      <c r="B702" t="s">
        <v>406</v>
      </c>
      <c r="C702" t="s">
        <v>562</v>
      </c>
      <c r="D702" t="s">
        <v>563</v>
      </c>
      <c r="E702" t="s">
        <v>564</v>
      </c>
      <c r="F702" t="s">
        <v>410</v>
      </c>
      <c r="G702">
        <v>2816</v>
      </c>
      <c r="H702">
        <v>2816</v>
      </c>
      <c r="I702">
        <v>2776</v>
      </c>
      <c r="J702">
        <v>2776</v>
      </c>
      <c r="K702">
        <v>995</v>
      </c>
      <c r="L702">
        <v>3</v>
      </c>
      <c r="M702">
        <v>1810</v>
      </c>
      <c r="N702">
        <v>8</v>
      </c>
      <c r="O702">
        <v>0</v>
      </c>
      <c r="P702">
        <v>0</v>
      </c>
      <c r="Q702">
        <v>0</v>
      </c>
    </row>
    <row r="703" spans="1:17" x14ac:dyDescent="0.2">
      <c r="A703" s="121">
        <v>39507</v>
      </c>
      <c r="B703" t="s">
        <v>406</v>
      </c>
      <c r="C703" t="s">
        <v>562</v>
      </c>
      <c r="D703" t="s">
        <v>565</v>
      </c>
      <c r="E703" t="s">
        <v>566</v>
      </c>
      <c r="F703" t="s">
        <v>413</v>
      </c>
      <c r="G703">
        <v>3597</v>
      </c>
      <c r="H703">
        <v>3597</v>
      </c>
      <c r="I703">
        <v>3564</v>
      </c>
      <c r="J703">
        <v>3564</v>
      </c>
      <c r="K703">
        <v>743</v>
      </c>
      <c r="L703">
        <v>2</v>
      </c>
      <c r="M703">
        <v>2596</v>
      </c>
      <c r="N703">
        <v>86</v>
      </c>
      <c r="O703">
        <v>170</v>
      </c>
      <c r="P703">
        <v>0</v>
      </c>
      <c r="Q703">
        <v>0</v>
      </c>
    </row>
    <row r="704" spans="1:17" x14ac:dyDescent="0.2">
      <c r="A704" s="121">
        <v>39507</v>
      </c>
      <c r="B704" t="s">
        <v>406</v>
      </c>
      <c r="C704" t="s">
        <v>562</v>
      </c>
      <c r="D704" t="s">
        <v>567</v>
      </c>
      <c r="E704" t="s">
        <v>568</v>
      </c>
      <c r="F704" t="s">
        <v>413</v>
      </c>
      <c r="G704">
        <v>8172</v>
      </c>
      <c r="H704">
        <v>8172</v>
      </c>
      <c r="I704">
        <v>8003</v>
      </c>
      <c r="J704">
        <v>8003</v>
      </c>
      <c r="K704">
        <v>2552</v>
      </c>
      <c r="L704">
        <v>24</v>
      </c>
      <c r="M704">
        <v>5474</v>
      </c>
      <c r="N704">
        <v>122</v>
      </c>
      <c r="O704">
        <v>0</v>
      </c>
      <c r="P704">
        <v>9</v>
      </c>
      <c r="Q704">
        <v>0</v>
      </c>
    </row>
    <row r="705" spans="1:17" x14ac:dyDescent="0.2">
      <c r="A705" s="121">
        <v>39507</v>
      </c>
      <c r="B705" t="s">
        <v>406</v>
      </c>
      <c r="C705" t="s">
        <v>562</v>
      </c>
      <c r="D705" t="s">
        <v>569</v>
      </c>
      <c r="E705" t="s">
        <v>570</v>
      </c>
      <c r="F705" t="s">
        <v>413</v>
      </c>
      <c r="G705">
        <v>2633</v>
      </c>
      <c r="H705">
        <v>2633</v>
      </c>
      <c r="I705">
        <v>2606</v>
      </c>
      <c r="J705">
        <v>2606</v>
      </c>
      <c r="K705">
        <v>379</v>
      </c>
      <c r="L705">
        <v>2</v>
      </c>
      <c r="M705">
        <v>2252</v>
      </c>
      <c r="N705">
        <v>0</v>
      </c>
      <c r="O705">
        <v>0</v>
      </c>
      <c r="P705">
        <v>0</v>
      </c>
      <c r="Q705">
        <v>0</v>
      </c>
    </row>
    <row r="706" spans="1:17" x14ac:dyDescent="0.2">
      <c r="A706" s="121">
        <v>39507</v>
      </c>
      <c r="B706" t="s">
        <v>406</v>
      </c>
      <c r="C706" t="s">
        <v>571</v>
      </c>
      <c r="D706" t="s">
        <v>572</v>
      </c>
      <c r="E706" t="s">
        <v>573</v>
      </c>
      <c r="F706" t="s">
        <v>410</v>
      </c>
      <c r="G706">
        <v>178</v>
      </c>
      <c r="I706">
        <v>176</v>
      </c>
    </row>
    <row r="707" spans="1:17" x14ac:dyDescent="0.2">
      <c r="A707" s="121">
        <v>39507</v>
      </c>
      <c r="B707" t="s">
        <v>406</v>
      </c>
      <c r="C707" t="s">
        <v>574</v>
      </c>
      <c r="D707" t="s">
        <v>575</v>
      </c>
      <c r="E707" t="s">
        <v>576</v>
      </c>
      <c r="F707" t="s">
        <v>413</v>
      </c>
      <c r="G707">
        <v>674</v>
      </c>
      <c r="H707">
        <v>674</v>
      </c>
      <c r="I707">
        <v>669</v>
      </c>
      <c r="J707">
        <v>669</v>
      </c>
      <c r="K707">
        <v>147</v>
      </c>
      <c r="L707">
        <v>0</v>
      </c>
      <c r="M707">
        <v>503</v>
      </c>
      <c r="N707">
        <v>1</v>
      </c>
      <c r="O707">
        <v>23</v>
      </c>
      <c r="P707">
        <v>0</v>
      </c>
      <c r="Q707">
        <v>0</v>
      </c>
    </row>
    <row r="708" spans="1:17" x14ac:dyDescent="0.2">
      <c r="A708" s="121">
        <v>39507</v>
      </c>
      <c r="B708" t="s">
        <v>406</v>
      </c>
      <c r="C708" t="s">
        <v>577</v>
      </c>
      <c r="D708" t="s">
        <v>578</v>
      </c>
      <c r="E708" t="s">
        <v>579</v>
      </c>
      <c r="F708" t="s">
        <v>413</v>
      </c>
      <c r="G708">
        <v>3603</v>
      </c>
      <c r="H708">
        <v>3603</v>
      </c>
      <c r="I708">
        <v>3569</v>
      </c>
      <c r="J708">
        <v>3569</v>
      </c>
      <c r="K708">
        <v>840</v>
      </c>
      <c r="L708">
        <v>13</v>
      </c>
      <c r="M708">
        <v>2478</v>
      </c>
      <c r="N708">
        <v>28</v>
      </c>
      <c r="O708">
        <v>244</v>
      </c>
      <c r="P708">
        <v>0</v>
      </c>
      <c r="Q708">
        <v>0</v>
      </c>
    </row>
    <row r="709" spans="1:17" x14ac:dyDescent="0.2">
      <c r="A709" s="121">
        <v>39507</v>
      </c>
      <c r="B709" t="s">
        <v>406</v>
      </c>
      <c r="C709" t="s">
        <v>577</v>
      </c>
      <c r="D709" t="s">
        <v>580</v>
      </c>
      <c r="E709" t="s">
        <v>581</v>
      </c>
      <c r="F709" t="s">
        <v>413</v>
      </c>
      <c r="G709">
        <v>1883</v>
      </c>
      <c r="H709">
        <v>1883</v>
      </c>
      <c r="I709">
        <v>1858</v>
      </c>
      <c r="J709">
        <v>1858</v>
      </c>
      <c r="K709">
        <v>386</v>
      </c>
      <c r="L709">
        <v>3</v>
      </c>
      <c r="M709">
        <v>1311</v>
      </c>
      <c r="N709">
        <v>57</v>
      </c>
      <c r="O709">
        <v>126</v>
      </c>
      <c r="P709">
        <v>0</v>
      </c>
      <c r="Q709">
        <v>0</v>
      </c>
    </row>
    <row r="710" spans="1:17" x14ac:dyDescent="0.2">
      <c r="A710" s="121">
        <v>39507</v>
      </c>
      <c r="B710" t="s">
        <v>406</v>
      </c>
      <c r="C710" t="s">
        <v>577</v>
      </c>
      <c r="D710" t="s">
        <v>582</v>
      </c>
      <c r="E710" t="s">
        <v>583</v>
      </c>
      <c r="F710" t="s">
        <v>410</v>
      </c>
      <c r="G710">
        <v>17</v>
      </c>
      <c r="H710">
        <v>17</v>
      </c>
      <c r="I710">
        <v>17</v>
      </c>
      <c r="J710">
        <v>17</v>
      </c>
      <c r="K710">
        <v>0</v>
      </c>
      <c r="L710">
        <v>0</v>
      </c>
      <c r="M710">
        <v>17</v>
      </c>
      <c r="N710">
        <v>0</v>
      </c>
      <c r="O710">
        <v>0</v>
      </c>
      <c r="P710">
        <v>0</v>
      </c>
      <c r="Q710">
        <v>0</v>
      </c>
    </row>
    <row r="711" spans="1:17" x14ac:dyDescent="0.2">
      <c r="A711" s="121">
        <v>39507</v>
      </c>
      <c r="B711" t="s">
        <v>406</v>
      </c>
      <c r="C711" t="s">
        <v>577</v>
      </c>
      <c r="D711" t="s">
        <v>584</v>
      </c>
      <c r="E711" t="s">
        <v>585</v>
      </c>
      <c r="F711" t="s">
        <v>410</v>
      </c>
      <c r="G711">
        <v>134</v>
      </c>
      <c r="H711">
        <v>134</v>
      </c>
      <c r="I711">
        <v>134</v>
      </c>
      <c r="J711">
        <v>134</v>
      </c>
      <c r="K711">
        <v>6</v>
      </c>
      <c r="L711">
        <v>0</v>
      </c>
      <c r="M711">
        <v>128</v>
      </c>
      <c r="N711">
        <v>0</v>
      </c>
      <c r="O711">
        <v>0</v>
      </c>
      <c r="P711">
        <v>0</v>
      </c>
      <c r="Q711">
        <v>0</v>
      </c>
    </row>
    <row r="712" spans="1:17" x14ac:dyDescent="0.2">
      <c r="A712" s="121">
        <v>39507</v>
      </c>
      <c r="B712" t="s">
        <v>406</v>
      </c>
      <c r="C712" t="s">
        <v>577</v>
      </c>
      <c r="D712" t="s">
        <v>586</v>
      </c>
      <c r="E712" t="s">
        <v>587</v>
      </c>
      <c r="F712" t="s">
        <v>410</v>
      </c>
      <c r="G712">
        <v>620</v>
      </c>
      <c r="H712">
        <v>620</v>
      </c>
      <c r="I712">
        <v>620</v>
      </c>
      <c r="J712">
        <v>620</v>
      </c>
      <c r="K712">
        <v>46</v>
      </c>
      <c r="L712">
        <v>0</v>
      </c>
      <c r="M712">
        <v>574</v>
      </c>
      <c r="N712">
        <v>0</v>
      </c>
      <c r="O712">
        <v>0</v>
      </c>
      <c r="P712">
        <v>0</v>
      </c>
      <c r="Q712">
        <v>0</v>
      </c>
    </row>
    <row r="713" spans="1:17" x14ac:dyDescent="0.2">
      <c r="A713" s="121">
        <v>39507</v>
      </c>
      <c r="B713" t="s">
        <v>406</v>
      </c>
      <c r="C713" t="s">
        <v>577</v>
      </c>
      <c r="D713" t="s">
        <v>588</v>
      </c>
      <c r="E713" t="s">
        <v>589</v>
      </c>
      <c r="F713" t="s">
        <v>410</v>
      </c>
      <c r="G713">
        <v>158</v>
      </c>
      <c r="H713">
        <v>158</v>
      </c>
      <c r="I713">
        <v>158</v>
      </c>
      <c r="J713">
        <v>158</v>
      </c>
      <c r="K713">
        <v>3</v>
      </c>
      <c r="L713">
        <v>0</v>
      </c>
      <c r="M713">
        <v>155</v>
      </c>
      <c r="N713">
        <v>0</v>
      </c>
      <c r="O713">
        <v>0</v>
      </c>
      <c r="P713">
        <v>0</v>
      </c>
      <c r="Q713">
        <v>0</v>
      </c>
    </row>
    <row r="714" spans="1:17" x14ac:dyDescent="0.2">
      <c r="A714" s="121">
        <v>39507</v>
      </c>
      <c r="B714" t="s">
        <v>406</v>
      </c>
      <c r="C714" t="s">
        <v>577</v>
      </c>
      <c r="D714" t="s">
        <v>590</v>
      </c>
      <c r="E714" t="s">
        <v>591</v>
      </c>
      <c r="F714" t="s">
        <v>410</v>
      </c>
      <c r="G714">
        <v>334</v>
      </c>
      <c r="H714">
        <v>334</v>
      </c>
      <c r="I714">
        <v>334</v>
      </c>
      <c r="J714">
        <v>334</v>
      </c>
      <c r="K714">
        <v>10</v>
      </c>
      <c r="L714">
        <v>0</v>
      </c>
      <c r="M714">
        <v>324</v>
      </c>
      <c r="N714">
        <v>0</v>
      </c>
      <c r="O714">
        <v>0</v>
      </c>
      <c r="P714">
        <v>0</v>
      </c>
      <c r="Q714">
        <v>0</v>
      </c>
    </row>
    <row r="715" spans="1:17" x14ac:dyDescent="0.2">
      <c r="A715" s="121">
        <v>39507</v>
      </c>
      <c r="B715" t="s">
        <v>406</v>
      </c>
      <c r="C715" t="s">
        <v>577</v>
      </c>
      <c r="D715" t="s">
        <v>592</v>
      </c>
      <c r="E715" t="s">
        <v>593</v>
      </c>
      <c r="F715" t="s">
        <v>410</v>
      </c>
      <c r="G715">
        <v>368</v>
      </c>
      <c r="H715">
        <v>368</v>
      </c>
      <c r="I715">
        <v>368</v>
      </c>
      <c r="J715">
        <v>368</v>
      </c>
      <c r="K715">
        <v>21</v>
      </c>
      <c r="L715">
        <v>0</v>
      </c>
      <c r="M715">
        <v>347</v>
      </c>
      <c r="N715">
        <v>0</v>
      </c>
      <c r="O715">
        <v>0</v>
      </c>
      <c r="P715">
        <v>0</v>
      </c>
      <c r="Q715">
        <v>0</v>
      </c>
    </row>
    <row r="716" spans="1:17" x14ac:dyDescent="0.2">
      <c r="A716" s="121">
        <v>39507</v>
      </c>
      <c r="B716" t="s">
        <v>406</v>
      </c>
      <c r="C716" t="s">
        <v>594</v>
      </c>
      <c r="D716" t="s">
        <v>595</v>
      </c>
      <c r="E716" t="s">
        <v>596</v>
      </c>
      <c r="F716" t="s">
        <v>410</v>
      </c>
      <c r="G716">
        <v>25</v>
      </c>
      <c r="I716">
        <v>25</v>
      </c>
    </row>
    <row r="717" spans="1:17" x14ac:dyDescent="0.2">
      <c r="A717" s="121">
        <v>39507</v>
      </c>
      <c r="B717" t="s">
        <v>406</v>
      </c>
      <c r="C717" t="s">
        <v>594</v>
      </c>
      <c r="D717" t="s">
        <v>597</v>
      </c>
      <c r="E717" t="s">
        <v>598</v>
      </c>
      <c r="F717" t="s">
        <v>413</v>
      </c>
      <c r="G717">
        <v>537</v>
      </c>
      <c r="H717">
        <v>537</v>
      </c>
      <c r="I717">
        <v>526</v>
      </c>
      <c r="J717">
        <v>526</v>
      </c>
      <c r="K717">
        <v>141</v>
      </c>
      <c r="L717">
        <v>0</v>
      </c>
      <c r="M717">
        <v>392</v>
      </c>
      <c r="N717">
        <v>1</v>
      </c>
      <c r="O717">
        <v>3</v>
      </c>
      <c r="P717">
        <v>0</v>
      </c>
      <c r="Q717">
        <v>0</v>
      </c>
    </row>
    <row r="718" spans="1:17" x14ac:dyDescent="0.2">
      <c r="A718" s="121">
        <v>39507</v>
      </c>
      <c r="B718" t="s">
        <v>406</v>
      </c>
      <c r="C718" t="s">
        <v>594</v>
      </c>
      <c r="D718" t="s">
        <v>599</v>
      </c>
      <c r="E718" t="s">
        <v>600</v>
      </c>
      <c r="F718" t="s">
        <v>410</v>
      </c>
      <c r="G718">
        <v>72</v>
      </c>
      <c r="I718">
        <v>72</v>
      </c>
    </row>
    <row r="719" spans="1:17" x14ac:dyDescent="0.2">
      <c r="A719" s="121">
        <v>39538</v>
      </c>
      <c r="B719" t="s">
        <v>406</v>
      </c>
      <c r="C719" t="s">
        <v>407</v>
      </c>
      <c r="D719" t="s">
        <v>408</v>
      </c>
      <c r="E719" t="s">
        <v>409</v>
      </c>
      <c r="F719" t="s">
        <v>410</v>
      </c>
      <c r="G719">
        <v>214</v>
      </c>
      <c r="I719">
        <v>214</v>
      </c>
    </row>
    <row r="720" spans="1:17" x14ac:dyDescent="0.2">
      <c r="A720" s="121">
        <v>39538</v>
      </c>
      <c r="B720" t="s">
        <v>406</v>
      </c>
      <c r="C720" t="s">
        <v>407</v>
      </c>
      <c r="D720" t="s">
        <v>601</v>
      </c>
      <c r="E720" t="s">
        <v>602</v>
      </c>
      <c r="F720" t="s">
        <v>410</v>
      </c>
      <c r="G720">
        <v>99</v>
      </c>
      <c r="I720">
        <v>99</v>
      </c>
    </row>
    <row r="721" spans="1:17" x14ac:dyDescent="0.2">
      <c r="A721" s="121">
        <v>39538</v>
      </c>
      <c r="B721" t="s">
        <v>406</v>
      </c>
      <c r="C721" t="s">
        <v>407</v>
      </c>
      <c r="D721" t="s">
        <v>411</v>
      </c>
      <c r="E721" t="s">
        <v>412</v>
      </c>
      <c r="F721" t="s">
        <v>413</v>
      </c>
      <c r="G721">
        <v>5684</v>
      </c>
      <c r="H721">
        <v>5684</v>
      </c>
      <c r="I721">
        <v>5584</v>
      </c>
      <c r="J721">
        <v>5584</v>
      </c>
      <c r="K721">
        <v>2084</v>
      </c>
      <c r="L721">
        <v>4</v>
      </c>
      <c r="M721">
        <v>3220</v>
      </c>
      <c r="N721">
        <v>85</v>
      </c>
      <c r="O721">
        <v>291</v>
      </c>
      <c r="P721">
        <v>6</v>
      </c>
      <c r="Q721">
        <v>0</v>
      </c>
    </row>
    <row r="722" spans="1:17" x14ac:dyDescent="0.2">
      <c r="A722" s="121">
        <v>39538</v>
      </c>
      <c r="B722" t="s">
        <v>406</v>
      </c>
      <c r="C722" t="s">
        <v>407</v>
      </c>
      <c r="D722" t="s">
        <v>414</v>
      </c>
      <c r="E722" t="s">
        <v>415</v>
      </c>
      <c r="F722" t="s">
        <v>410</v>
      </c>
      <c r="G722">
        <v>97</v>
      </c>
      <c r="I722">
        <v>97</v>
      </c>
    </row>
    <row r="723" spans="1:17" x14ac:dyDescent="0.2">
      <c r="A723" s="121">
        <v>39538</v>
      </c>
      <c r="B723" t="s">
        <v>406</v>
      </c>
      <c r="C723" t="s">
        <v>407</v>
      </c>
      <c r="D723" t="s">
        <v>416</v>
      </c>
      <c r="E723" t="s">
        <v>417</v>
      </c>
      <c r="F723" t="s">
        <v>413</v>
      </c>
      <c r="G723">
        <v>3489</v>
      </c>
      <c r="H723">
        <v>3489</v>
      </c>
      <c r="I723">
        <v>3416</v>
      </c>
      <c r="J723">
        <v>3416</v>
      </c>
      <c r="K723">
        <v>1293</v>
      </c>
      <c r="L723">
        <v>0</v>
      </c>
      <c r="M723">
        <v>2087</v>
      </c>
      <c r="N723">
        <v>63</v>
      </c>
      <c r="O723">
        <v>46</v>
      </c>
      <c r="P723">
        <v>1</v>
      </c>
      <c r="Q723">
        <v>0</v>
      </c>
    </row>
    <row r="724" spans="1:17" x14ac:dyDescent="0.2">
      <c r="A724" s="121">
        <v>39538</v>
      </c>
      <c r="B724" t="s">
        <v>406</v>
      </c>
      <c r="C724" t="s">
        <v>418</v>
      </c>
      <c r="D724" t="s">
        <v>419</v>
      </c>
      <c r="E724" t="s">
        <v>420</v>
      </c>
      <c r="F724" t="s">
        <v>410</v>
      </c>
      <c r="G724">
        <v>14</v>
      </c>
      <c r="I724">
        <v>14</v>
      </c>
    </row>
    <row r="725" spans="1:17" x14ac:dyDescent="0.2">
      <c r="A725" s="121">
        <v>39538</v>
      </c>
      <c r="B725" t="s">
        <v>406</v>
      </c>
      <c r="C725" t="s">
        <v>418</v>
      </c>
      <c r="D725" t="s">
        <v>421</v>
      </c>
      <c r="E725" t="s">
        <v>422</v>
      </c>
      <c r="F725" t="s">
        <v>410</v>
      </c>
      <c r="G725">
        <v>88</v>
      </c>
      <c r="I725">
        <v>88</v>
      </c>
    </row>
    <row r="726" spans="1:17" x14ac:dyDescent="0.2">
      <c r="A726" s="121">
        <v>39538</v>
      </c>
      <c r="B726" t="s">
        <v>406</v>
      </c>
      <c r="C726" t="s">
        <v>418</v>
      </c>
      <c r="D726" t="s">
        <v>423</v>
      </c>
      <c r="E726" t="s">
        <v>424</v>
      </c>
      <c r="F726" t="s">
        <v>410</v>
      </c>
      <c r="G726">
        <v>24</v>
      </c>
      <c r="I726">
        <v>24</v>
      </c>
    </row>
    <row r="727" spans="1:17" x14ac:dyDescent="0.2">
      <c r="A727" s="121">
        <v>39538</v>
      </c>
      <c r="B727" t="s">
        <v>406</v>
      </c>
      <c r="C727" t="s">
        <v>418</v>
      </c>
      <c r="D727" t="s">
        <v>425</v>
      </c>
      <c r="E727" t="s">
        <v>426</v>
      </c>
      <c r="F727" t="s">
        <v>410</v>
      </c>
      <c r="G727">
        <v>60</v>
      </c>
      <c r="I727">
        <v>60</v>
      </c>
    </row>
    <row r="728" spans="1:17" x14ac:dyDescent="0.2">
      <c r="A728" s="121">
        <v>39538</v>
      </c>
      <c r="B728" t="s">
        <v>406</v>
      </c>
      <c r="C728" t="s">
        <v>418</v>
      </c>
      <c r="D728" t="s">
        <v>427</v>
      </c>
      <c r="E728" t="s">
        <v>428</v>
      </c>
      <c r="F728" t="s">
        <v>413</v>
      </c>
      <c r="G728">
        <v>1926</v>
      </c>
      <c r="H728">
        <v>1926</v>
      </c>
      <c r="I728">
        <v>1874</v>
      </c>
      <c r="J728">
        <v>1874</v>
      </c>
      <c r="K728">
        <v>647</v>
      </c>
      <c r="L728">
        <v>4</v>
      </c>
      <c r="M728">
        <v>1049</v>
      </c>
      <c r="N728">
        <v>25</v>
      </c>
      <c r="O728">
        <v>201</v>
      </c>
      <c r="P728">
        <v>2</v>
      </c>
      <c r="Q728">
        <v>0</v>
      </c>
    </row>
    <row r="729" spans="1:17" x14ac:dyDescent="0.2">
      <c r="A729" s="121">
        <v>39538</v>
      </c>
      <c r="B729" t="s">
        <v>406</v>
      </c>
      <c r="C729" t="s">
        <v>429</v>
      </c>
      <c r="D729" t="s">
        <v>430</v>
      </c>
      <c r="E729" t="s">
        <v>431</v>
      </c>
      <c r="F729" t="s">
        <v>410</v>
      </c>
      <c r="G729">
        <v>53</v>
      </c>
      <c r="I729">
        <v>53</v>
      </c>
    </row>
    <row r="730" spans="1:17" x14ac:dyDescent="0.2">
      <c r="A730" s="121">
        <v>39538</v>
      </c>
      <c r="B730" t="s">
        <v>406</v>
      </c>
      <c r="C730" t="s">
        <v>429</v>
      </c>
      <c r="D730" t="s">
        <v>432</v>
      </c>
      <c r="E730" t="s">
        <v>433</v>
      </c>
      <c r="F730" t="s">
        <v>410</v>
      </c>
      <c r="G730">
        <v>45</v>
      </c>
      <c r="I730">
        <v>45</v>
      </c>
    </row>
    <row r="731" spans="1:17" x14ac:dyDescent="0.2">
      <c r="A731" s="121">
        <v>39538</v>
      </c>
      <c r="B731" t="s">
        <v>406</v>
      </c>
      <c r="C731" t="s">
        <v>429</v>
      </c>
      <c r="D731" t="s">
        <v>434</v>
      </c>
      <c r="E731" t="s">
        <v>435</v>
      </c>
      <c r="F731" t="s">
        <v>410</v>
      </c>
      <c r="G731">
        <v>10</v>
      </c>
      <c r="I731">
        <v>10</v>
      </c>
    </row>
    <row r="732" spans="1:17" x14ac:dyDescent="0.2">
      <c r="A732" s="121">
        <v>39538</v>
      </c>
      <c r="B732" t="s">
        <v>406</v>
      </c>
      <c r="C732" t="s">
        <v>429</v>
      </c>
      <c r="D732" t="s">
        <v>436</v>
      </c>
      <c r="E732" t="s">
        <v>437</v>
      </c>
      <c r="F732" t="s">
        <v>410</v>
      </c>
      <c r="G732">
        <v>59</v>
      </c>
      <c r="I732">
        <v>59</v>
      </c>
    </row>
    <row r="733" spans="1:17" x14ac:dyDescent="0.2">
      <c r="A733" s="121">
        <v>39538</v>
      </c>
      <c r="B733" t="s">
        <v>406</v>
      </c>
      <c r="C733" t="s">
        <v>429</v>
      </c>
      <c r="D733" t="s">
        <v>438</v>
      </c>
      <c r="E733" t="s">
        <v>439</v>
      </c>
      <c r="F733" t="s">
        <v>413</v>
      </c>
      <c r="G733">
        <v>1022</v>
      </c>
      <c r="H733">
        <v>1022</v>
      </c>
      <c r="I733">
        <v>996</v>
      </c>
      <c r="J733">
        <v>996</v>
      </c>
      <c r="K733">
        <v>112</v>
      </c>
      <c r="L733">
        <v>0</v>
      </c>
      <c r="M733">
        <v>902</v>
      </c>
      <c r="N733">
        <v>8</v>
      </c>
      <c r="O733">
        <v>0</v>
      </c>
      <c r="P733">
        <v>2</v>
      </c>
      <c r="Q733">
        <v>1</v>
      </c>
    </row>
    <row r="734" spans="1:17" x14ac:dyDescent="0.2">
      <c r="A734" s="121">
        <v>39538</v>
      </c>
      <c r="B734" t="s">
        <v>406</v>
      </c>
      <c r="C734" t="s">
        <v>429</v>
      </c>
      <c r="D734" t="s">
        <v>440</v>
      </c>
      <c r="E734" t="s">
        <v>441</v>
      </c>
      <c r="F734" t="s">
        <v>413</v>
      </c>
      <c r="G734">
        <v>2998</v>
      </c>
      <c r="H734">
        <v>2998</v>
      </c>
      <c r="I734">
        <v>2931</v>
      </c>
      <c r="J734">
        <v>2931</v>
      </c>
      <c r="K734">
        <v>1029</v>
      </c>
      <c r="L734">
        <v>4</v>
      </c>
      <c r="M734">
        <v>1896</v>
      </c>
      <c r="N734">
        <v>17</v>
      </c>
      <c r="O734">
        <v>52</v>
      </c>
      <c r="P734">
        <v>2</v>
      </c>
      <c r="Q734">
        <v>0</v>
      </c>
    </row>
    <row r="735" spans="1:17" x14ac:dyDescent="0.2">
      <c r="A735" s="121">
        <v>39538</v>
      </c>
      <c r="B735" t="s">
        <v>406</v>
      </c>
      <c r="C735" t="s">
        <v>442</v>
      </c>
      <c r="D735" t="s">
        <v>443</v>
      </c>
      <c r="E735" t="s">
        <v>444</v>
      </c>
      <c r="F735" t="s">
        <v>413</v>
      </c>
      <c r="G735">
        <v>4007</v>
      </c>
      <c r="H735">
        <v>4007</v>
      </c>
      <c r="I735">
        <v>3780</v>
      </c>
      <c r="J735">
        <v>3780</v>
      </c>
      <c r="K735">
        <v>704</v>
      </c>
      <c r="L735">
        <v>11</v>
      </c>
      <c r="M735">
        <v>3130</v>
      </c>
      <c r="N735">
        <v>35</v>
      </c>
      <c r="O735">
        <v>127</v>
      </c>
      <c r="P735">
        <v>22</v>
      </c>
      <c r="Q735">
        <v>5</v>
      </c>
    </row>
    <row r="736" spans="1:17" x14ac:dyDescent="0.2">
      <c r="A736" s="121">
        <v>39538</v>
      </c>
      <c r="B736" t="s">
        <v>406</v>
      </c>
      <c r="C736" t="s">
        <v>442</v>
      </c>
      <c r="D736" t="s">
        <v>445</v>
      </c>
      <c r="E736" t="s">
        <v>446</v>
      </c>
      <c r="F736" t="s">
        <v>410</v>
      </c>
      <c r="G736">
        <v>139</v>
      </c>
      <c r="I736">
        <v>139</v>
      </c>
    </row>
    <row r="737" spans="1:17" x14ac:dyDescent="0.2">
      <c r="A737" s="121">
        <v>39538</v>
      </c>
      <c r="B737" t="s">
        <v>406</v>
      </c>
      <c r="C737" t="s">
        <v>442</v>
      </c>
      <c r="D737" t="s">
        <v>447</v>
      </c>
      <c r="E737" t="s">
        <v>448</v>
      </c>
      <c r="F737" t="s">
        <v>410</v>
      </c>
      <c r="G737">
        <v>308</v>
      </c>
      <c r="I737">
        <v>308</v>
      </c>
    </row>
    <row r="738" spans="1:17" x14ac:dyDescent="0.2">
      <c r="A738" s="121">
        <v>39538</v>
      </c>
      <c r="B738" t="s">
        <v>406</v>
      </c>
      <c r="C738" t="s">
        <v>442</v>
      </c>
      <c r="D738" t="s">
        <v>449</v>
      </c>
      <c r="E738" t="s">
        <v>450</v>
      </c>
      <c r="F738" t="s">
        <v>413</v>
      </c>
      <c r="G738">
        <v>3534</v>
      </c>
      <c r="H738">
        <v>3534</v>
      </c>
      <c r="I738">
        <v>3410</v>
      </c>
      <c r="J738">
        <v>3410</v>
      </c>
      <c r="K738">
        <v>766</v>
      </c>
      <c r="L738">
        <v>18</v>
      </c>
      <c r="M738">
        <v>2673</v>
      </c>
      <c r="N738">
        <v>31</v>
      </c>
      <c r="O738">
        <v>46</v>
      </c>
      <c r="P738">
        <v>10</v>
      </c>
      <c r="Q738">
        <v>8</v>
      </c>
    </row>
    <row r="739" spans="1:17" x14ac:dyDescent="0.2">
      <c r="A739" s="121">
        <v>39538</v>
      </c>
      <c r="B739" t="s">
        <v>406</v>
      </c>
      <c r="C739" t="s">
        <v>451</v>
      </c>
      <c r="D739" t="s">
        <v>452</v>
      </c>
      <c r="E739" t="s">
        <v>453</v>
      </c>
      <c r="F739" t="s">
        <v>410</v>
      </c>
      <c r="G739">
        <v>1701</v>
      </c>
      <c r="H739">
        <v>1701</v>
      </c>
      <c r="I739">
        <v>1698</v>
      </c>
      <c r="J739">
        <v>1698</v>
      </c>
      <c r="K739">
        <v>0</v>
      </c>
      <c r="L739">
        <v>0</v>
      </c>
      <c r="M739">
        <v>1220</v>
      </c>
      <c r="N739">
        <v>200</v>
      </c>
      <c r="O739">
        <v>281</v>
      </c>
      <c r="P739">
        <v>1</v>
      </c>
      <c r="Q739">
        <v>1</v>
      </c>
    </row>
    <row r="740" spans="1:17" x14ac:dyDescent="0.2">
      <c r="A740" s="121">
        <v>39538</v>
      </c>
      <c r="B740" t="s">
        <v>406</v>
      </c>
      <c r="C740" t="s">
        <v>451</v>
      </c>
      <c r="D740" t="s">
        <v>454</v>
      </c>
      <c r="E740" t="s">
        <v>455</v>
      </c>
      <c r="F740" t="s">
        <v>413</v>
      </c>
      <c r="G740">
        <v>4471</v>
      </c>
      <c r="H740">
        <v>4471</v>
      </c>
      <c r="I740">
        <v>4237</v>
      </c>
      <c r="J740">
        <v>4237</v>
      </c>
      <c r="K740">
        <v>1209</v>
      </c>
      <c r="L740">
        <v>11</v>
      </c>
      <c r="M740">
        <v>2629</v>
      </c>
      <c r="N740">
        <v>32</v>
      </c>
      <c r="O740">
        <v>590</v>
      </c>
      <c r="P740">
        <v>7</v>
      </c>
      <c r="Q740">
        <v>0</v>
      </c>
    </row>
    <row r="741" spans="1:17" x14ac:dyDescent="0.2">
      <c r="A741" s="121">
        <v>39538</v>
      </c>
      <c r="B741" t="s">
        <v>406</v>
      </c>
      <c r="C741" t="s">
        <v>456</v>
      </c>
      <c r="D741" t="s">
        <v>457</v>
      </c>
      <c r="E741" t="s">
        <v>458</v>
      </c>
      <c r="F741" t="s">
        <v>413</v>
      </c>
      <c r="G741">
        <v>5153</v>
      </c>
      <c r="H741">
        <v>5153</v>
      </c>
      <c r="I741">
        <v>4932</v>
      </c>
      <c r="J741">
        <v>4932</v>
      </c>
      <c r="K741">
        <v>1254</v>
      </c>
      <c r="L741">
        <v>33</v>
      </c>
      <c r="M741">
        <v>3766</v>
      </c>
      <c r="N741">
        <v>77</v>
      </c>
      <c r="O741">
        <v>23</v>
      </c>
      <c r="P741">
        <v>27</v>
      </c>
      <c r="Q741">
        <v>2</v>
      </c>
    </row>
    <row r="742" spans="1:17" x14ac:dyDescent="0.2">
      <c r="A742" s="121">
        <v>39538</v>
      </c>
      <c r="B742" t="s">
        <v>406</v>
      </c>
      <c r="C742" t="s">
        <v>456</v>
      </c>
      <c r="D742" t="s">
        <v>459</v>
      </c>
      <c r="E742" t="s">
        <v>460</v>
      </c>
      <c r="F742" t="s">
        <v>413</v>
      </c>
      <c r="G742">
        <v>1490</v>
      </c>
      <c r="H742">
        <v>1490</v>
      </c>
      <c r="I742">
        <v>1488</v>
      </c>
      <c r="J742">
        <v>1488</v>
      </c>
      <c r="K742">
        <v>458</v>
      </c>
      <c r="L742">
        <v>0</v>
      </c>
      <c r="M742">
        <v>1032</v>
      </c>
      <c r="N742">
        <v>0</v>
      </c>
      <c r="O742">
        <v>0</v>
      </c>
      <c r="P742">
        <v>0</v>
      </c>
      <c r="Q742">
        <v>0</v>
      </c>
    </row>
    <row r="743" spans="1:17" x14ac:dyDescent="0.2">
      <c r="A743" s="121">
        <v>39538</v>
      </c>
      <c r="B743" t="s">
        <v>406</v>
      </c>
      <c r="C743" t="s">
        <v>456</v>
      </c>
      <c r="D743" t="s">
        <v>461</v>
      </c>
      <c r="E743" t="s">
        <v>462</v>
      </c>
      <c r="F743" t="s">
        <v>410</v>
      </c>
      <c r="G743">
        <v>73</v>
      </c>
      <c r="I743">
        <v>73</v>
      </c>
    </row>
    <row r="744" spans="1:17" x14ac:dyDescent="0.2">
      <c r="A744" s="121">
        <v>39538</v>
      </c>
      <c r="B744" t="s">
        <v>406</v>
      </c>
      <c r="C744" t="s">
        <v>456</v>
      </c>
      <c r="D744" t="s">
        <v>463</v>
      </c>
      <c r="E744" t="s">
        <v>464</v>
      </c>
      <c r="F744" t="s">
        <v>410</v>
      </c>
      <c r="G744">
        <v>32</v>
      </c>
      <c r="I744">
        <v>32</v>
      </c>
    </row>
    <row r="745" spans="1:17" x14ac:dyDescent="0.2">
      <c r="A745" s="121">
        <v>39538</v>
      </c>
      <c r="B745" t="s">
        <v>406</v>
      </c>
      <c r="C745" t="s">
        <v>456</v>
      </c>
      <c r="D745" t="s">
        <v>465</v>
      </c>
      <c r="E745" t="s">
        <v>466</v>
      </c>
      <c r="F745" t="s">
        <v>410</v>
      </c>
      <c r="G745">
        <v>59</v>
      </c>
      <c r="I745">
        <v>59</v>
      </c>
    </row>
    <row r="746" spans="1:17" x14ac:dyDescent="0.2">
      <c r="A746" s="121">
        <v>39538</v>
      </c>
      <c r="B746" t="s">
        <v>406</v>
      </c>
      <c r="C746" t="s">
        <v>456</v>
      </c>
      <c r="D746" t="s">
        <v>467</v>
      </c>
      <c r="E746" t="s">
        <v>468</v>
      </c>
      <c r="F746" t="s">
        <v>410</v>
      </c>
      <c r="G746">
        <v>1086</v>
      </c>
      <c r="I746">
        <v>1085</v>
      </c>
    </row>
    <row r="747" spans="1:17" x14ac:dyDescent="0.2">
      <c r="A747" s="121">
        <v>39538</v>
      </c>
      <c r="B747" t="s">
        <v>406</v>
      </c>
      <c r="C747" t="s">
        <v>456</v>
      </c>
      <c r="D747" t="s">
        <v>469</v>
      </c>
      <c r="E747" t="s">
        <v>470</v>
      </c>
      <c r="F747" t="s">
        <v>410</v>
      </c>
      <c r="G747">
        <v>768</v>
      </c>
      <c r="I747">
        <v>758</v>
      </c>
    </row>
    <row r="748" spans="1:17" x14ac:dyDescent="0.2">
      <c r="A748" s="121">
        <v>39538</v>
      </c>
      <c r="B748" t="s">
        <v>406</v>
      </c>
      <c r="C748" t="s">
        <v>456</v>
      </c>
      <c r="D748" t="s">
        <v>471</v>
      </c>
      <c r="E748" t="s">
        <v>472</v>
      </c>
      <c r="F748" t="s">
        <v>410</v>
      </c>
      <c r="G748">
        <v>206</v>
      </c>
      <c r="I748">
        <v>206</v>
      </c>
    </row>
    <row r="749" spans="1:17" x14ac:dyDescent="0.2">
      <c r="A749" s="121">
        <v>39538</v>
      </c>
      <c r="B749" t="s">
        <v>406</v>
      </c>
      <c r="C749" t="s">
        <v>456</v>
      </c>
      <c r="D749" t="s">
        <v>473</v>
      </c>
      <c r="E749" t="s">
        <v>474</v>
      </c>
      <c r="F749" t="s">
        <v>410</v>
      </c>
      <c r="G749">
        <v>187</v>
      </c>
      <c r="I749">
        <v>187</v>
      </c>
    </row>
    <row r="750" spans="1:17" x14ac:dyDescent="0.2">
      <c r="A750" s="121">
        <v>39538</v>
      </c>
      <c r="B750" t="s">
        <v>406</v>
      </c>
      <c r="C750" t="s">
        <v>456</v>
      </c>
      <c r="D750" t="s">
        <v>475</v>
      </c>
      <c r="E750" t="s">
        <v>476</v>
      </c>
      <c r="F750" t="s">
        <v>410</v>
      </c>
      <c r="G750">
        <v>272</v>
      </c>
      <c r="I750">
        <v>272</v>
      </c>
    </row>
    <row r="751" spans="1:17" x14ac:dyDescent="0.2">
      <c r="A751" s="121">
        <v>39538</v>
      </c>
      <c r="B751" t="s">
        <v>406</v>
      </c>
      <c r="C751" t="s">
        <v>456</v>
      </c>
      <c r="D751" t="s">
        <v>477</v>
      </c>
      <c r="E751" t="s">
        <v>478</v>
      </c>
      <c r="F751" t="s">
        <v>413</v>
      </c>
      <c r="G751">
        <v>1902</v>
      </c>
      <c r="H751">
        <v>1902</v>
      </c>
      <c r="I751">
        <v>1766</v>
      </c>
      <c r="J751">
        <v>1766</v>
      </c>
      <c r="K751">
        <v>566</v>
      </c>
      <c r="L751">
        <v>5</v>
      </c>
      <c r="M751">
        <v>1280</v>
      </c>
      <c r="N751">
        <v>20</v>
      </c>
      <c r="O751">
        <v>31</v>
      </c>
      <c r="P751">
        <v>13</v>
      </c>
      <c r="Q751">
        <v>2</v>
      </c>
    </row>
    <row r="752" spans="1:17" x14ac:dyDescent="0.2">
      <c r="A752" s="121">
        <v>39538</v>
      </c>
      <c r="B752" t="s">
        <v>406</v>
      </c>
      <c r="C752" t="s">
        <v>456</v>
      </c>
      <c r="D752" t="s">
        <v>479</v>
      </c>
      <c r="E752" t="s">
        <v>480</v>
      </c>
      <c r="F752" t="s">
        <v>410</v>
      </c>
      <c r="G752">
        <v>88</v>
      </c>
      <c r="I752">
        <v>88</v>
      </c>
    </row>
    <row r="753" spans="1:17" x14ac:dyDescent="0.2">
      <c r="A753" s="121">
        <v>39538</v>
      </c>
      <c r="B753" t="s">
        <v>406</v>
      </c>
      <c r="C753" t="s">
        <v>456</v>
      </c>
      <c r="D753" t="s">
        <v>481</v>
      </c>
      <c r="E753" t="s">
        <v>482</v>
      </c>
      <c r="F753" t="s">
        <v>410</v>
      </c>
      <c r="G753">
        <v>26</v>
      </c>
      <c r="I753">
        <v>26</v>
      </c>
    </row>
    <row r="754" spans="1:17" x14ac:dyDescent="0.2">
      <c r="A754" s="121">
        <v>39538</v>
      </c>
      <c r="B754" t="s">
        <v>406</v>
      </c>
      <c r="C754" t="s">
        <v>456</v>
      </c>
      <c r="D754" t="s">
        <v>483</v>
      </c>
      <c r="E754" t="s">
        <v>484</v>
      </c>
      <c r="F754" t="s">
        <v>410</v>
      </c>
      <c r="G754">
        <v>107</v>
      </c>
      <c r="I754">
        <v>107</v>
      </c>
    </row>
    <row r="755" spans="1:17" x14ac:dyDescent="0.2">
      <c r="A755" s="121">
        <v>39538</v>
      </c>
      <c r="B755" t="s">
        <v>406</v>
      </c>
      <c r="C755" t="s">
        <v>456</v>
      </c>
      <c r="D755" t="s">
        <v>485</v>
      </c>
      <c r="E755" t="s">
        <v>486</v>
      </c>
      <c r="F755" t="s">
        <v>410</v>
      </c>
      <c r="G755">
        <v>49</v>
      </c>
      <c r="I755">
        <v>49</v>
      </c>
    </row>
    <row r="756" spans="1:17" x14ac:dyDescent="0.2">
      <c r="A756" s="121">
        <v>39538</v>
      </c>
      <c r="B756" t="s">
        <v>406</v>
      </c>
      <c r="C756" t="s">
        <v>456</v>
      </c>
      <c r="D756" t="s">
        <v>487</v>
      </c>
      <c r="E756" t="s">
        <v>488</v>
      </c>
      <c r="F756" t="s">
        <v>410</v>
      </c>
      <c r="G756">
        <v>27</v>
      </c>
      <c r="I756">
        <v>27</v>
      </c>
    </row>
    <row r="757" spans="1:17" x14ac:dyDescent="0.2">
      <c r="A757" s="121">
        <v>39538</v>
      </c>
      <c r="B757" t="s">
        <v>406</v>
      </c>
      <c r="C757" t="s">
        <v>456</v>
      </c>
      <c r="D757" t="s">
        <v>489</v>
      </c>
      <c r="E757" t="s">
        <v>490</v>
      </c>
      <c r="F757" t="s">
        <v>410</v>
      </c>
      <c r="G757">
        <v>83</v>
      </c>
      <c r="H757">
        <v>83</v>
      </c>
      <c r="I757">
        <v>83</v>
      </c>
      <c r="J757">
        <v>83</v>
      </c>
      <c r="K757">
        <v>0</v>
      </c>
      <c r="L757">
        <v>0</v>
      </c>
      <c r="M757">
        <v>69</v>
      </c>
      <c r="N757">
        <v>14</v>
      </c>
      <c r="O757">
        <v>0</v>
      </c>
      <c r="P757">
        <v>0</v>
      </c>
      <c r="Q757">
        <v>0</v>
      </c>
    </row>
    <row r="758" spans="1:17" x14ac:dyDescent="0.2">
      <c r="A758" s="121">
        <v>39538</v>
      </c>
      <c r="B758" t="s">
        <v>406</v>
      </c>
      <c r="C758" t="s">
        <v>491</v>
      </c>
      <c r="D758" t="s">
        <v>492</v>
      </c>
      <c r="E758" t="s">
        <v>493</v>
      </c>
      <c r="F758" t="s">
        <v>410</v>
      </c>
      <c r="G758">
        <v>1207</v>
      </c>
      <c r="H758">
        <v>1207</v>
      </c>
      <c r="I758">
        <v>1199</v>
      </c>
      <c r="J758">
        <v>1199</v>
      </c>
      <c r="K758">
        <v>304</v>
      </c>
      <c r="L758">
        <v>1</v>
      </c>
      <c r="M758">
        <v>822</v>
      </c>
      <c r="N758">
        <v>77</v>
      </c>
      <c r="O758">
        <v>3</v>
      </c>
      <c r="P758">
        <v>0</v>
      </c>
      <c r="Q758">
        <v>0</v>
      </c>
    </row>
    <row r="759" spans="1:17" x14ac:dyDescent="0.2">
      <c r="A759" s="121">
        <v>39538</v>
      </c>
      <c r="B759" t="s">
        <v>406</v>
      </c>
      <c r="C759" t="s">
        <v>491</v>
      </c>
      <c r="D759" t="s">
        <v>494</v>
      </c>
      <c r="E759" t="s">
        <v>495</v>
      </c>
      <c r="F759" t="s">
        <v>413</v>
      </c>
      <c r="G759">
        <v>2716</v>
      </c>
      <c r="H759">
        <v>2716</v>
      </c>
      <c r="I759">
        <v>2701</v>
      </c>
      <c r="J759">
        <v>2701</v>
      </c>
      <c r="K759">
        <v>591</v>
      </c>
      <c r="L759">
        <v>7</v>
      </c>
      <c r="M759">
        <v>1965</v>
      </c>
      <c r="N759">
        <v>33</v>
      </c>
      <c r="O759">
        <v>120</v>
      </c>
      <c r="P759">
        <v>0</v>
      </c>
      <c r="Q759">
        <v>0</v>
      </c>
    </row>
    <row r="760" spans="1:17" x14ac:dyDescent="0.2">
      <c r="A760" s="121">
        <v>39538</v>
      </c>
      <c r="B760" t="s">
        <v>406</v>
      </c>
      <c r="C760" t="s">
        <v>491</v>
      </c>
      <c r="D760" t="s">
        <v>496</v>
      </c>
      <c r="E760" t="s">
        <v>497</v>
      </c>
      <c r="F760" t="s">
        <v>413</v>
      </c>
      <c r="G760">
        <v>5979</v>
      </c>
      <c r="H760">
        <v>5979</v>
      </c>
      <c r="I760">
        <v>5810</v>
      </c>
      <c r="J760">
        <v>5810</v>
      </c>
      <c r="K760">
        <v>1569</v>
      </c>
      <c r="L760">
        <v>2</v>
      </c>
      <c r="M760">
        <v>3844</v>
      </c>
      <c r="N760">
        <v>51</v>
      </c>
      <c r="O760">
        <v>513</v>
      </c>
      <c r="P760">
        <v>3</v>
      </c>
      <c r="Q760">
        <v>0</v>
      </c>
    </row>
    <row r="761" spans="1:17" x14ac:dyDescent="0.2">
      <c r="A761" s="121">
        <v>39538</v>
      </c>
      <c r="B761" t="s">
        <v>406</v>
      </c>
      <c r="C761" t="s">
        <v>491</v>
      </c>
      <c r="D761" t="s">
        <v>498</v>
      </c>
      <c r="E761" t="s">
        <v>499</v>
      </c>
      <c r="F761" t="s">
        <v>413</v>
      </c>
      <c r="G761">
        <v>6475</v>
      </c>
      <c r="H761">
        <v>6475</v>
      </c>
      <c r="I761">
        <v>6296</v>
      </c>
      <c r="J761">
        <v>6296</v>
      </c>
      <c r="K761">
        <v>1805</v>
      </c>
      <c r="L761">
        <v>15</v>
      </c>
      <c r="M761">
        <v>4222</v>
      </c>
      <c r="N761">
        <v>138</v>
      </c>
      <c r="O761">
        <v>295</v>
      </c>
      <c r="P761">
        <v>7</v>
      </c>
      <c r="Q761">
        <v>0</v>
      </c>
    </row>
    <row r="762" spans="1:17" x14ac:dyDescent="0.2">
      <c r="A762" s="121">
        <v>39538</v>
      </c>
      <c r="B762" t="s">
        <v>406</v>
      </c>
      <c r="C762" t="s">
        <v>491</v>
      </c>
      <c r="D762" t="s">
        <v>500</v>
      </c>
      <c r="E762" t="s">
        <v>501</v>
      </c>
      <c r="F762" t="s">
        <v>413</v>
      </c>
      <c r="G762">
        <v>3609</v>
      </c>
      <c r="H762">
        <v>3609</v>
      </c>
      <c r="I762">
        <v>3540</v>
      </c>
      <c r="J762">
        <v>3540</v>
      </c>
      <c r="K762">
        <v>1111</v>
      </c>
      <c r="L762">
        <v>0</v>
      </c>
      <c r="M762">
        <v>2304</v>
      </c>
      <c r="N762">
        <v>38</v>
      </c>
      <c r="O762">
        <v>156</v>
      </c>
      <c r="P762">
        <v>1</v>
      </c>
      <c r="Q762">
        <v>0</v>
      </c>
    </row>
    <row r="763" spans="1:17" x14ac:dyDescent="0.2">
      <c r="A763" s="121">
        <v>39538</v>
      </c>
      <c r="B763" t="s">
        <v>406</v>
      </c>
      <c r="C763" t="s">
        <v>491</v>
      </c>
      <c r="D763" t="s">
        <v>502</v>
      </c>
      <c r="E763" t="s">
        <v>503</v>
      </c>
      <c r="F763" t="s">
        <v>413</v>
      </c>
      <c r="G763">
        <v>5940</v>
      </c>
      <c r="H763">
        <v>5940</v>
      </c>
      <c r="I763">
        <v>5833</v>
      </c>
      <c r="J763">
        <v>5833</v>
      </c>
      <c r="K763">
        <v>1577</v>
      </c>
      <c r="L763">
        <v>9</v>
      </c>
      <c r="M763">
        <v>4140</v>
      </c>
      <c r="N763">
        <v>144</v>
      </c>
      <c r="O763">
        <v>70</v>
      </c>
      <c r="P763">
        <v>2</v>
      </c>
      <c r="Q763">
        <v>0</v>
      </c>
    </row>
    <row r="764" spans="1:17" x14ac:dyDescent="0.2">
      <c r="A764" s="121">
        <v>39538</v>
      </c>
      <c r="B764" t="s">
        <v>406</v>
      </c>
      <c r="C764" t="s">
        <v>491</v>
      </c>
      <c r="D764" t="s">
        <v>504</v>
      </c>
      <c r="E764" t="s">
        <v>505</v>
      </c>
      <c r="F764" t="s">
        <v>413</v>
      </c>
      <c r="G764">
        <v>4104</v>
      </c>
      <c r="H764">
        <v>4104</v>
      </c>
      <c r="I764">
        <v>3938</v>
      </c>
      <c r="J764">
        <v>3938</v>
      </c>
      <c r="K764">
        <v>1245</v>
      </c>
      <c r="L764">
        <v>5</v>
      </c>
      <c r="M764">
        <v>2707</v>
      </c>
      <c r="N764">
        <v>34</v>
      </c>
      <c r="O764">
        <v>113</v>
      </c>
      <c r="P764">
        <v>4</v>
      </c>
      <c r="Q764">
        <v>0</v>
      </c>
    </row>
    <row r="765" spans="1:17" x14ac:dyDescent="0.2">
      <c r="A765" s="121">
        <v>39538</v>
      </c>
      <c r="B765" t="s">
        <v>406</v>
      </c>
      <c r="C765" t="s">
        <v>491</v>
      </c>
      <c r="D765" t="s">
        <v>506</v>
      </c>
      <c r="E765" t="s">
        <v>507</v>
      </c>
      <c r="F765" t="s">
        <v>413</v>
      </c>
      <c r="G765">
        <v>3803</v>
      </c>
      <c r="H765">
        <v>3803</v>
      </c>
      <c r="I765">
        <v>3743</v>
      </c>
      <c r="J765">
        <v>3743</v>
      </c>
      <c r="K765">
        <v>566</v>
      </c>
      <c r="L765">
        <v>2</v>
      </c>
      <c r="M765">
        <v>3229</v>
      </c>
      <c r="N765">
        <v>0</v>
      </c>
      <c r="O765">
        <v>6</v>
      </c>
      <c r="P765">
        <v>1</v>
      </c>
      <c r="Q765">
        <v>1</v>
      </c>
    </row>
    <row r="766" spans="1:17" x14ac:dyDescent="0.2">
      <c r="A766" s="121">
        <v>39538</v>
      </c>
      <c r="B766" t="s">
        <v>406</v>
      </c>
      <c r="C766" t="s">
        <v>491</v>
      </c>
      <c r="D766" t="s">
        <v>508</v>
      </c>
      <c r="E766" t="s">
        <v>509</v>
      </c>
      <c r="F766" t="s">
        <v>413</v>
      </c>
      <c r="G766">
        <v>5049</v>
      </c>
      <c r="H766">
        <v>5049</v>
      </c>
      <c r="I766">
        <v>4853</v>
      </c>
      <c r="J766">
        <v>4853</v>
      </c>
      <c r="K766">
        <v>1673</v>
      </c>
      <c r="L766">
        <v>9</v>
      </c>
      <c r="M766">
        <v>2863</v>
      </c>
      <c r="N766">
        <v>138</v>
      </c>
      <c r="O766">
        <v>366</v>
      </c>
      <c r="P766">
        <v>12</v>
      </c>
      <c r="Q766">
        <v>1</v>
      </c>
    </row>
    <row r="767" spans="1:17" x14ac:dyDescent="0.2">
      <c r="A767" s="121">
        <v>39538</v>
      </c>
      <c r="B767" t="s">
        <v>406</v>
      </c>
      <c r="C767" t="s">
        <v>510</v>
      </c>
      <c r="D767" t="s">
        <v>511</v>
      </c>
      <c r="E767" t="s">
        <v>512</v>
      </c>
      <c r="F767" t="s">
        <v>410</v>
      </c>
      <c r="G767">
        <v>519</v>
      </c>
      <c r="I767">
        <v>512</v>
      </c>
    </row>
    <row r="768" spans="1:17" x14ac:dyDescent="0.2">
      <c r="A768" s="121">
        <v>39538</v>
      </c>
      <c r="B768" t="s">
        <v>406</v>
      </c>
      <c r="C768" t="s">
        <v>510</v>
      </c>
      <c r="D768" t="s">
        <v>513</v>
      </c>
      <c r="E768" t="s">
        <v>514</v>
      </c>
      <c r="F768" t="s">
        <v>410</v>
      </c>
      <c r="G768">
        <v>516</v>
      </c>
      <c r="I768">
        <v>516</v>
      </c>
    </row>
    <row r="769" spans="1:17" x14ac:dyDescent="0.2">
      <c r="A769" s="121">
        <v>39538</v>
      </c>
      <c r="B769" t="s">
        <v>406</v>
      </c>
      <c r="C769" t="s">
        <v>510</v>
      </c>
      <c r="D769" t="s">
        <v>515</v>
      </c>
      <c r="E769" t="s">
        <v>516</v>
      </c>
      <c r="F769" t="s">
        <v>410</v>
      </c>
      <c r="G769">
        <v>72</v>
      </c>
      <c r="I769">
        <v>72</v>
      </c>
    </row>
    <row r="770" spans="1:17" x14ac:dyDescent="0.2">
      <c r="A770" s="121">
        <v>39538</v>
      </c>
      <c r="B770" t="s">
        <v>406</v>
      </c>
      <c r="C770" t="s">
        <v>510</v>
      </c>
      <c r="D770" t="s">
        <v>517</v>
      </c>
      <c r="E770" t="s">
        <v>518</v>
      </c>
      <c r="F770" t="s">
        <v>410</v>
      </c>
      <c r="G770">
        <v>329</v>
      </c>
      <c r="I770">
        <v>326</v>
      </c>
    </row>
    <row r="771" spans="1:17" x14ac:dyDescent="0.2">
      <c r="A771" s="121">
        <v>39538</v>
      </c>
      <c r="B771" t="s">
        <v>406</v>
      </c>
      <c r="C771" t="s">
        <v>510</v>
      </c>
      <c r="D771" t="s">
        <v>519</v>
      </c>
      <c r="E771" t="s">
        <v>520</v>
      </c>
      <c r="F771" t="s">
        <v>410</v>
      </c>
      <c r="G771">
        <v>381</v>
      </c>
      <c r="I771">
        <v>370</v>
      </c>
    </row>
    <row r="772" spans="1:17" x14ac:dyDescent="0.2">
      <c r="A772" s="121">
        <v>39538</v>
      </c>
      <c r="B772" t="s">
        <v>406</v>
      </c>
      <c r="C772" t="s">
        <v>510</v>
      </c>
      <c r="D772" t="s">
        <v>521</v>
      </c>
      <c r="E772" t="s">
        <v>522</v>
      </c>
      <c r="F772" t="s">
        <v>410</v>
      </c>
      <c r="G772">
        <v>67</v>
      </c>
      <c r="I772">
        <v>66</v>
      </c>
    </row>
    <row r="773" spans="1:17" x14ac:dyDescent="0.2">
      <c r="A773" s="121">
        <v>39538</v>
      </c>
      <c r="B773" t="s">
        <v>406</v>
      </c>
      <c r="C773" t="s">
        <v>510</v>
      </c>
      <c r="D773" t="s">
        <v>523</v>
      </c>
      <c r="E773" t="s">
        <v>524</v>
      </c>
      <c r="F773" t="s">
        <v>413</v>
      </c>
      <c r="G773">
        <v>457</v>
      </c>
      <c r="I773">
        <v>450</v>
      </c>
    </row>
    <row r="774" spans="1:17" x14ac:dyDescent="0.2">
      <c r="A774" s="121">
        <v>39538</v>
      </c>
      <c r="B774" t="s">
        <v>406</v>
      </c>
      <c r="C774" t="s">
        <v>510</v>
      </c>
      <c r="D774" t="s">
        <v>527</v>
      </c>
      <c r="E774" t="s">
        <v>528</v>
      </c>
      <c r="F774" t="s">
        <v>410</v>
      </c>
      <c r="G774">
        <v>199</v>
      </c>
      <c r="I774">
        <v>199</v>
      </c>
    </row>
    <row r="775" spans="1:17" x14ac:dyDescent="0.2">
      <c r="A775" s="121">
        <v>39538</v>
      </c>
      <c r="B775" t="s">
        <v>406</v>
      </c>
      <c r="C775" t="s">
        <v>510</v>
      </c>
      <c r="D775" t="s">
        <v>529</v>
      </c>
      <c r="E775" t="s">
        <v>530</v>
      </c>
      <c r="F775" t="s">
        <v>413</v>
      </c>
      <c r="G775">
        <v>457</v>
      </c>
      <c r="I775">
        <v>453</v>
      </c>
    </row>
    <row r="776" spans="1:17" x14ac:dyDescent="0.2">
      <c r="A776" s="121">
        <v>39538</v>
      </c>
      <c r="B776" t="s">
        <v>406</v>
      </c>
      <c r="C776" t="s">
        <v>510</v>
      </c>
      <c r="D776" t="s">
        <v>531</v>
      </c>
      <c r="E776" t="s">
        <v>532</v>
      </c>
      <c r="F776" t="s">
        <v>410</v>
      </c>
      <c r="G776">
        <v>42</v>
      </c>
      <c r="I776">
        <v>42</v>
      </c>
    </row>
    <row r="777" spans="1:17" x14ac:dyDescent="0.2">
      <c r="A777" s="121">
        <v>39538</v>
      </c>
      <c r="B777" t="s">
        <v>406</v>
      </c>
      <c r="C777" t="s">
        <v>510</v>
      </c>
      <c r="D777" t="s">
        <v>533</v>
      </c>
      <c r="E777" t="s">
        <v>534</v>
      </c>
      <c r="F777" t="s">
        <v>413</v>
      </c>
      <c r="G777">
        <v>2398</v>
      </c>
      <c r="H777">
        <v>2398</v>
      </c>
      <c r="I777">
        <v>2339</v>
      </c>
      <c r="J777">
        <v>2339</v>
      </c>
      <c r="K777">
        <v>518</v>
      </c>
      <c r="L777">
        <v>22</v>
      </c>
      <c r="M777">
        <v>1858</v>
      </c>
      <c r="N777">
        <v>0</v>
      </c>
      <c r="O777">
        <v>0</v>
      </c>
      <c r="P777">
        <v>0</v>
      </c>
      <c r="Q777">
        <v>0</v>
      </c>
    </row>
    <row r="778" spans="1:17" x14ac:dyDescent="0.2">
      <c r="A778" s="121">
        <v>39538</v>
      </c>
      <c r="B778" t="s">
        <v>406</v>
      </c>
      <c r="C778" t="s">
        <v>510</v>
      </c>
      <c r="D778" t="s">
        <v>535</v>
      </c>
      <c r="E778" t="s">
        <v>536</v>
      </c>
      <c r="F778" t="s">
        <v>410</v>
      </c>
      <c r="G778">
        <v>262</v>
      </c>
      <c r="I778">
        <v>262</v>
      </c>
    </row>
    <row r="779" spans="1:17" x14ac:dyDescent="0.2">
      <c r="A779" s="121">
        <v>39538</v>
      </c>
      <c r="B779" t="s">
        <v>406</v>
      </c>
      <c r="C779" t="s">
        <v>510</v>
      </c>
      <c r="D779" t="s">
        <v>537</v>
      </c>
      <c r="E779" t="s">
        <v>538</v>
      </c>
      <c r="F779" t="s">
        <v>410</v>
      </c>
      <c r="G779">
        <v>85</v>
      </c>
      <c r="I779">
        <v>85</v>
      </c>
    </row>
    <row r="780" spans="1:17" x14ac:dyDescent="0.2">
      <c r="A780" s="121">
        <v>39538</v>
      </c>
      <c r="B780" t="s">
        <v>406</v>
      </c>
      <c r="C780" t="s">
        <v>510</v>
      </c>
      <c r="D780" t="s">
        <v>539</v>
      </c>
      <c r="E780" t="s">
        <v>540</v>
      </c>
      <c r="F780" t="s">
        <v>413</v>
      </c>
      <c r="G780">
        <v>766</v>
      </c>
      <c r="I780">
        <v>755</v>
      </c>
    </row>
    <row r="781" spans="1:17" x14ac:dyDescent="0.2">
      <c r="A781" s="121">
        <v>39538</v>
      </c>
      <c r="B781" t="s">
        <v>406</v>
      </c>
      <c r="C781" t="s">
        <v>510</v>
      </c>
      <c r="D781" t="s">
        <v>541</v>
      </c>
      <c r="E781" t="s">
        <v>542</v>
      </c>
      <c r="F781" t="s">
        <v>410</v>
      </c>
      <c r="G781">
        <v>223</v>
      </c>
      <c r="I781">
        <v>223</v>
      </c>
    </row>
    <row r="782" spans="1:17" x14ac:dyDescent="0.2">
      <c r="A782" s="121">
        <v>39538</v>
      </c>
      <c r="B782" t="s">
        <v>406</v>
      </c>
      <c r="C782" t="s">
        <v>510</v>
      </c>
      <c r="D782" t="s">
        <v>543</v>
      </c>
      <c r="E782" t="s">
        <v>544</v>
      </c>
      <c r="F782" t="s">
        <v>410</v>
      </c>
      <c r="G782">
        <v>192</v>
      </c>
      <c r="I782">
        <v>192</v>
      </c>
    </row>
    <row r="783" spans="1:17" x14ac:dyDescent="0.2">
      <c r="A783" s="121">
        <v>39538</v>
      </c>
      <c r="B783" t="s">
        <v>406</v>
      </c>
      <c r="C783" t="s">
        <v>510</v>
      </c>
      <c r="D783" t="s">
        <v>545</v>
      </c>
      <c r="E783" t="s">
        <v>546</v>
      </c>
      <c r="F783" t="s">
        <v>410</v>
      </c>
      <c r="G783">
        <v>155</v>
      </c>
      <c r="I783">
        <v>155</v>
      </c>
    </row>
    <row r="784" spans="1:17" x14ac:dyDescent="0.2">
      <c r="A784" s="121">
        <v>39538</v>
      </c>
      <c r="B784" t="s">
        <v>406</v>
      </c>
      <c r="C784" t="s">
        <v>510</v>
      </c>
      <c r="D784" t="s">
        <v>547</v>
      </c>
      <c r="E784" t="s">
        <v>548</v>
      </c>
      <c r="F784" t="s">
        <v>410</v>
      </c>
      <c r="G784">
        <v>68</v>
      </c>
      <c r="I784">
        <v>68</v>
      </c>
    </row>
    <row r="785" spans="1:17" x14ac:dyDescent="0.2">
      <c r="A785" s="121">
        <v>39538</v>
      </c>
      <c r="B785" t="s">
        <v>406</v>
      </c>
      <c r="C785" t="s">
        <v>510</v>
      </c>
      <c r="D785" t="s">
        <v>549</v>
      </c>
      <c r="E785" t="s">
        <v>550</v>
      </c>
      <c r="F785" t="s">
        <v>410</v>
      </c>
      <c r="G785">
        <v>167</v>
      </c>
      <c r="I785">
        <v>166</v>
      </c>
    </row>
    <row r="786" spans="1:17" x14ac:dyDescent="0.2">
      <c r="A786" s="121">
        <v>39538</v>
      </c>
      <c r="B786" t="s">
        <v>406</v>
      </c>
      <c r="C786" t="s">
        <v>551</v>
      </c>
      <c r="D786" t="s">
        <v>552</v>
      </c>
      <c r="E786" t="s">
        <v>553</v>
      </c>
      <c r="F786" t="s">
        <v>413</v>
      </c>
      <c r="G786">
        <v>5913</v>
      </c>
      <c r="H786">
        <v>5913</v>
      </c>
      <c r="I786">
        <v>5848</v>
      </c>
      <c r="J786">
        <v>5848</v>
      </c>
      <c r="K786">
        <v>1660</v>
      </c>
      <c r="L786">
        <v>6</v>
      </c>
      <c r="M786">
        <v>4207</v>
      </c>
      <c r="N786">
        <v>21</v>
      </c>
      <c r="O786">
        <v>19</v>
      </c>
      <c r="P786">
        <v>10</v>
      </c>
      <c r="Q786">
        <v>1</v>
      </c>
    </row>
    <row r="787" spans="1:17" x14ac:dyDescent="0.2">
      <c r="A787" s="121">
        <v>39538</v>
      </c>
      <c r="B787" t="s">
        <v>406</v>
      </c>
      <c r="C787" t="s">
        <v>551</v>
      </c>
      <c r="D787" t="s">
        <v>554</v>
      </c>
      <c r="E787" t="s">
        <v>555</v>
      </c>
      <c r="F787" t="s">
        <v>410</v>
      </c>
      <c r="G787">
        <v>122</v>
      </c>
      <c r="I787">
        <v>122</v>
      </c>
    </row>
    <row r="788" spans="1:17" x14ac:dyDescent="0.2">
      <c r="A788" s="121">
        <v>39538</v>
      </c>
      <c r="B788" t="s">
        <v>406</v>
      </c>
      <c r="C788" t="s">
        <v>551</v>
      </c>
      <c r="D788" t="s">
        <v>556</v>
      </c>
      <c r="E788" t="s">
        <v>557</v>
      </c>
      <c r="F788" t="s">
        <v>410</v>
      </c>
      <c r="G788">
        <v>128</v>
      </c>
      <c r="I788">
        <v>128</v>
      </c>
    </row>
    <row r="789" spans="1:17" x14ac:dyDescent="0.2">
      <c r="A789" s="121">
        <v>39538</v>
      </c>
      <c r="B789" t="s">
        <v>406</v>
      </c>
      <c r="C789" t="s">
        <v>551</v>
      </c>
      <c r="D789" t="s">
        <v>558</v>
      </c>
      <c r="E789" t="s">
        <v>559</v>
      </c>
      <c r="F789" t="s">
        <v>413</v>
      </c>
      <c r="G789">
        <v>5002</v>
      </c>
      <c r="H789">
        <v>5002</v>
      </c>
      <c r="I789">
        <v>4854</v>
      </c>
      <c r="J789">
        <v>4854</v>
      </c>
      <c r="K789">
        <v>1163</v>
      </c>
      <c r="L789">
        <v>13</v>
      </c>
      <c r="M789">
        <v>3787</v>
      </c>
      <c r="N789">
        <v>12</v>
      </c>
      <c r="O789">
        <v>27</v>
      </c>
      <c r="P789">
        <v>20</v>
      </c>
      <c r="Q789">
        <v>8</v>
      </c>
    </row>
    <row r="790" spans="1:17" x14ac:dyDescent="0.2">
      <c r="A790" s="121">
        <v>39538</v>
      </c>
      <c r="B790" t="s">
        <v>406</v>
      </c>
      <c r="C790" t="s">
        <v>551</v>
      </c>
      <c r="D790" t="s">
        <v>560</v>
      </c>
      <c r="E790" t="s">
        <v>561</v>
      </c>
      <c r="F790" t="s">
        <v>413</v>
      </c>
      <c r="G790">
        <v>5778</v>
      </c>
      <c r="H790">
        <v>5778</v>
      </c>
      <c r="I790">
        <v>5467</v>
      </c>
      <c r="J790">
        <v>5467</v>
      </c>
      <c r="K790">
        <v>1272</v>
      </c>
      <c r="L790">
        <v>12</v>
      </c>
      <c r="M790">
        <v>4457</v>
      </c>
      <c r="N790">
        <v>17</v>
      </c>
      <c r="O790">
        <v>20</v>
      </c>
      <c r="P790">
        <v>69</v>
      </c>
      <c r="Q790">
        <v>37</v>
      </c>
    </row>
    <row r="791" spans="1:17" x14ac:dyDescent="0.2">
      <c r="A791" s="121">
        <v>39538</v>
      </c>
      <c r="B791" t="s">
        <v>406</v>
      </c>
      <c r="C791" t="s">
        <v>562</v>
      </c>
      <c r="D791" t="s">
        <v>603</v>
      </c>
      <c r="E791" t="s">
        <v>604</v>
      </c>
      <c r="F791" t="s">
        <v>410</v>
      </c>
      <c r="G791">
        <v>14</v>
      </c>
      <c r="I791">
        <v>14</v>
      </c>
    </row>
    <row r="792" spans="1:17" x14ac:dyDescent="0.2">
      <c r="A792" s="121">
        <v>39538</v>
      </c>
      <c r="B792" t="s">
        <v>406</v>
      </c>
      <c r="C792" t="s">
        <v>562</v>
      </c>
      <c r="D792" t="s">
        <v>605</v>
      </c>
      <c r="E792" t="s">
        <v>606</v>
      </c>
      <c r="F792" t="s">
        <v>410</v>
      </c>
      <c r="G792">
        <v>176</v>
      </c>
      <c r="I792">
        <v>176</v>
      </c>
    </row>
    <row r="793" spans="1:17" x14ac:dyDescent="0.2">
      <c r="A793" s="121">
        <v>39538</v>
      </c>
      <c r="B793" t="s">
        <v>406</v>
      </c>
      <c r="C793" t="s">
        <v>562</v>
      </c>
      <c r="D793" t="s">
        <v>563</v>
      </c>
      <c r="E793" t="s">
        <v>564</v>
      </c>
      <c r="F793" t="s">
        <v>410</v>
      </c>
      <c r="G793">
        <v>2855</v>
      </c>
      <c r="H793">
        <v>2855</v>
      </c>
      <c r="I793">
        <v>2798</v>
      </c>
      <c r="J793">
        <v>2798</v>
      </c>
      <c r="K793">
        <v>1019</v>
      </c>
      <c r="L793">
        <v>4</v>
      </c>
      <c r="M793">
        <v>1813</v>
      </c>
      <c r="N793">
        <v>19</v>
      </c>
      <c r="O793">
        <v>0</v>
      </c>
      <c r="P793">
        <v>0</v>
      </c>
      <c r="Q793">
        <v>0</v>
      </c>
    </row>
    <row r="794" spans="1:17" x14ac:dyDescent="0.2">
      <c r="A794" s="121">
        <v>39538</v>
      </c>
      <c r="B794" t="s">
        <v>406</v>
      </c>
      <c r="C794" t="s">
        <v>562</v>
      </c>
      <c r="D794" t="s">
        <v>565</v>
      </c>
      <c r="E794" t="s">
        <v>566</v>
      </c>
      <c r="F794" t="s">
        <v>413</v>
      </c>
      <c r="G794">
        <v>3985</v>
      </c>
      <c r="H794">
        <v>3985</v>
      </c>
      <c r="I794">
        <v>3907</v>
      </c>
      <c r="J794">
        <v>3907</v>
      </c>
      <c r="K794">
        <v>932</v>
      </c>
      <c r="L794">
        <v>1</v>
      </c>
      <c r="M794">
        <v>3005</v>
      </c>
      <c r="N794">
        <v>47</v>
      </c>
      <c r="O794">
        <v>0</v>
      </c>
      <c r="P794">
        <v>4</v>
      </c>
      <c r="Q794">
        <v>0</v>
      </c>
    </row>
    <row r="795" spans="1:17" x14ac:dyDescent="0.2">
      <c r="A795" s="121">
        <v>39538</v>
      </c>
      <c r="B795" t="s">
        <v>406</v>
      </c>
      <c r="C795" t="s">
        <v>562</v>
      </c>
      <c r="D795" t="s">
        <v>567</v>
      </c>
      <c r="E795" t="s">
        <v>568</v>
      </c>
      <c r="F795" t="s">
        <v>413</v>
      </c>
      <c r="G795">
        <v>8824</v>
      </c>
      <c r="H795">
        <v>8824</v>
      </c>
      <c r="I795">
        <v>8575</v>
      </c>
      <c r="J795">
        <v>8575</v>
      </c>
      <c r="K795">
        <v>2652</v>
      </c>
      <c r="L795">
        <v>22</v>
      </c>
      <c r="M795">
        <v>5973</v>
      </c>
      <c r="N795">
        <v>177</v>
      </c>
      <c r="O795">
        <v>0</v>
      </c>
      <c r="P795">
        <v>17</v>
      </c>
      <c r="Q795">
        <v>0</v>
      </c>
    </row>
    <row r="796" spans="1:17" x14ac:dyDescent="0.2">
      <c r="A796" s="121">
        <v>39538</v>
      </c>
      <c r="B796" t="s">
        <v>406</v>
      </c>
      <c r="C796" t="s">
        <v>562</v>
      </c>
      <c r="D796" t="s">
        <v>569</v>
      </c>
      <c r="E796" t="s">
        <v>570</v>
      </c>
      <c r="F796" t="s">
        <v>413</v>
      </c>
      <c r="G796">
        <v>3166</v>
      </c>
      <c r="H796">
        <v>3166</v>
      </c>
      <c r="I796">
        <v>3129</v>
      </c>
      <c r="J796">
        <v>3129</v>
      </c>
      <c r="K796">
        <v>469</v>
      </c>
      <c r="L796">
        <v>1</v>
      </c>
      <c r="M796">
        <v>2694</v>
      </c>
      <c r="N796">
        <v>2</v>
      </c>
      <c r="O796">
        <v>0</v>
      </c>
      <c r="P796">
        <v>0</v>
      </c>
      <c r="Q796">
        <v>0</v>
      </c>
    </row>
    <row r="797" spans="1:17" x14ac:dyDescent="0.2">
      <c r="A797" s="121">
        <v>39538</v>
      </c>
      <c r="B797" t="s">
        <v>406</v>
      </c>
      <c r="C797" t="s">
        <v>571</v>
      </c>
      <c r="D797" t="s">
        <v>572</v>
      </c>
      <c r="E797" t="s">
        <v>573</v>
      </c>
      <c r="F797" t="s">
        <v>410</v>
      </c>
      <c r="G797">
        <v>177</v>
      </c>
      <c r="I797">
        <v>177</v>
      </c>
    </row>
    <row r="798" spans="1:17" x14ac:dyDescent="0.2">
      <c r="A798" s="121">
        <v>39538</v>
      </c>
      <c r="B798" t="s">
        <v>406</v>
      </c>
      <c r="C798" t="s">
        <v>574</v>
      </c>
      <c r="D798" t="s">
        <v>575</v>
      </c>
      <c r="E798" t="s">
        <v>576</v>
      </c>
      <c r="F798" t="s">
        <v>413</v>
      </c>
      <c r="G798">
        <v>749</v>
      </c>
      <c r="H798">
        <v>749</v>
      </c>
      <c r="I798">
        <v>739</v>
      </c>
      <c r="J798">
        <v>739</v>
      </c>
      <c r="K798">
        <v>168</v>
      </c>
      <c r="L798">
        <v>0</v>
      </c>
      <c r="M798">
        <v>552</v>
      </c>
      <c r="N798">
        <v>0</v>
      </c>
      <c r="O798">
        <v>29</v>
      </c>
      <c r="P798">
        <v>0</v>
      </c>
      <c r="Q798">
        <v>0</v>
      </c>
    </row>
    <row r="799" spans="1:17" x14ac:dyDescent="0.2">
      <c r="A799" s="121">
        <v>39538</v>
      </c>
      <c r="B799" t="s">
        <v>406</v>
      </c>
      <c r="C799" t="s">
        <v>577</v>
      </c>
      <c r="D799" t="s">
        <v>578</v>
      </c>
      <c r="E799" t="s">
        <v>579</v>
      </c>
      <c r="F799" t="s">
        <v>413</v>
      </c>
      <c r="G799">
        <v>4222</v>
      </c>
      <c r="H799">
        <v>4222</v>
      </c>
      <c r="I799">
        <v>4172</v>
      </c>
      <c r="J799">
        <v>4172</v>
      </c>
      <c r="K799">
        <v>973</v>
      </c>
      <c r="L799">
        <v>16</v>
      </c>
      <c r="M799">
        <v>2974</v>
      </c>
      <c r="N799">
        <v>45</v>
      </c>
      <c r="O799">
        <v>214</v>
      </c>
      <c r="P799">
        <v>2</v>
      </c>
      <c r="Q799">
        <v>0</v>
      </c>
    </row>
    <row r="800" spans="1:17" x14ac:dyDescent="0.2">
      <c r="A800" s="121">
        <v>39538</v>
      </c>
      <c r="B800" t="s">
        <v>406</v>
      </c>
      <c r="C800" t="s">
        <v>577</v>
      </c>
      <c r="D800" t="s">
        <v>580</v>
      </c>
      <c r="E800" t="s">
        <v>581</v>
      </c>
      <c r="F800" t="s">
        <v>413</v>
      </c>
      <c r="G800">
        <v>2205</v>
      </c>
      <c r="H800">
        <v>2205</v>
      </c>
      <c r="I800">
        <v>2176</v>
      </c>
      <c r="J800">
        <v>2176</v>
      </c>
      <c r="K800">
        <v>419</v>
      </c>
      <c r="L800">
        <v>3</v>
      </c>
      <c r="M800">
        <v>1485</v>
      </c>
      <c r="N800">
        <v>42</v>
      </c>
      <c r="O800">
        <v>256</v>
      </c>
      <c r="P800">
        <v>1</v>
      </c>
      <c r="Q800">
        <v>0</v>
      </c>
    </row>
    <row r="801" spans="1:17" x14ac:dyDescent="0.2">
      <c r="A801" s="121">
        <v>39538</v>
      </c>
      <c r="B801" t="s">
        <v>406</v>
      </c>
      <c r="C801" t="s">
        <v>577</v>
      </c>
      <c r="D801" t="s">
        <v>582</v>
      </c>
      <c r="E801" t="s">
        <v>583</v>
      </c>
      <c r="F801" t="s">
        <v>410</v>
      </c>
      <c r="G801">
        <v>60</v>
      </c>
      <c r="H801">
        <v>60</v>
      </c>
      <c r="I801">
        <v>60</v>
      </c>
      <c r="J801">
        <v>60</v>
      </c>
      <c r="K801">
        <v>6</v>
      </c>
      <c r="L801">
        <v>0</v>
      </c>
      <c r="M801">
        <v>54</v>
      </c>
      <c r="N801">
        <v>0</v>
      </c>
      <c r="O801">
        <v>0</v>
      </c>
      <c r="P801">
        <v>0</v>
      </c>
      <c r="Q801">
        <v>0</v>
      </c>
    </row>
    <row r="802" spans="1:17" x14ac:dyDescent="0.2">
      <c r="A802" s="121">
        <v>39538</v>
      </c>
      <c r="B802" t="s">
        <v>406</v>
      </c>
      <c r="C802" t="s">
        <v>577</v>
      </c>
      <c r="D802" t="s">
        <v>584</v>
      </c>
      <c r="E802" t="s">
        <v>585</v>
      </c>
      <c r="F802" t="s">
        <v>410</v>
      </c>
      <c r="G802">
        <v>157</v>
      </c>
      <c r="H802">
        <v>157</v>
      </c>
      <c r="I802">
        <v>157</v>
      </c>
      <c r="J802">
        <v>157</v>
      </c>
      <c r="K802">
        <v>3</v>
      </c>
      <c r="L802">
        <v>0</v>
      </c>
      <c r="M802">
        <v>154</v>
      </c>
      <c r="N802">
        <v>0</v>
      </c>
      <c r="O802">
        <v>0</v>
      </c>
      <c r="P802">
        <v>0</v>
      </c>
      <c r="Q802">
        <v>0</v>
      </c>
    </row>
    <row r="803" spans="1:17" x14ac:dyDescent="0.2">
      <c r="A803" s="121">
        <v>39538</v>
      </c>
      <c r="B803" t="s">
        <v>406</v>
      </c>
      <c r="C803" t="s">
        <v>577</v>
      </c>
      <c r="D803" t="s">
        <v>586</v>
      </c>
      <c r="E803" t="s">
        <v>587</v>
      </c>
      <c r="F803" t="s">
        <v>410</v>
      </c>
      <c r="G803">
        <v>833</v>
      </c>
      <c r="H803">
        <v>833</v>
      </c>
      <c r="I803">
        <v>832</v>
      </c>
      <c r="J803">
        <v>832</v>
      </c>
      <c r="K803">
        <v>37</v>
      </c>
      <c r="L803">
        <v>0</v>
      </c>
      <c r="M803">
        <v>796</v>
      </c>
      <c r="N803">
        <v>0</v>
      </c>
      <c r="O803">
        <v>0</v>
      </c>
      <c r="P803">
        <v>0</v>
      </c>
      <c r="Q803">
        <v>0</v>
      </c>
    </row>
    <row r="804" spans="1:17" x14ac:dyDescent="0.2">
      <c r="A804" s="121">
        <v>39538</v>
      </c>
      <c r="B804" t="s">
        <v>406</v>
      </c>
      <c r="C804" t="s">
        <v>577</v>
      </c>
      <c r="D804" t="s">
        <v>588</v>
      </c>
      <c r="E804" t="s">
        <v>589</v>
      </c>
      <c r="F804" t="s">
        <v>410</v>
      </c>
      <c r="G804">
        <v>194</v>
      </c>
      <c r="H804">
        <v>194</v>
      </c>
      <c r="I804">
        <v>194</v>
      </c>
      <c r="J804">
        <v>194</v>
      </c>
      <c r="K804">
        <v>7</v>
      </c>
      <c r="L804">
        <v>0</v>
      </c>
      <c r="M804">
        <v>183</v>
      </c>
      <c r="N804">
        <v>4</v>
      </c>
      <c r="O804">
        <v>0</v>
      </c>
      <c r="P804">
        <v>0</v>
      </c>
      <c r="Q804">
        <v>0</v>
      </c>
    </row>
    <row r="805" spans="1:17" x14ac:dyDescent="0.2">
      <c r="A805" s="121">
        <v>39538</v>
      </c>
      <c r="B805" t="s">
        <v>406</v>
      </c>
      <c r="C805" t="s">
        <v>577</v>
      </c>
      <c r="D805" t="s">
        <v>590</v>
      </c>
      <c r="E805" t="s">
        <v>591</v>
      </c>
      <c r="F805" t="s">
        <v>410</v>
      </c>
      <c r="G805">
        <v>435</v>
      </c>
      <c r="H805">
        <v>435</v>
      </c>
      <c r="I805">
        <v>435</v>
      </c>
      <c r="J805">
        <v>435</v>
      </c>
      <c r="K805">
        <v>3</v>
      </c>
      <c r="L805">
        <v>0</v>
      </c>
      <c r="M805">
        <v>432</v>
      </c>
      <c r="N805">
        <v>0</v>
      </c>
      <c r="O805">
        <v>0</v>
      </c>
      <c r="P805">
        <v>0</v>
      </c>
      <c r="Q805">
        <v>0</v>
      </c>
    </row>
    <row r="806" spans="1:17" x14ac:dyDescent="0.2">
      <c r="A806" s="121">
        <v>39538</v>
      </c>
      <c r="B806" t="s">
        <v>406</v>
      </c>
      <c r="C806" t="s">
        <v>577</v>
      </c>
      <c r="D806" t="s">
        <v>592</v>
      </c>
      <c r="E806" t="s">
        <v>593</v>
      </c>
      <c r="F806" t="s">
        <v>410</v>
      </c>
      <c r="G806">
        <v>411</v>
      </c>
      <c r="H806">
        <v>411</v>
      </c>
      <c r="I806">
        <v>411</v>
      </c>
      <c r="J806">
        <v>411</v>
      </c>
      <c r="K806">
        <v>24</v>
      </c>
      <c r="L806">
        <v>0</v>
      </c>
      <c r="M806">
        <v>385</v>
      </c>
      <c r="N806">
        <v>2</v>
      </c>
      <c r="O806">
        <v>0</v>
      </c>
      <c r="P806">
        <v>0</v>
      </c>
      <c r="Q806">
        <v>0</v>
      </c>
    </row>
    <row r="807" spans="1:17" x14ac:dyDescent="0.2">
      <c r="A807" s="121">
        <v>39538</v>
      </c>
      <c r="B807" t="s">
        <v>406</v>
      </c>
      <c r="C807" t="s">
        <v>594</v>
      </c>
      <c r="D807" t="s">
        <v>595</v>
      </c>
      <c r="E807" t="s">
        <v>596</v>
      </c>
      <c r="F807" t="s">
        <v>410</v>
      </c>
      <c r="G807">
        <v>25</v>
      </c>
      <c r="I807">
        <v>25</v>
      </c>
    </row>
    <row r="808" spans="1:17" x14ac:dyDescent="0.2">
      <c r="A808" s="121">
        <v>39538</v>
      </c>
      <c r="B808" t="s">
        <v>406</v>
      </c>
      <c r="C808" t="s">
        <v>594</v>
      </c>
      <c r="D808" t="s">
        <v>597</v>
      </c>
      <c r="E808" t="s">
        <v>598</v>
      </c>
      <c r="F808" t="s">
        <v>413</v>
      </c>
      <c r="G808">
        <v>593</v>
      </c>
      <c r="H808">
        <v>593</v>
      </c>
      <c r="I808">
        <v>587</v>
      </c>
      <c r="J808">
        <v>587</v>
      </c>
      <c r="K808">
        <v>167</v>
      </c>
      <c r="L808">
        <v>0</v>
      </c>
      <c r="M808">
        <v>416</v>
      </c>
      <c r="N808">
        <v>0</v>
      </c>
      <c r="O808">
        <v>10</v>
      </c>
      <c r="P808">
        <v>0</v>
      </c>
      <c r="Q808">
        <v>0</v>
      </c>
    </row>
    <row r="809" spans="1:17" x14ac:dyDescent="0.2">
      <c r="A809" s="121">
        <v>39538</v>
      </c>
      <c r="B809" t="s">
        <v>406</v>
      </c>
      <c r="C809" t="s">
        <v>594</v>
      </c>
      <c r="D809" t="s">
        <v>599</v>
      </c>
      <c r="E809" t="s">
        <v>600</v>
      </c>
      <c r="F809" t="s">
        <v>410</v>
      </c>
      <c r="G809">
        <v>79</v>
      </c>
      <c r="I809">
        <v>79</v>
      </c>
    </row>
    <row r="810" spans="1:17" x14ac:dyDescent="0.2">
      <c r="A810" s="121">
        <v>39568</v>
      </c>
      <c r="B810" t="s">
        <v>406</v>
      </c>
      <c r="C810" t="s">
        <v>407</v>
      </c>
      <c r="D810" t="s">
        <v>408</v>
      </c>
      <c r="E810" t="s">
        <v>409</v>
      </c>
      <c r="F810" t="s">
        <v>410</v>
      </c>
      <c r="G810">
        <v>210</v>
      </c>
      <c r="I810">
        <v>210</v>
      </c>
    </row>
    <row r="811" spans="1:17" x14ac:dyDescent="0.2">
      <c r="A811" s="121">
        <v>39568</v>
      </c>
      <c r="B811" t="s">
        <v>406</v>
      </c>
      <c r="C811" t="s">
        <v>407</v>
      </c>
      <c r="D811" t="s">
        <v>601</v>
      </c>
      <c r="E811" t="s">
        <v>602</v>
      </c>
      <c r="F811" t="s">
        <v>410</v>
      </c>
      <c r="G811">
        <v>73</v>
      </c>
      <c r="I811">
        <v>73</v>
      </c>
    </row>
    <row r="812" spans="1:17" x14ac:dyDescent="0.2">
      <c r="A812" s="121">
        <v>39568</v>
      </c>
      <c r="B812" t="s">
        <v>406</v>
      </c>
      <c r="C812" t="s">
        <v>407</v>
      </c>
      <c r="D812" t="s">
        <v>411</v>
      </c>
      <c r="E812" t="s">
        <v>412</v>
      </c>
      <c r="F812" t="s">
        <v>413</v>
      </c>
      <c r="G812">
        <v>5412</v>
      </c>
      <c r="H812">
        <v>5412</v>
      </c>
      <c r="I812">
        <v>5372</v>
      </c>
      <c r="J812">
        <v>5372</v>
      </c>
      <c r="K812">
        <v>2027</v>
      </c>
      <c r="L812">
        <v>2</v>
      </c>
      <c r="M812">
        <v>3095</v>
      </c>
      <c r="N812">
        <v>48</v>
      </c>
      <c r="O812">
        <v>240</v>
      </c>
      <c r="P812">
        <v>1</v>
      </c>
      <c r="Q812">
        <v>0</v>
      </c>
    </row>
    <row r="813" spans="1:17" x14ac:dyDescent="0.2">
      <c r="A813" s="121">
        <v>39568</v>
      </c>
      <c r="B813" t="s">
        <v>406</v>
      </c>
      <c r="C813" t="s">
        <v>407</v>
      </c>
      <c r="D813" t="s">
        <v>414</v>
      </c>
      <c r="E813" t="s">
        <v>415</v>
      </c>
      <c r="F813" t="s">
        <v>410</v>
      </c>
      <c r="G813">
        <v>86</v>
      </c>
      <c r="I813">
        <v>86</v>
      </c>
    </row>
    <row r="814" spans="1:17" x14ac:dyDescent="0.2">
      <c r="A814" s="121">
        <v>39568</v>
      </c>
      <c r="B814" t="s">
        <v>406</v>
      </c>
      <c r="C814" t="s">
        <v>407</v>
      </c>
      <c r="D814" t="s">
        <v>416</v>
      </c>
      <c r="E814" t="s">
        <v>417</v>
      </c>
      <c r="F814" t="s">
        <v>413</v>
      </c>
      <c r="G814">
        <v>3510</v>
      </c>
      <c r="H814">
        <v>3510</v>
      </c>
      <c r="I814">
        <v>3438</v>
      </c>
      <c r="J814">
        <v>3438</v>
      </c>
      <c r="K814">
        <v>1317</v>
      </c>
      <c r="L814">
        <v>0</v>
      </c>
      <c r="M814">
        <v>2032</v>
      </c>
      <c r="N814">
        <v>87</v>
      </c>
      <c r="O814">
        <v>74</v>
      </c>
      <c r="P814">
        <v>1</v>
      </c>
      <c r="Q814">
        <v>1</v>
      </c>
    </row>
    <row r="815" spans="1:17" x14ac:dyDescent="0.2">
      <c r="A815" s="121">
        <v>39568</v>
      </c>
      <c r="B815" t="s">
        <v>406</v>
      </c>
      <c r="C815" t="s">
        <v>418</v>
      </c>
      <c r="D815" t="s">
        <v>419</v>
      </c>
      <c r="E815" t="s">
        <v>420</v>
      </c>
      <c r="F815" t="s">
        <v>410</v>
      </c>
      <c r="G815">
        <v>14</v>
      </c>
      <c r="I815">
        <v>14</v>
      </c>
    </row>
    <row r="816" spans="1:17" x14ac:dyDescent="0.2">
      <c r="A816" s="121">
        <v>39568</v>
      </c>
      <c r="B816" t="s">
        <v>406</v>
      </c>
      <c r="C816" t="s">
        <v>418</v>
      </c>
      <c r="D816" t="s">
        <v>421</v>
      </c>
      <c r="E816" t="s">
        <v>422</v>
      </c>
      <c r="F816" t="s">
        <v>410</v>
      </c>
      <c r="G816">
        <v>89</v>
      </c>
      <c r="I816">
        <v>89</v>
      </c>
    </row>
    <row r="817" spans="1:17" x14ac:dyDescent="0.2">
      <c r="A817" s="121">
        <v>39568</v>
      </c>
      <c r="B817" t="s">
        <v>406</v>
      </c>
      <c r="C817" t="s">
        <v>418</v>
      </c>
      <c r="D817" t="s">
        <v>423</v>
      </c>
      <c r="E817" t="s">
        <v>424</v>
      </c>
      <c r="F817" t="s">
        <v>410</v>
      </c>
      <c r="G817">
        <v>30</v>
      </c>
      <c r="I817">
        <v>30</v>
      </c>
    </row>
    <row r="818" spans="1:17" x14ac:dyDescent="0.2">
      <c r="A818" s="121">
        <v>39568</v>
      </c>
      <c r="B818" t="s">
        <v>406</v>
      </c>
      <c r="C818" t="s">
        <v>418</v>
      </c>
      <c r="D818" t="s">
        <v>425</v>
      </c>
      <c r="E818" t="s">
        <v>426</v>
      </c>
      <c r="F818" t="s">
        <v>410</v>
      </c>
      <c r="G818">
        <v>47</v>
      </c>
      <c r="I818">
        <v>47</v>
      </c>
    </row>
    <row r="819" spans="1:17" x14ac:dyDescent="0.2">
      <c r="A819" s="121">
        <v>39568</v>
      </c>
      <c r="B819" t="s">
        <v>406</v>
      </c>
      <c r="C819" t="s">
        <v>418</v>
      </c>
      <c r="D819" t="s">
        <v>427</v>
      </c>
      <c r="E819" t="s">
        <v>428</v>
      </c>
      <c r="F819" t="s">
        <v>413</v>
      </c>
      <c r="G819">
        <v>1836</v>
      </c>
      <c r="H819">
        <v>1836</v>
      </c>
      <c r="I819">
        <v>1802</v>
      </c>
      <c r="J819">
        <v>1802</v>
      </c>
      <c r="K819">
        <v>589</v>
      </c>
      <c r="L819">
        <v>3</v>
      </c>
      <c r="M819">
        <v>1013</v>
      </c>
      <c r="N819">
        <v>26</v>
      </c>
      <c r="O819">
        <v>205</v>
      </c>
      <c r="P819">
        <v>0</v>
      </c>
      <c r="Q819">
        <v>0</v>
      </c>
    </row>
    <row r="820" spans="1:17" x14ac:dyDescent="0.2">
      <c r="A820" s="121">
        <v>39568</v>
      </c>
      <c r="B820" t="s">
        <v>406</v>
      </c>
      <c r="C820" t="s">
        <v>429</v>
      </c>
      <c r="D820" t="s">
        <v>430</v>
      </c>
      <c r="E820" t="s">
        <v>431</v>
      </c>
      <c r="F820" t="s">
        <v>410</v>
      </c>
      <c r="G820">
        <v>44</v>
      </c>
      <c r="I820">
        <v>44</v>
      </c>
    </row>
    <row r="821" spans="1:17" x14ac:dyDescent="0.2">
      <c r="A821" s="121">
        <v>39568</v>
      </c>
      <c r="B821" t="s">
        <v>406</v>
      </c>
      <c r="C821" t="s">
        <v>429</v>
      </c>
      <c r="D821" t="s">
        <v>432</v>
      </c>
      <c r="E821" t="s">
        <v>433</v>
      </c>
      <c r="F821" t="s">
        <v>410</v>
      </c>
      <c r="G821">
        <v>43</v>
      </c>
      <c r="I821">
        <v>43</v>
      </c>
    </row>
    <row r="822" spans="1:17" x14ac:dyDescent="0.2">
      <c r="A822" s="121">
        <v>39568</v>
      </c>
      <c r="B822" t="s">
        <v>406</v>
      </c>
      <c r="C822" t="s">
        <v>429</v>
      </c>
      <c r="D822" t="s">
        <v>434</v>
      </c>
      <c r="E822" t="s">
        <v>435</v>
      </c>
      <c r="F822" t="s">
        <v>410</v>
      </c>
      <c r="G822">
        <v>6</v>
      </c>
      <c r="I822">
        <v>6</v>
      </c>
    </row>
    <row r="823" spans="1:17" x14ac:dyDescent="0.2">
      <c r="A823" s="121">
        <v>39568</v>
      </c>
      <c r="B823" t="s">
        <v>406</v>
      </c>
      <c r="C823" t="s">
        <v>429</v>
      </c>
      <c r="D823" t="s">
        <v>436</v>
      </c>
      <c r="E823" t="s">
        <v>437</v>
      </c>
      <c r="F823" t="s">
        <v>410</v>
      </c>
      <c r="G823">
        <v>69</v>
      </c>
      <c r="I823">
        <v>69</v>
      </c>
    </row>
    <row r="824" spans="1:17" x14ac:dyDescent="0.2">
      <c r="A824" s="121">
        <v>39568</v>
      </c>
      <c r="B824" t="s">
        <v>406</v>
      </c>
      <c r="C824" t="s">
        <v>429</v>
      </c>
      <c r="D824" t="s">
        <v>438</v>
      </c>
      <c r="E824" t="s">
        <v>439</v>
      </c>
      <c r="F824" t="s">
        <v>413</v>
      </c>
      <c r="G824">
        <v>944</v>
      </c>
      <c r="H824">
        <v>944</v>
      </c>
      <c r="I824">
        <v>922</v>
      </c>
      <c r="J824">
        <v>922</v>
      </c>
      <c r="K824">
        <v>117</v>
      </c>
      <c r="L824">
        <v>2</v>
      </c>
      <c r="M824">
        <v>813</v>
      </c>
      <c r="N824">
        <v>12</v>
      </c>
      <c r="O824">
        <v>0</v>
      </c>
      <c r="P824">
        <v>0</v>
      </c>
      <c r="Q824">
        <v>0</v>
      </c>
    </row>
    <row r="825" spans="1:17" x14ac:dyDescent="0.2">
      <c r="A825" s="121">
        <v>39568</v>
      </c>
      <c r="B825" t="s">
        <v>406</v>
      </c>
      <c r="C825" t="s">
        <v>429</v>
      </c>
      <c r="D825" t="s">
        <v>440</v>
      </c>
      <c r="E825" t="s">
        <v>441</v>
      </c>
      <c r="F825" t="s">
        <v>413</v>
      </c>
      <c r="G825">
        <v>2736</v>
      </c>
      <c r="H825">
        <v>2736</v>
      </c>
      <c r="I825">
        <v>2697</v>
      </c>
      <c r="J825">
        <v>2697</v>
      </c>
      <c r="K825">
        <v>944</v>
      </c>
      <c r="L825">
        <v>2</v>
      </c>
      <c r="M825">
        <v>1733</v>
      </c>
      <c r="N825">
        <v>16</v>
      </c>
      <c r="O825">
        <v>41</v>
      </c>
      <c r="P825">
        <v>0</v>
      </c>
      <c r="Q825">
        <v>0</v>
      </c>
    </row>
    <row r="826" spans="1:17" x14ac:dyDescent="0.2">
      <c r="A826" s="121">
        <v>39568</v>
      </c>
      <c r="B826" t="s">
        <v>406</v>
      </c>
      <c r="C826" t="s">
        <v>442</v>
      </c>
      <c r="D826" t="s">
        <v>443</v>
      </c>
      <c r="E826" t="s">
        <v>444</v>
      </c>
      <c r="F826" t="s">
        <v>413</v>
      </c>
      <c r="G826">
        <v>3523</v>
      </c>
      <c r="H826">
        <v>3523</v>
      </c>
      <c r="I826">
        <v>3314</v>
      </c>
      <c r="J826">
        <v>3314</v>
      </c>
      <c r="K826">
        <v>685</v>
      </c>
      <c r="L826">
        <v>3</v>
      </c>
      <c r="M826">
        <v>2711</v>
      </c>
      <c r="N826">
        <v>41</v>
      </c>
      <c r="O826">
        <v>83</v>
      </c>
      <c r="P826">
        <v>27</v>
      </c>
      <c r="Q826">
        <v>6</v>
      </c>
    </row>
    <row r="827" spans="1:17" x14ac:dyDescent="0.2">
      <c r="A827" s="121">
        <v>39568</v>
      </c>
      <c r="B827" t="s">
        <v>406</v>
      </c>
      <c r="C827" t="s">
        <v>442</v>
      </c>
      <c r="D827" t="s">
        <v>445</v>
      </c>
      <c r="E827" t="s">
        <v>446</v>
      </c>
      <c r="F827" t="s">
        <v>410</v>
      </c>
      <c r="G827">
        <v>147</v>
      </c>
      <c r="I827">
        <v>147</v>
      </c>
    </row>
    <row r="828" spans="1:17" x14ac:dyDescent="0.2">
      <c r="A828" s="121">
        <v>39568</v>
      </c>
      <c r="B828" t="s">
        <v>406</v>
      </c>
      <c r="C828" t="s">
        <v>442</v>
      </c>
      <c r="D828" t="s">
        <v>447</v>
      </c>
      <c r="E828" t="s">
        <v>448</v>
      </c>
      <c r="F828" t="s">
        <v>410</v>
      </c>
      <c r="G828">
        <v>267</v>
      </c>
      <c r="I828">
        <v>267</v>
      </c>
    </row>
    <row r="829" spans="1:17" x14ac:dyDescent="0.2">
      <c r="A829" s="121">
        <v>39568</v>
      </c>
      <c r="B829" t="s">
        <v>406</v>
      </c>
      <c r="C829" t="s">
        <v>442</v>
      </c>
      <c r="D829" t="s">
        <v>449</v>
      </c>
      <c r="E829" t="s">
        <v>450</v>
      </c>
      <c r="F829" t="s">
        <v>413</v>
      </c>
      <c r="G829">
        <v>3195</v>
      </c>
      <c r="H829">
        <v>3195</v>
      </c>
      <c r="I829">
        <v>3145</v>
      </c>
      <c r="J829">
        <v>3145</v>
      </c>
      <c r="K829">
        <v>625</v>
      </c>
      <c r="L829">
        <v>4</v>
      </c>
      <c r="M829">
        <v>2519</v>
      </c>
      <c r="N829">
        <v>20</v>
      </c>
      <c r="O829">
        <v>27</v>
      </c>
      <c r="P829">
        <v>4</v>
      </c>
      <c r="Q829">
        <v>1</v>
      </c>
    </row>
    <row r="830" spans="1:17" x14ac:dyDescent="0.2">
      <c r="A830" s="121">
        <v>39568</v>
      </c>
      <c r="B830" t="s">
        <v>406</v>
      </c>
      <c r="C830" t="s">
        <v>451</v>
      </c>
      <c r="D830" t="s">
        <v>452</v>
      </c>
      <c r="E830" t="s">
        <v>453</v>
      </c>
      <c r="F830" t="s">
        <v>410</v>
      </c>
      <c r="G830">
        <v>1650</v>
      </c>
      <c r="H830">
        <v>1650</v>
      </c>
      <c r="I830">
        <v>1649</v>
      </c>
      <c r="J830">
        <v>1649</v>
      </c>
      <c r="K830">
        <v>0</v>
      </c>
      <c r="L830">
        <v>0</v>
      </c>
      <c r="M830">
        <v>1222</v>
      </c>
      <c r="N830">
        <v>148</v>
      </c>
      <c r="O830">
        <v>280</v>
      </c>
      <c r="P830">
        <v>0</v>
      </c>
      <c r="Q830">
        <v>0</v>
      </c>
    </row>
    <row r="831" spans="1:17" x14ac:dyDescent="0.2">
      <c r="A831" s="121">
        <v>39568</v>
      </c>
      <c r="B831" t="s">
        <v>406</v>
      </c>
      <c r="C831" t="s">
        <v>451</v>
      </c>
      <c r="D831" t="s">
        <v>454</v>
      </c>
      <c r="E831" t="s">
        <v>455</v>
      </c>
      <c r="F831" t="s">
        <v>413</v>
      </c>
      <c r="G831">
        <v>3963</v>
      </c>
      <c r="H831">
        <v>3963</v>
      </c>
      <c r="I831">
        <v>3841</v>
      </c>
      <c r="J831">
        <v>3841</v>
      </c>
      <c r="K831">
        <v>1120</v>
      </c>
      <c r="L831">
        <v>8</v>
      </c>
      <c r="M831">
        <v>2186</v>
      </c>
      <c r="N831">
        <v>45</v>
      </c>
      <c r="O831">
        <v>604</v>
      </c>
      <c r="P831">
        <v>2</v>
      </c>
      <c r="Q831">
        <v>0</v>
      </c>
    </row>
    <row r="832" spans="1:17" x14ac:dyDescent="0.2">
      <c r="A832" s="121">
        <v>39568</v>
      </c>
      <c r="B832" t="s">
        <v>406</v>
      </c>
      <c r="C832" t="s">
        <v>456</v>
      </c>
      <c r="D832" t="s">
        <v>457</v>
      </c>
      <c r="E832" t="s">
        <v>458</v>
      </c>
      <c r="F832" t="s">
        <v>413</v>
      </c>
      <c r="G832">
        <v>5002</v>
      </c>
      <c r="H832">
        <v>5002</v>
      </c>
      <c r="I832">
        <v>4826</v>
      </c>
      <c r="J832">
        <v>4826</v>
      </c>
      <c r="K832">
        <v>1227</v>
      </c>
      <c r="L832">
        <v>17</v>
      </c>
      <c r="M832">
        <v>3649</v>
      </c>
      <c r="N832">
        <v>90</v>
      </c>
      <c r="O832">
        <v>19</v>
      </c>
      <c r="P832">
        <v>21</v>
      </c>
      <c r="Q832">
        <v>0</v>
      </c>
    </row>
    <row r="833" spans="1:17" x14ac:dyDescent="0.2">
      <c r="A833" s="121">
        <v>39568</v>
      </c>
      <c r="B833" t="s">
        <v>406</v>
      </c>
      <c r="C833" t="s">
        <v>456</v>
      </c>
      <c r="D833" t="s">
        <v>459</v>
      </c>
      <c r="E833" t="s">
        <v>460</v>
      </c>
      <c r="F833" t="s">
        <v>413</v>
      </c>
      <c r="G833">
        <v>1490</v>
      </c>
      <c r="H833">
        <v>1490</v>
      </c>
      <c r="I833">
        <v>1479</v>
      </c>
      <c r="J833">
        <v>1479</v>
      </c>
      <c r="K833">
        <v>451</v>
      </c>
      <c r="L833">
        <v>1</v>
      </c>
      <c r="M833">
        <v>1038</v>
      </c>
      <c r="N833">
        <v>0</v>
      </c>
      <c r="O833">
        <v>0</v>
      </c>
      <c r="P833">
        <v>0</v>
      </c>
      <c r="Q833">
        <v>0</v>
      </c>
    </row>
    <row r="834" spans="1:17" x14ac:dyDescent="0.2">
      <c r="A834" s="121">
        <v>39568</v>
      </c>
      <c r="B834" t="s">
        <v>406</v>
      </c>
      <c r="C834" t="s">
        <v>456</v>
      </c>
      <c r="D834" t="s">
        <v>461</v>
      </c>
      <c r="E834" t="s">
        <v>462</v>
      </c>
      <c r="F834" t="s">
        <v>410</v>
      </c>
      <c r="G834">
        <v>73</v>
      </c>
      <c r="I834">
        <v>73</v>
      </c>
    </row>
    <row r="835" spans="1:17" x14ac:dyDescent="0.2">
      <c r="A835" s="121">
        <v>39568</v>
      </c>
      <c r="B835" t="s">
        <v>406</v>
      </c>
      <c r="C835" t="s">
        <v>456</v>
      </c>
      <c r="D835" t="s">
        <v>463</v>
      </c>
      <c r="E835" t="s">
        <v>464</v>
      </c>
      <c r="F835" t="s">
        <v>410</v>
      </c>
      <c r="G835">
        <v>27</v>
      </c>
      <c r="I835">
        <v>27</v>
      </c>
    </row>
    <row r="836" spans="1:17" x14ac:dyDescent="0.2">
      <c r="A836" s="121">
        <v>39568</v>
      </c>
      <c r="B836" t="s">
        <v>406</v>
      </c>
      <c r="C836" t="s">
        <v>456</v>
      </c>
      <c r="D836" t="s">
        <v>465</v>
      </c>
      <c r="E836" t="s">
        <v>466</v>
      </c>
      <c r="F836" t="s">
        <v>410</v>
      </c>
      <c r="G836">
        <v>67</v>
      </c>
      <c r="I836">
        <v>67</v>
      </c>
    </row>
    <row r="837" spans="1:17" x14ac:dyDescent="0.2">
      <c r="A837" s="121">
        <v>39568</v>
      </c>
      <c r="B837" t="s">
        <v>406</v>
      </c>
      <c r="C837" t="s">
        <v>456</v>
      </c>
      <c r="D837" t="s">
        <v>467</v>
      </c>
      <c r="E837" t="s">
        <v>468</v>
      </c>
      <c r="F837" t="s">
        <v>410</v>
      </c>
      <c r="G837">
        <v>1079</v>
      </c>
      <c r="I837">
        <v>1076</v>
      </c>
    </row>
    <row r="838" spans="1:17" x14ac:dyDescent="0.2">
      <c r="A838" s="121">
        <v>39568</v>
      </c>
      <c r="B838" t="s">
        <v>406</v>
      </c>
      <c r="C838" t="s">
        <v>456</v>
      </c>
      <c r="D838" t="s">
        <v>469</v>
      </c>
      <c r="E838" t="s">
        <v>470</v>
      </c>
      <c r="F838" t="s">
        <v>410</v>
      </c>
      <c r="G838">
        <v>691</v>
      </c>
      <c r="I838">
        <v>687</v>
      </c>
    </row>
    <row r="839" spans="1:17" x14ac:dyDescent="0.2">
      <c r="A839" s="121">
        <v>39568</v>
      </c>
      <c r="B839" t="s">
        <v>406</v>
      </c>
      <c r="C839" t="s">
        <v>456</v>
      </c>
      <c r="D839" t="s">
        <v>471</v>
      </c>
      <c r="E839" t="s">
        <v>472</v>
      </c>
      <c r="F839" t="s">
        <v>410</v>
      </c>
      <c r="G839">
        <v>232</v>
      </c>
      <c r="I839">
        <v>232</v>
      </c>
    </row>
    <row r="840" spans="1:17" x14ac:dyDescent="0.2">
      <c r="A840" s="121">
        <v>39568</v>
      </c>
      <c r="B840" t="s">
        <v>406</v>
      </c>
      <c r="C840" t="s">
        <v>456</v>
      </c>
      <c r="D840" t="s">
        <v>473</v>
      </c>
      <c r="E840" t="s">
        <v>474</v>
      </c>
      <c r="F840" t="s">
        <v>410</v>
      </c>
      <c r="G840">
        <v>165</v>
      </c>
      <c r="I840">
        <v>165</v>
      </c>
    </row>
    <row r="841" spans="1:17" x14ac:dyDescent="0.2">
      <c r="A841" s="121">
        <v>39568</v>
      </c>
      <c r="B841" t="s">
        <v>406</v>
      </c>
      <c r="C841" t="s">
        <v>456</v>
      </c>
      <c r="D841" t="s">
        <v>475</v>
      </c>
      <c r="E841" t="s">
        <v>476</v>
      </c>
      <c r="F841" t="s">
        <v>410</v>
      </c>
      <c r="G841">
        <v>295</v>
      </c>
      <c r="I841">
        <v>295</v>
      </c>
    </row>
    <row r="842" spans="1:17" x14ac:dyDescent="0.2">
      <c r="A842" s="121">
        <v>39568</v>
      </c>
      <c r="B842" t="s">
        <v>406</v>
      </c>
      <c r="C842" t="s">
        <v>456</v>
      </c>
      <c r="D842" t="s">
        <v>477</v>
      </c>
      <c r="E842" t="s">
        <v>478</v>
      </c>
      <c r="F842" t="s">
        <v>413</v>
      </c>
      <c r="G842">
        <v>1825</v>
      </c>
      <c r="H842">
        <v>1825</v>
      </c>
      <c r="I842">
        <v>1677</v>
      </c>
      <c r="J842">
        <v>1677</v>
      </c>
      <c r="K842">
        <v>518</v>
      </c>
      <c r="L842">
        <v>10</v>
      </c>
      <c r="M842">
        <v>1251</v>
      </c>
      <c r="N842">
        <v>19</v>
      </c>
      <c r="O842">
        <v>27</v>
      </c>
      <c r="P842">
        <v>7</v>
      </c>
      <c r="Q842">
        <v>2</v>
      </c>
    </row>
    <row r="843" spans="1:17" x14ac:dyDescent="0.2">
      <c r="A843" s="121">
        <v>39568</v>
      </c>
      <c r="B843" t="s">
        <v>406</v>
      </c>
      <c r="C843" t="s">
        <v>456</v>
      </c>
      <c r="D843" t="s">
        <v>479</v>
      </c>
      <c r="E843" t="s">
        <v>480</v>
      </c>
      <c r="F843" t="s">
        <v>410</v>
      </c>
      <c r="G843">
        <v>73</v>
      </c>
      <c r="I843">
        <v>73</v>
      </c>
    </row>
    <row r="844" spans="1:17" x14ac:dyDescent="0.2">
      <c r="A844" s="121">
        <v>39568</v>
      </c>
      <c r="B844" t="s">
        <v>406</v>
      </c>
      <c r="C844" t="s">
        <v>456</v>
      </c>
      <c r="D844" t="s">
        <v>481</v>
      </c>
      <c r="E844" t="s">
        <v>482</v>
      </c>
      <c r="F844" t="s">
        <v>410</v>
      </c>
      <c r="G844">
        <v>26</v>
      </c>
      <c r="I844">
        <v>26</v>
      </c>
    </row>
    <row r="845" spans="1:17" x14ac:dyDescent="0.2">
      <c r="A845" s="121">
        <v>39568</v>
      </c>
      <c r="B845" t="s">
        <v>406</v>
      </c>
      <c r="C845" t="s">
        <v>456</v>
      </c>
      <c r="D845" t="s">
        <v>483</v>
      </c>
      <c r="E845" t="s">
        <v>484</v>
      </c>
      <c r="F845" t="s">
        <v>410</v>
      </c>
      <c r="G845">
        <v>67</v>
      </c>
      <c r="I845">
        <v>67</v>
      </c>
    </row>
    <row r="846" spans="1:17" x14ac:dyDescent="0.2">
      <c r="A846" s="121">
        <v>39568</v>
      </c>
      <c r="B846" t="s">
        <v>406</v>
      </c>
      <c r="C846" t="s">
        <v>456</v>
      </c>
      <c r="D846" t="s">
        <v>485</v>
      </c>
      <c r="E846" t="s">
        <v>486</v>
      </c>
      <c r="F846" t="s">
        <v>410</v>
      </c>
      <c r="G846">
        <v>74</v>
      </c>
      <c r="I846">
        <v>74</v>
      </c>
    </row>
    <row r="847" spans="1:17" x14ac:dyDescent="0.2">
      <c r="A847" s="121">
        <v>39568</v>
      </c>
      <c r="B847" t="s">
        <v>406</v>
      </c>
      <c r="C847" t="s">
        <v>456</v>
      </c>
      <c r="D847" t="s">
        <v>487</v>
      </c>
      <c r="E847" t="s">
        <v>488</v>
      </c>
      <c r="F847" t="s">
        <v>410</v>
      </c>
      <c r="G847">
        <v>31</v>
      </c>
      <c r="I847">
        <v>31</v>
      </c>
    </row>
    <row r="848" spans="1:17" x14ac:dyDescent="0.2">
      <c r="A848" s="121">
        <v>39568</v>
      </c>
      <c r="B848" t="s">
        <v>406</v>
      </c>
      <c r="C848" t="s">
        <v>456</v>
      </c>
      <c r="D848" t="s">
        <v>489</v>
      </c>
      <c r="E848" t="s">
        <v>490</v>
      </c>
      <c r="F848" t="s">
        <v>410</v>
      </c>
      <c r="G848">
        <v>89</v>
      </c>
      <c r="H848">
        <v>89</v>
      </c>
      <c r="I848">
        <v>89</v>
      </c>
      <c r="J848">
        <v>89</v>
      </c>
      <c r="K848">
        <v>0</v>
      </c>
      <c r="L848">
        <v>0</v>
      </c>
      <c r="M848">
        <v>80</v>
      </c>
      <c r="N848">
        <v>8</v>
      </c>
      <c r="O848">
        <v>1</v>
      </c>
      <c r="P848">
        <v>0</v>
      </c>
      <c r="Q848">
        <v>0</v>
      </c>
    </row>
    <row r="849" spans="1:17" x14ac:dyDescent="0.2">
      <c r="A849" s="121">
        <v>39568</v>
      </c>
      <c r="B849" t="s">
        <v>406</v>
      </c>
      <c r="C849" t="s">
        <v>491</v>
      </c>
      <c r="D849" t="s">
        <v>492</v>
      </c>
      <c r="E849" t="s">
        <v>493</v>
      </c>
      <c r="F849" t="s">
        <v>410</v>
      </c>
      <c r="G849">
        <v>1186</v>
      </c>
      <c r="H849">
        <v>1186</v>
      </c>
      <c r="I849">
        <v>1177</v>
      </c>
      <c r="J849">
        <v>1177</v>
      </c>
      <c r="K849">
        <v>314</v>
      </c>
      <c r="L849">
        <v>2</v>
      </c>
      <c r="M849">
        <v>806</v>
      </c>
      <c r="N849">
        <v>60</v>
      </c>
      <c r="O849">
        <v>4</v>
      </c>
      <c r="P849">
        <v>0</v>
      </c>
      <c r="Q849">
        <v>0</v>
      </c>
    </row>
    <row r="850" spans="1:17" x14ac:dyDescent="0.2">
      <c r="A850" s="121">
        <v>39568</v>
      </c>
      <c r="B850" t="s">
        <v>406</v>
      </c>
      <c r="C850" t="s">
        <v>491</v>
      </c>
      <c r="D850" t="s">
        <v>494</v>
      </c>
      <c r="E850" t="s">
        <v>495</v>
      </c>
      <c r="F850" t="s">
        <v>413</v>
      </c>
      <c r="G850">
        <v>2607</v>
      </c>
      <c r="H850">
        <v>2607</v>
      </c>
      <c r="I850">
        <v>2576</v>
      </c>
      <c r="J850">
        <v>2576</v>
      </c>
      <c r="K850">
        <v>549</v>
      </c>
      <c r="L850">
        <v>3</v>
      </c>
      <c r="M850">
        <v>1935</v>
      </c>
      <c r="N850">
        <v>28</v>
      </c>
      <c r="O850">
        <v>92</v>
      </c>
      <c r="P850">
        <v>1</v>
      </c>
      <c r="Q850">
        <v>0</v>
      </c>
    </row>
    <row r="851" spans="1:17" x14ac:dyDescent="0.2">
      <c r="A851" s="121">
        <v>39568</v>
      </c>
      <c r="B851" t="s">
        <v>406</v>
      </c>
      <c r="C851" t="s">
        <v>491</v>
      </c>
      <c r="D851" t="s">
        <v>496</v>
      </c>
      <c r="E851" t="s">
        <v>497</v>
      </c>
      <c r="F851" t="s">
        <v>413</v>
      </c>
      <c r="G851">
        <v>5554</v>
      </c>
      <c r="H851">
        <v>5554</v>
      </c>
      <c r="I851">
        <v>5443</v>
      </c>
      <c r="J851">
        <v>5443</v>
      </c>
      <c r="K851">
        <v>1516</v>
      </c>
      <c r="L851">
        <v>6</v>
      </c>
      <c r="M851">
        <v>3458</v>
      </c>
      <c r="N851">
        <v>50</v>
      </c>
      <c r="O851">
        <v>524</v>
      </c>
      <c r="P851">
        <v>4</v>
      </c>
      <c r="Q851">
        <v>0</v>
      </c>
    </row>
    <row r="852" spans="1:17" x14ac:dyDescent="0.2">
      <c r="A852" s="121">
        <v>39568</v>
      </c>
      <c r="B852" t="s">
        <v>406</v>
      </c>
      <c r="C852" t="s">
        <v>491</v>
      </c>
      <c r="D852" t="s">
        <v>498</v>
      </c>
      <c r="E852" t="s">
        <v>499</v>
      </c>
      <c r="F852" t="s">
        <v>413</v>
      </c>
      <c r="G852">
        <v>6259</v>
      </c>
      <c r="H852">
        <v>6259</v>
      </c>
      <c r="I852">
        <v>6069</v>
      </c>
      <c r="J852">
        <v>6069</v>
      </c>
      <c r="K852">
        <v>1875</v>
      </c>
      <c r="L852">
        <v>11</v>
      </c>
      <c r="M852">
        <v>3966</v>
      </c>
      <c r="N852">
        <v>116</v>
      </c>
      <c r="O852">
        <v>291</v>
      </c>
      <c r="P852">
        <v>1</v>
      </c>
      <c r="Q852">
        <v>0</v>
      </c>
    </row>
    <row r="853" spans="1:17" x14ac:dyDescent="0.2">
      <c r="A853" s="121">
        <v>39568</v>
      </c>
      <c r="B853" t="s">
        <v>406</v>
      </c>
      <c r="C853" t="s">
        <v>491</v>
      </c>
      <c r="D853" t="s">
        <v>500</v>
      </c>
      <c r="E853" t="s">
        <v>501</v>
      </c>
      <c r="F853" t="s">
        <v>413</v>
      </c>
      <c r="G853">
        <v>3505</v>
      </c>
      <c r="H853">
        <v>3505</v>
      </c>
      <c r="I853">
        <v>3468</v>
      </c>
      <c r="J853">
        <v>3468</v>
      </c>
      <c r="K853">
        <v>1062</v>
      </c>
      <c r="L853">
        <v>0</v>
      </c>
      <c r="M853">
        <v>2206</v>
      </c>
      <c r="N853">
        <v>44</v>
      </c>
      <c r="O853">
        <v>193</v>
      </c>
      <c r="P853">
        <v>1</v>
      </c>
      <c r="Q853">
        <v>0</v>
      </c>
    </row>
    <row r="854" spans="1:17" x14ac:dyDescent="0.2">
      <c r="A854" s="121">
        <v>39568</v>
      </c>
      <c r="B854" t="s">
        <v>406</v>
      </c>
      <c r="C854" t="s">
        <v>491</v>
      </c>
      <c r="D854" t="s">
        <v>502</v>
      </c>
      <c r="E854" t="s">
        <v>503</v>
      </c>
      <c r="F854" t="s">
        <v>413</v>
      </c>
      <c r="G854">
        <v>5511</v>
      </c>
      <c r="H854">
        <v>5511</v>
      </c>
      <c r="I854">
        <v>5432</v>
      </c>
      <c r="J854">
        <v>5432</v>
      </c>
      <c r="K854">
        <v>1542</v>
      </c>
      <c r="L854">
        <v>7</v>
      </c>
      <c r="M854">
        <v>3767</v>
      </c>
      <c r="N854">
        <v>146</v>
      </c>
      <c r="O854">
        <v>49</v>
      </c>
      <c r="P854">
        <v>1</v>
      </c>
      <c r="Q854">
        <v>0</v>
      </c>
    </row>
    <row r="855" spans="1:17" x14ac:dyDescent="0.2">
      <c r="A855" s="121">
        <v>39568</v>
      </c>
      <c r="B855" t="s">
        <v>406</v>
      </c>
      <c r="C855" t="s">
        <v>491</v>
      </c>
      <c r="D855" t="s">
        <v>504</v>
      </c>
      <c r="E855" t="s">
        <v>505</v>
      </c>
      <c r="F855" t="s">
        <v>413</v>
      </c>
      <c r="G855">
        <v>3884</v>
      </c>
      <c r="H855">
        <v>3884</v>
      </c>
      <c r="I855">
        <v>3814</v>
      </c>
      <c r="J855">
        <v>3814</v>
      </c>
      <c r="K855">
        <v>1186</v>
      </c>
      <c r="L855">
        <v>5</v>
      </c>
      <c r="M855">
        <v>2562</v>
      </c>
      <c r="N855">
        <v>39</v>
      </c>
      <c r="O855">
        <v>92</v>
      </c>
      <c r="P855">
        <v>0</v>
      </c>
      <c r="Q855">
        <v>0</v>
      </c>
    </row>
    <row r="856" spans="1:17" x14ac:dyDescent="0.2">
      <c r="A856" s="121">
        <v>39568</v>
      </c>
      <c r="B856" t="s">
        <v>406</v>
      </c>
      <c r="C856" t="s">
        <v>491</v>
      </c>
      <c r="D856" t="s">
        <v>506</v>
      </c>
      <c r="E856" t="s">
        <v>507</v>
      </c>
      <c r="F856" t="s">
        <v>413</v>
      </c>
      <c r="G856">
        <v>3438</v>
      </c>
      <c r="H856">
        <v>3438</v>
      </c>
      <c r="I856">
        <v>3378</v>
      </c>
      <c r="J856">
        <v>3378</v>
      </c>
      <c r="K856">
        <v>540</v>
      </c>
      <c r="L856">
        <v>0</v>
      </c>
      <c r="M856">
        <v>2890</v>
      </c>
      <c r="N856">
        <v>0</v>
      </c>
      <c r="O856">
        <v>8</v>
      </c>
      <c r="P856">
        <v>0</v>
      </c>
      <c r="Q856">
        <v>0</v>
      </c>
    </row>
    <row r="857" spans="1:17" x14ac:dyDescent="0.2">
      <c r="A857" s="121">
        <v>39568</v>
      </c>
      <c r="B857" t="s">
        <v>406</v>
      </c>
      <c r="C857" t="s">
        <v>491</v>
      </c>
      <c r="D857" t="s">
        <v>508</v>
      </c>
      <c r="E857" t="s">
        <v>509</v>
      </c>
      <c r="F857" t="s">
        <v>413</v>
      </c>
      <c r="G857">
        <v>5039</v>
      </c>
      <c r="H857">
        <v>5039</v>
      </c>
      <c r="I857">
        <v>4815</v>
      </c>
      <c r="J857">
        <v>4815</v>
      </c>
      <c r="K857">
        <v>1662</v>
      </c>
      <c r="L857">
        <v>8</v>
      </c>
      <c r="M857">
        <v>2958</v>
      </c>
      <c r="N857">
        <v>118</v>
      </c>
      <c r="O857">
        <v>293</v>
      </c>
      <c r="P857">
        <v>6</v>
      </c>
      <c r="Q857">
        <v>0</v>
      </c>
    </row>
    <row r="858" spans="1:17" x14ac:dyDescent="0.2">
      <c r="A858" s="121">
        <v>39568</v>
      </c>
      <c r="B858" t="s">
        <v>406</v>
      </c>
      <c r="C858" t="s">
        <v>510</v>
      </c>
      <c r="D858" t="s">
        <v>511</v>
      </c>
      <c r="E858" t="s">
        <v>512</v>
      </c>
      <c r="F858" t="s">
        <v>410</v>
      </c>
      <c r="G858">
        <v>521</v>
      </c>
      <c r="I858">
        <v>515</v>
      </c>
    </row>
    <row r="859" spans="1:17" x14ac:dyDescent="0.2">
      <c r="A859" s="121">
        <v>39568</v>
      </c>
      <c r="B859" t="s">
        <v>406</v>
      </c>
      <c r="C859" t="s">
        <v>510</v>
      </c>
      <c r="D859" t="s">
        <v>513</v>
      </c>
      <c r="E859" t="s">
        <v>514</v>
      </c>
      <c r="F859" t="s">
        <v>410</v>
      </c>
      <c r="G859">
        <v>527</v>
      </c>
      <c r="I859">
        <v>527</v>
      </c>
    </row>
    <row r="860" spans="1:17" x14ac:dyDescent="0.2">
      <c r="A860" s="121">
        <v>39568</v>
      </c>
      <c r="B860" t="s">
        <v>406</v>
      </c>
      <c r="C860" t="s">
        <v>510</v>
      </c>
      <c r="D860" t="s">
        <v>515</v>
      </c>
      <c r="E860" t="s">
        <v>516</v>
      </c>
      <c r="F860" t="s">
        <v>410</v>
      </c>
      <c r="G860">
        <v>52</v>
      </c>
      <c r="I860">
        <v>52</v>
      </c>
    </row>
    <row r="861" spans="1:17" x14ac:dyDescent="0.2">
      <c r="A861" s="121">
        <v>39568</v>
      </c>
      <c r="B861" t="s">
        <v>406</v>
      </c>
      <c r="C861" t="s">
        <v>510</v>
      </c>
      <c r="D861" t="s">
        <v>517</v>
      </c>
      <c r="E861" t="s">
        <v>518</v>
      </c>
      <c r="F861" t="s">
        <v>410</v>
      </c>
      <c r="G861">
        <v>262</v>
      </c>
      <c r="I861">
        <v>258</v>
      </c>
    </row>
    <row r="862" spans="1:17" x14ac:dyDescent="0.2">
      <c r="A862" s="121">
        <v>39568</v>
      </c>
      <c r="B862" t="s">
        <v>406</v>
      </c>
      <c r="C862" t="s">
        <v>510</v>
      </c>
      <c r="D862" t="s">
        <v>519</v>
      </c>
      <c r="E862" t="s">
        <v>520</v>
      </c>
      <c r="F862" t="s">
        <v>410</v>
      </c>
      <c r="G862">
        <v>382</v>
      </c>
      <c r="I862">
        <v>378</v>
      </c>
    </row>
    <row r="863" spans="1:17" x14ac:dyDescent="0.2">
      <c r="A863" s="121">
        <v>39568</v>
      </c>
      <c r="B863" t="s">
        <v>406</v>
      </c>
      <c r="C863" t="s">
        <v>510</v>
      </c>
      <c r="D863" t="s">
        <v>521</v>
      </c>
      <c r="E863" t="s">
        <v>522</v>
      </c>
      <c r="F863" t="s">
        <v>410</v>
      </c>
      <c r="G863">
        <v>52</v>
      </c>
      <c r="I863">
        <v>52</v>
      </c>
    </row>
    <row r="864" spans="1:17" x14ac:dyDescent="0.2">
      <c r="A864" s="121">
        <v>39568</v>
      </c>
      <c r="B864" t="s">
        <v>406</v>
      </c>
      <c r="C864" t="s">
        <v>510</v>
      </c>
      <c r="D864" t="s">
        <v>523</v>
      </c>
      <c r="E864" t="s">
        <v>524</v>
      </c>
      <c r="F864" t="s">
        <v>413</v>
      </c>
      <c r="G864">
        <v>499</v>
      </c>
      <c r="I864">
        <v>491</v>
      </c>
    </row>
    <row r="865" spans="1:17" x14ac:dyDescent="0.2">
      <c r="A865" s="121">
        <v>39568</v>
      </c>
      <c r="B865" t="s">
        <v>406</v>
      </c>
      <c r="C865" t="s">
        <v>510</v>
      </c>
      <c r="D865" t="s">
        <v>527</v>
      </c>
      <c r="E865" t="s">
        <v>528</v>
      </c>
      <c r="F865" t="s">
        <v>410</v>
      </c>
      <c r="G865">
        <v>226</v>
      </c>
      <c r="I865">
        <v>223</v>
      </c>
    </row>
    <row r="866" spans="1:17" x14ac:dyDescent="0.2">
      <c r="A866" s="121">
        <v>39568</v>
      </c>
      <c r="B866" t="s">
        <v>406</v>
      </c>
      <c r="C866" t="s">
        <v>510</v>
      </c>
      <c r="D866" t="s">
        <v>529</v>
      </c>
      <c r="E866" t="s">
        <v>530</v>
      </c>
      <c r="F866" t="s">
        <v>413</v>
      </c>
      <c r="G866">
        <v>459</v>
      </c>
      <c r="I866">
        <v>453</v>
      </c>
    </row>
    <row r="867" spans="1:17" x14ac:dyDescent="0.2">
      <c r="A867" s="121">
        <v>39568</v>
      </c>
      <c r="B867" t="s">
        <v>406</v>
      </c>
      <c r="C867" t="s">
        <v>510</v>
      </c>
      <c r="D867" t="s">
        <v>531</v>
      </c>
      <c r="E867" t="s">
        <v>532</v>
      </c>
      <c r="F867" t="s">
        <v>410</v>
      </c>
      <c r="G867">
        <v>41</v>
      </c>
      <c r="I867">
        <v>41</v>
      </c>
    </row>
    <row r="868" spans="1:17" x14ac:dyDescent="0.2">
      <c r="A868" s="121">
        <v>39568</v>
      </c>
      <c r="B868" t="s">
        <v>406</v>
      </c>
      <c r="C868" t="s">
        <v>510</v>
      </c>
      <c r="D868" t="s">
        <v>533</v>
      </c>
      <c r="E868" t="s">
        <v>534</v>
      </c>
      <c r="F868" t="s">
        <v>413</v>
      </c>
      <c r="G868">
        <v>2453</v>
      </c>
      <c r="H868">
        <v>2453</v>
      </c>
      <c r="I868">
        <v>2394</v>
      </c>
      <c r="J868">
        <v>2394</v>
      </c>
      <c r="K868">
        <v>528</v>
      </c>
      <c r="L868">
        <v>22</v>
      </c>
      <c r="M868">
        <v>1902</v>
      </c>
      <c r="N868">
        <v>1</v>
      </c>
      <c r="O868">
        <v>0</v>
      </c>
      <c r="P868">
        <v>2</v>
      </c>
      <c r="Q868">
        <v>0</v>
      </c>
    </row>
    <row r="869" spans="1:17" x14ac:dyDescent="0.2">
      <c r="A869" s="121">
        <v>39568</v>
      </c>
      <c r="B869" t="s">
        <v>406</v>
      </c>
      <c r="C869" t="s">
        <v>510</v>
      </c>
      <c r="D869" t="s">
        <v>535</v>
      </c>
      <c r="E869" t="s">
        <v>536</v>
      </c>
      <c r="F869" t="s">
        <v>410</v>
      </c>
      <c r="G869">
        <v>195</v>
      </c>
      <c r="I869">
        <v>195</v>
      </c>
    </row>
    <row r="870" spans="1:17" x14ac:dyDescent="0.2">
      <c r="A870" s="121">
        <v>39568</v>
      </c>
      <c r="B870" t="s">
        <v>406</v>
      </c>
      <c r="C870" t="s">
        <v>510</v>
      </c>
      <c r="D870" t="s">
        <v>537</v>
      </c>
      <c r="E870" t="s">
        <v>538</v>
      </c>
      <c r="F870" t="s">
        <v>410</v>
      </c>
      <c r="G870">
        <v>119</v>
      </c>
      <c r="I870">
        <v>117</v>
      </c>
    </row>
    <row r="871" spans="1:17" x14ac:dyDescent="0.2">
      <c r="A871" s="121">
        <v>39568</v>
      </c>
      <c r="B871" t="s">
        <v>406</v>
      </c>
      <c r="C871" t="s">
        <v>510</v>
      </c>
      <c r="D871" t="s">
        <v>539</v>
      </c>
      <c r="E871" t="s">
        <v>540</v>
      </c>
      <c r="F871" t="s">
        <v>413</v>
      </c>
      <c r="G871">
        <v>698</v>
      </c>
      <c r="I871">
        <v>685</v>
      </c>
    </row>
    <row r="872" spans="1:17" x14ac:dyDescent="0.2">
      <c r="A872" s="121">
        <v>39568</v>
      </c>
      <c r="B872" t="s">
        <v>406</v>
      </c>
      <c r="C872" t="s">
        <v>510</v>
      </c>
      <c r="D872" t="s">
        <v>541</v>
      </c>
      <c r="E872" t="s">
        <v>542</v>
      </c>
      <c r="F872" t="s">
        <v>410</v>
      </c>
      <c r="G872">
        <v>265</v>
      </c>
      <c r="I872">
        <v>261</v>
      </c>
    </row>
    <row r="873" spans="1:17" x14ac:dyDescent="0.2">
      <c r="A873" s="121">
        <v>39568</v>
      </c>
      <c r="B873" t="s">
        <v>406</v>
      </c>
      <c r="C873" t="s">
        <v>510</v>
      </c>
      <c r="D873" t="s">
        <v>543</v>
      </c>
      <c r="E873" t="s">
        <v>544</v>
      </c>
      <c r="F873" t="s">
        <v>410</v>
      </c>
      <c r="G873">
        <v>95</v>
      </c>
      <c r="I873">
        <v>95</v>
      </c>
    </row>
    <row r="874" spans="1:17" x14ac:dyDescent="0.2">
      <c r="A874" s="121">
        <v>39568</v>
      </c>
      <c r="B874" t="s">
        <v>406</v>
      </c>
      <c r="C874" t="s">
        <v>510</v>
      </c>
      <c r="D874" t="s">
        <v>545</v>
      </c>
      <c r="E874" t="s">
        <v>546</v>
      </c>
      <c r="F874" t="s">
        <v>410</v>
      </c>
      <c r="G874">
        <v>156</v>
      </c>
      <c r="I874">
        <v>156</v>
      </c>
    </row>
    <row r="875" spans="1:17" x14ac:dyDescent="0.2">
      <c r="A875" s="121">
        <v>39568</v>
      </c>
      <c r="B875" t="s">
        <v>406</v>
      </c>
      <c r="C875" t="s">
        <v>510</v>
      </c>
      <c r="D875" t="s">
        <v>547</v>
      </c>
      <c r="E875" t="s">
        <v>548</v>
      </c>
      <c r="F875" t="s">
        <v>410</v>
      </c>
      <c r="G875">
        <v>98</v>
      </c>
      <c r="I875">
        <v>98</v>
      </c>
    </row>
    <row r="876" spans="1:17" x14ac:dyDescent="0.2">
      <c r="A876" s="121">
        <v>39568</v>
      </c>
      <c r="B876" t="s">
        <v>406</v>
      </c>
      <c r="C876" t="s">
        <v>510</v>
      </c>
      <c r="D876" t="s">
        <v>549</v>
      </c>
      <c r="E876" t="s">
        <v>550</v>
      </c>
      <c r="F876" t="s">
        <v>410</v>
      </c>
      <c r="G876">
        <v>196</v>
      </c>
      <c r="I876">
        <v>194</v>
      </c>
    </row>
    <row r="877" spans="1:17" x14ac:dyDescent="0.2">
      <c r="A877" s="121">
        <v>39568</v>
      </c>
      <c r="B877" t="s">
        <v>406</v>
      </c>
      <c r="C877" t="s">
        <v>551</v>
      </c>
      <c r="D877" t="s">
        <v>552</v>
      </c>
      <c r="E877" t="s">
        <v>553</v>
      </c>
      <c r="F877" t="s">
        <v>413</v>
      </c>
      <c r="G877">
        <v>5730</v>
      </c>
      <c r="H877">
        <v>5730</v>
      </c>
      <c r="I877">
        <v>5669</v>
      </c>
      <c r="J877">
        <v>5669</v>
      </c>
      <c r="K877">
        <v>1705</v>
      </c>
      <c r="L877">
        <v>8</v>
      </c>
      <c r="M877">
        <v>3984</v>
      </c>
      <c r="N877">
        <v>20</v>
      </c>
      <c r="O877">
        <v>13</v>
      </c>
      <c r="P877">
        <v>1</v>
      </c>
      <c r="Q877">
        <v>0</v>
      </c>
    </row>
    <row r="878" spans="1:17" x14ac:dyDescent="0.2">
      <c r="A878" s="121">
        <v>39568</v>
      </c>
      <c r="B878" t="s">
        <v>406</v>
      </c>
      <c r="C878" t="s">
        <v>551</v>
      </c>
      <c r="D878" t="s">
        <v>554</v>
      </c>
      <c r="E878" t="s">
        <v>555</v>
      </c>
      <c r="F878" t="s">
        <v>410</v>
      </c>
      <c r="G878">
        <v>177</v>
      </c>
      <c r="I878">
        <v>177</v>
      </c>
    </row>
    <row r="879" spans="1:17" x14ac:dyDescent="0.2">
      <c r="A879" s="121">
        <v>39568</v>
      </c>
      <c r="B879" t="s">
        <v>406</v>
      </c>
      <c r="C879" t="s">
        <v>551</v>
      </c>
      <c r="D879" t="s">
        <v>556</v>
      </c>
      <c r="E879" t="s">
        <v>557</v>
      </c>
      <c r="F879" t="s">
        <v>410</v>
      </c>
      <c r="G879">
        <v>178</v>
      </c>
      <c r="I879">
        <v>178</v>
      </c>
    </row>
    <row r="880" spans="1:17" x14ac:dyDescent="0.2">
      <c r="A880" s="121">
        <v>39568</v>
      </c>
      <c r="B880" t="s">
        <v>406</v>
      </c>
      <c r="C880" t="s">
        <v>551</v>
      </c>
      <c r="D880" t="s">
        <v>558</v>
      </c>
      <c r="E880" t="s">
        <v>559</v>
      </c>
      <c r="F880" t="s">
        <v>413</v>
      </c>
      <c r="G880">
        <v>4711</v>
      </c>
      <c r="H880">
        <v>4711</v>
      </c>
      <c r="I880">
        <v>4487</v>
      </c>
      <c r="J880">
        <v>4487</v>
      </c>
      <c r="K880">
        <v>1120</v>
      </c>
      <c r="L880">
        <v>8</v>
      </c>
      <c r="M880">
        <v>3538</v>
      </c>
      <c r="N880">
        <v>15</v>
      </c>
      <c r="O880">
        <v>30</v>
      </c>
      <c r="P880">
        <v>64</v>
      </c>
      <c r="Q880">
        <v>35</v>
      </c>
    </row>
    <row r="881" spans="1:17" x14ac:dyDescent="0.2">
      <c r="A881" s="121">
        <v>39568</v>
      </c>
      <c r="B881" t="s">
        <v>406</v>
      </c>
      <c r="C881" t="s">
        <v>551</v>
      </c>
      <c r="D881" t="s">
        <v>560</v>
      </c>
      <c r="E881" t="s">
        <v>561</v>
      </c>
      <c r="F881" t="s">
        <v>413</v>
      </c>
      <c r="G881">
        <v>5544</v>
      </c>
      <c r="H881">
        <v>5544</v>
      </c>
      <c r="I881">
        <v>5339</v>
      </c>
      <c r="J881">
        <v>5339</v>
      </c>
      <c r="K881">
        <v>1210</v>
      </c>
      <c r="L881">
        <v>10</v>
      </c>
      <c r="M881">
        <v>4279</v>
      </c>
      <c r="N881">
        <v>16</v>
      </c>
      <c r="O881">
        <v>29</v>
      </c>
      <c r="P881">
        <v>65</v>
      </c>
      <c r="Q881">
        <v>45</v>
      </c>
    </row>
    <row r="882" spans="1:17" x14ac:dyDescent="0.2">
      <c r="A882" s="121">
        <v>39568</v>
      </c>
      <c r="B882" t="s">
        <v>406</v>
      </c>
      <c r="C882" t="s">
        <v>562</v>
      </c>
      <c r="D882" t="s">
        <v>603</v>
      </c>
      <c r="E882" t="s">
        <v>604</v>
      </c>
      <c r="F882" t="s">
        <v>410</v>
      </c>
      <c r="G882">
        <v>16</v>
      </c>
      <c r="I882">
        <v>16</v>
      </c>
    </row>
    <row r="883" spans="1:17" x14ac:dyDescent="0.2">
      <c r="A883" s="121">
        <v>39568</v>
      </c>
      <c r="B883" t="s">
        <v>406</v>
      </c>
      <c r="C883" t="s">
        <v>562</v>
      </c>
      <c r="D883" t="s">
        <v>605</v>
      </c>
      <c r="E883" t="s">
        <v>606</v>
      </c>
      <c r="F883" t="s">
        <v>410</v>
      </c>
      <c r="G883">
        <v>126</v>
      </c>
      <c r="I883">
        <v>126</v>
      </c>
    </row>
    <row r="884" spans="1:17" x14ac:dyDescent="0.2">
      <c r="A884" s="121">
        <v>39568</v>
      </c>
      <c r="B884" t="s">
        <v>406</v>
      </c>
      <c r="C884" t="s">
        <v>562</v>
      </c>
      <c r="D884" t="s">
        <v>563</v>
      </c>
      <c r="E884" t="s">
        <v>564</v>
      </c>
      <c r="F884" t="s">
        <v>410</v>
      </c>
      <c r="G884">
        <v>2906</v>
      </c>
      <c r="H884">
        <v>2906</v>
      </c>
      <c r="I884">
        <v>2873</v>
      </c>
      <c r="J884">
        <v>2873</v>
      </c>
      <c r="K884">
        <v>962</v>
      </c>
      <c r="L884">
        <v>3</v>
      </c>
      <c r="M884">
        <v>1841</v>
      </c>
      <c r="N884">
        <v>100</v>
      </c>
      <c r="O884">
        <v>0</v>
      </c>
      <c r="P884">
        <v>2</v>
      </c>
      <c r="Q884">
        <v>0</v>
      </c>
    </row>
    <row r="885" spans="1:17" x14ac:dyDescent="0.2">
      <c r="A885" s="121">
        <v>39568</v>
      </c>
      <c r="B885" t="s">
        <v>406</v>
      </c>
      <c r="C885" t="s">
        <v>562</v>
      </c>
      <c r="D885" t="s">
        <v>565</v>
      </c>
      <c r="E885" t="s">
        <v>566</v>
      </c>
      <c r="F885" t="s">
        <v>413</v>
      </c>
      <c r="G885">
        <v>4020</v>
      </c>
      <c r="H885">
        <v>4020</v>
      </c>
      <c r="I885">
        <v>3883</v>
      </c>
      <c r="J885">
        <v>3883</v>
      </c>
      <c r="K885">
        <v>1078</v>
      </c>
      <c r="L885">
        <v>4</v>
      </c>
      <c r="M885">
        <v>2851</v>
      </c>
      <c r="N885">
        <v>87</v>
      </c>
      <c r="O885">
        <v>0</v>
      </c>
      <c r="P885">
        <v>9</v>
      </c>
      <c r="Q885">
        <v>1</v>
      </c>
    </row>
    <row r="886" spans="1:17" x14ac:dyDescent="0.2">
      <c r="A886" s="121">
        <v>39568</v>
      </c>
      <c r="B886" t="s">
        <v>406</v>
      </c>
      <c r="C886" t="s">
        <v>562</v>
      </c>
      <c r="D886" t="s">
        <v>567</v>
      </c>
      <c r="E886" t="s">
        <v>568</v>
      </c>
      <c r="F886" t="s">
        <v>413</v>
      </c>
      <c r="G886">
        <v>8517</v>
      </c>
      <c r="H886">
        <v>8517</v>
      </c>
      <c r="I886">
        <v>8251</v>
      </c>
      <c r="J886">
        <v>8251</v>
      </c>
      <c r="K886">
        <v>2476</v>
      </c>
      <c r="L886">
        <v>18</v>
      </c>
      <c r="M886">
        <v>5762</v>
      </c>
      <c r="N886">
        <v>261</v>
      </c>
      <c r="O886">
        <v>0</v>
      </c>
      <c r="P886">
        <v>7</v>
      </c>
      <c r="Q886">
        <v>0</v>
      </c>
    </row>
    <row r="887" spans="1:17" x14ac:dyDescent="0.2">
      <c r="A887" s="121">
        <v>39568</v>
      </c>
      <c r="B887" t="s">
        <v>406</v>
      </c>
      <c r="C887" t="s">
        <v>562</v>
      </c>
      <c r="D887" t="s">
        <v>569</v>
      </c>
      <c r="E887" t="s">
        <v>570</v>
      </c>
      <c r="F887" t="s">
        <v>413</v>
      </c>
      <c r="G887">
        <v>3063</v>
      </c>
      <c r="H887">
        <v>3063</v>
      </c>
      <c r="I887">
        <v>3008</v>
      </c>
      <c r="J887">
        <v>3008</v>
      </c>
      <c r="K887">
        <v>483</v>
      </c>
      <c r="L887">
        <v>1</v>
      </c>
      <c r="M887">
        <v>2579</v>
      </c>
      <c r="N887">
        <v>0</v>
      </c>
      <c r="O887">
        <v>0</v>
      </c>
      <c r="P887">
        <v>3</v>
      </c>
      <c r="Q887">
        <v>0</v>
      </c>
    </row>
    <row r="888" spans="1:17" x14ac:dyDescent="0.2">
      <c r="A888" s="121">
        <v>39568</v>
      </c>
      <c r="B888" t="s">
        <v>406</v>
      </c>
      <c r="C888" t="s">
        <v>571</v>
      </c>
      <c r="D888" t="s">
        <v>572</v>
      </c>
      <c r="E888" t="s">
        <v>573</v>
      </c>
      <c r="F888" t="s">
        <v>410</v>
      </c>
      <c r="G888">
        <v>169</v>
      </c>
      <c r="I888">
        <v>169</v>
      </c>
    </row>
    <row r="889" spans="1:17" x14ac:dyDescent="0.2">
      <c r="A889" s="121">
        <v>39568</v>
      </c>
      <c r="B889" t="s">
        <v>406</v>
      </c>
      <c r="C889" t="s">
        <v>574</v>
      </c>
      <c r="D889" t="s">
        <v>575</v>
      </c>
      <c r="E889" t="s">
        <v>576</v>
      </c>
      <c r="F889" t="s">
        <v>413</v>
      </c>
      <c r="G889">
        <v>720</v>
      </c>
      <c r="H889">
        <v>720</v>
      </c>
      <c r="I889">
        <v>709</v>
      </c>
      <c r="J889">
        <v>709</v>
      </c>
      <c r="K889">
        <v>118</v>
      </c>
      <c r="L889">
        <v>0</v>
      </c>
      <c r="M889">
        <v>563</v>
      </c>
      <c r="N889">
        <v>3</v>
      </c>
      <c r="O889">
        <v>36</v>
      </c>
      <c r="P889">
        <v>0</v>
      </c>
      <c r="Q889">
        <v>0</v>
      </c>
    </row>
    <row r="890" spans="1:17" x14ac:dyDescent="0.2">
      <c r="A890" s="121">
        <v>39568</v>
      </c>
      <c r="B890" t="s">
        <v>406</v>
      </c>
      <c r="C890" t="s">
        <v>577</v>
      </c>
      <c r="D890" t="s">
        <v>578</v>
      </c>
      <c r="E890" t="s">
        <v>579</v>
      </c>
      <c r="F890" t="s">
        <v>413</v>
      </c>
      <c r="G890">
        <v>3925</v>
      </c>
      <c r="H890">
        <v>3925</v>
      </c>
      <c r="I890">
        <v>3864</v>
      </c>
      <c r="J890">
        <v>3864</v>
      </c>
      <c r="K890">
        <v>927</v>
      </c>
      <c r="L890">
        <v>15</v>
      </c>
      <c r="M890">
        <v>2862</v>
      </c>
      <c r="N890">
        <v>30</v>
      </c>
      <c r="O890">
        <v>91</v>
      </c>
      <c r="P890">
        <v>1</v>
      </c>
      <c r="Q890">
        <v>0</v>
      </c>
    </row>
    <row r="891" spans="1:17" x14ac:dyDescent="0.2">
      <c r="A891" s="121">
        <v>39568</v>
      </c>
      <c r="B891" t="s">
        <v>406</v>
      </c>
      <c r="C891" t="s">
        <v>577</v>
      </c>
      <c r="D891" t="s">
        <v>580</v>
      </c>
      <c r="E891" t="s">
        <v>581</v>
      </c>
      <c r="F891" t="s">
        <v>413</v>
      </c>
      <c r="G891">
        <v>2026</v>
      </c>
      <c r="H891">
        <v>2026</v>
      </c>
      <c r="I891">
        <v>2011</v>
      </c>
      <c r="J891">
        <v>2011</v>
      </c>
      <c r="K891">
        <v>387</v>
      </c>
      <c r="L891">
        <v>5</v>
      </c>
      <c r="M891">
        <v>1431</v>
      </c>
      <c r="N891">
        <v>51</v>
      </c>
      <c r="O891">
        <v>152</v>
      </c>
      <c r="P891">
        <v>0</v>
      </c>
      <c r="Q891">
        <v>0</v>
      </c>
    </row>
    <row r="892" spans="1:17" x14ac:dyDescent="0.2">
      <c r="A892" s="121">
        <v>39568</v>
      </c>
      <c r="B892" t="s">
        <v>406</v>
      </c>
      <c r="C892" t="s">
        <v>577</v>
      </c>
      <c r="D892" t="s">
        <v>582</v>
      </c>
      <c r="E892" t="s">
        <v>583</v>
      </c>
      <c r="F892" t="s">
        <v>410</v>
      </c>
      <c r="G892">
        <v>40</v>
      </c>
      <c r="H892">
        <v>40</v>
      </c>
      <c r="I892">
        <v>40</v>
      </c>
      <c r="J892">
        <v>40</v>
      </c>
      <c r="K892">
        <v>4</v>
      </c>
      <c r="L892">
        <v>0</v>
      </c>
      <c r="M892">
        <v>36</v>
      </c>
      <c r="N892">
        <v>0</v>
      </c>
      <c r="O892">
        <v>0</v>
      </c>
      <c r="P892">
        <v>0</v>
      </c>
      <c r="Q892">
        <v>0</v>
      </c>
    </row>
    <row r="893" spans="1:17" x14ac:dyDescent="0.2">
      <c r="A893" s="121">
        <v>39568</v>
      </c>
      <c r="B893" t="s">
        <v>406</v>
      </c>
      <c r="C893" t="s">
        <v>577</v>
      </c>
      <c r="D893" t="s">
        <v>584</v>
      </c>
      <c r="E893" t="s">
        <v>585</v>
      </c>
      <c r="F893" t="s">
        <v>410</v>
      </c>
      <c r="G893">
        <v>154</v>
      </c>
      <c r="H893">
        <v>154</v>
      </c>
      <c r="I893">
        <v>154</v>
      </c>
      <c r="J893">
        <v>154</v>
      </c>
      <c r="K893">
        <v>12</v>
      </c>
      <c r="L893">
        <v>0</v>
      </c>
      <c r="M893">
        <v>142</v>
      </c>
      <c r="N893">
        <v>0</v>
      </c>
      <c r="O893">
        <v>0</v>
      </c>
      <c r="P893">
        <v>0</v>
      </c>
      <c r="Q893">
        <v>0</v>
      </c>
    </row>
    <row r="894" spans="1:17" x14ac:dyDescent="0.2">
      <c r="A894" s="121">
        <v>39568</v>
      </c>
      <c r="B894" t="s">
        <v>406</v>
      </c>
      <c r="C894" t="s">
        <v>577</v>
      </c>
      <c r="D894" t="s">
        <v>586</v>
      </c>
      <c r="E894" t="s">
        <v>587</v>
      </c>
      <c r="F894" t="s">
        <v>410</v>
      </c>
      <c r="G894">
        <v>712</v>
      </c>
      <c r="H894">
        <v>712</v>
      </c>
      <c r="I894">
        <v>712</v>
      </c>
      <c r="J894">
        <v>712</v>
      </c>
      <c r="K894">
        <v>24</v>
      </c>
      <c r="L894">
        <v>0</v>
      </c>
      <c r="M894">
        <v>688</v>
      </c>
      <c r="N894">
        <v>0</v>
      </c>
      <c r="O894">
        <v>0</v>
      </c>
      <c r="P894">
        <v>0</v>
      </c>
      <c r="Q894">
        <v>0</v>
      </c>
    </row>
    <row r="895" spans="1:17" x14ac:dyDescent="0.2">
      <c r="A895" s="121">
        <v>39568</v>
      </c>
      <c r="B895" t="s">
        <v>406</v>
      </c>
      <c r="C895" t="s">
        <v>577</v>
      </c>
      <c r="D895" t="s">
        <v>588</v>
      </c>
      <c r="E895" t="s">
        <v>589</v>
      </c>
      <c r="F895" t="s">
        <v>410</v>
      </c>
      <c r="G895">
        <v>197</v>
      </c>
      <c r="H895">
        <v>197</v>
      </c>
      <c r="I895">
        <v>196</v>
      </c>
      <c r="J895">
        <v>196</v>
      </c>
      <c r="K895">
        <v>5</v>
      </c>
      <c r="L895">
        <v>0</v>
      </c>
      <c r="M895">
        <v>192</v>
      </c>
      <c r="N895">
        <v>0</v>
      </c>
      <c r="O895">
        <v>0</v>
      </c>
      <c r="P895">
        <v>0</v>
      </c>
      <c r="Q895">
        <v>0</v>
      </c>
    </row>
    <row r="896" spans="1:17" x14ac:dyDescent="0.2">
      <c r="A896" s="121">
        <v>39568</v>
      </c>
      <c r="B896" t="s">
        <v>406</v>
      </c>
      <c r="C896" t="s">
        <v>577</v>
      </c>
      <c r="D896" t="s">
        <v>590</v>
      </c>
      <c r="E896" t="s">
        <v>591</v>
      </c>
      <c r="F896" t="s">
        <v>410</v>
      </c>
      <c r="G896">
        <v>339</v>
      </c>
      <c r="H896">
        <v>339</v>
      </c>
      <c r="I896">
        <v>339</v>
      </c>
      <c r="J896">
        <v>339</v>
      </c>
      <c r="K896">
        <v>12</v>
      </c>
      <c r="L896">
        <v>0</v>
      </c>
      <c r="M896">
        <v>327</v>
      </c>
      <c r="N896">
        <v>0</v>
      </c>
      <c r="O896">
        <v>0</v>
      </c>
      <c r="P896">
        <v>0</v>
      </c>
      <c r="Q896">
        <v>0</v>
      </c>
    </row>
    <row r="897" spans="1:17" x14ac:dyDescent="0.2">
      <c r="A897" s="121">
        <v>39568</v>
      </c>
      <c r="B897" t="s">
        <v>406</v>
      </c>
      <c r="C897" t="s">
        <v>577</v>
      </c>
      <c r="D897" t="s">
        <v>592</v>
      </c>
      <c r="E897" t="s">
        <v>593</v>
      </c>
      <c r="F897" t="s">
        <v>410</v>
      </c>
      <c r="G897">
        <v>347</v>
      </c>
      <c r="H897">
        <v>347</v>
      </c>
      <c r="I897">
        <v>346</v>
      </c>
      <c r="J897">
        <v>346</v>
      </c>
      <c r="K897">
        <v>13</v>
      </c>
      <c r="L897">
        <v>0</v>
      </c>
      <c r="M897">
        <v>334</v>
      </c>
      <c r="N897">
        <v>0</v>
      </c>
      <c r="O897">
        <v>0</v>
      </c>
      <c r="P897">
        <v>0</v>
      </c>
      <c r="Q897">
        <v>0</v>
      </c>
    </row>
    <row r="898" spans="1:17" x14ac:dyDescent="0.2">
      <c r="A898" s="121">
        <v>39568</v>
      </c>
      <c r="B898" t="s">
        <v>406</v>
      </c>
      <c r="C898" t="s">
        <v>594</v>
      </c>
      <c r="D898" t="s">
        <v>595</v>
      </c>
      <c r="E898" t="s">
        <v>596</v>
      </c>
      <c r="F898" t="s">
        <v>410</v>
      </c>
      <c r="G898">
        <v>26</v>
      </c>
      <c r="I898">
        <v>26</v>
      </c>
    </row>
    <row r="899" spans="1:17" x14ac:dyDescent="0.2">
      <c r="A899" s="121">
        <v>39568</v>
      </c>
      <c r="B899" t="s">
        <v>406</v>
      </c>
      <c r="C899" t="s">
        <v>594</v>
      </c>
      <c r="D899" t="s">
        <v>597</v>
      </c>
      <c r="E899" t="s">
        <v>598</v>
      </c>
      <c r="F899" t="s">
        <v>413</v>
      </c>
      <c r="G899">
        <v>623</v>
      </c>
      <c r="H899">
        <v>623</v>
      </c>
      <c r="I899">
        <v>619</v>
      </c>
      <c r="J899">
        <v>619</v>
      </c>
      <c r="K899">
        <v>170</v>
      </c>
      <c r="L899">
        <v>0</v>
      </c>
      <c r="M899">
        <v>438</v>
      </c>
      <c r="N899">
        <v>1</v>
      </c>
      <c r="O899">
        <v>14</v>
      </c>
      <c r="P899">
        <v>1</v>
      </c>
      <c r="Q899">
        <v>0</v>
      </c>
    </row>
    <row r="900" spans="1:17" x14ac:dyDescent="0.2">
      <c r="A900" s="121">
        <v>39568</v>
      </c>
      <c r="B900" t="s">
        <v>406</v>
      </c>
      <c r="C900" t="s">
        <v>594</v>
      </c>
      <c r="D900" t="s">
        <v>599</v>
      </c>
      <c r="E900" t="s">
        <v>600</v>
      </c>
      <c r="F900" t="s">
        <v>410</v>
      </c>
      <c r="G900">
        <v>93</v>
      </c>
      <c r="I900">
        <v>93</v>
      </c>
    </row>
    <row r="901" spans="1:17" x14ac:dyDescent="0.2">
      <c r="A901" s="121">
        <v>39599</v>
      </c>
      <c r="B901" t="s">
        <v>406</v>
      </c>
      <c r="C901" t="s">
        <v>407</v>
      </c>
      <c r="D901" t="s">
        <v>408</v>
      </c>
      <c r="E901" t="s">
        <v>409</v>
      </c>
      <c r="F901" t="s">
        <v>410</v>
      </c>
      <c r="G901">
        <v>229</v>
      </c>
      <c r="I901">
        <v>229</v>
      </c>
    </row>
    <row r="902" spans="1:17" x14ac:dyDescent="0.2">
      <c r="A902" s="121">
        <v>39599</v>
      </c>
      <c r="B902" t="s">
        <v>406</v>
      </c>
      <c r="C902" t="s">
        <v>407</v>
      </c>
      <c r="D902" t="s">
        <v>601</v>
      </c>
      <c r="E902" t="s">
        <v>602</v>
      </c>
      <c r="F902" t="s">
        <v>410</v>
      </c>
      <c r="G902">
        <v>70</v>
      </c>
      <c r="I902">
        <v>70</v>
      </c>
    </row>
    <row r="903" spans="1:17" x14ac:dyDescent="0.2">
      <c r="A903" s="121">
        <v>39599</v>
      </c>
      <c r="B903" t="s">
        <v>406</v>
      </c>
      <c r="C903" t="s">
        <v>407</v>
      </c>
      <c r="D903" t="s">
        <v>411</v>
      </c>
      <c r="E903" t="s">
        <v>412</v>
      </c>
      <c r="F903" t="s">
        <v>413</v>
      </c>
      <c r="G903">
        <v>5927</v>
      </c>
      <c r="H903">
        <v>5927</v>
      </c>
      <c r="I903">
        <v>5853</v>
      </c>
      <c r="J903">
        <v>5853</v>
      </c>
      <c r="K903">
        <v>1963</v>
      </c>
      <c r="L903">
        <v>5</v>
      </c>
      <c r="M903">
        <v>3535</v>
      </c>
      <c r="N903">
        <v>80</v>
      </c>
      <c r="O903">
        <v>344</v>
      </c>
      <c r="P903">
        <v>1</v>
      </c>
      <c r="Q903">
        <v>0</v>
      </c>
    </row>
    <row r="904" spans="1:17" x14ac:dyDescent="0.2">
      <c r="A904" s="121">
        <v>39599</v>
      </c>
      <c r="B904" t="s">
        <v>406</v>
      </c>
      <c r="C904" t="s">
        <v>407</v>
      </c>
      <c r="D904" t="s">
        <v>414</v>
      </c>
      <c r="E904" t="s">
        <v>415</v>
      </c>
      <c r="F904" t="s">
        <v>410</v>
      </c>
      <c r="G904">
        <v>90</v>
      </c>
      <c r="I904">
        <v>90</v>
      </c>
    </row>
    <row r="905" spans="1:17" x14ac:dyDescent="0.2">
      <c r="A905" s="121">
        <v>39599</v>
      </c>
      <c r="B905" t="s">
        <v>406</v>
      </c>
      <c r="C905" t="s">
        <v>407</v>
      </c>
      <c r="D905" t="s">
        <v>416</v>
      </c>
      <c r="E905" t="s">
        <v>417</v>
      </c>
      <c r="F905" t="s">
        <v>413</v>
      </c>
      <c r="G905">
        <v>3948</v>
      </c>
      <c r="H905">
        <v>3948</v>
      </c>
      <c r="I905">
        <v>3862</v>
      </c>
      <c r="J905">
        <v>3862</v>
      </c>
      <c r="K905">
        <v>1259</v>
      </c>
      <c r="L905">
        <v>5</v>
      </c>
      <c r="M905">
        <v>2534</v>
      </c>
      <c r="N905">
        <v>67</v>
      </c>
      <c r="O905">
        <v>83</v>
      </c>
      <c r="P905">
        <v>0</v>
      </c>
      <c r="Q905">
        <v>0</v>
      </c>
    </row>
    <row r="906" spans="1:17" x14ac:dyDescent="0.2">
      <c r="A906" s="121">
        <v>39599</v>
      </c>
      <c r="B906" t="s">
        <v>406</v>
      </c>
      <c r="C906" t="s">
        <v>418</v>
      </c>
      <c r="D906" t="s">
        <v>419</v>
      </c>
      <c r="E906" t="s">
        <v>420</v>
      </c>
      <c r="F906" t="s">
        <v>410</v>
      </c>
      <c r="G906">
        <v>16</v>
      </c>
      <c r="I906">
        <v>16</v>
      </c>
    </row>
    <row r="907" spans="1:17" x14ac:dyDescent="0.2">
      <c r="A907" s="121">
        <v>39599</v>
      </c>
      <c r="B907" t="s">
        <v>406</v>
      </c>
      <c r="C907" t="s">
        <v>418</v>
      </c>
      <c r="D907" t="s">
        <v>421</v>
      </c>
      <c r="E907" t="s">
        <v>422</v>
      </c>
      <c r="F907" t="s">
        <v>410</v>
      </c>
      <c r="G907">
        <v>132</v>
      </c>
      <c r="I907">
        <v>132</v>
      </c>
    </row>
    <row r="908" spans="1:17" x14ac:dyDescent="0.2">
      <c r="A908" s="121">
        <v>39599</v>
      </c>
      <c r="B908" t="s">
        <v>406</v>
      </c>
      <c r="C908" t="s">
        <v>418</v>
      </c>
      <c r="D908" t="s">
        <v>423</v>
      </c>
      <c r="E908" t="s">
        <v>424</v>
      </c>
      <c r="F908" t="s">
        <v>410</v>
      </c>
      <c r="G908">
        <v>35</v>
      </c>
      <c r="I908">
        <v>35</v>
      </c>
    </row>
    <row r="909" spans="1:17" x14ac:dyDescent="0.2">
      <c r="A909" s="121">
        <v>39599</v>
      </c>
      <c r="B909" t="s">
        <v>406</v>
      </c>
      <c r="C909" t="s">
        <v>418</v>
      </c>
      <c r="D909" t="s">
        <v>425</v>
      </c>
      <c r="E909" t="s">
        <v>426</v>
      </c>
      <c r="F909" t="s">
        <v>410</v>
      </c>
      <c r="G909">
        <v>90</v>
      </c>
      <c r="I909">
        <v>90</v>
      </c>
    </row>
    <row r="910" spans="1:17" x14ac:dyDescent="0.2">
      <c r="A910" s="121">
        <v>39599</v>
      </c>
      <c r="B910" t="s">
        <v>406</v>
      </c>
      <c r="C910" t="s">
        <v>418</v>
      </c>
      <c r="D910" t="s">
        <v>427</v>
      </c>
      <c r="E910" t="s">
        <v>428</v>
      </c>
      <c r="F910" t="s">
        <v>413</v>
      </c>
      <c r="G910">
        <v>2143</v>
      </c>
      <c r="H910">
        <v>2143</v>
      </c>
      <c r="I910">
        <v>2100</v>
      </c>
      <c r="J910">
        <v>2100</v>
      </c>
      <c r="K910">
        <v>696</v>
      </c>
      <c r="L910">
        <v>3</v>
      </c>
      <c r="M910">
        <v>1202</v>
      </c>
      <c r="N910">
        <v>19</v>
      </c>
      <c r="O910">
        <v>223</v>
      </c>
      <c r="P910">
        <v>1</v>
      </c>
      <c r="Q910">
        <v>0</v>
      </c>
    </row>
    <row r="911" spans="1:17" x14ac:dyDescent="0.2">
      <c r="A911" s="121">
        <v>39599</v>
      </c>
      <c r="B911" t="s">
        <v>406</v>
      </c>
      <c r="C911" t="s">
        <v>429</v>
      </c>
      <c r="D911" t="s">
        <v>430</v>
      </c>
      <c r="E911" t="s">
        <v>431</v>
      </c>
      <c r="F911" t="s">
        <v>410</v>
      </c>
      <c r="G911">
        <v>87</v>
      </c>
      <c r="I911">
        <v>87</v>
      </c>
    </row>
    <row r="912" spans="1:17" x14ac:dyDescent="0.2">
      <c r="A912" s="121">
        <v>39599</v>
      </c>
      <c r="B912" t="s">
        <v>406</v>
      </c>
      <c r="C912" t="s">
        <v>429</v>
      </c>
      <c r="D912" t="s">
        <v>432</v>
      </c>
      <c r="E912" t="s">
        <v>433</v>
      </c>
      <c r="F912" t="s">
        <v>410</v>
      </c>
      <c r="G912">
        <v>67</v>
      </c>
      <c r="I912">
        <v>67</v>
      </c>
    </row>
    <row r="913" spans="1:17" x14ac:dyDescent="0.2">
      <c r="A913" s="121">
        <v>39599</v>
      </c>
      <c r="B913" t="s">
        <v>406</v>
      </c>
      <c r="C913" t="s">
        <v>429</v>
      </c>
      <c r="D913" t="s">
        <v>434</v>
      </c>
      <c r="E913" t="s">
        <v>435</v>
      </c>
      <c r="F913" t="s">
        <v>410</v>
      </c>
      <c r="G913">
        <v>16</v>
      </c>
      <c r="I913">
        <v>16</v>
      </c>
    </row>
    <row r="914" spans="1:17" x14ac:dyDescent="0.2">
      <c r="A914" s="121">
        <v>39599</v>
      </c>
      <c r="B914" t="s">
        <v>406</v>
      </c>
      <c r="C914" t="s">
        <v>429</v>
      </c>
      <c r="D914" t="s">
        <v>436</v>
      </c>
      <c r="E914" t="s">
        <v>437</v>
      </c>
      <c r="F914" t="s">
        <v>410</v>
      </c>
      <c r="G914">
        <v>116</v>
      </c>
      <c r="I914">
        <v>116</v>
      </c>
    </row>
    <row r="915" spans="1:17" x14ac:dyDescent="0.2">
      <c r="A915" s="121">
        <v>39599</v>
      </c>
      <c r="B915" t="s">
        <v>406</v>
      </c>
      <c r="C915" t="s">
        <v>429</v>
      </c>
      <c r="D915" t="s">
        <v>438</v>
      </c>
      <c r="E915" t="s">
        <v>439</v>
      </c>
      <c r="F915" t="s">
        <v>413</v>
      </c>
      <c r="G915">
        <v>1149</v>
      </c>
      <c r="H915">
        <v>1149</v>
      </c>
      <c r="I915">
        <v>1133</v>
      </c>
      <c r="J915">
        <v>1133</v>
      </c>
      <c r="K915">
        <v>107</v>
      </c>
      <c r="L915">
        <v>2</v>
      </c>
      <c r="M915">
        <v>1030</v>
      </c>
      <c r="N915">
        <v>9</v>
      </c>
      <c r="O915">
        <v>1</v>
      </c>
      <c r="P915">
        <v>2</v>
      </c>
      <c r="Q915">
        <v>0</v>
      </c>
    </row>
    <row r="916" spans="1:17" x14ac:dyDescent="0.2">
      <c r="A916" s="121">
        <v>39599</v>
      </c>
      <c r="B916" t="s">
        <v>406</v>
      </c>
      <c r="C916" t="s">
        <v>429</v>
      </c>
      <c r="D916" t="s">
        <v>440</v>
      </c>
      <c r="E916" t="s">
        <v>441</v>
      </c>
      <c r="F916" t="s">
        <v>413</v>
      </c>
      <c r="G916">
        <v>3118</v>
      </c>
      <c r="H916">
        <v>3118</v>
      </c>
      <c r="I916">
        <v>3075</v>
      </c>
      <c r="J916">
        <v>3075</v>
      </c>
      <c r="K916">
        <v>969</v>
      </c>
      <c r="L916">
        <v>5</v>
      </c>
      <c r="M916">
        <v>2064</v>
      </c>
      <c r="N916">
        <v>24</v>
      </c>
      <c r="O916">
        <v>56</v>
      </c>
      <c r="P916">
        <v>3</v>
      </c>
      <c r="Q916">
        <v>0</v>
      </c>
    </row>
    <row r="917" spans="1:17" x14ac:dyDescent="0.2">
      <c r="A917" s="121">
        <v>39599</v>
      </c>
      <c r="B917" t="s">
        <v>406</v>
      </c>
      <c r="C917" t="s">
        <v>442</v>
      </c>
      <c r="D917" t="s">
        <v>443</v>
      </c>
      <c r="E917" t="s">
        <v>444</v>
      </c>
      <c r="F917" t="s">
        <v>413</v>
      </c>
      <c r="G917">
        <v>4059</v>
      </c>
      <c r="H917">
        <v>4059</v>
      </c>
      <c r="I917">
        <v>3928</v>
      </c>
      <c r="J917">
        <v>3928</v>
      </c>
      <c r="K917">
        <v>540</v>
      </c>
      <c r="L917">
        <v>1</v>
      </c>
      <c r="M917">
        <v>3372</v>
      </c>
      <c r="N917">
        <v>37</v>
      </c>
      <c r="O917">
        <v>109</v>
      </c>
      <c r="P917">
        <v>6</v>
      </c>
      <c r="Q917">
        <v>1</v>
      </c>
    </row>
    <row r="918" spans="1:17" x14ac:dyDescent="0.2">
      <c r="A918" s="121">
        <v>39599</v>
      </c>
      <c r="B918" t="s">
        <v>406</v>
      </c>
      <c r="C918" t="s">
        <v>442</v>
      </c>
      <c r="D918" t="s">
        <v>445</v>
      </c>
      <c r="E918" t="s">
        <v>446</v>
      </c>
      <c r="F918" t="s">
        <v>410</v>
      </c>
      <c r="G918">
        <v>151</v>
      </c>
      <c r="I918">
        <v>151</v>
      </c>
    </row>
    <row r="919" spans="1:17" x14ac:dyDescent="0.2">
      <c r="A919" s="121">
        <v>39599</v>
      </c>
      <c r="B919" t="s">
        <v>406</v>
      </c>
      <c r="C919" t="s">
        <v>442</v>
      </c>
      <c r="D919" t="s">
        <v>447</v>
      </c>
      <c r="E919" t="s">
        <v>448</v>
      </c>
      <c r="F919" t="s">
        <v>410</v>
      </c>
      <c r="G919">
        <v>295</v>
      </c>
      <c r="I919">
        <v>295</v>
      </c>
    </row>
    <row r="920" spans="1:17" x14ac:dyDescent="0.2">
      <c r="A920" s="121">
        <v>39599</v>
      </c>
      <c r="B920" t="s">
        <v>406</v>
      </c>
      <c r="C920" t="s">
        <v>442</v>
      </c>
      <c r="D920" t="s">
        <v>449</v>
      </c>
      <c r="E920" t="s">
        <v>450</v>
      </c>
      <c r="F920" t="s">
        <v>413</v>
      </c>
      <c r="G920">
        <v>3680</v>
      </c>
      <c r="H920">
        <v>3680</v>
      </c>
      <c r="I920">
        <v>3612</v>
      </c>
      <c r="J920">
        <v>3612</v>
      </c>
      <c r="K920">
        <v>760</v>
      </c>
      <c r="L920">
        <v>6</v>
      </c>
      <c r="M920">
        <v>2850</v>
      </c>
      <c r="N920">
        <v>22</v>
      </c>
      <c r="O920">
        <v>42</v>
      </c>
      <c r="P920">
        <v>1</v>
      </c>
      <c r="Q920">
        <v>0</v>
      </c>
    </row>
    <row r="921" spans="1:17" x14ac:dyDescent="0.2">
      <c r="A921" s="121">
        <v>39599</v>
      </c>
      <c r="B921" t="s">
        <v>406</v>
      </c>
      <c r="C921" t="s">
        <v>451</v>
      </c>
      <c r="D921" t="s">
        <v>452</v>
      </c>
      <c r="E921" t="s">
        <v>453</v>
      </c>
      <c r="F921" t="s">
        <v>410</v>
      </c>
      <c r="G921">
        <v>1979</v>
      </c>
      <c r="H921">
        <v>1979</v>
      </c>
      <c r="I921">
        <v>1975</v>
      </c>
      <c r="J921">
        <v>1975</v>
      </c>
      <c r="K921">
        <v>0</v>
      </c>
      <c r="L921">
        <v>0</v>
      </c>
      <c r="M921">
        <v>1453</v>
      </c>
      <c r="N921">
        <v>211</v>
      </c>
      <c r="O921">
        <v>315</v>
      </c>
      <c r="P921">
        <v>0</v>
      </c>
      <c r="Q921">
        <v>0</v>
      </c>
    </row>
    <row r="922" spans="1:17" x14ac:dyDescent="0.2">
      <c r="A922" s="121">
        <v>39599</v>
      </c>
      <c r="B922" t="s">
        <v>406</v>
      </c>
      <c r="C922" t="s">
        <v>451</v>
      </c>
      <c r="D922" t="s">
        <v>454</v>
      </c>
      <c r="E922" t="s">
        <v>455</v>
      </c>
      <c r="F922" t="s">
        <v>413</v>
      </c>
      <c r="G922">
        <v>4689</v>
      </c>
      <c r="H922">
        <v>4689</v>
      </c>
      <c r="I922">
        <v>4528</v>
      </c>
      <c r="J922">
        <v>4528</v>
      </c>
      <c r="K922">
        <v>1187</v>
      </c>
      <c r="L922">
        <v>8</v>
      </c>
      <c r="M922">
        <v>2709</v>
      </c>
      <c r="N922">
        <v>33</v>
      </c>
      <c r="O922">
        <v>752</v>
      </c>
      <c r="P922">
        <v>2</v>
      </c>
      <c r="Q922">
        <v>0</v>
      </c>
    </row>
    <row r="923" spans="1:17" x14ac:dyDescent="0.2">
      <c r="A923" s="121">
        <v>39599</v>
      </c>
      <c r="B923" t="s">
        <v>406</v>
      </c>
      <c r="C923" t="s">
        <v>456</v>
      </c>
      <c r="D923" t="s">
        <v>457</v>
      </c>
      <c r="E923" t="s">
        <v>458</v>
      </c>
      <c r="F923" t="s">
        <v>413</v>
      </c>
      <c r="G923">
        <v>5447</v>
      </c>
      <c r="H923">
        <v>5447</v>
      </c>
      <c r="I923">
        <v>5251</v>
      </c>
      <c r="J923">
        <v>5251</v>
      </c>
      <c r="K923">
        <v>1314</v>
      </c>
      <c r="L923">
        <v>41</v>
      </c>
      <c r="M923">
        <v>3974</v>
      </c>
      <c r="N923">
        <v>86</v>
      </c>
      <c r="O923">
        <v>32</v>
      </c>
      <c r="P923">
        <v>13</v>
      </c>
      <c r="Q923">
        <v>0</v>
      </c>
    </row>
    <row r="924" spans="1:17" x14ac:dyDescent="0.2">
      <c r="A924" s="121">
        <v>39599</v>
      </c>
      <c r="B924" t="s">
        <v>406</v>
      </c>
      <c r="C924" t="s">
        <v>456</v>
      </c>
      <c r="D924" t="s">
        <v>459</v>
      </c>
      <c r="E924" t="s">
        <v>460</v>
      </c>
      <c r="F924" t="s">
        <v>413</v>
      </c>
      <c r="G924">
        <v>1696</v>
      </c>
      <c r="H924">
        <v>1696</v>
      </c>
      <c r="I924">
        <v>1692</v>
      </c>
      <c r="J924">
        <v>1692</v>
      </c>
      <c r="K924">
        <v>415</v>
      </c>
      <c r="L924">
        <v>0</v>
      </c>
      <c r="M924">
        <v>1281</v>
      </c>
      <c r="N924">
        <v>0</v>
      </c>
      <c r="O924">
        <v>0</v>
      </c>
      <c r="P924">
        <v>0</v>
      </c>
      <c r="Q924">
        <v>0</v>
      </c>
    </row>
    <row r="925" spans="1:17" x14ac:dyDescent="0.2">
      <c r="A925" s="121">
        <v>39599</v>
      </c>
      <c r="B925" t="s">
        <v>406</v>
      </c>
      <c r="C925" t="s">
        <v>456</v>
      </c>
      <c r="D925" t="s">
        <v>461</v>
      </c>
      <c r="E925" t="s">
        <v>462</v>
      </c>
      <c r="F925" t="s">
        <v>410</v>
      </c>
      <c r="G925">
        <v>90</v>
      </c>
      <c r="I925">
        <v>90</v>
      </c>
    </row>
    <row r="926" spans="1:17" x14ac:dyDescent="0.2">
      <c r="A926" s="121">
        <v>39599</v>
      </c>
      <c r="B926" t="s">
        <v>406</v>
      </c>
      <c r="C926" t="s">
        <v>456</v>
      </c>
      <c r="D926" t="s">
        <v>463</v>
      </c>
      <c r="E926" t="s">
        <v>464</v>
      </c>
      <c r="F926" t="s">
        <v>410</v>
      </c>
      <c r="G926">
        <v>43</v>
      </c>
      <c r="I926">
        <v>43</v>
      </c>
    </row>
    <row r="927" spans="1:17" x14ac:dyDescent="0.2">
      <c r="A927" s="121">
        <v>39599</v>
      </c>
      <c r="B927" t="s">
        <v>406</v>
      </c>
      <c r="C927" t="s">
        <v>456</v>
      </c>
      <c r="D927" t="s">
        <v>465</v>
      </c>
      <c r="E927" t="s">
        <v>466</v>
      </c>
      <c r="F927" t="s">
        <v>410</v>
      </c>
      <c r="G927">
        <v>92</v>
      </c>
      <c r="I927">
        <v>92</v>
      </c>
    </row>
    <row r="928" spans="1:17" x14ac:dyDescent="0.2">
      <c r="A928" s="121">
        <v>39599</v>
      </c>
      <c r="B928" t="s">
        <v>406</v>
      </c>
      <c r="C928" t="s">
        <v>456</v>
      </c>
      <c r="D928" t="s">
        <v>467</v>
      </c>
      <c r="E928" t="s">
        <v>468</v>
      </c>
      <c r="F928" t="s">
        <v>410</v>
      </c>
      <c r="G928">
        <v>1311</v>
      </c>
      <c r="I928">
        <v>1309</v>
      </c>
    </row>
    <row r="929" spans="1:17" x14ac:dyDescent="0.2">
      <c r="A929" s="121">
        <v>39599</v>
      </c>
      <c r="B929" t="s">
        <v>406</v>
      </c>
      <c r="C929" t="s">
        <v>456</v>
      </c>
      <c r="D929" t="s">
        <v>469</v>
      </c>
      <c r="E929" t="s">
        <v>470</v>
      </c>
      <c r="F929" t="s">
        <v>410</v>
      </c>
      <c r="G929">
        <v>921</v>
      </c>
      <c r="I929">
        <v>914</v>
      </c>
    </row>
    <row r="930" spans="1:17" x14ac:dyDescent="0.2">
      <c r="A930" s="121">
        <v>39599</v>
      </c>
      <c r="B930" t="s">
        <v>406</v>
      </c>
      <c r="C930" t="s">
        <v>456</v>
      </c>
      <c r="D930" t="s">
        <v>471</v>
      </c>
      <c r="E930" t="s">
        <v>472</v>
      </c>
      <c r="F930" t="s">
        <v>410</v>
      </c>
      <c r="G930">
        <v>230</v>
      </c>
      <c r="I930">
        <v>230</v>
      </c>
    </row>
    <row r="931" spans="1:17" x14ac:dyDescent="0.2">
      <c r="A931" s="121">
        <v>39599</v>
      </c>
      <c r="B931" t="s">
        <v>406</v>
      </c>
      <c r="C931" t="s">
        <v>456</v>
      </c>
      <c r="D931" t="s">
        <v>473</v>
      </c>
      <c r="E931" t="s">
        <v>474</v>
      </c>
      <c r="F931" t="s">
        <v>410</v>
      </c>
      <c r="G931">
        <v>211</v>
      </c>
      <c r="I931">
        <v>211</v>
      </c>
    </row>
    <row r="932" spans="1:17" x14ac:dyDescent="0.2">
      <c r="A932" s="121">
        <v>39599</v>
      </c>
      <c r="B932" t="s">
        <v>406</v>
      </c>
      <c r="C932" t="s">
        <v>456</v>
      </c>
      <c r="D932" t="s">
        <v>475</v>
      </c>
      <c r="E932" t="s">
        <v>476</v>
      </c>
      <c r="F932" t="s">
        <v>410</v>
      </c>
      <c r="G932">
        <v>391</v>
      </c>
      <c r="I932">
        <v>391</v>
      </c>
    </row>
    <row r="933" spans="1:17" x14ac:dyDescent="0.2">
      <c r="A933" s="121">
        <v>39599</v>
      </c>
      <c r="B933" t="s">
        <v>406</v>
      </c>
      <c r="C933" t="s">
        <v>456</v>
      </c>
      <c r="D933" t="s">
        <v>477</v>
      </c>
      <c r="E933" t="s">
        <v>478</v>
      </c>
      <c r="F933" t="s">
        <v>413</v>
      </c>
      <c r="G933">
        <v>2076</v>
      </c>
      <c r="H933">
        <v>2076</v>
      </c>
      <c r="I933">
        <v>2009</v>
      </c>
      <c r="J933">
        <v>2009</v>
      </c>
      <c r="K933">
        <v>548</v>
      </c>
      <c r="L933">
        <v>4</v>
      </c>
      <c r="M933">
        <v>1475</v>
      </c>
      <c r="N933">
        <v>27</v>
      </c>
      <c r="O933">
        <v>22</v>
      </c>
      <c r="P933">
        <v>2</v>
      </c>
      <c r="Q933">
        <v>0</v>
      </c>
    </row>
    <row r="934" spans="1:17" x14ac:dyDescent="0.2">
      <c r="A934" s="121">
        <v>39599</v>
      </c>
      <c r="B934" t="s">
        <v>406</v>
      </c>
      <c r="C934" t="s">
        <v>456</v>
      </c>
      <c r="D934" t="s">
        <v>479</v>
      </c>
      <c r="E934" t="s">
        <v>480</v>
      </c>
      <c r="F934" t="s">
        <v>410</v>
      </c>
      <c r="G934">
        <v>91</v>
      </c>
      <c r="I934">
        <v>91</v>
      </c>
    </row>
    <row r="935" spans="1:17" x14ac:dyDescent="0.2">
      <c r="A935" s="121">
        <v>39599</v>
      </c>
      <c r="B935" t="s">
        <v>406</v>
      </c>
      <c r="C935" t="s">
        <v>456</v>
      </c>
      <c r="D935" t="s">
        <v>481</v>
      </c>
      <c r="E935" t="s">
        <v>482</v>
      </c>
      <c r="F935" t="s">
        <v>410</v>
      </c>
      <c r="G935">
        <v>40</v>
      </c>
      <c r="I935">
        <v>40</v>
      </c>
    </row>
    <row r="936" spans="1:17" x14ac:dyDescent="0.2">
      <c r="A936" s="121">
        <v>39599</v>
      </c>
      <c r="B936" t="s">
        <v>406</v>
      </c>
      <c r="C936" t="s">
        <v>456</v>
      </c>
      <c r="D936" t="s">
        <v>483</v>
      </c>
      <c r="E936" t="s">
        <v>484</v>
      </c>
      <c r="F936" t="s">
        <v>410</v>
      </c>
      <c r="G936">
        <v>115</v>
      </c>
      <c r="I936">
        <v>115</v>
      </c>
    </row>
    <row r="937" spans="1:17" x14ac:dyDescent="0.2">
      <c r="A937" s="121">
        <v>39599</v>
      </c>
      <c r="B937" t="s">
        <v>406</v>
      </c>
      <c r="C937" t="s">
        <v>456</v>
      </c>
      <c r="D937" t="s">
        <v>485</v>
      </c>
      <c r="E937" t="s">
        <v>486</v>
      </c>
      <c r="F937" t="s">
        <v>410</v>
      </c>
      <c r="G937">
        <v>67</v>
      </c>
      <c r="I937">
        <v>67</v>
      </c>
    </row>
    <row r="938" spans="1:17" x14ac:dyDescent="0.2">
      <c r="A938" s="121">
        <v>39599</v>
      </c>
      <c r="B938" t="s">
        <v>406</v>
      </c>
      <c r="C938" t="s">
        <v>456</v>
      </c>
      <c r="D938" t="s">
        <v>487</v>
      </c>
      <c r="E938" t="s">
        <v>488</v>
      </c>
      <c r="F938" t="s">
        <v>410</v>
      </c>
      <c r="G938">
        <v>39</v>
      </c>
      <c r="I938">
        <v>39</v>
      </c>
    </row>
    <row r="939" spans="1:17" x14ac:dyDescent="0.2">
      <c r="A939" s="121">
        <v>39599</v>
      </c>
      <c r="B939" t="s">
        <v>406</v>
      </c>
      <c r="C939" t="s">
        <v>456</v>
      </c>
      <c r="D939" t="s">
        <v>489</v>
      </c>
      <c r="E939" t="s">
        <v>490</v>
      </c>
      <c r="F939" t="s">
        <v>410</v>
      </c>
      <c r="G939">
        <v>150</v>
      </c>
      <c r="H939">
        <v>150</v>
      </c>
      <c r="I939">
        <v>150</v>
      </c>
      <c r="J939">
        <v>150</v>
      </c>
      <c r="K939">
        <v>0</v>
      </c>
      <c r="L939">
        <v>1</v>
      </c>
      <c r="M939">
        <v>114</v>
      </c>
      <c r="N939">
        <v>35</v>
      </c>
      <c r="O939">
        <v>0</v>
      </c>
      <c r="P939">
        <v>0</v>
      </c>
      <c r="Q939">
        <v>0</v>
      </c>
    </row>
    <row r="940" spans="1:17" x14ac:dyDescent="0.2">
      <c r="A940" s="121">
        <v>39599</v>
      </c>
      <c r="B940" t="s">
        <v>406</v>
      </c>
      <c r="C940" t="s">
        <v>491</v>
      </c>
      <c r="D940" t="s">
        <v>492</v>
      </c>
      <c r="E940" t="s">
        <v>493</v>
      </c>
      <c r="F940" t="s">
        <v>410</v>
      </c>
      <c r="G940">
        <v>1300</v>
      </c>
      <c r="H940">
        <v>1300</v>
      </c>
      <c r="I940">
        <v>1297</v>
      </c>
      <c r="J940">
        <v>1297</v>
      </c>
      <c r="K940">
        <v>0</v>
      </c>
      <c r="L940">
        <v>0</v>
      </c>
      <c r="M940">
        <v>1</v>
      </c>
      <c r="N940">
        <v>10</v>
      </c>
      <c r="O940">
        <v>1289</v>
      </c>
      <c r="P940">
        <v>0</v>
      </c>
      <c r="Q940">
        <v>0</v>
      </c>
    </row>
    <row r="941" spans="1:17" x14ac:dyDescent="0.2">
      <c r="A941" s="121">
        <v>39599</v>
      </c>
      <c r="B941" t="s">
        <v>406</v>
      </c>
      <c r="C941" t="s">
        <v>491</v>
      </c>
      <c r="D941" t="s">
        <v>494</v>
      </c>
      <c r="E941" t="s">
        <v>495</v>
      </c>
      <c r="F941" t="s">
        <v>413</v>
      </c>
      <c r="G941">
        <v>2954</v>
      </c>
      <c r="H941">
        <v>2954</v>
      </c>
      <c r="I941">
        <v>2932</v>
      </c>
      <c r="J941">
        <v>2932</v>
      </c>
      <c r="K941">
        <v>0</v>
      </c>
      <c r="L941">
        <v>0</v>
      </c>
      <c r="M941">
        <v>9</v>
      </c>
      <c r="N941">
        <v>17</v>
      </c>
      <c r="O941">
        <v>2928</v>
      </c>
      <c r="P941">
        <v>0</v>
      </c>
      <c r="Q941">
        <v>0</v>
      </c>
    </row>
    <row r="942" spans="1:17" x14ac:dyDescent="0.2">
      <c r="A942" s="121">
        <v>39599</v>
      </c>
      <c r="B942" t="s">
        <v>406</v>
      </c>
      <c r="C942" t="s">
        <v>491</v>
      </c>
      <c r="D942" t="s">
        <v>496</v>
      </c>
      <c r="E942" t="s">
        <v>497</v>
      </c>
      <c r="F942" t="s">
        <v>413</v>
      </c>
      <c r="G942">
        <v>6110</v>
      </c>
      <c r="H942">
        <v>6110</v>
      </c>
      <c r="I942">
        <v>5998</v>
      </c>
      <c r="J942">
        <v>5998</v>
      </c>
      <c r="K942">
        <v>1433</v>
      </c>
      <c r="L942">
        <v>0</v>
      </c>
      <c r="M942">
        <v>18</v>
      </c>
      <c r="N942">
        <v>48</v>
      </c>
      <c r="O942">
        <v>4611</v>
      </c>
      <c r="P942">
        <v>3</v>
      </c>
      <c r="Q942">
        <v>0</v>
      </c>
    </row>
    <row r="943" spans="1:17" x14ac:dyDescent="0.2">
      <c r="A943" s="121">
        <v>39599</v>
      </c>
      <c r="B943" t="s">
        <v>406</v>
      </c>
      <c r="C943" t="s">
        <v>491</v>
      </c>
      <c r="D943" t="s">
        <v>498</v>
      </c>
      <c r="E943" t="s">
        <v>499</v>
      </c>
      <c r="F943" t="s">
        <v>413</v>
      </c>
      <c r="G943">
        <v>6647</v>
      </c>
      <c r="H943">
        <v>6647</v>
      </c>
      <c r="I943">
        <v>6516</v>
      </c>
      <c r="J943">
        <v>6516</v>
      </c>
      <c r="K943">
        <v>1842</v>
      </c>
      <c r="L943">
        <v>13</v>
      </c>
      <c r="M943">
        <v>4366</v>
      </c>
      <c r="N943">
        <v>125</v>
      </c>
      <c r="O943">
        <v>301</v>
      </c>
      <c r="P943">
        <v>1</v>
      </c>
      <c r="Q943">
        <v>0</v>
      </c>
    </row>
    <row r="944" spans="1:17" x14ac:dyDescent="0.2">
      <c r="A944" s="121">
        <v>39599</v>
      </c>
      <c r="B944" t="s">
        <v>406</v>
      </c>
      <c r="C944" t="s">
        <v>491</v>
      </c>
      <c r="D944" t="s">
        <v>500</v>
      </c>
      <c r="E944" t="s">
        <v>501</v>
      </c>
      <c r="F944" t="s">
        <v>413</v>
      </c>
      <c r="G944">
        <v>3859</v>
      </c>
      <c r="H944">
        <v>3859</v>
      </c>
      <c r="I944">
        <v>3791</v>
      </c>
      <c r="J944">
        <v>3791</v>
      </c>
      <c r="K944">
        <v>981</v>
      </c>
      <c r="L944">
        <v>0</v>
      </c>
      <c r="M944">
        <v>2648</v>
      </c>
      <c r="N944">
        <v>59</v>
      </c>
      <c r="O944">
        <v>171</v>
      </c>
      <c r="P944">
        <v>0</v>
      </c>
      <c r="Q944">
        <v>0</v>
      </c>
    </row>
    <row r="945" spans="1:17" x14ac:dyDescent="0.2">
      <c r="A945" s="121">
        <v>39599</v>
      </c>
      <c r="B945" t="s">
        <v>406</v>
      </c>
      <c r="C945" t="s">
        <v>491</v>
      </c>
      <c r="D945" t="s">
        <v>502</v>
      </c>
      <c r="E945" t="s">
        <v>503</v>
      </c>
      <c r="F945" t="s">
        <v>413</v>
      </c>
      <c r="G945">
        <v>6142</v>
      </c>
      <c r="H945">
        <v>6142</v>
      </c>
      <c r="I945">
        <v>6065</v>
      </c>
      <c r="J945">
        <v>6065</v>
      </c>
      <c r="K945">
        <v>1555</v>
      </c>
      <c r="L945">
        <v>8</v>
      </c>
      <c r="M945">
        <v>4387</v>
      </c>
      <c r="N945">
        <v>129</v>
      </c>
      <c r="O945">
        <v>63</v>
      </c>
      <c r="P945">
        <v>2</v>
      </c>
      <c r="Q945">
        <v>0</v>
      </c>
    </row>
    <row r="946" spans="1:17" x14ac:dyDescent="0.2">
      <c r="A946" s="121">
        <v>39599</v>
      </c>
      <c r="B946" t="s">
        <v>406</v>
      </c>
      <c r="C946" t="s">
        <v>491</v>
      </c>
      <c r="D946" t="s">
        <v>504</v>
      </c>
      <c r="E946" t="s">
        <v>505</v>
      </c>
      <c r="F946" t="s">
        <v>413</v>
      </c>
      <c r="G946">
        <v>4329</v>
      </c>
      <c r="H946">
        <v>4329</v>
      </c>
      <c r="I946">
        <v>4240</v>
      </c>
      <c r="J946">
        <v>4240</v>
      </c>
      <c r="K946">
        <v>1199</v>
      </c>
      <c r="L946">
        <v>8</v>
      </c>
      <c r="M946">
        <v>2931</v>
      </c>
      <c r="N946">
        <v>26</v>
      </c>
      <c r="O946">
        <v>165</v>
      </c>
      <c r="P946">
        <v>2</v>
      </c>
      <c r="Q946">
        <v>0</v>
      </c>
    </row>
    <row r="947" spans="1:17" x14ac:dyDescent="0.2">
      <c r="A947" s="121">
        <v>39599</v>
      </c>
      <c r="B947" t="s">
        <v>406</v>
      </c>
      <c r="C947" t="s">
        <v>491</v>
      </c>
      <c r="D947" t="s">
        <v>506</v>
      </c>
      <c r="E947" t="s">
        <v>507</v>
      </c>
      <c r="F947" t="s">
        <v>413</v>
      </c>
      <c r="G947">
        <v>3871</v>
      </c>
      <c r="H947">
        <v>3871</v>
      </c>
      <c r="I947">
        <v>3819</v>
      </c>
      <c r="J947">
        <v>3819</v>
      </c>
      <c r="K947">
        <v>594</v>
      </c>
      <c r="L947">
        <v>1</v>
      </c>
      <c r="M947">
        <v>3273</v>
      </c>
      <c r="N947">
        <v>1</v>
      </c>
      <c r="O947">
        <v>2</v>
      </c>
      <c r="P947">
        <v>1</v>
      </c>
      <c r="Q947">
        <v>1</v>
      </c>
    </row>
    <row r="948" spans="1:17" x14ac:dyDescent="0.2">
      <c r="A948" s="121">
        <v>39599</v>
      </c>
      <c r="B948" t="s">
        <v>406</v>
      </c>
      <c r="C948" t="s">
        <v>491</v>
      </c>
      <c r="D948" t="s">
        <v>508</v>
      </c>
      <c r="E948" t="s">
        <v>509</v>
      </c>
      <c r="F948" t="s">
        <v>413</v>
      </c>
      <c r="G948">
        <v>5473</v>
      </c>
      <c r="H948">
        <v>5473</v>
      </c>
      <c r="I948">
        <v>5286</v>
      </c>
      <c r="J948">
        <v>5286</v>
      </c>
      <c r="K948">
        <v>1726</v>
      </c>
      <c r="L948">
        <v>4</v>
      </c>
      <c r="M948">
        <v>3266</v>
      </c>
      <c r="N948">
        <v>160</v>
      </c>
      <c r="O948">
        <v>317</v>
      </c>
      <c r="P948">
        <v>12</v>
      </c>
      <c r="Q948">
        <v>0</v>
      </c>
    </row>
    <row r="949" spans="1:17" x14ac:dyDescent="0.2">
      <c r="A949" s="121">
        <v>39599</v>
      </c>
      <c r="B949" t="s">
        <v>406</v>
      </c>
      <c r="C949" t="s">
        <v>510</v>
      </c>
      <c r="D949" t="s">
        <v>511</v>
      </c>
      <c r="E949" t="s">
        <v>512</v>
      </c>
      <c r="F949" t="s">
        <v>410</v>
      </c>
      <c r="G949">
        <v>544</v>
      </c>
      <c r="I949">
        <v>536</v>
      </c>
    </row>
    <row r="950" spans="1:17" x14ac:dyDescent="0.2">
      <c r="A950" s="121">
        <v>39599</v>
      </c>
      <c r="B950" t="s">
        <v>406</v>
      </c>
      <c r="C950" t="s">
        <v>510</v>
      </c>
      <c r="D950" t="s">
        <v>513</v>
      </c>
      <c r="E950" t="s">
        <v>514</v>
      </c>
      <c r="F950" t="s">
        <v>410</v>
      </c>
      <c r="G950">
        <v>648</v>
      </c>
      <c r="I950">
        <v>647</v>
      </c>
    </row>
    <row r="951" spans="1:17" x14ac:dyDescent="0.2">
      <c r="A951" s="121">
        <v>39599</v>
      </c>
      <c r="B951" t="s">
        <v>406</v>
      </c>
      <c r="C951" t="s">
        <v>510</v>
      </c>
      <c r="D951" t="s">
        <v>515</v>
      </c>
      <c r="E951" t="s">
        <v>516</v>
      </c>
      <c r="F951" t="s">
        <v>410</v>
      </c>
      <c r="G951">
        <v>90</v>
      </c>
      <c r="I951">
        <v>90</v>
      </c>
    </row>
    <row r="952" spans="1:17" x14ac:dyDescent="0.2">
      <c r="A952" s="121">
        <v>39599</v>
      </c>
      <c r="B952" t="s">
        <v>406</v>
      </c>
      <c r="C952" t="s">
        <v>510</v>
      </c>
      <c r="D952" t="s">
        <v>517</v>
      </c>
      <c r="E952" t="s">
        <v>518</v>
      </c>
      <c r="F952" t="s">
        <v>410</v>
      </c>
      <c r="G952">
        <v>260</v>
      </c>
      <c r="I952">
        <v>259</v>
      </c>
    </row>
    <row r="953" spans="1:17" x14ac:dyDescent="0.2">
      <c r="A953" s="121">
        <v>39599</v>
      </c>
      <c r="B953" t="s">
        <v>406</v>
      </c>
      <c r="C953" t="s">
        <v>510</v>
      </c>
      <c r="D953" t="s">
        <v>519</v>
      </c>
      <c r="E953" t="s">
        <v>520</v>
      </c>
      <c r="F953" t="s">
        <v>410</v>
      </c>
      <c r="G953">
        <v>462</v>
      </c>
      <c r="I953">
        <v>456</v>
      </c>
    </row>
    <row r="954" spans="1:17" x14ac:dyDescent="0.2">
      <c r="A954" s="121">
        <v>39599</v>
      </c>
      <c r="B954" t="s">
        <v>406</v>
      </c>
      <c r="C954" t="s">
        <v>510</v>
      </c>
      <c r="D954" t="s">
        <v>521</v>
      </c>
      <c r="E954" t="s">
        <v>522</v>
      </c>
      <c r="F954" t="s">
        <v>410</v>
      </c>
      <c r="G954">
        <v>55</v>
      </c>
      <c r="I954">
        <v>55</v>
      </c>
    </row>
    <row r="955" spans="1:17" x14ac:dyDescent="0.2">
      <c r="A955" s="121">
        <v>39599</v>
      </c>
      <c r="B955" t="s">
        <v>406</v>
      </c>
      <c r="C955" t="s">
        <v>510</v>
      </c>
      <c r="D955" t="s">
        <v>523</v>
      </c>
      <c r="E955" t="s">
        <v>524</v>
      </c>
      <c r="F955" t="s">
        <v>413</v>
      </c>
      <c r="G955">
        <v>648</v>
      </c>
      <c r="I955">
        <v>646</v>
      </c>
    </row>
    <row r="956" spans="1:17" x14ac:dyDescent="0.2">
      <c r="A956" s="121">
        <v>39599</v>
      </c>
      <c r="B956" t="s">
        <v>406</v>
      </c>
      <c r="C956" t="s">
        <v>510</v>
      </c>
      <c r="D956" t="s">
        <v>527</v>
      </c>
      <c r="E956" t="s">
        <v>528</v>
      </c>
      <c r="F956" t="s">
        <v>410</v>
      </c>
      <c r="G956">
        <v>317</v>
      </c>
      <c r="I956">
        <v>316</v>
      </c>
    </row>
    <row r="957" spans="1:17" x14ac:dyDescent="0.2">
      <c r="A957" s="121">
        <v>39599</v>
      </c>
      <c r="B957" t="s">
        <v>406</v>
      </c>
      <c r="C957" t="s">
        <v>510</v>
      </c>
      <c r="D957" t="s">
        <v>529</v>
      </c>
      <c r="E957" t="s">
        <v>530</v>
      </c>
      <c r="F957" t="s">
        <v>413</v>
      </c>
      <c r="G957">
        <v>641</v>
      </c>
      <c r="I957">
        <v>637</v>
      </c>
    </row>
    <row r="958" spans="1:17" x14ac:dyDescent="0.2">
      <c r="A958" s="121">
        <v>39599</v>
      </c>
      <c r="B958" t="s">
        <v>406</v>
      </c>
      <c r="C958" t="s">
        <v>510</v>
      </c>
      <c r="D958" t="s">
        <v>531</v>
      </c>
      <c r="E958" t="s">
        <v>532</v>
      </c>
      <c r="F958" t="s">
        <v>410</v>
      </c>
      <c r="G958">
        <v>93</v>
      </c>
      <c r="I958">
        <v>92</v>
      </c>
    </row>
    <row r="959" spans="1:17" x14ac:dyDescent="0.2">
      <c r="A959" s="121">
        <v>39599</v>
      </c>
      <c r="B959" t="s">
        <v>406</v>
      </c>
      <c r="C959" t="s">
        <v>510</v>
      </c>
      <c r="D959" t="s">
        <v>533</v>
      </c>
      <c r="E959" t="s">
        <v>534</v>
      </c>
      <c r="F959" t="s">
        <v>413</v>
      </c>
      <c r="G959">
        <v>2837</v>
      </c>
      <c r="H959">
        <v>2837</v>
      </c>
      <c r="I959">
        <v>2776</v>
      </c>
      <c r="J959">
        <v>2776</v>
      </c>
      <c r="K959">
        <v>555</v>
      </c>
      <c r="L959">
        <v>34</v>
      </c>
      <c r="M959">
        <v>2245</v>
      </c>
      <c r="N959">
        <v>3</v>
      </c>
      <c r="O959">
        <v>0</v>
      </c>
      <c r="P959">
        <v>0</v>
      </c>
      <c r="Q959">
        <v>0</v>
      </c>
    </row>
    <row r="960" spans="1:17" x14ac:dyDescent="0.2">
      <c r="A960" s="121">
        <v>39599</v>
      </c>
      <c r="B960" t="s">
        <v>406</v>
      </c>
      <c r="C960" t="s">
        <v>510</v>
      </c>
      <c r="D960" t="s">
        <v>535</v>
      </c>
      <c r="E960" t="s">
        <v>536</v>
      </c>
      <c r="F960" t="s">
        <v>410</v>
      </c>
      <c r="G960">
        <v>242</v>
      </c>
      <c r="I960">
        <v>242</v>
      </c>
    </row>
    <row r="961" spans="1:17" x14ac:dyDescent="0.2">
      <c r="A961" s="121">
        <v>39599</v>
      </c>
      <c r="B961" t="s">
        <v>406</v>
      </c>
      <c r="C961" t="s">
        <v>510</v>
      </c>
      <c r="D961" t="s">
        <v>537</v>
      </c>
      <c r="E961" t="s">
        <v>538</v>
      </c>
      <c r="F961" t="s">
        <v>410</v>
      </c>
      <c r="G961">
        <v>119</v>
      </c>
      <c r="I961">
        <v>118</v>
      </c>
    </row>
    <row r="962" spans="1:17" x14ac:dyDescent="0.2">
      <c r="A962" s="121">
        <v>39599</v>
      </c>
      <c r="B962" t="s">
        <v>406</v>
      </c>
      <c r="C962" t="s">
        <v>510</v>
      </c>
      <c r="D962" t="s">
        <v>539</v>
      </c>
      <c r="E962" t="s">
        <v>540</v>
      </c>
      <c r="F962" t="s">
        <v>413</v>
      </c>
      <c r="G962">
        <v>690</v>
      </c>
      <c r="I962">
        <v>686</v>
      </c>
    </row>
    <row r="963" spans="1:17" x14ac:dyDescent="0.2">
      <c r="A963" s="121">
        <v>39599</v>
      </c>
      <c r="B963" t="s">
        <v>406</v>
      </c>
      <c r="C963" t="s">
        <v>510</v>
      </c>
      <c r="D963" t="s">
        <v>541</v>
      </c>
      <c r="E963" t="s">
        <v>542</v>
      </c>
      <c r="F963" t="s">
        <v>410</v>
      </c>
      <c r="G963">
        <v>275</v>
      </c>
      <c r="I963">
        <v>270</v>
      </c>
    </row>
    <row r="964" spans="1:17" x14ac:dyDescent="0.2">
      <c r="A964" s="121">
        <v>39599</v>
      </c>
      <c r="B964" t="s">
        <v>406</v>
      </c>
      <c r="C964" t="s">
        <v>510</v>
      </c>
      <c r="D964" t="s">
        <v>543</v>
      </c>
      <c r="E964" t="s">
        <v>544</v>
      </c>
      <c r="F964" t="s">
        <v>410</v>
      </c>
      <c r="G964">
        <v>131</v>
      </c>
      <c r="I964">
        <v>128</v>
      </c>
    </row>
    <row r="965" spans="1:17" x14ac:dyDescent="0.2">
      <c r="A965" s="121">
        <v>39599</v>
      </c>
      <c r="B965" t="s">
        <v>406</v>
      </c>
      <c r="C965" t="s">
        <v>510</v>
      </c>
      <c r="D965" t="s">
        <v>545</v>
      </c>
      <c r="E965" t="s">
        <v>546</v>
      </c>
      <c r="F965" t="s">
        <v>410</v>
      </c>
      <c r="G965">
        <v>195</v>
      </c>
      <c r="I965">
        <v>194</v>
      </c>
    </row>
    <row r="966" spans="1:17" x14ac:dyDescent="0.2">
      <c r="A966" s="121">
        <v>39599</v>
      </c>
      <c r="B966" t="s">
        <v>406</v>
      </c>
      <c r="C966" t="s">
        <v>510</v>
      </c>
      <c r="D966" t="s">
        <v>547</v>
      </c>
      <c r="E966" t="s">
        <v>548</v>
      </c>
      <c r="F966" t="s">
        <v>410</v>
      </c>
      <c r="G966">
        <v>109</v>
      </c>
      <c r="I966">
        <v>105</v>
      </c>
    </row>
    <row r="967" spans="1:17" x14ac:dyDescent="0.2">
      <c r="A967" s="121">
        <v>39599</v>
      </c>
      <c r="B967" t="s">
        <v>406</v>
      </c>
      <c r="C967" t="s">
        <v>510</v>
      </c>
      <c r="D967" t="s">
        <v>549</v>
      </c>
      <c r="E967" t="s">
        <v>550</v>
      </c>
      <c r="F967" t="s">
        <v>410</v>
      </c>
      <c r="G967">
        <v>201</v>
      </c>
      <c r="I967">
        <v>201</v>
      </c>
    </row>
    <row r="968" spans="1:17" x14ac:dyDescent="0.2">
      <c r="A968" s="121">
        <v>39599</v>
      </c>
      <c r="B968" t="s">
        <v>406</v>
      </c>
      <c r="C968" t="s">
        <v>551</v>
      </c>
      <c r="D968" t="s">
        <v>552</v>
      </c>
      <c r="E968" t="s">
        <v>553</v>
      </c>
      <c r="F968" t="s">
        <v>413</v>
      </c>
      <c r="G968">
        <v>6050</v>
      </c>
      <c r="H968">
        <v>6050</v>
      </c>
      <c r="I968">
        <v>5971</v>
      </c>
      <c r="J968">
        <v>5971</v>
      </c>
      <c r="K968">
        <v>1643</v>
      </c>
      <c r="L968">
        <v>6</v>
      </c>
      <c r="M968">
        <v>4363</v>
      </c>
      <c r="N968">
        <v>20</v>
      </c>
      <c r="O968">
        <v>18</v>
      </c>
      <c r="P968">
        <v>0</v>
      </c>
      <c r="Q968">
        <v>0</v>
      </c>
    </row>
    <row r="969" spans="1:17" x14ac:dyDescent="0.2">
      <c r="A969" s="121">
        <v>39599</v>
      </c>
      <c r="B969" t="s">
        <v>406</v>
      </c>
      <c r="C969" t="s">
        <v>551</v>
      </c>
      <c r="D969" t="s">
        <v>554</v>
      </c>
      <c r="E969" t="s">
        <v>555</v>
      </c>
      <c r="F969" t="s">
        <v>410</v>
      </c>
      <c r="G969">
        <v>166</v>
      </c>
      <c r="I969">
        <v>166</v>
      </c>
    </row>
    <row r="970" spans="1:17" x14ac:dyDescent="0.2">
      <c r="A970" s="121">
        <v>39599</v>
      </c>
      <c r="B970" t="s">
        <v>406</v>
      </c>
      <c r="C970" t="s">
        <v>551</v>
      </c>
      <c r="D970" t="s">
        <v>556</v>
      </c>
      <c r="E970" t="s">
        <v>557</v>
      </c>
      <c r="F970" t="s">
        <v>410</v>
      </c>
      <c r="G970">
        <v>179</v>
      </c>
      <c r="I970">
        <v>179</v>
      </c>
    </row>
    <row r="971" spans="1:17" x14ac:dyDescent="0.2">
      <c r="A971" s="121">
        <v>39599</v>
      </c>
      <c r="B971" t="s">
        <v>406</v>
      </c>
      <c r="C971" t="s">
        <v>551</v>
      </c>
      <c r="D971" t="s">
        <v>558</v>
      </c>
      <c r="E971" t="s">
        <v>559</v>
      </c>
      <c r="F971" t="s">
        <v>413</v>
      </c>
      <c r="G971">
        <v>5388</v>
      </c>
      <c r="H971">
        <v>5388</v>
      </c>
      <c r="I971">
        <v>5288</v>
      </c>
      <c r="J971">
        <v>5288</v>
      </c>
      <c r="K971">
        <v>1135</v>
      </c>
      <c r="L971">
        <v>5</v>
      </c>
      <c r="M971">
        <v>4200</v>
      </c>
      <c r="N971">
        <v>16</v>
      </c>
      <c r="O971">
        <v>32</v>
      </c>
      <c r="P971">
        <v>16</v>
      </c>
      <c r="Q971">
        <v>3</v>
      </c>
    </row>
    <row r="972" spans="1:17" x14ac:dyDescent="0.2">
      <c r="A972" s="121">
        <v>39599</v>
      </c>
      <c r="B972" t="s">
        <v>406</v>
      </c>
      <c r="C972" t="s">
        <v>551</v>
      </c>
      <c r="D972" t="s">
        <v>560</v>
      </c>
      <c r="E972" t="s">
        <v>561</v>
      </c>
      <c r="F972" t="s">
        <v>413</v>
      </c>
      <c r="G972">
        <v>6198</v>
      </c>
      <c r="H972">
        <v>6198</v>
      </c>
      <c r="I972">
        <v>6024</v>
      </c>
      <c r="J972">
        <v>6024</v>
      </c>
      <c r="K972">
        <v>1222</v>
      </c>
      <c r="L972">
        <v>9</v>
      </c>
      <c r="M972">
        <v>4928</v>
      </c>
      <c r="N972">
        <v>21</v>
      </c>
      <c r="O972">
        <v>18</v>
      </c>
      <c r="P972">
        <v>39</v>
      </c>
      <c r="Q972">
        <v>12</v>
      </c>
    </row>
    <row r="973" spans="1:17" x14ac:dyDescent="0.2">
      <c r="A973" s="121">
        <v>39599</v>
      </c>
      <c r="B973" t="s">
        <v>406</v>
      </c>
      <c r="C973" t="s">
        <v>562</v>
      </c>
      <c r="D973" t="s">
        <v>603</v>
      </c>
      <c r="E973" t="s">
        <v>604</v>
      </c>
      <c r="F973" t="s">
        <v>410</v>
      </c>
      <c r="G973">
        <v>20</v>
      </c>
      <c r="I973">
        <v>20</v>
      </c>
    </row>
    <row r="974" spans="1:17" x14ac:dyDescent="0.2">
      <c r="A974" s="121">
        <v>39599</v>
      </c>
      <c r="B974" t="s">
        <v>406</v>
      </c>
      <c r="C974" t="s">
        <v>562</v>
      </c>
      <c r="D974" t="s">
        <v>605</v>
      </c>
      <c r="E974" t="s">
        <v>606</v>
      </c>
      <c r="F974" t="s">
        <v>410</v>
      </c>
      <c r="G974">
        <v>190</v>
      </c>
      <c r="I974">
        <v>190</v>
      </c>
    </row>
    <row r="975" spans="1:17" x14ac:dyDescent="0.2">
      <c r="A975" s="121">
        <v>39599</v>
      </c>
      <c r="B975" t="s">
        <v>406</v>
      </c>
      <c r="C975" t="s">
        <v>562</v>
      </c>
      <c r="D975" t="s">
        <v>563</v>
      </c>
      <c r="E975" t="s">
        <v>564</v>
      </c>
      <c r="F975" t="s">
        <v>410</v>
      </c>
      <c r="G975">
        <v>3057</v>
      </c>
      <c r="H975">
        <v>3057</v>
      </c>
      <c r="I975">
        <v>3035</v>
      </c>
      <c r="J975">
        <v>3035</v>
      </c>
      <c r="K975">
        <v>977</v>
      </c>
      <c r="L975">
        <v>3</v>
      </c>
      <c r="M975">
        <v>2032</v>
      </c>
      <c r="N975">
        <v>45</v>
      </c>
      <c r="O975">
        <v>0</v>
      </c>
      <c r="P975">
        <v>3</v>
      </c>
      <c r="Q975">
        <v>1</v>
      </c>
    </row>
    <row r="976" spans="1:17" x14ac:dyDescent="0.2">
      <c r="A976" s="121">
        <v>39599</v>
      </c>
      <c r="B976" t="s">
        <v>406</v>
      </c>
      <c r="C976" t="s">
        <v>562</v>
      </c>
      <c r="D976" t="s">
        <v>565</v>
      </c>
      <c r="E976" t="s">
        <v>566</v>
      </c>
      <c r="F976" t="s">
        <v>413</v>
      </c>
      <c r="G976">
        <v>4366</v>
      </c>
      <c r="H976">
        <v>4366</v>
      </c>
      <c r="I976">
        <v>4265</v>
      </c>
      <c r="J976">
        <v>4265</v>
      </c>
      <c r="K976">
        <v>980</v>
      </c>
      <c r="L976">
        <v>3</v>
      </c>
      <c r="M976">
        <v>3269</v>
      </c>
      <c r="N976">
        <v>114</v>
      </c>
      <c r="O976">
        <v>0</v>
      </c>
      <c r="P976">
        <v>7</v>
      </c>
      <c r="Q976">
        <v>1</v>
      </c>
    </row>
    <row r="977" spans="1:17" x14ac:dyDescent="0.2">
      <c r="A977" s="121">
        <v>39599</v>
      </c>
      <c r="B977" t="s">
        <v>406</v>
      </c>
      <c r="C977" t="s">
        <v>562</v>
      </c>
      <c r="D977" t="s">
        <v>567</v>
      </c>
      <c r="E977" t="s">
        <v>568</v>
      </c>
      <c r="F977" t="s">
        <v>413</v>
      </c>
      <c r="G977">
        <v>9165</v>
      </c>
      <c r="H977">
        <v>9165</v>
      </c>
      <c r="I977">
        <v>8781</v>
      </c>
      <c r="J977">
        <v>8781</v>
      </c>
      <c r="K977">
        <v>2689</v>
      </c>
      <c r="L977">
        <v>24</v>
      </c>
      <c r="M977">
        <v>6146</v>
      </c>
      <c r="N977">
        <v>306</v>
      </c>
      <c r="O977">
        <v>0</v>
      </c>
      <c r="P977">
        <v>23</v>
      </c>
      <c r="Q977">
        <v>0</v>
      </c>
    </row>
    <row r="978" spans="1:17" x14ac:dyDescent="0.2">
      <c r="A978" s="121">
        <v>39599</v>
      </c>
      <c r="B978" t="s">
        <v>406</v>
      </c>
      <c r="C978" t="s">
        <v>562</v>
      </c>
      <c r="D978" t="s">
        <v>569</v>
      </c>
      <c r="E978" t="s">
        <v>570</v>
      </c>
      <c r="F978" t="s">
        <v>413</v>
      </c>
      <c r="G978">
        <v>3390</v>
      </c>
      <c r="H978">
        <v>3390</v>
      </c>
      <c r="I978">
        <v>3372</v>
      </c>
      <c r="J978">
        <v>3372</v>
      </c>
      <c r="K978">
        <v>445</v>
      </c>
      <c r="L978">
        <v>1</v>
      </c>
      <c r="M978">
        <v>2944</v>
      </c>
      <c r="N978">
        <v>0</v>
      </c>
      <c r="O978">
        <v>0</v>
      </c>
      <c r="P978">
        <v>0</v>
      </c>
      <c r="Q978">
        <v>0</v>
      </c>
    </row>
    <row r="979" spans="1:17" x14ac:dyDescent="0.2">
      <c r="A979" s="121">
        <v>39599</v>
      </c>
      <c r="B979" t="s">
        <v>406</v>
      </c>
      <c r="C979" t="s">
        <v>571</v>
      </c>
      <c r="D979" t="s">
        <v>572</v>
      </c>
      <c r="E979" t="s">
        <v>573</v>
      </c>
      <c r="F979" t="s">
        <v>410</v>
      </c>
      <c r="G979">
        <v>291</v>
      </c>
      <c r="I979">
        <v>291</v>
      </c>
    </row>
    <row r="980" spans="1:17" x14ac:dyDescent="0.2">
      <c r="A980" s="121">
        <v>39599</v>
      </c>
      <c r="B980" t="s">
        <v>406</v>
      </c>
      <c r="C980" t="s">
        <v>574</v>
      </c>
      <c r="D980" t="s">
        <v>575</v>
      </c>
      <c r="E980" t="s">
        <v>576</v>
      </c>
      <c r="F980" t="s">
        <v>413</v>
      </c>
      <c r="G980">
        <v>813</v>
      </c>
      <c r="H980">
        <v>813</v>
      </c>
      <c r="I980">
        <v>808</v>
      </c>
      <c r="J980">
        <v>808</v>
      </c>
      <c r="K980">
        <v>139</v>
      </c>
      <c r="L980">
        <v>1</v>
      </c>
      <c r="M980">
        <v>625</v>
      </c>
      <c r="N980">
        <v>4</v>
      </c>
      <c r="O980">
        <v>44</v>
      </c>
      <c r="P980">
        <v>0</v>
      </c>
      <c r="Q980">
        <v>0</v>
      </c>
    </row>
    <row r="981" spans="1:17" x14ac:dyDescent="0.2">
      <c r="A981" s="121">
        <v>39599</v>
      </c>
      <c r="B981" t="s">
        <v>406</v>
      </c>
      <c r="C981" t="s">
        <v>577</v>
      </c>
      <c r="D981" t="s">
        <v>578</v>
      </c>
      <c r="E981" t="s">
        <v>579</v>
      </c>
      <c r="F981" t="s">
        <v>413</v>
      </c>
      <c r="G981">
        <v>4402</v>
      </c>
      <c r="H981">
        <v>4402</v>
      </c>
      <c r="I981">
        <v>4363</v>
      </c>
      <c r="J981">
        <v>4363</v>
      </c>
      <c r="K981">
        <v>1008</v>
      </c>
      <c r="L981">
        <v>12</v>
      </c>
      <c r="M981">
        <v>3303</v>
      </c>
      <c r="N981">
        <v>29</v>
      </c>
      <c r="O981">
        <v>50</v>
      </c>
      <c r="P981">
        <v>0</v>
      </c>
      <c r="Q981">
        <v>0</v>
      </c>
    </row>
    <row r="982" spans="1:17" x14ac:dyDescent="0.2">
      <c r="A982" s="121">
        <v>39599</v>
      </c>
      <c r="B982" t="s">
        <v>406</v>
      </c>
      <c r="C982" t="s">
        <v>577</v>
      </c>
      <c r="D982" t="s">
        <v>580</v>
      </c>
      <c r="E982" t="s">
        <v>581</v>
      </c>
      <c r="F982" t="s">
        <v>413</v>
      </c>
      <c r="G982">
        <v>2282</v>
      </c>
      <c r="H982">
        <v>2282</v>
      </c>
      <c r="I982">
        <v>2265</v>
      </c>
      <c r="J982">
        <v>2265</v>
      </c>
      <c r="K982">
        <v>388</v>
      </c>
      <c r="L982">
        <v>4</v>
      </c>
      <c r="M982">
        <v>1640</v>
      </c>
      <c r="N982">
        <v>72</v>
      </c>
      <c r="O982">
        <v>178</v>
      </c>
      <c r="P982">
        <v>1</v>
      </c>
      <c r="Q982">
        <v>0</v>
      </c>
    </row>
    <row r="983" spans="1:17" x14ac:dyDescent="0.2">
      <c r="A983" s="121">
        <v>39599</v>
      </c>
      <c r="B983" t="s">
        <v>406</v>
      </c>
      <c r="C983" t="s">
        <v>577</v>
      </c>
      <c r="D983" t="s">
        <v>582</v>
      </c>
      <c r="E983" t="s">
        <v>583</v>
      </c>
      <c r="F983" t="s">
        <v>410</v>
      </c>
      <c r="G983">
        <v>61</v>
      </c>
      <c r="H983">
        <v>61</v>
      </c>
      <c r="I983">
        <v>61</v>
      </c>
      <c r="J983">
        <v>61</v>
      </c>
      <c r="K983">
        <v>5</v>
      </c>
      <c r="L983">
        <v>0</v>
      </c>
      <c r="M983">
        <v>56</v>
      </c>
      <c r="N983">
        <v>0</v>
      </c>
      <c r="O983">
        <v>0</v>
      </c>
      <c r="P983">
        <v>0</v>
      </c>
      <c r="Q983">
        <v>0</v>
      </c>
    </row>
    <row r="984" spans="1:17" x14ac:dyDescent="0.2">
      <c r="A984" s="121">
        <v>39599</v>
      </c>
      <c r="B984" t="s">
        <v>406</v>
      </c>
      <c r="C984" t="s">
        <v>577</v>
      </c>
      <c r="D984" t="s">
        <v>584</v>
      </c>
      <c r="E984" t="s">
        <v>585</v>
      </c>
      <c r="F984" t="s">
        <v>410</v>
      </c>
      <c r="G984">
        <v>201</v>
      </c>
      <c r="H984">
        <v>201</v>
      </c>
      <c r="I984">
        <v>201</v>
      </c>
      <c r="J984">
        <v>201</v>
      </c>
      <c r="K984">
        <v>17</v>
      </c>
      <c r="L984">
        <v>0</v>
      </c>
      <c r="M984">
        <v>184</v>
      </c>
      <c r="N984">
        <v>0</v>
      </c>
      <c r="O984">
        <v>0</v>
      </c>
      <c r="P984">
        <v>0</v>
      </c>
      <c r="Q984">
        <v>0</v>
      </c>
    </row>
    <row r="985" spans="1:17" x14ac:dyDescent="0.2">
      <c r="A985" s="121">
        <v>39599</v>
      </c>
      <c r="B985" t="s">
        <v>406</v>
      </c>
      <c r="C985" t="s">
        <v>577</v>
      </c>
      <c r="D985" t="s">
        <v>586</v>
      </c>
      <c r="E985" t="s">
        <v>587</v>
      </c>
      <c r="F985" t="s">
        <v>410</v>
      </c>
      <c r="G985">
        <v>886</v>
      </c>
      <c r="H985">
        <v>886</v>
      </c>
      <c r="I985">
        <v>885</v>
      </c>
      <c r="J985">
        <v>885</v>
      </c>
      <c r="K985">
        <v>45</v>
      </c>
      <c r="L985">
        <v>0</v>
      </c>
      <c r="M985">
        <v>841</v>
      </c>
      <c r="N985">
        <v>0</v>
      </c>
      <c r="O985">
        <v>0</v>
      </c>
      <c r="P985">
        <v>1</v>
      </c>
      <c r="Q985">
        <v>0</v>
      </c>
    </row>
    <row r="986" spans="1:17" x14ac:dyDescent="0.2">
      <c r="A986" s="121">
        <v>39599</v>
      </c>
      <c r="B986" t="s">
        <v>406</v>
      </c>
      <c r="C986" t="s">
        <v>577</v>
      </c>
      <c r="D986" t="s">
        <v>588</v>
      </c>
      <c r="E986" t="s">
        <v>589</v>
      </c>
      <c r="F986" t="s">
        <v>410</v>
      </c>
      <c r="G986">
        <v>192</v>
      </c>
      <c r="H986">
        <v>192</v>
      </c>
      <c r="I986">
        <v>192</v>
      </c>
      <c r="J986">
        <v>192</v>
      </c>
      <c r="K986">
        <v>3</v>
      </c>
      <c r="L986">
        <v>0</v>
      </c>
      <c r="M986">
        <v>189</v>
      </c>
      <c r="N986">
        <v>0</v>
      </c>
      <c r="O986">
        <v>0</v>
      </c>
      <c r="P986">
        <v>0</v>
      </c>
      <c r="Q986">
        <v>0</v>
      </c>
    </row>
    <row r="987" spans="1:17" x14ac:dyDescent="0.2">
      <c r="A987" s="121">
        <v>39599</v>
      </c>
      <c r="B987" t="s">
        <v>406</v>
      </c>
      <c r="C987" t="s">
        <v>577</v>
      </c>
      <c r="D987" t="s">
        <v>590</v>
      </c>
      <c r="E987" t="s">
        <v>591</v>
      </c>
      <c r="F987" t="s">
        <v>410</v>
      </c>
      <c r="G987">
        <v>412</v>
      </c>
      <c r="H987">
        <v>412</v>
      </c>
      <c r="I987">
        <v>412</v>
      </c>
      <c r="J987">
        <v>412</v>
      </c>
      <c r="K987">
        <v>11</v>
      </c>
      <c r="L987">
        <v>0</v>
      </c>
      <c r="M987">
        <v>401</v>
      </c>
      <c r="N987">
        <v>0</v>
      </c>
      <c r="O987">
        <v>0</v>
      </c>
      <c r="P987">
        <v>0</v>
      </c>
      <c r="Q987">
        <v>0</v>
      </c>
    </row>
    <row r="988" spans="1:17" x14ac:dyDescent="0.2">
      <c r="A988" s="121">
        <v>39599</v>
      </c>
      <c r="B988" t="s">
        <v>406</v>
      </c>
      <c r="C988" t="s">
        <v>577</v>
      </c>
      <c r="D988" t="s">
        <v>592</v>
      </c>
      <c r="E988" t="s">
        <v>593</v>
      </c>
      <c r="F988" t="s">
        <v>410</v>
      </c>
      <c r="G988">
        <v>482</v>
      </c>
      <c r="H988">
        <v>482</v>
      </c>
      <c r="I988">
        <v>481</v>
      </c>
      <c r="J988">
        <v>481</v>
      </c>
      <c r="K988">
        <v>25</v>
      </c>
      <c r="L988">
        <v>0</v>
      </c>
      <c r="M988">
        <v>453</v>
      </c>
      <c r="N988">
        <v>4</v>
      </c>
      <c r="O988">
        <v>0</v>
      </c>
      <c r="P988">
        <v>0</v>
      </c>
      <c r="Q988">
        <v>0</v>
      </c>
    </row>
    <row r="989" spans="1:17" x14ac:dyDescent="0.2">
      <c r="A989" s="121">
        <v>39599</v>
      </c>
      <c r="B989" t="s">
        <v>406</v>
      </c>
      <c r="C989" t="s">
        <v>594</v>
      </c>
      <c r="D989" t="s">
        <v>595</v>
      </c>
      <c r="E989" t="s">
        <v>596</v>
      </c>
      <c r="F989" t="s">
        <v>410</v>
      </c>
      <c r="G989">
        <v>39</v>
      </c>
      <c r="I989">
        <v>39</v>
      </c>
    </row>
    <row r="990" spans="1:17" x14ac:dyDescent="0.2">
      <c r="A990" s="121">
        <v>39599</v>
      </c>
      <c r="B990" t="s">
        <v>406</v>
      </c>
      <c r="C990" t="s">
        <v>594</v>
      </c>
      <c r="D990" t="s">
        <v>597</v>
      </c>
      <c r="E990" t="s">
        <v>598</v>
      </c>
      <c r="F990" t="s">
        <v>413</v>
      </c>
      <c r="G990">
        <v>747</v>
      </c>
      <c r="H990">
        <v>747</v>
      </c>
      <c r="I990">
        <v>736</v>
      </c>
      <c r="J990">
        <v>736</v>
      </c>
      <c r="K990">
        <v>174</v>
      </c>
      <c r="L990">
        <v>0</v>
      </c>
      <c r="M990">
        <v>560</v>
      </c>
      <c r="N990">
        <v>0</v>
      </c>
      <c r="O990">
        <v>13</v>
      </c>
      <c r="P990">
        <v>0</v>
      </c>
      <c r="Q990">
        <v>0</v>
      </c>
    </row>
    <row r="991" spans="1:17" x14ac:dyDescent="0.2">
      <c r="A991" s="121">
        <v>39599</v>
      </c>
      <c r="B991" t="s">
        <v>406</v>
      </c>
      <c r="C991" t="s">
        <v>594</v>
      </c>
      <c r="D991" t="s">
        <v>599</v>
      </c>
      <c r="E991" t="s">
        <v>600</v>
      </c>
      <c r="F991" t="s">
        <v>410</v>
      </c>
      <c r="G991">
        <v>109</v>
      </c>
      <c r="I991">
        <v>109</v>
      </c>
    </row>
    <row r="992" spans="1:17" x14ac:dyDescent="0.2">
      <c r="A992" s="121">
        <v>39629</v>
      </c>
      <c r="B992" t="s">
        <v>406</v>
      </c>
      <c r="C992" t="s">
        <v>407</v>
      </c>
      <c r="D992" t="s">
        <v>408</v>
      </c>
      <c r="E992" t="s">
        <v>409</v>
      </c>
      <c r="F992" t="s">
        <v>410</v>
      </c>
      <c r="G992">
        <v>238</v>
      </c>
      <c r="I992">
        <v>238</v>
      </c>
    </row>
    <row r="993" spans="1:17" x14ac:dyDescent="0.2">
      <c r="A993" s="121">
        <v>39629</v>
      </c>
      <c r="B993" t="s">
        <v>406</v>
      </c>
      <c r="C993" t="s">
        <v>407</v>
      </c>
      <c r="D993" t="s">
        <v>601</v>
      </c>
      <c r="E993" t="s">
        <v>602</v>
      </c>
      <c r="F993" t="s">
        <v>410</v>
      </c>
      <c r="G993">
        <v>70</v>
      </c>
      <c r="I993">
        <v>70</v>
      </c>
    </row>
    <row r="994" spans="1:17" x14ac:dyDescent="0.2">
      <c r="A994" s="121">
        <v>39629</v>
      </c>
      <c r="B994" t="s">
        <v>406</v>
      </c>
      <c r="C994" t="s">
        <v>407</v>
      </c>
      <c r="D994" t="s">
        <v>411</v>
      </c>
      <c r="E994" t="s">
        <v>412</v>
      </c>
      <c r="F994" t="s">
        <v>413</v>
      </c>
      <c r="G994">
        <v>5655</v>
      </c>
      <c r="H994">
        <v>5655</v>
      </c>
      <c r="I994">
        <v>5605</v>
      </c>
      <c r="J994">
        <v>5605</v>
      </c>
      <c r="K994">
        <v>1939</v>
      </c>
      <c r="L994">
        <v>11</v>
      </c>
      <c r="M994">
        <v>3328</v>
      </c>
      <c r="N994">
        <v>91</v>
      </c>
      <c r="O994">
        <v>286</v>
      </c>
      <c r="P994">
        <v>0</v>
      </c>
      <c r="Q994">
        <v>0</v>
      </c>
    </row>
    <row r="995" spans="1:17" x14ac:dyDescent="0.2">
      <c r="A995" s="121">
        <v>39629</v>
      </c>
      <c r="B995" t="s">
        <v>406</v>
      </c>
      <c r="C995" t="s">
        <v>407</v>
      </c>
      <c r="D995" t="s">
        <v>414</v>
      </c>
      <c r="E995" t="s">
        <v>415</v>
      </c>
      <c r="F995" t="s">
        <v>410</v>
      </c>
      <c r="G995">
        <v>86</v>
      </c>
      <c r="I995">
        <v>86</v>
      </c>
    </row>
    <row r="996" spans="1:17" x14ac:dyDescent="0.2">
      <c r="A996" s="121">
        <v>39629</v>
      </c>
      <c r="B996" t="s">
        <v>406</v>
      </c>
      <c r="C996" t="s">
        <v>407</v>
      </c>
      <c r="D996" t="s">
        <v>416</v>
      </c>
      <c r="E996" t="s">
        <v>417</v>
      </c>
      <c r="F996" t="s">
        <v>413</v>
      </c>
      <c r="G996">
        <v>3636</v>
      </c>
      <c r="H996">
        <v>3636</v>
      </c>
      <c r="I996">
        <v>3577</v>
      </c>
      <c r="J996">
        <v>3577</v>
      </c>
      <c r="K996">
        <v>1256</v>
      </c>
      <c r="L996">
        <v>0</v>
      </c>
      <c r="M996">
        <v>2242</v>
      </c>
      <c r="N996">
        <v>72</v>
      </c>
      <c r="O996">
        <v>66</v>
      </c>
      <c r="P996">
        <v>1</v>
      </c>
      <c r="Q996">
        <v>0</v>
      </c>
    </row>
    <row r="997" spans="1:17" x14ac:dyDescent="0.2">
      <c r="A997" s="121">
        <v>39629</v>
      </c>
      <c r="B997" t="s">
        <v>406</v>
      </c>
      <c r="C997" t="s">
        <v>418</v>
      </c>
      <c r="D997" t="s">
        <v>419</v>
      </c>
      <c r="E997" t="s">
        <v>420</v>
      </c>
      <c r="F997" t="s">
        <v>410</v>
      </c>
      <c r="G997">
        <v>15</v>
      </c>
      <c r="I997">
        <v>15</v>
      </c>
    </row>
    <row r="998" spans="1:17" x14ac:dyDescent="0.2">
      <c r="A998" s="121">
        <v>39629</v>
      </c>
      <c r="B998" t="s">
        <v>406</v>
      </c>
      <c r="C998" t="s">
        <v>418</v>
      </c>
      <c r="D998" t="s">
        <v>421</v>
      </c>
      <c r="E998" t="s">
        <v>422</v>
      </c>
      <c r="F998" t="s">
        <v>410</v>
      </c>
      <c r="G998">
        <v>142</v>
      </c>
      <c r="I998">
        <v>142</v>
      </c>
    </row>
    <row r="999" spans="1:17" x14ac:dyDescent="0.2">
      <c r="A999" s="121">
        <v>39629</v>
      </c>
      <c r="B999" t="s">
        <v>406</v>
      </c>
      <c r="C999" t="s">
        <v>418</v>
      </c>
      <c r="D999" t="s">
        <v>423</v>
      </c>
      <c r="E999" t="s">
        <v>424</v>
      </c>
      <c r="F999" t="s">
        <v>410</v>
      </c>
      <c r="G999">
        <v>30</v>
      </c>
      <c r="I999">
        <v>30</v>
      </c>
    </row>
    <row r="1000" spans="1:17" x14ac:dyDescent="0.2">
      <c r="A1000" s="121">
        <v>39629</v>
      </c>
      <c r="B1000" t="s">
        <v>406</v>
      </c>
      <c r="C1000" t="s">
        <v>418</v>
      </c>
      <c r="D1000" t="s">
        <v>425</v>
      </c>
      <c r="E1000" t="s">
        <v>426</v>
      </c>
      <c r="F1000" t="s">
        <v>410</v>
      </c>
      <c r="G1000">
        <v>128</v>
      </c>
      <c r="I1000">
        <v>128</v>
      </c>
    </row>
    <row r="1001" spans="1:17" x14ac:dyDescent="0.2">
      <c r="A1001" s="121">
        <v>39629</v>
      </c>
      <c r="B1001" t="s">
        <v>406</v>
      </c>
      <c r="C1001" t="s">
        <v>418</v>
      </c>
      <c r="D1001" t="s">
        <v>427</v>
      </c>
      <c r="E1001" t="s">
        <v>428</v>
      </c>
      <c r="F1001" t="s">
        <v>413</v>
      </c>
      <c r="G1001">
        <v>1872</v>
      </c>
      <c r="H1001">
        <v>1872</v>
      </c>
      <c r="I1001">
        <v>1849</v>
      </c>
      <c r="J1001">
        <v>1849</v>
      </c>
      <c r="K1001">
        <v>588</v>
      </c>
      <c r="L1001">
        <v>4</v>
      </c>
      <c r="M1001">
        <v>1060</v>
      </c>
      <c r="N1001">
        <v>17</v>
      </c>
      <c r="O1001">
        <v>203</v>
      </c>
      <c r="P1001">
        <v>0</v>
      </c>
      <c r="Q1001">
        <v>0</v>
      </c>
    </row>
    <row r="1002" spans="1:17" x14ac:dyDescent="0.2">
      <c r="A1002" s="121">
        <v>39629</v>
      </c>
      <c r="B1002" t="s">
        <v>406</v>
      </c>
      <c r="C1002" t="s">
        <v>429</v>
      </c>
      <c r="D1002" t="s">
        <v>430</v>
      </c>
      <c r="E1002" t="s">
        <v>431</v>
      </c>
      <c r="F1002" t="s">
        <v>410</v>
      </c>
      <c r="G1002">
        <v>85</v>
      </c>
      <c r="I1002">
        <v>85</v>
      </c>
    </row>
    <row r="1003" spans="1:17" x14ac:dyDescent="0.2">
      <c r="A1003" s="121">
        <v>39629</v>
      </c>
      <c r="B1003" t="s">
        <v>406</v>
      </c>
      <c r="C1003" t="s">
        <v>429</v>
      </c>
      <c r="D1003" t="s">
        <v>432</v>
      </c>
      <c r="E1003" t="s">
        <v>433</v>
      </c>
      <c r="F1003" t="s">
        <v>410</v>
      </c>
      <c r="G1003">
        <v>49</v>
      </c>
      <c r="I1003">
        <v>49</v>
      </c>
    </row>
    <row r="1004" spans="1:17" x14ac:dyDescent="0.2">
      <c r="A1004" s="121">
        <v>39629</v>
      </c>
      <c r="B1004" t="s">
        <v>406</v>
      </c>
      <c r="C1004" t="s">
        <v>429</v>
      </c>
      <c r="D1004" t="s">
        <v>434</v>
      </c>
      <c r="E1004" t="s">
        <v>435</v>
      </c>
      <c r="F1004" t="s">
        <v>410</v>
      </c>
      <c r="G1004">
        <v>13</v>
      </c>
      <c r="I1004">
        <v>13</v>
      </c>
    </row>
    <row r="1005" spans="1:17" x14ac:dyDescent="0.2">
      <c r="A1005" s="121">
        <v>39629</v>
      </c>
      <c r="B1005" t="s">
        <v>406</v>
      </c>
      <c r="C1005" t="s">
        <v>429</v>
      </c>
      <c r="D1005" t="s">
        <v>436</v>
      </c>
      <c r="E1005" t="s">
        <v>437</v>
      </c>
      <c r="F1005" t="s">
        <v>410</v>
      </c>
      <c r="G1005">
        <v>71</v>
      </c>
      <c r="I1005">
        <v>71</v>
      </c>
    </row>
    <row r="1006" spans="1:17" x14ac:dyDescent="0.2">
      <c r="A1006" s="121">
        <v>39629</v>
      </c>
      <c r="B1006" t="s">
        <v>406</v>
      </c>
      <c r="C1006" t="s">
        <v>429</v>
      </c>
      <c r="D1006" t="s">
        <v>438</v>
      </c>
      <c r="E1006" t="s">
        <v>439</v>
      </c>
      <c r="F1006" t="s">
        <v>413</v>
      </c>
      <c r="G1006">
        <v>1031</v>
      </c>
      <c r="H1006">
        <v>1031</v>
      </c>
      <c r="I1006">
        <v>1006</v>
      </c>
      <c r="J1006">
        <v>1006</v>
      </c>
      <c r="K1006">
        <v>102</v>
      </c>
      <c r="L1006">
        <v>0</v>
      </c>
      <c r="M1006">
        <v>917</v>
      </c>
      <c r="N1006">
        <v>12</v>
      </c>
      <c r="O1006">
        <v>0</v>
      </c>
      <c r="P1006">
        <v>3</v>
      </c>
      <c r="Q1006">
        <v>2</v>
      </c>
    </row>
    <row r="1007" spans="1:17" x14ac:dyDescent="0.2">
      <c r="A1007" s="121">
        <v>39629</v>
      </c>
      <c r="B1007" t="s">
        <v>406</v>
      </c>
      <c r="C1007" t="s">
        <v>429</v>
      </c>
      <c r="D1007" t="s">
        <v>440</v>
      </c>
      <c r="E1007" t="s">
        <v>441</v>
      </c>
      <c r="F1007" t="s">
        <v>413</v>
      </c>
      <c r="G1007">
        <v>3037</v>
      </c>
      <c r="H1007">
        <v>3037</v>
      </c>
      <c r="I1007">
        <v>2988</v>
      </c>
      <c r="J1007">
        <v>2988</v>
      </c>
      <c r="K1007">
        <v>960</v>
      </c>
      <c r="L1007">
        <v>1</v>
      </c>
      <c r="M1007">
        <v>2009</v>
      </c>
      <c r="N1007">
        <v>17</v>
      </c>
      <c r="O1007">
        <v>50</v>
      </c>
      <c r="P1007">
        <v>0</v>
      </c>
      <c r="Q1007">
        <v>0</v>
      </c>
    </row>
    <row r="1008" spans="1:17" x14ac:dyDescent="0.2">
      <c r="A1008" s="121">
        <v>39629</v>
      </c>
      <c r="B1008" t="s">
        <v>406</v>
      </c>
      <c r="C1008" t="s">
        <v>442</v>
      </c>
      <c r="D1008" t="s">
        <v>443</v>
      </c>
      <c r="E1008" t="s">
        <v>444</v>
      </c>
      <c r="F1008" t="s">
        <v>413</v>
      </c>
      <c r="G1008">
        <v>3940</v>
      </c>
      <c r="H1008">
        <v>3940</v>
      </c>
      <c r="I1008">
        <v>3825</v>
      </c>
      <c r="J1008">
        <v>3825</v>
      </c>
      <c r="K1008">
        <v>642</v>
      </c>
      <c r="L1008">
        <v>8</v>
      </c>
      <c r="M1008">
        <v>3146</v>
      </c>
      <c r="N1008">
        <v>49</v>
      </c>
      <c r="O1008">
        <v>95</v>
      </c>
      <c r="P1008">
        <v>6</v>
      </c>
      <c r="Q1008">
        <v>2</v>
      </c>
    </row>
    <row r="1009" spans="1:17" x14ac:dyDescent="0.2">
      <c r="A1009" s="121">
        <v>39629</v>
      </c>
      <c r="B1009" t="s">
        <v>406</v>
      </c>
      <c r="C1009" t="s">
        <v>442</v>
      </c>
      <c r="D1009" t="s">
        <v>445</v>
      </c>
      <c r="E1009" t="s">
        <v>446</v>
      </c>
      <c r="F1009" t="s">
        <v>410</v>
      </c>
      <c r="G1009">
        <v>162</v>
      </c>
      <c r="I1009">
        <v>162</v>
      </c>
    </row>
    <row r="1010" spans="1:17" x14ac:dyDescent="0.2">
      <c r="A1010" s="121">
        <v>39629</v>
      </c>
      <c r="B1010" t="s">
        <v>406</v>
      </c>
      <c r="C1010" t="s">
        <v>442</v>
      </c>
      <c r="D1010" t="s">
        <v>447</v>
      </c>
      <c r="E1010" t="s">
        <v>448</v>
      </c>
      <c r="F1010" t="s">
        <v>410</v>
      </c>
      <c r="G1010">
        <v>267</v>
      </c>
      <c r="I1010">
        <v>267</v>
      </c>
    </row>
    <row r="1011" spans="1:17" x14ac:dyDescent="0.2">
      <c r="A1011" s="121">
        <v>39629</v>
      </c>
      <c r="B1011" t="s">
        <v>406</v>
      </c>
      <c r="C1011" t="s">
        <v>442</v>
      </c>
      <c r="D1011" t="s">
        <v>449</v>
      </c>
      <c r="E1011" t="s">
        <v>450</v>
      </c>
      <c r="F1011" t="s">
        <v>413</v>
      </c>
      <c r="G1011">
        <v>3440</v>
      </c>
      <c r="H1011">
        <v>3440</v>
      </c>
      <c r="I1011">
        <v>3382</v>
      </c>
      <c r="J1011">
        <v>3382</v>
      </c>
      <c r="K1011">
        <v>688</v>
      </c>
      <c r="L1011">
        <v>8</v>
      </c>
      <c r="M1011">
        <v>2683</v>
      </c>
      <c r="N1011">
        <v>23</v>
      </c>
      <c r="O1011">
        <v>38</v>
      </c>
      <c r="P1011">
        <v>3</v>
      </c>
      <c r="Q1011">
        <v>1</v>
      </c>
    </row>
    <row r="1012" spans="1:17" x14ac:dyDescent="0.2">
      <c r="A1012" s="121">
        <v>39629</v>
      </c>
      <c r="B1012" t="s">
        <v>406</v>
      </c>
      <c r="C1012" t="s">
        <v>451</v>
      </c>
      <c r="D1012" t="s">
        <v>452</v>
      </c>
      <c r="E1012" t="s">
        <v>453</v>
      </c>
      <c r="F1012" t="s">
        <v>410</v>
      </c>
      <c r="G1012">
        <v>1867</v>
      </c>
      <c r="H1012">
        <v>1867</v>
      </c>
      <c r="I1012">
        <v>1863</v>
      </c>
      <c r="J1012">
        <v>1863</v>
      </c>
      <c r="K1012">
        <v>0</v>
      </c>
      <c r="L1012">
        <v>0</v>
      </c>
      <c r="M1012">
        <v>1427</v>
      </c>
      <c r="N1012">
        <v>158</v>
      </c>
      <c r="O1012">
        <v>282</v>
      </c>
      <c r="P1012">
        <v>0</v>
      </c>
      <c r="Q1012">
        <v>0</v>
      </c>
    </row>
    <row r="1013" spans="1:17" x14ac:dyDescent="0.2">
      <c r="A1013" s="121">
        <v>39629</v>
      </c>
      <c r="B1013" t="s">
        <v>406</v>
      </c>
      <c r="C1013" t="s">
        <v>451</v>
      </c>
      <c r="D1013" t="s">
        <v>454</v>
      </c>
      <c r="E1013" t="s">
        <v>455</v>
      </c>
      <c r="F1013" t="s">
        <v>413</v>
      </c>
      <c r="G1013">
        <v>4310</v>
      </c>
      <c r="H1013">
        <v>4310</v>
      </c>
      <c r="I1013">
        <v>4165</v>
      </c>
      <c r="J1013">
        <v>4165</v>
      </c>
      <c r="K1013">
        <v>1154</v>
      </c>
      <c r="L1013">
        <v>11</v>
      </c>
      <c r="M1013">
        <v>2455</v>
      </c>
      <c r="N1013">
        <v>37</v>
      </c>
      <c r="O1013">
        <v>653</v>
      </c>
      <c r="P1013">
        <v>3</v>
      </c>
      <c r="Q1013">
        <v>0</v>
      </c>
    </row>
    <row r="1014" spans="1:17" x14ac:dyDescent="0.2">
      <c r="A1014" s="121">
        <v>39629</v>
      </c>
      <c r="B1014" t="s">
        <v>406</v>
      </c>
      <c r="C1014" t="s">
        <v>456</v>
      </c>
      <c r="D1014" t="s">
        <v>457</v>
      </c>
      <c r="E1014" t="s">
        <v>458</v>
      </c>
      <c r="F1014" t="s">
        <v>413</v>
      </c>
      <c r="G1014">
        <v>5121</v>
      </c>
      <c r="H1014">
        <v>5121</v>
      </c>
      <c r="I1014">
        <v>5014</v>
      </c>
      <c r="J1014">
        <v>5014</v>
      </c>
      <c r="K1014">
        <v>1173</v>
      </c>
      <c r="L1014">
        <v>24</v>
      </c>
      <c r="M1014">
        <v>3799</v>
      </c>
      <c r="N1014">
        <v>97</v>
      </c>
      <c r="O1014">
        <v>28</v>
      </c>
      <c r="P1014">
        <v>6</v>
      </c>
      <c r="Q1014">
        <v>0</v>
      </c>
    </row>
    <row r="1015" spans="1:17" x14ac:dyDescent="0.2">
      <c r="A1015" s="121">
        <v>39629</v>
      </c>
      <c r="B1015" t="s">
        <v>406</v>
      </c>
      <c r="C1015" t="s">
        <v>456</v>
      </c>
      <c r="D1015" t="s">
        <v>459</v>
      </c>
      <c r="E1015" t="s">
        <v>460</v>
      </c>
      <c r="F1015" t="s">
        <v>413</v>
      </c>
      <c r="G1015">
        <v>1513</v>
      </c>
      <c r="H1015">
        <v>1513</v>
      </c>
      <c r="I1015">
        <v>1511</v>
      </c>
      <c r="J1015">
        <v>1511</v>
      </c>
      <c r="K1015">
        <v>379</v>
      </c>
      <c r="L1015">
        <v>0</v>
      </c>
      <c r="M1015">
        <v>1133</v>
      </c>
      <c r="N1015">
        <v>1</v>
      </c>
      <c r="O1015">
        <v>0</v>
      </c>
      <c r="P1015">
        <v>0</v>
      </c>
      <c r="Q1015">
        <v>0</v>
      </c>
    </row>
    <row r="1016" spans="1:17" x14ac:dyDescent="0.2">
      <c r="A1016" s="121">
        <v>39629</v>
      </c>
      <c r="B1016" t="s">
        <v>406</v>
      </c>
      <c r="C1016" t="s">
        <v>456</v>
      </c>
      <c r="D1016" t="s">
        <v>461</v>
      </c>
      <c r="E1016" t="s">
        <v>462</v>
      </c>
      <c r="F1016" t="s">
        <v>410</v>
      </c>
      <c r="G1016">
        <v>95</v>
      </c>
      <c r="I1016">
        <v>95</v>
      </c>
    </row>
    <row r="1017" spans="1:17" x14ac:dyDescent="0.2">
      <c r="A1017" s="121">
        <v>39629</v>
      </c>
      <c r="B1017" t="s">
        <v>406</v>
      </c>
      <c r="C1017" t="s">
        <v>456</v>
      </c>
      <c r="D1017" t="s">
        <v>463</v>
      </c>
      <c r="E1017" t="s">
        <v>464</v>
      </c>
      <c r="F1017" t="s">
        <v>410</v>
      </c>
      <c r="G1017">
        <v>52</v>
      </c>
      <c r="I1017">
        <v>52</v>
      </c>
    </row>
    <row r="1018" spans="1:17" x14ac:dyDescent="0.2">
      <c r="A1018" s="121">
        <v>39629</v>
      </c>
      <c r="B1018" t="s">
        <v>406</v>
      </c>
      <c r="C1018" t="s">
        <v>456</v>
      </c>
      <c r="D1018" t="s">
        <v>465</v>
      </c>
      <c r="E1018" t="s">
        <v>466</v>
      </c>
      <c r="F1018" t="s">
        <v>410</v>
      </c>
      <c r="G1018">
        <v>69</v>
      </c>
      <c r="I1018">
        <v>69</v>
      </c>
    </row>
    <row r="1019" spans="1:17" x14ac:dyDescent="0.2">
      <c r="A1019" s="121">
        <v>39629</v>
      </c>
      <c r="B1019" t="s">
        <v>406</v>
      </c>
      <c r="C1019" t="s">
        <v>456</v>
      </c>
      <c r="D1019" t="s">
        <v>467</v>
      </c>
      <c r="E1019" t="s">
        <v>468</v>
      </c>
      <c r="F1019" t="s">
        <v>410</v>
      </c>
      <c r="G1019">
        <v>1242</v>
      </c>
      <c r="I1019">
        <v>1239</v>
      </c>
    </row>
    <row r="1020" spans="1:17" x14ac:dyDescent="0.2">
      <c r="A1020" s="121">
        <v>39629</v>
      </c>
      <c r="B1020" t="s">
        <v>406</v>
      </c>
      <c r="C1020" t="s">
        <v>456</v>
      </c>
      <c r="D1020" t="s">
        <v>469</v>
      </c>
      <c r="E1020" t="s">
        <v>470</v>
      </c>
      <c r="F1020" t="s">
        <v>410</v>
      </c>
      <c r="G1020">
        <v>921</v>
      </c>
      <c r="I1020">
        <v>915</v>
      </c>
    </row>
    <row r="1021" spans="1:17" x14ac:dyDescent="0.2">
      <c r="A1021" s="121">
        <v>39629</v>
      </c>
      <c r="B1021" t="s">
        <v>406</v>
      </c>
      <c r="C1021" t="s">
        <v>456</v>
      </c>
      <c r="D1021" t="s">
        <v>471</v>
      </c>
      <c r="E1021" t="s">
        <v>472</v>
      </c>
      <c r="F1021" t="s">
        <v>410</v>
      </c>
      <c r="G1021">
        <v>250</v>
      </c>
      <c r="I1021">
        <v>248</v>
      </c>
    </row>
    <row r="1022" spans="1:17" x14ac:dyDescent="0.2">
      <c r="A1022" s="121">
        <v>39629</v>
      </c>
      <c r="B1022" t="s">
        <v>406</v>
      </c>
      <c r="C1022" t="s">
        <v>456</v>
      </c>
      <c r="D1022" t="s">
        <v>473</v>
      </c>
      <c r="E1022" t="s">
        <v>474</v>
      </c>
      <c r="F1022" t="s">
        <v>410</v>
      </c>
      <c r="G1022">
        <v>209</v>
      </c>
      <c r="I1022">
        <v>209</v>
      </c>
    </row>
    <row r="1023" spans="1:17" x14ac:dyDescent="0.2">
      <c r="A1023" s="121">
        <v>39629</v>
      </c>
      <c r="B1023" t="s">
        <v>406</v>
      </c>
      <c r="C1023" t="s">
        <v>456</v>
      </c>
      <c r="D1023" t="s">
        <v>475</v>
      </c>
      <c r="E1023" t="s">
        <v>476</v>
      </c>
      <c r="F1023" t="s">
        <v>410</v>
      </c>
      <c r="G1023">
        <v>369</v>
      </c>
      <c r="I1023">
        <v>369</v>
      </c>
    </row>
    <row r="1024" spans="1:17" x14ac:dyDescent="0.2">
      <c r="A1024" s="121">
        <v>39629</v>
      </c>
      <c r="B1024" t="s">
        <v>406</v>
      </c>
      <c r="C1024" t="s">
        <v>456</v>
      </c>
      <c r="D1024" t="s">
        <v>477</v>
      </c>
      <c r="E1024" t="s">
        <v>478</v>
      </c>
      <c r="F1024" t="s">
        <v>413</v>
      </c>
      <c r="G1024">
        <v>1984</v>
      </c>
      <c r="H1024">
        <v>1984</v>
      </c>
      <c r="I1024">
        <v>1915</v>
      </c>
      <c r="J1024">
        <v>1915</v>
      </c>
      <c r="K1024">
        <v>547</v>
      </c>
      <c r="L1024">
        <v>4</v>
      </c>
      <c r="M1024">
        <v>1371</v>
      </c>
      <c r="N1024">
        <v>24</v>
      </c>
      <c r="O1024">
        <v>38</v>
      </c>
      <c r="P1024">
        <v>2</v>
      </c>
      <c r="Q1024">
        <v>0</v>
      </c>
    </row>
    <row r="1025" spans="1:17" x14ac:dyDescent="0.2">
      <c r="A1025" s="121">
        <v>39629</v>
      </c>
      <c r="B1025" t="s">
        <v>406</v>
      </c>
      <c r="C1025" t="s">
        <v>456</v>
      </c>
      <c r="D1025" t="s">
        <v>479</v>
      </c>
      <c r="E1025" t="s">
        <v>480</v>
      </c>
      <c r="F1025" t="s">
        <v>410</v>
      </c>
      <c r="G1025">
        <v>95</v>
      </c>
      <c r="I1025">
        <v>95</v>
      </c>
    </row>
    <row r="1026" spans="1:17" x14ac:dyDescent="0.2">
      <c r="A1026" s="121">
        <v>39629</v>
      </c>
      <c r="B1026" t="s">
        <v>406</v>
      </c>
      <c r="C1026" t="s">
        <v>456</v>
      </c>
      <c r="D1026" t="s">
        <v>481</v>
      </c>
      <c r="E1026" t="s">
        <v>482</v>
      </c>
      <c r="F1026" t="s">
        <v>410</v>
      </c>
      <c r="G1026">
        <v>35</v>
      </c>
      <c r="I1026">
        <v>35</v>
      </c>
    </row>
    <row r="1027" spans="1:17" x14ac:dyDescent="0.2">
      <c r="A1027" s="121">
        <v>39629</v>
      </c>
      <c r="B1027" t="s">
        <v>406</v>
      </c>
      <c r="C1027" t="s">
        <v>456</v>
      </c>
      <c r="D1027" t="s">
        <v>483</v>
      </c>
      <c r="E1027" t="s">
        <v>484</v>
      </c>
      <c r="F1027" t="s">
        <v>410</v>
      </c>
      <c r="G1027">
        <v>120</v>
      </c>
      <c r="I1027">
        <v>120</v>
      </c>
    </row>
    <row r="1028" spans="1:17" x14ac:dyDescent="0.2">
      <c r="A1028" s="121">
        <v>39629</v>
      </c>
      <c r="B1028" t="s">
        <v>406</v>
      </c>
      <c r="C1028" t="s">
        <v>456</v>
      </c>
      <c r="D1028" t="s">
        <v>485</v>
      </c>
      <c r="E1028" t="s">
        <v>486</v>
      </c>
      <c r="F1028" t="s">
        <v>410</v>
      </c>
      <c r="G1028">
        <v>87</v>
      </c>
      <c r="I1028">
        <v>87</v>
      </c>
    </row>
    <row r="1029" spans="1:17" x14ac:dyDescent="0.2">
      <c r="A1029" s="121">
        <v>39629</v>
      </c>
      <c r="B1029" t="s">
        <v>406</v>
      </c>
      <c r="C1029" t="s">
        <v>456</v>
      </c>
      <c r="D1029" t="s">
        <v>487</v>
      </c>
      <c r="E1029" t="s">
        <v>488</v>
      </c>
      <c r="F1029" t="s">
        <v>410</v>
      </c>
      <c r="G1029">
        <v>27</v>
      </c>
      <c r="I1029">
        <v>27</v>
      </c>
    </row>
    <row r="1030" spans="1:17" x14ac:dyDescent="0.2">
      <c r="A1030" s="121">
        <v>39629</v>
      </c>
      <c r="B1030" t="s">
        <v>406</v>
      </c>
      <c r="C1030" t="s">
        <v>456</v>
      </c>
      <c r="D1030" t="s">
        <v>489</v>
      </c>
      <c r="E1030" t="s">
        <v>490</v>
      </c>
      <c r="F1030" t="s">
        <v>410</v>
      </c>
      <c r="G1030">
        <v>136</v>
      </c>
      <c r="H1030">
        <v>136</v>
      </c>
      <c r="I1030">
        <v>136</v>
      </c>
      <c r="J1030">
        <v>136</v>
      </c>
      <c r="K1030">
        <v>0</v>
      </c>
      <c r="L1030">
        <v>0</v>
      </c>
      <c r="M1030">
        <v>109</v>
      </c>
      <c r="N1030">
        <v>27</v>
      </c>
      <c r="O1030">
        <v>0</v>
      </c>
      <c r="P1030">
        <v>0</v>
      </c>
      <c r="Q1030">
        <v>0</v>
      </c>
    </row>
    <row r="1031" spans="1:17" x14ac:dyDescent="0.2">
      <c r="A1031" s="121">
        <v>39629</v>
      </c>
      <c r="B1031" t="s">
        <v>406</v>
      </c>
      <c r="C1031" t="s">
        <v>491</v>
      </c>
      <c r="D1031" t="s">
        <v>492</v>
      </c>
      <c r="E1031" t="s">
        <v>493</v>
      </c>
      <c r="F1031" t="s">
        <v>410</v>
      </c>
      <c r="G1031">
        <v>1238</v>
      </c>
      <c r="H1031">
        <v>1238</v>
      </c>
      <c r="I1031">
        <v>1230</v>
      </c>
      <c r="J1031">
        <v>1230</v>
      </c>
      <c r="K1031">
        <v>0</v>
      </c>
      <c r="L1031">
        <v>0</v>
      </c>
      <c r="M1031">
        <v>0</v>
      </c>
      <c r="N1031">
        <v>3</v>
      </c>
      <c r="O1031">
        <v>1235</v>
      </c>
      <c r="P1031">
        <v>0</v>
      </c>
      <c r="Q1031">
        <v>0</v>
      </c>
    </row>
    <row r="1032" spans="1:17" x14ac:dyDescent="0.2">
      <c r="A1032" s="121">
        <v>39629</v>
      </c>
      <c r="B1032" t="s">
        <v>406</v>
      </c>
      <c r="C1032" t="s">
        <v>491</v>
      </c>
      <c r="D1032" t="s">
        <v>494</v>
      </c>
      <c r="E1032" t="s">
        <v>495</v>
      </c>
      <c r="F1032" t="s">
        <v>413</v>
      </c>
      <c r="G1032">
        <v>2637</v>
      </c>
      <c r="H1032">
        <v>2637</v>
      </c>
      <c r="I1032">
        <v>2620</v>
      </c>
      <c r="J1032">
        <v>2620</v>
      </c>
      <c r="K1032">
        <v>0</v>
      </c>
      <c r="L1032">
        <v>0</v>
      </c>
      <c r="M1032">
        <v>6</v>
      </c>
      <c r="N1032">
        <v>14</v>
      </c>
      <c r="O1032">
        <v>2617</v>
      </c>
      <c r="P1032">
        <v>1</v>
      </c>
      <c r="Q1032">
        <v>0</v>
      </c>
    </row>
    <row r="1033" spans="1:17" x14ac:dyDescent="0.2">
      <c r="A1033" s="121">
        <v>39629</v>
      </c>
      <c r="B1033" t="s">
        <v>406</v>
      </c>
      <c r="C1033" t="s">
        <v>491</v>
      </c>
      <c r="D1033" t="s">
        <v>496</v>
      </c>
      <c r="E1033" t="s">
        <v>497</v>
      </c>
      <c r="F1033" t="s">
        <v>413</v>
      </c>
      <c r="G1033">
        <v>5950</v>
      </c>
      <c r="H1033">
        <v>5950</v>
      </c>
      <c r="I1033">
        <v>5848</v>
      </c>
      <c r="J1033">
        <v>5848</v>
      </c>
      <c r="K1033">
        <v>1541</v>
      </c>
      <c r="L1033">
        <v>0</v>
      </c>
      <c r="M1033">
        <v>19</v>
      </c>
      <c r="N1033">
        <v>48</v>
      </c>
      <c r="O1033">
        <v>4342</v>
      </c>
      <c r="P1033">
        <v>3</v>
      </c>
      <c r="Q1033">
        <v>0</v>
      </c>
    </row>
    <row r="1034" spans="1:17" x14ac:dyDescent="0.2">
      <c r="A1034" s="121">
        <v>39629</v>
      </c>
      <c r="B1034" t="s">
        <v>406</v>
      </c>
      <c r="C1034" t="s">
        <v>491</v>
      </c>
      <c r="D1034" t="s">
        <v>498</v>
      </c>
      <c r="E1034" t="s">
        <v>499</v>
      </c>
      <c r="F1034" t="s">
        <v>413</v>
      </c>
      <c r="G1034">
        <v>6265</v>
      </c>
      <c r="H1034">
        <v>6265</v>
      </c>
      <c r="I1034">
        <v>6094</v>
      </c>
      <c r="J1034">
        <v>6094</v>
      </c>
      <c r="K1034">
        <v>1876</v>
      </c>
      <c r="L1034">
        <v>12</v>
      </c>
      <c r="M1034">
        <v>3933</v>
      </c>
      <c r="N1034">
        <v>127</v>
      </c>
      <c r="O1034">
        <v>317</v>
      </c>
      <c r="P1034">
        <v>2</v>
      </c>
      <c r="Q1034">
        <v>0</v>
      </c>
    </row>
    <row r="1035" spans="1:17" x14ac:dyDescent="0.2">
      <c r="A1035" s="121">
        <v>39629</v>
      </c>
      <c r="B1035" t="s">
        <v>406</v>
      </c>
      <c r="C1035" t="s">
        <v>491</v>
      </c>
      <c r="D1035" t="s">
        <v>500</v>
      </c>
      <c r="E1035" t="s">
        <v>501</v>
      </c>
      <c r="F1035" t="s">
        <v>413</v>
      </c>
      <c r="G1035">
        <v>3618</v>
      </c>
      <c r="H1035">
        <v>3618</v>
      </c>
      <c r="I1035">
        <v>3563</v>
      </c>
      <c r="J1035">
        <v>3563</v>
      </c>
      <c r="K1035">
        <v>975</v>
      </c>
      <c r="L1035">
        <v>0</v>
      </c>
      <c r="M1035">
        <v>2469</v>
      </c>
      <c r="N1035">
        <v>30</v>
      </c>
      <c r="O1035">
        <v>144</v>
      </c>
      <c r="P1035">
        <v>1</v>
      </c>
      <c r="Q1035">
        <v>0</v>
      </c>
    </row>
    <row r="1036" spans="1:17" x14ac:dyDescent="0.2">
      <c r="A1036" s="121">
        <v>39629</v>
      </c>
      <c r="B1036" t="s">
        <v>406</v>
      </c>
      <c r="C1036" t="s">
        <v>491</v>
      </c>
      <c r="D1036" t="s">
        <v>502</v>
      </c>
      <c r="E1036" t="s">
        <v>503</v>
      </c>
      <c r="F1036" t="s">
        <v>413</v>
      </c>
      <c r="G1036">
        <v>5663</v>
      </c>
      <c r="H1036">
        <v>5663</v>
      </c>
      <c r="I1036">
        <v>5579</v>
      </c>
      <c r="J1036">
        <v>5579</v>
      </c>
      <c r="K1036">
        <v>1371</v>
      </c>
      <c r="L1036">
        <v>13</v>
      </c>
      <c r="M1036">
        <v>4102</v>
      </c>
      <c r="N1036">
        <v>111</v>
      </c>
      <c r="O1036">
        <v>66</v>
      </c>
      <c r="P1036">
        <v>2</v>
      </c>
      <c r="Q1036">
        <v>0</v>
      </c>
    </row>
    <row r="1037" spans="1:17" x14ac:dyDescent="0.2">
      <c r="A1037" s="121">
        <v>39629</v>
      </c>
      <c r="B1037" t="s">
        <v>406</v>
      </c>
      <c r="C1037" t="s">
        <v>491</v>
      </c>
      <c r="D1037" t="s">
        <v>504</v>
      </c>
      <c r="E1037" t="s">
        <v>505</v>
      </c>
      <c r="F1037" t="s">
        <v>413</v>
      </c>
      <c r="G1037">
        <v>4203</v>
      </c>
      <c r="H1037">
        <v>4203</v>
      </c>
      <c r="I1037">
        <v>4104</v>
      </c>
      <c r="J1037">
        <v>4104</v>
      </c>
      <c r="K1037">
        <v>1255</v>
      </c>
      <c r="L1037">
        <v>4</v>
      </c>
      <c r="M1037">
        <v>2703</v>
      </c>
      <c r="N1037">
        <v>37</v>
      </c>
      <c r="O1037">
        <v>204</v>
      </c>
      <c r="P1037">
        <v>2</v>
      </c>
      <c r="Q1037">
        <v>0</v>
      </c>
    </row>
    <row r="1038" spans="1:17" x14ac:dyDescent="0.2">
      <c r="A1038" s="121">
        <v>39629</v>
      </c>
      <c r="B1038" t="s">
        <v>406</v>
      </c>
      <c r="C1038" t="s">
        <v>491</v>
      </c>
      <c r="D1038" t="s">
        <v>506</v>
      </c>
      <c r="E1038" t="s">
        <v>507</v>
      </c>
      <c r="F1038" t="s">
        <v>413</v>
      </c>
      <c r="G1038">
        <v>3535</v>
      </c>
      <c r="H1038">
        <v>3535</v>
      </c>
      <c r="I1038">
        <v>3475</v>
      </c>
      <c r="J1038">
        <v>3475</v>
      </c>
      <c r="K1038">
        <v>560</v>
      </c>
      <c r="L1038">
        <v>1</v>
      </c>
      <c r="M1038">
        <v>2964</v>
      </c>
      <c r="N1038">
        <v>2</v>
      </c>
      <c r="O1038">
        <v>8</v>
      </c>
      <c r="P1038">
        <v>1</v>
      </c>
      <c r="Q1038">
        <v>0</v>
      </c>
    </row>
    <row r="1039" spans="1:17" x14ac:dyDescent="0.2">
      <c r="A1039" s="121">
        <v>39629</v>
      </c>
      <c r="B1039" t="s">
        <v>406</v>
      </c>
      <c r="C1039" t="s">
        <v>491</v>
      </c>
      <c r="D1039" t="s">
        <v>508</v>
      </c>
      <c r="E1039" t="s">
        <v>509</v>
      </c>
      <c r="F1039" t="s">
        <v>413</v>
      </c>
      <c r="G1039">
        <v>5203</v>
      </c>
      <c r="H1039">
        <v>5203</v>
      </c>
      <c r="I1039">
        <v>5071</v>
      </c>
      <c r="J1039">
        <v>5071</v>
      </c>
      <c r="K1039">
        <v>1707</v>
      </c>
      <c r="L1039">
        <v>7</v>
      </c>
      <c r="M1039">
        <v>3115</v>
      </c>
      <c r="N1039">
        <v>109</v>
      </c>
      <c r="O1039">
        <v>265</v>
      </c>
      <c r="P1039">
        <v>14</v>
      </c>
      <c r="Q1039">
        <v>1</v>
      </c>
    </row>
    <row r="1040" spans="1:17" x14ac:dyDescent="0.2">
      <c r="A1040" s="121">
        <v>39629</v>
      </c>
      <c r="B1040" t="s">
        <v>406</v>
      </c>
      <c r="C1040" t="s">
        <v>510</v>
      </c>
      <c r="D1040" t="s">
        <v>511</v>
      </c>
      <c r="E1040" t="s">
        <v>512</v>
      </c>
      <c r="F1040" t="s">
        <v>410</v>
      </c>
      <c r="G1040">
        <v>580</v>
      </c>
      <c r="I1040">
        <v>569</v>
      </c>
    </row>
    <row r="1041" spans="1:17" x14ac:dyDescent="0.2">
      <c r="A1041" s="121">
        <v>39629</v>
      </c>
      <c r="B1041" t="s">
        <v>406</v>
      </c>
      <c r="C1041" t="s">
        <v>510</v>
      </c>
      <c r="D1041" t="s">
        <v>513</v>
      </c>
      <c r="E1041" t="s">
        <v>514</v>
      </c>
      <c r="F1041" t="s">
        <v>410</v>
      </c>
      <c r="G1041">
        <v>582</v>
      </c>
      <c r="I1041">
        <v>581</v>
      </c>
    </row>
    <row r="1042" spans="1:17" x14ac:dyDescent="0.2">
      <c r="A1042" s="121">
        <v>39629</v>
      </c>
      <c r="B1042" t="s">
        <v>406</v>
      </c>
      <c r="C1042" t="s">
        <v>510</v>
      </c>
      <c r="D1042" t="s">
        <v>515</v>
      </c>
      <c r="E1042" t="s">
        <v>516</v>
      </c>
      <c r="F1042" t="s">
        <v>410</v>
      </c>
      <c r="G1042">
        <v>89</v>
      </c>
      <c r="I1042">
        <v>88</v>
      </c>
    </row>
    <row r="1043" spans="1:17" x14ac:dyDescent="0.2">
      <c r="A1043" s="121">
        <v>39629</v>
      </c>
      <c r="B1043" t="s">
        <v>406</v>
      </c>
      <c r="C1043" t="s">
        <v>510</v>
      </c>
      <c r="D1043" t="s">
        <v>517</v>
      </c>
      <c r="E1043" t="s">
        <v>518</v>
      </c>
      <c r="F1043" t="s">
        <v>410</v>
      </c>
      <c r="G1043">
        <v>306</v>
      </c>
      <c r="I1043">
        <v>302</v>
      </c>
    </row>
    <row r="1044" spans="1:17" x14ac:dyDescent="0.2">
      <c r="A1044" s="121">
        <v>39629</v>
      </c>
      <c r="B1044" t="s">
        <v>406</v>
      </c>
      <c r="C1044" t="s">
        <v>510</v>
      </c>
      <c r="D1044" t="s">
        <v>519</v>
      </c>
      <c r="E1044" t="s">
        <v>520</v>
      </c>
      <c r="F1044" t="s">
        <v>410</v>
      </c>
      <c r="G1044">
        <v>422</v>
      </c>
      <c r="I1044">
        <v>414</v>
      </c>
    </row>
    <row r="1045" spans="1:17" x14ac:dyDescent="0.2">
      <c r="A1045" s="121">
        <v>39629</v>
      </c>
      <c r="B1045" t="s">
        <v>406</v>
      </c>
      <c r="C1045" t="s">
        <v>510</v>
      </c>
      <c r="D1045" t="s">
        <v>521</v>
      </c>
      <c r="E1045" t="s">
        <v>522</v>
      </c>
      <c r="F1045" t="s">
        <v>410</v>
      </c>
      <c r="G1045">
        <v>77</v>
      </c>
      <c r="I1045">
        <v>77</v>
      </c>
    </row>
    <row r="1046" spans="1:17" x14ac:dyDescent="0.2">
      <c r="A1046" s="121">
        <v>39629</v>
      </c>
      <c r="B1046" t="s">
        <v>406</v>
      </c>
      <c r="C1046" t="s">
        <v>510</v>
      </c>
      <c r="D1046" t="s">
        <v>523</v>
      </c>
      <c r="E1046" t="s">
        <v>524</v>
      </c>
      <c r="F1046" t="s">
        <v>413</v>
      </c>
      <c r="G1046">
        <v>527</v>
      </c>
      <c r="I1046">
        <v>524</v>
      </c>
    </row>
    <row r="1047" spans="1:17" x14ac:dyDescent="0.2">
      <c r="A1047" s="121">
        <v>39629</v>
      </c>
      <c r="B1047" t="s">
        <v>406</v>
      </c>
      <c r="C1047" t="s">
        <v>510</v>
      </c>
      <c r="D1047" t="s">
        <v>527</v>
      </c>
      <c r="E1047" t="s">
        <v>528</v>
      </c>
      <c r="F1047" t="s">
        <v>410</v>
      </c>
      <c r="G1047">
        <v>264</v>
      </c>
      <c r="I1047">
        <v>264</v>
      </c>
    </row>
    <row r="1048" spans="1:17" x14ac:dyDescent="0.2">
      <c r="A1048" s="121">
        <v>39629</v>
      </c>
      <c r="B1048" t="s">
        <v>406</v>
      </c>
      <c r="C1048" t="s">
        <v>510</v>
      </c>
      <c r="D1048" t="s">
        <v>529</v>
      </c>
      <c r="E1048" t="s">
        <v>530</v>
      </c>
      <c r="F1048" t="s">
        <v>413</v>
      </c>
      <c r="G1048">
        <v>539</v>
      </c>
      <c r="I1048">
        <v>533</v>
      </c>
    </row>
    <row r="1049" spans="1:17" x14ac:dyDescent="0.2">
      <c r="A1049" s="121">
        <v>39629</v>
      </c>
      <c r="B1049" t="s">
        <v>406</v>
      </c>
      <c r="C1049" t="s">
        <v>510</v>
      </c>
      <c r="D1049" t="s">
        <v>531</v>
      </c>
      <c r="E1049" t="s">
        <v>532</v>
      </c>
      <c r="F1049" t="s">
        <v>410</v>
      </c>
      <c r="G1049">
        <v>44</v>
      </c>
      <c r="I1049">
        <v>44</v>
      </c>
    </row>
    <row r="1050" spans="1:17" x14ac:dyDescent="0.2">
      <c r="A1050" s="121">
        <v>39629</v>
      </c>
      <c r="B1050" t="s">
        <v>406</v>
      </c>
      <c r="C1050" t="s">
        <v>510</v>
      </c>
      <c r="D1050" t="s">
        <v>533</v>
      </c>
      <c r="E1050" t="s">
        <v>534</v>
      </c>
      <c r="F1050" t="s">
        <v>413</v>
      </c>
      <c r="G1050">
        <v>2617</v>
      </c>
      <c r="H1050">
        <v>2617</v>
      </c>
      <c r="I1050">
        <v>2574</v>
      </c>
      <c r="J1050">
        <v>2574</v>
      </c>
      <c r="K1050">
        <v>509</v>
      </c>
      <c r="L1050">
        <v>26</v>
      </c>
      <c r="M1050">
        <v>2082</v>
      </c>
      <c r="N1050">
        <v>0</v>
      </c>
      <c r="O1050">
        <v>0</v>
      </c>
      <c r="P1050">
        <v>0</v>
      </c>
      <c r="Q1050">
        <v>0</v>
      </c>
    </row>
    <row r="1051" spans="1:17" x14ac:dyDescent="0.2">
      <c r="A1051" s="121">
        <v>39629</v>
      </c>
      <c r="B1051" t="s">
        <v>406</v>
      </c>
      <c r="C1051" t="s">
        <v>510</v>
      </c>
      <c r="D1051" t="s">
        <v>535</v>
      </c>
      <c r="E1051" t="s">
        <v>536</v>
      </c>
      <c r="F1051" t="s">
        <v>410</v>
      </c>
      <c r="G1051">
        <v>253</v>
      </c>
      <c r="I1051">
        <v>252</v>
      </c>
    </row>
    <row r="1052" spans="1:17" x14ac:dyDescent="0.2">
      <c r="A1052" s="121">
        <v>39629</v>
      </c>
      <c r="B1052" t="s">
        <v>406</v>
      </c>
      <c r="C1052" t="s">
        <v>510</v>
      </c>
      <c r="D1052" t="s">
        <v>537</v>
      </c>
      <c r="E1052" t="s">
        <v>538</v>
      </c>
      <c r="F1052" t="s">
        <v>410</v>
      </c>
      <c r="G1052">
        <v>105</v>
      </c>
      <c r="I1052">
        <v>104</v>
      </c>
    </row>
    <row r="1053" spans="1:17" x14ac:dyDescent="0.2">
      <c r="A1053" s="121">
        <v>39629</v>
      </c>
      <c r="B1053" t="s">
        <v>406</v>
      </c>
      <c r="C1053" t="s">
        <v>510</v>
      </c>
      <c r="D1053" t="s">
        <v>539</v>
      </c>
      <c r="E1053" t="s">
        <v>540</v>
      </c>
      <c r="F1053" t="s">
        <v>413</v>
      </c>
      <c r="G1053">
        <v>877</v>
      </c>
      <c r="I1053">
        <v>860</v>
      </c>
    </row>
    <row r="1054" spans="1:17" x14ac:dyDescent="0.2">
      <c r="A1054" s="121">
        <v>39629</v>
      </c>
      <c r="B1054" t="s">
        <v>406</v>
      </c>
      <c r="C1054" t="s">
        <v>510</v>
      </c>
      <c r="D1054" t="s">
        <v>541</v>
      </c>
      <c r="E1054" t="s">
        <v>542</v>
      </c>
      <c r="F1054" t="s">
        <v>410</v>
      </c>
      <c r="G1054">
        <v>419</v>
      </c>
      <c r="I1054">
        <v>414</v>
      </c>
    </row>
    <row r="1055" spans="1:17" x14ac:dyDescent="0.2">
      <c r="A1055" s="121">
        <v>39629</v>
      </c>
      <c r="B1055" t="s">
        <v>406</v>
      </c>
      <c r="C1055" t="s">
        <v>510</v>
      </c>
      <c r="D1055" t="s">
        <v>543</v>
      </c>
      <c r="E1055" t="s">
        <v>544</v>
      </c>
      <c r="F1055" t="s">
        <v>410</v>
      </c>
      <c r="G1055">
        <v>316</v>
      </c>
      <c r="I1055">
        <v>306</v>
      </c>
    </row>
    <row r="1056" spans="1:17" x14ac:dyDescent="0.2">
      <c r="A1056" s="121">
        <v>39629</v>
      </c>
      <c r="B1056" t="s">
        <v>406</v>
      </c>
      <c r="C1056" t="s">
        <v>510</v>
      </c>
      <c r="D1056" t="s">
        <v>545</v>
      </c>
      <c r="E1056" t="s">
        <v>546</v>
      </c>
      <c r="F1056" t="s">
        <v>410</v>
      </c>
      <c r="G1056">
        <v>206</v>
      </c>
      <c r="I1056">
        <v>205</v>
      </c>
    </row>
    <row r="1057" spans="1:17" x14ac:dyDescent="0.2">
      <c r="A1057" s="121">
        <v>39629</v>
      </c>
      <c r="B1057" t="s">
        <v>406</v>
      </c>
      <c r="C1057" t="s">
        <v>510</v>
      </c>
      <c r="D1057" t="s">
        <v>547</v>
      </c>
      <c r="E1057" t="s">
        <v>548</v>
      </c>
      <c r="F1057" t="s">
        <v>410</v>
      </c>
      <c r="G1057">
        <v>125</v>
      </c>
      <c r="I1057">
        <v>125</v>
      </c>
    </row>
    <row r="1058" spans="1:17" x14ac:dyDescent="0.2">
      <c r="A1058" s="121">
        <v>39629</v>
      </c>
      <c r="B1058" t="s">
        <v>406</v>
      </c>
      <c r="C1058" t="s">
        <v>510</v>
      </c>
      <c r="D1058" t="s">
        <v>549</v>
      </c>
      <c r="E1058" t="s">
        <v>550</v>
      </c>
      <c r="F1058" t="s">
        <v>410</v>
      </c>
      <c r="G1058">
        <v>212</v>
      </c>
      <c r="I1058">
        <v>212</v>
      </c>
    </row>
    <row r="1059" spans="1:17" x14ac:dyDescent="0.2">
      <c r="A1059" s="121">
        <v>39629</v>
      </c>
      <c r="B1059" t="s">
        <v>406</v>
      </c>
      <c r="C1059" t="s">
        <v>551</v>
      </c>
      <c r="D1059" t="s">
        <v>552</v>
      </c>
      <c r="E1059" t="s">
        <v>553</v>
      </c>
      <c r="F1059" t="s">
        <v>413</v>
      </c>
      <c r="G1059">
        <v>5752</v>
      </c>
      <c r="H1059">
        <v>5752</v>
      </c>
      <c r="I1059">
        <v>5678</v>
      </c>
      <c r="J1059">
        <v>5678</v>
      </c>
      <c r="K1059">
        <v>1547</v>
      </c>
      <c r="L1059">
        <v>8</v>
      </c>
      <c r="M1059">
        <v>4175</v>
      </c>
      <c r="N1059">
        <v>14</v>
      </c>
      <c r="O1059">
        <v>8</v>
      </c>
      <c r="P1059">
        <v>0</v>
      </c>
      <c r="Q1059">
        <v>0</v>
      </c>
    </row>
    <row r="1060" spans="1:17" x14ac:dyDescent="0.2">
      <c r="A1060" s="121">
        <v>39629</v>
      </c>
      <c r="B1060" t="s">
        <v>406</v>
      </c>
      <c r="C1060" t="s">
        <v>551</v>
      </c>
      <c r="D1060" t="s">
        <v>554</v>
      </c>
      <c r="E1060" t="s">
        <v>555</v>
      </c>
      <c r="F1060" t="s">
        <v>410</v>
      </c>
      <c r="G1060">
        <v>174</v>
      </c>
      <c r="I1060">
        <v>174</v>
      </c>
    </row>
    <row r="1061" spans="1:17" x14ac:dyDescent="0.2">
      <c r="A1061" s="121">
        <v>39629</v>
      </c>
      <c r="B1061" t="s">
        <v>406</v>
      </c>
      <c r="C1061" t="s">
        <v>551</v>
      </c>
      <c r="D1061" t="s">
        <v>556</v>
      </c>
      <c r="E1061" t="s">
        <v>557</v>
      </c>
      <c r="F1061" t="s">
        <v>410</v>
      </c>
      <c r="G1061">
        <v>165</v>
      </c>
      <c r="I1061">
        <v>165</v>
      </c>
    </row>
    <row r="1062" spans="1:17" x14ac:dyDescent="0.2">
      <c r="A1062" s="121">
        <v>39629</v>
      </c>
      <c r="B1062" t="s">
        <v>406</v>
      </c>
      <c r="C1062" t="s">
        <v>551</v>
      </c>
      <c r="D1062" t="s">
        <v>558</v>
      </c>
      <c r="E1062" t="s">
        <v>559</v>
      </c>
      <c r="F1062" t="s">
        <v>413</v>
      </c>
      <c r="G1062">
        <v>5073</v>
      </c>
      <c r="H1062">
        <v>5073</v>
      </c>
      <c r="I1062">
        <v>4903</v>
      </c>
      <c r="J1062">
        <v>4903</v>
      </c>
      <c r="K1062">
        <v>1086</v>
      </c>
      <c r="L1062">
        <v>9</v>
      </c>
      <c r="M1062">
        <v>3947</v>
      </c>
      <c r="N1062">
        <v>11</v>
      </c>
      <c r="O1062">
        <v>20</v>
      </c>
      <c r="P1062">
        <v>38</v>
      </c>
      <c r="Q1062">
        <v>12</v>
      </c>
    </row>
    <row r="1063" spans="1:17" x14ac:dyDescent="0.2">
      <c r="A1063" s="121">
        <v>39629</v>
      </c>
      <c r="B1063" t="s">
        <v>406</v>
      </c>
      <c r="C1063" t="s">
        <v>551</v>
      </c>
      <c r="D1063" t="s">
        <v>560</v>
      </c>
      <c r="E1063" t="s">
        <v>561</v>
      </c>
      <c r="F1063" t="s">
        <v>413</v>
      </c>
      <c r="G1063">
        <v>5868</v>
      </c>
      <c r="H1063">
        <v>5868</v>
      </c>
      <c r="I1063">
        <v>5712</v>
      </c>
      <c r="J1063">
        <v>5712</v>
      </c>
      <c r="K1063">
        <v>1185</v>
      </c>
      <c r="L1063">
        <v>7</v>
      </c>
      <c r="M1063">
        <v>4634</v>
      </c>
      <c r="N1063">
        <v>16</v>
      </c>
      <c r="O1063">
        <v>26</v>
      </c>
      <c r="P1063">
        <v>19</v>
      </c>
      <c r="Q1063">
        <v>6</v>
      </c>
    </row>
    <row r="1064" spans="1:17" x14ac:dyDescent="0.2">
      <c r="A1064" s="121">
        <v>39629</v>
      </c>
      <c r="B1064" t="s">
        <v>406</v>
      </c>
      <c r="C1064" t="s">
        <v>562</v>
      </c>
      <c r="D1064" t="s">
        <v>603</v>
      </c>
      <c r="E1064" t="s">
        <v>604</v>
      </c>
      <c r="F1064" t="s">
        <v>410</v>
      </c>
      <c r="G1064">
        <v>21</v>
      </c>
      <c r="I1064">
        <v>21</v>
      </c>
    </row>
    <row r="1065" spans="1:17" x14ac:dyDescent="0.2">
      <c r="A1065" s="121">
        <v>39629</v>
      </c>
      <c r="B1065" t="s">
        <v>406</v>
      </c>
      <c r="C1065" t="s">
        <v>562</v>
      </c>
      <c r="D1065" t="s">
        <v>605</v>
      </c>
      <c r="E1065" t="s">
        <v>606</v>
      </c>
      <c r="F1065" t="s">
        <v>410</v>
      </c>
      <c r="G1065">
        <v>182</v>
      </c>
      <c r="I1065">
        <v>182</v>
      </c>
    </row>
    <row r="1066" spans="1:17" x14ac:dyDescent="0.2">
      <c r="A1066" s="121">
        <v>39629</v>
      </c>
      <c r="B1066" t="s">
        <v>406</v>
      </c>
      <c r="C1066" t="s">
        <v>562</v>
      </c>
      <c r="D1066" t="s">
        <v>563</v>
      </c>
      <c r="E1066" t="s">
        <v>564</v>
      </c>
      <c r="F1066" t="s">
        <v>410</v>
      </c>
      <c r="G1066">
        <v>2942</v>
      </c>
      <c r="H1066">
        <v>2942</v>
      </c>
      <c r="I1066">
        <v>2935</v>
      </c>
      <c r="J1066">
        <v>2935</v>
      </c>
      <c r="K1066">
        <v>925</v>
      </c>
      <c r="L1066">
        <v>0</v>
      </c>
      <c r="M1066">
        <v>1956</v>
      </c>
      <c r="N1066">
        <v>61</v>
      </c>
      <c r="O1066">
        <v>0</v>
      </c>
      <c r="P1066">
        <v>0</v>
      </c>
      <c r="Q1066">
        <v>0</v>
      </c>
    </row>
    <row r="1067" spans="1:17" x14ac:dyDescent="0.2">
      <c r="A1067" s="121">
        <v>39629</v>
      </c>
      <c r="B1067" t="s">
        <v>406</v>
      </c>
      <c r="C1067" t="s">
        <v>562</v>
      </c>
      <c r="D1067" t="s">
        <v>565</v>
      </c>
      <c r="E1067" t="s">
        <v>566</v>
      </c>
      <c r="F1067" t="s">
        <v>413</v>
      </c>
      <c r="G1067">
        <v>4219</v>
      </c>
      <c r="H1067">
        <v>4219</v>
      </c>
      <c r="I1067">
        <v>4119</v>
      </c>
      <c r="J1067">
        <v>4119</v>
      </c>
      <c r="K1067">
        <v>1077</v>
      </c>
      <c r="L1067">
        <v>8</v>
      </c>
      <c r="M1067">
        <v>3032</v>
      </c>
      <c r="N1067">
        <v>102</v>
      </c>
      <c r="O1067">
        <v>0</v>
      </c>
      <c r="P1067">
        <v>11</v>
      </c>
      <c r="Q1067">
        <v>6</v>
      </c>
    </row>
    <row r="1068" spans="1:17" x14ac:dyDescent="0.2">
      <c r="A1068" s="121">
        <v>39629</v>
      </c>
      <c r="B1068" t="s">
        <v>406</v>
      </c>
      <c r="C1068" t="s">
        <v>562</v>
      </c>
      <c r="D1068" t="s">
        <v>567</v>
      </c>
      <c r="E1068" t="s">
        <v>568</v>
      </c>
      <c r="F1068" t="s">
        <v>413</v>
      </c>
      <c r="G1068">
        <v>8829</v>
      </c>
      <c r="H1068">
        <v>8829</v>
      </c>
      <c r="I1068">
        <v>8528</v>
      </c>
      <c r="J1068">
        <v>8528</v>
      </c>
      <c r="K1068">
        <v>2540</v>
      </c>
      <c r="L1068">
        <v>17</v>
      </c>
      <c r="M1068">
        <v>5987</v>
      </c>
      <c r="N1068">
        <v>285</v>
      </c>
      <c r="O1068">
        <v>0</v>
      </c>
      <c r="P1068">
        <v>20</v>
      </c>
      <c r="Q1068">
        <v>3</v>
      </c>
    </row>
    <row r="1069" spans="1:17" x14ac:dyDescent="0.2">
      <c r="A1069" s="121">
        <v>39629</v>
      </c>
      <c r="B1069" t="s">
        <v>406</v>
      </c>
      <c r="C1069" t="s">
        <v>562</v>
      </c>
      <c r="D1069" t="s">
        <v>569</v>
      </c>
      <c r="E1069" t="s">
        <v>570</v>
      </c>
      <c r="F1069" t="s">
        <v>413</v>
      </c>
      <c r="G1069">
        <v>3151</v>
      </c>
      <c r="H1069">
        <v>3151</v>
      </c>
      <c r="I1069">
        <v>3126</v>
      </c>
      <c r="J1069">
        <v>3126</v>
      </c>
      <c r="K1069">
        <v>467</v>
      </c>
      <c r="L1069">
        <v>2</v>
      </c>
      <c r="M1069">
        <v>2682</v>
      </c>
      <c r="N1069">
        <v>0</v>
      </c>
      <c r="O1069">
        <v>0</v>
      </c>
      <c r="P1069">
        <v>0</v>
      </c>
      <c r="Q1069">
        <v>0</v>
      </c>
    </row>
    <row r="1070" spans="1:17" x14ac:dyDescent="0.2">
      <c r="A1070" s="121">
        <v>39629</v>
      </c>
      <c r="B1070" t="s">
        <v>406</v>
      </c>
      <c r="C1070" t="s">
        <v>571</v>
      </c>
      <c r="D1070" t="s">
        <v>572</v>
      </c>
      <c r="E1070" t="s">
        <v>573</v>
      </c>
      <c r="F1070" t="s">
        <v>410</v>
      </c>
      <c r="G1070">
        <v>250</v>
      </c>
      <c r="I1070">
        <v>250</v>
      </c>
    </row>
    <row r="1071" spans="1:17" x14ac:dyDescent="0.2">
      <c r="A1071" s="121">
        <v>39629</v>
      </c>
      <c r="B1071" t="s">
        <v>406</v>
      </c>
      <c r="C1071" t="s">
        <v>574</v>
      </c>
      <c r="D1071" t="s">
        <v>575</v>
      </c>
      <c r="E1071" t="s">
        <v>576</v>
      </c>
      <c r="F1071" t="s">
        <v>413</v>
      </c>
      <c r="G1071">
        <v>805</v>
      </c>
      <c r="H1071">
        <v>805</v>
      </c>
      <c r="I1071">
        <v>801</v>
      </c>
      <c r="J1071">
        <v>801</v>
      </c>
      <c r="K1071">
        <v>144</v>
      </c>
      <c r="L1071">
        <v>1</v>
      </c>
      <c r="M1071">
        <v>628</v>
      </c>
      <c r="N1071">
        <v>1</v>
      </c>
      <c r="O1071">
        <v>31</v>
      </c>
      <c r="P1071">
        <v>0</v>
      </c>
      <c r="Q1071">
        <v>0</v>
      </c>
    </row>
    <row r="1072" spans="1:17" x14ac:dyDescent="0.2">
      <c r="A1072" s="121">
        <v>39629</v>
      </c>
      <c r="B1072" t="s">
        <v>406</v>
      </c>
      <c r="C1072" t="s">
        <v>577</v>
      </c>
      <c r="D1072" t="s">
        <v>578</v>
      </c>
      <c r="E1072" t="s">
        <v>579</v>
      </c>
      <c r="F1072" t="s">
        <v>413</v>
      </c>
      <c r="G1072">
        <v>4085</v>
      </c>
      <c r="H1072">
        <v>4085</v>
      </c>
      <c r="I1072">
        <v>4051</v>
      </c>
      <c r="J1072">
        <v>4051</v>
      </c>
      <c r="K1072">
        <v>871</v>
      </c>
      <c r="L1072">
        <v>12</v>
      </c>
      <c r="M1072">
        <v>3080</v>
      </c>
      <c r="N1072">
        <v>44</v>
      </c>
      <c r="O1072">
        <v>78</v>
      </c>
      <c r="P1072">
        <v>1</v>
      </c>
      <c r="Q1072">
        <v>0</v>
      </c>
    </row>
    <row r="1073" spans="1:17" x14ac:dyDescent="0.2">
      <c r="A1073" s="121">
        <v>39629</v>
      </c>
      <c r="B1073" t="s">
        <v>406</v>
      </c>
      <c r="C1073" t="s">
        <v>577</v>
      </c>
      <c r="D1073" t="s">
        <v>580</v>
      </c>
      <c r="E1073" t="s">
        <v>581</v>
      </c>
      <c r="F1073" t="s">
        <v>413</v>
      </c>
      <c r="G1073">
        <v>2272</v>
      </c>
      <c r="H1073">
        <v>2272</v>
      </c>
      <c r="I1073">
        <v>2258</v>
      </c>
      <c r="J1073">
        <v>2258</v>
      </c>
      <c r="K1073">
        <v>375</v>
      </c>
      <c r="L1073">
        <v>3</v>
      </c>
      <c r="M1073">
        <v>1665</v>
      </c>
      <c r="N1073">
        <v>51</v>
      </c>
      <c r="O1073">
        <v>178</v>
      </c>
      <c r="P1073">
        <v>0</v>
      </c>
      <c r="Q1073">
        <v>0</v>
      </c>
    </row>
    <row r="1074" spans="1:17" x14ac:dyDescent="0.2">
      <c r="A1074" s="121">
        <v>39629</v>
      </c>
      <c r="B1074" t="s">
        <v>406</v>
      </c>
      <c r="C1074" t="s">
        <v>577</v>
      </c>
      <c r="D1074" t="s">
        <v>582</v>
      </c>
      <c r="E1074" t="s">
        <v>583</v>
      </c>
      <c r="F1074" t="s">
        <v>410</v>
      </c>
      <c r="G1074">
        <v>62</v>
      </c>
      <c r="H1074">
        <v>62</v>
      </c>
      <c r="I1074">
        <v>62</v>
      </c>
      <c r="J1074">
        <v>62</v>
      </c>
      <c r="K1074">
        <v>3</v>
      </c>
      <c r="L1074">
        <v>0</v>
      </c>
      <c r="M1074">
        <v>59</v>
      </c>
      <c r="N1074">
        <v>0</v>
      </c>
      <c r="O1074">
        <v>0</v>
      </c>
      <c r="P1074">
        <v>0</v>
      </c>
      <c r="Q1074">
        <v>0</v>
      </c>
    </row>
    <row r="1075" spans="1:17" x14ac:dyDescent="0.2">
      <c r="A1075" s="121">
        <v>39629</v>
      </c>
      <c r="B1075" t="s">
        <v>406</v>
      </c>
      <c r="C1075" t="s">
        <v>577</v>
      </c>
      <c r="D1075" t="s">
        <v>584</v>
      </c>
      <c r="E1075" t="s">
        <v>585</v>
      </c>
      <c r="F1075" t="s">
        <v>410</v>
      </c>
      <c r="G1075">
        <v>160</v>
      </c>
      <c r="H1075">
        <v>160</v>
      </c>
      <c r="I1075">
        <v>160</v>
      </c>
      <c r="J1075">
        <v>160</v>
      </c>
      <c r="K1075">
        <v>16</v>
      </c>
      <c r="L1075">
        <v>0</v>
      </c>
      <c r="M1075">
        <v>144</v>
      </c>
      <c r="N1075">
        <v>0</v>
      </c>
      <c r="O1075">
        <v>0</v>
      </c>
      <c r="P1075">
        <v>0</v>
      </c>
      <c r="Q1075">
        <v>0</v>
      </c>
    </row>
    <row r="1076" spans="1:17" x14ac:dyDescent="0.2">
      <c r="A1076" s="121">
        <v>39629</v>
      </c>
      <c r="B1076" t="s">
        <v>406</v>
      </c>
      <c r="C1076" t="s">
        <v>577</v>
      </c>
      <c r="D1076" t="s">
        <v>586</v>
      </c>
      <c r="E1076" t="s">
        <v>587</v>
      </c>
      <c r="F1076" t="s">
        <v>410</v>
      </c>
      <c r="G1076">
        <v>774</v>
      </c>
      <c r="H1076">
        <v>774</v>
      </c>
      <c r="I1076">
        <v>773</v>
      </c>
      <c r="J1076">
        <v>773</v>
      </c>
      <c r="K1076">
        <v>17</v>
      </c>
      <c r="L1076">
        <v>0</v>
      </c>
      <c r="M1076">
        <v>757</v>
      </c>
      <c r="N1076">
        <v>0</v>
      </c>
      <c r="O1076">
        <v>0</v>
      </c>
      <c r="P1076">
        <v>0</v>
      </c>
      <c r="Q1076">
        <v>0</v>
      </c>
    </row>
    <row r="1077" spans="1:17" x14ac:dyDescent="0.2">
      <c r="A1077" s="121">
        <v>39629</v>
      </c>
      <c r="B1077" t="s">
        <v>406</v>
      </c>
      <c r="C1077" t="s">
        <v>577</v>
      </c>
      <c r="D1077" t="s">
        <v>588</v>
      </c>
      <c r="E1077" t="s">
        <v>589</v>
      </c>
      <c r="F1077" t="s">
        <v>410</v>
      </c>
      <c r="G1077">
        <v>161</v>
      </c>
      <c r="H1077">
        <v>161</v>
      </c>
      <c r="I1077">
        <v>161</v>
      </c>
      <c r="J1077">
        <v>161</v>
      </c>
      <c r="K1077">
        <v>5</v>
      </c>
      <c r="L1077">
        <v>0</v>
      </c>
      <c r="M1077">
        <v>156</v>
      </c>
      <c r="N1077">
        <v>0</v>
      </c>
      <c r="O1077">
        <v>0</v>
      </c>
      <c r="P1077">
        <v>0</v>
      </c>
      <c r="Q1077">
        <v>0</v>
      </c>
    </row>
    <row r="1078" spans="1:17" x14ac:dyDescent="0.2">
      <c r="A1078" s="121">
        <v>39629</v>
      </c>
      <c r="B1078" t="s">
        <v>406</v>
      </c>
      <c r="C1078" t="s">
        <v>577</v>
      </c>
      <c r="D1078" t="s">
        <v>590</v>
      </c>
      <c r="E1078" t="s">
        <v>591</v>
      </c>
      <c r="F1078" t="s">
        <v>410</v>
      </c>
      <c r="G1078">
        <v>315</v>
      </c>
      <c r="H1078">
        <v>315</v>
      </c>
      <c r="I1078">
        <v>315</v>
      </c>
      <c r="J1078">
        <v>315</v>
      </c>
      <c r="K1078">
        <v>6</v>
      </c>
      <c r="L1078">
        <v>0</v>
      </c>
      <c r="M1078">
        <v>309</v>
      </c>
      <c r="N1078">
        <v>0</v>
      </c>
      <c r="O1078">
        <v>0</v>
      </c>
      <c r="P1078">
        <v>0</v>
      </c>
      <c r="Q1078">
        <v>0</v>
      </c>
    </row>
    <row r="1079" spans="1:17" x14ac:dyDescent="0.2">
      <c r="A1079" s="121">
        <v>39629</v>
      </c>
      <c r="B1079" t="s">
        <v>406</v>
      </c>
      <c r="C1079" t="s">
        <v>577</v>
      </c>
      <c r="D1079" t="s">
        <v>592</v>
      </c>
      <c r="E1079" t="s">
        <v>593</v>
      </c>
      <c r="F1079" t="s">
        <v>410</v>
      </c>
      <c r="G1079">
        <v>372</v>
      </c>
      <c r="H1079">
        <v>372</v>
      </c>
      <c r="I1079">
        <v>371</v>
      </c>
      <c r="J1079">
        <v>371</v>
      </c>
      <c r="K1079">
        <v>11</v>
      </c>
      <c r="L1079">
        <v>0</v>
      </c>
      <c r="M1079">
        <v>358</v>
      </c>
      <c r="N1079">
        <v>3</v>
      </c>
      <c r="O1079">
        <v>0</v>
      </c>
      <c r="P1079">
        <v>0</v>
      </c>
      <c r="Q1079">
        <v>0</v>
      </c>
    </row>
    <row r="1080" spans="1:17" x14ac:dyDescent="0.2">
      <c r="A1080" s="121">
        <v>39629</v>
      </c>
      <c r="B1080" t="s">
        <v>406</v>
      </c>
      <c r="C1080" t="s">
        <v>594</v>
      </c>
      <c r="D1080" t="s">
        <v>595</v>
      </c>
      <c r="E1080" t="s">
        <v>596</v>
      </c>
      <c r="F1080" t="s">
        <v>410</v>
      </c>
      <c r="G1080">
        <v>17</v>
      </c>
      <c r="I1080">
        <v>17</v>
      </c>
    </row>
    <row r="1081" spans="1:17" x14ac:dyDescent="0.2">
      <c r="A1081" s="121">
        <v>39629</v>
      </c>
      <c r="B1081" t="s">
        <v>406</v>
      </c>
      <c r="C1081" t="s">
        <v>594</v>
      </c>
      <c r="D1081" t="s">
        <v>597</v>
      </c>
      <c r="E1081" t="s">
        <v>598</v>
      </c>
      <c r="F1081" t="s">
        <v>413</v>
      </c>
      <c r="G1081">
        <v>643</v>
      </c>
      <c r="H1081">
        <v>643</v>
      </c>
      <c r="I1081">
        <v>636</v>
      </c>
      <c r="J1081">
        <v>636</v>
      </c>
      <c r="K1081">
        <v>146</v>
      </c>
      <c r="L1081">
        <v>0</v>
      </c>
      <c r="M1081">
        <v>493</v>
      </c>
      <c r="N1081">
        <v>1</v>
      </c>
      <c r="O1081">
        <v>3</v>
      </c>
      <c r="P1081">
        <v>0</v>
      </c>
      <c r="Q1081">
        <v>0</v>
      </c>
    </row>
    <row r="1082" spans="1:17" x14ac:dyDescent="0.2">
      <c r="A1082" s="121">
        <v>39629</v>
      </c>
      <c r="B1082" t="s">
        <v>406</v>
      </c>
      <c r="C1082" t="s">
        <v>594</v>
      </c>
      <c r="D1082" t="s">
        <v>599</v>
      </c>
      <c r="E1082" t="s">
        <v>600</v>
      </c>
      <c r="F1082" t="s">
        <v>410</v>
      </c>
      <c r="G1082">
        <v>120</v>
      </c>
      <c r="I1082">
        <v>120</v>
      </c>
    </row>
    <row r="1083" spans="1:17" x14ac:dyDescent="0.2">
      <c r="A1083" s="121">
        <v>39660</v>
      </c>
      <c r="B1083" t="s">
        <v>406</v>
      </c>
      <c r="C1083" t="s">
        <v>407</v>
      </c>
      <c r="D1083" t="s">
        <v>408</v>
      </c>
      <c r="E1083" t="s">
        <v>409</v>
      </c>
      <c r="F1083" t="s">
        <v>410</v>
      </c>
      <c r="G1083">
        <v>270</v>
      </c>
      <c r="I1083">
        <v>270</v>
      </c>
    </row>
    <row r="1084" spans="1:17" x14ac:dyDescent="0.2">
      <c r="A1084" s="121">
        <v>39660</v>
      </c>
      <c r="B1084" t="s">
        <v>406</v>
      </c>
      <c r="C1084" t="s">
        <v>407</v>
      </c>
      <c r="D1084" t="s">
        <v>601</v>
      </c>
      <c r="E1084" t="s">
        <v>602</v>
      </c>
      <c r="F1084" t="s">
        <v>410</v>
      </c>
      <c r="G1084">
        <v>82</v>
      </c>
      <c r="I1084">
        <v>82</v>
      </c>
    </row>
    <row r="1085" spans="1:17" x14ac:dyDescent="0.2">
      <c r="A1085" s="121">
        <v>39660</v>
      </c>
      <c r="B1085" t="s">
        <v>406</v>
      </c>
      <c r="C1085" t="s">
        <v>407</v>
      </c>
      <c r="D1085" t="s">
        <v>411</v>
      </c>
      <c r="E1085" t="s">
        <v>412</v>
      </c>
      <c r="F1085" t="s">
        <v>413</v>
      </c>
      <c r="G1085">
        <v>5458</v>
      </c>
      <c r="H1085">
        <v>5458</v>
      </c>
      <c r="I1085">
        <v>5418</v>
      </c>
      <c r="J1085">
        <v>5418</v>
      </c>
      <c r="K1085">
        <v>2004</v>
      </c>
      <c r="L1085">
        <v>5</v>
      </c>
      <c r="M1085">
        <v>3128</v>
      </c>
      <c r="N1085">
        <v>73</v>
      </c>
      <c r="O1085">
        <v>248</v>
      </c>
      <c r="P1085">
        <v>0</v>
      </c>
      <c r="Q1085">
        <v>0</v>
      </c>
    </row>
    <row r="1086" spans="1:17" x14ac:dyDescent="0.2">
      <c r="A1086" s="121">
        <v>39660</v>
      </c>
      <c r="B1086" t="s">
        <v>406</v>
      </c>
      <c r="C1086" t="s">
        <v>407</v>
      </c>
      <c r="D1086" t="s">
        <v>414</v>
      </c>
      <c r="E1086" t="s">
        <v>415</v>
      </c>
      <c r="F1086" t="s">
        <v>410</v>
      </c>
      <c r="G1086">
        <v>79</v>
      </c>
      <c r="I1086">
        <v>79</v>
      </c>
    </row>
    <row r="1087" spans="1:17" x14ac:dyDescent="0.2">
      <c r="A1087" s="121">
        <v>39660</v>
      </c>
      <c r="B1087" t="s">
        <v>406</v>
      </c>
      <c r="C1087" t="s">
        <v>407</v>
      </c>
      <c r="D1087" t="s">
        <v>416</v>
      </c>
      <c r="E1087" t="s">
        <v>417</v>
      </c>
      <c r="F1087" t="s">
        <v>413</v>
      </c>
      <c r="G1087">
        <v>3723</v>
      </c>
      <c r="H1087">
        <v>3723</v>
      </c>
      <c r="I1087">
        <v>3653</v>
      </c>
      <c r="J1087">
        <v>3653</v>
      </c>
      <c r="K1087">
        <v>1322</v>
      </c>
      <c r="L1087">
        <v>6</v>
      </c>
      <c r="M1087">
        <v>2234</v>
      </c>
      <c r="N1087">
        <v>77</v>
      </c>
      <c r="O1087">
        <v>84</v>
      </c>
      <c r="P1087">
        <v>0</v>
      </c>
      <c r="Q1087">
        <v>0</v>
      </c>
    </row>
    <row r="1088" spans="1:17" x14ac:dyDescent="0.2">
      <c r="A1088" s="121">
        <v>39660</v>
      </c>
      <c r="B1088" t="s">
        <v>406</v>
      </c>
      <c r="C1088" t="s">
        <v>418</v>
      </c>
      <c r="D1088" t="s">
        <v>419</v>
      </c>
      <c r="E1088" t="s">
        <v>420</v>
      </c>
      <c r="F1088" t="s">
        <v>410</v>
      </c>
      <c r="G1088">
        <v>25</v>
      </c>
      <c r="I1088">
        <v>25</v>
      </c>
    </row>
    <row r="1089" spans="1:17" x14ac:dyDescent="0.2">
      <c r="A1089" s="121">
        <v>39660</v>
      </c>
      <c r="B1089" t="s">
        <v>406</v>
      </c>
      <c r="C1089" t="s">
        <v>418</v>
      </c>
      <c r="D1089" t="s">
        <v>421</v>
      </c>
      <c r="E1089" t="s">
        <v>422</v>
      </c>
      <c r="F1089" t="s">
        <v>410</v>
      </c>
      <c r="G1089">
        <v>128</v>
      </c>
      <c r="I1089">
        <v>128</v>
      </c>
    </row>
    <row r="1090" spans="1:17" x14ac:dyDescent="0.2">
      <c r="A1090" s="121">
        <v>39660</v>
      </c>
      <c r="B1090" t="s">
        <v>406</v>
      </c>
      <c r="C1090" t="s">
        <v>418</v>
      </c>
      <c r="D1090" t="s">
        <v>423</v>
      </c>
      <c r="E1090" t="s">
        <v>424</v>
      </c>
      <c r="F1090" t="s">
        <v>410</v>
      </c>
      <c r="G1090">
        <v>19</v>
      </c>
      <c r="I1090">
        <v>19</v>
      </c>
    </row>
    <row r="1091" spans="1:17" x14ac:dyDescent="0.2">
      <c r="A1091" s="121">
        <v>39660</v>
      </c>
      <c r="B1091" t="s">
        <v>406</v>
      </c>
      <c r="C1091" t="s">
        <v>418</v>
      </c>
      <c r="D1091" t="s">
        <v>425</v>
      </c>
      <c r="E1091" t="s">
        <v>426</v>
      </c>
      <c r="F1091" t="s">
        <v>410</v>
      </c>
      <c r="G1091">
        <v>103</v>
      </c>
      <c r="I1091">
        <v>103</v>
      </c>
    </row>
    <row r="1092" spans="1:17" x14ac:dyDescent="0.2">
      <c r="A1092" s="121">
        <v>39660</v>
      </c>
      <c r="B1092" t="s">
        <v>406</v>
      </c>
      <c r="C1092" t="s">
        <v>418</v>
      </c>
      <c r="D1092" t="s">
        <v>427</v>
      </c>
      <c r="E1092" t="s">
        <v>428</v>
      </c>
      <c r="F1092" t="s">
        <v>413</v>
      </c>
      <c r="G1092">
        <v>1961</v>
      </c>
      <c r="H1092">
        <v>1961</v>
      </c>
      <c r="I1092">
        <v>1947</v>
      </c>
      <c r="J1092">
        <v>1947</v>
      </c>
      <c r="K1092">
        <v>603</v>
      </c>
      <c r="L1092">
        <v>2</v>
      </c>
      <c r="M1092">
        <v>1113</v>
      </c>
      <c r="N1092">
        <v>17</v>
      </c>
      <c r="O1092">
        <v>226</v>
      </c>
      <c r="P1092">
        <v>0</v>
      </c>
      <c r="Q1092">
        <v>0</v>
      </c>
    </row>
    <row r="1093" spans="1:17" x14ac:dyDescent="0.2">
      <c r="A1093" s="121">
        <v>39660</v>
      </c>
      <c r="B1093" t="s">
        <v>406</v>
      </c>
      <c r="C1093" t="s">
        <v>429</v>
      </c>
      <c r="D1093" t="s">
        <v>430</v>
      </c>
      <c r="E1093" t="s">
        <v>431</v>
      </c>
      <c r="F1093" t="s">
        <v>410</v>
      </c>
      <c r="G1093">
        <v>72</v>
      </c>
      <c r="I1093">
        <v>72</v>
      </c>
    </row>
    <row r="1094" spans="1:17" x14ac:dyDescent="0.2">
      <c r="A1094" s="121">
        <v>39660</v>
      </c>
      <c r="B1094" t="s">
        <v>406</v>
      </c>
      <c r="C1094" t="s">
        <v>429</v>
      </c>
      <c r="D1094" t="s">
        <v>432</v>
      </c>
      <c r="E1094" t="s">
        <v>433</v>
      </c>
      <c r="F1094" t="s">
        <v>410</v>
      </c>
      <c r="G1094">
        <v>53</v>
      </c>
      <c r="I1094">
        <v>53</v>
      </c>
    </row>
    <row r="1095" spans="1:17" x14ac:dyDescent="0.2">
      <c r="A1095" s="121">
        <v>39660</v>
      </c>
      <c r="B1095" t="s">
        <v>406</v>
      </c>
      <c r="C1095" t="s">
        <v>429</v>
      </c>
      <c r="D1095" t="s">
        <v>434</v>
      </c>
      <c r="E1095" t="s">
        <v>435</v>
      </c>
      <c r="F1095" t="s">
        <v>410</v>
      </c>
      <c r="G1095">
        <v>21</v>
      </c>
      <c r="I1095">
        <v>21</v>
      </c>
    </row>
    <row r="1096" spans="1:17" x14ac:dyDescent="0.2">
      <c r="A1096" s="121">
        <v>39660</v>
      </c>
      <c r="B1096" t="s">
        <v>406</v>
      </c>
      <c r="C1096" t="s">
        <v>429</v>
      </c>
      <c r="D1096" t="s">
        <v>436</v>
      </c>
      <c r="E1096" t="s">
        <v>437</v>
      </c>
      <c r="F1096" t="s">
        <v>410</v>
      </c>
      <c r="G1096">
        <v>75</v>
      </c>
      <c r="I1096">
        <v>75</v>
      </c>
    </row>
    <row r="1097" spans="1:17" x14ac:dyDescent="0.2">
      <c r="A1097" s="121">
        <v>39660</v>
      </c>
      <c r="B1097" t="s">
        <v>406</v>
      </c>
      <c r="C1097" t="s">
        <v>429</v>
      </c>
      <c r="D1097" t="s">
        <v>438</v>
      </c>
      <c r="E1097" t="s">
        <v>439</v>
      </c>
      <c r="F1097" t="s">
        <v>413</v>
      </c>
      <c r="G1097">
        <v>985</v>
      </c>
      <c r="H1097">
        <v>985</v>
      </c>
      <c r="I1097">
        <v>966</v>
      </c>
      <c r="J1097">
        <v>966</v>
      </c>
      <c r="K1097">
        <v>100</v>
      </c>
      <c r="L1097">
        <v>0</v>
      </c>
      <c r="M1097">
        <v>877</v>
      </c>
      <c r="N1097">
        <v>6</v>
      </c>
      <c r="O1097">
        <v>2</v>
      </c>
      <c r="P1097">
        <v>3</v>
      </c>
      <c r="Q1097">
        <v>1</v>
      </c>
    </row>
    <row r="1098" spans="1:17" x14ac:dyDescent="0.2">
      <c r="A1098" s="121">
        <v>39660</v>
      </c>
      <c r="B1098" t="s">
        <v>406</v>
      </c>
      <c r="C1098" t="s">
        <v>429</v>
      </c>
      <c r="D1098" t="s">
        <v>440</v>
      </c>
      <c r="E1098" t="s">
        <v>441</v>
      </c>
      <c r="F1098" t="s">
        <v>413</v>
      </c>
      <c r="G1098">
        <v>3003</v>
      </c>
      <c r="H1098">
        <v>3003</v>
      </c>
      <c r="I1098">
        <v>2963</v>
      </c>
      <c r="J1098">
        <v>2963</v>
      </c>
      <c r="K1098">
        <v>942</v>
      </c>
      <c r="L1098">
        <v>0</v>
      </c>
      <c r="M1098">
        <v>1988</v>
      </c>
      <c r="N1098">
        <v>18</v>
      </c>
      <c r="O1098">
        <v>55</v>
      </c>
      <c r="P1098">
        <v>0</v>
      </c>
      <c r="Q1098">
        <v>0</v>
      </c>
    </row>
    <row r="1099" spans="1:17" x14ac:dyDescent="0.2">
      <c r="A1099" s="121">
        <v>39660</v>
      </c>
      <c r="B1099" t="s">
        <v>406</v>
      </c>
      <c r="C1099" t="s">
        <v>442</v>
      </c>
      <c r="D1099" t="s">
        <v>443</v>
      </c>
      <c r="E1099" t="s">
        <v>444</v>
      </c>
      <c r="F1099" t="s">
        <v>413</v>
      </c>
      <c r="G1099">
        <v>3646</v>
      </c>
      <c r="H1099">
        <v>3646</v>
      </c>
      <c r="I1099">
        <v>3564</v>
      </c>
      <c r="J1099">
        <v>3564</v>
      </c>
      <c r="K1099">
        <v>603</v>
      </c>
      <c r="L1099">
        <v>6</v>
      </c>
      <c r="M1099">
        <v>2899</v>
      </c>
      <c r="N1099">
        <v>39</v>
      </c>
      <c r="O1099">
        <v>99</v>
      </c>
      <c r="P1099">
        <v>1</v>
      </c>
      <c r="Q1099">
        <v>0</v>
      </c>
    </row>
    <row r="1100" spans="1:17" x14ac:dyDescent="0.2">
      <c r="A1100" s="121">
        <v>39660</v>
      </c>
      <c r="B1100" t="s">
        <v>406</v>
      </c>
      <c r="C1100" t="s">
        <v>442</v>
      </c>
      <c r="D1100" t="s">
        <v>445</v>
      </c>
      <c r="E1100" t="s">
        <v>446</v>
      </c>
      <c r="F1100" t="s">
        <v>410</v>
      </c>
      <c r="G1100">
        <v>183</v>
      </c>
      <c r="I1100">
        <v>183</v>
      </c>
    </row>
    <row r="1101" spans="1:17" x14ac:dyDescent="0.2">
      <c r="A1101" s="121">
        <v>39660</v>
      </c>
      <c r="B1101" t="s">
        <v>406</v>
      </c>
      <c r="C1101" t="s">
        <v>442</v>
      </c>
      <c r="D1101" t="s">
        <v>447</v>
      </c>
      <c r="E1101" t="s">
        <v>448</v>
      </c>
      <c r="F1101" t="s">
        <v>410</v>
      </c>
      <c r="G1101">
        <v>315</v>
      </c>
      <c r="I1101">
        <v>315</v>
      </c>
    </row>
    <row r="1102" spans="1:17" x14ac:dyDescent="0.2">
      <c r="A1102" s="121">
        <v>39660</v>
      </c>
      <c r="B1102" t="s">
        <v>406</v>
      </c>
      <c r="C1102" t="s">
        <v>442</v>
      </c>
      <c r="D1102" t="s">
        <v>449</v>
      </c>
      <c r="E1102" t="s">
        <v>450</v>
      </c>
      <c r="F1102" t="s">
        <v>413</v>
      </c>
      <c r="G1102">
        <v>3241</v>
      </c>
      <c r="H1102">
        <v>3241</v>
      </c>
      <c r="I1102">
        <v>3195</v>
      </c>
      <c r="J1102">
        <v>3195</v>
      </c>
      <c r="K1102">
        <v>620</v>
      </c>
      <c r="L1102">
        <v>4</v>
      </c>
      <c r="M1102">
        <v>2549</v>
      </c>
      <c r="N1102">
        <v>40</v>
      </c>
      <c r="O1102">
        <v>28</v>
      </c>
      <c r="P1102">
        <v>0</v>
      </c>
      <c r="Q1102">
        <v>0</v>
      </c>
    </row>
    <row r="1103" spans="1:17" x14ac:dyDescent="0.2">
      <c r="A1103" s="121">
        <v>39660</v>
      </c>
      <c r="B1103" t="s">
        <v>406</v>
      </c>
      <c r="C1103" t="s">
        <v>451</v>
      </c>
      <c r="D1103" t="s">
        <v>452</v>
      </c>
      <c r="E1103" t="s">
        <v>453</v>
      </c>
      <c r="F1103" t="s">
        <v>410</v>
      </c>
      <c r="G1103">
        <v>1793</v>
      </c>
      <c r="H1103">
        <v>1793</v>
      </c>
      <c r="I1103">
        <v>1793</v>
      </c>
      <c r="J1103">
        <v>1793</v>
      </c>
      <c r="K1103">
        <v>0</v>
      </c>
      <c r="L1103">
        <v>0</v>
      </c>
      <c r="M1103">
        <v>1347</v>
      </c>
      <c r="N1103">
        <v>180</v>
      </c>
      <c r="O1103">
        <v>266</v>
      </c>
      <c r="P1103">
        <v>0</v>
      </c>
      <c r="Q1103">
        <v>0</v>
      </c>
    </row>
    <row r="1104" spans="1:17" x14ac:dyDescent="0.2">
      <c r="A1104" s="121">
        <v>39660</v>
      </c>
      <c r="B1104" t="s">
        <v>406</v>
      </c>
      <c r="C1104" t="s">
        <v>451</v>
      </c>
      <c r="D1104" t="s">
        <v>454</v>
      </c>
      <c r="E1104" t="s">
        <v>455</v>
      </c>
      <c r="F1104" t="s">
        <v>413</v>
      </c>
      <c r="G1104">
        <v>4256</v>
      </c>
      <c r="H1104">
        <v>4256</v>
      </c>
      <c r="I1104">
        <v>4136</v>
      </c>
      <c r="J1104">
        <v>4136</v>
      </c>
      <c r="K1104">
        <v>1159</v>
      </c>
      <c r="L1104">
        <v>10</v>
      </c>
      <c r="M1104">
        <v>2431</v>
      </c>
      <c r="N1104">
        <v>49</v>
      </c>
      <c r="O1104">
        <v>607</v>
      </c>
      <c r="P1104">
        <v>6</v>
      </c>
      <c r="Q1104">
        <v>0</v>
      </c>
    </row>
    <row r="1105" spans="1:17" x14ac:dyDescent="0.2">
      <c r="A1105" s="121">
        <v>39660</v>
      </c>
      <c r="B1105" t="s">
        <v>406</v>
      </c>
      <c r="C1105" t="s">
        <v>456</v>
      </c>
      <c r="D1105" t="s">
        <v>457</v>
      </c>
      <c r="E1105" t="s">
        <v>458</v>
      </c>
      <c r="F1105" t="s">
        <v>413</v>
      </c>
      <c r="G1105">
        <v>5016</v>
      </c>
      <c r="H1105">
        <v>5016</v>
      </c>
      <c r="I1105">
        <v>4913</v>
      </c>
      <c r="J1105">
        <v>4913</v>
      </c>
      <c r="K1105">
        <v>1134</v>
      </c>
      <c r="L1105">
        <v>28</v>
      </c>
      <c r="M1105">
        <v>3716</v>
      </c>
      <c r="N1105">
        <v>110</v>
      </c>
      <c r="O1105">
        <v>28</v>
      </c>
      <c r="P1105">
        <v>9</v>
      </c>
      <c r="Q1105">
        <v>1</v>
      </c>
    </row>
    <row r="1106" spans="1:17" x14ac:dyDescent="0.2">
      <c r="A1106" s="121">
        <v>39660</v>
      </c>
      <c r="B1106" t="s">
        <v>406</v>
      </c>
      <c r="C1106" t="s">
        <v>456</v>
      </c>
      <c r="D1106" t="s">
        <v>459</v>
      </c>
      <c r="E1106" t="s">
        <v>460</v>
      </c>
      <c r="F1106" t="s">
        <v>413</v>
      </c>
      <c r="G1106">
        <v>1249</v>
      </c>
      <c r="H1106">
        <v>1249</v>
      </c>
      <c r="I1106">
        <v>1245</v>
      </c>
      <c r="J1106">
        <v>1245</v>
      </c>
      <c r="K1106">
        <v>284</v>
      </c>
      <c r="L1106">
        <v>1</v>
      </c>
      <c r="M1106">
        <v>964</v>
      </c>
      <c r="N1106">
        <v>0</v>
      </c>
      <c r="O1106">
        <v>0</v>
      </c>
      <c r="P1106">
        <v>0</v>
      </c>
      <c r="Q1106">
        <v>0</v>
      </c>
    </row>
    <row r="1107" spans="1:17" x14ac:dyDescent="0.2">
      <c r="A1107" s="121">
        <v>39660</v>
      </c>
      <c r="B1107" t="s">
        <v>406</v>
      </c>
      <c r="C1107" t="s">
        <v>456</v>
      </c>
      <c r="D1107" t="s">
        <v>461</v>
      </c>
      <c r="E1107" t="s">
        <v>462</v>
      </c>
      <c r="F1107" t="s">
        <v>410</v>
      </c>
      <c r="G1107">
        <v>108</v>
      </c>
      <c r="I1107">
        <v>108</v>
      </c>
    </row>
    <row r="1108" spans="1:17" x14ac:dyDescent="0.2">
      <c r="A1108" s="121">
        <v>39660</v>
      </c>
      <c r="B1108" t="s">
        <v>406</v>
      </c>
      <c r="C1108" t="s">
        <v>456</v>
      </c>
      <c r="D1108" t="s">
        <v>463</v>
      </c>
      <c r="E1108" t="s">
        <v>464</v>
      </c>
      <c r="F1108" t="s">
        <v>410</v>
      </c>
      <c r="G1108">
        <v>29</v>
      </c>
      <c r="I1108">
        <v>29</v>
      </c>
    </row>
    <row r="1109" spans="1:17" x14ac:dyDescent="0.2">
      <c r="A1109" s="121">
        <v>39660</v>
      </c>
      <c r="B1109" t="s">
        <v>406</v>
      </c>
      <c r="C1109" t="s">
        <v>456</v>
      </c>
      <c r="D1109" t="s">
        <v>465</v>
      </c>
      <c r="E1109" t="s">
        <v>466</v>
      </c>
      <c r="F1109" t="s">
        <v>410</v>
      </c>
      <c r="G1109">
        <v>84</v>
      </c>
      <c r="I1109">
        <v>84</v>
      </c>
    </row>
    <row r="1110" spans="1:17" x14ac:dyDescent="0.2">
      <c r="A1110" s="121">
        <v>39660</v>
      </c>
      <c r="B1110" t="s">
        <v>406</v>
      </c>
      <c r="C1110" t="s">
        <v>456</v>
      </c>
      <c r="D1110" t="s">
        <v>467</v>
      </c>
      <c r="E1110" t="s">
        <v>468</v>
      </c>
      <c r="F1110" t="s">
        <v>410</v>
      </c>
      <c r="G1110">
        <v>1172</v>
      </c>
      <c r="I1110">
        <v>1172</v>
      </c>
    </row>
    <row r="1111" spans="1:17" x14ac:dyDescent="0.2">
      <c r="A1111" s="121">
        <v>39660</v>
      </c>
      <c r="B1111" t="s">
        <v>406</v>
      </c>
      <c r="C1111" t="s">
        <v>456</v>
      </c>
      <c r="D1111" t="s">
        <v>469</v>
      </c>
      <c r="E1111" t="s">
        <v>470</v>
      </c>
      <c r="F1111" t="s">
        <v>410</v>
      </c>
      <c r="G1111">
        <v>868</v>
      </c>
      <c r="I1111">
        <v>863</v>
      </c>
    </row>
    <row r="1112" spans="1:17" x14ac:dyDescent="0.2">
      <c r="A1112" s="121">
        <v>39660</v>
      </c>
      <c r="B1112" t="s">
        <v>406</v>
      </c>
      <c r="C1112" t="s">
        <v>456</v>
      </c>
      <c r="D1112" t="s">
        <v>471</v>
      </c>
      <c r="E1112" t="s">
        <v>472</v>
      </c>
      <c r="F1112" t="s">
        <v>410</v>
      </c>
      <c r="G1112">
        <v>279</v>
      </c>
      <c r="I1112">
        <v>279</v>
      </c>
    </row>
    <row r="1113" spans="1:17" x14ac:dyDescent="0.2">
      <c r="A1113" s="121">
        <v>39660</v>
      </c>
      <c r="B1113" t="s">
        <v>406</v>
      </c>
      <c r="C1113" t="s">
        <v>456</v>
      </c>
      <c r="D1113" t="s">
        <v>473</v>
      </c>
      <c r="E1113" t="s">
        <v>474</v>
      </c>
      <c r="F1113" t="s">
        <v>410</v>
      </c>
      <c r="G1113">
        <v>203</v>
      </c>
      <c r="I1113">
        <v>203</v>
      </c>
    </row>
    <row r="1114" spans="1:17" x14ac:dyDescent="0.2">
      <c r="A1114" s="121">
        <v>39660</v>
      </c>
      <c r="B1114" t="s">
        <v>406</v>
      </c>
      <c r="C1114" t="s">
        <v>456</v>
      </c>
      <c r="D1114" t="s">
        <v>475</v>
      </c>
      <c r="E1114" t="s">
        <v>476</v>
      </c>
      <c r="F1114" t="s">
        <v>410</v>
      </c>
      <c r="G1114">
        <v>401</v>
      </c>
      <c r="I1114">
        <v>401</v>
      </c>
    </row>
    <row r="1115" spans="1:17" x14ac:dyDescent="0.2">
      <c r="A1115" s="121">
        <v>39660</v>
      </c>
      <c r="B1115" t="s">
        <v>406</v>
      </c>
      <c r="C1115" t="s">
        <v>456</v>
      </c>
      <c r="D1115" t="s">
        <v>477</v>
      </c>
      <c r="E1115" t="s">
        <v>478</v>
      </c>
      <c r="F1115" t="s">
        <v>413</v>
      </c>
      <c r="G1115">
        <v>2018</v>
      </c>
      <c r="H1115">
        <v>2018</v>
      </c>
      <c r="I1115">
        <v>1985</v>
      </c>
      <c r="J1115">
        <v>1985</v>
      </c>
      <c r="K1115">
        <v>510</v>
      </c>
      <c r="L1115">
        <v>4</v>
      </c>
      <c r="M1115">
        <v>1465</v>
      </c>
      <c r="N1115">
        <v>18</v>
      </c>
      <c r="O1115">
        <v>21</v>
      </c>
      <c r="P1115">
        <v>0</v>
      </c>
      <c r="Q1115">
        <v>0</v>
      </c>
    </row>
    <row r="1116" spans="1:17" x14ac:dyDescent="0.2">
      <c r="A1116" s="121">
        <v>39660</v>
      </c>
      <c r="B1116" t="s">
        <v>406</v>
      </c>
      <c r="C1116" t="s">
        <v>456</v>
      </c>
      <c r="D1116" t="s">
        <v>479</v>
      </c>
      <c r="E1116" t="s">
        <v>480</v>
      </c>
      <c r="F1116" t="s">
        <v>410</v>
      </c>
      <c r="G1116">
        <v>94</v>
      </c>
      <c r="I1116">
        <v>94</v>
      </c>
    </row>
    <row r="1117" spans="1:17" x14ac:dyDescent="0.2">
      <c r="A1117" s="121">
        <v>39660</v>
      </c>
      <c r="B1117" t="s">
        <v>406</v>
      </c>
      <c r="C1117" t="s">
        <v>456</v>
      </c>
      <c r="D1117" t="s">
        <v>481</v>
      </c>
      <c r="E1117" t="s">
        <v>482</v>
      </c>
      <c r="F1117" t="s">
        <v>410</v>
      </c>
      <c r="G1117">
        <v>38</v>
      </c>
      <c r="I1117">
        <v>38</v>
      </c>
    </row>
    <row r="1118" spans="1:17" x14ac:dyDescent="0.2">
      <c r="A1118" s="121">
        <v>39660</v>
      </c>
      <c r="B1118" t="s">
        <v>406</v>
      </c>
      <c r="C1118" t="s">
        <v>456</v>
      </c>
      <c r="D1118" t="s">
        <v>483</v>
      </c>
      <c r="E1118" t="s">
        <v>484</v>
      </c>
      <c r="F1118" t="s">
        <v>410</v>
      </c>
      <c r="G1118">
        <v>117</v>
      </c>
      <c r="I1118">
        <v>117</v>
      </c>
    </row>
    <row r="1119" spans="1:17" x14ac:dyDescent="0.2">
      <c r="A1119" s="121">
        <v>39660</v>
      </c>
      <c r="B1119" t="s">
        <v>406</v>
      </c>
      <c r="C1119" t="s">
        <v>456</v>
      </c>
      <c r="D1119" t="s">
        <v>485</v>
      </c>
      <c r="E1119" t="s">
        <v>486</v>
      </c>
      <c r="F1119" t="s">
        <v>410</v>
      </c>
      <c r="G1119">
        <v>86</v>
      </c>
      <c r="I1119">
        <v>86</v>
      </c>
    </row>
    <row r="1120" spans="1:17" x14ac:dyDescent="0.2">
      <c r="A1120" s="121">
        <v>39660</v>
      </c>
      <c r="B1120" t="s">
        <v>406</v>
      </c>
      <c r="C1120" t="s">
        <v>456</v>
      </c>
      <c r="D1120" t="s">
        <v>487</v>
      </c>
      <c r="E1120" t="s">
        <v>488</v>
      </c>
      <c r="F1120" t="s">
        <v>410</v>
      </c>
      <c r="G1120">
        <v>42</v>
      </c>
      <c r="I1120">
        <v>42</v>
      </c>
    </row>
    <row r="1121" spans="1:17" x14ac:dyDescent="0.2">
      <c r="A1121" s="121">
        <v>39660</v>
      </c>
      <c r="B1121" t="s">
        <v>406</v>
      </c>
      <c r="C1121" t="s">
        <v>456</v>
      </c>
      <c r="D1121" t="s">
        <v>489</v>
      </c>
      <c r="E1121" t="s">
        <v>490</v>
      </c>
      <c r="F1121" t="s">
        <v>410</v>
      </c>
      <c r="G1121">
        <v>150</v>
      </c>
      <c r="H1121">
        <v>150</v>
      </c>
      <c r="I1121">
        <v>150</v>
      </c>
      <c r="J1121">
        <v>150</v>
      </c>
      <c r="K1121">
        <v>0</v>
      </c>
      <c r="L1121">
        <v>0</v>
      </c>
      <c r="M1121">
        <v>122</v>
      </c>
      <c r="N1121">
        <v>28</v>
      </c>
      <c r="O1121">
        <v>0</v>
      </c>
      <c r="P1121">
        <v>0</v>
      </c>
      <c r="Q1121">
        <v>0</v>
      </c>
    </row>
    <row r="1122" spans="1:17" x14ac:dyDescent="0.2">
      <c r="A1122" s="121">
        <v>39660</v>
      </c>
      <c r="B1122" t="s">
        <v>406</v>
      </c>
      <c r="C1122" t="s">
        <v>491</v>
      </c>
      <c r="D1122" t="s">
        <v>492</v>
      </c>
      <c r="E1122" t="s">
        <v>493</v>
      </c>
      <c r="F1122" t="s">
        <v>410</v>
      </c>
      <c r="G1122">
        <v>1232</v>
      </c>
      <c r="H1122">
        <v>1232</v>
      </c>
      <c r="I1122">
        <v>1231</v>
      </c>
      <c r="J1122">
        <v>1231</v>
      </c>
      <c r="K1122">
        <v>272</v>
      </c>
      <c r="L1122">
        <v>0</v>
      </c>
      <c r="M1122">
        <v>1</v>
      </c>
      <c r="N1122">
        <v>66</v>
      </c>
      <c r="O1122">
        <v>893</v>
      </c>
      <c r="P1122">
        <v>0</v>
      </c>
      <c r="Q1122">
        <v>0</v>
      </c>
    </row>
    <row r="1123" spans="1:17" x14ac:dyDescent="0.2">
      <c r="A1123" s="121">
        <v>39660</v>
      </c>
      <c r="B1123" t="s">
        <v>406</v>
      </c>
      <c r="C1123" t="s">
        <v>491</v>
      </c>
      <c r="D1123" t="s">
        <v>494</v>
      </c>
      <c r="E1123" t="s">
        <v>495</v>
      </c>
      <c r="F1123" t="s">
        <v>413</v>
      </c>
      <c r="G1123">
        <v>2762</v>
      </c>
      <c r="H1123">
        <v>2762</v>
      </c>
      <c r="I1123">
        <v>2741</v>
      </c>
      <c r="J1123">
        <v>2741</v>
      </c>
      <c r="K1123">
        <v>2</v>
      </c>
      <c r="L1123">
        <v>0</v>
      </c>
      <c r="M1123">
        <v>7</v>
      </c>
      <c r="N1123">
        <v>20</v>
      </c>
      <c r="O1123">
        <v>2733</v>
      </c>
      <c r="P1123">
        <v>1</v>
      </c>
      <c r="Q1123">
        <v>0</v>
      </c>
    </row>
    <row r="1124" spans="1:17" x14ac:dyDescent="0.2">
      <c r="A1124" s="121">
        <v>39660</v>
      </c>
      <c r="B1124" t="s">
        <v>406</v>
      </c>
      <c r="C1124" t="s">
        <v>491</v>
      </c>
      <c r="D1124" t="s">
        <v>496</v>
      </c>
      <c r="E1124" t="s">
        <v>497</v>
      </c>
      <c r="F1124" t="s">
        <v>413</v>
      </c>
      <c r="G1124">
        <v>5944</v>
      </c>
      <c r="H1124">
        <v>5944</v>
      </c>
      <c r="I1124">
        <v>5869</v>
      </c>
      <c r="J1124">
        <v>5869</v>
      </c>
      <c r="K1124">
        <v>1714</v>
      </c>
      <c r="L1124">
        <v>0</v>
      </c>
      <c r="M1124">
        <v>11</v>
      </c>
      <c r="N1124">
        <v>77</v>
      </c>
      <c r="O1124">
        <v>4142</v>
      </c>
      <c r="P1124">
        <v>3</v>
      </c>
      <c r="Q1124">
        <v>1</v>
      </c>
    </row>
    <row r="1125" spans="1:17" x14ac:dyDescent="0.2">
      <c r="A1125" s="121">
        <v>39660</v>
      </c>
      <c r="B1125" t="s">
        <v>406</v>
      </c>
      <c r="C1125" t="s">
        <v>491</v>
      </c>
      <c r="D1125" t="s">
        <v>498</v>
      </c>
      <c r="E1125" t="s">
        <v>499</v>
      </c>
      <c r="F1125" t="s">
        <v>413</v>
      </c>
      <c r="G1125">
        <v>6366</v>
      </c>
      <c r="H1125">
        <v>6366</v>
      </c>
      <c r="I1125">
        <v>6158</v>
      </c>
      <c r="J1125">
        <v>6158</v>
      </c>
      <c r="K1125">
        <v>1895</v>
      </c>
      <c r="L1125">
        <v>12</v>
      </c>
      <c r="M1125">
        <v>3992</v>
      </c>
      <c r="N1125">
        <v>112</v>
      </c>
      <c r="O1125">
        <v>355</v>
      </c>
      <c r="P1125">
        <v>3</v>
      </c>
      <c r="Q1125">
        <v>0</v>
      </c>
    </row>
    <row r="1126" spans="1:17" x14ac:dyDescent="0.2">
      <c r="A1126" s="121">
        <v>39660</v>
      </c>
      <c r="B1126" t="s">
        <v>406</v>
      </c>
      <c r="C1126" t="s">
        <v>491</v>
      </c>
      <c r="D1126" t="s">
        <v>500</v>
      </c>
      <c r="E1126" t="s">
        <v>501</v>
      </c>
      <c r="F1126" t="s">
        <v>413</v>
      </c>
      <c r="G1126">
        <v>3521</v>
      </c>
      <c r="H1126">
        <v>3521</v>
      </c>
      <c r="I1126">
        <v>3486</v>
      </c>
      <c r="J1126">
        <v>3486</v>
      </c>
      <c r="K1126">
        <v>926</v>
      </c>
      <c r="L1126">
        <v>0</v>
      </c>
      <c r="M1126">
        <v>2388</v>
      </c>
      <c r="N1126">
        <v>42</v>
      </c>
      <c r="O1126">
        <v>165</v>
      </c>
      <c r="P1126">
        <v>0</v>
      </c>
      <c r="Q1126">
        <v>0</v>
      </c>
    </row>
    <row r="1127" spans="1:17" x14ac:dyDescent="0.2">
      <c r="A1127" s="121">
        <v>39660</v>
      </c>
      <c r="B1127" t="s">
        <v>406</v>
      </c>
      <c r="C1127" t="s">
        <v>491</v>
      </c>
      <c r="D1127" t="s">
        <v>502</v>
      </c>
      <c r="E1127" t="s">
        <v>503</v>
      </c>
      <c r="F1127" t="s">
        <v>413</v>
      </c>
      <c r="G1127">
        <v>5918</v>
      </c>
      <c r="H1127">
        <v>5918</v>
      </c>
      <c r="I1127">
        <v>5874</v>
      </c>
      <c r="J1127">
        <v>5874</v>
      </c>
      <c r="K1127">
        <v>1540</v>
      </c>
      <c r="L1127">
        <v>13</v>
      </c>
      <c r="M1127">
        <v>4185</v>
      </c>
      <c r="N1127">
        <v>117</v>
      </c>
      <c r="O1127">
        <v>63</v>
      </c>
      <c r="P1127">
        <v>2</v>
      </c>
      <c r="Q1127">
        <v>0</v>
      </c>
    </row>
    <row r="1128" spans="1:17" x14ac:dyDescent="0.2">
      <c r="A1128" s="121">
        <v>39660</v>
      </c>
      <c r="B1128" t="s">
        <v>406</v>
      </c>
      <c r="C1128" t="s">
        <v>491</v>
      </c>
      <c r="D1128" t="s">
        <v>504</v>
      </c>
      <c r="E1128" t="s">
        <v>505</v>
      </c>
      <c r="F1128" t="s">
        <v>413</v>
      </c>
      <c r="G1128">
        <v>4103</v>
      </c>
      <c r="H1128">
        <v>4103</v>
      </c>
      <c r="I1128">
        <v>4029</v>
      </c>
      <c r="J1128">
        <v>4029</v>
      </c>
      <c r="K1128">
        <v>1209</v>
      </c>
      <c r="L1128">
        <v>11</v>
      </c>
      <c r="M1128">
        <v>2703</v>
      </c>
      <c r="N1128">
        <v>60</v>
      </c>
      <c r="O1128">
        <v>120</v>
      </c>
      <c r="P1128">
        <v>2</v>
      </c>
      <c r="Q1128">
        <v>0</v>
      </c>
    </row>
    <row r="1129" spans="1:17" x14ac:dyDescent="0.2">
      <c r="A1129" s="121">
        <v>39660</v>
      </c>
      <c r="B1129" t="s">
        <v>406</v>
      </c>
      <c r="C1129" t="s">
        <v>491</v>
      </c>
      <c r="D1129" t="s">
        <v>506</v>
      </c>
      <c r="E1129" t="s">
        <v>507</v>
      </c>
      <c r="F1129" t="s">
        <v>413</v>
      </c>
      <c r="G1129">
        <v>2985</v>
      </c>
      <c r="H1129">
        <v>2985</v>
      </c>
      <c r="I1129">
        <v>2945</v>
      </c>
      <c r="J1129">
        <v>2945</v>
      </c>
      <c r="K1129">
        <v>496</v>
      </c>
      <c r="L1129">
        <v>1</v>
      </c>
      <c r="M1129">
        <v>2475</v>
      </c>
      <c r="N1129">
        <v>6</v>
      </c>
      <c r="O1129">
        <v>7</v>
      </c>
      <c r="P1129">
        <v>0</v>
      </c>
      <c r="Q1129">
        <v>0</v>
      </c>
    </row>
    <row r="1130" spans="1:17" x14ac:dyDescent="0.2">
      <c r="A1130" s="121">
        <v>39660</v>
      </c>
      <c r="B1130" t="s">
        <v>406</v>
      </c>
      <c r="C1130" t="s">
        <v>491</v>
      </c>
      <c r="D1130" t="s">
        <v>508</v>
      </c>
      <c r="E1130" t="s">
        <v>509</v>
      </c>
      <c r="F1130" t="s">
        <v>413</v>
      </c>
      <c r="G1130">
        <v>5084</v>
      </c>
      <c r="H1130">
        <v>5084</v>
      </c>
      <c r="I1130">
        <v>4993</v>
      </c>
      <c r="J1130">
        <v>4993</v>
      </c>
      <c r="K1130">
        <v>1679</v>
      </c>
      <c r="L1130">
        <v>12</v>
      </c>
      <c r="M1130">
        <v>2958</v>
      </c>
      <c r="N1130">
        <v>145</v>
      </c>
      <c r="O1130">
        <v>290</v>
      </c>
      <c r="P1130">
        <v>3</v>
      </c>
      <c r="Q1130">
        <v>0</v>
      </c>
    </row>
    <row r="1131" spans="1:17" x14ac:dyDescent="0.2">
      <c r="A1131" s="121">
        <v>39660</v>
      </c>
      <c r="B1131" t="s">
        <v>406</v>
      </c>
      <c r="C1131" t="s">
        <v>510</v>
      </c>
      <c r="D1131" t="s">
        <v>511</v>
      </c>
      <c r="E1131" t="s">
        <v>512</v>
      </c>
      <c r="F1131" t="s">
        <v>410</v>
      </c>
      <c r="G1131">
        <v>500</v>
      </c>
      <c r="I1131">
        <v>492</v>
      </c>
    </row>
    <row r="1132" spans="1:17" x14ac:dyDescent="0.2">
      <c r="A1132" s="121">
        <v>39660</v>
      </c>
      <c r="B1132" t="s">
        <v>406</v>
      </c>
      <c r="C1132" t="s">
        <v>510</v>
      </c>
      <c r="D1132" t="s">
        <v>513</v>
      </c>
      <c r="E1132" t="s">
        <v>514</v>
      </c>
      <c r="F1132" t="s">
        <v>410</v>
      </c>
      <c r="G1132">
        <v>582</v>
      </c>
      <c r="I1132">
        <v>582</v>
      </c>
    </row>
    <row r="1133" spans="1:17" x14ac:dyDescent="0.2">
      <c r="A1133" s="121">
        <v>39660</v>
      </c>
      <c r="B1133" t="s">
        <v>406</v>
      </c>
      <c r="C1133" t="s">
        <v>510</v>
      </c>
      <c r="D1133" t="s">
        <v>515</v>
      </c>
      <c r="E1133" t="s">
        <v>516</v>
      </c>
      <c r="F1133" t="s">
        <v>410</v>
      </c>
      <c r="G1133">
        <v>100</v>
      </c>
      <c r="I1133">
        <v>97</v>
      </c>
    </row>
    <row r="1134" spans="1:17" x14ac:dyDescent="0.2">
      <c r="A1134" s="121">
        <v>39660</v>
      </c>
      <c r="B1134" t="s">
        <v>406</v>
      </c>
      <c r="C1134" t="s">
        <v>510</v>
      </c>
      <c r="D1134" t="s">
        <v>517</v>
      </c>
      <c r="E1134" t="s">
        <v>518</v>
      </c>
      <c r="F1134" t="s">
        <v>410</v>
      </c>
      <c r="G1134">
        <v>306</v>
      </c>
      <c r="I1134">
        <v>302</v>
      </c>
    </row>
    <row r="1135" spans="1:17" x14ac:dyDescent="0.2">
      <c r="A1135" s="121">
        <v>39660</v>
      </c>
      <c r="B1135" t="s">
        <v>406</v>
      </c>
      <c r="C1135" t="s">
        <v>510</v>
      </c>
      <c r="D1135" t="s">
        <v>519</v>
      </c>
      <c r="E1135" t="s">
        <v>520</v>
      </c>
      <c r="F1135" t="s">
        <v>410</v>
      </c>
      <c r="G1135">
        <v>628</v>
      </c>
      <c r="I1135">
        <v>622</v>
      </c>
    </row>
    <row r="1136" spans="1:17" x14ac:dyDescent="0.2">
      <c r="A1136" s="121">
        <v>39660</v>
      </c>
      <c r="B1136" t="s">
        <v>406</v>
      </c>
      <c r="C1136" t="s">
        <v>510</v>
      </c>
      <c r="D1136" t="s">
        <v>521</v>
      </c>
      <c r="E1136" t="s">
        <v>522</v>
      </c>
      <c r="F1136" t="s">
        <v>410</v>
      </c>
      <c r="G1136">
        <v>75</v>
      </c>
      <c r="I1136">
        <v>73</v>
      </c>
    </row>
    <row r="1137" spans="1:17" x14ac:dyDescent="0.2">
      <c r="A1137" s="121">
        <v>39660</v>
      </c>
      <c r="B1137" t="s">
        <v>406</v>
      </c>
      <c r="C1137" t="s">
        <v>510</v>
      </c>
      <c r="D1137" t="s">
        <v>523</v>
      </c>
      <c r="E1137" t="s">
        <v>524</v>
      </c>
      <c r="F1137" t="s">
        <v>413</v>
      </c>
      <c r="G1137">
        <v>590</v>
      </c>
      <c r="I1137">
        <v>581</v>
      </c>
    </row>
    <row r="1138" spans="1:17" x14ac:dyDescent="0.2">
      <c r="A1138" s="121">
        <v>39660</v>
      </c>
      <c r="B1138" t="s">
        <v>406</v>
      </c>
      <c r="C1138" t="s">
        <v>510</v>
      </c>
      <c r="D1138" t="s">
        <v>527</v>
      </c>
      <c r="E1138" t="s">
        <v>528</v>
      </c>
      <c r="F1138" t="s">
        <v>410</v>
      </c>
      <c r="G1138">
        <v>218</v>
      </c>
      <c r="I1138">
        <v>218</v>
      </c>
    </row>
    <row r="1139" spans="1:17" x14ac:dyDescent="0.2">
      <c r="A1139" s="121">
        <v>39660</v>
      </c>
      <c r="B1139" t="s">
        <v>406</v>
      </c>
      <c r="C1139" t="s">
        <v>510</v>
      </c>
      <c r="D1139" t="s">
        <v>529</v>
      </c>
      <c r="E1139" t="s">
        <v>530</v>
      </c>
      <c r="F1139" t="s">
        <v>413</v>
      </c>
      <c r="G1139">
        <v>559</v>
      </c>
      <c r="I1139">
        <v>553</v>
      </c>
    </row>
    <row r="1140" spans="1:17" x14ac:dyDescent="0.2">
      <c r="A1140" s="121">
        <v>39660</v>
      </c>
      <c r="B1140" t="s">
        <v>406</v>
      </c>
      <c r="C1140" t="s">
        <v>510</v>
      </c>
      <c r="D1140" t="s">
        <v>531</v>
      </c>
      <c r="E1140" t="s">
        <v>532</v>
      </c>
      <c r="F1140" t="s">
        <v>410</v>
      </c>
      <c r="G1140">
        <v>93</v>
      </c>
      <c r="I1140">
        <v>93</v>
      </c>
    </row>
    <row r="1141" spans="1:17" x14ac:dyDescent="0.2">
      <c r="A1141" s="121">
        <v>39660</v>
      </c>
      <c r="B1141" t="s">
        <v>406</v>
      </c>
      <c r="C1141" t="s">
        <v>510</v>
      </c>
      <c r="D1141" t="s">
        <v>533</v>
      </c>
      <c r="E1141" t="s">
        <v>534</v>
      </c>
      <c r="F1141" t="s">
        <v>413</v>
      </c>
      <c r="G1141">
        <v>2790</v>
      </c>
      <c r="H1141">
        <v>2790</v>
      </c>
      <c r="I1141">
        <v>2746</v>
      </c>
      <c r="J1141">
        <v>2746</v>
      </c>
      <c r="K1141">
        <v>536</v>
      </c>
      <c r="L1141">
        <v>27</v>
      </c>
      <c r="M1141">
        <v>2224</v>
      </c>
      <c r="N1141">
        <v>3</v>
      </c>
      <c r="O1141">
        <v>0</v>
      </c>
      <c r="P1141">
        <v>1</v>
      </c>
      <c r="Q1141">
        <v>1</v>
      </c>
    </row>
    <row r="1142" spans="1:17" x14ac:dyDescent="0.2">
      <c r="A1142" s="121">
        <v>39660</v>
      </c>
      <c r="B1142" t="s">
        <v>406</v>
      </c>
      <c r="C1142" t="s">
        <v>510</v>
      </c>
      <c r="D1142" t="s">
        <v>535</v>
      </c>
      <c r="E1142" t="s">
        <v>536</v>
      </c>
      <c r="F1142" t="s">
        <v>410</v>
      </c>
      <c r="G1142">
        <v>300</v>
      </c>
      <c r="I1142">
        <v>300</v>
      </c>
    </row>
    <row r="1143" spans="1:17" x14ac:dyDescent="0.2">
      <c r="A1143" s="121">
        <v>39660</v>
      </c>
      <c r="B1143" t="s">
        <v>406</v>
      </c>
      <c r="C1143" t="s">
        <v>510</v>
      </c>
      <c r="D1143" t="s">
        <v>537</v>
      </c>
      <c r="E1143" t="s">
        <v>538</v>
      </c>
      <c r="F1143" t="s">
        <v>410</v>
      </c>
      <c r="G1143">
        <v>97</v>
      </c>
      <c r="I1143">
        <v>96</v>
      </c>
    </row>
    <row r="1144" spans="1:17" x14ac:dyDescent="0.2">
      <c r="A1144" s="121">
        <v>39660</v>
      </c>
      <c r="B1144" t="s">
        <v>406</v>
      </c>
      <c r="C1144" t="s">
        <v>510</v>
      </c>
      <c r="D1144" t="s">
        <v>539</v>
      </c>
      <c r="E1144" t="s">
        <v>540</v>
      </c>
      <c r="F1144" t="s">
        <v>413</v>
      </c>
      <c r="G1144">
        <v>1011</v>
      </c>
      <c r="I1144">
        <v>988</v>
      </c>
    </row>
    <row r="1145" spans="1:17" x14ac:dyDescent="0.2">
      <c r="A1145" s="121">
        <v>39660</v>
      </c>
      <c r="B1145" t="s">
        <v>406</v>
      </c>
      <c r="C1145" t="s">
        <v>510</v>
      </c>
      <c r="D1145" t="s">
        <v>541</v>
      </c>
      <c r="E1145" t="s">
        <v>542</v>
      </c>
      <c r="F1145" t="s">
        <v>410</v>
      </c>
      <c r="G1145">
        <v>436</v>
      </c>
      <c r="I1145">
        <v>427</v>
      </c>
    </row>
    <row r="1146" spans="1:17" x14ac:dyDescent="0.2">
      <c r="A1146" s="121">
        <v>39660</v>
      </c>
      <c r="B1146" t="s">
        <v>406</v>
      </c>
      <c r="C1146" t="s">
        <v>510</v>
      </c>
      <c r="D1146" t="s">
        <v>543</v>
      </c>
      <c r="E1146" t="s">
        <v>544</v>
      </c>
      <c r="F1146" t="s">
        <v>410</v>
      </c>
      <c r="G1146">
        <v>311</v>
      </c>
      <c r="I1146">
        <v>297</v>
      </c>
    </row>
    <row r="1147" spans="1:17" x14ac:dyDescent="0.2">
      <c r="A1147" s="121">
        <v>39660</v>
      </c>
      <c r="B1147" t="s">
        <v>406</v>
      </c>
      <c r="C1147" t="s">
        <v>510</v>
      </c>
      <c r="D1147" t="s">
        <v>545</v>
      </c>
      <c r="E1147" t="s">
        <v>546</v>
      </c>
      <c r="F1147" t="s">
        <v>410</v>
      </c>
      <c r="G1147">
        <v>242</v>
      </c>
      <c r="I1147">
        <v>242</v>
      </c>
    </row>
    <row r="1148" spans="1:17" x14ac:dyDescent="0.2">
      <c r="A1148" s="121">
        <v>39660</v>
      </c>
      <c r="B1148" t="s">
        <v>406</v>
      </c>
      <c r="C1148" t="s">
        <v>510</v>
      </c>
      <c r="D1148" t="s">
        <v>547</v>
      </c>
      <c r="E1148" t="s">
        <v>548</v>
      </c>
      <c r="F1148" t="s">
        <v>410</v>
      </c>
      <c r="G1148">
        <v>86</v>
      </c>
      <c r="I1148">
        <v>86</v>
      </c>
    </row>
    <row r="1149" spans="1:17" x14ac:dyDescent="0.2">
      <c r="A1149" s="121">
        <v>39660</v>
      </c>
      <c r="B1149" t="s">
        <v>406</v>
      </c>
      <c r="C1149" t="s">
        <v>510</v>
      </c>
      <c r="D1149" t="s">
        <v>549</v>
      </c>
      <c r="E1149" t="s">
        <v>550</v>
      </c>
      <c r="F1149" t="s">
        <v>410</v>
      </c>
      <c r="G1149">
        <v>219</v>
      </c>
      <c r="I1149">
        <v>219</v>
      </c>
    </row>
    <row r="1150" spans="1:17" x14ac:dyDescent="0.2">
      <c r="A1150" s="121">
        <v>39660</v>
      </c>
      <c r="B1150" t="s">
        <v>406</v>
      </c>
      <c r="C1150" t="s">
        <v>551</v>
      </c>
      <c r="D1150" t="s">
        <v>552</v>
      </c>
      <c r="E1150" t="s">
        <v>553</v>
      </c>
      <c r="F1150" t="s">
        <v>413</v>
      </c>
      <c r="G1150">
        <v>5583</v>
      </c>
      <c r="H1150">
        <v>5583</v>
      </c>
      <c r="I1150">
        <v>5523</v>
      </c>
      <c r="J1150">
        <v>5523</v>
      </c>
      <c r="K1150">
        <v>1597</v>
      </c>
      <c r="L1150">
        <v>9</v>
      </c>
      <c r="M1150">
        <v>3944</v>
      </c>
      <c r="N1150">
        <v>16</v>
      </c>
      <c r="O1150">
        <v>17</v>
      </c>
      <c r="P1150">
        <v>2</v>
      </c>
      <c r="Q1150">
        <v>0</v>
      </c>
    </row>
    <row r="1151" spans="1:17" x14ac:dyDescent="0.2">
      <c r="A1151" s="121">
        <v>39660</v>
      </c>
      <c r="B1151" t="s">
        <v>406</v>
      </c>
      <c r="C1151" t="s">
        <v>551</v>
      </c>
      <c r="D1151" t="s">
        <v>554</v>
      </c>
      <c r="E1151" t="s">
        <v>555</v>
      </c>
      <c r="F1151" t="s">
        <v>410</v>
      </c>
      <c r="G1151">
        <v>154</v>
      </c>
      <c r="I1151">
        <v>154</v>
      </c>
    </row>
    <row r="1152" spans="1:17" x14ac:dyDescent="0.2">
      <c r="A1152" s="121">
        <v>39660</v>
      </c>
      <c r="B1152" t="s">
        <v>406</v>
      </c>
      <c r="C1152" t="s">
        <v>551</v>
      </c>
      <c r="D1152" t="s">
        <v>556</v>
      </c>
      <c r="E1152" t="s">
        <v>557</v>
      </c>
      <c r="F1152" t="s">
        <v>410</v>
      </c>
      <c r="G1152">
        <v>174</v>
      </c>
      <c r="I1152">
        <v>174</v>
      </c>
    </row>
    <row r="1153" spans="1:17" x14ac:dyDescent="0.2">
      <c r="A1153" s="121">
        <v>39660</v>
      </c>
      <c r="B1153" t="s">
        <v>406</v>
      </c>
      <c r="C1153" t="s">
        <v>551</v>
      </c>
      <c r="D1153" t="s">
        <v>558</v>
      </c>
      <c r="E1153" t="s">
        <v>559</v>
      </c>
      <c r="F1153" t="s">
        <v>413</v>
      </c>
      <c r="G1153">
        <v>4845</v>
      </c>
      <c r="H1153">
        <v>4845</v>
      </c>
      <c r="I1153">
        <v>4769</v>
      </c>
      <c r="J1153">
        <v>4769</v>
      </c>
      <c r="K1153">
        <v>1179</v>
      </c>
      <c r="L1153">
        <v>2</v>
      </c>
      <c r="M1153">
        <v>3631</v>
      </c>
      <c r="N1153">
        <v>15</v>
      </c>
      <c r="O1153">
        <v>18</v>
      </c>
      <c r="P1153">
        <v>8</v>
      </c>
      <c r="Q1153">
        <v>0</v>
      </c>
    </row>
    <row r="1154" spans="1:17" x14ac:dyDescent="0.2">
      <c r="A1154" s="121">
        <v>39660</v>
      </c>
      <c r="B1154" t="s">
        <v>406</v>
      </c>
      <c r="C1154" t="s">
        <v>551</v>
      </c>
      <c r="D1154" t="s">
        <v>560</v>
      </c>
      <c r="E1154" t="s">
        <v>561</v>
      </c>
      <c r="F1154" t="s">
        <v>413</v>
      </c>
      <c r="G1154">
        <v>5433</v>
      </c>
      <c r="H1154">
        <v>5433</v>
      </c>
      <c r="I1154">
        <v>5365</v>
      </c>
      <c r="J1154">
        <v>5365</v>
      </c>
      <c r="K1154">
        <v>1134</v>
      </c>
      <c r="L1154">
        <v>10</v>
      </c>
      <c r="M1154">
        <v>4249</v>
      </c>
      <c r="N1154">
        <v>19</v>
      </c>
      <c r="O1154">
        <v>21</v>
      </c>
      <c r="P1154">
        <v>6</v>
      </c>
      <c r="Q1154">
        <v>3</v>
      </c>
    </row>
    <row r="1155" spans="1:17" x14ac:dyDescent="0.2">
      <c r="A1155" s="121">
        <v>39660</v>
      </c>
      <c r="B1155" t="s">
        <v>406</v>
      </c>
      <c r="C1155" t="s">
        <v>562</v>
      </c>
      <c r="D1155" t="s">
        <v>603</v>
      </c>
      <c r="E1155" t="s">
        <v>604</v>
      </c>
      <c r="F1155" t="s">
        <v>410</v>
      </c>
      <c r="G1155">
        <v>14</v>
      </c>
      <c r="I1155">
        <v>14</v>
      </c>
    </row>
    <row r="1156" spans="1:17" x14ac:dyDescent="0.2">
      <c r="A1156" s="121">
        <v>39660</v>
      </c>
      <c r="B1156" t="s">
        <v>406</v>
      </c>
      <c r="C1156" t="s">
        <v>562</v>
      </c>
      <c r="D1156" t="s">
        <v>605</v>
      </c>
      <c r="E1156" t="s">
        <v>606</v>
      </c>
      <c r="F1156" t="s">
        <v>410</v>
      </c>
      <c r="G1156">
        <v>221</v>
      </c>
      <c r="I1156">
        <v>221</v>
      </c>
    </row>
    <row r="1157" spans="1:17" x14ac:dyDescent="0.2">
      <c r="A1157" s="121">
        <v>39660</v>
      </c>
      <c r="B1157" t="s">
        <v>406</v>
      </c>
      <c r="C1157" t="s">
        <v>562</v>
      </c>
      <c r="D1157" t="s">
        <v>563</v>
      </c>
      <c r="E1157" t="s">
        <v>564</v>
      </c>
      <c r="F1157" t="s">
        <v>410</v>
      </c>
      <c r="G1157">
        <v>2887</v>
      </c>
      <c r="H1157">
        <v>2887</v>
      </c>
      <c r="I1157">
        <v>2860</v>
      </c>
      <c r="J1157">
        <v>2860</v>
      </c>
      <c r="K1157">
        <v>963</v>
      </c>
      <c r="L1157">
        <v>2</v>
      </c>
      <c r="M1157">
        <v>1872</v>
      </c>
      <c r="N1157">
        <v>50</v>
      </c>
      <c r="O1157">
        <v>0</v>
      </c>
      <c r="P1157">
        <v>0</v>
      </c>
      <c r="Q1157">
        <v>0</v>
      </c>
    </row>
    <row r="1158" spans="1:17" x14ac:dyDescent="0.2">
      <c r="A1158" s="121">
        <v>39660</v>
      </c>
      <c r="B1158" t="s">
        <v>406</v>
      </c>
      <c r="C1158" t="s">
        <v>562</v>
      </c>
      <c r="D1158" t="s">
        <v>565</v>
      </c>
      <c r="E1158" t="s">
        <v>566</v>
      </c>
      <c r="F1158" t="s">
        <v>413</v>
      </c>
      <c r="G1158">
        <v>4135</v>
      </c>
      <c r="H1158">
        <v>4135</v>
      </c>
      <c r="I1158">
        <v>4033</v>
      </c>
      <c r="J1158">
        <v>4033</v>
      </c>
      <c r="K1158">
        <v>1015</v>
      </c>
      <c r="L1158">
        <v>6</v>
      </c>
      <c r="M1158">
        <v>2968</v>
      </c>
      <c r="N1158">
        <v>146</v>
      </c>
      <c r="O1158">
        <v>0</v>
      </c>
      <c r="P1158">
        <v>14</v>
      </c>
      <c r="Q1158">
        <v>10</v>
      </c>
    </row>
    <row r="1159" spans="1:17" x14ac:dyDescent="0.2">
      <c r="A1159" s="121">
        <v>39660</v>
      </c>
      <c r="B1159" t="s">
        <v>406</v>
      </c>
      <c r="C1159" t="s">
        <v>562</v>
      </c>
      <c r="D1159" t="s">
        <v>567</v>
      </c>
      <c r="E1159" t="s">
        <v>568</v>
      </c>
      <c r="F1159" t="s">
        <v>413</v>
      </c>
      <c r="G1159">
        <v>8768</v>
      </c>
      <c r="H1159">
        <v>8768</v>
      </c>
      <c r="I1159">
        <v>8505</v>
      </c>
      <c r="J1159">
        <v>8505</v>
      </c>
      <c r="K1159">
        <v>2474</v>
      </c>
      <c r="L1159">
        <v>20</v>
      </c>
      <c r="M1159">
        <v>6002</v>
      </c>
      <c r="N1159">
        <v>272</v>
      </c>
      <c r="O1159">
        <v>0</v>
      </c>
      <c r="P1159">
        <v>11</v>
      </c>
      <c r="Q1159">
        <v>1</v>
      </c>
    </row>
    <row r="1160" spans="1:17" x14ac:dyDescent="0.2">
      <c r="A1160" s="121">
        <v>39660</v>
      </c>
      <c r="B1160" t="s">
        <v>406</v>
      </c>
      <c r="C1160" t="s">
        <v>562</v>
      </c>
      <c r="D1160" t="s">
        <v>569</v>
      </c>
      <c r="E1160" t="s">
        <v>570</v>
      </c>
      <c r="F1160" t="s">
        <v>413</v>
      </c>
      <c r="G1160">
        <v>2524</v>
      </c>
      <c r="H1160">
        <v>2524</v>
      </c>
      <c r="I1160">
        <v>2516</v>
      </c>
      <c r="J1160">
        <v>2516</v>
      </c>
      <c r="K1160">
        <v>459</v>
      </c>
      <c r="L1160">
        <v>0</v>
      </c>
      <c r="M1160">
        <v>2065</v>
      </c>
      <c r="N1160">
        <v>0</v>
      </c>
      <c r="O1160">
        <v>0</v>
      </c>
      <c r="P1160">
        <v>0</v>
      </c>
      <c r="Q1160">
        <v>0</v>
      </c>
    </row>
    <row r="1161" spans="1:17" x14ac:dyDescent="0.2">
      <c r="A1161" s="121">
        <v>39660</v>
      </c>
      <c r="B1161" t="s">
        <v>406</v>
      </c>
      <c r="C1161" t="s">
        <v>571</v>
      </c>
      <c r="D1161" t="s">
        <v>572</v>
      </c>
      <c r="E1161" t="s">
        <v>573</v>
      </c>
      <c r="F1161" t="s">
        <v>410</v>
      </c>
      <c r="G1161">
        <v>250</v>
      </c>
      <c r="I1161">
        <v>250</v>
      </c>
    </row>
    <row r="1162" spans="1:17" x14ac:dyDescent="0.2">
      <c r="A1162" s="121">
        <v>39660</v>
      </c>
      <c r="B1162" t="s">
        <v>406</v>
      </c>
      <c r="C1162" t="s">
        <v>574</v>
      </c>
      <c r="D1162" t="s">
        <v>575</v>
      </c>
      <c r="E1162" t="s">
        <v>576</v>
      </c>
      <c r="F1162" t="s">
        <v>413</v>
      </c>
      <c r="G1162">
        <v>789</v>
      </c>
      <c r="H1162">
        <v>789</v>
      </c>
      <c r="I1162">
        <v>782</v>
      </c>
      <c r="J1162">
        <v>782</v>
      </c>
      <c r="K1162">
        <v>151</v>
      </c>
      <c r="L1162">
        <v>1</v>
      </c>
      <c r="M1162">
        <v>595</v>
      </c>
      <c r="N1162">
        <v>3</v>
      </c>
      <c r="O1162">
        <v>39</v>
      </c>
      <c r="P1162">
        <v>0</v>
      </c>
      <c r="Q1162">
        <v>0</v>
      </c>
    </row>
    <row r="1163" spans="1:17" x14ac:dyDescent="0.2">
      <c r="A1163" s="121">
        <v>39660</v>
      </c>
      <c r="B1163" t="s">
        <v>406</v>
      </c>
      <c r="C1163" t="s">
        <v>577</v>
      </c>
      <c r="D1163" t="s">
        <v>578</v>
      </c>
      <c r="E1163" t="s">
        <v>579</v>
      </c>
      <c r="F1163" t="s">
        <v>413</v>
      </c>
      <c r="G1163">
        <v>4140</v>
      </c>
      <c r="H1163">
        <v>4140</v>
      </c>
      <c r="I1163">
        <v>4103</v>
      </c>
      <c r="J1163">
        <v>4103</v>
      </c>
      <c r="K1163">
        <v>917</v>
      </c>
      <c r="L1163">
        <v>12</v>
      </c>
      <c r="M1163">
        <v>3085</v>
      </c>
      <c r="N1163">
        <v>33</v>
      </c>
      <c r="O1163">
        <v>93</v>
      </c>
      <c r="P1163">
        <v>1</v>
      </c>
      <c r="Q1163">
        <v>0</v>
      </c>
    </row>
    <row r="1164" spans="1:17" x14ac:dyDescent="0.2">
      <c r="A1164" s="121">
        <v>39660</v>
      </c>
      <c r="B1164" t="s">
        <v>406</v>
      </c>
      <c r="C1164" t="s">
        <v>577</v>
      </c>
      <c r="D1164" t="s">
        <v>580</v>
      </c>
      <c r="E1164" t="s">
        <v>581</v>
      </c>
      <c r="F1164" t="s">
        <v>413</v>
      </c>
      <c r="G1164">
        <v>2215</v>
      </c>
      <c r="H1164">
        <v>2215</v>
      </c>
      <c r="I1164">
        <v>2201</v>
      </c>
      <c r="J1164">
        <v>2201</v>
      </c>
      <c r="K1164">
        <v>374</v>
      </c>
      <c r="L1164">
        <v>1</v>
      </c>
      <c r="M1164">
        <v>1631</v>
      </c>
      <c r="N1164">
        <v>54</v>
      </c>
      <c r="O1164">
        <v>155</v>
      </c>
      <c r="P1164">
        <v>0</v>
      </c>
      <c r="Q1164">
        <v>0</v>
      </c>
    </row>
    <row r="1165" spans="1:17" x14ac:dyDescent="0.2">
      <c r="A1165" s="121">
        <v>39660</v>
      </c>
      <c r="B1165" t="s">
        <v>406</v>
      </c>
      <c r="C1165" t="s">
        <v>577</v>
      </c>
      <c r="D1165" t="s">
        <v>584</v>
      </c>
      <c r="E1165" t="s">
        <v>585</v>
      </c>
      <c r="F1165" t="s">
        <v>410</v>
      </c>
      <c r="G1165">
        <v>170</v>
      </c>
      <c r="H1165">
        <v>170</v>
      </c>
      <c r="I1165">
        <v>170</v>
      </c>
      <c r="J1165">
        <v>170</v>
      </c>
      <c r="K1165">
        <v>10</v>
      </c>
      <c r="L1165">
        <v>0</v>
      </c>
      <c r="M1165">
        <v>160</v>
      </c>
      <c r="N1165">
        <v>0</v>
      </c>
      <c r="O1165">
        <v>0</v>
      </c>
      <c r="P1165">
        <v>0</v>
      </c>
      <c r="Q1165">
        <v>0</v>
      </c>
    </row>
    <row r="1166" spans="1:17" x14ac:dyDescent="0.2">
      <c r="A1166" s="121">
        <v>39660</v>
      </c>
      <c r="B1166" t="s">
        <v>406</v>
      </c>
      <c r="C1166" t="s">
        <v>577</v>
      </c>
      <c r="D1166" t="s">
        <v>586</v>
      </c>
      <c r="E1166" t="s">
        <v>587</v>
      </c>
      <c r="F1166" t="s">
        <v>410</v>
      </c>
      <c r="G1166">
        <v>869</v>
      </c>
      <c r="H1166">
        <v>869</v>
      </c>
      <c r="I1166">
        <v>869</v>
      </c>
      <c r="J1166">
        <v>869</v>
      </c>
      <c r="K1166">
        <v>35</v>
      </c>
      <c r="L1166">
        <v>0</v>
      </c>
      <c r="M1166">
        <v>583</v>
      </c>
      <c r="N1166">
        <v>0</v>
      </c>
      <c r="O1166">
        <v>251</v>
      </c>
      <c r="P1166">
        <v>0</v>
      </c>
      <c r="Q1166">
        <v>0</v>
      </c>
    </row>
    <row r="1167" spans="1:17" x14ac:dyDescent="0.2">
      <c r="A1167" s="121">
        <v>39660</v>
      </c>
      <c r="B1167" t="s">
        <v>406</v>
      </c>
      <c r="C1167" t="s">
        <v>577</v>
      </c>
      <c r="D1167" t="s">
        <v>588</v>
      </c>
      <c r="E1167" t="s">
        <v>589</v>
      </c>
      <c r="F1167" t="s">
        <v>410</v>
      </c>
      <c r="G1167">
        <v>114</v>
      </c>
      <c r="H1167">
        <v>114</v>
      </c>
      <c r="I1167">
        <v>114</v>
      </c>
      <c r="J1167">
        <v>114</v>
      </c>
      <c r="K1167">
        <v>2</v>
      </c>
      <c r="L1167">
        <v>0</v>
      </c>
      <c r="M1167">
        <v>92</v>
      </c>
      <c r="N1167">
        <v>0</v>
      </c>
      <c r="O1167">
        <v>20</v>
      </c>
      <c r="P1167">
        <v>0</v>
      </c>
      <c r="Q1167">
        <v>0</v>
      </c>
    </row>
    <row r="1168" spans="1:17" x14ac:dyDescent="0.2">
      <c r="A1168" s="121">
        <v>39660</v>
      </c>
      <c r="B1168" t="s">
        <v>406</v>
      </c>
      <c r="C1168" t="s">
        <v>577</v>
      </c>
      <c r="D1168" t="s">
        <v>590</v>
      </c>
      <c r="E1168" t="s">
        <v>591</v>
      </c>
      <c r="F1168" t="s">
        <v>410</v>
      </c>
      <c r="G1168">
        <v>335</v>
      </c>
      <c r="H1168">
        <v>335</v>
      </c>
      <c r="I1168">
        <v>335</v>
      </c>
      <c r="J1168">
        <v>335</v>
      </c>
      <c r="K1168">
        <v>5</v>
      </c>
      <c r="L1168">
        <v>0</v>
      </c>
      <c r="M1168">
        <v>307</v>
      </c>
      <c r="N1168">
        <v>7</v>
      </c>
      <c r="O1168">
        <v>16</v>
      </c>
      <c r="P1168">
        <v>0</v>
      </c>
      <c r="Q1168">
        <v>0</v>
      </c>
    </row>
    <row r="1169" spans="1:17" x14ac:dyDescent="0.2">
      <c r="A1169" s="121">
        <v>39660</v>
      </c>
      <c r="B1169" t="s">
        <v>406</v>
      </c>
      <c r="C1169" t="s">
        <v>577</v>
      </c>
      <c r="D1169" t="s">
        <v>607</v>
      </c>
      <c r="E1169" t="s">
        <v>608</v>
      </c>
      <c r="F1169" t="s">
        <v>410</v>
      </c>
      <c r="G1169">
        <v>68</v>
      </c>
      <c r="H1169">
        <v>68</v>
      </c>
      <c r="I1169">
        <v>68</v>
      </c>
      <c r="J1169">
        <v>68</v>
      </c>
      <c r="K1169">
        <v>0</v>
      </c>
      <c r="L1169">
        <v>0</v>
      </c>
      <c r="M1169">
        <v>68</v>
      </c>
      <c r="N1169">
        <v>0</v>
      </c>
      <c r="O1169">
        <v>0</v>
      </c>
      <c r="P1169">
        <v>0</v>
      </c>
      <c r="Q1169">
        <v>0</v>
      </c>
    </row>
    <row r="1170" spans="1:17" x14ac:dyDescent="0.2">
      <c r="A1170" s="121">
        <v>39660</v>
      </c>
      <c r="B1170" t="s">
        <v>406</v>
      </c>
      <c r="C1170" t="s">
        <v>577</v>
      </c>
      <c r="D1170" t="s">
        <v>592</v>
      </c>
      <c r="E1170" t="s">
        <v>593</v>
      </c>
      <c r="F1170" t="s">
        <v>410</v>
      </c>
      <c r="G1170">
        <v>295</v>
      </c>
      <c r="H1170">
        <v>295</v>
      </c>
      <c r="I1170">
        <v>295</v>
      </c>
      <c r="J1170">
        <v>295</v>
      </c>
      <c r="K1170">
        <v>7</v>
      </c>
      <c r="L1170">
        <v>0</v>
      </c>
      <c r="M1170">
        <v>232</v>
      </c>
      <c r="N1170">
        <v>7</v>
      </c>
      <c r="O1170">
        <v>49</v>
      </c>
      <c r="P1170">
        <v>0</v>
      </c>
      <c r="Q1170">
        <v>0</v>
      </c>
    </row>
    <row r="1171" spans="1:17" x14ac:dyDescent="0.2">
      <c r="A1171" s="121">
        <v>39660</v>
      </c>
      <c r="B1171" t="s">
        <v>406</v>
      </c>
      <c r="C1171" t="s">
        <v>594</v>
      </c>
      <c r="D1171" t="s">
        <v>595</v>
      </c>
      <c r="E1171" t="s">
        <v>596</v>
      </c>
      <c r="F1171" t="s">
        <v>410</v>
      </c>
      <c r="G1171">
        <v>54</v>
      </c>
      <c r="I1171">
        <v>53</v>
      </c>
    </row>
    <row r="1172" spans="1:17" x14ac:dyDescent="0.2">
      <c r="A1172" s="121">
        <v>39660</v>
      </c>
      <c r="B1172" t="s">
        <v>406</v>
      </c>
      <c r="C1172" t="s">
        <v>594</v>
      </c>
      <c r="D1172" t="s">
        <v>597</v>
      </c>
      <c r="E1172" t="s">
        <v>598</v>
      </c>
      <c r="F1172" t="s">
        <v>413</v>
      </c>
      <c r="G1172">
        <v>627</v>
      </c>
      <c r="H1172">
        <v>627</v>
      </c>
      <c r="I1172">
        <v>620</v>
      </c>
      <c r="J1172">
        <v>620</v>
      </c>
      <c r="K1172">
        <v>130</v>
      </c>
      <c r="L1172">
        <v>0</v>
      </c>
      <c r="M1172">
        <v>479</v>
      </c>
      <c r="N1172">
        <v>1</v>
      </c>
      <c r="O1172">
        <v>17</v>
      </c>
      <c r="P1172">
        <v>0</v>
      </c>
      <c r="Q1172">
        <v>0</v>
      </c>
    </row>
    <row r="1173" spans="1:17" x14ac:dyDescent="0.2">
      <c r="A1173" s="121">
        <v>39660</v>
      </c>
      <c r="B1173" t="s">
        <v>406</v>
      </c>
      <c r="C1173" t="s">
        <v>594</v>
      </c>
      <c r="D1173" t="s">
        <v>599</v>
      </c>
      <c r="E1173" t="s">
        <v>600</v>
      </c>
      <c r="F1173" t="s">
        <v>410</v>
      </c>
      <c r="G1173">
        <v>129</v>
      </c>
      <c r="I1173">
        <v>129</v>
      </c>
    </row>
    <row r="1174" spans="1:17" x14ac:dyDescent="0.2">
      <c r="A1174" s="121">
        <v>39691</v>
      </c>
      <c r="B1174" t="s">
        <v>406</v>
      </c>
      <c r="C1174" t="s">
        <v>407</v>
      </c>
      <c r="D1174" t="s">
        <v>408</v>
      </c>
      <c r="E1174" t="s">
        <v>409</v>
      </c>
      <c r="F1174" t="s">
        <v>410</v>
      </c>
      <c r="G1174">
        <v>300</v>
      </c>
      <c r="I1174">
        <v>300</v>
      </c>
    </row>
    <row r="1175" spans="1:17" x14ac:dyDescent="0.2">
      <c r="A1175" s="121">
        <v>39691</v>
      </c>
      <c r="B1175" t="s">
        <v>406</v>
      </c>
      <c r="C1175" t="s">
        <v>407</v>
      </c>
      <c r="D1175" t="s">
        <v>601</v>
      </c>
      <c r="E1175" t="s">
        <v>602</v>
      </c>
      <c r="F1175" t="s">
        <v>410</v>
      </c>
      <c r="G1175">
        <v>85</v>
      </c>
      <c r="I1175">
        <v>85</v>
      </c>
    </row>
    <row r="1176" spans="1:17" x14ac:dyDescent="0.2">
      <c r="A1176" s="121">
        <v>39691</v>
      </c>
      <c r="B1176" t="s">
        <v>406</v>
      </c>
      <c r="C1176" t="s">
        <v>407</v>
      </c>
      <c r="D1176" t="s">
        <v>411</v>
      </c>
      <c r="E1176" t="s">
        <v>412</v>
      </c>
      <c r="F1176" t="s">
        <v>413</v>
      </c>
      <c r="G1176">
        <v>5543</v>
      </c>
      <c r="H1176">
        <v>5543</v>
      </c>
      <c r="I1176">
        <v>5487</v>
      </c>
      <c r="J1176">
        <v>5487</v>
      </c>
      <c r="K1176">
        <v>1933</v>
      </c>
      <c r="L1176">
        <v>3</v>
      </c>
      <c r="M1176">
        <v>3276</v>
      </c>
      <c r="N1176">
        <v>86</v>
      </c>
      <c r="O1176">
        <v>245</v>
      </c>
      <c r="P1176">
        <v>0</v>
      </c>
      <c r="Q1176">
        <v>0</v>
      </c>
    </row>
    <row r="1177" spans="1:17" x14ac:dyDescent="0.2">
      <c r="A1177" s="121">
        <v>39691</v>
      </c>
      <c r="B1177" t="s">
        <v>406</v>
      </c>
      <c r="C1177" t="s">
        <v>407</v>
      </c>
      <c r="D1177" t="s">
        <v>414</v>
      </c>
      <c r="E1177" t="s">
        <v>415</v>
      </c>
      <c r="F1177" t="s">
        <v>410</v>
      </c>
      <c r="G1177">
        <v>96</v>
      </c>
      <c r="I1177">
        <v>96</v>
      </c>
    </row>
    <row r="1178" spans="1:17" x14ac:dyDescent="0.2">
      <c r="A1178" s="121">
        <v>39691</v>
      </c>
      <c r="B1178" t="s">
        <v>406</v>
      </c>
      <c r="C1178" t="s">
        <v>407</v>
      </c>
      <c r="D1178" t="s">
        <v>416</v>
      </c>
      <c r="E1178" t="s">
        <v>417</v>
      </c>
      <c r="F1178" t="s">
        <v>413</v>
      </c>
      <c r="G1178">
        <v>3727</v>
      </c>
      <c r="H1178">
        <v>3727</v>
      </c>
      <c r="I1178">
        <v>3670</v>
      </c>
      <c r="J1178">
        <v>3670</v>
      </c>
      <c r="K1178">
        <v>1188</v>
      </c>
      <c r="L1178">
        <v>5</v>
      </c>
      <c r="M1178">
        <v>2376</v>
      </c>
      <c r="N1178">
        <v>79</v>
      </c>
      <c r="O1178">
        <v>79</v>
      </c>
      <c r="P1178">
        <v>1</v>
      </c>
      <c r="Q1178">
        <v>0</v>
      </c>
    </row>
    <row r="1179" spans="1:17" x14ac:dyDescent="0.2">
      <c r="A1179" s="121">
        <v>39691</v>
      </c>
      <c r="B1179" t="s">
        <v>406</v>
      </c>
      <c r="C1179" t="s">
        <v>418</v>
      </c>
      <c r="D1179" t="s">
        <v>419</v>
      </c>
      <c r="E1179" t="s">
        <v>420</v>
      </c>
      <c r="F1179" t="s">
        <v>410</v>
      </c>
      <c r="G1179">
        <v>21</v>
      </c>
      <c r="I1179">
        <v>21</v>
      </c>
    </row>
    <row r="1180" spans="1:17" x14ac:dyDescent="0.2">
      <c r="A1180" s="121">
        <v>39691</v>
      </c>
      <c r="B1180" t="s">
        <v>406</v>
      </c>
      <c r="C1180" t="s">
        <v>418</v>
      </c>
      <c r="D1180" t="s">
        <v>421</v>
      </c>
      <c r="E1180" t="s">
        <v>422</v>
      </c>
      <c r="F1180" t="s">
        <v>410</v>
      </c>
      <c r="G1180">
        <v>127</v>
      </c>
      <c r="I1180">
        <v>127</v>
      </c>
    </row>
    <row r="1181" spans="1:17" x14ac:dyDescent="0.2">
      <c r="A1181" s="121">
        <v>39691</v>
      </c>
      <c r="B1181" t="s">
        <v>406</v>
      </c>
      <c r="C1181" t="s">
        <v>418</v>
      </c>
      <c r="D1181" t="s">
        <v>423</v>
      </c>
      <c r="E1181" t="s">
        <v>424</v>
      </c>
      <c r="F1181" t="s">
        <v>410</v>
      </c>
      <c r="G1181">
        <v>41</v>
      </c>
      <c r="I1181">
        <v>41</v>
      </c>
    </row>
    <row r="1182" spans="1:17" x14ac:dyDescent="0.2">
      <c r="A1182" s="121">
        <v>39691</v>
      </c>
      <c r="B1182" t="s">
        <v>406</v>
      </c>
      <c r="C1182" t="s">
        <v>418</v>
      </c>
      <c r="D1182" t="s">
        <v>425</v>
      </c>
      <c r="E1182" t="s">
        <v>426</v>
      </c>
      <c r="F1182" t="s">
        <v>410</v>
      </c>
      <c r="G1182">
        <v>93</v>
      </c>
      <c r="I1182">
        <v>93</v>
      </c>
    </row>
    <row r="1183" spans="1:17" x14ac:dyDescent="0.2">
      <c r="A1183" s="121">
        <v>39691</v>
      </c>
      <c r="B1183" t="s">
        <v>406</v>
      </c>
      <c r="C1183" t="s">
        <v>418</v>
      </c>
      <c r="D1183" t="s">
        <v>427</v>
      </c>
      <c r="E1183" t="s">
        <v>428</v>
      </c>
      <c r="F1183" t="s">
        <v>413</v>
      </c>
      <c r="G1183">
        <v>1975</v>
      </c>
      <c r="H1183">
        <v>1975</v>
      </c>
      <c r="I1183">
        <v>1938</v>
      </c>
      <c r="J1183">
        <v>1938</v>
      </c>
      <c r="K1183">
        <v>618</v>
      </c>
      <c r="L1183">
        <v>2</v>
      </c>
      <c r="M1183">
        <v>1124</v>
      </c>
      <c r="N1183">
        <v>19</v>
      </c>
      <c r="O1183">
        <v>212</v>
      </c>
      <c r="P1183">
        <v>0</v>
      </c>
      <c r="Q1183">
        <v>0</v>
      </c>
    </row>
    <row r="1184" spans="1:17" x14ac:dyDescent="0.2">
      <c r="A1184" s="121">
        <v>39691</v>
      </c>
      <c r="B1184" t="s">
        <v>406</v>
      </c>
      <c r="C1184" t="s">
        <v>429</v>
      </c>
      <c r="D1184" t="s">
        <v>430</v>
      </c>
      <c r="E1184" t="s">
        <v>431</v>
      </c>
      <c r="F1184" t="s">
        <v>410</v>
      </c>
      <c r="G1184">
        <v>70</v>
      </c>
      <c r="I1184">
        <v>70</v>
      </c>
    </row>
    <row r="1185" spans="1:17" x14ac:dyDescent="0.2">
      <c r="A1185" s="121">
        <v>39691</v>
      </c>
      <c r="B1185" t="s">
        <v>406</v>
      </c>
      <c r="C1185" t="s">
        <v>429</v>
      </c>
      <c r="D1185" t="s">
        <v>432</v>
      </c>
      <c r="E1185" t="s">
        <v>433</v>
      </c>
      <c r="F1185" t="s">
        <v>410</v>
      </c>
      <c r="G1185">
        <v>69</v>
      </c>
      <c r="I1185">
        <v>69</v>
      </c>
    </row>
    <row r="1186" spans="1:17" x14ac:dyDescent="0.2">
      <c r="A1186" s="121">
        <v>39691</v>
      </c>
      <c r="B1186" t="s">
        <v>406</v>
      </c>
      <c r="C1186" t="s">
        <v>429</v>
      </c>
      <c r="D1186" t="s">
        <v>434</v>
      </c>
      <c r="E1186" t="s">
        <v>435</v>
      </c>
      <c r="F1186" t="s">
        <v>410</v>
      </c>
      <c r="G1186">
        <v>13</v>
      </c>
      <c r="I1186">
        <v>13</v>
      </c>
    </row>
    <row r="1187" spans="1:17" x14ac:dyDescent="0.2">
      <c r="A1187" s="121">
        <v>39691</v>
      </c>
      <c r="B1187" t="s">
        <v>406</v>
      </c>
      <c r="C1187" t="s">
        <v>429</v>
      </c>
      <c r="D1187" t="s">
        <v>436</v>
      </c>
      <c r="E1187" t="s">
        <v>437</v>
      </c>
      <c r="F1187" t="s">
        <v>410</v>
      </c>
      <c r="G1187">
        <v>85</v>
      </c>
      <c r="I1187">
        <v>85</v>
      </c>
    </row>
    <row r="1188" spans="1:17" x14ac:dyDescent="0.2">
      <c r="A1188" s="121">
        <v>39691</v>
      </c>
      <c r="B1188" t="s">
        <v>406</v>
      </c>
      <c r="C1188" t="s">
        <v>429</v>
      </c>
      <c r="D1188" t="s">
        <v>438</v>
      </c>
      <c r="E1188" t="s">
        <v>439</v>
      </c>
      <c r="F1188" t="s">
        <v>413</v>
      </c>
      <c r="G1188">
        <v>1118</v>
      </c>
      <c r="H1188">
        <v>1118</v>
      </c>
      <c r="I1188">
        <v>1097</v>
      </c>
      <c r="J1188">
        <v>1097</v>
      </c>
      <c r="K1188">
        <v>118</v>
      </c>
      <c r="L1188">
        <v>0</v>
      </c>
      <c r="M1188">
        <v>988</v>
      </c>
      <c r="N1188">
        <v>10</v>
      </c>
      <c r="O1188">
        <v>2</v>
      </c>
      <c r="P1188">
        <v>4</v>
      </c>
      <c r="Q1188">
        <v>1</v>
      </c>
    </row>
    <row r="1189" spans="1:17" x14ac:dyDescent="0.2">
      <c r="A1189" s="121">
        <v>39691</v>
      </c>
      <c r="B1189" t="s">
        <v>406</v>
      </c>
      <c r="C1189" t="s">
        <v>429</v>
      </c>
      <c r="D1189" t="s">
        <v>440</v>
      </c>
      <c r="E1189" t="s">
        <v>441</v>
      </c>
      <c r="F1189" t="s">
        <v>413</v>
      </c>
      <c r="G1189">
        <v>3064</v>
      </c>
      <c r="H1189">
        <v>3064</v>
      </c>
      <c r="I1189">
        <v>3022</v>
      </c>
      <c r="J1189">
        <v>3022</v>
      </c>
      <c r="K1189">
        <v>936</v>
      </c>
      <c r="L1189">
        <v>5</v>
      </c>
      <c r="M1189">
        <v>2048</v>
      </c>
      <c r="N1189">
        <v>13</v>
      </c>
      <c r="O1189">
        <v>62</v>
      </c>
      <c r="P1189">
        <v>1</v>
      </c>
      <c r="Q1189">
        <v>1</v>
      </c>
    </row>
    <row r="1190" spans="1:17" x14ac:dyDescent="0.2">
      <c r="A1190" s="121">
        <v>39691</v>
      </c>
      <c r="B1190" t="s">
        <v>406</v>
      </c>
      <c r="C1190" t="s">
        <v>442</v>
      </c>
      <c r="D1190" t="s">
        <v>443</v>
      </c>
      <c r="E1190" t="s">
        <v>444</v>
      </c>
      <c r="F1190" t="s">
        <v>413</v>
      </c>
      <c r="G1190">
        <v>3704</v>
      </c>
      <c r="H1190">
        <v>3704</v>
      </c>
      <c r="I1190">
        <v>3586</v>
      </c>
      <c r="J1190">
        <v>3586</v>
      </c>
      <c r="K1190">
        <v>586</v>
      </c>
      <c r="L1190">
        <v>8</v>
      </c>
      <c r="M1190">
        <v>2982</v>
      </c>
      <c r="N1190">
        <v>41</v>
      </c>
      <c r="O1190">
        <v>87</v>
      </c>
      <c r="P1190">
        <v>3</v>
      </c>
      <c r="Q1190">
        <v>2</v>
      </c>
    </row>
    <row r="1191" spans="1:17" x14ac:dyDescent="0.2">
      <c r="A1191" s="121">
        <v>39691</v>
      </c>
      <c r="B1191" t="s">
        <v>406</v>
      </c>
      <c r="C1191" t="s">
        <v>442</v>
      </c>
      <c r="D1191" t="s">
        <v>445</v>
      </c>
      <c r="E1191" t="s">
        <v>446</v>
      </c>
      <c r="F1191" t="s">
        <v>410</v>
      </c>
      <c r="G1191">
        <v>142</v>
      </c>
      <c r="I1191">
        <v>142</v>
      </c>
    </row>
    <row r="1192" spans="1:17" x14ac:dyDescent="0.2">
      <c r="A1192" s="121">
        <v>39691</v>
      </c>
      <c r="B1192" t="s">
        <v>406</v>
      </c>
      <c r="C1192" t="s">
        <v>442</v>
      </c>
      <c r="D1192" t="s">
        <v>447</v>
      </c>
      <c r="E1192" t="s">
        <v>448</v>
      </c>
      <c r="F1192" t="s">
        <v>410</v>
      </c>
      <c r="G1192">
        <v>281</v>
      </c>
      <c r="I1192">
        <v>281</v>
      </c>
    </row>
    <row r="1193" spans="1:17" x14ac:dyDescent="0.2">
      <c r="A1193" s="121">
        <v>39691</v>
      </c>
      <c r="B1193" t="s">
        <v>406</v>
      </c>
      <c r="C1193" t="s">
        <v>442</v>
      </c>
      <c r="D1193" t="s">
        <v>449</v>
      </c>
      <c r="E1193" t="s">
        <v>450</v>
      </c>
      <c r="F1193" t="s">
        <v>413</v>
      </c>
      <c r="G1193">
        <v>3379</v>
      </c>
      <c r="H1193">
        <v>3379</v>
      </c>
      <c r="I1193">
        <v>3302</v>
      </c>
      <c r="J1193">
        <v>3302</v>
      </c>
      <c r="K1193">
        <v>639</v>
      </c>
      <c r="L1193">
        <v>6</v>
      </c>
      <c r="M1193">
        <v>2666</v>
      </c>
      <c r="N1193">
        <v>39</v>
      </c>
      <c r="O1193">
        <v>29</v>
      </c>
      <c r="P1193">
        <v>1</v>
      </c>
      <c r="Q1193">
        <v>0</v>
      </c>
    </row>
    <row r="1194" spans="1:17" x14ac:dyDescent="0.2">
      <c r="A1194" s="121">
        <v>39691</v>
      </c>
      <c r="B1194" t="s">
        <v>406</v>
      </c>
      <c r="C1194" t="s">
        <v>451</v>
      </c>
      <c r="D1194" t="s">
        <v>452</v>
      </c>
      <c r="E1194" t="s">
        <v>453</v>
      </c>
      <c r="F1194" t="s">
        <v>410</v>
      </c>
      <c r="G1194">
        <v>1879</v>
      </c>
      <c r="H1194">
        <v>1879</v>
      </c>
      <c r="I1194">
        <v>1877</v>
      </c>
      <c r="J1194">
        <v>1877</v>
      </c>
      <c r="K1194">
        <v>0</v>
      </c>
      <c r="L1194">
        <v>0</v>
      </c>
      <c r="M1194">
        <v>1366</v>
      </c>
      <c r="N1194">
        <v>212</v>
      </c>
      <c r="O1194">
        <v>301</v>
      </c>
      <c r="P1194">
        <v>0</v>
      </c>
      <c r="Q1194">
        <v>0</v>
      </c>
    </row>
    <row r="1195" spans="1:17" x14ac:dyDescent="0.2">
      <c r="A1195" s="121">
        <v>39691</v>
      </c>
      <c r="B1195" t="s">
        <v>406</v>
      </c>
      <c r="C1195" t="s">
        <v>451</v>
      </c>
      <c r="D1195" t="s">
        <v>454</v>
      </c>
      <c r="E1195" t="s">
        <v>455</v>
      </c>
      <c r="F1195" t="s">
        <v>413</v>
      </c>
      <c r="G1195">
        <v>4425</v>
      </c>
      <c r="H1195">
        <v>4425</v>
      </c>
      <c r="I1195">
        <v>4223</v>
      </c>
      <c r="J1195">
        <v>4223</v>
      </c>
      <c r="K1195">
        <v>1156</v>
      </c>
      <c r="L1195">
        <v>7</v>
      </c>
      <c r="M1195">
        <v>2581</v>
      </c>
      <c r="N1195">
        <v>56</v>
      </c>
      <c r="O1195">
        <v>625</v>
      </c>
      <c r="P1195">
        <v>7</v>
      </c>
      <c r="Q1195">
        <v>1</v>
      </c>
    </row>
    <row r="1196" spans="1:17" x14ac:dyDescent="0.2">
      <c r="A1196" s="121">
        <v>39691</v>
      </c>
      <c r="B1196" t="s">
        <v>406</v>
      </c>
      <c r="C1196" t="s">
        <v>456</v>
      </c>
      <c r="D1196" t="s">
        <v>457</v>
      </c>
      <c r="E1196" t="s">
        <v>458</v>
      </c>
      <c r="F1196" t="s">
        <v>413</v>
      </c>
      <c r="G1196">
        <v>5337</v>
      </c>
      <c r="H1196">
        <v>5337</v>
      </c>
      <c r="I1196">
        <v>4990</v>
      </c>
      <c r="J1196">
        <v>4990</v>
      </c>
      <c r="K1196">
        <v>1309</v>
      </c>
      <c r="L1196">
        <v>24</v>
      </c>
      <c r="M1196">
        <v>3874</v>
      </c>
      <c r="N1196">
        <v>90</v>
      </c>
      <c r="O1196">
        <v>40</v>
      </c>
      <c r="P1196">
        <v>30</v>
      </c>
      <c r="Q1196">
        <v>3</v>
      </c>
    </row>
    <row r="1197" spans="1:17" x14ac:dyDescent="0.2">
      <c r="A1197" s="121">
        <v>39691</v>
      </c>
      <c r="B1197" t="s">
        <v>406</v>
      </c>
      <c r="C1197" t="s">
        <v>456</v>
      </c>
      <c r="D1197" t="s">
        <v>459</v>
      </c>
      <c r="E1197" t="s">
        <v>460</v>
      </c>
      <c r="F1197" t="s">
        <v>413</v>
      </c>
      <c r="G1197">
        <v>1395</v>
      </c>
      <c r="H1197">
        <v>1395</v>
      </c>
      <c r="I1197">
        <v>1390</v>
      </c>
      <c r="J1197">
        <v>1390</v>
      </c>
      <c r="K1197">
        <v>370</v>
      </c>
      <c r="L1197">
        <v>0</v>
      </c>
      <c r="M1197">
        <v>1023</v>
      </c>
      <c r="N1197">
        <v>1</v>
      </c>
      <c r="O1197">
        <v>1</v>
      </c>
      <c r="P1197">
        <v>0</v>
      </c>
      <c r="Q1197">
        <v>0</v>
      </c>
    </row>
    <row r="1198" spans="1:17" x14ac:dyDescent="0.2">
      <c r="A1198" s="121">
        <v>39691</v>
      </c>
      <c r="B1198" t="s">
        <v>406</v>
      </c>
      <c r="C1198" t="s">
        <v>456</v>
      </c>
      <c r="D1198" t="s">
        <v>461</v>
      </c>
      <c r="E1198" t="s">
        <v>462</v>
      </c>
      <c r="F1198" t="s">
        <v>410</v>
      </c>
      <c r="G1198">
        <v>108</v>
      </c>
      <c r="I1198">
        <v>108</v>
      </c>
    </row>
    <row r="1199" spans="1:17" x14ac:dyDescent="0.2">
      <c r="A1199" s="121">
        <v>39691</v>
      </c>
      <c r="B1199" t="s">
        <v>406</v>
      </c>
      <c r="C1199" t="s">
        <v>456</v>
      </c>
      <c r="D1199" t="s">
        <v>463</v>
      </c>
      <c r="E1199" t="s">
        <v>464</v>
      </c>
      <c r="F1199" t="s">
        <v>410</v>
      </c>
      <c r="G1199">
        <v>42</v>
      </c>
      <c r="I1199">
        <v>42</v>
      </c>
    </row>
    <row r="1200" spans="1:17" x14ac:dyDescent="0.2">
      <c r="A1200" s="121">
        <v>39691</v>
      </c>
      <c r="B1200" t="s">
        <v>406</v>
      </c>
      <c r="C1200" t="s">
        <v>456</v>
      </c>
      <c r="D1200" t="s">
        <v>465</v>
      </c>
      <c r="E1200" t="s">
        <v>466</v>
      </c>
      <c r="F1200" t="s">
        <v>410</v>
      </c>
      <c r="G1200">
        <v>84</v>
      </c>
      <c r="I1200">
        <v>84</v>
      </c>
    </row>
    <row r="1201" spans="1:17" x14ac:dyDescent="0.2">
      <c r="A1201" s="121">
        <v>39691</v>
      </c>
      <c r="B1201" t="s">
        <v>406</v>
      </c>
      <c r="C1201" t="s">
        <v>456</v>
      </c>
      <c r="D1201" t="s">
        <v>467</v>
      </c>
      <c r="E1201" t="s">
        <v>468</v>
      </c>
      <c r="F1201" t="s">
        <v>410</v>
      </c>
      <c r="G1201">
        <v>1193</v>
      </c>
      <c r="I1201">
        <v>1193</v>
      </c>
    </row>
    <row r="1202" spans="1:17" x14ac:dyDescent="0.2">
      <c r="A1202" s="121">
        <v>39691</v>
      </c>
      <c r="B1202" t="s">
        <v>406</v>
      </c>
      <c r="C1202" t="s">
        <v>456</v>
      </c>
      <c r="D1202" t="s">
        <v>469</v>
      </c>
      <c r="E1202" t="s">
        <v>470</v>
      </c>
      <c r="F1202" t="s">
        <v>410</v>
      </c>
      <c r="G1202">
        <v>852</v>
      </c>
      <c r="I1202">
        <v>847</v>
      </c>
    </row>
    <row r="1203" spans="1:17" x14ac:dyDescent="0.2">
      <c r="A1203" s="121">
        <v>39691</v>
      </c>
      <c r="B1203" t="s">
        <v>406</v>
      </c>
      <c r="C1203" t="s">
        <v>456</v>
      </c>
      <c r="D1203" t="s">
        <v>471</v>
      </c>
      <c r="E1203" t="s">
        <v>472</v>
      </c>
      <c r="F1203" t="s">
        <v>410</v>
      </c>
      <c r="G1203">
        <v>259</v>
      </c>
      <c r="I1203">
        <v>259</v>
      </c>
    </row>
    <row r="1204" spans="1:17" x14ac:dyDescent="0.2">
      <c r="A1204" s="121">
        <v>39691</v>
      </c>
      <c r="B1204" t="s">
        <v>406</v>
      </c>
      <c r="C1204" t="s">
        <v>456</v>
      </c>
      <c r="D1204" t="s">
        <v>473</v>
      </c>
      <c r="E1204" t="s">
        <v>474</v>
      </c>
      <c r="F1204" t="s">
        <v>410</v>
      </c>
      <c r="G1204">
        <v>213</v>
      </c>
      <c r="I1204">
        <v>213</v>
      </c>
    </row>
    <row r="1205" spans="1:17" x14ac:dyDescent="0.2">
      <c r="A1205" s="121">
        <v>39691</v>
      </c>
      <c r="B1205" t="s">
        <v>406</v>
      </c>
      <c r="C1205" t="s">
        <v>456</v>
      </c>
      <c r="D1205" t="s">
        <v>475</v>
      </c>
      <c r="E1205" t="s">
        <v>476</v>
      </c>
      <c r="F1205" t="s">
        <v>410</v>
      </c>
      <c r="G1205">
        <v>358</v>
      </c>
      <c r="I1205">
        <v>358</v>
      </c>
    </row>
    <row r="1206" spans="1:17" x14ac:dyDescent="0.2">
      <c r="A1206" s="121">
        <v>39691</v>
      </c>
      <c r="B1206" t="s">
        <v>406</v>
      </c>
      <c r="C1206" t="s">
        <v>456</v>
      </c>
      <c r="D1206" t="s">
        <v>477</v>
      </c>
      <c r="E1206" t="s">
        <v>478</v>
      </c>
      <c r="F1206" t="s">
        <v>413</v>
      </c>
      <c r="G1206">
        <v>2090</v>
      </c>
      <c r="H1206">
        <v>2090</v>
      </c>
      <c r="I1206">
        <v>1938</v>
      </c>
      <c r="J1206">
        <v>1938</v>
      </c>
      <c r="K1206">
        <v>615</v>
      </c>
      <c r="L1206">
        <v>4</v>
      </c>
      <c r="M1206">
        <v>1420</v>
      </c>
      <c r="N1206">
        <v>21</v>
      </c>
      <c r="O1206">
        <v>30</v>
      </c>
      <c r="P1206">
        <v>7</v>
      </c>
      <c r="Q1206">
        <v>0</v>
      </c>
    </row>
    <row r="1207" spans="1:17" x14ac:dyDescent="0.2">
      <c r="A1207" s="121">
        <v>39691</v>
      </c>
      <c r="B1207" t="s">
        <v>406</v>
      </c>
      <c r="C1207" t="s">
        <v>456</v>
      </c>
      <c r="D1207" t="s">
        <v>479</v>
      </c>
      <c r="E1207" t="s">
        <v>480</v>
      </c>
      <c r="F1207" t="s">
        <v>410</v>
      </c>
      <c r="G1207">
        <v>80</v>
      </c>
      <c r="I1207">
        <v>80</v>
      </c>
    </row>
    <row r="1208" spans="1:17" x14ac:dyDescent="0.2">
      <c r="A1208" s="121">
        <v>39691</v>
      </c>
      <c r="B1208" t="s">
        <v>406</v>
      </c>
      <c r="C1208" t="s">
        <v>456</v>
      </c>
      <c r="D1208" t="s">
        <v>481</v>
      </c>
      <c r="E1208" t="s">
        <v>482</v>
      </c>
      <c r="F1208" t="s">
        <v>410</v>
      </c>
      <c r="G1208">
        <v>41</v>
      </c>
      <c r="I1208">
        <v>41</v>
      </c>
    </row>
    <row r="1209" spans="1:17" x14ac:dyDescent="0.2">
      <c r="A1209" s="121">
        <v>39691</v>
      </c>
      <c r="B1209" t="s">
        <v>406</v>
      </c>
      <c r="C1209" t="s">
        <v>456</v>
      </c>
      <c r="D1209" t="s">
        <v>483</v>
      </c>
      <c r="E1209" t="s">
        <v>484</v>
      </c>
      <c r="F1209" t="s">
        <v>410</v>
      </c>
      <c r="G1209">
        <v>173</v>
      </c>
      <c r="I1209">
        <v>173</v>
      </c>
    </row>
    <row r="1210" spans="1:17" x14ac:dyDescent="0.2">
      <c r="A1210" s="121">
        <v>39691</v>
      </c>
      <c r="B1210" t="s">
        <v>406</v>
      </c>
      <c r="C1210" t="s">
        <v>456</v>
      </c>
      <c r="D1210" t="s">
        <v>485</v>
      </c>
      <c r="E1210" t="s">
        <v>486</v>
      </c>
      <c r="F1210" t="s">
        <v>410</v>
      </c>
      <c r="G1210">
        <v>86</v>
      </c>
      <c r="I1210">
        <v>86</v>
      </c>
    </row>
    <row r="1211" spans="1:17" x14ac:dyDescent="0.2">
      <c r="A1211" s="121">
        <v>39691</v>
      </c>
      <c r="B1211" t="s">
        <v>406</v>
      </c>
      <c r="C1211" t="s">
        <v>456</v>
      </c>
      <c r="D1211" t="s">
        <v>487</v>
      </c>
      <c r="E1211" t="s">
        <v>488</v>
      </c>
      <c r="F1211" t="s">
        <v>410</v>
      </c>
      <c r="G1211">
        <v>35</v>
      </c>
      <c r="I1211">
        <v>35</v>
      </c>
    </row>
    <row r="1212" spans="1:17" x14ac:dyDescent="0.2">
      <c r="A1212" s="121">
        <v>39691</v>
      </c>
      <c r="B1212" t="s">
        <v>406</v>
      </c>
      <c r="C1212" t="s">
        <v>456</v>
      </c>
      <c r="D1212" t="s">
        <v>489</v>
      </c>
      <c r="E1212" t="s">
        <v>490</v>
      </c>
      <c r="F1212" t="s">
        <v>410</v>
      </c>
      <c r="G1212">
        <v>147</v>
      </c>
      <c r="H1212">
        <v>147</v>
      </c>
      <c r="I1212">
        <v>147</v>
      </c>
      <c r="J1212">
        <v>147</v>
      </c>
      <c r="K1212">
        <v>0</v>
      </c>
      <c r="L1212">
        <v>0</v>
      </c>
      <c r="M1212">
        <v>116</v>
      </c>
      <c r="N1212">
        <v>31</v>
      </c>
      <c r="O1212">
        <v>0</v>
      </c>
      <c r="P1212">
        <v>0</v>
      </c>
      <c r="Q1212">
        <v>0</v>
      </c>
    </row>
    <row r="1213" spans="1:17" x14ac:dyDescent="0.2">
      <c r="A1213" s="121">
        <v>39691</v>
      </c>
      <c r="B1213" t="s">
        <v>406</v>
      </c>
      <c r="C1213" t="s">
        <v>491</v>
      </c>
      <c r="D1213" t="s">
        <v>492</v>
      </c>
      <c r="E1213" t="s">
        <v>493</v>
      </c>
      <c r="F1213" t="s">
        <v>410</v>
      </c>
      <c r="G1213">
        <v>1306</v>
      </c>
      <c r="H1213">
        <v>1306</v>
      </c>
      <c r="I1213">
        <v>1301</v>
      </c>
      <c r="J1213">
        <v>1301</v>
      </c>
      <c r="K1213">
        <v>0</v>
      </c>
      <c r="L1213">
        <v>0</v>
      </c>
      <c r="M1213">
        <v>3</v>
      </c>
      <c r="N1213">
        <v>5</v>
      </c>
      <c r="O1213">
        <v>1298</v>
      </c>
      <c r="P1213">
        <v>0</v>
      </c>
      <c r="Q1213">
        <v>0</v>
      </c>
    </row>
    <row r="1214" spans="1:17" x14ac:dyDescent="0.2">
      <c r="A1214" s="121">
        <v>39691</v>
      </c>
      <c r="B1214" t="s">
        <v>406</v>
      </c>
      <c r="C1214" t="s">
        <v>491</v>
      </c>
      <c r="D1214" t="s">
        <v>494</v>
      </c>
      <c r="E1214" t="s">
        <v>495</v>
      </c>
      <c r="F1214" t="s">
        <v>413</v>
      </c>
      <c r="G1214">
        <v>2796</v>
      </c>
      <c r="H1214">
        <v>2796</v>
      </c>
      <c r="I1214">
        <v>2753</v>
      </c>
      <c r="J1214">
        <v>2753</v>
      </c>
      <c r="K1214">
        <v>0</v>
      </c>
      <c r="L1214">
        <v>0</v>
      </c>
      <c r="M1214">
        <v>9</v>
      </c>
      <c r="N1214">
        <v>23</v>
      </c>
      <c r="O1214">
        <v>2764</v>
      </c>
      <c r="P1214">
        <v>0</v>
      </c>
      <c r="Q1214">
        <v>0</v>
      </c>
    </row>
    <row r="1215" spans="1:17" x14ac:dyDescent="0.2">
      <c r="A1215" s="121">
        <v>39691</v>
      </c>
      <c r="B1215" t="s">
        <v>406</v>
      </c>
      <c r="C1215" t="s">
        <v>491</v>
      </c>
      <c r="D1215" t="s">
        <v>496</v>
      </c>
      <c r="E1215" t="s">
        <v>497</v>
      </c>
      <c r="F1215" t="s">
        <v>413</v>
      </c>
      <c r="G1215">
        <v>5944</v>
      </c>
      <c r="H1215">
        <v>5944</v>
      </c>
      <c r="I1215">
        <v>5814</v>
      </c>
      <c r="J1215">
        <v>5814</v>
      </c>
      <c r="K1215">
        <v>1498</v>
      </c>
      <c r="L1215">
        <v>0</v>
      </c>
      <c r="M1215">
        <v>18</v>
      </c>
      <c r="N1215">
        <v>55</v>
      </c>
      <c r="O1215">
        <v>4373</v>
      </c>
      <c r="P1215">
        <v>4</v>
      </c>
      <c r="Q1215">
        <v>0</v>
      </c>
    </row>
    <row r="1216" spans="1:17" x14ac:dyDescent="0.2">
      <c r="A1216" s="121">
        <v>39691</v>
      </c>
      <c r="B1216" t="s">
        <v>406</v>
      </c>
      <c r="C1216" t="s">
        <v>491</v>
      </c>
      <c r="D1216" t="s">
        <v>498</v>
      </c>
      <c r="E1216" t="s">
        <v>499</v>
      </c>
      <c r="F1216" t="s">
        <v>413</v>
      </c>
      <c r="G1216">
        <v>6302</v>
      </c>
      <c r="H1216">
        <v>6302</v>
      </c>
      <c r="I1216">
        <v>6095</v>
      </c>
      <c r="J1216">
        <v>6095</v>
      </c>
      <c r="K1216">
        <v>1962</v>
      </c>
      <c r="L1216">
        <v>15</v>
      </c>
      <c r="M1216">
        <v>3878</v>
      </c>
      <c r="N1216">
        <v>124</v>
      </c>
      <c r="O1216">
        <v>323</v>
      </c>
      <c r="P1216">
        <v>6</v>
      </c>
      <c r="Q1216">
        <v>0</v>
      </c>
    </row>
    <row r="1217" spans="1:17" x14ac:dyDescent="0.2">
      <c r="A1217" s="121">
        <v>39691</v>
      </c>
      <c r="B1217" t="s">
        <v>406</v>
      </c>
      <c r="C1217" t="s">
        <v>491</v>
      </c>
      <c r="D1217" t="s">
        <v>500</v>
      </c>
      <c r="E1217" t="s">
        <v>501</v>
      </c>
      <c r="F1217" t="s">
        <v>413</v>
      </c>
      <c r="G1217">
        <v>3626</v>
      </c>
      <c r="H1217">
        <v>3626</v>
      </c>
      <c r="I1217">
        <v>3603</v>
      </c>
      <c r="J1217">
        <v>3603</v>
      </c>
      <c r="K1217">
        <v>1045</v>
      </c>
      <c r="L1217">
        <v>0</v>
      </c>
      <c r="M1217">
        <v>2372</v>
      </c>
      <c r="N1217">
        <v>35</v>
      </c>
      <c r="O1217">
        <v>174</v>
      </c>
      <c r="P1217">
        <v>0</v>
      </c>
      <c r="Q1217">
        <v>0</v>
      </c>
    </row>
    <row r="1218" spans="1:17" x14ac:dyDescent="0.2">
      <c r="A1218" s="121">
        <v>39691</v>
      </c>
      <c r="B1218" t="s">
        <v>406</v>
      </c>
      <c r="C1218" t="s">
        <v>491</v>
      </c>
      <c r="D1218" t="s">
        <v>502</v>
      </c>
      <c r="E1218" t="s">
        <v>503</v>
      </c>
      <c r="F1218" t="s">
        <v>413</v>
      </c>
      <c r="G1218">
        <v>5767</v>
      </c>
      <c r="H1218">
        <v>5767</v>
      </c>
      <c r="I1218">
        <v>5715</v>
      </c>
      <c r="J1218">
        <v>5715</v>
      </c>
      <c r="K1218">
        <v>1489</v>
      </c>
      <c r="L1218">
        <v>8</v>
      </c>
      <c r="M1218">
        <v>4100</v>
      </c>
      <c r="N1218">
        <v>118</v>
      </c>
      <c r="O1218">
        <v>52</v>
      </c>
      <c r="P1218">
        <v>0</v>
      </c>
      <c r="Q1218">
        <v>0</v>
      </c>
    </row>
    <row r="1219" spans="1:17" x14ac:dyDescent="0.2">
      <c r="A1219" s="121">
        <v>39691</v>
      </c>
      <c r="B1219" t="s">
        <v>406</v>
      </c>
      <c r="C1219" t="s">
        <v>491</v>
      </c>
      <c r="D1219" t="s">
        <v>504</v>
      </c>
      <c r="E1219" t="s">
        <v>505</v>
      </c>
      <c r="F1219" t="s">
        <v>413</v>
      </c>
      <c r="G1219">
        <v>4237</v>
      </c>
      <c r="H1219">
        <v>4237</v>
      </c>
      <c r="I1219">
        <v>4170</v>
      </c>
      <c r="J1219">
        <v>4170</v>
      </c>
      <c r="K1219">
        <v>1248</v>
      </c>
      <c r="L1219">
        <v>5</v>
      </c>
      <c r="M1219">
        <v>2803</v>
      </c>
      <c r="N1219">
        <v>51</v>
      </c>
      <c r="O1219">
        <v>130</v>
      </c>
      <c r="P1219">
        <v>0</v>
      </c>
      <c r="Q1219">
        <v>0</v>
      </c>
    </row>
    <row r="1220" spans="1:17" x14ac:dyDescent="0.2">
      <c r="A1220" s="121">
        <v>39691</v>
      </c>
      <c r="B1220" t="s">
        <v>406</v>
      </c>
      <c r="C1220" t="s">
        <v>491</v>
      </c>
      <c r="D1220" t="s">
        <v>506</v>
      </c>
      <c r="E1220" t="s">
        <v>507</v>
      </c>
      <c r="F1220" t="s">
        <v>413</v>
      </c>
      <c r="G1220">
        <v>3103</v>
      </c>
      <c r="H1220">
        <v>3103</v>
      </c>
      <c r="I1220">
        <v>3058</v>
      </c>
      <c r="J1220">
        <v>3058</v>
      </c>
      <c r="K1220">
        <v>526</v>
      </c>
      <c r="L1220">
        <v>1</v>
      </c>
      <c r="M1220">
        <v>2567</v>
      </c>
      <c r="N1220">
        <v>0</v>
      </c>
      <c r="O1220">
        <v>9</v>
      </c>
      <c r="P1220">
        <v>4</v>
      </c>
      <c r="Q1220">
        <v>1</v>
      </c>
    </row>
    <row r="1221" spans="1:17" x14ac:dyDescent="0.2">
      <c r="A1221" s="121">
        <v>39691</v>
      </c>
      <c r="B1221" t="s">
        <v>406</v>
      </c>
      <c r="C1221" t="s">
        <v>491</v>
      </c>
      <c r="D1221" t="s">
        <v>508</v>
      </c>
      <c r="E1221" t="s">
        <v>509</v>
      </c>
      <c r="F1221" t="s">
        <v>413</v>
      </c>
      <c r="G1221">
        <v>5252</v>
      </c>
      <c r="H1221">
        <v>5252</v>
      </c>
      <c r="I1221">
        <v>5023</v>
      </c>
      <c r="J1221">
        <v>5023</v>
      </c>
      <c r="K1221">
        <v>1617</v>
      </c>
      <c r="L1221">
        <v>9</v>
      </c>
      <c r="M1221">
        <v>3079</v>
      </c>
      <c r="N1221">
        <v>124</v>
      </c>
      <c r="O1221">
        <v>423</v>
      </c>
      <c r="P1221">
        <v>4</v>
      </c>
      <c r="Q1221">
        <v>0</v>
      </c>
    </row>
    <row r="1222" spans="1:17" x14ac:dyDescent="0.2">
      <c r="A1222" s="121">
        <v>39691</v>
      </c>
      <c r="B1222" t="s">
        <v>406</v>
      </c>
      <c r="C1222" t="s">
        <v>510</v>
      </c>
      <c r="D1222" t="s">
        <v>511</v>
      </c>
      <c r="E1222" t="s">
        <v>512</v>
      </c>
      <c r="F1222" t="s">
        <v>410</v>
      </c>
      <c r="G1222">
        <v>524</v>
      </c>
      <c r="I1222">
        <v>519</v>
      </c>
    </row>
    <row r="1223" spans="1:17" x14ac:dyDescent="0.2">
      <c r="A1223" s="121">
        <v>39691</v>
      </c>
      <c r="B1223" t="s">
        <v>406</v>
      </c>
      <c r="C1223" t="s">
        <v>510</v>
      </c>
      <c r="D1223" t="s">
        <v>513</v>
      </c>
      <c r="E1223" t="s">
        <v>514</v>
      </c>
      <c r="F1223" t="s">
        <v>410</v>
      </c>
      <c r="G1223">
        <v>632</v>
      </c>
      <c r="I1223">
        <v>632</v>
      </c>
    </row>
    <row r="1224" spans="1:17" x14ac:dyDescent="0.2">
      <c r="A1224" s="121">
        <v>39691</v>
      </c>
      <c r="B1224" t="s">
        <v>406</v>
      </c>
      <c r="C1224" t="s">
        <v>510</v>
      </c>
      <c r="D1224" t="s">
        <v>515</v>
      </c>
      <c r="E1224" t="s">
        <v>516</v>
      </c>
      <c r="F1224" t="s">
        <v>410</v>
      </c>
      <c r="G1224">
        <v>89</v>
      </c>
      <c r="I1224">
        <v>86</v>
      </c>
    </row>
    <row r="1225" spans="1:17" x14ac:dyDescent="0.2">
      <c r="A1225" s="121">
        <v>39691</v>
      </c>
      <c r="B1225" t="s">
        <v>406</v>
      </c>
      <c r="C1225" t="s">
        <v>510</v>
      </c>
      <c r="D1225" t="s">
        <v>517</v>
      </c>
      <c r="E1225" t="s">
        <v>518</v>
      </c>
      <c r="F1225" t="s">
        <v>410</v>
      </c>
      <c r="G1225">
        <v>354</v>
      </c>
      <c r="I1225">
        <v>352</v>
      </c>
    </row>
    <row r="1226" spans="1:17" x14ac:dyDescent="0.2">
      <c r="A1226" s="121">
        <v>39691</v>
      </c>
      <c r="B1226" t="s">
        <v>406</v>
      </c>
      <c r="C1226" t="s">
        <v>510</v>
      </c>
      <c r="D1226" t="s">
        <v>519</v>
      </c>
      <c r="E1226" t="s">
        <v>520</v>
      </c>
      <c r="F1226" t="s">
        <v>410</v>
      </c>
      <c r="G1226">
        <v>423</v>
      </c>
      <c r="I1226">
        <v>417</v>
      </c>
    </row>
    <row r="1227" spans="1:17" x14ac:dyDescent="0.2">
      <c r="A1227" s="121">
        <v>39691</v>
      </c>
      <c r="B1227" t="s">
        <v>406</v>
      </c>
      <c r="C1227" t="s">
        <v>510</v>
      </c>
      <c r="D1227" t="s">
        <v>521</v>
      </c>
      <c r="E1227" t="s">
        <v>522</v>
      </c>
      <c r="F1227" t="s">
        <v>410</v>
      </c>
      <c r="G1227">
        <v>78</v>
      </c>
      <c r="I1227">
        <v>78</v>
      </c>
    </row>
    <row r="1228" spans="1:17" x14ac:dyDescent="0.2">
      <c r="A1228" s="121">
        <v>39691</v>
      </c>
      <c r="B1228" t="s">
        <v>406</v>
      </c>
      <c r="C1228" t="s">
        <v>510</v>
      </c>
      <c r="D1228" t="s">
        <v>523</v>
      </c>
      <c r="E1228" t="s">
        <v>524</v>
      </c>
      <c r="F1228" t="s">
        <v>413</v>
      </c>
      <c r="G1228">
        <v>635</v>
      </c>
      <c r="I1228">
        <v>634</v>
      </c>
    </row>
    <row r="1229" spans="1:17" x14ac:dyDescent="0.2">
      <c r="A1229" s="121">
        <v>39691</v>
      </c>
      <c r="B1229" t="s">
        <v>406</v>
      </c>
      <c r="C1229" t="s">
        <v>510</v>
      </c>
      <c r="D1229" t="s">
        <v>527</v>
      </c>
      <c r="E1229" t="s">
        <v>528</v>
      </c>
      <c r="F1229" t="s">
        <v>410</v>
      </c>
      <c r="G1229">
        <v>291</v>
      </c>
      <c r="I1229">
        <v>289</v>
      </c>
    </row>
    <row r="1230" spans="1:17" x14ac:dyDescent="0.2">
      <c r="A1230" s="121">
        <v>39691</v>
      </c>
      <c r="B1230" t="s">
        <v>406</v>
      </c>
      <c r="C1230" t="s">
        <v>510</v>
      </c>
      <c r="D1230" t="s">
        <v>529</v>
      </c>
      <c r="E1230" t="s">
        <v>530</v>
      </c>
      <c r="F1230" t="s">
        <v>413</v>
      </c>
      <c r="G1230">
        <v>493</v>
      </c>
      <c r="I1230">
        <v>489</v>
      </c>
    </row>
    <row r="1231" spans="1:17" x14ac:dyDescent="0.2">
      <c r="A1231" s="121">
        <v>39691</v>
      </c>
      <c r="B1231" t="s">
        <v>406</v>
      </c>
      <c r="C1231" t="s">
        <v>510</v>
      </c>
      <c r="D1231" t="s">
        <v>531</v>
      </c>
      <c r="E1231" t="s">
        <v>532</v>
      </c>
      <c r="F1231" t="s">
        <v>410</v>
      </c>
      <c r="G1231">
        <v>95</v>
      </c>
      <c r="I1231">
        <v>95</v>
      </c>
    </row>
    <row r="1232" spans="1:17" x14ac:dyDescent="0.2">
      <c r="A1232" s="121">
        <v>39691</v>
      </c>
      <c r="B1232" t="s">
        <v>406</v>
      </c>
      <c r="C1232" t="s">
        <v>510</v>
      </c>
      <c r="D1232" t="s">
        <v>533</v>
      </c>
      <c r="E1232" t="s">
        <v>534</v>
      </c>
      <c r="F1232" t="s">
        <v>413</v>
      </c>
      <c r="G1232">
        <v>2814</v>
      </c>
      <c r="H1232">
        <v>2814</v>
      </c>
      <c r="I1232">
        <v>2757</v>
      </c>
      <c r="J1232">
        <v>2757</v>
      </c>
      <c r="K1232">
        <v>612</v>
      </c>
      <c r="L1232">
        <v>27</v>
      </c>
      <c r="M1232">
        <v>2174</v>
      </c>
      <c r="N1232">
        <v>1</v>
      </c>
      <c r="O1232">
        <v>0</v>
      </c>
      <c r="P1232">
        <v>1</v>
      </c>
      <c r="Q1232">
        <v>1</v>
      </c>
    </row>
    <row r="1233" spans="1:17" x14ac:dyDescent="0.2">
      <c r="A1233" s="121">
        <v>39691</v>
      </c>
      <c r="B1233" t="s">
        <v>406</v>
      </c>
      <c r="C1233" t="s">
        <v>510</v>
      </c>
      <c r="D1233" t="s">
        <v>535</v>
      </c>
      <c r="E1233" t="s">
        <v>536</v>
      </c>
      <c r="F1233" t="s">
        <v>410</v>
      </c>
      <c r="G1233">
        <v>292</v>
      </c>
      <c r="I1233">
        <v>292</v>
      </c>
    </row>
    <row r="1234" spans="1:17" x14ac:dyDescent="0.2">
      <c r="A1234" s="121">
        <v>39691</v>
      </c>
      <c r="B1234" t="s">
        <v>406</v>
      </c>
      <c r="C1234" t="s">
        <v>510</v>
      </c>
      <c r="D1234" t="s">
        <v>537</v>
      </c>
      <c r="E1234" t="s">
        <v>538</v>
      </c>
      <c r="F1234" t="s">
        <v>410</v>
      </c>
      <c r="G1234">
        <v>144</v>
      </c>
      <c r="I1234">
        <v>143</v>
      </c>
    </row>
    <row r="1235" spans="1:17" x14ac:dyDescent="0.2">
      <c r="A1235" s="121">
        <v>39691</v>
      </c>
      <c r="B1235" t="s">
        <v>406</v>
      </c>
      <c r="C1235" t="s">
        <v>510</v>
      </c>
      <c r="D1235" t="s">
        <v>539</v>
      </c>
      <c r="E1235" t="s">
        <v>540</v>
      </c>
      <c r="F1235" t="s">
        <v>413</v>
      </c>
      <c r="G1235">
        <v>925</v>
      </c>
      <c r="I1235">
        <v>912</v>
      </c>
    </row>
    <row r="1236" spans="1:17" x14ac:dyDescent="0.2">
      <c r="A1236" s="121">
        <v>39691</v>
      </c>
      <c r="B1236" t="s">
        <v>406</v>
      </c>
      <c r="C1236" t="s">
        <v>510</v>
      </c>
      <c r="D1236" t="s">
        <v>541</v>
      </c>
      <c r="E1236" t="s">
        <v>542</v>
      </c>
      <c r="F1236" t="s">
        <v>410</v>
      </c>
      <c r="G1236">
        <v>415</v>
      </c>
      <c r="I1236">
        <v>409</v>
      </c>
    </row>
    <row r="1237" spans="1:17" x14ac:dyDescent="0.2">
      <c r="A1237" s="121">
        <v>39691</v>
      </c>
      <c r="B1237" t="s">
        <v>406</v>
      </c>
      <c r="C1237" t="s">
        <v>510</v>
      </c>
      <c r="D1237" t="s">
        <v>543</v>
      </c>
      <c r="E1237" t="s">
        <v>544</v>
      </c>
      <c r="F1237" t="s">
        <v>410</v>
      </c>
      <c r="G1237">
        <v>343</v>
      </c>
      <c r="I1237">
        <v>335</v>
      </c>
    </row>
    <row r="1238" spans="1:17" x14ac:dyDescent="0.2">
      <c r="A1238" s="121">
        <v>39691</v>
      </c>
      <c r="B1238" t="s">
        <v>406</v>
      </c>
      <c r="C1238" t="s">
        <v>510</v>
      </c>
      <c r="D1238" t="s">
        <v>545</v>
      </c>
      <c r="E1238" t="s">
        <v>546</v>
      </c>
      <c r="F1238" t="s">
        <v>410</v>
      </c>
      <c r="G1238">
        <v>154</v>
      </c>
      <c r="I1238">
        <v>154</v>
      </c>
    </row>
    <row r="1239" spans="1:17" x14ac:dyDescent="0.2">
      <c r="A1239" s="121">
        <v>39691</v>
      </c>
      <c r="B1239" t="s">
        <v>406</v>
      </c>
      <c r="C1239" t="s">
        <v>510</v>
      </c>
      <c r="D1239" t="s">
        <v>547</v>
      </c>
      <c r="E1239" t="s">
        <v>548</v>
      </c>
      <c r="F1239" t="s">
        <v>410</v>
      </c>
      <c r="G1239">
        <v>96</v>
      </c>
      <c r="I1239">
        <v>96</v>
      </c>
    </row>
    <row r="1240" spans="1:17" x14ac:dyDescent="0.2">
      <c r="A1240" s="121">
        <v>39691</v>
      </c>
      <c r="B1240" t="s">
        <v>406</v>
      </c>
      <c r="C1240" t="s">
        <v>510</v>
      </c>
      <c r="D1240" t="s">
        <v>549</v>
      </c>
      <c r="E1240" t="s">
        <v>550</v>
      </c>
      <c r="F1240" t="s">
        <v>410</v>
      </c>
      <c r="G1240">
        <v>233</v>
      </c>
      <c r="I1240">
        <v>231</v>
      </c>
    </row>
    <row r="1241" spans="1:17" x14ac:dyDescent="0.2">
      <c r="A1241" s="121">
        <v>39691</v>
      </c>
      <c r="B1241" t="s">
        <v>406</v>
      </c>
      <c r="C1241" t="s">
        <v>551</v>
      </c>
      <c r="D1241" t="s">
        <v>552</v>
      </c>
      <c r="E1241" t="s">
        <v>553</v>
      </c>
      <c r="F1241" t="s">
        <v>413</v>
      </c>
      <c r="G1241">
        <v>5708</v>
      </c>
      <c r="H1241">
        <v>5708</v>
      </c>
      <c r="I1241">
        <v>5572</v>
      </c>
      <c r="J1241">
        <v>5572</v>
      </c>
      <c r="K1241">
        <v>1664</v>
      </c>
      <c r="L1241">
        <v>3</v>
      </c>
      <c r="M1241">
        <v>4000</v>
      </c>
      <c r="N1241">
        <v>27</v>
      </c>
      <c r="O1241">
        <v>14</v>
      </c>
      <c r="P1241">
        <v>2</v>
      </c>
      <c r="Q1241">
        <v>0</v>
      </c>
    </row>
    <row r="1242" spans="1:17" x14ac:dyDescent="0.2">
      <c r="A1242" s="121">
        <v>39691</v>
      </c>
      <c r="B1242" t="s">
        <v>406</v>
      </c>
      <c r="C1242" t="s">
        <v>551</v>
      </c>
      <c r="D1242" t="s">
        <v>554</v>
      </c>
      <c r="E1242" t="s">
        <v>555</v>
      </c>
      <c r="F1242" t="s">
        <v>410</v>
      </c>
      <c r="G1242">
        <v>125</v>
      </c>
      <c r="I1242">
        <v>125</v>
      </c>
    </row>
    <row r="1243" spans="1:17" x14ac:dyDescent="0.2">
      <c r="A1243" s="121">
        <v>39691</v>
      </c>
      <c r="B1243" t="s">
        <v>406</v>
      </c>
      <c r="C1243" t="s">
        <v>551</v>
      </c>
      <c r="D1243" t="s">
        <v>556</v>
      </c>
      <c r="E1243" t="s">
        <v>557</v>
      </c>
      <c r="F1243" t="s">
        <v>410</v>
      </c>
      <c r="G1243">
        <v>157</v>
      </c>
      <c r="I1243">
        <v>157</v>
      </c>
    </row>
    <row r="1244" spans="1:17" x14ac:dyDescent="0.2">
      <c r="A1244" s="121">
        <v>39691</v>
      </c>
      <c r="B1244" t="s">
        <v>406</v>
      </c>
      <c r="C1244" t="s">
        <v>551</v>
      </c>
      <c r="D1244" t="s">
        <v>558</v>
      </c>
      <c r="E1244" t="s">
        <v>559</v>
      </c>
      <c r="F1244" t="s">
        <v>413</v>
      </c>
      <c r="G1244">
        <v>4975</v>
      </c>
      <c r="H1244">
        <v>4975</v>
      </c>
      <c r="I1244">
        <v>4878</v>
      </c>
      <c r="J1244">
        <v>4878</v>
      </c>
      <c r="K1244">
        <v>1133</v>
      </c>
      <c r="L1244">
        <v>4</v>
      </c>
      <c r="M1244">
        <v>3784</v>
      </c>
      <c r="N1244">
        <v>18</v>
      </c>
      <c r="O1244">
        <v>36</v>
      </c>
      <c r="P1244">
        <v>2</v>
      </c>
      <c r="Q1244">
        <v>0</v>
      </c>
    </row>
    <row r="1245" spans="1:17" x14ac:dyDescent="0.2">
      <c r="A1245" s="121">
        <v>39691</v>
      </c>
      <c r="B1245" t="s">
        <v>406</v>
      </c>
      <c r="C1245" t="s">
        <v>551</v>
      </c>
      <c r="D1245" t="s">
        <v>560</v>
      </c>
      <c r="E1245" t="s">
        <v>561</v>
      </c>
      <c r="F1245" t="s">
        <v>413</v>
      </c>
      <c r="G1245">
        <v>5559</v>
      </c>
      <c r="H1245">
        <v>5559</v>
      </c>
      <c r="I1245">
        <v>5483</v>
      </c>
      <c r="J1245">
        <v>5483</v>
      </c>
      <c r="K1245">
        <v>1145</v>
      </c>
      <c r="L1245">
        <v>9</v>
      </c>
      <c r="M1245">
        <v>4367</v>
      </c>
      <c r="N1245">
        <v>21</v>
      </c>
      <c r="O1245">
        <v>17</v>
      </c>
      <c r="P1245">
        <v>4</v>
      </c>
      <c r="Q1245">
        <v>0</v>
      </c>
    </row>
    <row r="1246" spans="1:17" x14ac:dyDescent="0.2">
      <c r="A1246" s="121">
        <v>39691</v>
      </c>
      <c r="B1246" t="s">
        <v>406</v>
      </c>
      <c r="C1246" t="s">
        <v>562</v>
      </c>
      <c r="D1246" t="s">
        <v>603</v>
      </c>
      <c r="E1246" t="s">
        <v>604</v>
      </c>
      <c r="F1246" t="s">
        <v>410</v>
      </c>
      <c r="G1246">
        <v>16</v>
      </c>
      <c r="I1246">
        <v>16</v>
      </c>
    </row>
    <row r="1247" spans="1:17" x14ac:dyDescent="0.2">
      <c r="A1247" s="121">
        <v>39691</v>
      </c>
      <c r="B1247" t="s">
        <v>406</v>
      </c>
      <c r="C1247" t="s">
        <v>562</v>
      </c>
      <c r="D1247" t="s">
        <v>605</v>
      </c>
      <c r="E1247" t="s">
        <v>606</v>
      </c>
      <c r="F1247" t="s">
        <v>410</v>
      </c>
      <c r="G1247">
        <v>256</v>
      </c>
      <c r="I1247">
        <v>256</v>
      </c>
    </row>
    <row r="1248" spans="1:17" x14ac:dyDescent="0.2">
      <c r="A1248" s="121">
        <v>39691</v>
      </c>
      <c r="B1248" t="s">
        <v>406</v>
      </c>
      <c r="C1248" t="s">
        <v>562</v>
      </c>
      <c r="D1248" t="s">
        <v>563</v>
      </c>
      <c r="E1248" t="s">
        <v>564</v>
      </c>
      <c r="F1248" t="s">
        <v>410</v>
      </c>
      <c r="G1248">
        <v>2982</v>
      </c>
      <c r="H1248">
        <v>2982</v>
      </c>
      <c r="I1248">
        <v>2959</v>
      </c>
      <c r="J1248">
        <v>2959</v>
      </c>
      <c r="K1248">
        <v>976</v>
      </c>
      <c r="L1248">
        <v>0</v>
      </c>
      <c r="M1248">
        <v>1952</v>
      </c>
      <c r="N1248">
        <v>54</v>
      </c>
      <c r="O1248">
        <v>0</v>
      </c>
      <c r="P1248">
        <v>0</v>
      </c>
      <c r="Q1248">
        <v>0</v>
      </c>
    </row>
    <row r="1249" spans="1:17" x14ac:dyDescent="0.2">
      <c r="A1249" s="121">
        <v>39691</v>
      </c>
      <c r="B1249" t="s">
        <v>406</v>
      </c>
      <c r="C1249" t="s">
        <v>562</v>
      </c>
      <c r="D1249" t="s">
        <v>565</v>
      </c>
      <c r="E1249" t="s">
        <v>566</v>
      </c>
      <c r="F1249" t="s">
        <v>413</v>
      </c>
      <c r="G1249">
        <v>4211</v>
      </c>
      <c r="H1249">
        <v>4211</v>
      </c>
      <c r="I1249">
        <v>4083</v>
      </c>
      <c r="J1249">
        <v>4083</v>
      </c>
      <c r="K1249">
        <v>860</v>
      </c>
      <c r="L1249">
        <v>4</v>
      </c>
      <c r="M1249">
        <v>3209</v>
      </c>
      <c r="N1249">
        <v>138</v>
      </c>
      <c r="O1249">
        <v>0</v>
      </c>
      <c r="P1249">
        <v>14</v>
      </c>
      <c r="Q1249">
        <v>0</v>
      </c>
    </row>
    <row r="1250" spans="1:17" x14ac:dyDescent="0.2">
      <c r="A1250" s="121">
        <v>39691</v>
      </c>
      <c r="B1250" t="s">
        <v>406</v>
      </c>
      <c r="C1250" t="s">
        <v>562</v>
      </c>
      <c r="D1250" t="s">
        <v>567</v>
      </c>
      <c r="E1250" t="s">
        <v>568</v>
      </c>
      <c r="F1250" t="s">
        <v>413</v>
      </c>
      <c r="G1250">
        <v>9468</v>
      </c>
      <c r="H1250">
        <v>9468</v>
      </c>
      <c r="I1250">
        <v>9096</v>
      </c>
      <c r="J1250">
        <v>9096</v>
      </c>
      <c r="K1250">
        <v>2601</v>
      </c>
      <c r="L1250">
        <v>16</v>
      </c>
      <c r="M1250">
        <v>6574</v>
      </c>
      <c r="N1250">
        <v>277</v>
      </c>
      <c r="O1250">
        <v>0</v>
      </c>
      <c r="P1250">
        <v>16</v>
      </c>
      <c r="Q1250">
        <v>1</v>
      </c>
    </row>
    <row r="1251" spans="1:17" x14ac:dyDescent="0.2">
      <c r="A1251" s="121">
        <v>39691</v>
      </c>
      <c r="B1251" t="s">
        <v>406</v>
      </c>
      <c r="C1251" t="s">
        <v>562</v>
      </c>
      <c r="D1251" t="s">
        <v>569</v>
      </c>
      <c r="E1251" t="s">
        <v>570</v>
      </c>
      <c r="F1251" t="s">
        <v>413</v>
      </c>
      <c r="G1251">
        <v>2691</v>
      </c>
      <c r="H1251">
        <v>2691</v>
      </c>
      <c r="I1251">
        <v>2677</v>
      </c>
      <c r="J1251">
        <v>2677</v>
      </c>
      <c r="K1251">
        <v>457</v>
      </c>
      <c r="L1251">
        <v>1</v>
      </c>
      <c r="M1251">
        <v>2233</v>
      </c>
      <c r="N1251">
        <v>0</v>
      </c>
      <c r="O1251">
        <v>0</v>
      </c>
      <c r="P1251">
        <v>0</v>
      </c>
      <c r="Q1251">
        <v>0</v>
      </c>
    </row>
    <row r="1252" spans="1:17" x14ac:dyDescent="0.2">
      <c r="A1252" s="121">
        <v>39691</v>
      </c>
      <c r="B1252" t="s">
        <v>406</v>
      </c>
      <c r="C1252" t="s">
        <v>571</v>
      </c>
      <c r="D1252" t="s">
        <v>572</v>
      </c>
      <c r="E1252" t="s">
        <v>573</v>
      </c>
      <c r="F1252" t="s">
        <v>410</v>
      </c>
      <c r="G1252">
        <v>234</v>
      </c>
      <c r="I1252">
        <v>234</v>
      </c>
    </row>
    <row r="1253" spans="1:17" x14ac:dyDescent="0.2">
      <c r="A1253" s="121">
        <v>39691</v>
      </c>
      <c r="B1253" t="s">
        <v>406</v>
      </c>
      <c r="C1253" t="s">
        <v>574</v>
      </c>
      <c r="D1253" t="s">
        <v>575</v>
      </c>
      <c r="E1253" t="s">
        <v>576</v>
      </c>
      <c r="F1253" t="s">
        <v>413</v>
      </c>
      <c r="G1253">
        <v>782</v>
      </c>
      <c r="H1253">
        <v>782</v>
      </c>
      <c r="I1253">
        <v>770</v>
      </c>
      <c r="J1253">
        <v>770</v>
      </c>
      <c r="K1253">
        <v>137</v>
      </c>
      <c r="L1253">
        <v>1</v>
      </c>
      <c r="M1253">
        <v>580</v>
      </c>
      <c r="N1253">
        <v>3</v>
      </c>
      <c r="O1253">
        <v>61</v>
      </c>
      <c r="P1253">
        <v>0</v>
      </c>
      <c r="Q1253">
        <v>0</v>
      </c>
    </row>
    <row r="1254" spans="1:17" x14ac:dyDescent="0.2">
      <c r="A1254" s="121">
        <v>39691</v>
      </c>
      <c r="B1254" t="s">
        <v>406</v>
      </c>
      <c r="C1254" t="s">
        <v>577</v>
      </c>
      <c r="D1254" t="s">
        <v>578</v>
      </c>
      <c r="E1254" t="s">
        <v>579</v>
      </c>
      <c r="F1254" t="s">
        <v>413</v>
      </c>
      <c r="G1254">
        <v>4344</v>
      </c>
      <c r="H1254">
        <v>4344</v>
      </c>
      <c r="I1254">
        <v>4269</v>
      </c>
      <c r="J1254">
        <v>4269</v>
      </c>
      <c r="K1254">
        <v>1072</v>
      </c>
      <c r="L1254">
        <v>13</v>
      </c>
      <c r="M1254">
        <v>3112</v>
      </c>
      <c r="N1254">
        <v>30</v>
      </c>
      <c r="O1254">
        <v>117</v>
      </c>
      <c r="P1254">
        <v>1</v>
      </c>
      <c r="Q1254">
        <v>0</v>
      </c>
    </row>
    <row r="1255" spans="1:17" x14ac:dyDescent="0.2">
      <c r="A1255" s="121">
        <v>39691</v>
      </c>
      <c r="B1255" t="s">
        <v>406</v>
      </c>
      <c r="C1255" t="s">
        <v>577</v>
      </c>
      <c r="D1255" t="s">
        <v>580</v>
      </c>
      <c r="E1255" t="s">
        <v>581</v>
      </c>
      <c r="F1255" t="s">
        <v>413</v>
      </c>
      <c r="G1255">
        <v>2216</v>
      </c>
      <c r="H1255">
        <v>2216</v>
      </c>
      <c r="I1255">
        <v>2193</v>
      </c>
      <c r="J1255">
        <v>2193</v>
      </c>
      <c r="K1255">
        <v>396</v>
      </c>
      <c r="L1255">
        <v>4</v>
      </c>
      <c r="M1255">
        <v>1582</v>
      </c>
      <c r="N1255">
        <v>46</v>
      </c>
      <c r="O1255">
        <v>188</v>
      </c>
      <c r="P1255">
        <v>1</v>
      </c>
      <c r="Q1255">
        <v>0</v>
      </c>
    </row>
    <row r="1256" spans="1:17" x14ac:dyDescent="0.2">
      <c r="A1256" s="121">
        <v>39691</v>
      </c>
      <c r="B1256" t="s">
        <v>406</v>
      </c>
      <c r="C1256" t="s">
        <v>577</v>
      </c>
      <c r="D1256" t="s">
        <v>584</v>
      </c>
      <c r="E1256" t="s">
        <v>585</v>
      </c>
      <c r="F1256" t="s">
        <v>410</v>
      </c>
      <c r="G1256">
        <v>197</v>
      </c>
      <c r="H1256">
        <v>197</v>
      </c>
      <c r="I1256">
        <v>197</v>
      </c>
      <c r="J1256">
        <v>197</v>
      </c>
      <c r="K1256">
        <v>12</v>
      </c>
      <c r="L1256">
        <v>0</v>
      </c>
      <c r="M1256">
        <v>182</v>
      </c>
      <c r="N1256">
        <v>0</v>
      </c>
      <c r="O1256">
        <v>3</v>
      </c>
      <c r="P1256">
        <v>0</v>
      </c>
      <c r="Q1256">
        <v>0</v>
      </c>
    </row>
    <row r="1257" spans="1:17" x14ac:dyDescent="0.2">
      <c r="A1257" s="121">
        <v>39691</v>
      </c>
      <c r="B1257" t="s">
        <v>406</v>
      </c>
      <c r="C1257" t="s">
        <v>577</v>
      </c>
      <c r="D1257" t="s">
        <v>586</v>
      </c>
      <c r="E1257" t="s">
        <v>587</v>
      </c>
      <c r="F1257" t="s">
        <v>410</v>
      </c>
      <c r="G1257">
        <v>832</v>
      </c>
      <c r="H1257">
        <v>832</v>
      </c>
      <c r="I1257">
        <v>832</v>
      </c>
      <c r="J1257">
        <v>832</v>
      </c>
      <c r="K1257">
        <v>70</v>
      </c>
      <c r="L1257">
        <v>0</v>
      </c>
      <c r="M1257">
        <v>594</v>
      </c>
      <c r="N1257">
        <v>0</v>
      </c>
      <c r="O1257">
        <v>168</v>
      </c>
      <c r="P1257">
        <v>0</v>
      </c>
      <c r="Q1257">
        <v>0</v>
      </c>
    </row>
    <row r="1258" spans="1:17" x14ac:dyDescent="0.2">
      <c r="A1258" s="121">
        <v>39691</v>
      </c>
      <c r="B1258" t="s">
        <v>406</v>
      </c>
      <c r="C1258" t="s">
        <v>577</v>
      </c>
      <c r="D1258" t="s">
        <v>588</v>
      </c>
      <c r="E1258" t="s">
        <v>589</v>
      </c>
      <c r="F1258" t="s">
        <v>410</v>
      </c>
      <c r="G1258">
        <v>149</v>
      </c>
      <c r="H1258">
        <v>149</v>
      </c>
      <c r="I1258">
        <v>149</v>
      </c>
      <c r="J1258">
        <v>149</v>
      </c>
      <c r="K1258">
        <v>11</v>
      </c>
      <c r="L1258">
        <v>0</v>
      </c>
      <c r="M1258">
        <v>113</v>
      </c>
      <c r="N1258">
        <v>0</v>
      </c>
      <c r="O1258">
        <v>25</v>
      </c>
      <c r="P1258">
        <v>0</v>
      </c>
      <c r="Q1258">
        <v>0</v>
      </c>
    </row>
    <row r="1259" spans="1:17" x14ac:dyDescent="0.2">
      <c r="A1259" s="121">
        <v>39691</v>
      </c>
      <c r="B1259" t="s">
        <v>406</v>
      </c>
      <c r="C1259" t="s">
        <v>577</v>
      </c>
      <c r="D1259" t="s">
        <v>590</v>
      </c>
      <c r="E1259" t="s">
        <v>591</v>
      </c>
      <c r="F1259" t="s">
        <v>410</v>
      </c>
      <c r="G1259">
        <v>317</v>
      </c>
      <c r="H1259">
        <v>317</v>
      </c>
      <c r="I1259">
        <v>317</v>
      </c>
      <c r="J1259">
        <v>317</v>
      </c>
      <c r="K1259">
        <v>15</v>
      </c>
      <c r="L1259">
        <v>0</v>
      </c>
      <c r="M1259">
        <v>289</v>
      </c>
      <c r="N1259">
        <v>0</v>
      </c>
      <c r="O1259">
        <v>13</v>
      </c>
      <c r="P1259">
        <v>0</v>
      </c>
      <c r="Q1259">
        <v>0</v>
      </c>
    </row>
    <row r="1260" spans="1:17" x14ac:dyDescent="0.2">
      <c r="A1260" s="121">
        <v>39691</v>
      </c>
      <c r="B1260" t="s">
        <v>406</v>
      </c>
      <c r="C1260" t="s">
        <v>577</v>
      </c>
      <c r="D1260" t="s">
        <v>607</v>
      </c>
      <c r="E1260" t="s">
        <v>608</v>
      </c>
      <c r="F1260" t="s">
        <v>410</v>
      </c>
      <c r="G1260">
        <v>60</v>
      </c>
      <c r="H1260">
        <v>60</v>
      </c>
      <c r="I1260">
        <v>60</v>
      </c>
      <c r="J1260">
        <v>60</v>
      </c>
      <c r="K1260">
        <v>0</v>
      </c>
      <c r="L1260">
        <v>0</v>
      </c>
      <c r="M1260">
        <v>59</v>
      </c>
      <c r="N1260">
        <v>0</v>
      </c>
      <c r="O1260">
        <v>1</v>
      </c>
      <c r="P1260">
        <v>0</v>
      </c>
      <c r="Q1260">
        <v>0</v>
      </c>
    </row>
    <row r="1261" spans="1:17" x14ac:dyDescent="0.2">
      <c r="A1261" s="121">
        <v>39691</v>
      </c>
      <c r="B1261" t="s">
        <v>406</v>
      </c>
      <c r="C1261" t="s">
        <v>577</v>
      </c>
      <c r="D1261" t="s">
        <v>592</v>
      </c>
      <c r="E1261" t="s">
        <v>593</v>
      </c>
      <c r="F1261" t="s">
        <v>410</v>
      </c>
      <c r="G1261">
        <v>369</v>
      </c>
      <c r="H1261">
        <v>369</v>
      </c>
      <c r="I1261">
        <v>369</v>
      </c>
      <c r="J1261">
        <v>369</v>
      </c>
      <c r="K1261">
        <v>28</v>
      </c>
      <c r="L1261">
        <v>0</v>
      </c>
      <c r="M1261">
        <v>287</v>
      </c>
      <c r="N1261">
        <v>1</v>
      </c>
      <c r="O1261">
        <v>53</v>
      </c>
      <c r="P1261">
        <v>0</v>
      </c>
      <c r="Q1261">
        <v>0</v>
      </c>
    </row>
    <row r="1262" spans="1:17" x14ac:dyDescent="0.2">
      <c r="A1262" s="121">
        <v>39691</v>
      </c>
      <c r="B1262" t="s">
        <v>406</v>
      </c>
      <c r="C1262" t="s">
        <v>594</v>
      </c>
      <c r="D1262" t="s">
        <v>595</v>
      </c>
      <c r="E1262" t="s">
        <v>596</v>
      </c>
      <c r="F1262" t="s">
        <v>410</v>
      </c>
      <c r="G1262">
        <v>39</v>
      </c>
      <c r="I1262">
        <v>39</v>
      </c>
    </row>
    <row r="1263" spans="1:17" x14ac:dyDescent="0.2">
      <c r="A1263" s="121">
        <v>39691</v>
      </c>
      <c r="B1263" t="s">
        <v>406</v>
      </c>
      <c r="C1263" t="s">
        <v>594</v>
      </c>
      <c r="D1263" t="s">
        <v>597</v>
      </c>
      <c r="E1263" t="s">
        <v>598</v>
      </c>
      <c r="F1263" t="s">
        <v>413</v>
      </c>
      <c r="G1263">
        <v>660</v>
      </c>
      <c r="H1263">
        <v>660</v>
      </c>
      <c r="I1263">
        <v>651</v>
      </c>
      <c r="J1263">
        <v>651</v>
      </c>
      <c r="K1263">
        <v>162</v>
      </c>
      <c r="L1263">
        <v>0</v>
      </c>
      <c r="M1263">
        <v>486</v>
      </c>
      <c r="N1263">
        <v>1</v>
      </c>
      <c r="O1263">
        <v>11</v>
      </c>
      <c r="P1263">
        <v>0</v>
      </c>
      <c r="Q1263">
        <v>0</v>
      </c>
    </row>
    <row r="1264" spans="1:17" x14ac:dyDescent="0.2">
      <c r="A1264" s="121">
        <v>39691</v>
      </c>
      <c r="B1264" t="s">
        <v>406</v>
      </c>
      <c r="C1264" t="s">
        <v>594</v>
      </c>
      <c r="D1264" t="s">
        <v>599</v>
      </c>
      <c r="E1264" t="s">
        <v>600</v>
      </c>
      <c r="F1264" t="s">
        <v>410</v>
      </c>
      <c r="G1264">
        <v>98</v>
      </c>
      <c r="I1264">
        <v>98</v>
      </c>
    </row>
    <row r="1265" spans="1:17" x14ac:dyDescent="0.2">
      <c r="A1265" s="121">
        <v>39721</v>
      </c>
      <c r="B1265" t="s">
        <v>406</v>
      </c>
      <c r="C1265" t="s">
        <v>407</v>
      </c>
      <c r="D1265" t="s">
        <v>408</v>
      </c>
      <c r="E1265" t="s">
        <v>409</v>
      </c>
      <c r="F1265" t="s">
        <v>410</v>
      </c>
      <c r="G1265">
        <v>270</v>
      </c>
      <c r="I1265">
        <v>270</v>
      </c>
    </row>
    <row r="1266" spans="1:17" x14ac:dyDescent="0.2">
      <c r="A1266" s="121">
        <v>39721</v>
      </c>
      <c r="B1266" t="s">
        <v>406</v>
      </c>
      <c r="C1266" t="s">
        <v>407</v>
      </c>
      <c r="D1266" t="s">
        <v>601</v>
      </c>
      <c r="E1266" t="s">
        <v>602</v>
      </c>
      <c r="F1266" t="s">
        <v>410</v>
      </c>
      <c r="G1266">
        <v>49</v>
      </c>
      <c r="I1266">
        <v>49</v>
      </c>
    </row>
    <row r="1267" spans="1:17" x14ac:dyDescent="0.2">
      <c r="A1267" s="121">
        <v>39721</v>
      </c>
      <c r="B1267" t="s">
        <v>406</v>
      </c>
      <c r="C1267" t="s">
        <v>407</v>
      </c>
      <c r="D1267" t="s">
        <v>411</v>
      </c>
      <c r="E1267" t="s">
        <v>412</v>
      </c>
      <c r="F1267" t="s">
        <v>413</v>
      </c>
      <c r="G1267">
        <v>5267</v>
      </c>
      <c r="H1267">
        <v>5267</v>
      </c>
      <c r="I1267">
        <v>5205</v>
      </c>
      <c r="J1267">
        <v>5205</v>
      </c>
      <c r="K1267">
        <v>1920</v>
      </c>
      <c r="L1267">
        <v>2</v>
      </c>
      <c r="M1267">
        <v>3036</v>
      </c>
      <c r="N1267">
        <v>79</v>
      </c>
      <c r="O1267">
        <v>230</v>
      </c>
      <c r="P1267">
        <v>1</v>
      </c>
      <c r="Q1267">
        <v>0</v>
      </c>
    </row>
    <row r="1268" spans="1:17" x14ac:dyDescent="0.2">
      <c r="A1268" s="121">
        <v>39721</v>
      </c>
      <c r="B1268" t="s">
        <v>406</v>
      </c>
      <c r="C1268" t="s">
        <v>407</v>
      </c>
      <c r="D1268" t="s">
        <v>414</v>
      </c>
      <c r="E1268" t="s">
        <v>415</v>
      </c>
      <c r="F1268" t="s">
        <v>410</v>
      </c>
      <c r="G1268">
        <v>105</v>
      </c>
      <c r="I1268">
        <v>105</v>
      </c>
    </row>
    <row r="1269" spans="1:17" x14ac:dyDescent="0.2">
      <c r="A1269" s="121">
        <v>39721</v>
      </c>
      <c r="B1269" t="s">
        <v>406</v>
      </c>
      <c r="C1269" t="s">
        <v>407</v>
      </c>
      <c r="D1269" t="s">
        <v>416</v>
      </c>
      <c r="E1269" t="s">
        <v>417</v>
      </c>
      <c r="F1269" t="s">
        <v>413</v>
      </c>
      <c r="G1269">
        <v>3606</v>
      </c>
      <c r="H1269">
        <v>3606</v>
      </c>
      <c r="I1269">
        <v>3565</v>
      </c>
      <c r="J1269">
        <v>3565</v>
      </c>
      <c r="K1269">
        <v>1210</v>
      </c>
      <c r="L1269">
        <v>3</v>
      </c>
      <c r="M1269">
        <v>2261</v>
      </c>
      <c r="N1269">
        <v>65</v>
      </c>
      <c r="O1269">
        <v>67</v>
      </c>
      <c r="P1269">
        <v>2</v>
      </c>
      <c r="Q1269">
        <v>0</v>
      </c>
    </row>
    <row r="1270" spans="1:17" x14ac:dyDescent="0.2">
      <c r="A1270" s="121">
        <v>39721</v>
      </c>
      <c r="B1270" t="s">
        <v>406</v>
      </c>
      <c r="C1270" t="s">
        <v>418</v>
      </c>
      <c r="D1270" t="s">
        <v>419</v>
      </c>
      <c r="E1270" t="s">
        <v>420</v>
      </c>
      <c r="F1270" t="s">
        <v>410</v>
      </c>
      <c r="G1270">
        <v>21</v>
      </c>
      <c r="I1270">
        <v>21</v>
      </c>
    </row>
    <row r="1271" spans="1:17" x14ac:dyDescent="0.2">
      <c r="A1271" s="121">
        <v>39721</v>
      </c>
      <c r="B1271" t="s">
        <v>406</v>
      </c>
      <c r="C1271" t="s">
        <v>418</v>
      </c>
      <c r="D1271" t="s">
        <v>421</v>
      </c>
      <c r="E1271" t="s">
        <v>422</v>
      </c>
      <c r="F1271" t="s">
        <v>410</v>
      </c>
      <c r="G1271">
        <v>93</v>
      </c>
      <c r="I1271">
        <v>93</v>
      </c>
    </row>
    <row r="1272" spans="1:17" x14ac:dyDescent="0.2">
      <c r="A1272" s="121">
        <v>39721</v>
      </c>
      <c r="B1272" t="s">
        <v>406</v>
      </c>
      <c r="C1272" t="s">
        <v>418</v>
      </c>
      <c r="D1272" t="s">
        <v>423</v>
      </c>
      <c r="E1272" t="s">
        <v>424</v>
      </c>
      <c r="F1272" t="s">
        <v>410</v>
      </c>
      <c r="G1272">
        <v>27</v>
      </c>
      <c r="I1272">
        <v>27</v>
      </c>
    </row>
    <row r="1273" spans="1:17" x14ac:dyDescent="0.2">
      <c r="A1273" s="121">
        <v>39721</v>
      </c>
      <c r="B1273" t="s">
        <v>406</v>
      </c>
      <c r="C1273" t="s">
        <v>418</v>
      </c>
      <c r="D1273" t="s">
        <v>425</v>
      </c>
      <c r="E1273" t="s">
        <v>426</v>
      </c>
      <c r="F1273" t="s">
        <v>410</v>
      </c>
      <c r="G1273">
        <v>115</v>
      </c>
      <c r="I1273">
        <v>115</v>
      </c>
    </row>
    <row r="1274" spans="1:17" x14ac:dyDescent="0.2">
      <c r="A1274" s="121">
        <v>39721</v>
      </c>
      <c r="B1274" t="s">
        <v>406</v>
      </c>
      <c r="C1274" t="s">
        <v>418</v>
      </c>
      <c r="D1274" t="s">
        <v>427</v>
      </c>
      <c r="E1274" t="s">
        <v>428</v>
      </c>
      <c r="F1274" t="s">
        <v>413</v>
      </c>
      <c r="G1274">
        <v>1794</v>
      </c>
      <c r="H1274">
        <v>1794</v>
      </c>
      <c r="I1274">
        <v>1753</v>
      </c>
      <c r="J1274">
        <v>1753</v>
      </c>
      <c r="K1274">
        <v>546</v>
      </c>
      <c r="L1274">
        <v>2</v>
      </c>
      <c r="M1274">
        <v>1039</v>
      </c>
      <c r="N1274">
        <v>25</v>
      </c>
      <c r="O1274">
        <v>182</v>
      </c>
      <c r="P1274">
        <v>0</v>
      </c>
      <c r="Q1274">
        <v>0</v>
      </c>
    </row>
    <row r="1275" spans="1:17" x14ac:dyDescent="0.2">
      <c r="A1275" s="121">
        <v>39721</v>
      </c>
      <c r="B1275" t="s">
        <v>406</v>
      </c>
      <c r="C1275" t="s">
        <v>429</v>
      </c>
      <c r="D1275" t="s">
        <v>430</v>
      </c>
      <c r="E1275" t="s">
        <v>431</v>
      </c>
      <c r="F1275" t="s">
        <v>410</v>
      </c>
      <c r="G1275">
        <v>56</v>
      </c>
      <c r="I1275">
        <v>56</v>
      </c>
    </row>
    <row r="1276" spans="1:17" x14ac:dyDescent="0.2">
      <c r="A1276" s="121">
        <v>39721</v>
      </c>
      <c r="B1276" t="s">
        <v>406</v>
      </c>
      <c r="C1276" t="s">
        <v>429</v>
      </c>
      <c r="D1276" t="s">
        <v>432</v>
      </c>
      <c r="E1276" t="s">
        <v>433</v>
      </c>
      <c r="F1276" t="s">
        <v>410</v>
      </c>
      <c r="G1276">
        <v>83</v>
      </c>
      <c r="I1276">
        <v>83</v>
      </c>
    </row>
    <row r="1277" spans="1:17" x14ac:dyDescent="0.2">
      <c r="A1277" s="121">
        <v>39721</v>
      </c>
      <c r="B1277" t="s">
        <v>406</v>
      </c>
      <c r="C1277" t="s">
        <v>429</v>
      </c>
      <c r="D1277" t="s">
        <v>434</v>
      </c>
      <c r="E1277" t="s">
        <v>435</v>
      </c>
      <c r="F1277" t="s">
        <v>410</v>
      </c>
      <c r="G1277">
        <v>7</v>
      </c>
      <c r="I1277">
        <v>7</v>
      </c>
    </row>
    <row r="1278" spans="1:17" x14ac:dyDescent="0.2">
      <c r="A1278" s="121">
        <v>39721</v>
      </c>
      <c r="B1278" t="s">
        <v>406</v>
      </c>
      <c r="C1278" t="s">
        <v>429</v>
      </c>
      <c r="D1278" t="s">
        <v>436</v>
      </c>
      <c r="E1278" t="s">
        <v>437</v>
      </c>
      <c r="F1278" t="s">
        <v>410</v>
      </c>
      <c r="G1278">
        <v>85</v>
      </c>
      <c r="I1278">
        <v>85</v>
      </c>
    </row>
    <row r="1279" spans="1:17" x14ac:dyDescent="0.2">
      <c r="A1279" s="121">
        <v>39721</v>
      </c>
      <c r="B1279" t="s">
        <v>406</v>
      </c>
      <c r="C1279" t="s">
        <v>429</v>
      </c>
      <c r="D1279" t="s">
        <v>438</v>
      </c>
      <c r="E1279" t="s">
        <v>439</v>
      </c>
      <c r="F1279" t="s">
        <v>413</v>
      </c>
      <c r="G1279">
        <v>1044</v>
      </c>
      <c r="H1279">
        <v>1044</v>
      </c>
      <c r="I1279">
        <v>1027</v>
      </c>
      <c r="J1279">
        <v>1027</v>
      </c>
      <c r="K1279">
        <v>105</v>
      </c>
      <c r="L1279">
        <v>2</v>
      </c>
      <c r="M1279">
        <v>929</v>
      </c>
      <c r="N1279">
        <v>8</v>
      </c>
      <c r="O1279">
        <v>0</v>
      </c>
      <c r="P1279">
        <v>0</v>
      </c>
      <c r="Q1279">
        <v>0</v>
      </c>
    </row>
    <row r="1280" spans="1:17" x14ac:dyDescent="0.2">
      <c r="A1280" s="121">
        <v>39721</v>
      </c>
      <c r="B1280" t="s">
        <v>406</v>
      </c>
      <c r="C1280" t="s">
        <v>429</v>
      </c>
      <c r="D1280" t="s">
        <v>440</v>
      </c>
      <c r="E1280" t="s">
        <v>441</v>
      </c>
      <c r="F1280" t="s">
        <v>413</v>
      </c>
      <c r="G1280">
        <v>2770</v>
      </c>
      <c r="H1280">
        <v>2770</v>
      </c>
      <c r="I1280">
        <v>2717</v>
      </c>
      <c r="J1280">
        <v>2717</v>
      </c>
      <c r="K1280">
        <v>929</v>
      </c>
      <c r="L1280">
        <v>4</v>
      </c>
      <c r="M1280">
        <v>1783</v>
      </c>
      <c r="N1280">
        <v>13</v>
      </c>
      <c r="O1280">
        <v>41</v>
      </c>
      <c r="P1280">
        <v>1</v>
      </c>
      <c r="Q1280">
        <v>0</v>
      </c>
    </row>
    <row r="1281" spans="1:17" x14ac:dyDescent="0.2">
      <c r="A1281" s="121">
        <v>39721</v>
      </c>
      <c r="B1281" t="s">
        <v>406</v>
      </c>
      <c r="C1281" t="s">
        <v>442</v>
      </c>
      <c r="D1281" t="s">
        <v>443</v>
      </c>
      <c r="E1281" t="s">
        <v>444</v>
      </c>
      <c r="F1281" t="s">
        <v>413</v>
      </c>
      <c r="G1281">
        <v>3616</v>
      </c>
      <c r="H1281">
        <v>3616</v>
      </c>
      <c r="I1281">
        <v>3516</v>
      </c>
      <c r="J1281">
        <v>3516</v>
      </c>
      <c r="K1281">
        <v>537</v>
      </c>
      <c r="L1281">
        <v>3</v>
      </c>
      <c r="M1281">
        <v>2981</v>
      </c>
      <c r="N1281">
        <v>35</v>
      </c>
      <c r="O1281">
        <v>60</v>
      </c>
      <c r="P1281">
        <v>9</v>
      </c>
      <c r="Q1281">
        <v>0</v>
      </c>
    </row>
    <row r="1282" spans="1:17" x14ac:dyDescent="0.2">
      <c r="A1282" s="121">
        <v>39721</v>
      </c>
      <c r="B1282" t="s">
        <v>406</v>
      </c>
      <c r="C1282" t="s">
        <v>442</v>
      </c>
      <c r="D1282" t="s">
        <v>445</v>
      </c>
      <c r="E1282" t="s">
        <v>446</v>
      </c>
      <c r="F1282" t="s">
        <v>410</v>
      </c>
      <c r="G1282">
        <v>154</v>
      </c>
      <c r="I1282">
        <v>154</v>
      </c>
    </row>
    <row r="1283" spans="1:17" x14ac:dyDescent="0.2">
      <c r="A1283" s="121">
        <v>39721</v>
      </c>
      <c r="B1283" t="s">
        <v>406</v>
      </c>
      <c r="C1283" t="s">
        <v>442</v>
      </c>
      <c r="D1283" t="s">
        <v>447</v>
      </c>
      <c r="E1283" t="s">
        <v>448</v>
      </c>
      <c r="F1283" t="s">
        <v>410</v>
      </c>
      <c r="G1283">
        <v>324</v>
      </c>
      <c r="I1283">
        <v>324</v>
      </c>
    </row>
    <row r="1284" spans="1:17" x14ac:dyDescent="0.2">
      <c r="A1284" s="121">
        <v>39721</v>
      </c>
      <c r="B1284" t="s">
        <v>406</v>
      </c>
      <c r="C1284" t="s">
        <v>442</v>
      </c>
      <c r="D1284" t="s">
        <v>449</v>
      </c>
      <c r="E1284" t="s">
        <v>450</v>
      </c>
      <c r="F1284" t="s">
        <v>413</v>
      </c>
      <c r="G1284">
        <v>3162</v>
      </c>
      <c r="H1284">
        <v>3162</v>
      </c>
      <c r="I1284">
        <v>3113</v>
      </c>
      <c r="J1284">
        <v>3113</v>
      </c>
      <c r="K1284">
        <v>608</v>
      </c>
      <c r="L1284">
        <v>4</v>
      </c>
      <c r="M1284">
        <v>2494</v>
      </c>
      <c r="N1284">
        <v>34</v>
      </c>
      <c r="O1284">
        <v>22</v>
      </c>
      <c r="P1284">
        <v>3</v>
      </c>
      <c r="Q1284">
        <v>0</v>
      </c>
    </row>
    <row r="1285" spans="1:17" x14ac:dyDescent="0.2">
      <c r="A1285" s="121">
        <v>39721</v>
      </c>
      <c r="B1285" t="s">
        <v>406</v>
      </c>
      <c r="C1285" t="s">
        <v>451</v>
      </c>
      <c r="D1285" t="s">
        <v>452</v>
      </c>
      <c r="E1285" t="s">
        <v>453</v>
      </c>
      <c r="F1285" t="s">
        <v>410</v>
      </c>
      <c r="G1285">
        <v>1874</v>
      </c>
      <c r="H1285">
        <v>1874</v>
      </c>
      <c r="I1285">
        <v>1873</v>
      </c>
      <c r="J1285">
        <v>1873</v>
      </c>
      <c r="K1285">
        <v>0</v>
      </c>
      <c r="L1285">
        <v>0</v>
      </c>
      <c r="M1285">
        <v>1358</v>
      </c>
      <c r="N1285">
        <v>189</v>
      </c>
      <c r="O1285">
        <v>327</v>
      </c>
      <c r="P1285">
        <v>0</v>
      </c>
      <c r="Q1285">
        <v>0</v>
      </c>
    </row>
    <row r="1286" spans="1:17" x14ac:dyDescent="0.2">
      <c r="A1286" s="121">
        <v>39721</v>
      </c>
      <c r="B1286" t="s">
        <v>406</v>
      </c>
      <c r="C1286" t="s">
        <v>451</v>
      </c>
      <c r="D1286" t="s">
        <v>454</v>
      </c>
      <c r="E1286" t="s">
        <v>455</v>
      </c>
      <c r="F1286" t="s">
        <v>413</v>
      </c>
      <c r="G1286">
        <v>4207</v>
      </c>
      <c r="H1286">
        <v>4207</v>
      </c>
      <c r="I1286">
        <v>4043</v>
      </c>
      <c r="J1286">
        <v>4043</v>
      </c>
      <c r="K1286">
        <v>1154</v>
      </c>
      <c r="L1286">
        <v>8</v>
      </c>
      <c r="M1286">
        <v>2362</v>
      </c>
      <c r="N1286">
        <v>62</v>
      </c>
      <c r="O1286">
        <v>621</v>
      </c>
      <c r="P1286">
        <v>6</v>
      </c>
      <c r="Q1286">
        <v>1</v>
      </c>
    </row>
    <row r="1287" spans="1:17" x14ac:dyDescent="0.2">
      <c r="A1287" s="121">
        <v>39721</v>
      </c>
      <c r="B1287" t="s">
        <v>406</v>
      </c>
      <c r="C1287" t="s">
        <v>456</v>
      </c>
      <c r="D1287" t="s">
        <v>457</v>
      </c>
      <c r="E1287" t="s">
        <v>458</v>
      </c>
      <c r="F1287" t="s">
        <v>413</v>
      </c>
      <c r="G1287">
        <v>5211</v>
      </c>
      <c r="H1287">
        <v>5211</v>
      </c>
      <c r="I1287">
        <v>4994</v>
      </c>
      <c r="J1287">
        <v>4994</v>
      </c>
      <c r="K1287">
        <v>1189</v>
      </c>
      <c r="L1287">
        <v>28</v>
      </c>
      <c r="M1287">
        <v>3859</v>
      </c>
      <c r="N1287">
        <v>104</v>
      </c>
      <c r="O1287">
        <v>31</v>
      </c>
      <c r="P1287">
        <v>10</v>
      </c>
      <c r="Q1287">
        <v>0</v>
      </c>
    </row>
    <row r="1288" spans="1:17" x14ac:dyDescent="0.2">
      <c r="A1288" s="121">
        <v>39721</v>
      </c>
      <c r="B1288" t="s">
        <v>406</v>
      </c>
      <c r="C1288" t="s">
        <v>456</v>
      </c>
      <c r="D1288" t="s">
        <v>459</v>
      </c>
      <c r="E1288" t="s">
        <v>460</v>
      </c>
      <c r="F1288" t="s">
        <v>413</v>
      </c>
      <c r="G1288">
        <v>1408</v>
      </c>
      <c r="H1288">
        <v>1408</v>
      </c>
      <c r="I1288">
        <v>1407</v>
      </c>
      <c r="J1288">
        <v>1407</v>
      </c>
      <c r="K1288">
        <v>346</v>
      </c>
      <c r="L1288">
        <v>0</v>
      </c>
      <c r="M1288">
        <v>1062</v>
      </c>
      <c r="N1288">
        <v>0</v>
      </c>
      <c r="O1288">
        <v>0</v>
      </c>
      <c r="P1288">
        <v>0</v>
      </c>
      <c r="Q1288">
        <v>0</v>
      </c>
    </row>
    <row r="1289" spans="1:17" x14ac:dyDescent="0.2">
      <c r="A1289" s="121">
        <v>39721</v>
      </c>
      <c r="B1289" t="s">
        <v>406</v>
      </c>
      <c r="C1289" t="s">
        <v>456</v>
      </c>
      <c r="D1289" t="s">
        <v>461</v>
      </c>
      <c r="E1289" t="s">
        <v>462</v>
      </c>
      <c r="F1289" t="s">
        <v>410</v>
      </c>
      <c r="G1289">
        <v>89</v>
      </c>
      <c r="I1289">
        <v>89</v>
      </c>
    </row>
    <row r="1290" spans="1:17" x14ac:dyDescent="0.2">
      <c r="A1290" s="121">
        <v>39721</v>
      </c>
      <c r="B1290" t="s">
        <v>406</v>
      </c>
      <c r="C1290" t="s">
        <v>456</v>
      </c>
      <c r="D1290" t="s">
        <v>463</v>
      </c>
      <c r="E1290" t="s">
        <v>464</v>
      </c>
      <c r="F1290" t="s">
        <v>410</v>
      </c>
      <c r="G1290">
        <v>49</v>
      </c>
      <c r="I1290">
        <v>49</v>
      </c>
    </row>
    <row r="1291" spans="1:17" x14ac:dyDescent="0.2">
      <c r="A1291" s="121">
        <v>39721</v>
      </c>
      <c r="B1291" t="s">
        <v>406</v>
      </c>
      <c r="C1291" t="s">
        <v>456</v>
      </c>
      <c r="D1291" t="s">
        <v>465</v>
      </c>
      <c r="E1291" t="s">
        <v>466</v>
      </c>
      <c r="F1291" t="s">
        <v>410</v>
      </c>
      <c r="G1291">
        <v>85</v>
      </c>
      <c r="I1291">
        <v>85</v>
      </c>
    </row>
    <row r="1292" spans="1:17" x14ac:dyDescent="0.2">
      <c r="A1292" s="121">
        <v>39721</v>
      </c>
      <c r="B1292" t="s">
        <v>406</v>
      </c>
      <c r="C1292" t="s">
        <v>456</v>
      </c>
      <c r="D1292" t="s">
        <v>467</v>
      </c>
      <c r="E1292" t="s">
        <v>468</v>
      </c>
      <c r="F1292" t="s">
        <v>410</v>
      </c>
      <c r="G1292">
        <v>1142</v>
      </c>
      <c r="I1292">
        <v>1140</v>
      </c>
    </row>
    <row r="1293" spans="1:17" x14ac:dyDescent="0.2">
      <c r="A1293" s="121">
        <v>39721</v>
      </c>
      <c r="B1293" t="s">
        <v>406</v>
      </c>
      <c r="C1293" t="s">
        <v>456</v>
      </c>
      <c r="D1293" t="s">
        <v>469</v>
      </c>
      <c r="E1293" t="s">
        <v>470</v>
      </c>
      <c r="F1293" t="s">
        <v>410</v>
      </c>
      <c r="G1293">
        <v>806</v>
      </c>
      <c r="I1293">
        <v>799</v>
      </c>
    </row>
    <row r="1294" spans="1:17" x14ac:dyDescent="0.2">
      <c r="A1294" s="121">
        <v>39721</v>
      </c>
      <c r="B1294" t="s">
        <v>406</v>
      </c>
      <c r="C1294" t="s">
        <v>456</v>
      </c>
      <c r="D1294" t="s">
        <v>471</v>
      </c>
      <c r="E1294" t="s">
        <v>472</v>
      </c>
      <c r="F1294" t="s">
        <v>410</v>
      </c>
      <c r="G1294">
        <v>271</v>
      </c>
      <c r="I1294">
        <v>271</v>
      </c>
    </row>
    <row r="1295" spans="1:17" x14ac:dyDescent="0.2">
      <c r="A1295" s="121">
        <v>39721</v>
      </c>
      <c r="B1295" t="s">
        <v>406</v>
      </c>
      <c r="C1295" t="s">
        <v>456</v>
      </c>
      <c r="D1295" t="s">
        <v>473</v>
      </c>
      <c r="E1295" t="s">
        <v>474</v>
      </c>
      <c r="F1295" t="s">
        <v>410</v>
      </c>
      <c r="G1295">
        <v>205</v>
      </c>
      <c r="I1295">
        <v>205</v>
      </c>
    </row>
    <row r="1296" spans="1:17" x14ac:dyDescent="0.2">
      <c r="A1296" s="121">
        <v>39721</v>
      </c>
      <c r="B1296" t="s">
        <v>406</v>
      </c>
      <c r="C1296" t="s">
        <v>456</v>
      </c>
      <c r="D1296" t="s">
        <v>475</v>
      </c>
      <c r="E1296" t="s">
        <v>476</v>
      </c>
      <c r="F1296" t="s">
        <v>410</v>
      </c>
      <c r="G1296">
        <v>359</v>
      </c>
      <c r="I1296">
        <v>359</v>
      </c>
    </row>
    <row r="1297" spans="1:17" x14ac:dyDescent="0.2">
      <c r="A1297" s="121">
        <v>39721</v>
      </c>
      <c r="B1297" t="s">
        <v>406</v>
      </c>
      <c r="C1297" t="s">
        <v>456</v>
      </c>
      <c r="D1297" t="s">
        <v>477</v>
      </c>
      <c r="E1297" t="s">
        <v>478</v>
      </c>
      <c r="F1297" t="s">
        <v>413</v>
      </c>
      <c r="G1297">
        <v>1899</v>
      </c>
      <c r="H1297">
        <v>1899</v>
      </c>
      <c r="I1297">
        <v>1797</v>
      </c>
      <c r="J1297">
        <v>1797</v>
      </c>
      <c r="K1297">
        <v>557</v>
      </c>
      <c r="L1297">
        <v>2</v>
      </c>
      <c r="M1297">
        <v>1293</v>
      </c>
      <c r="N1297">
        <v>19</v>
      </c>
      <c r="O1297">
        <v>28</v>
      </c>
      <c r="P1297">
        <v>3</v>
      </c>
      <c r="Q1297">
        <v>0</v>
      </c>
    </row>
    <row r="1298" spans="1:17" x14ac:dyDescent="0.2">
      <c r="A1298" s="121">
        <v>39721</v>
      </c>
      <c r="B1298" t="s">
        <v>406</v>
      </c>
      <c r="C1298" t="s">
        <v>456</v>
      </c>
      <c r="D1298" t="s">
        <v>479</v>
      </c>
      <c r="E1298" t="s">
        <v>480</v>
      </c>
      <c r="F1298" t="s">
        <v>410</v>
      </c>
      <c r="G1298">
        <v>111</v>
      </c>
      <c r="I1298">
        <v>111</v>
      </c>
    </row>
    <row r="1299" spans="1:17" x14ac:dyDescent="0.2">
      <c r="A1299" s="121">
        <v>39721</v>
      </c>
      <c r="B1299" t="s">
        <v>406</v>
      </c>
      <c r="C1299" t="s">
        <v>456</v>
      </c>
      <c r="D1299" t="s">
        <v>481</v>
      </c>
      <c r="E1299" t="s">
        <v>482</v>
      </c>
      <c r="F1299" t="s">
        <v>410</v>
      </c>
      <c r="G1299">
        <v>41</v>
      </c>
      <c r="I1299">
        <v>41</v>
      </c>
    </row>
    <row r="1300" spans="1:17" x14ac:dyDescent="0.2">
      <c r="A1300" s="121">
        <v>39721</v>
      </c>
      <c r="B1300" t="s">
        <v>406</v>
      </c>
      <c r="C1300" t="s">
        <v>456</v>
      </c>
      <c r="D1300" t="s">
        <v>483</v>
      </c>
      <c r="E1300" t="s">
        <v>484</v>
      </c>
      <c r="F1300" t="s">
        <v>410</v>
      </c>
      <c r="G1300">
        <v>98</v>
      </c>
      <c r="I1300">
        <v>98</v>
      </c>
    </row>
    <row r="1301" spans="1:17" x14ac:dyDescent="0.2">
      <c r="A1301" s="121">
        <v>39721</v>
      </c>
      <c r="B1301" t="s">
        <v>406</v>
      </c>
      <c r="C1301" t="s">
        <v>456</v>
      </c>
      <c r="D1301" t="s">
        <v>485</v>
      </c>
      <c r="E1301" t="s">
        <v>486</v>
      </c>
      <c r="F1301" t="s">
        <v>410</v>
      </c>
      <c r="G1301">
        <v>85</v>
      </c>
      <c r="I1301">
        <v>85</v>
      </c>
    </row>
    <row r="1302" spans="1:17" x14ac:dyDescent="0.2">
      <c r="A1302" s="121">
        <v>39721</v>
      </c>
      <c r="B1302" t="s">
        <v>406</v>
      </c>
      <c r="C1302" t="s">
        <v>456</v>
      </c>
      <c r="D1302" t="s">
        <v>487</v>
      </c>
      <c r="E1302" t="s">
        <v>488</v>
      </c>
      <c r="F1302" t="s">
        <v>410</v>
      </c>
      <c r="G1302">
        <v>34</v>
      </c>
      <c r="I1302">
        <v>34</v>
      </c>
    </row>
    <row r="1303" spans="1:17" x14ac:dyDescent="0.2">
      <c r="A1303" s="121">
        <v>39721</v>
      </c>
      <c r="B1303" t="s">
        <v>406</v>
      </c>
      <c r="C1303" t="s">
        <v>456</v>
      </c>
      <c r="D1303" t="s">
        <v>489</v>
      </c>
      <c r="E1303" t="s">
        <v>490</v>
      </c>
      <c r="F1303" t="s">
        <v>410</v>
      </c>
      <c r="G1303">
        <v>148</v>
      </c>
      <c r="H1303">
        <v>148</v>
      </c>
      <c r="I1303">
        <v>148</v>
      </c>
      <c r="J1303">
        <v>148</v>
      </c>
      <c r="K1303">
        <v>0</v>
      </c>
      <c r="L1303">
        <v>0</v>
      </c>
      <c r="M1303">
        <v>112</v>
      </c>
      <c r="N1303">
        <v>36</v>
      </c>
      <c r="O1303">
        <v>0</v>
      </c>
      <c r="P1303">
        <v>0</v>
      </c>
      <c r="Q1303">
        <v>0</v>
      </c>
    </row>
    <row r="1304" spans="1:17" x14ac:dyDescent="0.2">
      <c r="A1304" s="121">
        <v>39721</v>
      </c>
      <c r="B1304" t="s">
        <v>406</v>
      </c>
      <c r="C1304" t="s">
        <v>491</v>
      </c>
      <c r="D1304" t="s">
        <v>492</v>
      </c>
      <c r="E1304" t="s">
        <v>493</v>
      </c>
      <c r="F1304" t="s">
        <v>410</v>
      </c>
      <c r="G1304">
        <v>1260</v>
      </c>
      <c r="H1304">
        <v>1260</v>
      </c>
      <c r="I1304">
        <v>1250</v>
      </c>
      <c r="J1304">
        <v>1250</v>
      </c>
      <c r="K1304">
        <v>0</v>
      </c>
      <c r="L1304">
        <v>0</v>
      </c>
      <c r="M1304">
        <v>1</v>
      </c>
      <c r="N1304">
        <v>13</v>
      </c>
      <c r="O1304">
        <v>1246</v>
      </c>
      <c r="P1304">
        <v>1</v>
      </c>
      <c r="Q1304">
        <v>0</v>
      </c>
    </row>
    <row r="1305" spans="1:17" x14ac:dyDescent="0.2">
      <c r="A1305" s="121">
        <v>39721</v>
      </c>
      <c r="B1305" t="s">
        <v>406</v>
      </c>
      <c r="C1305" t="s">
        <v>491</v>
      </c>
      <c r="D1305" t="s">
        <v>494</v>
      </c>
      <c r="E1305" t="s">
        <v>495</v>
      </c>
      <c r="F1305" t="s">
        <v>413</v>
      </c>
      <c r="G1305">
        <v>2651</v>
      </c>
      <c r="H1305">
        <v>2651</v>
      </c>
      <c r="I1305">
        <v>2625</v>
      </c>
      <c r="J1305">
        <v>2625</v>
      </c>
      <c r="K1305">
        <v>0</v>
      </c>
      <c r="L1305">
        <v>0</v>
      </c>
      <c r="M1305">
        <v>5</v>
      </c>
      <c r="N1305">
        <v>23</v>
      </c>
      <c r="O1305">
        <v>2623</v>
      </c>
      <c r="P1305">
        <v>0</v>
      </c>
      <c r="Q1305">
        <v>0</v>
      </c>
    </row>
    <row r="1306" spans="1:17" x14ac:dyDescent="0.2">
      <c r="A1306" s="121">
        <v>39721</v>
      </c>
      <c r="B1306" t="s">
        <v>406</v>
      </c>
      <c r="C1306" t="s">
        <v>491</v>
      </c>
      <c r="D1306" t="s">
        <v>496</v>
      </c>
      <c r="E1306" t="s">
        <v>497</v>
      </c>
      <c r="F1306" t="s">
        <v>413</v>
      </c>
      <c r="G1306">
        <v>5683</v>
      </c>
      <c r="H1306">
        <v>5683</v>
      </c>
      <c r="I1306">
        <v>5578</v>
      </c>
      <c r="J1306">
        <v>5578</v>
      </c>
      <c r="K1306">
        <v>1507</v>
      </c>
      <c r="L1306">
        <v>0</v>
      </c>
      <c r="M1306">
        <v>18</v>
      </c>
      <c r="N1306">
        <v>49</v>
      </c>
      <c r="O1306">
        <v>4109</v>
      </c>
      <c r="P1306">
        <v>6</v>
      </c>
      <c r="Q1306">
        <v>0</v>
      </c>
    </row>
    <row r="1307" spans="1:17" x14ac:dyDescent="0.2">
      <c r="A1307" s="121">
        <v>39721</v>
      </c>
      <c r="B1307" t="s">
        <v>406</v>
      </c>
      <c r="C1307" t="s">
        <v>491</v>
      </c>
      <c r="D1307" t="s">
        <v>498</v>
      </c>
      <c r="E1307" t="s">
        <v>499</v>
      </c>
      <c r="F1307" t="s">
        <v>413</v>
      </c>
      <c r="G1307">
        <v>6214</v>
      </c>
      <c r="H1307">
        <v>6214</v>
      </c>
      <c r="I1307">
        <v>6083</v>
      </c>
      <c r="J1307">
        <v>6083</v>
      </c>
      <c r="K1307">
        <v>1810</v>
      </c>
      <c r="L1307">
        <v>11</v>
      </c>
      <c r="M1307">
        <v>3972</v>
      </c>
      <c r="N1307">
        <v>139</v>
      </c>
      <c r="O1307">
        <v>282</v>
      </c>
      <c r="P1307">
        <v>6</v>
      </c>
      <c r="Q1307">
        <v>1</v>
      </c>
    </row>
    <row r="1308" spans="1:17" x14ac:dyDescent="0.2">
      <c r="A1308" s="121">
        <v>39721</v>
      </c>
      <c r="B1308" t="s">
        <v>406</v>
      </c>
      <c r="C1308" t="s">
        <v>491</v>
      </c>
      <c r="D1308" t="s">
        <v>500</v>
      </c>
      <c r="E1308" t="s">
        <v>501</v>
      </c>
      <c r="F1308" t="s">
        <v>413</v>
      </c>
      <c r="G1308">
        <v>3575</v>
      </c>
      <c r="H1308">
        <v>3575</v>
      </c>
      <c r="I1308">
        <v>3551</v>
      </c>
      <c r="J1308">
        <v>3551</v>
      </c>
      <c r="K1308">
        <v>1051</v>
      </c>
      <c r="L1308">
        <v>0</v>
      </c>
      <c r="M1308">
        <v>2294</v>
      </c>
      <c r="N1308">
        <v>60</v>
      </c>
      <c r="O1308">
        <v>170</v>
      </c>
      <c r="P1308">
        <v>0</v>
      </c>
      <c r="Q1308">
        <v>0</v>
      </c>
    </row>
    <row r="1309" spans="1:17" x14ac:dyDescent="0.2">
      <c r="A1309" s="121">
        <v>39721</v>
      </c>
      <c r="B1309" t="s">
        <v>406</v>
      </c>
      <c r="C1309" t="s">
        <v>491</v>
      </c>
      <c r="D1309" t="s">
        <v>502</v>
      </c>
      <c r="E1309" t="s">
        <v>503</v>
      </c>
      <c r="F1309" t="s">
        <v>413</v>
      </c>
      <c r="G1309">
        <v>5624</v>
      </c>
      <c r="H1309">
        <v>5624</v>
      </c>
      <c r="I1309">
        <v>5578</v>
      </c>
      <c r="J1309">
        <v>5578</v>
      </c>
      <c r="K1309">
        <v>1470</v>
      </c>
      <c r="L1309">
        <v>7</v>
      </c>
      <c r="M1309">
        <v>4011</v>
      </c>
      <c r="N1309">
        <v>98</v>
      </c>
      <c r="O1309">
        <v>38</v>
      </c>
      <c r="P1309">
        <v>1</v>
      </c>
      <c r="Q1309">
        <v>0</v>
      </c>
    </row>
    <row r="1310" spans="1:17" x14ac:dyDescent="0.2">
      <c r="A1310" s="121">
        <v>39721</v>
      </c>
      <c r="B1310" t="s">
        <v>406</v>
      </c>
      <c r="C1310" t="s">
        <v>491</v>
      </c>
      <c r="D1310" t="s">
        <v>504</v>
      </c>
      <c r="E1310" t="s">
        <v>505</v>
      </c>
      <c r="F1310" t="s">
        <v>413</v>
      </c>
      <c r="G1310">
        <v>4136</v>
      </c>
      <c r="H1310">
        <v>4136</v>
      </c>
      <c r="I1310">
        <v>4052</v>
      </c>
      <c r="J1310">
        <v>4052</v>
      </c>
      <c r="K1310">
        <v>1200</v>
      </c>
      <c r="L1310">
        <v>7</v>
      </c>
      <c r="M1310">
        <v>2790</v>
      </c>
      <c r="N1310">
        <v>42</v>
      </c>
      <c r="O1310">
        <v>97</v>
      </c>
      <c r="P1310">
        <v>3</v>
      </c>
      <c r="Q1310">
        <v>1</v>
      </c>
    </row>
    <row r="1311" spans="1:17" x14ac:dyDescent="0.2">
      <c r="A1311" s="121">
        <v>39721</v>
      </c>
      <c r="B1311" t="s">
        <v>406</v>
      </c>
      <c r="C1311" t="s">
        <v>491</v>
      </c>
      <c r="D1311" t="s">
        <v>506</v>
      </c>
      <c r="E1311" t="s">
        <v>507</v>
      </c>
      <c r="F1311" t="s">
        <v>413</v>
      </c>
      <c r="G1311">
        <v>3398</v>
      </c>
      <c r="H1311">
        <v>3398</v>
      </c>
      <c r="I1311">
        <v>3347</v>
      </c>
      <c r="J1311">
        <v>3347</v>
      </c>
      <c r="K1311">
        <v>556</v>
      </c>
      <c r="L1311">
        <v>0</v>
      </c>
      <c r="M1311">
        <v>2831</v>
      </c>
      <c r="N1311">
        <v>3</v>
      </c>
      <c r="O1311">
        <v>8</v>
      </c>
      <c r="P1311">
        <v>3</v>
      </c>
      <c r="Q1311">
        <v>2</v>
      </c>
    </row>
    <row r="1312" spans="1:17" x14ac:dyDescent="0.2">
      <c r="A1312" s="121">
        <v>39721</v>
      </c>
      <c r="B1312" t="s">
        <v>406</v>
      </c>
      <c r="C1312" t="s">
        <v>491</v>
      </c>
      <c r="D1312" t="s">
        <v>508</v>
      </c>
      <c r="E1312" t="s">
        <v>509</v>
      </c>
      <c r="F1312" t="s">
        <v>413</v>
      </c>
      <c r="G1312">
        <v>5178</v>
      </c>
      <c r="H1312">
        <v>5178</v>
      </c>
      <c r="I1312">
        <v>4990</v>
      </c>
      <c r="J1312">
        <v>4990</v>
      </c>
      <c r="K1312">
        <v>1664</v>
      </c>
      <c r="L1312">
        <v>5</v>
      </c>
      <c r="M1312">
        <v>2973</v>
      </c>
      <c r="N1312">
        <v>133</v>
      </c>
      <c r="O1312">
        <v>403</v>
      </c>
      <c r="P1312">
        <v>5</v>
      </c>
      <c r="Q1312">
        <v>0</v>
      </c>
    </row>
    <row r="1313" spans="1:17" x14ac:dyDescent="0.2">
      <c r="A1313" s="121">
        <v>39721</v>
      </c>
      <c r="B1313" t="s">
        <v>406</v>
      </c>
      <c r="C1313" t="s">
        <v>510</v>
      </c>
      <c r="D1313" t="s">
        <v>511</v>
      </c>
      <c r="E1313" t="s">
        <v>512</v>
      </c>
      <c r="F1313" t="s">
        <v>410</v>
      </c>
      <c r="G1313">
        <v>546</v>
      </c>
      <c r="I1313">
        <v>531</v>
      </c>
    </row>
    <row r="1314" spans="1:17" x14ac:dyDescent="0.2">
      <c r="A1314" s="121">
        <v>39721</v>
      </c>
      <c r="B1314" t="s">
        <v>406</v>
      </c>
      <c r="C1314" t="s">
        <v>510</v>
      </c>
      <c r="D1314" t="s">
        <v>513</v>
      </c>
      <c r="E1314" t="s">
        <v>514</v>
      </c>
      <c r="F1314" t="s">
        <v>410</v>
      </c>
      <c r="G1314">
        <v>537</v>
      </c>
      <c r="I1314">
        <v>537</v>
      </c>
    </row>
    <row r="1315" spans="1:17" x14ac:dyDescent="0.2">
      <c r="A1315" s="121">
        <v>39721</v>
      </c>
      <c r="B1315" t="s">
        <v>406</v>
      </c>
      <c r="C1315" t="s">
        <v>510</v>
      </c>
      <c r="D1315" t="s">
        <v>515</v>
      </c>
      <c r="E1315" t="s">
        <v>516</v>
      </c>
      <c r="F1315" t="s">
        <v>410</v>
      </c>
      <c r="G1315">
        <v>71</v>
      </c>
      <c r="I1315">
        <v>71</v>
      </c>
    </row>
    <row r="1316" spans="1:17" x14ac:dyDescent="0.2">
      <c r="A1316" s="121">
        <v>39721</v>
      </c>
      <c r="B1316" t="s">
        <v>406</v>
      </c>
      <c r="C1316" t="s">
        <v>510</v>
      </c>
      <c r="D1316" t="s">
        <v>517</v>
      </c>
      <c r="E1316" t="s">
        <v>518</v>
      </c>
      <c r="F1316" t="s">
        <v>410</v>
      </c>
      <c r="G1316">
        <v>317</v>
      </c>
      <c r="I1316">
        <v>315</v>
      </c>
    </row>
    <row r="1317" spans="1:17" x14ac:dyDescent="0.2">
      <c r="A1317" s="121">
        <v>39721</v>
      </c>
      <c r="B1317" t="s">
        <v>406</v>
      </c>
      <c r="C1317" t="s">
        <v>510</v>
      </c>
      <c r="D1317" t="s">
        <v>519</v>
      </c>
      <c r="E1317" t="s">
        <v>520</v>
      </c>
      <c r="F1317" t="s">
        <v>410</v>
      </c>
      <c r="G1317">
        <v>395</v>
      </c>
      <c r="I1317">
        <v>392</v>
      </c>
    </row>
    <row r="1318" spans="1:17" x14ac:dyDescent="0.2">
      <c r="A1318" s="121">
        <v>39721</v>
      </c>
      <c r="B1318" t="s">
        <v>406</v>
      </c>
      <c r="C1318" t="s">
        <v>510</v>
      </c>
      <c r="D1318" t="s">
        <v>521</v>
      </c>
      <c r="E1318" t="s">
        <v>522</v>
      </c>
      <c r="F1318" t="s">
        <v>410</v>
      </c>
      <c r="G1318">
        <v>55</v>
      </c>
      <c r="I1318">
        <v>53</v>
      </c>
    </row>
    <row r="1319" spans="1:17" x14ac:dyDescent="0.2">
      <c r="A1319" s="121">
        <v>39721</v>
      </c>
      <c r="B1319" t="s">
        <v>406</v>
      </c>
      <c r="C1319" t="s">
        <v>510</v>
      </c>
      <c r="D1319" t="s">
        <v>523</v>
      </c>
      <c r="E1319" t="s">
        <v>524</v>
      </c>
      <c r="F1319" t="s">
        <v>413</v>
      </c>
      <c r="G1319">
        <v>543</v>
      </c>
      <c r="I1319">
        <v>540</v>
      </c>
    </row>
    <row r="1320" spans="1:17" x14ac:dyDescent="0.2">
      <c r="A1320" s="121">
        <v>39721</v>
      </c>
      <c r="B1320" t="s">
        <v>406</v>
      </c>
      <c r="C1320" t="s">
        <v>510</v>
      </c>
      <c r="D1320" t="s">
        <v>527</v>
      </c>
      <c r="E1320" t="s">
        <v>528</v>
      </c>
      <c r="F1320" t="s">
        <v>410</v>
      </c>
      <c r="G1320">
        <v>265</v>
      </c>
      <c r="I1320">
        <v>265</v>
      </c>
    </row>
    <row r="1321" spans="1:17" x14ac:dyDescent="0.2">
      <c r="A1321" s="121">
        <v>39721</v>
      </c>
      <c r="B1321" t="s">
        <v>406</v>
      </c>
      <c r="C1321" t="s">
        <v>510</v>
      </c>
      <c r="D1321" t="s">
        <v>529</v>
      </c>
      <c r="E1321" t="s">
        <v>530</v>
      </c>
      <c r="F1321" t="s">
        <v>413</v>
      </c>
      <c r="G1321">
        <v>525</v>
      </c>
      <c r="I1321">
        <v>520</v>
      </c>
    </row>
    <row r="1322" spans="1:17" x14ac:dyDescent="0.2">
      <c r="A1322" s="121">
        <v>39721</v>
      </c>
      <c r="B1322" t="s">
        <v>406</v>
      </c>
      <c r="C1322" t="s">
        <v>510</v>
      </c>
      <c r="D1322" t="s">
        <v>531</v>
      </c>
      <c r="E1322" t="s">
        <v>532</v>
      </c>
      <c r="F1322" t="s">
        <v>410</v>
      </c>
      <c r="G1322">
        <v>57</v>
      </c>
      <c r="I1322">
        <v>57</v>
      </c>
    </row>
    <row r="1323" spans="1:17" x14ac:dyDescent="0.2">
      <c r="A1323" s="121">
        <v>39721</v>
      </c>
      <c r="B1323" t="s">
        <v>406</v>
      </c>
      <c r="C1323" t="s">
        <v>510</v>
      </c>
      <c r="D1323" t="s">
        <v>533</v>
      </c>
      <c r="E1323" t="s">
        <v>534</v>
      </c>
      <c r="F1323" t="s">
        <v>413</v>
      </c>
      <c r="G1323">
        <v>2590</v>
      </c>
      <c r="H1323">
        <v>2590</v>
      </c>
      <c r="I1323">
        <v>2555</v>
      </c>
      <c r="J1323">
        <v>2555</v>
      </c>
      <c r="K1323">
        <v>535</v>
      </c>
      <c r="L1323">
        <v>18</v>
      </c>
      <c r="M1323">
        <v>2035</v>
      </c>
      <c r="N1323">
        <v>2</v>
      </c>
      <c r="O1323">
        <v>0</v>
      </c>
      <c r="P1323">
        <v>1</v>
      </c>
      <c r="Q1323">
        <v>0</v>
      </c>
    </row>
    <row r="1324" spans="1:17" x14ac:dyDescent="0.2">
      <c r="A1324" s="121">
        <v>39721</v>
      </c>
      <c r="B1324" t="s">
        <v>406</v>
      </c>
      <c r="C1324" t="s">
        <v>510</v>
      </c>
      <c r="D1324" t="s">
        <v>535</v>
      </c>
      <c r="E1324" t="s">
        <v>536</v>
      </c>
      <c r="F1324" t="s">
        <v>410</v>
      </c>
      <c r="G1324">
        <v>246</v>
      </c>
      <c r="I1324">
        <v>246</v>
      </c>
    </row>
    <row r="1325" spans="1:17" x14ac:dyDescent="0.2">
      <c r="A1325" s="121">
        <v>39721</v>
      </c>
      <c r="B1325" t="s">
        <v>406</v>
      </c>
      <c r="C1325" t="s">
        <v>510</v>
      </c>
      <c r="D1325" t="s">
        <v>537</v>
      </c>
      <c r="E1325" t="s">
        <v>538</v>
      </c>
      <c r="F1325" t="s">
        <v>410</v>
      </c>
      <c r="G1325">
        <v>113</v>
      </c>
      <c r="I1325">
        <v>113</v>
      </c>
    </row>
    <row r="1326" spans="1:17" x14ac:dyDescent="0.2">
      <c r="A1326" s="121">
        <v>39721</v>
      </c>
      <c r="B1326" t="s">
        <v>406</v>
      </c>
      <c r="C1326" t="s">
        <v>510</v>
      </c>
      <c r="D1326" t="s">
        <v>539</v>
      </c>
      <c r="E1326" t="s">
        <v>540</v>
      </c>
      <c r="F1326" t="s">
        <v>413</v>
      </c>
      <c r="G1326">
        <v>746</v>
      </c>
      <c r="I1326">
        <v>722</v>
      </c>
    </row>
    <row r="1327" spans="1:17" x14ac:dyDescent="0.2">
      <c r="A1327" s="121">
        <v>39721</v>
      </c>
      <c r="B1327" t="s">
        <v>406</v>
      </c>
      <c r="C1327" t="s">
        <v>510</v>
      </c>
      <c r="D1327" t="s">
        <v>541</v>
      </c>
      <c r="E1327" t="s">
        <v>542</v>
      </c>
      <c r="F1327" t="s">
        <v>410</v>
      </c>
      <c r="G1327">
        <v>419</v>
      </c>
      <c r="I1327">
        <v>401</v>
      </c>
    </row>
    <row r="1328" spans="1:17" x14ac:dyDescent="0.2">
      <c r="A1328" s="121">
        <v>39721</v>
      </c>
      <c r="B1328" t="s">
        <v>406</v>
      </c>
      <c r="C1328" t="s">
        <v>510</v>
      </c>
      <c r="D1328" t="s">
        <v>543</v>
      </c>
      <c r="E1328" t="s">
        <v>544</v>
      </c>
      <c r="F1328" t="s">
        <v>410</v>
      </c>
      <c r="G1328">
        <v>307</v>
      </c>
      <c r="I1328">
        <v>296</v>
      </c>
    </row>
    <row r="1329" spans="1:17" x14ac:dyDescent="0.2">
      <c r="A1329" s="121">
        <v>39721</v>
      </c>
      <c r="B1329" t="s">
        <v>406</v>
      </c>
      <c r="C1329" t="s">
        <v>510</v>
      </c>
      <c r="D1329" t="s">
        <v>545</v>
      </c>
      <c r="E1329" t="s">
        <v>546</v>
      </c>
      <c r="F1329" t="s">
        <v>410</v>
      </c>
      <c r="G1329">
        <v>216</v>
      </c>
      <c r="I1329">
        <v>216</v>
      </c>
    </row>
    <row r="1330" spans="1:17" x14ac:dyDescent="0.2">
      <c r="A1330" s="121">
        <v>39721</v>
      </c>
      <c r="B1330" t="s">
        <v>406</v>
      </c>
      <c r="C1330" t="s">
        <v>510</v>
      </c>
      <c r="D1330" t="s">
        <v>547</v>
      </c>
      <c r="E1330" t="s">
        <v>548</v>
      </c>
      <c r="F1330" t="s">
        <v>410</v>
      </c>
      <c r="G1330">
        <v>138</v>
      </c>
      <c r="I1330">
        <v>135</v>
      </c>
    </row>
    <row r="1331" spans="1:17" x14ac:dyDescent="0.2">
      <c r="A1331" s="121">
        <v>39721</v>
      </c>
      <c r="B1331" t="s">
        <v>406</v>
      </c>
      <c r="C1331" t="s">
        <v>510</v>
      </c>
      <c r="D1331" t="s">
        <v>549</v>
      </c>
      <c r="E1331" t="s">
        <v>550</v>
      </c>
      <c r="F1331" t="s">
        <v>410</v>
      </c>
      <c r="G1331">
        <v>170</v>
      </c>
      <c r="I1331">
        <v>168</v>
      </c>
    </row>
    <row r="1332" spans="1:17" x14ac:dyDescent="0.2">
      <c r="A1332" s="121">
        <v>39721</v>
      </c>
      <c r="B1332" t="s">
        <v>406</v>
      </c>
      <c r="C1332" t="s">
        <v>551</v>
      </c>
      <c r="D1332" t="s">
        <v>552</v>
      </c>
      <c r="E1332" t="s">
        <v>553</v>
      </c>
      <c r="F1332" t="s">
        <v>413</v>
      </c>
      <c r="G1332">
        <v>5574</v>
      </c>
      <c r="H1332">
        <v>5574</v>
      </c>
      <c r="I1332">
        <v>5468</v>
      </c>
      <c r="J1332">
        <v>5468</v>
      </c>
      <c r="K1332">
        <v>1719</v>
      </c>
      <c r="L1332">
        <v>9</v>
      </c>
      <c r="M1332">
        <v>3807</v>
      </c>
      <c r="N1332">
        <v>23</v>
      </c>
      <c r="O1332">
        <v>16</v>
      </c>
      <c r="P1332">
        <v>5</v>
      </c>
      <c r="Q1332">
        <v>0</v>
      </c>
    </row>
    <row r="1333" spans="1:17" x14ac:dyDescent="0.2">
      <c r="A1333" s="121">
        <v>39721</v>
      </c>
      <c r="B1333" t="s">
        <v>406</v>
      </c>
      <c r="C1333" t="s">
        <v>551</v>
      </c>
      <c r="D1333" t="s">
        <v>554</v>
      </c>
      <c r="E1333" t="s">
        <v>555</v>
      </c>
      <c r="F1333" t="s">
        <v>410</v>
      </c>
      <c r="G1333">
        <v>170</v>
      </c>
      <c r="I1333">
        <v>170</v>
      </c>
    </row>
    <row r="1334" spans="1:17" x14ac:dyDescent="0.2">
      <c r="A1334" s="121">
        <v>39721</v>
      </c>
      <c r="B1334" t="s">
        <v>406</v>
      </c>
      <c r="C1334" t="s">
        <v>551</v>
      </c>
      <c r="D1334" t="s">
        <v>556</v>
      </c>
      <c r="E1334" t="s">
        <v>557</v>
      </c>
      <c r="F1334" t="s">
        <v>410</v>
      </c>
      <c r="G1334">
        <v>141</v>
      </c>
      <c r="I1334">
        <v>141</v>
      </c>
    </row>
    <row r="1335" spans="1:17" x14ac:dyDescent="0.2">
      <c r="A1335" s="121">
        <v>39721</v>
      </c>
      <c r="B1335" t="s">
        <v>406</v>
      </c>
      <c r="C1335" t="s">
        <v>551</v>
      </c>
      <c r="D1335" t="s">
        <v>558</v>
      </c>
      <c r="E1335" t="s">
        <v>559</v>
      </c>
      <c r="F1335" t="s">
        <v>413</v>
      </c>
      <c r="G1335">
        <v>4816</v>
      </c>
      <c r="H1335">
        <v>4816</v>
      </c>
      <c r="I1335">
        <v>4760</v>
      </c>
      <c r="J1335">
        <v>4760</v>
      </c>
      <c r="K1335">
        <v>1107</v>
      </c>
      <c r="L1335">
        <v>9</v>
      </c>
      <c r="M1335">
        <v>3666</v>
      </c>
      <c r="N1335">
        <v>20</v>
      </c>
      <c r="O1335">
        <v>14</v>
      </c>
      <c r="P1335">
        <v>1</v>
      </c>
      <c r="Q1335">
        <v>0</v>
      </c>
    </row>
    <row r="1336" spans="1:17" x14ac:dyDescent="0.2">
      <c r="A1336" s="121">
        <v>39721</v>
      </c>
      <c r="B1336" t="s">
        <v>406</v>
      </c>
      <c r="C1336" t="s">
        <v>551</v>
      </c>
      <c r="D1336" t="s">
        <v>560</v>
      </c>
      <c r="E1336" t="s">
        <v>561</v>
      </c>
      <c r="F1336" t="s">
        <v>413</v>
      </c>
      <c r="G1336">
        <v>5737</v>
      </c>
      <c r="H1336">
        <v>5737</v>
      </c>
      <c r="I1336">
        <v>5590</v>
      </c>
      <c r="J1336">
        <v>5590</v>
      </c>
      <c r="K1336">
        <v>1291</v>
      </c>
      <c r="L1336">
        <v>7</v>
      </c>
      <c r="M1336">
        <v>4400</v>
      </c>
      <c r="N1336">
        <v>11</v>
      </c>
      <c r="O1336">
        <v>28</v>
      </c>
      <c r="P1336">
        <v>15</v>
      </c>
      <c r="Q1336">
        <v>1</v>
      </c>
    </row>
    <row r="1337" spans="1:17" x14ac:dyDescent="0.2">
      <c r="A1337" s="121">
        <v>39721</v>
      </c>
      <c r="B1337" t="s">
        <v>406</v>
      </c>
      <c r="C1337" t="s">
        <v>562</v>
      </c>
      <c r="D1337" t="s">
        <v>603</v>
      </c>
      <c r="E1337" t="s">
        <v>604</v>
      </c>
      <c r="F1337" t="s">
        <v>410</v>
      </c>
      <c r="G1337">
        <v>17</v>
      </c>
      <c r="I1337">
        <v>17</v>
      </c>
    </row>
    <row r="1338" spans="1:17" x14ac:dyDescent="0.2">
      <c r="A1338" s="121">
        <v>39721</v>
      </c>
      <c r="B1338" t="s">
        <v>406</v>
      </c>
      <c r="C1338" t="s">
        <v>562</v>
      </c>
      <c r="D1338" t="s">
        <v>605</v>
      </c>
      <c r="E1338" t="s">
        <v>606</v>
      </c>
      <c r="F1338" t="s">
        <v>410</v>
      </c>
      <c r="G1338">
        <v>200</v>
      </c>
      <c r="I1338">
        <v>200</v>
      </c>
    </row>
    <row r="1339" spans="1:17" x14ac:dyDescent="0.2">
      <c r="A1339" s="121">
        <v>39721</v>
      </c>
      <c r="B1339" t="s">
        <v>406</v>
      </c>
      <c r="C1339" t="s">
        <v>562</v>
      </c>
      <c r="D1339" t="s">
        <v>563</v>
      </c>
      <c r="E1339" t="s">
        <v>564</v>
      </c>
      <c r="F1339" t="s">
        <v>410</v>
      </c>
      <c r="G1339">
        <v>3064</v>
      </c>
      <c r="H1339">
        <v>3064</v>
      </c>
      <c r="I1339">
        <v>3038</v>
      </c>
      <c r="J1339">
        <v>3038</v>
      </c>
      <c r="K1339">
        <v>926</v>
      </c>
      <c r="L1339">
        <v>0</v>
      </c>
      <c r="M1339">
        <v>2103</v>
      </c>
      <c r="N1339">
        <v>35</v>
      </c>
      <c r="O1339">
        <v>0</v>
      </c>
      <c r="P1339">
        <v>1</v>
      </c>
      <c r="Q1339">
        <v>0</v>
      </c>
    </row>
    <row r="1340" spans="1:17" x14ac:dyDescent="0.2">
      <c r="A1340" s="121">
        <v>39721</v>
      </c>
      <c r="B1340" t="s">
        <v>406</v>
      </c>
      <c r="C1340" t="s">
        <v>562</v>
      </c>
      <c r="D1340" t="s">
        <v>565</v>
      </c>
      <c r="E1340" t="s">
        <v>566</v>
      </c>
      <c r="F1340" t="s">
        <v>413</v>
      </c>
      <c r="G1340">
        <v>4218</v>
      </c>
      <c r="H1340">
        <v>4218</v>
      </c>
      <c r="I1340">
        <v>4135</v>
      </c>
      <c r="J1340">
        <v>4135</v>
      </c>
      <c r="K1340">
        <v>882</v>
      </c>
      <c r="L1340">
        <v>4</v>
      </c>
      <c r="M1340">
        <v>3240</v>
      </c>
      <c r="N1340">
        <v>92</v>
      </c>
      <c r="O1340">
        <v>0</v>
      </c>
      <c r="P1340">
        <v>23</v>
      </c>
      <c r="Q1340">
        <v>11</v>
      </c>
    </row>
    <row r="1341" spans="1:17" x14ac:dyDescent="0.2">
      <c r="A1341" s="121">
        <v>39721</v>
      </c>
      <c r="B1341" t="s">
        <v>406</v>
      </c>
      <c r="C1341" t="s">
        <v>562</v>
      </c>
      <c r="D1341" t="s">
        <v>567</v>
      </c>
      <c r="E1341" t="s">
        <v>568</v>
      </c>
      <c r="F1341" t="s">
        <v>413</v>
      </c>
      <c r="G1341">
        <v>8726</v>
      </c>
      <c r="H1341">
        <v>8726</v>
      </c>
      <c r="I1341">
        <v>8462</v>
      </c>
      <c r="J1341">
        <v>8462</v>
      </c>
      <c r="K1341">
        <v>2473</v>
      </c>
      <c r="L1341">
        <v>19</v>
      </c>
      <c r="M1341">
        <v>5966</v>
      </c>
      <c r="N1341">
        <v>268</v>
      </c>
      <c r="O1341">
        <v>0</v>
      </c>
      <c r="P1341">
        <v>17</v>
      </c>
      <c r="Q1341">
        <v>1</v>
      </c>
    </row>
    <row r="1342" spans="1:17" x14ac:dyDescent="0.2">
      <c r="A1342" s="121">
        <v>39721</v>
      </c>
      <c r="B1342" t="s">
        <v>406</v>
      </c>
      <c r="C1342" t="s">
        <v>562</v>
      </c>
      <c r="D1342" t="s">
        <v>569</v>
      </c>
      <c r="E1342" t="s">
        <v>570</v>
      </c>
      <c r="F1342" t="s">
        <v>413</v>
      </c>
      <c r="G1342">
        <v>2938</v>
      </c>
      <c r="H1342">
        <v>2938</v>
      </c>
      <c r="I1342">
        <v>2922</v>
      </c>
      <c r="J1342">
        <v>2922</v>
      </c>
      <c r="K1342">
        <v>508</v>
      </c>
      <c r="L1342">
        <v>0</v>
      </c>
      <c r="M1342">
        <v>2430</v>
      </c>
      <c r="N1342">
        <v>0</v>
      </c>
      <c r="O1342">
        <v>0</v>
      </c>
      <c r="P1342">
        <v>1</v>
      </c>
      <c r="Q1342">
        <v>1</v>
      </c>
    </row>
    <row r="1343" spans="1:17" x14ac:dyDescent="0.2">
      <c r="A1343" s="121">
        <v>39721</v>
      </c>
      <c r="B1343" t="s">
        <v>406</v>
      </c>
      <c r="C1343" t="s">
        <v>571</v>
      </c>
      <c r="D1343" t="s">
        <v>572</v>
      </c>
      <c r="E1343" t="s">
        <v>573</v>
      </c>
      <c r="F1343" t="s">
        <v>410</v>
      </c>
      <c r="G1343">
        <v>197</v>
      </c>
      <c r="I1343">
        <v>197</v>
      </c>
    </row>
    <row r="1344" spans="1:17" x14ac:dyDescent="0.2">
      <c r="A1344" s="121">
        <v>39721</v>
      </c>
      <c r="B1344" t="s">
        <v>406</v>
      </c>
      <c r="C1344" t="s">
        <v>574</v>
      </c>
      <c r="D1344" t="s">
        <v>575</v>
      </c>
      <c r="E1344" t="s">
        <v>576</v>
      </c>
      <c r="F1344" t="s">
        <v>413</v>
      </c>
      <c r="G1344">
        <v>784</v>
      </c>
      <c r="H1344">
        <v>784</v>
      </c>
      <c r="I1344">
        <v>778</v>
      </c>
      <c r="J1344">
        <v>778</v>
      </c>
      <c r="K1344">
        <v>169</v>
      </c>
      <c r="L1344">
        <v>0</v>
      </c>
      <c r="M1344">
        <v>559</v>
      </c>
      <c r="N1344">
        <v>2</v>
      </c>
      <c r="O1344">
        <v>54</v>
      </c>
      <c r="P1344">
        <v>0</v>
      </c>
      <c r="Q1344">
        <v>0</v>
      </c>
    </row>
    <row r="1345" spans="1:17" x14ac:dyDescent="0.2">
      <c r="A1345" s="121">
        <v>39721</v>
      </c>
      <c r="B1345" t="s">
        <v>406</v>
      </c>
      <c r="C1345" t="s">
        <v>577</v>
      </c>
      <c r="D1345" t="s">
        <v>578</v>
      </c>
      <c r="E1345" t="s">
        <v>579</v>
      </c>
      <c r="F1345" t="s">
        <v>413</v>
      </c>
      <c r="G1345">
        <v>4118</v>
      </c>
      <c r="H1345">
        <v>4118</v>
      </c>
      <c r="I1345">
        <v>4078</v>
      </c>
      <c r="J1345">
        <v>4078</v>
      </c>
      <c r="K1345">
        <v>934</v>
      </c>
      <c r="L1345">
        <v>17</v>
      </c>
      <c r="M1345">
        <v>3067</v>
      </c>
      <c r="N1345">
        <v>31</v>
      </c>
      <c r="O1345">
        <v>69</v>
      </c>
      <c r="P1345">
        <v>1</v>
      </c>
      <c r="Q1345">
        <v>0</v>
      </c>
    </row>
    <row r="1346" spans="1:17" x14ac:dyDescent="0.2">
      <c r="A1346" s="121">
        <v>39721</v>
      </c>
      <c r="B1346" t="s">
        <v>406</v>
      </c>
      <c r="C1346" t="s">
        <v>577</v>
      </c>
      <c r="D1346" t="s">
        <v>580</v>
      </c>
      <c r="E1346" t="s">
        <v>581</v>
      </c>
      <c r="F1346" t="s">
        <v>413</v>
      </c>
      <c r="G1346">
        <v>2145</v>
      </c>
      <c r="H1346">
        <v>2145</v>
      </c>
      <c r="I1346">
        <v>2119</v>
      </c>
      <c r="J1346">
        <v>2119</v>
      </c>
      <c r="K1346">
        <v>355</v>
      </c>
      <c r="L1346">
        <v>5</v>
      </c>
      <c r="M1346">
        <v>1590</v>
      </c>
      <c r="N1346">
        <v>43</v>
      </c>
      <c r="O1346">
        <v>152</v>
      </c>
      <c r="P1346">
        <v>0</v>
      </c>
      <c r="Q1346">
        <v>0</v>
      </c>
    </row>
    <row r="1347" spans="1:17" x14ac:dyDescent="0.2">
      <c r="A1347" s="121">
        <v>39721</v>
      </c>
      <c r="B1347" t="s">
        <v>406</v>
      </c>
      <c r="C1347" t="s">
        <v>577</v>
      </c>
      <c r="D1347" t="s">
        <v>609</v>
      </c>
      <c r="E1347" t="s">
        <v>610</v>
      </c>
      <c r="F1347" t="s">
        <v>410</v>
      </c>
      <c r="G1347">
        <v>8</v>
      </c>
      <c r="I1347">
        <v>8</v>
      </c>
    </row>
    <row r="1348" spans="1:17" x14ac:dyDescent="0.2">
      <c r="A1348" s="121">
        <v>39721</v>
      </c>
      <c r="B1348" t="s">
        <v>406</v>
      </c>
      <c r="C1348" t="s">
        <v>577</v>
      </c>
      <c r="D1348" t="s">
        <v>611</v>
      </c>
      <c r="E1348" t="s">
        <v>612</v>
      </c>
      <c r="F1348" t="s">
        <v>410</v>
      </c>
      <c r="G1348">
        <v>2</v>
      </c>
      <c r="I1348">
        <v>2</v>
      </c>
    </row>
    <row r="1349" spans="1:17" x14ac:dyDescent="0.2">
      <c r="A1349" s="121">
        <v>39721</v>
      </c>
      <c r="B1349" t="s">
        <v>406</v>
      </c>
      <c r="C1349" t="s">
        <v>577</v>
      </c>
      <c r="D1349" t="s">
        <v>584</v>
      </c>
      <c r="E1349" t="s">
        <v>585</v>
      </c>
      <c r="F1349" t="s">
        <v>410</v>
      </c>
      <c r="G1349">
        <v>143</v>
      </c>
      <c r="H1349">
        <v>143</v>
      </c>
      <c r="I1349">
        <v>143</v>
      </c>
      <c r="J1349">
        <v>143</v>
      </c>
      <c r="K1349">
        <v>7</v>
      </c>
      <c r="L1349">
        <v>0</v>
      </c>
      <c r="M1349">
        <v>136</v>
      </c>
      <c r="N1349">
        <v>0</v>
      </c>
      <c r="O1349">
        <v>0</v>
      </c>
      <c r="P1349">
        <v>0</v>
      </c>
      <c r="Q1349">
        <v>0</v>
      </c>
    </row>
    <row r="1350" spans="1:17" x14ac:dyDescent="0.2">
      <c r="A1350" s="121">
        <v>39721</v>
      </c>
      <c r="B1350" t="s">
        <v>406</v>
      </c>
      <c r="C1350" t="s">
        <v>577</v>
      </c>
      <c r="D1350" t="s">
        <v>586</v>
      </c>
      <c r="E1350" t="s">
        <v>587</v>
      </c>
      <c r="F1350" t="s">
        <v>410</v>
      </c>
      <c r="G1350">
        <v>750</v>
      </c>
      <c r="H1350">
        <v>750</v>
      </c>
      <c r="I1350">
        <v>750</v>
      </c>
      <c r="J1350">
        <v>750</v>
      </c>
      <c r="K1350">
        <v>88</v>
      </c>
      <c r="L1350">
        <v>0</v>
      </c>
      <c r="M1350">
        <v>520</v>
      </c>
      <c r="N1350">
        <v>0</v>
      </c>
      <c r="O1350">
        <v>142</v>
      </c>
      <c r="P1350">
        <v>0</v>
      </c>
      <c r="Q1350">
        <v>0</v>
      </c>
    </row>
    <row r="1351" spans="1:17" x14ac:dyDescent="0.2">
      <c r="A1351" s="121">
        <v>39721</v>
      </c>
      <c r="B1351" t="s">
        <v>406</v>
      </c>
      <c r="C1351" t="s">
        <v>577</v>
      </c>
      <c r="D1351" t="s">
        <v>588</v>
      </c>
      <c r="E1351" t="s">
        <v>589</v>
      </c>
      <c r="F1351" t="s">
        <v>410</v>
      </c>
      <c r="G1351">
        <v>140</v>
      </c>
      <c r="H1351">
        <v>140</v>
      </c>
      <c r="I1351">
        <v>140</v>
      </c>
      <c r="J1351">
        <v>140</v>
      </c>
      <c r="K1351">
        <v>12</v>
      </c>
      <c r="L1351">
        <v>0</v>
      </c>
      <c r="M1351">
        <v>112</v>
      </c>
      <c r="N1351">
        <v>1</v>
      </c>
      <c r="O1351">
        <v>15</v>
      </c>
      <c r="P1351">
        <v>0</v>
      </c>
      <c r="Q1351">
        <v>0</v>
      </c>
    </row>
    <row r="1352" spans="1:17" x14ac:dyDescent="0.2">
      <c r="A1352" s="121">
        <v>39721</v>
      </c>
      <c r="B1352" t="s">
        <v>406</v>
      </c>
      <c r="C1352" t="s">
        <v>577</v>
      </c>
      <c r="D1352" t="s">
        <v>613</v>
      </c>
      <c r="E1352" t="s">
        <v>614</v>
      </c>
      <c r="F1352" t="s">
        <v>410</v>
      </c>
      <c r="G1352">
        <v>146</v>
      </c>
      <c r="I1352">
        <v>146</v>
      </c>
    </row>
    <row r="1353" spans="1:17" x14ac:dyDescent="0.2">
      <c r="A1353" s="121">
        <v>39721</v>
      </c>
      <c r="B1353" t="s">
        <v>406</v>
      </c>
      <c r="C1353" t="s">
        <v>577</v>
      </c>
      <c r="D1353" t="s">
        <v>590</v>
      </c>
      <c r="E1353" t="s">
        <v>591</v>
      </c>
      <c r="F1353" t="s">
        <v>410</v>
      </c>
      <c r="G1353">
        <v>314</v>
      </c>
      <c r="H1353">
        <v>314</v>
      </c>
      <c r="I1353">
        <v>314</v>
      </c>
      <c r="J1353">
        <v>314</v>
      </c>
      <c r="K1353">
        <v>11</v>
      </c>
      <c r="L1353">
        <v>0</v>
      </c>
      <c r="M1353">
        <v>286</v>
      </c>
      <c r="N1353">
        <v>1</v>
      </c>
      <c r="O1353">
        <v>16</v>
      </c>
      <c r="P1353">
        <v>0</v>
      </c>
      <c r="Q1353">
        <v>0</v>
      </c>
    </row>
    <row r="1354" spans="1:17" x14ac:dyDescent="0.2">
      <c r="A1354" s="121">
        <v>39721</v>
      </c>
      <c r="B1354" t="s">
        <v>406</v>
      </c>
      <c r="C1354" t="s">
        <v>577</v>
      </c>
      <c r="D1354" t="s">
        <v>607</v>
      </c>
      <c r="E1354" t="s">
        <v>608</v>
      </c>
      <c r="F1354" t="s">
        <v>410</v>
      </c>
      <c r="G1354">
        <v>68</v>
      </c>
      <c r="H1354">
        <v>68</v>
      </c>
      <c r="I1354">
        <v>68</v>
      </c>
      <c r="J1354">
        <v>68</v>
      </c>
      <c r="K1354">
        <v>0</v>
      </c>
      <c r="L1354">
        <v>0</v>
      </c>
      <c r="M1354">
        <v>68</v>
      </c>
      <c r="N1354">
        <v>0</v>
      </c>
      <c r="O1354">
        <v>0</v>
      </c>
      <c r="P1354">
        <v>0</v>
      </c>
      <c r="Q1354">
        <v>0</v>
      </c>
    </row>
    <row r="1355" spans="1:17" x14ac:dyDescent="0.2">
      <c r="A1355" s="121">
        <v>39721</v>
      </c>
      <c r="B1355" t="s">
        <v>406</v>
      </c>
      <c r="C1355" t="s">
        <v>577</v>
      </c>
      <c r="D1355" t="s">
        <v>592</v>
      </c>
      <c r="E1355" t="s">
        <v>593</v>
      </c>
      <c r="F1355" t="s">
        <v>410</v>
      </c>
      <c r="G1355">
        <v>303</v>
      </c>
      <c r="H1355">
        <v>303</v>
      </c>
      <c r="I1355">
        <v>303</v>
      </c>
      <c r="J1355">
        <v>303</v>
      </c>
      <c r="K1355">
        <v>25</v>
      </c>
      <c r="L1355">
        <v>0</v>
      </c>
      <c r="M1355">
        <v>218</v>
      </c>
      <c r="N1355">
        <v>0</v>
      </c>
      <c r="O1355">
        <v>60</v>
      </c>
      <c r="P1355">
        <v>0</v>
      </c>
      <c r="Q1355">
        <v>0</v>
      </c>
    </row>
    <row r="1356" spans="1:17" x14ac:dyDescent="0.2">
      <c r="A1356" s="121">
        <v>39721</v>
      </c>
      <c r="B1356" t="s">
        <v>406</v>
      </c>
      <c r="C1356" t="s">
        <v>594</v>
      </c>
      <c r="D1356" t="s">
        <v>595</v>
      </c>
      <c r="E1356" t="s">
        <v>596</v>
      </c>
      <c r="F1356" t="s">
        <v>410</v>
      </c>
      <c r="G1356">
        <v>22</v>
      </c>
      <c r="I1356">
        <v>22</v>
      </c>
    </row>
    <row r="1357" spans="1:17" x14ac:dyDescent="0.2">
      <c r="A1357" s="121">
        <v>39721</v>
      </c>
      <c r="B1357" t="s">
        <v>406</v>
      </c>
      <c r="C1357" t="s">
        <v>594</v>
      </c>
      <c r="D1357" t="s">
        <v>597</v>
      </c>
      <c r="E1357" t="s">
        <v>598</v>
      </c>
      <c r="F1357" t="s">
        <v>413</v>
      </c>
      <c r="G1357">
        <v>610</v>
      </c>
      <c r="H1357">
        <v>610</v>
      </c>
      <c r="I1357">
        <v>604</v>
      </c>
      <c r="J1357">
        <v>604</v>
      </c>
      <c r="K1357">
        <v>139</v>
      </c>
      <c r="L1357">
        <v>0</v>
      </c>
      <c r="M1357">
        <v>465</v>
      </c>
      <c r="N1357">
        <v>0</v>
      </c>
      <c r="O1357">
        <v>6</v>
      </c>
      <c r="P1357">
        <v>0</v>
      </c>
      <c r="Q1357">
        <v>0</v>
      </c>
    </row>
    <row r="1358" spans="1:17" x14ac:dyDescent="0.2">
      <c r="A1358" s="121">
        <v>39721</v>
      </c>
      <c r="B1358" t="s">
        <v>406</v>
      </c>
      <c r="C1358" t="s">
        <v>594</v>
      </c>
      <c r="D1358" t="s">
        <v>599</v>
      </c>
      <c r="E1358" t="s">
        <v>600</v>
      </c>
      <c r="F1358" t="s">
        <v>410</v>
      </c>
      <c r="G1358">
        <v>94</v>
      </c>
      <c r="I1358">
        <v>94</v>
      </c>
    </row>
    <row r="1359" spans="1:17" x14ac:dyDescent="0.2">
      <c r="A1359" s="121">
        <v>39752</v>
      </c>
      <c r="B1359" t="s">
        <v>406</v>
      </c>
      <c r="C1359" t="s">
        <v>407</v>
      </c>
      <c r="D1359" t="s">
        <v>408</v>
      </c>
      <c r="E1359" t="s">
        <v>409</v>
      </c>
      <c r="F1359" t="s">
        <v>410</v>
      </c>
      <c r="G1359">
        <v>167</v>
      </c>
      <c r="I1359">
        <v>167</v>
      </c>
    </row>
    <row r="1360" spans="1:17" x14ac:dyDescent="0.2">
      <c r="A1360" s="121">
        <v>39752</v>
      </c>
      <c r="B1360" t="s">
        <v>406</v>
      </c>
      <c r="C1360" t="s">
        <v>407</v>
      </c>
      <c r="D1360" t="s">
        <v>601</v>
      </c>
      <c r="E1360" t="s">
        <v>602</v>
      </c>
      <c r="F1360" t="s">
        <v>410</v>
      </c>
      <c r="G1360">
        <v>44</v>
      </c>
      <c r="I1360">
        <v>44</v>
      </c>
    </row>
    <row r="1361" spans="1:17" x14ac:dyDescent="0.2">
      <c r="A1361" s="121">
        <v>39752</v>
      </c>
      <c r="B1361" t="s">
        <v>406</v>
      </c>
      <c r="C1361" t="s">
        <v>407</v>
      </c>
      <c r="D1361" t="s">
        <v>411</v>
      </c>
      <c r="E1361" t="s">
        <v>412</v>
      </c>
      <c r="F1361" t="s">
        <v>413</v>
      </c>
      <c r="G1361">
        <v>5085</v>
      </c>
      <c r="H1361">
        <v>5085</v>
      </c>
      <c r="I1361">
        <v>5044</v>
      </c>
      <c r="J1361">
        <v>5044</v>
      </c>
      <c r="K1361">
        <v>2027</v>
      </c>
      <c r="L1361">
        <v>4</v>
      </c>
      <c r="M1361">
        <v>2793</v>
      </c>
      <c r="N1361">
        <v>61</v>
      </c>
      <c r="O1361">
        <v>200</v>
      </c>
      <c r="P1361">
        <v>1</v>
      </c>
      <c r="Q1361">
        <v>0</v>
      </c>
    </row>
    <row r="1362" spans="1:17" x14ac:dyDescent="0.2">
      <c r="A1362" s="121">
        <v>39752</v>
      </c>
      <c r="B1362" t="s">
        <v>406</v>
      </c>
      <c r="C1362" t="s">
        <v>407</v>
      </c>
      <c r="D1362" t="s">
        <v>414</v>
      </c>
      <c r="E1362" t="s">
        <v>415</v>
      </c>
      <c r="F1362" t="s">
        <v>410</v>
      </c>
      <c r="G1362">
        <v>92</v>
      </c>
      <c r="I1362">
        <v>92</v>
      </c>
    </row>
    <row r="1363" spans="1:17" x14ac:dyDescent="0.2">
      <c r="A1363" s="121">
        <v>39752</v>
      </c>
      <c r="B1363" t="s">
        <v>406</v>
      </c>
      <c r="C1363" t="s">
        <v>407</v>
      </c>
      <c r="D1363" t="s">
        <v>416</v>
      </c>
      <c r="E1363" t="s">
        <v>417</v>
      </c>
      <c r="F1363" t="s">
        <v>413</v>
      </c>
      <c r="G1363">
        <v>3411</v>
      </c>
      <c r="H1363">
        <v>3411</v>
      </c>
      <c r="I1363">
        <v>3370</v>
      </c>
      <c r="J1363">
        <v>3370</v>
      </c>
      <c r="K1363">
        <v>1281</v>
      </c>
      <c r="L1363">
        <v>5</v>
      </c>
      <c r="M1363">
        <v>2005</v>
      </c>
      <c r="N1363">
        <v>72</v>
      </c>
      <c r="O1363">
        <v>48</v>
      </c>
      <c r="P1363">
        <v>0</v>
      </c>
      <c r="Q1363">
        <v>0</v>
      </c>
    </row>
    <row r="1364" spans="1:17" x14ac:dyDescent="0.2">
      <c r="A1364" s="121">
        <v>39752</v>
      </c>
      <c r="B1364" t="s">
        <v>406</v>
      </c>
      <c r="C1364" t="s">
        <v>418</v>
      </c>
      <c r="D1364" t="s">
        <v>419</v>
      </c>
      <c r="E1364" t="s">
        <v>420</v>
      </c>
      <c r="F1364" t="s">
        <v>410</v>
      </c>
      <c r="G1364">
        <v>18</v>
      </c>
      <c r="I1364">
        <v>18</v>
      </c>
    </row>
    <row r="1365" spans="1:17" x14ac:dyDescent="0.2">
      <c r="A1365" s="121">
        <v>39752</v>
      </c>
      <c r="B1365" t="s">
        <v>406</v>
      </c>
      <c r="C1365" t="s">
        <v>418</v>
      </c>
      <c r="D1365" t="s">
        <v>421</v>
      </c>
      <c r="E1365" t="s">
        <v>422</v>
      </c>
      <c r="F1365" t="s">
        <v>410</v>
      </c>
      <c r="G1365">
        <v>89</v>
      </c>
      <c r="I1365">
        <v>89</v>
      </c>
    </row>
    <row r="1366" spans="1:17" x14ac:dyDescent="0.2">
      <c r="A1366" s="121">
        <v>39752</v>
      </c>
      <c r="B1366" t="s">
        <v>406</v>
      </c>
      <c r="C1366" t="s">
        <v>418</v>
      </c>
      <c r="D1366" t="s">
        <v>423</v>
      </c>
      <c r="E1366" t="s">
        <v>424</v>
      </c>
      <c r="F1366" t="s">
        <v>410</v>
      </c>
      <c r="G1366">
        <v>21</v>
      </c>
      <c r="I1366">
        <v>21</v>
      </c>
    </row>
    <row r="1367" spans="1:17" x14ac:dyDescent="0.2">
      <c r="A1367" s="121">
        <v>39752</v>
      </c>
      <c r="B1367" t="s">
        <v>406</v>
      </c>
      <c r="C1367" t="s">
        <v>418</v>
      </c>
      <c r="D1367" t="s">
        <v>425</v>
      </c>
      <c r="E1367" t="s">
        <v>426</v>
      </c>
      <c r="F1367" t="s">
        <v>410</v>
      </c>
      <c r="G1367">
        <v>31</v>
      </c>
      <c r="I1367">
        <v>31</v>
      </c>
    </row>
    <row r="1368" spans="1:17" x14ac:dyDescent="0.2">
      <c r="A1368" s="121">
        <v>39752</v>
      </c>
      <c r="B1368" t="s">
        <v>406</v>
      </c>
      <c r="C1368" t="s">
        <v>418</v>
      </c>
      <c r="D1368" t="s">
        <v>427</v>
      </c>
      <c r="E1368" t="s">
        <v>428</v>
      </c>
      <c r="F1368" t="s">
        <v>413</v>
      </c>
      <c r="G1368">
        <v>1842</v>
      </c>
      <c r="H1368">
        <v>1842</v>
      </c>
      <c r="I1368">
        <v>1785</v>
      </c>
      <c r="J1368">
        <v>1785</v>
      </c>
      <c r="K1368">
        <v>668</v>
      </c>
      <c r="L1368">
        <v>2</v>
      </c>
      <c r="M1368">
        <v>928</v>
      </c>
      <c r="N1368">
        <v>26</v>
      </c>
      <c r="O1368">
        <v>218</v>
      </c>
      <c r="P1368">
        <v>1</v>
      </c>
      <c r="Q1368">
        <v>0</v>
      </c>
    </row>
    <row r="1369" spans="1:17" x14ac:dyDescent="0.2">
      <c r="A1369" s="121">
        <v>39752</v>
      </c>
      <c r="B1369" t="s">
        <v>406</v>
      </c>
      <c r="C1369" t="s">
        <v>429</v>
      </c>
      <c r="D1369" t="s">
        <v>430</v>
      </c>
      <c r="E1369" t="s">
        <v>431</v>
      </c>
      <c r="F1369" t="s">
        <v>410</v>
      </c>
      <c r="G1369">
        <v>56</v>
      </c>
      <c r="I1369">
        <v>56</v>
      </c>
    </row>
    <row r="1370" spans="1:17" x14ac:dyDescent="0.2">
      <c r="A1370" s="121">
        <v>39752</v>
      </c>
      <c r="B1370" t="s">
        <v>406</v>
      </c>
      <c r="C1370" t="s">
        <v>429</v>
      </c>
      <c r="D1370" t="s">
        <v>432</v>
      </c>
      <c r="E1370" t="s">
        <v>433</v>
      </c>
      <c r="F1370" t="s">
        <v>410</v>
      </c>
      <c r="G1370">
        <v>83</v>
      </c>
      <c r="I1370">
        <v>83</v>
      </c>
    </row>
    <row r="1371" spans="1:17" x14ac:dyDescent="0.2">
      <c r="A1371" s="121">
        <v>39752</v>
      </c>
      <c r="B1371" t="s">
        <v>406</v>
      </c>
      <c r="C1371" t="s">
        <v>429</v>
      </c>
      <c r="D1371" t="s">
        <v>434</v>
      </c>
      <c r="E1371" t="s">
        <v>435</v>
      </c>
      <c r="F1371" t="s">
        <v>410</v>
      </c>
      <c r="G1371">
        <v>8</v>
      </c>
      <c r="I1371">
        <v>8</v>
      </c>
    </row>
    <row r="1372" spans="1:17" x14ac:dyDescent="0.2">
      <c r="A1372" s="121">
        <v>39752</v>
      </c>
      <c r="B1372" t="s">
        <v>406</v>
      </c>
      <c r="C1372" t="s">
        <v>429</v>
      </c>
      <c r="D1372" t="s">
        <v>436</v>
      </c>
      <c r="E1372" t="s">
        <v>437</v>
      </c>
      <c r="F1372" t="s">
        <v>410</v>
      </c>
      <c r="G1372">
        <v>85</v>
      </c>
      <c r="I1372">
        <v>85</v>
      </c>
    </row>
    <row r="1373" spans="1:17" x14ac:dyDescent="0.2">
      <c r="A1373" s="121">
        <v>39752</v>
      </c>
      <c r="B1373" t="s">
        <v>406</v>
      </c>
      <c r="C1373" t="s">
        <v>429</v>
      </c>
      <c r="D1373" t="s">
        <v>438</v>
      </c>
      <c r="E1373" t="s">
        <v>439</v>
      </c>
      <c r="F1373" t="s">
        <v>413</v>
      </c>
      <c r="G1373">
        <v>935</v>
      </c>
      <c r="H1373">
        <v>935</v>
      </c>
      <c r="I1373">
        <v>924</v>
      </c>
      <c r="J1373">
        <v>924</v>
      </c>
      <c r="K1373">
        <v>94</v>
      </c>
      <c r="L1373">
        <v>1</v>
      </c>
      <c r="M1373">
        <v>835</v>
      </c>
      <c r="N1373">
        <v>5</v>
      </c>
      <c r="O1373">
        <v>0</v>
      </c>
      <c r="P1373">
        <v>0</v>
      </c>
      <c r="Q1373">
        <v>0</v>
      </c>
    </row>
    <row r="1374" spans="1:17" x14ac:dyDescent="0.2">
      <c r="A1374" s="121">
        <v>39752</v>
      </c>
      <c r="B1374" t="s">
        <v>406</v>
      </c>
      <c r="C1374" t="s">
        <v>429</v>
      </c>
      <c r="D1374" t="s">
        <v>440</v>
      </c>
      <c r="E1374" t="s">
        <v>441</v>
      </c>
      <c r="F1374" t="s">
        <v>413</v>
      </c>
      <c r="G1374">
        <v>2746</v>
      </c>
      <c r="H1374">
        <v>2746</v>
      </c>
      <c r="I1374">
        <v>2708</v>
      </c>
      <c r="J1374">
        <v>2708</v>
      </c>
      <c r="K1374">
        <v>967</v>
      </c>
      <c r="L1374">
        <v>2</v>
      </c>
      <c r="M1374">
        <v>1713</v>
      </c>
      <c r="N1374">
        <v>17</v>
      </c>
      <c r="O1374">
        <v>47</v>
      </c>
      <c r="P1374">
        <v>1</v>
      </c>
      <c r="Q1374">
        <v>0</v>
      </c>
    </row>
    <row r="1375" spans="1:17" x14ac:dyDescent="0.2">
      <c r="A1375" s="121">
        <v>39752</v>
      </c>
      <c r="B1375" t="s">
        <v>406</v>
      </c>
      <c r="C1375" t="s">
        <v>442</v>
      </c>
      <c r="D1375" t="s">
        <v>443</v>
      </c>
      <c r="E1375" t="s">
        <v>444</v>
      </c>
      <c r="F1375" t="s">
        <v>413</v>
      </c>
      <c r="G1375">
        <v>3330</v>
      </c>
      <c r="H1375">
        <v>3330</v>
      </c>
      <c r="I1375">
        <v>3267</v>
      </c>
      <c r="J1375">
        <v>3267</v>
      </c>
      <c r="K1375">
        <v>515</v>
      </c>
      <c r="L1375">
        <v>4</v>
      </c>
      <c r="M1375">
        <v>2707</v>
      </c>
      <c r="N1375">
        <v>46</v>
      </c>
      <c r="O1375">
        <v>58</v>
      </c>
      <c r="P1375">
        <v>5</v>
      </c>
      <c r="Q1375">
        <v>2</v>
      </c>
    </row>
    <row r="1376" spans="1:17" x14ac:dyDescent="0.2">
      <c r="A1376" s="121">
        <v>39752</v>
      </c>
      <c r="B1376" t="s">
        <v>406</v>
      </c>
      <c r="C1376" t="s">
        <v>442</v>
      </c>
      <c r="D1376" t="s">
        <v>445</v>
      </c>
      <c r="E1376" t="s">
        <v>446</v>
      </c>
      <c r="F1376" t="s">
        <v>410</v>
      </c>
      <c r="G1376">
        <v>162</v>
      </c>
      <c r="I1376">
        <v>162</v>
      </c>
    </row>
    <row r="1377" spans="1:17" x14ac:dyDescent="0.2">
      <c r="A1377" s="121">
        <v>39752</v>
      </c>
      <c r="B1377" t="s">
        <v>406</v>
      </c>
      <c r="C1377" t="s">
        <v>442</v>
      </c>
      <c r="D1377" t="s">
        <v>447</v>
      </c>
      <c r="E1377" t="s">
        <v>448</v>
      </c>
      <c r="F1377" t="s">
        <v>410</v>
      </c>
      <c r="G1377">
        <v>274</v>
      </c>
      <c r="I1377">
        <v>274</v>
      </c>
    </row>
    <row r="1378" spans="1:17" x14ac:dyDescent="0.2">
      <c r="A1378" s="121">
        <v>39752</v>
      </c>
      <c r="B1378" t="s">
        <v>406</v>
      </c>
      <c r="C1378" t="s">
        <v>442</v>
      </c>
      <c r="D1378" t="s">
        <v>449</v>
      </c>
      <c r="E1378" t="s">
        <v>450</v>
      </c>
      <c r="F1378" t="s">
        <v>413</v>
      </c>
      <c r="G1378">
        <v>3025</v>
      </c>
      <c r="H1378">
        <v>3025</v>
      </c>
      <c r="I1378">
        <v>2975</v>
      </c>
      <c r="J1378">
        <v>2975</v>
      </c>
      <c r="K1378">
        <v>617</v>
      </c>
      <c r="L1378">
        <v>4</v>
      </c>
      <c r="M1378">
        <v>2324</v>
      </c>
      <c r="N1378">
        <v>39</v>
      </c>
      <c r="O1378">
        <v>41</v>
      </c>
      <c r="P1378">
        <v>4</v>
      </c>
      <c r="Q1378">
        <v>1</v>
      </c>
    </row>
    <row r="1379" spans="1:17" x14ac:dyDescent="0.2">
      <c r="A1379" s="121">
        <v>39752</v>
      </c>
      <c r="B1379" t="s">
        <v>406</v>
      </c>
      <c r="C1379" t="s">
        <v>451</v>
      </c>
      <c r="D1379" t="s">
        <v>452</v>
      </c>
      <c r="E1379" t="s">
        <v>453</v>
      </c>
      <c r="F1379" t="s">
        <v>410</v>
      </c>
      <c r="G1379">
        <v>1685</v>
      </c>
      <c r="H1379">
        <v>1685</v>
      </c>
      <c r="I1379">
        <v>1683</v>
      </c>
      <c r="J1379">
        <v>1683</v>
      </c>
      <c r="K1379">
        <v>0</v>
      </c>
      <c r="L1379">
        <v>0</v>
      </c>
      <c r="M1379">
        <v>1228</v>
      </c>
      <c r="N1379">
        <v>181</v>
      </c>
      <c r="O1379">
        <v>276</v>
      </c>
      <c r="P1379">
        <v>1</v>
      </c>
      <c r="Q1379">
        <v>0</v>
      </c>
    </row>
    <row r="1380" spans="1:17" x14ac:dyDescent="0.2">
      <c r="A1380" s="121">
        <v>39752</v>
      </c>
      <c r="B1380" t="s">
        <v>406</v>
      </c>
      <c r="C1380" t="s">
        <v>451</v>
      </c>
      <c r="D1380" t="s">
        <v>454</v>
      </c>
      <c r="E1380" t="s">
        <v>455</v>
      </c>
      <c r="F1380" t="s">
        <v>413</v>
      </c>
      <c r="G1380">
        <v>4160</v>
      </c>
      <c r="H1380">
        <v>4160</v>
      </c>
      <c r="I1380">
        <v>4030</v>
      </c>
      <c r="J1380">
        <v>4030</v>
      </c>
      <c r="K1380">
        <v>1164</v>
      </c>
      <c r="L1380">
        <v>11</v>
      </c>
      <c r="M1380">
        <v>2352</v>
      </c>
      <c r="N1380">
        <v>45</v>
      </c>
      <c r="O1380">
        <v>588</v>
      </c>
      <c r="P1380">
        <v>2</v>
      </c>
      <c r="Q1380">
        <v>0</v>
      </c>
    </row>
    <row r="1381" spans="1:17" x14ac:dyDescent="0.2">
      <c r="A1381" s="121">
        <v>39752</v>
      </c>
      <c r="B1381" t="s">
        <v>406</v>
      </c>
      <c r="C1381" t="s">
        <v>456</v>
      </c>
      <c r="D1381" t="s">
        <v>457</v>
      </c>
      <c r="E1381" t="s">
        <v>458</v>
      </c>
      <c r="F1381" t="s">
        <v>413</v>
      </c>
      <c r="G1381">
        <v>5248</v>
      </c>
      <c r="H1381">
        <v>5248</v>
      </c>
      <c r="I1381">
        <v>5030</v>
      </c>
      <c r="J1381">
        <v>5030</v>
      </c>
      <c r="K1381">
        <v>1280</v>
      </c>
      <c r="L1381">
        <v>26</v>
      </c>
      <c r="M1381">
        <v>3833</v>
      </c>
      <c r="N1381">
        <v>75</v>
      </c>
      <c r="O1381">
        <v>34</v>
      </c>
      <c r="P1381">
        <v>20</v>
      </c>
      <c r="Q1381">
        <v>1</v>
      </c>
    </row>
    <row r="1382" spans="1:17" x14ac:dyDescent="0.2">
      <c r="A1382" s="121">
        <v>39752</v>
      </c>
      <c r="B1382" t="s">
        <v>406</v>
      </c>
      <c r="C1382" t="s">
        <v>456</v>
      </c>
      <c r="D1382" t="s">
        <v>459</v>
      </c>
      <c r="E1382" t="s">
        <v>460</v>
      </c>
      <c r="F1382" t="s">
        <v>413</v>
      </c>
      <c r="G1382">
        <v>1185</v>
      </c>
      <c r="H1382">
        <v>1185</v>
      </c>
      <c r="I1382">
        <v>1178</v>
      </c>
      <c r="J1382">
        <v>1178</v>
      </c>
      <c r="K1382">
        <v>346</v>
      </c>
      <c r="L1382">
        <v>0</v>
      </c>
      <c r="M1382">
        <v>838</v>
      </c>
      <c r="N1382">
        <v>1</v>
      </c>
      <c r="O1382">
        <v>0</v>
      </c>
      <c r="P1382">
        <v>0</v>
      </c>
      <c r="Q1382">
        <v>0</v>
      </c>
    </row>
    <row r="1383" spans="1:17" x14ac:dyDescent="0.2">
      <c r="A1383" s="121">
        <v>39752</v>
      </c>
      <c r="B1383" t="s">
        <v>406</v>
      </c>
      <c r="C1383" t="s">
        <v>456</v>
      </c>
      <c r="D1383" t="s">
        <v>461</v>
      </c>
      <c r="E1383" t="s">
        <v>462</v>
      </c>
      <c r="F1383" t="s">
        <v>410</v>
      </c>
      <c r="G1383">
        <v>50</v>
      </c>
      <c r="I1383">
        <v>50</v>
      </c>
    </row>
    <row r="1384" spans="1:17" x14ac:dyDescent="0.2">
      <c r="A1384" s="121">
        <v>39752</v>
      </c>
      <c r="B1384" t="s">
        <v>406</v>
      </c>
      <c r="C1384" t="s">
        <v>456</v>
      </c>
      <c r="D1384" t="s">
        <v>463</v>
      </c>
      <c r="E1384" t="s">
        <v>464</v>
      </c>
      <c r="F1384" t="s">
        <v>410</v>
      </c>
      <c r="G1384">
        <v>29</v>
      </c>
      <c r="I1384">
        <v>29</v>
      </c>
    </row>
    <row r="1385" spans="1:17" x14ac:dyDescent="0.2">
      <c r="A1385" s="121">
        <v>39752</v>
      </c>
      <c r="B1385" t="s">
        <v>406</v>
      </c>
      <c r="C1385" t="s">
        <v>456</v>
      </c>
      <c r="D1385" t="s">
        <v>465</v>
      </c>
      <c r="E1385" t="s">
        <v>466</v>
      </c>
      <c r="F1385" t="s">
        <v>410</v>
      </c>
      <c r="G1385">
        <v>74</v>
      </c>
      <c r="I1385">
        <v>74</v>
      </c>
    </row>
    <row r="1386" spans="1:17" x14ac:dyDescent="0.2">
      <c r="A1386" s="121">
        <v>39752</v>
      </c>
      <c r="B1386" t="s">
        <v>406</v>
      </c>
      <c r="C1386" t="s">
        <v>456</v>
      </c>
      <c r="D1386" t="s">
        <v>467</v>
      </c>
      <c r="E1386" t="s">
        <v>468</v>
      </c>
      <c r="F1386" t="s">
        <v>410</v>
      </c>
      <c r="G1386">
        <v>1042</v>
      </c>
      <c r="I1386">
        <v>1041</v>
      </c>
    </row>
    <row r="1387" spans="1:17" x14ac:dyDescent="0.2">
      <c r="A1387" s="121">
        <v>39752</v>
      </c>
      <c r="B1387" t="s">
        <v>406</v>
      </c>
      <c r="C1387" t="s">
        <v>456</v>
      </c>
      <c r="D1387" t="s">
        <v>469</v>
      </c>
      <c r="E1387" t="s">
        <v>470</v>
      </c>
      <c r="F1387" t="s">
        <v>410</v>
      </c>
      <c r="G1387">
        <v>496</v>
      </c>
      <c r="I1387">
        <v>484</v>
      </c>
    </row>
    <row r="1388" spans="1:17" x14ac:dyDescent="0.2">
      <c r="A1388" s="121">
        <v>39752</v>
      </c>
      <c r="B1388" t="s">
        <v>406</v>
      </c>
      <c r="C1388" t="s">
        <v>456</v>
      </c>
      <c r="D1388" t="s">
        <v>471</v>
      </c>
      <c r="E1388" t="s">
        <v>472</v>
      </c>
      <c r="F1388" t="s">
        <v>410</v>
      </c>
      <c r="G1388">
        <v>234</v>
      </c>
      <c r="I1388">
        <v>232</v>
      </c>
    </row>
    <row r="1389" spans="1:17" x14ac:dyDescent="0.2">
      <c r="A1389" s="121">
        <v>39752</v>
      </c>
      <c r="B1389" t="s">
        <v>406</v>
      </c>
      <c r="C1389" t="s">
        <v>456</v>
      </c>
      <c r="D1389" t="s">
        <v>473</v>
      </c>
      <c r="E1389" t="s">
        <v>474</v>
      </c>
      <c r="F1389" t="s">
        <v>410</v>
      </c>
      <c r="G1389">
        <v>180</v>
      </c>
      <c r="I1389">
        <v>180</v>
      </c>
    </row>
    <row r="1390" spans="1:17" x14ac:dyDescent="0.2">
      <c r="A1390" s="121">
        <v>39752</v>
      </c>
      <c r="B1390" t="s">
        <v>406</v>
      </c>
      <c r="C1390" t="s">
        <v>456</v>
      </c>
      <c r="D1390" t="s">
        <v>475</v>
      </c>
      <c r="E1390" t="s">
        <v>476</v>
      </c>
      <c r="F1390" t="s">
        <v>410</v>
      </c>
      <c r="G1390">
        <v>322</v>
      </c>
      <c r="I1390">
        <v>322</v>
      </c>
    </row>
    <row r="1391" spans="1:17" x14ac:dyDescent="0.2">
      <c r="A1391" s="121">
        <v>39752</v>
      </c>
      <c r="B1391" t="s">
        <v>406</v>
      </c>
      <c r="C1391" t="s">
        <v>456</v>
      </c>
      <c r="D1391" t="s">
        <v>477</v>
      </c>
      <c r="E1391" t="s">
        <v>478</v>
      </c>
      <c r="F1391" t="s">
        <v>413</v>
      </c>
      <c r="G1391">
        <v>1737</v>
      </c>
      <c r="H1391">
        <v>1737</v>
      </c>
      <c r="I1391">
        <v>1663</v>
      </c>
      <c r="J1391">
        <v>1663</v>
      </c>
      <c r="K1391">
        <v>541</v>
      </c>
      <c r="L1391">
        <v>4</v>
      </c>
      <c r="M1391">
        <v>1134</v>
      </c>
      <c r="N1391">
        <v>29</v>
      </c>
      <c r="O1391">
        <v>29</v>
      </c>
      <c r="P1391">
        <v>2</v>
      </c>
      <c r="Q1391">
        <v>0</v>
      </c>
    </row>
    <row r="1392" spans="1:17" x14ac:dyDescent="0.2">
      <c r="A1392" s="121">
        <v>39752</v>
      </c>
      <c r="B1392" t="s">
        <v>406</v>
      </c>
      <c r="C1392" t="s">
        <v>456</v>
      </c>
      <c r="D1392" t="s">
        <v>479</v>
      </c>
      <c r="E1392" t="s">
        <v>480</v>
      </c>
      <c r="F1392" t="s">
        <v>410</v>
      </c>
      <c r="G1392">
        <v>58</v>
      </c>
      <c r="I1392">
        <v>58</v>
      </c>
    </row>
    <row r="1393" spans="1:17" x14ac:dyDescent="0.2">
      <c r="A1393" s="121">
        <v>39752</v>
      </c>
      <c r="B1393" t="s">
        <v>406</v>
      </c>
      <c r="C1393" t="s">
        <v>456</v>
      </c>
      <c r="D1393" t="s">
        <v>481</v>
      </c>
      <c r="E1393" t="s">
        <v>482</v>
      </c>
      <c r="F1393" t="s">
        <v>410</v>
      </c>
      <c r="G1393">
        <v>14</v>
      </c>
      <c r="I1393">
        <v>14</v>
      </c>
    </row>
    <row r="1394" spans="1:17" x14ac:dyDescent="0.2">
      <c r="A1394" s="121">
        <v>39752</v>
      </c>
      <c r="B1394" t="s">
        <v>406</v>
      </c>
      <c r="C1394" t="s">
        <v>456</v>
      </c>
      <c r="D1394" t="s">
        <v>483</v>
      </c>
      <c r="E1394" t="s">
        <v>484</v>
      </c>
      <c r="F1394" t="s">
        <v>410</v>
      </c>
      <c r="G1394">
        <v>86</v>
      </c>
      <c r="I1394">
        <v>86</v>
      </c>
    </row>
    <row r="1395" spans="1:17" x14ac:dyDescent="0.2">
      <c r="A1395" s="121">
        <v>39752</v>
      </c>
      <c r="B1395" t="s">
        <v>406</v>
      </c>
      <c r="C1395" t="s">
        <v>456</v>
      </c>
      <c r="D1395" t="s">
        <v>485</v>
      </c>
      <c r="E1395" t="s">
        <v>486</v>
      </c>
      <c r="F1395" t="s">
        <v>410</v>
      </c>
      <c r="G1395">
        <v>79</v>
      </c>
      <c r="I1395">
        <v>79</v>
      </c>
    </row>
    <row r="1396" spans="1:17" x14ac:dyDescent="0.2">
      <c r="A1396" s="121">
        <v>39752</v>
      </c>
      <c r="B1396" t="s">
        <v>406</v>
      </c>
      <c r="C1396" t="s">
        <v>456</v>
      </c>
      <c r="D1396" t="s">
        <v>487</v>
      </c>
      <c r="E1396" t="s">
        <v>488</v>
      </c>
      <c r="F1396" t="s">
        <v>410</v>
      </c>
      <c r="G1396">
        <v>25</v>
      </c>
      <c r="I1396">
        <v>25</v>
      </c>
    </row>
    <row r="1397" spans="1:17" x14ac:dyDescent="0.2">
      <c r="A1397" s="121">
        <v>39752</v>
      </c>
      <c r="B1397" t="s">
        <v>406</v>
      </c>
      <c r="C1397" t="s">
        <v>456</v>
      </c>
      <c r="D1397" t="s">
        <v>489</v>
      </c>
      <c r="E1397" t="s">
        <v>490</v>
      </c>
      <c r="F1397" t="s">
        <v>410</v>
      </c>
      <c r="G1397">
        <v>102</v>
      </c>
      <c r="H1397">
        <v>102</v>
      </c>
      <c r="I1397">
        <v>102</v>
      </c>
      <c r="J1397">
        <v>102</v>
      </c>
      <c r="K1397">
        <v>0</v>
      </c>
      <c r="L1397">
        <v>0</v>
      </c>
      <c r="M1397">
        <v>84</v>
      </c>
      <c r="N1397">
        <v>18</v>
      </c>
      <c r="O1397">
        <v>0</v>
      </c>
      <c r="P1397">
        <v>0</v>
      </c>
      <c r="Q1397">
        <v>0</v>
      </c>
    </row>
    <row r="1398" spans="1:17" x14ac:dyDescent="0.2">
      <c r="A1398" s="121">
        <v>39752</v>
      </c>
      <c r="B1398" t="s">
        <v>406</v>
      </c>
      <c r="C1398" t="s">
        <v>491</v>
      </c>
      <c r="D1398" t="s">
        <v>492</v>
      </c>
      <c r="E1398" t="s">
        <v>493</v>
      </c>
      <c r="F1398" t="s">
        <v>410</v>
      </c>
      <c r="G1398">
        <v>1301</v>
      </c>
      <c r="H1398">
        <v>1301</v>
      </c>
      <c r="I1398">
        <v>1286</v>
      </c>
      <c r="J1398">
        <v>1286</v>
      </c>
      <c r="K1398">
        <v>356</v>
      </c>
      <c r="L1398">
        <v>0</v>
      </c>
      <c r="M1398">
        <v>22</v>
      </c>
      <c r="N1398">
        <v>63</v>
      </c>
      <c r="O1398">
        <v>860</v>
      </c>
      <c r="P1398">
        <v>0</v>
      </c>
      <c r="Q1398">
        <v>0</v>
      </c>
    </row>
    <row r="1399" spans="1:17" x14ac:dyDescent="0.2">
      <c r="A1399" s="121">
        <v>39752</v>
      </c>
      <c r="B1399" t="s">
        <v>406</v>
      </c>
      <c r="C1399" t="s">
        <v>491</v>
      </c>
      <c r="D1399" t="s">
        <v>494</v>
      </c>
      <c r="E1399" t="s">
        <v>495</v>
      </c>
      <c r="F1399" t="s">
        <v>413</v>
      </c>
      <c r="G1399">
        <v>2563</v>
      </c>
      <c r="H1399">
        <v>2563</v>
      </c>
      <c r="I1399">
        <v>2527</v>
      </c>
      <c r="J1399">
        <v>2527</v>
      </c>
      <c r="K1399">
        <v>614</v>
      </c>
      <c r="L1399">
        <v>0</v>
      </c>
      <c r="M1399">
        <v>3</v>
      </c>
      <c r="N1399">
        <v>70</v>
      </c>
      <c r="O1399">
        <v>1876</v>
      </c>
      <c r="P1399">
        <v>0</v>
      </c>
      <c r="Q1399">
        <v>0</v>
      </c>
    </row>
    <row r="1400" spans="1:17" x14ac:dyDescent="0.2">
      <c r="A1400" s="121">
        <v>39752</v>
      </c>
      <c r="B1400" t="s">
        <v>406</v>
      </c>
      <c r="C1400" t="s">
        <v>491</v>
      </c>
      <c r="D1400" t="s">
        <v>496</v>
      </c>
      <c r="E1400" t="s">
        <v>497</v>
      </c>
      <c r="F1400" t="s">
        <v>413</v>
      </c>
      <c r="G1400">
        <v>5640</v>
      </c>
      <c r="H1400">
        <v>5640</v>
      </c>
      <c r="I1400">
        <v>5497</v>
      </c>
      <c r="J1400">
        <v>5497</v>
      </c>
      <c r="K1400">
        <v>1734</v>
      </c>
      <c r="L1400">
        <v>0</v>
      </c>
      <c r="M1400">
        <v>110</v>
      </c>
      <c r="N1400">
        <v>76</v>
      </c>
      <c r="O1400">
        <v>3720</v>
      </c>
      <c r="P1400">
        <v>5</v>
      </c>
      <c r="Q1400">
        <v>0</v>
      </c>
    </row>
    <row r="1401" spans="1:17" x14ac:dyDescent="0.2">
      <c r="A1401" s="121">
        <v>39752</v>
      </c>
      <c r="B1401" t="s">
        <v>406</v>
      </c>
      <c r="C1401" t="s">
        <v>491</v>
      </c>
      <c r="D1401" t="s">
        <v>498</v>
      </c>
      <c r="E1401" t="s">
        <v>499</v>
      </c>
      <c r="F1401" t="s">
        <v>413</v>
      </c>
      <c r="G1401">
        <v>6259</v>
      </c>
      <c r="H1401">
        <v>6259</v>
      </c>
      <c r="I1401">
        <v>6054</v>
      </c>
      <c r="J1401">
        <v>6054</v>
      </c>
      <c r="K1401">
        <v>2034</v>
      </c>
      <c r="L1401">
        <v>17</v>
      </c>
      <c r="M1401">
        <v>3817</v>
      </c>
      <c r="N1401">
        <v>104</v>
      </c>
      <c r="O1401">
        <v>287</v>
      </c>
      <c r="P1401">
        <v>3</v>
      </c>
      <c r="Q1401">
        <v>0</v>
      </c>
    </row>
    <row r="1402" spans="1:17" x14ac:dyDescent="0.2">
      <c r="A1402" s="121">
        <v>39752</v>
      </c>
      <c r="B1402" t="s">
        <v>406</v>
      </c>
      <c r="C1402" t="s">
        <v>491</v>
      </c>
      <c r="D1402" t="s">
        <v>500</v>
      </c>
      <c r="E1402" t="s">
        <v>501</v>
      </c>
      <c r="F1402" t="s">
        <v>413</v>
      </c>
      <c r="G1402">
        <v>3368</v>
      </c>
      <c r="H1402">
        <v>3368</v>
      </c>
      <c r="I1402">
        <v>3342</v>
      </c>
      <c r="J1402">
        <v>3342</v>
      </c>
      <c r="K1402">
        <v>1085</v>
      </c>
      <c r="L1402">
        <v>2</v>
      </c>
      <c r="M1402">
        <v>2097</v>
      </c>
      <c r="N1402">
        <v>46</v>
      </c>
      <c r="O1402">
        <v>138</v>
      </c>
      <c r="P1402">
        <v>0</v>
      </c>
      <c r="Q1402">
        <v>0</v>
      </c>
    </row>
    <row r="1403" spans="1:17" x14ac:dyDescent="0.2">
      <c r="A1403" s="121">
        <v>39752</v>
      </c>
      <c r="B1403" t="s">
        <v>406</v>
      </c>
      <c r="C1403" t="s">
        <v>491</v>
      </c>
      <c r="D1403" t="s">
        <v>502</v>
      </c>
      <c r="E1403" t="s">
        <v>503</v>
      </c>
      <c r="F1403" t="s">
        <v>413</v>
      </c>
      <c r="G1403">
        <v>5517</v>
      </c>
      <c r="H1403">
        <v>5517</v>
      </c>
      <c r="I1403">
        <v>5491</v>
      </c>
      <c r="J1403">
        <v>5491</v>
      </c>
      <c r="K1403">
        <v>1583</v>
      </c>
      <c r="L1403">
        <v>11</v>
      </c>
      <c r="M1403">
        <v>3762</v>
      </c>
      <c r="N1403">
        <v>104</v>
      </c>
      <c r="O1403">
        <v>57</v>
      </c>
      <c r="P1403">
        <v>0</v>
      </c>
      <c r="Q1403">
        <v>0</v>
      </c>
    </row>
    <row r="1404" spans="1:17" x14ac:dyDescent="0.2">
      <c r="A1404" s="121">
        <v>39752</v>
      </c>
      <c r="B1404" t="s">
        <v>406</v>
      </c>
      <c r="C1404" t="s">
        <v>491</v>
      </c>
      <c r="D1404" t="s">
        <v>504</v>
      </c>
      <c r="E1404" t="s">
        <v>505</v>
      </c>
      <c r="F1404" t="s">
        <v>413</v>
      </c>
      <c r="G1404">
        <v>3933</v>
      </c>
      <c r="H1404">
        <v>3933</v>
      </c>
      <c r="I1404">
        <v>3911</v>
      </c>
      <c r="J1404">
        <v>3911</v>
      </c>
      <c r="K1404">
        <v>1191</v>
      </c>
      <c r="L1404">
        <v>6</v>
      </c>
      <c r="M1404">
        <v>2592</v>
      </c>
      <c r="N1404">
        <v>35</v>
      </c>
      <c r="O1404">
        <v>109</v>
      </c>
      <c r="P1404">
        <v>0</v>
      </c>
      <c r="Q1404">
        <v>0</v>
      </c>
    </row>
    <row r="1405" spans="1:17" x14ac:dyDescent="0.2">
      <c r="A1405" s="121">
        <v>39752</v>
      </c>
      <c r="B1405" t="s">
        <v>406</v>
      </c>
      <c r="C1405" t="s">
        <v>491</v>
      </c>
      <c r="D1405" t="s">
        <v>506</v>
      </c>
      <c r="E1405" t="s">
        <v>507</v>
      </c>
      <c r="F1405" t="s">
        <v>413</v>
      </c>
      <c r="G1405">
        <v>3355</v>
      </c>
      <c r="H1405">
        <v>3355</v>
      </c>
      <c r="I1405">
        <v>3310</v>
      </c>
      <c r="J1405">
        <v>3310</v>
      </c>
      <c r="K1405">
        <v>558</v>
      </c>
      <c r="L1405">
        <v>2</v>
      </c>
      <c r="M1405">
        <v>2784</v>
      </c>
      <c r="N1405">
        <v>2</v>
      </c>
      <c r="O1405">
        <v>9</v>
      </c>
      <c r="P1405">
        <v>0</v>
      </c>
      <c r="Q1405">
        <v>0</v>
      </c>
    </row>
    <row r="1406" spans="1:17" x14ac:dyDescent="0.2">
      <c r="A1406" s="121">
        <v>39752</v>
      </c>
      <c r="B1406" t="s">
        <v>406</v>
      </c>
      <c r="C1406" t="s">
        <v>491</v>
      </c>
      <c r="D1406" t="s">
        <v>508</v>
      </c>
      <c r="E1406" t="s">
        <v>509</v>
      </c>
      <c r="F1406" t="s">
        <v>413</v>
      </c>
      <c r="G1406">
        <v>5220</v>
      </c>
      <c r="H1406">
        <v>5220</v>
      </c>
      <c r="I1406">
        <v>4998</v>
      </c>
      <c r="J1406">
        <v>4998</v>
      </c>
      <c r="K1406">
        <v>1835</v>
      </c>
      <c r="L1406">
        <v>6</v>
      </c>
      <c r="M1406">
        <v>2933</v>
      </c>
      <c r="N1406">
        <v>121</v>
      </c>
      <c r="O1406">
        <v>325</v>
      </c>
      <c r="P1406">
        <v>13</v>
      </c>
      <c r="Q1406">
        <v>0</v>
      </c>
    </row>
    <row r="1407" spans="1:17" x14ac:dyDescent="0.2">
      <c r="A1407" s="121">
        <v>39752</v>
      </c>
      <c r="B1407" t="s">
        <v>406</v>
      </c>
      <c r="C1407" t="s">
        <v>510</v>
      </c>
      <c r="D1407" t="s">
        <v>511</v>
      </c>
      <c r="E1407" t="s">
        <v>512</v>
      </c>
      <c r="F1407" t="s">
        <v>410</v>
      </c>
      <c r="G1407">
        <v>482</v>
      </c>
      <c r="I1407">
        <v>474</v>
      </c>
    </row>
    <row r="1408" spans="1:17" x14ac:dyDescent="0.2">
      <c r="A1408" s="121">
        <v>39752</v>
      </c>
      <c r="B1408" t="s">
        <v>406</v>
      </c>
      <c r="C1408" t="s">
        <v>510</v>
      </c>
      <c r="D1408" t="s">
        <v>513</v>
      </c>
      <c r="E1408" t="s">
        <v>514</v>
      </c>
      <c r="F1408" t="s">
        <v>410</v>
      </c>
      <c r="G1408">
        <v>526</v>
      </c>
      <c r="I1408">
        <v>525</v>
      </c>
    </row>
    <row r="1409" spans="1:17" x14ac:dyDescent="0.2">
      <c r="A1409" s="121">
        <v>39752</v>
      </c>
      <c r="B1409" t="s">
        <v>406</v>
      </c>
      <c r="C1409" t="s">
        <v>510</v>
      </c>
      <c r="D1409" t="s">
        <v>515</v>
      </c>
      <c r="E1409" t="s">
        <v>516</v>
      </c>
      <c r="F1409" t="s">
        <v>410</v>
      </c>
      <c r="G1409">
        <v>65</v>
      </c>
      <c r="I1409">
        <v>63</v>
      </c>
    </row>
    <row r="1410" spans="1:17" x14ac:dyDescent="0.2">
      <c r="A1410" s="121">
        <v>39752</v>
      </c>
      <c r="B1410" t="s">
        <v>406</v>
      </c>
      <c r="C1410" t="s">
        <v>510</v>
      </c>
      <c r="D1410" t="s">
        <v>517</v>
      </c>
      <c r="E1410" t="s">
        <v>518</v>
      </c>
      <c r="F1410" t="s">
        <v>410</v>
      </c>
      <c r="G1410">
        <v>297</v>
      </c>
      <c r="I1410">
        <v>293</v>
      </c>
    </row>
    <row r="1411" spans="1:17" x14ac:dyDescent="0.2">
      <c r="A1411" s="121">
        <v>39752</v>
      </c>
      <c r="B1411" t="s">
        <v>406</v>
      </c>
      <c r="C1411" t="s">
        <v>510</v>
      </c>
      <c r="D1411" t="s">
        <v>519</v>
      </c>
      <c r="E1411" t="s">
        <v>520</v>
      </c>
      <c r="F1411" t="s">
        <v>410</v>
      </c>
      <c r="G1411">
        <v>317</v>
      </c>
      <c r="I1411">
        <v>312</v>
      </c>
    </row>
    <row r="1412" spans="1:17" x14ac:dyDescent="0.2">
      <c r="A1412" s="121">
        <v>39752</v>
      </c>
      <c r="B1412" t="s">
        <v>406</v>
      </c>
      <c r="C1412" t="s">
        <v>510</v>
      </c>
      <c r="D1412" t="s">
        <v>521</v>
      </c>
      <c r="E1412" t="s">
        <v>522</v>
      </c>
      <c r="F1412" t="s">
        <v>410</v>
      </c>
      <c r="G1412">
        <v>36</v>
      </c>
      <c r="I1412">
        <v>34</v>
      </c>
    </row>
    <row r="1413" spans="1:17" x14ac:dyDescent="0.2">
      <c r="A1413" s="121">
        <v>39752</v>
      </c>
      <c r="B1413" t="s">
        <v>406</v>
      </c>
      <c r="C1413" t="s">
        <v>510</v>
      </c>
      <c r="D1413" t="s">
        <v>523</v>
      </c>
      <c r="E1413" t="s">
        <v>524</v>
      </c>
      <c r="F1413" t="s">
        <v>413</v>
      </c>
      <c r="G1413">
        <v>439</v>
      </c>
      <c r="I1413">
        <v>435</v>
      </c>
    </row>
    <row r="1414" spans="1:17" x14ac:dyDescent="0.2">
      <c r="A1414" s="121">
        <v>39752</v>
      </c>
      <c r="B1414" t="s">
        <v>406</v>
      </c>
      <c r="C1414" t="s">
        <v>510</v>
      </c>
      <c r="D1414" t="s">
        <v>527</v>
      </c>
      <c r="E1414" t="s">
        <v>528</v>
      </c>
      <c r="F1414" t="s">
        <v>410</v>
      </c>
      <c r="G1414">
        <v>187</v>
      </c>
      <c r="I1414">
        <v>187</v>
      </c>
    </row>
    <row r="1415" spans="1:17" x14ac:dyDescent="0.2">
      <c r="A1415" s="121">
        <v>39752</v>
      </c>
      <c r="B1415" t="s">
        <v>406</v>
      </c>
      <c r="C1415" t="s">
        <v>510</v>
      </c>
      <c r="D1415" t="s">
        <v>529</v>
      </c>
      <c r="E1415" t="s">
        <v>530</v>
      </c>
      <c r="F1415" t="s">
        <v>413</v>
      </c>
      <c r="G1415">
        <v>429</v>
      </c>
      <c r="I1415">
        <v>423</v>
      </c>
    </row>
    <row r="1416" spans="1:17" x14ac:dyDescent="0.2">
      <c r="A1416" s="121">
        <v>39752</v>
      </c>
      <c r="B1416" t="s">
        <v>406</v>
      </c>
      <c r="C1416" t="s">
        <v>510</v>
      </c>
      <c r="D1416" t="s">
        <v>531</v>
      </c>
      <c r="E1416" t="s">
        <v>532</v>
      </c>
      <c r="F1416" t="s">
        <v>410</v>
      </c>
      <c r="G1416">
        <v>47</v>
      </c>
      <c r="I1416">
        <v>46</v>
      </c>
    </row>
    <row r="1417" spans="1:17" x14ac:dyDescent="0.2">
      <c r="A1417" s="121">
        <v>39752</v>
      </c>
      <c r="B1417" t="s">
        <v>406</v>
      </c>
      <c r="C1417" t="s">
        <v>510</v>
      </c>
      <c r="D1417" t="s">
        <v>533</v>
      </c>
      <c r="E1417" t="s">
        <v>534</v>
      </c>
      <c r="F1417" t="s">
        <v>413</v>
      </c>
      <c r="G1417">
        <v>2306</v>
      </c>
      <c r="H1417">
        <v>2306</v>
      </c>
      <c r="I1417">
        <v>2262</v>
      </c>
      <c r="J1417">
        <v>2262</v>
      </c>
      <c r="K1417">
        <v>512</v>
      </c>
      <c r="L1417">
        <v>20</v>
      </c>
      <c r="M1417">
        <v>1774</v>
      </c>
      <c r="N1417">
        <v>0</v>
      </c>
      <c r="O1417">
        <v>0</v>
      </c>
      <c r="P1417">
        <v>1</v>
      </c>
      <c r="Q1417">
        <v>0</v>
      </c>
    </row>
    <row r="1418" spans="1:17" x14ac:dyDescent="0.2">
      <c r="A1418" s="121">
        <v>39752</v>
      </c>
      <c r="B1418" t="s">
        <v>406</v>
      </c>
      <c r="C1418" t="s">
        <v>510</v>
      </c>
      <c r="D1418" t="s">
        <v>535</v>
      </c>
      <c r="E1418" t="s">
        <v>536</v>
      </c>
      <c r="F1418" t="s">
        <v>410</v>
      </c>
      <c r="G1418">
        <v>185</v>
      </c>
      <c r="I1418">
        <v>185</v>
      </c>
    </row>
    <row r="1419" spans="1:17" x14ac:dyDescent="0.2">
      <c r="A1419" s="121">
        <v>39752</v>
      </c>
      <c r="B1419" t="s">
        <v>406</v>
      </c>
      <c r="C1419" t="s">
        <v>510</v>
      </c>
      <c r="D1419" t="s">
        <v>537</v>
      </c>
      <c r="E1419" t="s">
        <v>538</v>
      </c>
      <c r="F1419" t="s">
        <v>410</v>
      </c>
      <c r="G1419">
        <v>76</v>
      </c>
      <c r="I1419">
        <v>76</v>
      </c>
    </row>
    <row r="1420" spans="1:17" x14ac:dyDescent="0.2">
      <c r="A1420" s="121">
        <v>39752</v>
      </c>
      <c r="B1420" t="s">
        <v>406</v>
      </c>
      <c r="C1420" t="s">
        <v>510</v>
      </c>
      <c r="D1420" t="s">
        <v>539</v>
      </c>
      <c r="E1420" t="s">
        <v>540</v>
      </c>
      <c r="F1420" t="s">
        <v>413</v>
      </c>
      <c r="G1420">
        <v>697</v>
      </c>
      <c r="I1420">
        <v>687</v>
      </c>
    </row>
    <row r="1421" spans="1:17" x14ac:dyDescent="0.2">
      <c r="A1421" s="121">
        <v>39752</v>
      </c>
      <c r="B1421" t="s">
        <v>406</v>
      </c>
      <c r="C1421" t="s">
        <v>510</v>
      </c>
      <c r="D1421" t="s">
        <v>541</v>
      </c>
      <c r="E1421" t="s">
        <v>542</v>
      </c>
      <c r="F1421" t="s">
        <v>410</v>
      </c>
      <c r="G1421">
        <v>303</v>
      </c>
      <c r="I1421">
        <v>295</v>
      </c>
    </row>
    <row r="1422" spans="1:17" x14ac:dyDescent="0.2">
      <c r="A1422" s="121">
        <v>39752</v>
      </c>
      <c r="B1422" t="s">
        <v>406</v>
      </c>
      <c r="C1422" t="s">
        <v>510</v>
      </c>
      <c r="D1422" t="s">
        <v>543</v>
      </c>
      <c r="E1422" t="s">
        <v>544</v>
      </c>
      <c r="F1422" t="s">
        <v>410</v>
      </c>
      <c r="G1422">
        <v>254</v>
      </c>
      <c r="I1422">
        <v>247</v>
      </c>
    </row>
    <row r="1423" spans="1:17" x14ac:dyDescent="0.2">
      <c r="A1423" s="121">
        <v>39752</v>
      </c>
      <c r="B1423" t="s">
        <v>406</v>
      </c>
      <c r="C1423" t="s">
        <v>510</v>
      </c>
      <c r="D1423" t="s">
        <v>545</v>
      </c>
      <c r="E1423" t="s">
        <v>546</v>
      </c>
      <c r="F1423" t="s">
        <v>410</v>
      </c>
      <c r="G1423">
        <v>189</v>
      </c>
      <c r="I1423">
        <v>189</v>
      </c>
    </row>
    <row r="1424" spans="1:17" x14ac:dyDescent="0.2">
      <c r="A1424" s="121">
        <v>39752</v>
      </c>
      <c r="B1424" t="s">
        <v>406</v>
      </c>
      <c r="C1424" t="s">
        <v>510</v>
      </c>
      <c r="D1424" t="s">
        <v>547</v>
      </c>
      <c r="E1424" t="s">
        <v>548</v>
      </c>
      <c r="F1424" t="s">
        <v>410</v>
      </c>
      <c r="G1424">
        <v>115</v>
      </c>
      <c r="I1424">
        <v>115</v>
      </c>
    </row>
    <row r="1425" spans="1:17" x14ac:dyDescent="0.2">
      <c r="A1425" s="121">
        <v>39752</v>
      </c>
      <c r="B1425" t="s">
        <v>406</v>
      </c>
      <c r="C1425" t="s">
        <v>510</v>
      </c>
      <c r="D1425" t="s">
        <v>549</v>
      </c>
      <c r="E1425" t="s">
        <v>550</v>
      </c>
      <c r="F1425" t="s">
        <v>410</v>
      </c>
      <c r="G1425">
        <v>172</v>
      </c>
      <c r="I1425">
        <v>172</v>
      </c>
    </row>
    <row r="1426" spans="1:17" x14ac:dyDescent="0.2">
      <c r="A1426" s="121">
        <v>39752</v>
      </c>
      <c r="B1426" t="s">
        <v>406</v>
      </c>
      <c r="C1426" t="s">
        <v>551</v>
      </c>
      <c r="D1426" t="s">
        <v>552</v>
      </c>
      <c r="E1426" t="s">
        <v>553</v>
      </c>
      <c r="F1426" t="s">
        <v>413</v>
      </c>
      <c r="G1426">
        <v>5129</v>
      </c>
      <c r="H1426">
        <v>5129</v>
      </c>
      <c r="I1426">
        <v>5034</v>
      </c>
      <c r="J1426">
        <v>5034</v>
      </c>
      <c r="K1426">
        <v>1594</v>
      </c>
      <c r="L1426">
        <v>5</v>
      </c>
      <c r="M1426">
        <v>3484</v>
      </c>
      <c r="N1426">
        <v>23</v>
      </c>
      <c r="O1426">
        <v>23</v>
      </c>
      <c r="P1426">
        <v>6</v>
      </c>
      <c r="Q1426">
        <v>0</v>
      </c>
    </row>
    <row r="1427" spans="1:17" x14ac:dyDescent="0.2">
      <c r="A1427" s="121">
        <v>39752</v>
      </c>
      <c r="B1427" t="s">
        <v>406</v>
      </c>
      <c r="C1427" t="s">
        <v>551</v>
      </c>
      <c r="D1427" t="s">
        <v>554</v>
      </c>
      <c r="E1427" t="s">
        <v>555</v>
      </c>
      <c r="F1427" t="s">
        <v>410</v>
      </c>
      <c r="G1427">
        <v>149</v>
      </c>
      <c r="I1427">
        <v>149</v>
      </c>
    </row>
    <row r="1428" spans="1:17" x14ac:dyDescent="0.2">
      <c r="A1428" s="121">
        <v>39752</v>
      </c>
      <c r="B1428" t="s">
        <v>406</v>
      </c>
      <c r="C1428" t="s">
        <v>551</v>
      </c>
      <c r="D1428" t="s">
        <v>556</v>
      </c>
      <c r="E1428" t="s">
        <v>557</v>
      </c>
      <c r="F1428" t="s">
        <v>410</v>
      </c>
      <c r="G1428">
        <v>118</v>
      </c>
      <c r="I1428">
        <v>118</v>
      </c>
    </row>
    <row r="1429" spans="1:17" x14ac:dyDescent="0.2">
      <c r="A1429" s="121">
        <v>39752</v>
      </c>
      <c r="B1429" t="s">
        <v>406</v>
      </c>
      <c r="C1429" t="s">
        <v>551</v>
      </c>
      <c r="D1429" t="s">
        <v>558</v>
      </c>
      <c r="E1429" t="s">
        <v>559</v>
      </c>
      <c r="F1429" t="s">
        <v>413</v>
      </c>
      <c r="G1429">
        <v>4643</v>
      </c>
      <c r="H1429">
        <v>4643</v>
      </c>
      <c r="I1429">
        <v>4498</v>
      </c>
      <c r="J1429">
        <v>4498</v>
      </c>
      <c r="K1429">
        <v>1205</v>
      </c>
      <c r="L1429">
        <v>12</v>
      </c>
      <c r="M1429">
        <v>3396</v>
      </c>
      <c r="N1429">
        <v>11</v>
      </c>
      <c r="O1429">
        <v>19</v>
      </c>
      <c r="P1429">
        <v>18</v>
      </c>
      <c r="Q1429">
        <v>2</v>
      </c>
    </row>
    <row r="1430" spans="1:17" x14ac:dyDescent="0.2">
      <c r="A1430" s="121">
        <v>39752</v>
      </c>
      <c r="B1430" t="s">
        <v>406</v>
      </c>
      <c r="C1430" t="s">
        <v>551</v>
      </c>
      <c r="D1430" t="s">
        <v>560</v>
      </c>
      <c r="E1430" t="s">
        <v>561</v>
      </c>
      <c r="F1430" t="s">
        <v>413</v>
      </c>
      <c r="G1430">
        <v>5534</v>
      </c>
      <c r="H1430">
        <v>5534</v>
      </c>
      <c r="I1430">
        <v>5477</v>
      </c>
      <c r="J1430">
        <v>5477</v>
      </c>
      <c r="K1430">
        <v>1341</v>
      </c>
      <c r="L1430">
        <v>3</v>
      </c>
      <c r="M1430">
        <v>4163</v>
      </c>
      <c r="N1430">
        <v>16</v>
      </c>
      <c r="O1430">
        <v>11</v>
      </c>
      <c r="P1430">
        <v>2</v>
      </c>
      <c r="Q1430">
        <v>0</v>
      </c>
    </row>
    <row r="1431" spans="1:17" x14ac:dyDescent="0.2">
      <c r="A1431" s="121">
        <v>39752</v>
      </c>
      <c r="B1431" t="s">
        <v>406</v>
      </c>
      <c r="C1431" t="s">
        <v>562</v>
      </c>
      <c r="D1431" t="s">
        <v>603</v>
      </c>
      <c r="E1431" t="s">
        <v>604</v>
      </c>
      <c r="F1431" t="s">
        <v>410</v>
      </c>
      <c r="G1431">
        <v>15</v>
      </c>
      <c r="I1431">
        <v>15</v>
      </c>
    </row>
    <row r="1432" spans="1:17" x14ac:dyDescent="0.2">
      <c r="A1432" s="121">
        <v>39752</v>
      </c>
      <c r="B1432" t="s">
        <v>406</v>
      </c>
      <c r="C1432" t="s">
        <v>562</v>
      </c>
      <c r="D1432" t="s">
        <v>605</v>
      </c>
      <c r="E1432" t="s">
        <v>606</v>
      </c>
      <c r="F1432" t="s">
        <v>410</v>
      </c>
      <c r="G1432">
        <v>141</v>
      </c>
      <c r="I1432">
        <v>141</v>
      </c>
    </row>
    <row r="1433" spans="1:17" x14ac:dyDescent="0.2">
      <c r="A1433" s="121">
        <v>39752</v>
      </c>
      <c r="B1433" t="s">
        <v>406</v>
      </c>
      <c r="C1433" t="s">
        <v>562</v>
      </c>
      <c r="D1433" t="s">
        <v>563</v>
      </c>
      <c r="E1433" t="s">
        <v>564</v>
      </c>
      <c r="F1433" t="s">
        <v>410</v>
      </c>
      <c r="G1433">
        <v>3073</v>
      </c>
      <c r="H1433">
        <v>3073</v>
      </c>
      <c r="I1433">
        <v>2980</v>
      </c>
      <c r="J1433">
        <v>2980</v>
      </c>
      <c r="K1433">
        <v>1162</v>
      </c>
      <c r="L1433">
        <v>2</v>
      </c>
      <c r="M1433">
        <v>1869</v>
      </c>
      <c r="N1433">
        <v>40</v>
      </c>
      <c r="O1433">
        <v>0</v>
      </c>
      <c r="P1433">
        <v>1</v>
      </c>
      <c r="Q1433">
        <v>0</v>
      </c>
    </row>
    <row r="1434" spans="1:17" x14ac:dyDescent="0.2">
      <c r="A1434" s="121">
        <v>39752</v>
      </c>
      <c r="B1434" t="s">
        <v>406</v>
      </c>
      <c r="C1434" t="s">
        <v>562</v>
      </c>
      <c r="D1434" t="s">
        <v>565</v>
      </c>
      <c r="E1434" t="s">
        <v>566</v>
      </c>
      <c r="F1434" t="s">
        <v>413</v>
      </c>
      <c r="G1434">
        <v>3973</v>
      </c>
      <c r="H1434">
        <v>3973</v>
      </c>
      <c r="I1434">
        <v>3909</v>
      </c>
      <c r="J1434">
        <v>3909</v>
      </c>
      <c r="K1434">
        <v>986</v>
      </c>
      <c r="L1434">
        <v>4</v>
      </c>
      <c r="M1434">
        <v>2867</v>
      </c>
      <c r="N1434">
        <v>116</v>
      </c>
      <c r="O1434">
        <v>0</v>
      </c>
      <c r="P1434">
        <v>10</v>
      </c>
      <c r="Q1434">
        <v>1</v>
      </c>
    </row>
    <row r="1435" spans="1:17" x14ac:dyDescent="0.2">
      <c r="A1435" s="121">
        <v>39752</v>
      </c>
      <c r="B1435" t="s">
        <v>406</v>
      </c>
      <c r="C1435" t="s">
        <v>562</v>
      </c>
      <c r="D1435" t="s">
        <v>567</v>
      </c>
      <c r="E1435" t="s">
        <v>568</v>
      </c>
      <c r="F1435" t="s">
        <v>413</v>
      </c>
      <c r="G1435">
        <v>8780</v>
      </c>
      <c r="H1435">
        <v>8780</v>
      </c>
      <c r="I1435">
        <v>8510</v>
      </c>
      <c r="J1435">
        <v>8510</v>
      </c>
      <c r="K1435">
        <v>2466</v>
      </c>
      <c r="L1435">
        <v>16</v>
      </c>
      <c r="M1435">
        <v>6024</v>
      </c>
      <c r="N1435">
        <v>274</v>
      </c>
      <c r="O1435">
        <v>0</v>
      </c>
      <c r="P1435">
        <v>12</v>
      </c>
      <c r="Q1435">
        <v>0</v>
      </c>
    </row>
    <row r="1436" spans="1:17" x14ac:dyDescent="0.2">
      <c r="A1436" s="121">
        <v>39752</v>
      </c>
      <c r="B1436" t="s">
        <v>406</v>
      </c>
      <c r="C1436" t="s">
        <v>562</v>
      </c>
      <c r="D1436" t="s">
        <v>569</v>
      </c>
      <c r="E1436" t="s">
        <v>570</v>
      </c>
      <c r="F1436" t="s">
        <v>413</v>
      </c>
      <c r="G1436">
        <v>2847</v>
      </c>
      <c r="H1436">
        <v>2847</v>
      </c>
      <c r="I1436">
        <v>2836</v>
      </c>
      <c r="J1436">
        <v>2836</v>
      </c>
      <c r="K1436">
        <v>522</v>
      </c>
      <c r="L1436">
        <v>0</v>
      </c>
      <c r="M1436">
        <v>2325</v>
      </c>
      <c r="N1436">
        <v>0</v>
      </c>
      <c r="O1436">
        <v>0</v>
      </c>
      <c r="P1436">
        <v>0</v>
      </c>
      <c r="Q1436">
        <v>0</v>
      </c>
    </row>
    <row r="1437" spans="1:17" x14ac:dyDescent="0.2">
      <c r="A1437" s="121">
        <v>39752</v>
      </c>
      <c r="B1437" t="s">
        <v>406</v>
      </c>
      <c r="C1437" t="s">
        <v>571</v>
      </c>
      <c r="D1437" t="s">
        <v>572</v>
      </c>
      <c r="E1437" t="s">
        <v>573</v>
      </c>
      <c r="F1437" t="s">
        <v>410</v>
      </c>
      <c r="G1437">
        <v>194</v>
      </c>
      <c r="I1437">
        <v>194</v>
      </c>
    </row>
    <row r="1438" spans="1:17" x14ac:dyDescent="0.2">
      <c r="A1438" s="121">
        <v>39752</v>
      </c>
      <c r="B1438" t="s">
        <v>406</v>
      </c>
      <c r="C1438" t="s">
        <v>574</v>
      </c>
      <c r="D1438" t="s">
        <v>575</v>
      </c>
      <c r="E1438" t="s">
        <v>576</v>
      </c>
      <c r="F1438" t="s">
        <v>413</v>
      </c>
      <c r="G1438">
        <v>629</v>
      </c>
      <c r="H1438">
        <v>629</v>
      </c>
      <c r="I1438">
        <v>629</v>
      </c>
      <c r="J1438">
        <v>629</v>
      </c>
      <c r="K1438">
        <v>133</v>
      </c>
      <c r="L1438">
        <v>0</v>
      </c>
      <c r="M1438">
        <v>468</v>
      </c>
      <c r="N1438">
        <v>1</v>
      </c>
      <c r="O1438">
        <v>27</v>
      </c>
      <c r="P1438">
        <v>0</v>
      </c>
      <c r="Q1438">
        <v>0</v>
      </c>
    </row>
    <row r="1439" spans="1:17" x14ac:dyDescent="0.2">
      <c r="A1439" s="121">
        <v>39752</v>
      </c>
      <c r="B1439" t="s">
        <v>406</v>
      </c>
      <c r="C1439" t="s">
        <v>577</v>
      </c>
      <c r="D1439" t="s">
        <v>578</v>
      </c>
      <c r="E1439" t="s">
        <v>579</v>
      </c>
      <c r="F1439" t="s">
        <v>413</v>
      </c>
      <c r="G1439">
        <v>3828</v>
      </c>
      <c r="H1439">
        <v>3828</v>
      </c>
      <c r="I1439">
        <v>3805</v>
      </c>
      <c r="J1439">
        <v>3805</v>
      </c>
      <c r="K1439">
        <v>931</v>
      </c>
      <c r="L1439">
        <v>14</v>
      </c>
      <c r="M1439">
        <v>2783</v>
      </c>
      <c r="N1439">
        <v>23</v>
      </c>
      <c r="O1439">
        <v>77</v>
      </c>
      <c r="P1439">
        <v>1</v>
      </c>
      <c r="Q1439">
        <v>0</v>
      </c>
    </row>
    <row r="1440" spans="1:17" x14ac:dyDescent="0.2">
      <c r="A1440" s="121">
        <v>39752</v>
      </c>
      <c r="B1440" t="s">
        <v>406</v>
      </c>
      <c r="C1440" t="s">
        <v>577</v>
      </c>
      <c r="D1440" t="s">
        <v>580</v>
      </c>
      <c r="E1440" t="s">
        <v>581</v>
      </c>
      <c r="F1440" t="s">
        <v>413</v>
      </c>
      <c r="G1440">
        <v>1977</v>
      </c>
      <c r="H1440">
        <v>1977</v>
      </c>
      <c r="I1440">
        <v>1964</v>
      </c>
      <c r="J1440">
        <v>1964</v>
      </c>
      <c r="K1440">
        <v>397</v>
      </c>
      <c r="L1440">
        <v>5</v>
      </c>
      <c r="M1440">
        <v>1390</v>
      </c>
      <c r="N1440">
        <v>51</v>
      </c>
      <c r="O1440">
        <v>134</v>
      </c>
      <c r="P1440">
        <v>0</v>
      </c>
      <c r="Q1440">
        <v>0</v>
      </c>
    </row>
    <row r="1441" spans="1:17" x14ac:dyDescent="0.2">
      <c r="A1441" s="121">
        <v>39752</v>
      </c>
      <c r="B1441" t="s">
        <v>406</v>
      </c>
      <c r="C1441" t="s">
        <v>577</v>
      </c>
      <c r="D1441" t="s">
        <v>611</v>
      </c>
      <c r="E1441" t="s">
        <v>612</v>
      </c>
      <c r="F1441" t="s">
        <v>410</v>
      </c>
      <c r="G1441">
        <v>4</v>
      </c>
      <c r="I1441">
        <v>4</v>
      </c>
    </row>
    <row r="1442" spans="1:17" x14ac:dyDescent="0.2">
      <c r="A1442" s="121">
        <v>39752</v>
      </c>
      <c r="B1442" t="s">
        <v>406</v>
      </c>
      <c r="C1442" t="s">
        <v>577</v>
      </c>
      <c r="D1442" t="s">
        <v>584</v>
      </c>
      <c r="E1442" t="s">
        <v>585</v>
      </c>
      <c r="F1442" t="s">
        <v>410</v>
      </c>
      <c r="G1442">
        <v>133</v>
      </c>
      <c r="H1442">
        <v>133</v>
      </c>
      <c r="I1442">
        <v>133</v>
      </c>
      <c r="J1442">
        <v>133</v>
      </c>
      <c r="K1442">
        <v>5</v>
      </c>
      <c r="L1442">
        <v>0</v>
      </c>
      <c r="M1442">
        <v>114</v>
      </c>
      <c r="N1442">
        <v>0</v>
      </c>
      <c r="O1442">
        <v>14</v>
      </c>
      <c r="P1442">
        <v>0</v>
      </c>
      <c r="Q1442">
        <v>0</v>
      </c>
    </row>
    <row r="1443" spans="1:17" x14ac:dyDescent="0.2">
      <c r="A1443" s="121">
        <v>39752</v>
      </c>
      <c r="B1443" t="s">
        <v>406</v>
      </c>
      <c r="C1443" t="s">
        <v>577</v>
      </c>
      <c r="D1443" t="s">
        <v>586</v>
      </c>
      <c r="E1443" t="s">
        <v>587</v>
      </c>
      <c r="F1443" t="s">
        <v>410</v>
      </c>
      <c r="G1443">
        <v>682</v>
      </c>
      <c r="H1443">
        <v>682</v>
      </c>
      <c r="I1443">
        <v>681</v>
      </c>
      <c r="J1443">
        <v>681</v>
      </c>
      <c r="K1443">
        <v>65</v>
      </c>
      <c r="L1443">
        <v>0</v>
      </c>
      <c r="M1443">
        <v>480</v>
      </c>
      <c r="N1443">
        <v>0</v>
      </c>
      <c r="O1443">
        <v>137</v>
      </c>
      <c r="P1443">
        <v>0</v>
      </c>
      <c r="Q1443">
        <v>0</v>
      </c>
    </row>
    <row r="1444" spans="1:17" x14ac:dyDescent="0.2">
      <c r="A1444" s="121">
        <v>39752</v>
      </c>
      <c r="B1444" t="s">
        <v>406</v>
      </c>
      <c r="C1444" t="s">
        <v>577</v>
      </c>
      <c r="D1444" t="s">
        <v>588</v>
      </c>
      <c r="E1444" t="s">
        <v>589</v>
      </c>
      <c r="F1444" t="s">
        <v>410</v>
      </c>
      <c r="G1444">
        <v>122</v>
      </c>
      <c r="H1444">
        <v>122</v>
      </c>
      <c r="I1444">
        <v>122</v>
      </c>
      <c r="J1444">
        <v>122</v>
      </c>
      <c r="K1444">
        <v>1</v>
      </c>
      <c r="L1444">
        <v>0</v>
      </c>
      <c r="M1444">
        <v>106</v>
      </c>
      <c r="N1444">
        <v>1</v>
      </c>
      <c r="O1444">
        <v>14</v>
      </c>
      <c r="P1444">
        <v>0</v>
      </c>
      <c r="Q1444">
        <v>0</v>
      </c>
    </row>
    <row r="1445" spans="1:17" x14ac:dyDescent="0.2">
      <c r="A1445" s="121">
        <v>39752</v>
      </c>
      <c r="B1445" t="s">
        <v>406</v>
      </c>
      <c r="C1445" t="s">
        <v>577</v>
      </c>
      <c r="D1445" t="s">
        <v>613</v>
      </c>
      <c r="E1445" t="s">
        <v>614</v>
      </c>
      <c r="F1445" t="s">
        <v>410</v>
      </c>
      <c r="G1445">
        <v>124</v>
      </c>
      <c r="I1445">
        <v>124</v>
      </c>
    </row>
    <row r="1446" spans="1:17" x14ac:dyDescent="0.2">
      <c r="A1446" s="121">
        <v>39752</v>
      </c>
      <c r="B1446" t="s">
        <v>406</v>
      </c>
      <c r="C1446" t="s">
        <v>577</v>
      </c>
      <c r="D1446" t="s">
        <v>590</v>
      </c>
      <c r="E1446" t="s">
        <v>591</v>
      </c>
      <c r="F1446" t="s">
        <v>410</v>
      </c>
      <c r="G1446">
        <v>278</v>
      </c>
      <c r="H1446">
        <v>278</v>
      </c>
      <c r="I1446">
        <v>278</v>
      </c>
      <c r="J1446">
        <v>278</v>
      </c>
      <c r="K1446">
        <v>15</v>
      </c>
      <c r="L1446">
        <v>0</v>
      </c>
      <c r="M1446">
        <v>253</v>
      </c>
      <c r="N1446">
        <v>0</v>
      </c>
      <c r="O1446">
        <v>10</v>
      </c>
      <c r="P1446">
        <v>0</v>
      </c>
      <c r="Q1446">
        <v>0</v>
      </c>
    </row>
    <row r="1447" spans="1:17" x14ac:dyDescent="0.2">
      <c r="A1447" s="121">
        <v>39752</v>
      </c>
      <c r="B1447" t="s">
        <v>406</v>
      </c>
      <c r="C1447" t="s">
        <v>577</v>
      </c>
      <c r="D1447" t="s">
        <v>607</v>
      </c>
      <c r="E1447" t="s">
        <v>608</v>
      </c>
      <c r="F1447" t="s">
        <v>410</v>
      </c>
      <c r="G1447">
        <v>43</v>
      </c>
      <c r="H1447">
        <v>43</v>
      </c>
      <c r="I1447">
        <v>43</v>
      </c>
      <c r="J1447">
        <v>43</v>
      </c>
      <c r="K1447">
        <v>0</v>
      </c>
      <c r="L1447">
        <v>0</v>
      </c>
      <c r="M1447">
        <v>43</v>
      </c>
      <c r="N1447">
        <v>0</v>
      </c>
      <c r="O1447">
        <v>0</v>
      </c>
      <c r="P1447">
        <v>0</v>
      </c>
      <c r="Q1447">
        <v>0</v>
      </c>
    </row>
    <row r="1448" spans="1:17" x14ac:dyDescent="0.2">
      <c r="A1448" s="121">
        <v>39752</v>
      </c>
      <c r="B1448" t="s">
        <v>406</v>
      </c>
      <c r="C1448" t="s">
        <v>577</v>
      </c>
      <c r="D1448" t="s">
        <v>592</v>
      </c>
      <c r="E1448" t="s">
        <v>593</v>
      </c>
      <c r="F1448" t="s">
        <v>410</v>
      </c>
      <c r="G1448">
        <v>257</v>
      </c>
      <c r="H1448">
        <v>257</v>
      </c>
      <c r="I1448">
        <v>256</v>
      </c>
      <c r="J1448">
        <v>256</v>
      </c>
      <c r="K1448">
        <v>16</v>
      </c>
      <c r="L1448">
        <v>0</v>
      </c>
      <c r="M1448">
        <v>183</v>
      </c>
      <c r="N1448">
        <v>0</v>
      </c>
      <c r="O1448">
        <v>58</v>
      </c>
      <c r="P1448">
        <v>0</v>
      </c>
      <c r="Q1448">
        <v>0</v>
      </c>
    </row>
    <row r="1449" spans="1:17" x14ac:dyDescent="0.2">
      <c r="A1449" s="121">
        <v>39752</v>
      </c>
      <c r="B1449" t="s">
        <v>406</v>
      </c>
      <c r="C1449" t="s">
        <v>594</v>
      </c>
      <c r="D1449" t="s">
        <v>595</v>
      </c>
      <c r="E1449" t="s">
        <v>596</v>
      </c>
      <c r="F1449" t="s">
        <v>410</v>
      </c>
      <c r="G1449">
        <v>8</v>
      </c>
      <c r="I1449">
        <v>8</v>
      </c>
    </row>
    <row r="1450" spans="1:17" x14ac:dyDescent="0.2">
      <c r="A1450" s="121">
        <v>39752</v>
      </c>
      <c r="B1450" t="s">
        <v>406</v>
      </c>
      <c r="C1450" t="s">
        <v>594</v>
      </c>
      <c r="D1450" t="s">
        <v>597</v>
      </c>
      <c r="E1450" t="s">
        <v>598</v>
      </c>
      <c r="F1450" t="s">
        <v>413</v>
      </c>
      <c r="G1450">
        <v>517</v>
      </c>
      <c r="H1450">
        <v>517</v>
      </c>
      <c r="I1450">
        <v>506</v>
      </c>
      <c r="J1450">
        <v>506</v>
      </c>
      <c r="K1450">
        <v>136</v>
      </c>
      <c r="L1450">
        <v>0</v>
      </c>
      <c r="M1450">
        <v>375</v>
      </c>
      <c r="N1450">
        <v>2</v>
      </c>
      <c r="O1450">
        <v>4</v>
      </c>
      <c r="P1450">
        <v>1</v>
      </c>
      <c r="Q1450">
        <v>0</v>
      </c>
    </row>
    <row r="1451" spans="1:17" x14ac:dyDescent="0.2">
      <c r="A1451" s="121">
        <v>39752</v>
      </c>
      <c r="B1451" t="s">
        <v>406</v>
      </c>
      <c r="C1451" t="s">
        <v>594</v>
      </c>
      <c r="D1451" t="s">
        <v>599</v>
      </c>
      <c r="E1451" t="s">
        <v>600</v>
      </c>
      <c r="F1451" t="s">
        <v>410</v>
      </c>
      <c r="G1451">
        <v>105</v>
      </c>
      <c r="I1451">
        <v>105</v>
      </c>
    </row>
    <row r="1452" spans="1:17" x14ac:dyDescent="0.2">
      <c r="A1452" s="121">
        <v>39782</v>
      </c>
      <c r="B1452" t="s">
        <v>406</v>
      </c>
      <c r="C1452" t="s">
        <v>407</v>
      </c>
      <c r="D1452" t="s">
        <v>408</v>
      </c>
      <c r="E1452" t="s">
        <v>409</v>
      </c>
      <c r="F1452" t="s">
        <v>410</v>
      </c>
      <c r="G1452">
        <v>185</v>
      </c>
      <c r="I1452">
        <v>185</v>
      </c>
    </row>
    <row r="1453" spans="1:17" x14ac:dyDescent="0.2">
      <c r="A1453" s="121">
        <v>39782</v>
      </c>
      <c r="B1453" t="s">
        <v>406</v>
      </c>
      <c r="C1453" t="s">
        <v>407</v>
      </c>
      <c r="D1453" t="s">
        <v>601</v>
      </c>
      <c r="E1453" t="s">
        <v>602</v>
      </c>
      <c r="F1453" t="s">
        <v>410</v>
      </c>
      <c r="G1453">
        <v>46</v>
      </c>
      <c r="I1453">
        <v>46</v>
      </c>
    </row>
    <row r="1454" spans="1:17" x14ac:dyDescent="0.2">
      <c r="A1454" s="121">
        <v>39782</v>
      </c>
      <c r="B1454" t="s">
        <v>406</v>
      </c>
      <c r="C1454" t="s">
        <v>407</v>
      </c>
      <c r="D1454" t="s">
        <v>411</v>
      </c>
      <c r="E1454" t="s">
        <v>412</v>
      </c>
      <c r="F1454" t="s">
        <v>413</v>
      </c>
      <c r="G1454">
        <v>5159</v>
      </c>
      <c r="H1454">
        <v>5159</v>
      </c>
      <c r="I1454">
        <v>5072</v>
      </c>
      <c r="J1454">
        <v>5072</v>
      </c>
      <c r="K1454">
        <v>2012</v>
      </c>
      <c r="L1454">
        <v>4</v>
      </c>
      <c r="M1454">
        <v>2917</v>
      </c>
      <c r="N1454">
        <v>62</v>
      </c>
      <c r="O1454">
        <v>164</v>
      </c>
      <c r="P1454">
        <v>1</v>
      </c>
      <c r="Q1454">
        <v>0</v>
      </c>
    </row>
    <row r="1455" spans="1:17" x14ac:dyDescent="0.2">
      <c r="A1455" s="121">
        <v>39782</v>
      </c>
      <c r="B1455" t="s">
        <v>406</v>
      </c>
      <c r="C1455" t="s">
        <v>407</v>
      </c>
      <c r="D1455" t="s">
        <v>414</v>
      </c>
      <c r="E1455" t="s">
        <v>415</v>
      </c>
      <c r="F1455" t="s">
        <v>410</v>
      </c>
      <c r="G1455">
        <v>65</v>
      </c>
      <c r="I1455">
        <v>65</v>
      </c>
    </row>
    <row r="1456" spans="1:17" x14ac:dyDescent="0.2">
      <c r="A1456" s="121">
        <v>39782</v>
      </c>
      <c r="B1456" t="s">
        <v>406</v>
      </c>
      <c r="C1456" t="s">
        <v>407</v>
      </c>
      <c r="D1456" t="s">
        <v>416</v>
      </c>
      <c r="E1456" t="s">
        <v>417</v>
      </c>
      <c r="F1456" t="s">
        <v>413</v>
      </c>
      <c r="G1456">
        <v>3247</v>
      </c>
      <c r="H1456">
        <v>3247</v>
      </c>
      <c r="I1456">
        <v>3180</v>
      </c>
      <c r="J1456">
        <v>3180</v>
      </c>
      <c r="K1456">
        <v>1190</v>
      </c>
      <c r="L1456">
        <v>2</v>
      </c>
      <c r="M1456">
        <v>1926</v>
      </c>
      <c r="N1456">
        <v>70</v>
      </c>
      <c r="O1456">
        <v>59</v>
      </c>
      <c r="P1456">
        <v>1</v>
      </c>
      <c r="Q1456">
        <v>0</v>
      </c>
    </row>
    <row r="1457" spans="1:17" x14ac:dyDescent="0.2">
      <c r="A1457" s="121">
        <v>39782</v>
      </c>
      <c r="B1457" t="s">
        <v>406</v>
      </c>
      <c r="C1457" t="s">
        <v>418</v>
      </c>
      <c r="D1457" t="s">
        <v>419</v>
      </c>
      <c r="E1457" t="s">
        <v>420</v>
      </c>
      <c r="F1457" t="s">
        <v>410</v>
      </c>
      <c r="G1457">
        <v>15</v>
      </c>
      <c r="I1457">
        <v>15</v>
      </c>
    </row>
    <row r="1458" spans="1:17" x14ac:dyDescent="0.2">
      <c r="A1458" s="121">
        <v>39782</v>
      </c>
      <c r="B1458" t="s">
        <v>406</v>
      </c>
      <c r="C1458" t="s">
        <v>418</v>
      </c>
      <c r="D1458" t="s">
        <v>421</v>
      </c>
      <c r="E1458" t="s">
        <v>422</v>
      </c>
      <c r="F1458" t="s">
        <v>410</v>
      </c>
      <c r="G1458">
        <v>86</v>
      </c>
      <c r="I1458">
        <v>86</v>
      </c>
    </row>
    <row r="1459" spans="1:17" x14ac:dyDescent="0.2">
      <c r="A1459" s="121">
        <v>39782</v>
      </c>
      <c r="B1459" t="s">
        <v>406</v>
      </c>
      <c r="C1459" t="s">
        <v>418</v>
      </c>
      <c r="D1459" t="s">
        <v>423</v>
      </c>
      <c r="E1459" t="s">
        <v>424</v>
      </c>
      <c r="F1459" t="s">
        <v>410</v>
      </c>
      <c r="G1459">
        <v>19</v>
      </c>
      <c r="I1459">
        <v>19</v>
      </c>
    </row>
    <row r="1460" spans="1:17" x14ac:dyDescent="0.2">
      <c r="A1460" s="121">
        <v>39782</v>
      </c>
      <c r="B1460" t="s">
        <v>406</v>
      </c>
      <c r="C1460" t="s">
        <v>418</v>
      </c>
      <c r="D1460" t="s">
        <v>425</v>
      </c>
      <c r="E1460" t="s">
        <v>426</v>
      </c>
      <c r="F1460" t="s">
        <v>410</v>
      </c>
      <c r="G1460">
        <v>92</v>
      </c>
      <c r="I1460">
        <v>92</v>
      </c>
    </row>
    <row r="1461" spans="1:17" x14ac:dyDescent="0.2">
      <c r="A1461" s="121">
        <v>39782</v>
      </c>
      <c r="B1461" t="s">
        <v>406</v>
      </c>
      <c r="C1461" t="s">
        <v>418</v>
      </c>
      <c r="D1461" t="s">
        <v>427</v>
      </c>
      <c r="E1461" t="s">
        <v>428</v>
      </c>
      <c r="F1461" t="s">
        <v>413</v>
      </c>
      <c r="G1461">
        <v>1797</v>
      </c>
      <c r="H1461">
        <v>1797</v>
      </c>
      <c r="I1461">
        <v>1763</v>
      </c>
      <c r="J1461">
        <v>1763</v>
      </c>
      <c r="K1461">
        <v>618</v>
      </c>
      <c r="L1461">
        <v>3</v>
      </c>
      <c r="M1461">
        <v>957</v>
      </c>
      <c r="N1461">
        <v>19</v>
      </c>
      <c r="O1461">
        <v>200</v>
      </c>
      <c r="P1461">
        <v>0</v>
      </c>
      <c r="Q1461">
        <v>0</v>
      </c>
    </row>
    <row r="1462" spans="1:17" x14ac:dyDescent="0.2">
      <c r="A1462" s="121">
        <v>39782</v>
      </c>
      <c r="B1462" t="s">
        <v>406</v>
      </c>
      <c r="C1462" t="s">
        <v>429</v>
      </c>
      <c r="D1462" t="s">
        <v>430</v>
      </c>
      <c r="E1462" t="s">
        <v>431</v>
      </c>
      <c r="F1462" t="s">
        <v>410</v>
      </c>
      <c r="G1462">
        <v>44</v>
      </c>
      <c r="I1462">
        <v>44</v>
      </c>
    </row>
    <row r="1463" spans="1:17" x14ac:dyDescent="0.2">
      <c r="A1463" s="121">
        <v>39782</v>
      </c>
      <c r="B1463" t="s">
        <v>406</v>
      </c>
      <c r="C1463" t="s">
        <v>429</v>
      </c>
      <c r="D1463" t="s">
        <v>432</v>
      </c>
      <c r="E1463" t="s">
        <v>433</v>
      </c>
      <c r="F1463" t="s">
        <v>410</v>
      </c>
      <c r="G1463">
        <v>34</v>
      </c>
      <c r="I1463">
        <v>34</v>
      </c>
    </row>
    <row r="1464" spans="1:17" x14ac:dyDescent="0.2">
      <c r="A1464" s="121">
        <v>39782</v>
      </c>
      <c r="B1464" t="s">
        <v>406</v>
      </c>
      <c r="C1464" t="s">
        <v>429</v>
      </c>
      <c r="D1464" t="s">
        <v>434</v>
      </c>
      <c r="E1464" t="s">
        <v>435</v>
      </c>
      <c r="F1464" t="s">
        <v>410</v>
      </c>
      <c r="G1464">
        <v>9</v>
      </c>
      <c r="I1464">
        <v>9</v>
      </c>
    </row>
    <row r="1465" spans="1:17" x14ac:dyDescent="0.2">
      <c r="A1465" s="121">
        <v>39782</v>
      </c>
      <c r="B1465" t="s">
        <v>406</v>
      </c>
      <c r="C1465" t="s">
        <v>429</v>
      </c>
      <c r="D1465" t="s">
        <v>436</v>
      </c>
      <c r="E1465" t="s">
        <v>437</v>
      </c>
      <c r="F1465" t="s">
        <v>410</v>
      </c>
      <c r="G1465">
        <v>45</v>
      </c>
      <c r="I1465">
        <v>45</v>
      </c>
    </row>
    <row r="1466" spans="1:17" x14ac:dyDescent="0.2">
      <c r="A1466" s="121">
        <v>39782</v>
      </c>
      <c r="B1466" t="s">
        <v>406</v>
      </c>
      <c r="C1466" t="s">
        <v>429</v>
      </c>
      <c r="D1466" t="s">
        <v>438</v>
      </c>
      <c r="E1466" t="s">
        <v>439</v>
      </c>
      <c r="F1466" t="s">
        <v>413</v>
      </c>
      <c r="G1466">
        <v>976</v>
      </c>
      <c r="H1466">
        <v>976</v>
      </c>
      <c r="I1466">
        <v>961</v>
      </c>
      <c r="J1466">
        <v>961</v>
      </c>
      <c r="K1466">
        <v>97</v>
      </c>
      <c r="L1466">
        <v>0</v>
      </c>
      <c r="M1466">
        <v>865</v>
      </c>
      <c r="N1466">
        <v>14</v>
      </c>
      <c r="O1466">
        <v>0</v>
      </c>
      <c r="P1466">
        <v>0</v>
      </c>
      <c r="Q1466">
        <v>0</v>
      </c>
    </row>
    <row r="1467" spans="1:17" x14ac:dyDescent="0.2">
      <c r="A1467" s="121">
        <v>39782</v>
      </c>
      <c r="B1467" t="s">
        <v>406</v>
      </c>
      <c r="C1467" t="s">
        <v>429</v>
      </c>
      <c r="D1467" t="s">
        <v>440</v>
      </c>
      <c r="E1467" t="s">
        <v>441</v>
      </c>
      <c r="F1467" t="s">
        <v>413</v>
      </c>
      <c r="G1467">
        <v>2802</v>
      </c>
      <c r="H1467">
        <v>2802</v>
      </c>
      <c r="I1467">
        <v>2723</v>
      </c>
      <c r="J1467">
        <v>2723</v>
      </c>
      <c r="K1467">
        <v>1024</v>
      </c>
      <c r="L1467">
        <v>2</v>
      </c>
      <c r="M1467">
        <v>1736</v>
      </c>
      <c r="N1467">
        <v>12</v>
      </c>
      <c r="O1467">
        <v>28</v>
      </c>
      <c r="P1467">
        <v>1</v>
      </c>
      <c r="Q1467">
        <v>0</v>
      </c>
    </row>
    <row r="1468" spans="1:17" x14ac:dyDescent="0.2">
      <c r="A1468" s="121">
        <v>39782</v>
      </c>
      <c r="B1468" t="s">
        <v>406</v>
      </c>
      <c r="C1468" t="s">
        <v>442</v>
      </c>
      <c r="D1468" t="s">
        <v>443</v>
      </c>
      <c r="E1468" t="s">
        <v>444</v>
      </c>
      <c r="F1468" t="s">
        <v>413</v>
      </c>
      <c r="G1468">
        <v>3219</v>
      </c>
      <c r="H1468">
        <v>3219</v>
      </c>
      <c r="I1468">
        <v>3098</v>
      </c>
      <c r="J1468">
        <v>3098</v>
      </c>
      <c r="K1468">
        <v>478</v>
      </c>
      <c r="L1468">
        <v>5</v>
      </c>
      <c r="M1468">
        <v>2490</v>
      </c>
      <c r="N1468">
        <v>38</v>
      </c>
      <c r="O1468">
        <v>208</v>
      </c>
      <c r="P1468">
        <v>12</v>
      </c>
      <c r="Q1468">
        <v>3</v>
      </c>
    </row>
    <row r="1469" spans="1:17" x14ac:dyDescent="0.2">
      <c r="A1469" s="121">
        <v>39782</v>
      </c>
      <c r="B1469" t="s">
        <v>406</v>
      </c>
      <c r="C1469" t="s">
        <v>442</v>
      </c>
      <c r="D1469" t="s">
        <v>445</v>
      </c>
      <c r="E1469" t="s">
        <v>446</v>
      </c>
      <c r="F1469" t="s">
        <v>410</v>
      </c>
      <c r="G1469">
        <v>161</v>
      </c>
      <c r="I1469">
        <v>161</v>
      </c>
    </row>
    <row r="1470" spans="1:17" x14ac:dyDescent="0.2">
      <c r="A1470" s="121">
        <v>39782</v>
      </c>
      <c r="B1470" t="s">
        <v>406</v>
      </c>
      <c r="C1470" t="s">
        <v>442</v>
      </c>
      <c r="D1470" t="s">
        <v>447</v>
      </c>
      <c r="E1470" t="s">
        <v>448</v>
      </c>
      <c r="F1470" t="s">
        <v>410</v>
      </c>
      <c r="G1470">
        <v>252</v>
      </c>
      <c r="I1470">
        <v>252</v>
      </c>
    </row>
    <row r="1471" spans="1:17" x14ac:dyDescent="0.2">
      <c r="A1471" s="121">
        <v>39782</v>
      </c>
      <c r="B1471" t="s">
        <v>406</v>
      </c>
      <c r="C1471" t="s">
        <v>442</v>
      </c>
      <c r="D1471" t="s">
        <v>449</v>
      </c>
      <c r="E1471" t="s">
        <v>450</v>
      </c>
      <c r="F1471" t="s">
        <v>413</v>
      </c>
      <c r="G1471">
        <v>2934</v>
      </c>
      <c r="H1471">
        <v>2934</v>
      </c>
      <c r="I1471">
        <v>2844</v>
      </c>
      <c r="J1471">
        <v>2844</v>
      </c>
      <c r="K1471">
        <v>511</v>
      </c>
      <c r="L1471">
        <v>6</v>
      </c>
      <c r="M1471">
        <v>2235</v>
      </c>
      <c r="N1471">
        <v>22</v>
      </c>
      <c r="O1471">
        <v>160</v>
      </c>
      <c r="P1471">
        <v>17</v>
      </c>
      <c r="Q1471">
        <v>10</v>
      </c>
    </row>
    <row r="1472" spans="1:17" x14ac:dyDescent="0.2">
      <c r="A1472" s="121">
        <v>39782</v>
      </c>
      <c r="B1472" t="s">
        <v>406</v>
      </c>
      <c r="C1472" t="s">
        <v>451</v>
      </c>
      <c r="D1472" t="s">
        <v>452</v>
      </c>
      <c r="E1472" t="s">
        <v>453</v>
      </c>
      <c r="F1472" t="s">
        <v>410</v>
      </c>
      <c r="G1472">
        <v>1576</v>
      </c>
      <c r="H1472">
        <v>1576</v>
      </c>
      <c r="I1472">
        <v>1574</v>
      </c>
      <c r="J1472">
        <v>1574</v>
      </c>
      <c r="K1472">
        <v>0</v>
      </c>
      <c r="L1472">
        <v>0</v>
      </c>
      <c r="M1472">
        <v>1097</v>
      </c>
      <c r="N1472">
        <v>199</v>
      </c>
      <c r="O1472">
        <v>280</v>
      </c>
      <c r="P1472">
        <v>0</v>
      </c>
      <c r="Q1472">
        <v>0</v>
      </c>
    </row>
    <row r="1473" spans="1:17" x14ac:dyDescent="0.2">
      <c r="A1473" s="121">
        <v>39782</v>
      </c>
      <c r="B1473" t="s">
        <v>406</v>
      </c>
      <c r="C1473" t="s">
        <v>451</v>
      </c>
      <c r="D1473" t="s">
        <v>454</v>
      </c>
      <c r="E1473" t="s">
        <v>455</v>
      </c>
      <c r="F1473" t="s">
        <v>413</v>
      </c>
      <c r="G1473">
        <v>4088</v>
      </c>
      <c r="H1473">
        <v>4088</v>
      </c>
      <c r="I1473">
        <v>3984</v>
      </c>
      <c r="J1473">
        <v>3984</v>
      </c>
      <c r="K1473">
        <v>1116</v>
      </c>
      <c r="L1473">
        <v>5</v>
      </c>
      <c r="M1473">
        <v>2351</v>
      </c>
      <c r="N1473">
        <v>36</v>
      </c>
      <c r="O1473">
        <v>580</v>
      </c>
      <c r="P1473">
        <v>3</v>
      </c>
      <c r="Q1473">
        <v>0</v>
      </c>
    </row>
    <row r="1474" spans="1:17" x14ac:dyDescent="0.2">
      <c r="A1474" s="121">
        <v>39782</v>
      </c>
      <c r="B1474" t="s">
        <v>406</v>
      </c>
      <c r="C1474" t="s">
        <v>456</v>
      </c>
      <c r="D1474" t="s">
        <v>457</v>
      </c>
      <c r="E1474" t="s">
        <v>458</v>
      </c>
      <c r="F1474" t="s">
        <v>413</v>
      </c>
      <c r="G1474">
        <v>5116</v>
      </c>
      <c r="H1474">
        <v>5116</v>
      </c>
      <c r="I1474">
        <v>4850</v>
      </c>
      <c r="J1474">
        <v>4850</v>
      </c>
      <c r="K1474">
        <v>1293</v>
      </c>
      <c r="L1474">
        <v>23</v>
      </c>
      <c r="M1474">
        <v>3677</v>
      </c>
      <c r="N1474">
        <v>81</v>
      </c>
      <c r="O1474">
        <v>42</v>
      </c>
      <c r="P1474">
        <v>22</v>
      </c>
      <c r="Q1474">
        <v>2</v>
      </c>
    </row>
    <row r="1475" spans="1:17" x14ac:dyDescent="0.2">
      <c r="A1475" s="121">
        <v>39782</v>
      </c>
      <c r="B1475" t="s">
        <v>406</v>
      </c>
      <c r="C1475" t="s">
        <v>456</v>
      </c>
      <c r="D1475" t="s">
        <v>459</v>
      </c>
      <c r="E1475" t="s">
        <v>460</v>
      </c>
      <c r="F1475" t="s">
        <v>413</v>
      </c>
      <c r="G1475">
        <v>1324</v>
      </c>
      <c r="H1475">
        <v>1324</v>
      </c>
      <c r="I1475">
        <v>1321</v>
      </c>
      <c r="J1475">
        <v>1321</v>
      </c>
      <c r="K1475">
        <v>385</v>
      </c>
      <c r="L1475">
        <v>0</v>
      </c>
      <c r="M1475">
        <v>939</v>
      </c>
      <c r="N1475">
        <v>0</v>
      </c>
      <c r="O1475">
        <v>0</v>
      </c>
      <c r="P1475">
        <v>0</v>
      </c>
      <c r="Q1475">
        <v>0</v>
      </c>
    </row>
    <row r="1476" spans="1:17" x14ac:dyDescent="0.2">
      <c r="A1476" s="121">
        <v>39782</v>
      </c>
      <c r="B1476" t="s">
        <v>406</v>
      </c>
      <c r="C1476" t="s">
        <v>456</v>
      </c>
      <c r="D1476" t="s">
        <v>461</v>
      </c>
      <c r="E1476" t="s">
        <v>462</v>
      </c>
      <c r="F1476" t="s">
        <v>410</v>
      </c>
      <c r="G1476">
        <v>60</v>
      </c>
      <c r="I1476">
        <v>60</v>
      </c>
    </row>
    <row r="1477" spans="1:17" x14ac:dyDescent="0.2">
      <c r="A1477" s="121">
        <v>39782</v>
      </c>
      <c r="B1477" t="s">
        <v>406</v>
      </c>
      <c r="C1477" t="s">
        <v>456</v>
      </c>
      <c r="D1477" t="s">
        <v>463</v>
      </c>
      <c r="E1477" t="s">
        <v>464</v>
      </c>
      <c r="F1477" t="s">
        <v>410</v>
      </c>
      <c r="G1477">
        <v>32</v>
      </c>
      <c r="I1477">
        <v>32</v>
      </c>
    </row>
    <row r="1478" spans="1:17" x14ac:dyDescent="0.2">
      <c r="A1478" s="121">
        <v>39782</v>
      </c>
      <c r="B1478" t="s">
        <v>406</v>
      </c>
      <c r="C1478" t="s">
        <v>456</v>
      </c>
      <c r="D1478" t="s">
        <v>465</v>
      </c>
      <c r="E1478" t="s">
        <v>466</v>
      </c>
      <c r="F1478" t="s">
        <v>410</v>
      </c>
      <c r="G1478">
        <v>61</v>
      </c>
      <c r="I1478">
        <v>61</v>
      </c>
    </row>
    <row r="1479" spans="1:17" x14ac:dyDescent="0.2">
      <c r="A1479" s="121">
        <v>39782</v>
      </c>
      <c r="B1479" t="s">
        <v>406</v>
      </c>
      <c r="C1479" t="s">
        <v>456</v>
      </c>
      <c r="D1479" t="s">
        <v>467</v>
      </c>
      <c r="E1479" t="s">
        <v>468</v>
      </c>
      <c r="F1479" t="s">
        <v>410</v>
      </c>
      <c r="G1479">
        <v>1006</v>
      </c>
      <c r="I1479">
        <v>1004</v>
      </c>
    </row>
    <row r="1480" spans="1:17" x14ac:dyDescent="0.2">
      <c r="A1480" s="121">
        <v>39782</v>
      </c>
      <c r="B1480" t="s">
        <v>406</v>
      </c>
      <c r="C1480" t="s">
        <v>456</v>
      </c>
      <c r="D1480" t="s">
        <v>469</v>
      </c>
      <c r="E1480" t="s">
        <v>470</v>
      </c>
      <c r="F1480" t="s">
        <v>410</v>
      </c>
      <c r="G1480">
        <v>638</v>
      </c>
      <c r="I1480">
        <v>632</v>
      </c>
    </row>
    <row r="1481" spans="1:17" x14ac:dyDescent="0.2">
      <c r="A1481" s="121">
        <v>39782</v>
      </c>
      <c r="B1481" t="s">
        <v>406</v>
      </c>
      <c r="C1481" t="s">
        <v>456</v>
      </c>
      <c r="D1481" t="s">
        <v>471</v>
      </c>
      <c r="E1481" t="s">
        <v>472</v>
      </c>
      <c r="F1481" t="s">
        <v>410</v>
      </c>
      <c r="G1481">
        <v>201</v>
      </c>
      <c r="I1481">
        <v>201</v>
      </c>
    </row>
    <row r="1482" spans="1:17" x14ac:dyDescent="0.2">
      <c r="A1482" s="121">
        <v>39782</v>
      </c>
      <c r="B1482" t="s">
        <v>406</v>
      </c>
      <c r="C1482" t="s">
        <v>456</v>
      </c>
      <c r="D1482" t="s">
        <v>473</v>
      </c>
      <c r="E1482" t="s">
        <v>474</v>
      </c>
      <c r="F1482" t="s">
        <v>410</v>
      </c>
      <c r="G1482">
        <v>157</v>
      </c>
      <c r="I1482">
        <v>157</v>
      </c>
    </row>
    <row r="1483" spans="1:17" x14ac:dyDescent="0.2">
      <c r="A1483" s="121">
        <v>39782</v>
      </c>
      <c r="B1483" t="s">
        <v>406</v>
      </c>
      <c r="C1483" t="s">
        <v>456</v>
      </c>
      <c r="D1483" t="s">
        <v>475</v>
      </c>
      <c r="E1483" t="s">
        <v>476</v>
      </c>
      <c r="F1483" t="s">
        <v>410</v>
      </c>
      <c r="G1483">
        <v>263</v>
      </c>
      <c r="I1483">
        <v>263</v>
      </c>
    </row>
    <row r="1484" spans="1:17" x14ac:dyDescent="0.2">
      <c r="A1484" s="121">
        <v>39782</v>
      </c>
      <c r="B1484" t="s">
        <v>406</v>
      </c>
      <c r="C1484" t="s">
        <v>456</v>
      </c>
      <c r="D1484" t="s">
        <v>477</v>
      </c>
      <c r="E1484" t="s">
        <v>478</v>
      </c>
      <c r="F1484" t="s">
        <v>413</v>
      </c>
      <c r="G1484">
        <v>1688</v>
      </c>
      <c r="H1484">
        <v>1688</v>
      </c>
      <c r="I1484">
        <v>1583</v>
      </c>
      <c r="J1484">
        <v>1583</v>
      </c>
      <c r="K1484">
        <v>523</v>
      </c>
      <c r="L1484">
        <v>4</v>
      </c>
      <c r="M1484">
        <v>1126</v>
      </c>
      <c r="N1484">
        <v>12</v>
      </c>
      <c r="O1484">
        <v>23</v>
      </c>
      <c r="P1484">
        <v>4</v>
      </c>
      <c r="Q1484">
        <v>2</v>
      </c>
    </row>
    <row r="1485" spans="1:17" x14ac:dyDescent="0.2">
      <c r="A1485" s="121">
        <v>39782</v>
      </c>
      <c r="B1485" t="s">
        <v>406</v>
      </c>
      <c r="C1485" t="s">
        <v>456</v>
      </c>
      <c r="D1485" t="s">
        <v>479</v>
      </c>
      <c r="E1485" t="s">
        <v>480</v>
      </c>
      <c r="F1485" t="s">
        <v>410</v>
      </c>
      <c r="G1485">
        <v>61</v>
      </c>
      <c r="I1485">
        <v>61</v>
      </c>
    </row>
    <row r="1486" spans="1:17" x14ac:dyDescent="0.2">
      <c r="A1486" s="121">
        <v>39782</v>
      </c>
      <c r="B1486" t="s">
        <v>406</v>
      </c>
      <c r="C1486" t="s">
        <v>456</v>
      </c>
      <c r="D1486" t="s">
        <v>481</v>
      </c>
      <c r="E1486" t="s">
        <v>482</v>
      </c>
      <c r="F1486" t="s">
        <v>410</v>
      </c>
      <c r="G1486">
        <v>24</v>
      </c>
      <c r="I1486">
        <v>24</v>
      </c>
    </row>
    <row r="1487" spans="1:17" x14ac:dyDescent="0.2">
      <c r="A1487" s="121">
        <v>39782</v>
      </c>
      <c r="B1487" t="s">
        <v>406</v>
      </c>
      <c r="C1487" t="s">
        <v>456</v>
      </c>
      <c r="D1487" t="s">
        <v>483</v>
      </c>
      <c r="E1487" t="s">
        <v>484</v>
      </c>
      <c r="F1487" t="s">
        <v>410</v>
      </c>
      <c r="G1487">
        <v>105</v>
      </c>
      <c r="I1487">
        <v>105</v>
      </c>
    </row>
    <row r="1488" spans="1:17" x14ac:dyDescent="0.2">
      <c r="A1488" s="121">
        <v>39782</v>
      </c>
      <c r="B1488" t="s">
        <v>406</v>
      </c>
      <c r="C1488" t="s">
        <v>456</v>
      </c>
      <c r="D1488" t="s">
        <v>485</v>
      </c>
      <c r="E1488" t="s">
        <v>486</v>
      </c>
      <c r="F1488" t="s">
        <v>410</v>
      </c>
      <c r="G1488">
        <v>44</v>
      </c>
      <c r="I1488">
        <v>44</v>
      </c>
    </row>
    <row r="1489" spans="1:17" x14ac:dyDescent="0.2">
      <c r="A1489" s="121">
        <v>39782</v>
      </c>
      <c r="B1489" t="s">
        <v>406</v>
      </c>
      <c r="C1489" t="s">
        <v>456</v>
      </c>
      <c r="D1489" t="s">
        <v>487</v>
      </c>
      <c r="E1489" t="s">
        <v>488</v>
      </c>
      <c r="F1489" t="s">
        <v>410</v>
      </c>
      <c r="G1489">
        <v>25</v>
      </c>
      <c r="I1489">
        <v>25</v>
      </c>
    </row>
    <row r="1490" spans="1:17" x14ac:dyDescent="0.2">
      <c r="A1490" s="121">
        <v>39782</v>
      </c>
      <c r="B1490" t="s">
        <v>406</v>
      </c>
      <c r="C1490" t="s">
        <v>456</v>
      </c>
      <c r="D1490" t="s">
        <v>489</v>
      </c>
      <c r="E1490" t="s">
        <v>490</v>
      </c>
      <c r="F1490" t="s">
        <v>410</v>
      </c>
      <c r="G1490">
        <v>102</v>
      </c>
      <c r="H1490">
        <v>102</v>
      </c>
      <c r="I1490">
        <v>102</v>
      </c>
      <c r="J1490">
        <v>102</v>
      </c>
      <c r="K1490">
        <v>0</v>
      </c>
      <c r="L1490">
        <v>0</v>
      </c>
      <c r="M1490">
        <v>86</v>
      </c>
      <c r="N1490">
        <v>16</v>
      </c>
      <c r="O1490">
        <v>0</v>
      </c>
      <c r="P1490">
        <v>0</v>
      </c>
      <c r="Q1490">
        <v>0</v>
      </c>
    </row>
    <row r="1491" spans="1:17" x14ac:dyDescent="0.2">
      <c r="A1491" s="121">
        <v>39782</v>
      </c>
      <c r="B1491" t="s">
        <v>406</v>
      </c>
      <c r="C1491" t="s">
        <v>491</v>
      </c>
      <c r="D1491" t="s">
        <v>492</v>
      </c>
      <c r="E1491" t="s">
        <v>493</v>
      </c>
      <c r="F1491" t="s">
        <v>410</v>
      </c>
      <c r="G1491">
        <v>1124</v>
      </c>
      <c r="H1491">
        <v>1124</v>
      </c>
      <c r="I1491">
        <v>1101</v>
      </c>
      <c r="J1491">
        <v>1101</v>
      </c>
      <c r="K1491">
        <v>300</v>
      </c>
      <c r="L1491">
        <v>0</v>
      </c>
      <c r="M1491">
        <v>2</v>
      </c>
      <c r="N1491">
        <v>85</v>
      </c>
      <c r="O1491">
        <v>737</v>
      </c>
      <c r="P1491">
        <v>2</v>
      </c>
      <c r="Q1491">
        <v>0</v>
      </c>
    </row>
    <row r="1492" spans="1:17" x14ac:dyDescent="0.2">
      <c r="A1492" s="121">
        <v>39782</v>
      </c>
      <c r="B1492" t="s">
        <v>406</v>
      </c>
      <c r="C1492" t="s">
        <v>491</v>
      </c>
      <c r="D1492" t="s">
        <v>494</v>
      </c>
      <c r="E1492" t="s">
        <v>495</v>
      </c>
      <c r="F1492" t="s">
        <v>413</v>
      </c>
      <c r="G1492">
        <v>2493</v>
      </c>
      <c r="H1492">
        <v>2493</v>
      </c>
      <c r="I1492">
        <v>2450</v>
      </c>
      <c r="J1492">
        <v>2450</v>
      </c>
      <c r="K1492">
        <v>600</v>
      </c>
      <c r="L1492">
        <v>0</v>
      </c>
      <c r="M1492">
        <v>3</v>
      </c>
      <c r="N1492">
        <v>60</v>
      </c>
      <c r="O1492">
        <v>1830</v>
      </c>
      <c r="P1492">
        <v>0</v>
      </c>
      <c r="Q1492">
        <v>0</v>
      </c>
    </row>
    <row r="1493" spans="1:17" x14ac:dyDescent="0.2">
      <c r="A1493" s="121">
        <v>39782</v>
      </c>
      <c r="B1493" t="s">
        <v>406</v>
      </c>
      <c r="C1493" t="s">
        <v>491</v>
      </c>
      <c r="D1493" t="s">
        <v>496</v>
      </c>
      <c r="E1493" t="s">
        <v>497</v>
      </c>
      <c r="F1493" t="s">
        <v>413</v>
      </c>
      <c r="G1493">
        <v>5584</v>
      </c>
      <c r="H1493">
        <v>5584</v>
      </c>
      <c r="I1493">
        <v>5428</v>
      </c>
      <c r="J1493">
        <v>5428</v>
      </c>
      <c r="K1493">
        <v>1715</v>
      </c>
      <c r="L1493">
        <v>0</v>
      </c>
      <c r="M1493">
        <v>81</v>
      </c>
      <c r="N1493">
        <v>68</v>
      </c>
      <c r="O1493">
        <v>3720</v>
      </c>
      <c r="P1493">
        <v>3</v>
      </c>
      <c r="Q1493">
        <v>0</v>
      </c>
    </row>
    <row r="1494" spans="1:17" x14ac:dyDescent="0.2">
      <c r="A1494" s="121">
        <v>39782</v>
      </c>
      <c r="B1494" t="s">
        <v>406</v>
      </c>
      <c r="C1494" t="s">
        <v>491</v>
      </c>
      <c r="D1494" t="s">
        <v>498</v>
      </c>
      <c r="E1494" t="s">
        <v>499</v>
      </c>
      <c r="F1494" t="s">
        <v>413</v>
      </c>
      <c r="G1494">
        <v>6258</v>
      </c>
      <c r="H1494">
        <v>6258</v>
      </c>
      <c r="I1494">
        <v>6060</v>
      </c>
      <c r="J1494">
        <v>6060</v>
      </c>
      <c r="K1494">
        <v>1970</v>
      </c>
      <c r="L1494">
        <v>14</v>
      </c>
      <c r="M1494">
        <v>3804</v>
      </c>
      <c r="N1494">
        <v>126</v>
      </c>
      <c r="O1494">
        <v>344</v>
      </c>
      <c r="P1494">
        <v>5</v>
      </c>
      <c r="Q1494">
        <v>1</v>
      </c>
    </row>
    <row r="1495" spans="1:17" x14ac:dyDescent="0.2">
      <c r="A1495" s="121">
        <v>39782</v>
      </c>
      <c r="B1495" t="s">
        <v>406</v>
      </c>
      <c r="C1495" t="s">
        <v>491</v>
      </c>
      <c r="D1495" t="s">
        <v>500</v>
      </c>
      <c r="E1495" t="s">
        <v>501</v>
      </c>
      <c r="F1495" t="s">
        <v>413</v>
      </c>
      <c r="G1495">
        <v>3344</v>
      </c>
      <c r="H1495">
        <v>3344</v>
      </c>
      <c r="I1495">
        <v>3333</v>
      </c>
      <c r="J1495">
        <v>3333</v>
      </c>
      <c r="K1495">
        <v>983</v>
      </c>
      <c r="L1495">
        <v>0</v>
      </c>
      <c r="M1495">
        <v>2155</v>
      </c>
      <c r="N1495">
        <v>43</v>
      </c>
      <c r="O1495">
        <v>163</v>
      </c>
      <c r="P1495">
        <v>0</v>
      </c>
      <c r="Q1495">
        <v>0</v>
      </c>
    </row>
    <row r="1496" spans="1:17" x14ac:dyDescent="0.2">
      <c r="A1496" s="121">
        <v>39782</v>
      </c>
      <c r="B1496" t="s">
        <v>406</v>
      </c>
      <c r="C1496" t="s">
        <v>491</v>
      </c>
      <c r="D1496" t="s">
        <v>502</v>
      </c>
      <c r="E1496" t="s">
        <v>503</v>
      </c>
      <c r="F1496" t="s">
        <v>413</v>
      </c>
      <c r="G1496">
        <v>5472</v>
      </c>
      <c r="H1496">
        <v>5472</v>
      </c>
      <c r="I1496">
        <v>5423</v>
      </c>
      <c r="J1496">
        <v>5423</v>
      </c>
      <c r="K1496">
        <v>1484</v>
      </c>
      <c r="L1496">
        <v>8</v>
      </c>
      <c r="M1496">
        <v>3817</v>
      </c>
      <c r="N1496">
        <v>120</v>
      </c>
      <c r="O1496">
        <v>43</v>
      </c>
      <c r="P1496">
        <v>0</v>
      </c>
      <c r="Q1496">
        <v>0</v>
      </c>
    </row>
    <row r="1497" spans="1:17" x14ac:dyDescent="0.2">
      <c r="A1497" s="121">
        <v>39782</v>
      </c>
      <c r="B1497" t="s">
        <v>406</v>
      </c>
      <c r="C1497" t="s">
        <v>491</v>
      </c>
      <c r="D1497" t="s">
        <v>504</v>
      </c>
      <c r="E1497" t="s">
        <v>505</v>
      </c>
      <c r="F1497" t="s">
        <v>413</v>
      </c>
      <c r="G1497">
        <v>3726</v>
      </c>
      <c r="H1497">
        <v>3726</v>
      </c>
      <c r="I1497">
        <v>3687</v>
      </c>
      <c r="J1497">
        <v>3687</v>
      </c>
      <c r="K1497">
        <v>1134</v>
      </c>
      <c r="L1497">
        <v>4</v>
      </c>
      <c r="M1497">
        <v>2509</v>
      </c>
      <c r="N1497">
        <v>34</v>
      </c>
      <c r="O1497">
        <v>45</v>
      </c>
      <c r="P1497">
        <v>2</v>
      </c>
      <c r="Q1497">
        <v>0</v>
      </c>
    </row>
    <row r="1498" spans="1:17" x14ac:dyDescent="0.2">
      <c r="A1498" s="121">
        <v>39782</v>
      </c>
      <c r="B1498" t="s">
        <v>406</v>
      </c>
      <c r="C1498" t="s">
        <v>491</v>
      </c>
      <c r="D1498" t="s">
        <v>506</v>
      </c>
      <c r="E1498" t="s">
        <v>507</v>
      </c>
      <c r="F1498" t="s">
        <v>413</v>
      </c>
      <c r="G1498">
        <v>3970</v>
      </c>
      <c r="H1498">
        <v>3970</v>
      </c>
      <c r="I1498">
        <v>3913</v>
      </c>
      <c r="J1498">
        <v>3913</v>
      </c>
      <c r="K1498">
        <v>578</v>
      </c>
      <c r="L1498">
        <v>0</v>
      </c>
      <c r="M1498">
        <v>3382</v>
      </c>
      <c r="N1498">
        <v>1</v>
      </c>
      <c r="O1498">
        <v>9</v>
      </c>
      <c r="P1498">
        <v>3</v>
      </c>
      <c r="Q1498">
        <v>2</v>
      </c>
    </row>
    <row r="1499" spans="1:17" x14ac:dyDescent="0.2">
      <c r="A1499" s="121">
        <v>39782</v>
      </c>
      <c r="B1499" t="s">
        <v>406</v>
      </c>
      <c r="C1499" t="s">
        <v>491</v>
      </c>
      <c r="D1499" t="s">
        <v>508</v>
      </c>
      <c r="E1499" t="s">
        <v>509</v>
      </c>
      <c r="F1499" t="s">
        <v>413</v>
      </c>
      <c r="G1499">
        <v>4939</v>
      </c>
      <c r="H1499">
        <v>4939</v>
      </c>
      <c r="I1499">
        <v>4684</v>
      </c>
      <c r="J1499">
        <v>4684</v>
      </c>
      <c r="K1499">
        <v>1645</v>
      </c>
      <c r="L1499">
        <v>8</v>
      </c>
      <c r="M1499">
        <v>2772</v>
      </c>
      <c r="N1499">
        <v>134</v>
      </c>
      <c r="O1499">
        <v>380</v>
      </c>
      <c r="P1499">
        <v>6</v>
      </c>
      <c r="Q1499">
        <v>0</v>
      </c>
    </row>
    <row r="1500" spans="1:17" x14ac:dyDescent="0.2">
      <c r="A1500" s="121">
        <v>39782</v>
      </c>
      <c r="B1500" t="s">
        <v>406</v>
      </c>
      <c r="C1500" t="s">
        <v>510</v>
      </c>
      <c r="D1500" t="s">
        <v>511</v>
      </c>
      <c r="E1500" t="s">
        <v>512</v>
      </c>
      <c r="F1500" t="s">
        <v>410</v>
      </c>
      <c r="G1500">
        <v>460</v>
      </c>
      <c r="I1500">
        <v>447</v>
      </c>
    </row>
    <row r="1501" spans="1:17" x14ac:dyDescent="0.2">
      <c r="A1501" s="121">
        <v>39782</v>
      </c>
      <c r="B1501" t="s">
        <v>406</v>
      </c>
      <c r="C1501" t="s">
        <v>510</v>
      </c>
      <c r="D1501" t="s">
        <v>513</v>
      </c>
      <c r="E1501" t="s">
        <v>514</v>
      </c>
      <c r="F1501" t="s">
        <v>410</v>
      </c>
      <c r="G1501">
        <v>489</v>
      </c>
      <c r="I1501">
        <v>488</v>
      </c>
    </row>
    <row r="1502" spans="1:17" x14ac:dyDescent="0.2">
      <c r="A1502" s="121">
        <v>39782</v>
      </c>
      <c r="B1502" t="s">
        <v>406</v>
      </c>
      <c r="C1502" t="s">
        <v>510</v>
      </c>
      <c r="D1502" t="s">
        <v>515</v>
      </c>
      <c r="E1502" t="s">
        <v>516</v>
      </c>
      <c r="F1502" t="s">
        <v>410</v>
      </c>
      <c r="G1502">
        <v>82</v>
      </c>
      <c r="I1502">
        <v>82</v>
      </c>
    </row>
    <row r="1503" spans="1:17" x14ac:dyDescent="0.2">
      <c r="A1503" s="121">
        <v>39782</v>
      </c>
      <c r="B1503" t="s">
        <v>406</v>
      </c>
      <c r="C1503" t="s">
        <v>510</v>
      </c>
      <c r="D1503" t="s">
        <v>517</v>
      </c>
      <c r="E1503" t="s">
        <v>518</v>
      </c>
      <c r="F1503" t="s">
        <v>410</v>
      </c>
      <c r="G1503">
        <v>289</v>
      </c>
      <c r="I1503">
        <v>283</v>
      </c>
    </row>
    <row r="1504" spans="1:17" x14ac:dyDescent="0.2">
      <c r="A1504" s="121">
        <v>39782</v>
      </c>
      <c r="B1504" t="s">
        <v>406</v>
      </c>
      <c r="C1504" t="s">
        <v>510</v>
      </c>
      <c r="D1504" t="s">
        <v>519</v>
      </c>
      <c r="E1504" t="s">
        <v>520</v>
      </c>
      <c r="F1504" t="s">
        <v>410</v>
      </c>
      <c r="G1504">
        <v>337</v>
      </c>
      <c r="I1504">
        <v>334</v>
      </c>
    </row>
    <row r="1505" spans="1:17" x14ac:dyDescent="0.2">
      <c r="A1505" s="121">
        <v>39782</v>
      </c>
      <c r="B1505" t="s">
        <v>406</v>
      </c>
      <c r="C1505" t="s">
        <v>510</v>
      </c>
      <c r="D1505" t="s">
        <v>521</v>
      </c>
      <c r="E1505" t="s">
        <v>522</v>
      </c>
      <c r="F1505" t="s">
        <v>410</v>
      </c>
      <c r="G1505">
        <v>43</v>
      </c>
      <c r="I1505">
        <v>43</v>
      </c>
    </row>
    <row r="1506" spans="1:17" x14ac:dyDescent="0.2">
      <c r="A1506" s="121">
        <v>39782</v>
      </c>
      <c r="B1506" t="s">
        <v>406</v>
      </c>
      <c r="C1506" t="s">
        <v>510</v>
      </c>
      <c r="D1506" t="s">
        <v>523</v>
      </c>
      <c r="E1506" t="s">
        <v>524</v>
      </c>
      <c r="F1506" t="s">
        <v>413</v>
      </c>
      <c r="G1506">
        <v>421</v>
      </c>
      <c r="I1506">
        <v>417</v>
      </c>
    </row>
    <row r="1507" spans="1:17" x14ac:dyDescent="0.2">
      <c r="A1507" s="121">
        <v>39782</v>
      </c>
      <c r="B1507" t="s">
        <v>406</v>
      </c>
      <c r="C1507" t="s">
        <v>510</v>
      </c>
      <c r="D1507" t="s">
        <v>527</v>
      </c>
      <c r="E1507" t="s">
        <v>528</v>
      </c>
      <c r="F1507" t="s">
        <v>410</v>
      </c>
      <c r="G1507">
        <v>191</v>
      </c>
      <c r="I1507">
        <v>191</v>
      </c>
    </row>
    <row r="1508" spans="1:17" x14ac:dyDescent="0.2">
      <c r="A1508" s="121">
        <v>39782</v>
      </c>
      <c r="B1508" t="s">
        <v>406</v>
      </c>
      <c r="C1508" t="s">
        <v>510</v>
      </c>
      <c r="D1508" t="s">
        <v>529</v>
      </c>
      <c r="E1508" t="s">
        <v>530</v>
      </c>
      <c r="F1508" t="s">
        <v>413</v>
      </c>
      <c r="G1508">
        <v>438</v>
      </c>
      <c r="I1508">
        <v>432</v>
      </c>
    </row>
    <row r="1509" spans="1:17" x14ac:dyDescent="0.2">
      <c r="A1509" s="121">
        <v>39782</v>
      </c>
      <c r="B1509" t="s">
        <v>406</v>
      </c>
      <c r="C1509" t="s">
        <v>510</v>
      </c>
      <c r="D1509" t="s">
        <v>531</v>
      </c>
      <c r="E1509" t="s">
        <v>532</v>
      </c>
      <c r="F1509" t="s">
        <v>410</v>
      </c>
      <c r="G1509">
        <v>41</v>
      </c>
      <c r="I1509">
        <v>41</v>
      </c>
    </row>
    <row r="1510" spans="1:17" x14ac:dyDescent="0.2">
      <c r="A1510" s="121">
        <v>39782</v>
      </c>
      <c r="B1510" t="s">
        <v>406</v>
      </c>
      <c r="C1510" t="s">
        <v>510</v>
      </c>
      <c r="D1510" t="s">
        <v>533</v>
      </c>
      <c r="E1510" t="s">
        <v>534</v>
      </c>
      <c r="F1510" t="s">
        <v>413</v>
      </c>
      <c r="G1510">
        <v>2259</v>
      </c>
      <c r="H1510">
        <v>2259</v>
      </c>
      <c r="I1510">
        <v>2223</v>
      </c>
      <c r="J1510">
        <v>2223</v>
      </c>
      <c r="K1510">
        <v>519</v>
      </c>
      <c r="L1510">
        <v>15</v>
      </c>
      <c r="M1510">
        <v>1725</v>
      </c>
      <c r="N1510">
        <v>0</v>
      </c>
      <c r="O1510">
        <v>0</v>
      </c>
      <c r="P1510">
        <v>0</v>
      </c>
      <c r="Q1510">
        <v>0</v>
      </c>
    </row>
    <row r="1511" spans="1:17" x14ac:dyDescent="0.2">
      <c r="A1511" s="121">
        <v>39782</v>
      </c>
      <c r="B1511" t="s">
        <v>406</v>
      </c>
      <c r="C1511" t="s">
        <v>510</v>
      </c>
      <c r="D1511" t="s">
        <v>535</v>
      </c>
      <c r="E1511" t="s">
        <v>536</v>
      </c>
      <c r="F1511" t="s">
        <v>410</v>
      </c>
      <c r="G1511">
        <v>184</v>
      </c>
      <c r="I1511">
        <v>183</v>
      </c>
    </row>
    <row r="1512" spans="1:17" x14ac:dyDescent="0.2">
      <c r="A1512" s="121">
        <v>39782</v>
      </c>
      <c r="B1512" t="s">
        <v>406</v>
      </c>
      <c r="C1512" t="s">
        <v>510</v>
      </c>
      <c r="D1512" t="s">
        <v>537</v>
      </c>
      <c r="E1512" t="s">
        <v>538</v>
      </c>
      <c r="F1512" t="s">
        <v>410</v>
      </c>
      <c r="G1512">
        <v>76</v>
      </c>
      <c r="I1512">
        <v>76</v>
      </c>
    </row>
    <row r="1513" spans="1:17" x14ac:dyDescent="0.2">
      <c r="A1513" s="121">
        <v>39782</v>
      </c>
      <c r="B1513" t="s">
        <v>406</v>
      </c>
      <c r="C1513" t="s">
        <v>510</v>
      </c>
      <c r="D1513" t="s">
        <v>539</v>
      </c>
      <c r="E1513" t="s">
        <v>540</v>
      </c>
      <c r="F1513" t="s">
        <v>413</v>
      </c>
      <c r="G1513">
        <v>611</v>
      </c>
      <c r="I1513">
        <v>599</v>
      </c>
    </row>
    <row r="1514" spans="1:17" x14ac:dyDescent="0.2">
      <c r="A1514" s="121">
        <v>39782</v>
      </c>
      <c r="B1514" t="s">
        <v>406</v>
      </c>
      <c r="C1514" t="s">
        <v>510</v>
      </c>
      <c r="D1514" t="s">
        <v>541</v>
      </c>
      <c r="E1514" t="s">
        <v>542</v>
      </c>
      <c r="F1514" t="s">
        <v>410</v>
      </c>
      <c r="G1514">
        <v>282</v>
      </c>
      <c r="I1514">
        <v>278</v>
      </c>
    </row>
    <row r="1515" spans="1:17" x14ac:dyDescent="0.2">
      <c r="A1515" s="121">
        <v>39782</v>
      </c>
      <c r="B1515" t="s">
        <v>406</v>
      </c>
      <c r="C1515" t="s">
        <v>510</v>
      </c>
      <c r="D1515" t="s">
        <v>543</v>
      </c>
      <c r="E1515" t="s">
        <v>544</v>
      </c>
      <c r="F1515" t="s">
        <v>410</v>
      </c>
      <c r="G1515">
        <v>207</v>
      </c>
      <c r="I1515">
        <v>200</v>
      </c>
    </row>
    <row r="1516" spans="1:17" x14ac:dyDescent="0.2">
      <c r="A1516" s="121">
        <v>39782</v>
      </c>
      <c r="B1516" t="s">
        <v>406</v>
      </c>
      <c r="C1516" t="s">
        <v>510</v>
      </c>
      <c r="D1516" t="s">
        <v>545</v>
      </c>
      <c r="E1516" t="s">
        <v>546</v>
      </c>
      <c r="F1516" t="s">
        <v>410</v>
      </c>
      <c r="G1516">
        <v>174</v>
      </c>
      <c r="I1516">
        <v>174</v>
      </c>
    </row>
    <row r="1517" spans="1:17" x14ac:dyDescent="0.2">
      <c r="A1517" s="121">
        <v>39782</v>
      </c>
      <c r="B1517" t="s">
        <v>406</v>
      </c>
      <c r="C1517" t="s">
        <v>510</v>
      </c>
      <c r="D1517" t="s">
        <v>547</v>
      </c>
      <c r="E1517" t="s">
        <v>548</v>
      </c>
      <c r="F1517" t="s">
        <v>410</v>
      </c>
      <c r="G1517">
        <v>88</v>
      </c>
      <c r="I1517">
        <v>87</v>
      </c>
    </row>
    <row r="1518" spans="1:17" x14ac:dyDescent="0.2">
      <c r="A1518" s="121">
        <v>39782</v>
      </c>
      <c r="B1518" t="s">
        <v>406</v>
      </c>
      <c r="C1518" t="s">
        <v>510</v>
      </c>
      <c r="D1518" t="s">
        <v>549</v>
      </c>
      <c r="E1518" t="s">
        <v>550</v>
      </c>
      <c r="F1518" t="s">
        <v>410</v>
      </c>
      <c r="G1518">
        <v>111</v>
      </c>
      <c r="I1518">
        <v>111</v>
      </c>
    </row>
    <row r="1519" spans="1:17" x14ac:dyDescent="0.2">
      <c r="A1519" s="121">
        <v>39782</v>
      </c>
      <c r="B1519" t="s">
        <v>406</v>
      </c>
      <c r="C1519" t="s">
        <v>551</v>
      </c>
      <c r="D1519" t="s">
        <v>552</v>
      </c>
      <c r="E1519" t="s">
        <v>553</v>
      </c>
      <c r="F1519" t="s">
        <v>413</v>
      </c>
      <c r="G1519">
        <v>5337</v>
      </c>
      <c r="H1519">
        <v>5337</v>
      </c>
      <c r="I1519">
        <v>5190</v>
      </c>
      <c r="J1519">
        <v>5190</v>
      </c>
      <c r="K1519">
        <v>1620</v>
      </c>
      <c r="L1519">
        <v>7</v>
      </c>
      <c r="M1519">
        <v>3680</v>
      </c>
      <c r="N1519">
        <v>18</v>
      </c>
      <c r="O1519">
        <v>12</v>
      </c>
      <c r="P1519">
        <v>2</v>
      </c>
      <c r="Q1519">
        <v>0</v>
      </c>
    </row>
    <row r="1520" spans="1:17" x14ac:dyDescent="0.2">
      <c r="A1520" s="121">
        <v>39782</v>
      </c>
      <c r="B1520" t="s">
        <v>406</v>
      </c>
      <c r="C1520" t="s">
        <v>551</v>
      </c>
      <c r="D1520" t="s">
        <v>554</v>
      </c>
      <c r="E1520" t="s">
        <v>555</v>
      </c>
      <c r="F1520" t="s">
        <v>410</v>
      </c>
      <c r="G1520">
        <v>114</v>
      </c>
      <c r="I1520">
        <v>114</v>
      </c>
    </row>
    <row r="1521" spans="1:17" x14ac:dyDescent="0.2">
      <c r="A1521" s="121">
        <v>39782</v>
      </c>
      <c r="B1521" t="s">
        <v>406</v>
      </c>
      <c r="C1521" t="s">
        <v>551</v>
      </c>
      <c r="D1521" t="s">
        <v>556</v>
      </c>
      <c r="E1521" t="s">
        <v>557</v>
      </c>
      <c r="F1521" t="s">
        <v>410</v>
      </c>
      <c r="G1521">
        <v>150</v>
      </c>
      <c r="I1521">
        <v>150</v>
      </c>
    </row>
    <row r="1522" spans="1:17" x14ac:dyDescent="0.2">
      <c r="A1522" s="121">
        <v>39782</v>
      </c>
      <c r="B1522" t="s">
        <v>406</v>
      </c>
      <c r="C1522" t="s">
        <v>551</v>
      </c>
      <c r="D1522" t="s">
        <v>558</v>
      </c>
      <c r="E1522" t="s">
        <v>559</v>
      </c>
      <c r="F1522" t="s">
        <v>413</v>
      </c>
      <c r="G1522">
        <v>4720</v>
      </c>
      <c r="H1522">
        <v>4720</v>
      </c>
      <c r="I1522">
        <v>4511</v>
      </c>
      <c r="J1522">
        <v>4511</v>
      </c>
      <c r="K1522">
        <v>1113</v>
      </c>
      <c r="L1522">
        <v>9</v>
      </c>
      <c r="M1522">
        <v>3552</v>
      </c>
      <c r="N1522">
        <v>12</v>
      </c>
      <c r="O1522">
        <v>34</v>
      </c>
      <c r="P1522">
        <v>26</v>
      </c>
      <c r="Q1522">
        <v>9</v>
      </c>
    </row>
    <row r="1523" spans="1:17" x14ac:dyDescent="0.2">
      <c r="A1523" s="121">
        <v>39782</v>
      </c>
      <c r="B1523" t="s">
        <v>406</v>
      </c>
      <c r="C1523" t="s">
        <v>551</v>
      </c>
      <c r="D1523" t="s">
        <v>560</v>
      </c>
      <c r="E1523" t="s">
        <v>561</v>
      </c>
      <c r="F1523" t="s">
        <v>413</v>
      </c>
      <c r="G1523">
        <v>5580</v>
      </c>
      <c r="H1523">
        <v>5580</v>
      </c>
      <c r="I1523">
        <v>5509</v>
      </c>
      <c r="J1523">
        <v>5509</v>
      </c>
      <c r="K1523">
        <v>1419</v>
      </c>
      <c r="L1523">
        <v>8</v>
      </c>
      <c r="M1523">
        <v>4111</v>
      </c>
      <c r="N1523">
        <v>17</v>
      </c>
      <c r="O1523">
        <v>25</v>
      </c>
      <c r="P1523">
        <v>10</v>
      </c>
      <c r="Q1523">
        <v>5</v>
      </c>
    </row>
    <row r="1524" spans="1:17" x14ac:dyDescent="0.2">
      <c r="A1524" s="121">
        <v>39782</v>
      </c>
      <c r="B1524" t="s">
        <v>406</v>
      </c>
      <c r="C1524" t="s">
        <v>562</v>
      </c>
      <c r="D1524" t="s">
        <v>603</v>
      </c>
      <c r="E1524" t="s">
        <v>604</v>
      </c>
      <c r="F1524" t="s">
        <v>410</v>
      </c>
      <c r="G1524">
        <v>9</v>
      </c>
      <c r="I1524">
        <v>9</v>
      </c>
    </row>
    <row r="1525" spans="1:17" x14ac:dyDescent="0.2">
      <c r="A1525" s="121">
        <v>39782</v>
      </c>
      <c r="B1525" t="s">
        <v>406</v>
      </c>
      <c r="C1525" t="s">
        <v>562</v>
      </c>
      <c r="D1525" t="s">
        <v>605</v>
      </c>
      <c r="E1525" t="s">
        <v>606</v>
      </c>
      <c r="F1525" t="s">
        <v>410</v>
      </c>
      <c r="G1525">
        <v>121</v>
      </c>
      <c r="I1525">
        <v>121</v>
      </c>
    </row>
    <row r="1526" spans="1:17" x14ac:dyDescent="0.2">
      <c r="A1526" s="121">
        <v>39782</v>
      </c>
      <c r="B1526" t="s">
        <v>406</v>
      </c>
      <c r="C1526" t="s">
        <v>562</v>
      </c>
      <c r="D1526" t="s">
        <v>563</v>
      </c>
      <c r="E1526" t="s">
        <v>564</v>
      </c>
      <c r="F1526" t="s">
        <v>410</v>
      </c>
      <c r="G1526">
        <v>2895</v>
      </c>
      <c r="H1526">
        <v>2895</v>
      </c>
      <c r="I1526">
        <v>2819</v>
      </c>
      <c r="J1526">
        <v>2819</v>
      </c>
      <c r="K1526">
        <v>1028</v>
      </c>
      <c r="L1526">
        <v>3</v>
      </c>
      <c r="M1526">
        <v>1837</v>
      </c>
      <c r="N1526">
        <v>27</v>
      </c>
      <c r="O1526">
        <v>0</v>
      </c>
      <c r="P1526">
        <v>2</v>
      </c>
      <c r="Q1526">
        <v>1</v>
      </c>
    </row>
    <row r="1527" spans="1:17" x14ac:dyDescent="0.2">
      <c r="A1527" s="121">
        <v>39782</v>
      </c>
      <c r="B1527" t="s">
        <v>406</v>
      </c>
      <c r="C1527" t="s">
        <v>562</v>
      </c>
      <c r="D1527" t="s">
        <v>565</v>
      </c>
      <c r="E1527" t="s">
        <v>566</v>
      </c>
      <c r="F1527" t="s">
        <v>413</v>
      </c>
      <c r="G1527">
        <v>3949</v>
      </c>
      <c r="H1527">
        <v>3949</v>
      </c>
      <c r="I1527">
        <v>3890</v>
      </c>
      <c r="J1527">
        <v>3890</v>
      </c>
      <c r="K1527">
        <v>913</v>
      </c>
      <c r="L1527">
        <v>4</v>
      </c>
      <c r="M1527">
        <v>2895</v>
      </c>
      <c r="N1527">
        <v>137</v>
      </c>
      <c r="O1527">
        <v>0</v>
      </c>
      <c r="P1527">
        <v>9</v>
      </c>
      <c r="Q1527">
        <v>6</v>
      </c>
    </row>
    <row r="1528" spans="1:17" x14ac:dyDescent="0.2">
      <c r="A1528" s="121">
        <v>39782</v>
      </c>
      <c r="B1528" t="s">
        <v>406</v>
      </c>
      <c r="C1528" t="s">
        <v>562</v>
      </c>
      <c r="D1528" t="s">
        <v>567</v>
      </c>
      <c r="E1528" t="s">
        <v>568</v>
      </c>
      <c r="F1528" t="s">
        <v>413</v>
      </c>
      <c r="G1528">
        <v>8623</v>
      </c>
      <c r="H1528">
        <v>8623</v>
      </c>
      <c r="I1528">
        <v>8290</v>
      </c>
      <c r="J1528">
        <v>8290</v>
      </c>
      <c r="K1528">
        <v>2447</v>
      </c>
      <c r="L1528">
        <v>13</v>
      </c>
      <c r="M1528">
        <v>5852</v>
      </c>
      <c r="N1528">
        <v>311</v>
      </c>
      <c r="O1528">
        <v>0</v>
      </c>
      <c r="P1528">
        <v>27</v>
      </c>
      <c r="Q1528">
        <v>0</v>
      </c>
    </row>
    <row r="1529" spans="1:17" x14ac:dyDescent="0.2">
      <c r="A1529" s="121">
        <v>39782</v>
      </c>
      <c r="B1529" t="s">
        <v>406</v>
      </c>
      <c r="C1529" t="s">
        <v>562</v>
      </c>
      <c r="D1529" t="s">
        <v>569</v>
      </c>
      <c r="E1529" t="s">
        <v>570</v>
      </c>
      <c r="F1529" t="s">
        <v>413</v>
      </c>
      <c r="G1529">
        <v>3278</v>
      </c>
      <c r="H1529">
        <v>3278</v>
      </c>
      <c r="I1529">
        <v>3245</v>
      </c>
      <c r="J1529">
        <v>3245</v>
      </c>
      <c r="K1529">
        <v>547</v>
      </c>
      <c r="L1529">
        <v>0</v>
      </c>
      <c r="M1529">
        <v>2731</v>
      </c>
      <c r="N1529">
        <v>0</v>
      </c>
      <c r="O1529">
        <v>0</v>
      </c>
      <c r="P1529">
        <v>2</v>
      </c>
      <c r="Q1529">
        <v>0</v>
      </c>
    </row>
    <row r="1530" spans="1:17" x14ac:dyDescent="0.2">
      <c r="A1530" s="121">
        <v>39782</v>
      </c>
      <c r="B1530" t="s">
        <v>406</v>
      </c>
      <c r="C1530" t="s">
        <v>571</v>
      </c>
      <c r="D1530" t="s">
        <v>572</v>
      </c>
      <c r="E1530" t="s">
        <v>573</v>
      </c>
      <c r="F1530" t="s">
        <v>410</v>
      </c>
      <c r="G1530">
        <v>177</v>
      </c>
      <c r="I1530">
        <v>177</v>
      </c>
    </row>
    <row r="1531" spans="1:17" x14ac:dyDescent="0.2">
      <c r="A1531" s="121">
        <v>39782</v>
      </c>
      <c r="B1531" t="s">
        <v>406</v>
      </c>
      <c r="C1531" t="s">
        <v>574</v>
      </c>
      <c r="D1531" t="s">
        <v>575</v>
      </c>
      <c r="E1531" t="s">
        <v>576</v>
      </c>
      <c r="F1531" t="s">
        <v>413</v>
      </c>
      <c r="G1531">
        <v>647</v>
      </c>
      <c r="H1531">
        <v>647</v>
      </c>
      <c r="I1531">
        <v>641</v>
      </c>
      <c r="J1531">
        <v>641</v>
      </c>
      <c r="K1531">
        <v>146</v>
      </c>
      <c r="L1531">
        <v>1</v>
      </c>
      <c r="M1531">
        <v>472</v>
      </c>
      <c r="N1531">
        <v>0</v>
      </c>
      <c r="O1531">
        <v>28</v>
      </c>
      <c r="P1531">
        <v>1</v>
      </c>
      <c r="Q1531">
        <v>0</v>
      </c>
    </row>
    <row r="1532" spans="1:17" x14ac:dyDescent="0.2">
      <c r="A1532" s="121">
        <v>39782</v>
      </c>
      <c r="B1532" t="s">
        <v>406</v>
      </c>
      <c r="C1532" t="s">
        <v>577</v>
      </c>
      <c r="D1532" t="s">
        <v>578</v>
      </c>
      <c r="E1532" t="s">
        <v>579</v>
      </c>
      <c r="F1532" t="s">
        <v>413</v>
      </c>
      <c r="G1532">
        <v>3839</v>
      </c>
      <c r="H1532">
        <v>3839</v>
      </c>
      <c r="I1532">
        <v>3792</v>
      </c>
      <c r="J1532">
        <v>3792</v>
      </c>
      <c r="K1532">
        <v>944</v>
      </c>
      <c r="L1532">
        <v>15</v>
      </c>
      <c r="M1532">
        <v>2775</v>
      </c>
      <c r="N1532">
        <v>29</v>
      </c>
      <c r="O1532">
        <v>76</v>
      </c>
      <c r="P1532">
        <v>2</v>
      </c>
      <c r="Q1532">
        <v>0</v>
      </c>
    </row>
    <row r="1533" spans="1:17" x14ac:dyDescent="0.2">
      <c r="A1533" s="121">
        <v>39782</v>
      </c>
      <c r="B1533" t="s">
        <v>406</v>
      </c>
      <c r="C1533" t="s">
        <v>577</v>
      </c>
      <c r="D1533" t="s">
        <v>580</v>
      </c>
      <c r="E1533" t="s">
        <v>581</v>
      </c>
      <c r="F1533" t="s">
        <v>413</v>
      </c>
      <c r="G1533">
        <v>1868</v>
      </c>
      <c r="H1533">
        <v>1868</v>
      </c>
      <c r="I1533">
        <v>1856</v>
      </c>
      <c r="J1533">
        <v>1856</v>
      </c>
      <c r="K1533">
        <v>322</v>
      </c>
      <c r="L1533">
        <v>6</v>
      </c>
      <c r="M1533">
        <v>1339</v>
      </c>
      <c r="N1533">
        <v>61</v>
      </c>
      <c r="O1533">
        <v>140</v>
      </c>
      <c r="P1533">
        <v>0</v>
      </c>
      <c r="Q1533">
        <v>0</v>
      </c>
    </row>
    <row r="1534" spans="1:17" x14ac:dyDescent="0.2">
      <c r="A1534" s="121">
        <v>39782</v>
      </c>
      <c r="B1534" t="s">
        <v>406</v>
      </c>
      <c r="C1534" t="s">
        <v>577</v>
      </c>
      <c r="D1534" t="s">
        <v>584</v>
      </c>
      <c r="E1534" t="s">
        <v>585</v>
      </c>
      <c r="F1534" t="s">
        <v>410</v>
      </c>
      <c r="G1534">
        <v>154</v>
      </c>
      <c r="H1534">
        <v>154</v>
      </c>
      <c r="I1534">
        <v>154</v>
      </c>
      <c r="J1534">
        <v>154</v>
      </c>
      <c r="K1534">
        <v>10</v>
      </c>
      <c r="L1534">
        <v>0</v>
      </c>
      <c r="M1534">
        <v>138</v>
      </c>
      <c r="N1534">
        <v>0</v>
      </c>
      <c r="O1534">
        <v>6</v>
      </c>
      <c r="P1534">
        <v>0</v>
      </c>
      <c r="Q1534">
        <v>0</v>
      </c>
    </row>
    <row r="1535" spans="1:17" x14ac:dyDescent="0.2">
      <c r="A1535" s="121">
        <v>39782</v>
      </c>
      <c r="B1535" t="s">
        <v>406</v>
      </c>
      <c r="C1535" t="s">
        <v>577</v>
      </c>
      <c r="D1535" t="s">
        <v>586</v>
      </c>
      <c r="E1535" t="s">
        <v>587</v>
      </c>
      <c r="F1535" t="s">
        <v>410</v>
      </c>
      <c r="G1535">
        <v>671</v>
      </c>
      <c r="H1535">
        <v>671</v>
      </c>
      <c r="I1535">
        <v>671</v>
      </c>
      <c r="J1535">
        <v>671</v>
      </c>
      <c r="K1535">
        <v>24</v>
      </c>
      <c r="L1535">
        <v>0</v>
      </c>
      <c r="M1535">
        <v>420</v>
      </c>
      <c r="N1535">
        <v>0</v>
      </c>
      <c r="O1535">
        <v>227</v>
      </c>
      <c r="P1535">
        <v>0</v>
      </c>
      <c r="Q1535">
        <v>0</v>
      </c>
    </row>
    <row r="1536" spans="1:17" x14ac:dyDescent="0.2">
      <c r="A1536" s="121">
        <v>39782</v>
      </c>
      <c r="B1536" t="s">
        <v>406</v>
      </c>
      <c r="C1536" t="s">
        <v>577</v>
      </c>
      <c r="D1536" t="s">
        <v>588</v>
      </c>
      <c r="E1536" t="s">
        <v>589</v>
      </c>
      <c r="F1536" t="s">
        <v>410</v>
      </c>
      <c r="G1536">
        <v>157</v>
      </c>
      <c r="H1536">
        <v>157</v>
      </c>
      <c r="I1536">
        <v>156</v>
      </c>
      <c r="J1536">
        <v>156</v>
      </c>
      <c r="K1536">
        <v>3</v>
      </c>
      <c r="L1536">
        <v>0</v>
      </c>
      <c r="M1536">
        <v>121</v>
      </c>
      <c r="N1536">
        <v>0</v>
      </c>
      <c r="O1536">
        <v>33</v>
      </c>
      <c r="P1536">
        <v>0</v>
      </c>
      <c r="Q1536">
        <v>0</v>
      </c>
    </row>
    <row r="1537" spans="1:17" x14ac:dyDescent="0.2">
      <c r="A1537" s="121">
        <v>39782</v>
      </c>
      <c r="B1537" t="s">
        <v>406</v>
      </c>
      <c r="C1537" t="s">
        <v>577</v>
      </c>
      <c r="D1537" t="s">
        <v>613</v>
      </c>
      <c r="E1537" t="s">
        <v>614</v>
      </c>
      <c r="F1537" t="s">
        <v>410</v>
      </c>
      <c r="G1537">
        <v>102</v>
      </c>
      <c r="H1537">
        <v>102</v>
      </c>
      <c r="I1537">
        <v>102</v>
      </c>
      <c r="J1537">
        <v>102</v>
      </c>
      <c r="K1537">
        <v>7</v>
      </c>
      <c r="L1537">
        <v>0</v>
      </c>
      <c r="M1537">
        <v>74</v>
      </c>
      <c r="N1537">
        <v>0</v>
      </c>
      <c r="O1537">
        <v>21</v>
      </c>
      <c r="P1537">
        <v>0</v>
      </c>
      <c r="Q1537">
        <v>0</v>
      </c>
    </row>
    <row r="1538" spans="1:17" x14ac:dyDescent="0.2">
      <c r="A1538" s="121">
        <v>39782</v>
      </c>
      <c r="B1538" t="s">
        <v>406</v>
      </c>
      <c r="C1538" t="s">
        <v>577</v>
      </c>
      <c r="D1538" t="s">
        <v>590</v>
      </c>
      <c r="E1538" t="s">
        <v>591</v>
      </c>
      <c r="F1538" t="s">
        <v>410</v>
      </c>
      <c r="G1538">
        <v>301</v>
      </c>
      <c r="H1538">
        <v>301</v>
      </c>
      <c r="I1538">
        <v>301</v>
      </c>
      <c r="J1538">
        <v>301</v>
      </c>
      <c r="K1538">
        <v>2</v>
      </c>
      <c r="L1538">
        <v>0</v>
      </c>
      <c r="M1538">
        <v>273</v>
      </c>
      <c r="N1538">
        <v>0</v>
      </c>
      <c r="O1538">
        <v>26</v>
      </c>
      <c r="P1538">
        <v>0</v>
      </c>
      <c r="Q1538">
        <v>0</v>
      </c>
    </row>
    <row r="1539" spans="1:17" x14ac:dyDescent="0.2">
      <c r="A1539" s="121">
        <v>39782</v>
      </c>
      <c r="B1539" t="s">
        <v>406</v>
      </c>
      <c r="C1539" t="s">
        <v>577</v>
      </c>
      <c r="D1539" t="s">
        <v>607</v>
      </c>
      <c r="E1539" t="s">
        <v>608</v>
      </c>
      <c r="F1539" t="s">
        <v>410</v>
      </c>
      <c r="G1539">
        <v>41</v>
      </c>
      <c r="H1539">
        <v>41</v>
      </c>
      <c r="I1539">
        <v>41</v>
      </c>
      <c r="J1539">
        <v>41</v>
      </c>
      <c r="K1539">
        <v>4</v>
      </c>
      <c r="L1539">
        <v>0</v>
      </c>
      <c r="M1539">
        <v>37</v>
      </c>
      <c r="N1539">
        <v>0</v>
      </c>
      <c r="O1539">
        <v>0</v>
      </c>
      <c r="P1539">
        <v>0</v>
      </c>
      <c r="Q1539">
        <v>0</v>
      </c>
    </row>
    <row r="1540" spans="1:17" x14ac:dyDescent="0.2">
      <c r="A1540" s="121">
        <v>39782</v>
      </c>
      <c r="B1540" t="s">
        <v>406</v>
      </c>
      <c r="C1540" t="s">
        <v>577</v>
      </c>
      <c r="D1540" t="s">
        <v>592</v>
      </c>
      <c r="E1540" t="s">
        <v>593</v>
      </c>
      <c r="F1540" t="s">
        <v>410</v>
      </c>
      <c r="G1540">
        <v>312</v>
      </c>
      <c r="H1540">
        <v>312</v>
      </c>
      <c r="I1540">
        <v>312</v>
      </c>
      <c r="J1540">
        <v>312</v>
      </c>
      <c r="K1540">
        <v>12</v>
      </c>
      <c r="L1540">
        <v>0</v>
      </c>
      <c r="M1540">
        <v>242</v>
      </c>
      <c r="N1540">
        <v>0</v>
      </c>
      <c r="O1540">
        <v>58</v>
      </c>
      <c r="P1540">
        <v>0</v>
      </c>
      <c r="Q1540">
        <v>0</v>
      </c>
    </row>
    <row r="1541" spans="1:17" x14ac:dyDescent="0.2">
      <c r="A1541" s="121">
        <v>39782</v>
      </c>
      <c r="B1541" t="s">
        <v>406</v>
      </c>
      <c r="C1541" t="s">
        <v>594</v>
      </c>
      <c r="D1541" t="s">
        <v>595</v>
      </c>
      <c r="E1541" t="s">
        <v>596</v>
      </c>
      <c r="F1541" t="s">
        <v>410</v>
      </c>
      <c r="G1541">
        <v>16</v>
      </c>
      <c r="I1541">
        <v>16</v>
      </c>
    </row>
    <row r="1542" spans="1:17" x14ac:dyDescent="0.2">
      <c r="A1542" s="121">
        <v>39782</v>
      </c>
      <c r="B1542" t="s">
        <v>406</v>
      </c>
      <c r="C1542" t="s">
        <v>594</v>
      </c>
      <c r="D1542" t="s">
        <v>597</v>
      </c>
      <c r="E1542" t="s">
        <v>598</v>
      </c>
      <c r="F1542" t="s">
        <v>413</v>
      </c>
      <c r="G1542">
        <v>487</v>
      </c>
      <c r="H1542">
        <v>487</v>
      </c>
      <c r="I1542">
        <v>481</v>
      </c>
      <c r="J1542">
        <v>481</v>
      </c>
      <c r="K1542">
        <v>138</v>
      </c>
      <c r="L1542">
        <v>0</v>
      </c>
      <c r="M1542">
        <v>344</v>
      </c>
      <c r="N1542">
        <v>0</v>
      </c>
      <c r="O1542">
        <v>5</v>
      </c>
      <c r="P1542">
        <v>0</v>
      </c>
      <c r="Q1542">
        <v>0</v>
      </c>
    </row>
    <row r="1543" spans="1:17" x14ac:dyDescent="0.2">
      <c r="A1543" s="121">
        <v>39782</v>
      </c>
      <c r="B1543" t="s">
        <v>406</v>
      </c>
      <c r="C1543" t="s">
        <v>594</v>
      </c>
      <c r="D1543" t="s">
        <v>599</v>
      </c>
      <c r="E1543" t="s">
        <v>600</v>
      </c>
      <c r="F1543" t="s">
        <v>410</v>
      </c>
      <c r="G1543">
        <v>88</v>
      </c>
      <c r="I1543">
        <v>88</v>
      </c>
    </row>
    <row r="1544" spans="1:17" x14ac:dyDescent="0.2">
      <c r="A1544" s="121">
        <v>39813</v>
      </c>
      <c r="B1544" t="s">
        <v>406</v>
      </c>
      <c r="C1544" t="s">
        <v>407</v>
      </c>
      <c r="D1544" t="s">
        <v>408</v>
      </c>
      <c r="E1544" t="s">
        <v>409</v>
      </c>
      <c r="F1544" t="s">
        <v>410</v>
      </c>
      <c r="G1544">
        <v>185</v>
      </c>
      <c r="I1544">
        <v>185</v>
      </c>
    </row>
    <row r="1545" spans="1:17" x14ac:dyDescent="0.2">
      <c r="A1545" s="121">
        <v>39813</v>
      </c>
      <c r="B1545" t="s">
        <v>406</v>
      </c>
      <c r="C1545" t="s">
        <v>407</v>
      </c>
      <c r="D1545" t="s">
        <v>601</v>
      </c>
      <c r="E1545" t="s">
        <v>602</v>
      </c>
      <c r="F1545" t="s">
        <v>410</v>
      </c>
      <c r="G1545">
        <v>45</v>
      </c>
      <c r="I1545">
        <v>45</v>
      </c>
    </row>
    <row r="1546" spans="1:17" x14ac:dyDescent="0.2">
      <c r="A1546" s="121">
        <v>39813</v>
      </c>
      <c r="B1546" t="s">
        <v>406</v>
      </c>
      <c r="C1546" t="s">
        <v>407</v>
      </c>
      <c r="D1546" t="s">
        <v>411</v>
      </c>
      <c r="E1546" t="s">
        <v>412</v>
      </c>
      <c r="F1546" t="s">
        <v>413</v>
      </c>
      <c r="G1546">
        <v>5441</v>
      </c>
      <c r="H1546">
        <v>5441</v>
      </c>
      <c r="I1546">
        <v>5233</v>
      </c>
      <c r="J1546">
        <v>5233</v>
      </c>
      <c r="K1546">
        <v>2280</v>
      </c>
      <c r="L1546">
        <v>8</v>
      </c>
      <c r="M1546">
        <v>2953</v>
      </c>
      <c r="N1546">
        <v>61</v>
      </c>
      <c r="O1546">
        <v>139</v>
      </c>
      <c r="P1546">
        <v>1</v>
      </c>
      <c r="Q1546">
        <v>0</v>
      </c>
    </row>
    <row r="1547" spans="1:17" x14ac:dyDescent="0.2">
      <c r="A1547" s="121">
        <v>39813</v>
      </c>
      <c r="B1547" t="s">
        <v>406</v>
      </c>
      <c r="C1547" t="s">
        <v>407</v>
      </c>
      <c r="D1547" t="s">
        <v>414</v>
      </c>
      <c r="E1547" t="s">
        <v>415</v>
      </c>
      <c r="F1547" t="s">
        <v>410</v>
      </c>
      <c r="G1547">
        <v>70</v>
      </c>
      <c r="I1547">
        <v>70</v>
      </c>
    </row>
    <row r="1548" spans="1:17" x14ac:dyDescent="0.2">
      <c r="A1548" s="121">
        <v>39813</v>
      </c>
      <c r="B1548" t="s">
        <v>406</v>
      </c>
      <c r="C1548" t="s">
        <v>407</v>
      </c>
      <c r="D1548" t="s">
        <v>416</v>
      </c>
      <c r="E1548" t="s">
        <v>417</v>
      </c>
      <c r="F1548" t="s">
        <v>413</v>
      </c>
      <c r="G1548">
        <v>3335</v>
      </c>
      <c r="H1548">
        <v>3335</v>
      </c>
      <c r="I1548">
        <v>3225</v>
      </c>
      <c r="J1548">
        <v>3225</v>
      </c>
      <c r="K1548">
        <v>1262</v>
      </c>
      <c r="L1548">
        <v>9</v>
      </c>
      <c r="M1548">
        <v>1946</v>
      </c>
      <c r="N1548">
        <v>85</v>
      </c>
      <c r="O1548">
        <v>33</v>
      </c>
      <c r="P1548">
        <v>5</v>
      </c>
      <c r="Q1548">
        <v>1</v>
      </c>
    </row>
    <row r="1549" spans="1:17" x14ac:dyDescent="0.2">
      <c r="A1549" s="121">
        <v>39813</v>
      </c>
      <c r="B1549" t="s">
        <v>406</v>
      </c>
      <c r="C1549" t="s">
        <v>418</v>
      </c>
      <c r="D1549" t="s">
        <v>419</v>
      </c>
      <c r="E1549" t="s">
        <v>420</v>
      </c>
      <c r="F1549" t="s">
        <v>410</v>
      </c>
      <c r="G1549">
        <v>11</v>
      </c>
      <c r="I1549">
        <v>11</v>
      </c>
    </row>
    <row r="1550" spans="1:17" x14ac:dyDescent="0.2">
      <c r="A1550" s="121">
        <v>39813</v>
      </c>
      <c r="B1550" t="s">
        <v>406</v>
      </c>
      <c r="C1550" t="s">
        <v>418</v>
      </c>
      <c r="D1550" t="s">
        <v>421</v>
      </c>
      <c r="E1550" t="s">
        <v>422</v>
      </c>
      <c r="F1550" t="s">
        <v>410</v>
      </c>
      <c r="G1550">
        <v>106</v>
      </c>
      <c r="I1550">
        <v>106</v>
      </c>
    </row>
    <row r="1551" spans="1:17" x14ac:dyDescent="0.2">
      <c r="A1551" s="121">
        <v>39813</v>
      </c>
      <c r="B1551" t="s">
        <v>406</v>
      </c>
      <c r="C1551" t="s">
        <v>418</v>
      </c>
      <c r="D1551" t="s">
        <v>423</v>
      </c>
      <c r="E1551" t="s">
        <v>424</v>
      </c>
      <c r="F1551" t="s">
        <v>410</v>
      </c>
      <c r="G1551">
        <v>10</v>
      </c>
      <c r="I1551">
        <v>10</v>
      </c>
    </row>
    <row r="1552" spans="1:17" x14ac:dyDescent="0.2">
      <c r="A1552" s="121">
        <v>39813</v>
      </c>
      <c r="B1552" t="s">
        <v>406</v>
      </c>
      <c r="C1552" t="s">
        <v>418</v>
      </c>
      <c r="D1552" t="s">
        <v>425</v>
      </c>
      <c r="E1552" t="s">
        <v>426</v>
      </c>
      <c r="F1552" t="s">
        <v>410</v>
      </c>
      <c r="G1552">
        <v>60</v>
      </c>
      <c r="I1552">
        <v>60</v>
      </c>
    </row>
    <row r="1553" spans="1:17" x14ac:dyDescent="0.2">
      <c r="A1553" s="121">
        <v>39813</v>
      </c>
      <c r="B1553" t="s">
        <v>406</v>
      </c>
      <c r="C1553" t="s">
        <v>418</v>
      </c>
      <c r="D1553" t="s">
        <v>427</v>
      </c>
      <c r="E1553" t="s">
        <v>428</v>
      </c>
      <c r="F1553" t="s">
        <v>413</v>
      </c>
      <c r="G1553">
        <v>1952</v>
      </c>
      <c r="H1553">
        <v>1952</v>
      </c>
      <c r="I1553">
        <v>1904</v>
      </c>
      <c r="J1553">
        <v>1904</v>
      </c>
      <c r="K1553">
        <v>749</v>
      </c>
      <c r="L1553">
        <v>3</v>
      </c>
      <c r="M1553">
        <v>960</v>
      </c>
      <c r="N1553">
        <v>17</v>
      </c>
      <c r="O1553">
        <v>223</v>
      </c>
      <c r="P1553">
        <v>0</v>
      </c>
      <c r="Q1553">
        <v>0</v>
      </c>
    </row>
    <row r="1554" spans="1:17" x14ac:dyDescent="0.2">
      <c r="A1554" s="121">
        <v>39813</v>
      </c>
      <c r="B1554" t="s">
        <v>406</v>
      </c>
      <c r="C1554" t="s">
        <v>429</v>
      </c>
      <c r="D1554" t="s">
        <v>430</v>
      </c>
      <c r="E1554" t="s">
        <v>431</v>
      </c>
      <c r="F1554" t="s">
        <v>410</v>
      </c>
      <c r="G1554">
        <v>44</v>
      </c>
      <c r="I1554">
        <v>44</v>
      </c>
    </row>
    <row r="1555" spans="1:17" x14ac:dyDescent="0.2">
      <c r="A1555" s="121">
        <v>39813</v>
      </c>
      <c r="B1555" t="s">
        <v>406</v>
      </c>
      <c r="C1555" t="s">
        <v>429</v>
      </c>
      <c r="D1555" t="s">
        <v>432</v>
      </c>
      <c r="E1555" t="s">
        <v>433</v>
      </c>
      <c r="F1555" t="s">
        <v>410</v>
      </c>
      <c r="G1555">
        <v>34</v>
      </c>
      <c r="I1555">
        <v>34</v>
      </c>
    </row>
    <row r="1556" spans="1:17" x14ac:dyDescent="0.2">
      <c r="A1556" s="121">
        <v>39813</v>
      </c>
      <c r="B1556" t="s">
        <v>406</v>
      </c>
      <c r="C1556" t="s">
        <v>429</v>
      </c>
      <c r="D1556" t="s">
        <v>434</v>
      </c>
      <c r="E1556" t="s">
        <v>435</v>
      </c>
      <c r="F1556" t="s">
        <v>410</v>
      </c>
      <c r="G1556">
        <v>6</v>
      </c>
      <c r="I1556">
        <v>6</v>
      </c>
    </row>
    <row r="1557" spans="1:17" x14ac:dyDescent="0.2">
      <c r="A1557" s="121">
        <v>39813</v>
      </c>
      <c r="B1557" t="s">
        <v>406</v>
      </c>
      <c r="C1557" t="s">
        <v>429</v>
      </c>
      <c r="D1557" t="s">
        <v>436</v>
      </c>
      <c r="E1557" t="s">
        <v>437</v>
      </c>
      <c r="F1557" t="s">
        <v>410</v>
      </c>
      <c r="G1557">
        <v>48</v>
      </c>
      <c r="I1557">
        <v>48</v>
      </c>
    </row>
    <row r="1558" spans="1:17" x14ac:dyDescent="0.2">
      <c r="A1558" s="121">
        <v>39813</v>
      </c>
      <c r="B1558" t="s">
        <v>406</v>
      </c>
      <c r="C1558" t="s">
        <v>429</v>
      </c>
      <c r="D1558" t="s">
        <v>438</v>
      </c>
      <c r="E1558" t="s">
        <v>439</v>
      </c>
      <c r="F1558" t="s">
        <v>413</v>
      </c>
      <c r="G1558">
        <v>996</v>
      </c>
      <c r="H1558">
        <v>996</v>
      </c>
      <c r="I1558">
        <v>982</v>
      </c>
      <c r="J1558">
        <v>982</v>
      </c>
      <c r="K1558">
        <v>105</v>
      </c>
      <c r="L1558">
        <v>0</v>
      </c>
      <c r="M1558">
        <v>883</v>
      </c>
      <c r="N1558">
        <v>8</v>
      </c>
      <c r="O1558">
        <v>0</v>
      </c>
      <c r="P1558">
        <v>1</v>
      </c>
      <c r="Q1558">
        <v>0</v>
      </c>
    </row>
    <row r="1559" spans="1:17" x14ac:dyDescent="0.2">
      <c r="A1559" s="121">
        <v>39813</v>
      </c>
      <c r="B1559" t="s">
        <v>406</v>
      </c>
      <c r="C1559" t="s">
        <v>429</v>
      </c>
      <c r="D1559" t="s">
        <v>440</v>
      </c>
      <c r="E1559" t="s">
        <v>441</v>
      </c>
      <c r="F1559" t="s">
        <v>413</v>
      </c>
      <c r="G1559">
        <v>2830</v>
      </c>
      <c r="H1559">
        <v>2830</v>
      </c>
      <c r="I1559">
        <v>2765</v>
      </c>
      <c r="J1559">
        <v>2765</v>
      </c>
      <c r="K1559">
        <v>1042</v>
      </c>
      <c r="L1559">
        <v>5</v>
      </c>
      <c r="M1559">
        <v>1715</v>
      </c>
      <c r="N1559">
        <v>16</v>
      </c>
      <c r="O1559">
        <v>52</v>
      </c>
      <c r="P1559">
        <v>6</v>
      </c>
      <c r="Q1559">
        <v>0</v>
      </c>
    </row>
    <row r="1560" spans="1:17" x14ac:dyDescent="0.2">
      <c r="A1560" s="121">
        <v>39813</v>
      </c>
      <c r="B1560" t="s">
        <v>406</v>
      </c>
      <c r="C1560" t="s">
        <v>442</v>
      </c>
      <c r="D1560" t="s">
        <v>443</v>
      </c>
      <c r="E1560" t="s">
        <v>444</v>
      </c>
      <c r="F1560" t="s">
        <v>413</v>
      </c>
      <c r="G1560">
        <v>3356</v>
      </c>
      <c r="H1560">
        <v>3356</v>
      </c>
      <c r="I1560">
        <v>3148</v>
      </c>
      <c r="J1560">
        <v>3148</v>
      </c>
      <c r="K1560">
        <v>600</v>
      </c>
      <c r="L1560">
        <v>12</v>
      </c>
      <c r="M1560">
        <v>2637</v>
      </c>
      <c r="N1560">
        <v>41</v>
      </c>
      <c r="O1560">
        <v>66</v>
      </c>
      <c r="P1560">
        <v>28</v>
      </c>
      <c r="Q1560">
        <v>2</v>
      </c>
    </row>
    <row r="1561" spans="1:17" x14ac:dyDescent="0.2">
      <c r="A1561" s="121">
        <v>39813</v>
      </c>
      <c r="B1561" t="s">
        <v>406</v>
      </c>
      <c r="C1561" t="s">
        <v>442</v>
      </c>
      <c r="D1561" t="s">
        <v>445</v>
      </c>
      <c r="E1561" t="s">
        <v>446</v>
      </c>
      <c r="F1561" t="s">
        <v>410</v>
      </c>
      <c r="G1561">
        <v>103</v>
      </c>
      <c r="I1561">
        <v>103</v>
      </c>
    </row>
    <row r="1562" spans="1:17" x14ac:dyDescent="0.2">
      <c r="A1562" s="121">
        <v>39813</v>
      </c>
      <c r="B1562" t="s">
        <v>406</v>
      </c>
      <c r="C1562" t="s">
        <v>442</v>
      </c>
      <c r="D1562" t="s">
        <v>447</v>
      </c>
      <c r="E1562" t="s">
        <v>448</v>
      </c>
      <c r="F1562" t="s">
        <v>410</v>
      </c>
      <c r="G1562">
        <v>232</v>
      </c>
      <c r="I1562">
        <v>232</v>
      </c>
    </row>
    <row r="1563" spans="1:17" x14ac:dyDescent="0.2">
      <c r="A1563" s="121">
        <v>39813</v>
      </c>
      <c r="B1563" t="s">
        <v>406</v>
      </c>
      <c r="C1563" t="s">
        <v>442</v>
      </c>
      <c r="D1563" t="s">
        <v>449</v>
      </c>
      <c r="E1563" t="s">
        <v>450</v>
      </c>
      <c r="F1563" t="s">
        <v>413</v>
      </c>
      <c r="G1563">
        <v>3120</v>
      </c>
      <c r="H1563">
        <v>3120</v>
      </c>
      <c r="I1563">
        <v>2947</v>
      </c>
      <c r="J1563">
        <v>2947</v>
      </c>
      <c r="K1563">
        <v>646</v>
      </c>
      <c r="L1563">
        <v>2</v>
      </c>
      <c r="M1563">
        <v>2440</v>
      </c>
      <c r="N1563">
        <v>19</v>
      </c>
      <c r="O1563">
        <v>13</v>
      </c>
      <c r="P1563">
        <v>37</v>
      </c>
      <c r="Q1563">
        <v>16</v>
      </c>
    </row>
    <row r="1564" spans="1:17" x14ac:dyDescent="0.2">
      <c r="A1564" s="121">
        <v>39813</v>
      </c>
      <c r="B1564" t="s">
        <v>406</v>
      </c>
      <c r="C1564" t="s">
        <v>451</v>
      </c>
      <c r="D1564" t="s">
        <v>452</v>
      </c>
      <c r="E1564" t="s">
        <v>453</v>
      </c>
      <c r="F1564" t="s">
        <v>410</v>
      </c>
      <c r="G1564">
        <v>1456</v>
      </c>
      <c r="H1564">
        <v>1456</v>
      </c>
      <c r="I1564">
        <v>1454</v>
      </c>
      <c r="J1564">
        <v>1454</v>
      </c>
      <c r="K1564">
        <v>0</v>
      </c>
      <c r="L1564">
        <v>0</v>
      </c>
      <c r="M1564">
        <v>1032</v>
      </c>
      <c r="N1564">
        <v>181</v>
      </c>
      <c r="O1564">
        <v>243</v>
      </c>
      <c r="P1564">
        <v>1</v>
      </c>
      <c r="Q1564">
        <v>0</v>
      </c>
    </row>
    <row r="1565" spans="1:17" x14ac:dyDescent="0.2">
      <c r="A1565" s="121">
        <v>39813</v>
      </c>
      <c r="B1565" t="s">
        <v>406</v>
      </c>
      <c r="C1565" t="s">
        <v>451</v>
      </c>
      <c r="D1565" t="s">
        <v>454</v>
      </c>
      <c r="E1565" t="s">
        <v>455</v>
      </c>
      <c r="F1565" t="s">
        <v>413</v>
      </c>
      <c r="G1565">
        <v>4166</v>
      </c>
      <c r="H1565">
        <v>4166</v>
      </c>
      <c r="I1565">
        <v>3927</v>
      </c>
      <c r="J1565">
        <v>3927</v>
      </c>
      <c r="K1565">
        <v>1252</v>
      </c>
      <c r="L1565">
        <v>12</v>
      </c>
      <c r="M1565">
        <v>2277</v>
      </c>
      <c r="N1565">
        <v>41</v>
      </c>
      <c r="O1565">
        <v>584</v>
      </c>
      <c r="P1565">
        <v>4</v>
      </c>
      <c r="Q1565">
        <v>0</v>
      </c>
    </row>
    <row r="1566" spans="1:17" x14ac:dyDescent="0.2">
      <c r="A1566" s="121">
        <v>39813</v>
      </c>
      <c r="B1566" t="s">
        <v>406</v>
      </c>
      <c r="C1566" t="s">
        <v>456</v>
      </c>
      <c r="D1566" t="s">
        <v>457</v>
      </c>
      <c r="E1566" t="s">
        <v>458</v>
      </c>
      <c r="F1566" t="s">
        <v>413</v>
      </c>
      <c r="G1566">
        <v>5363</v>
      </c>
      <c r="H1566">
        <v>5363</v>
      </c>
      <c r="I1566">
        <v>4937</v>
      </c>
      <c r="J1566">
        <v>4937</v>
      </c>
      <c r="K1566">
        <v>1396</v>
      </c>
      <c r="L1566">
        <v>28</v>
      </c>
      <c r="M1566">
        <v>3823</v>
      </c>
      <c r="N1566">
        <v>79</v>
      </c>
      <c r="O1566">
        <v>37</v>
      </c>
      <c r="P1566">
        <v>60</v>
      </c>
      <c r="Q1566">
        <v>3</v>
      </c>
    </row>
    <row r="1567" spans="1:17" x14ac:dyDescent="0.2">
      <c r="A1567" s="121">
        <v>39813</v>
      </c>
      <c r="B1567" t="s">
        <v>406</v>
      </c>
      <c r="C1567" t="s">
        <v>456</v>
      </c>
      <c r="D1567" t="s">
        <v>459</v>
      </c>
      <c r="E1567" t="s">
        <v>460</v>
      </c>
      <c r="F1567" t="s">
        <v>413</v>
      </c>
      <c r="G1567">
        <v>1338</v>
      </c>
      <c r="H1567">
        <v>1338</v>
      </c>
      <c r="I1567">
        <v>1331</v>
      </c>
      <c r="J1567">
        <v>1331</v>
      </c>
      <c r="K1567">
        <v>448</v>
      </c>
      <c r="L1567">
        <v>0</v>
      </c>
      <c r="M1567">
        <v>890</v>
      </c>
      <c r="N1567">
        <v>0</v>
      </c>
      <c r="O1567">
        <v>0</v>
      </c>
      <c r="P1567">
        <v>0</v>
      </c>
      <c r="Q1567">
        <v>0</v>
      </c>
    </row>
    <row r="1568" spans="1:17" x14ac:dyDescent="0.2">
      <c r="A1568" s="121">
        <v>39813</v>
      </c>
      <c r="B1568" t="s">
        <v>406</v>
      </c>
      <c r="C1568" t="s">
        <v>456</v>
      </c>
      <c r="D1568" t="s">
        <v>461</v>
      </c>
      <c r="E1568" t="s">
        <v>462</v>
      </c>
      <c r="F1568" t="s">
        <v>410</v>
      </c>
      <c r="G1568">
        <v>68</v>
      </c>
      <c r="I1568">
        <v>68</v>
      </c>
    </row>
    <row r="1569" spans="1:17" x14ac:dyDescent="0.2">
      <c r="A1569" s="121">
        <v>39813</v>
      </c>
      <c r="B1569" t="s">
        <v>406</v>
      </c>
      <c r="C1569" t="s">
        <v>456</v>
      </c>
      <c r="D1569" t="s">
        <v>463</v>
      </c>
      <c r="E1569" t="s">
        <v>464</v>
      </c>
      <c r="F1569" t="s">
        <v>410</v>
      </c>
      <c r="G1569">
        <v>26</v>
      </c>
      <c r="I1569">
        <v>26</v>
      </c>
    </row>
    <row r="1570" spans="1:17" x14ac:dyDescent="0.2">
      <c r="A1570" s="121">
        <v>39813</v>
      </c>
      <c r="B1570" t="s">
        <v>406</v>
      </c>
      <c r="C1570" t="s">
        <v>456</v>
      </c>
      <c r="D1570" t="s">
        <v>465</v>
      </c>
      <c r="E1570" t="s">
        <v>466</v>
      </c>
      <c r="F1570" t="s">
        <v>410</v>
      </c>
      <c r="G1570">
        <v>74</v>
      </c>
      <c r="I1570">
        <v>74</v>
      </c>
    </row>
    <row r="1571" spans="1:17" x14ac:dyDescent="0.2">
      <c r="A1571" s="121">
        <v>39813</v>
      </c>
      <c r="B1571" t="s">
        <v>406</v>
      </c>
      <c r="C1571" t="s">
        <v>456</v>
      </c>
      <c r="D1571" t="s">
        <v>467</v>
      </c>
      <c r="E1571" t="s">
        <v>468</v>
      </c>
      <c r="F1571" t="s">
        <v>410</v>
      </c>
      <c r="G1571">
        <v>1123</v>
      </c>
      <c r="I1571">
        <v>1123</v>
      </c>
    </row>
    <row r="1572" spans="1:17" x14ac:dyDescent="0.2">
      <c r="A1572" s="121">
        <v>39813</v>
      </c>
      <c r="B1572" t="s">
        <v>406</v>
      </c>
      <c r="C1572" t="s">
        <v>456</v>
      </c>
      <c r="D1572" t="s">
        <v>469</v>
      </c>
      <c r="E1572" t="s">
        <v>470</v>
      </c>
      <c r="F1572" t="s">
        <v>410</v>
      </c>
      <c r="G1572">
        <v>833</v>
      </c>
      <c r="I1572">
        <v>824</v>
      </c>
    </row>
    <row r="1573" spans="1:17" x14ac:dyDescent="0.2">
      <c r="A1573" s="121">
        <v>39813</v>
      </c>
      <c r="B1573" t="s">
        <v>406</v>
      </c>
      <c r="C1573" t="s">
        <v>456</v>
      </c>
      <c r="D1573" t="s">
        <v>471</v>
      </c>
      <c r="E1573" t="s">
        <v>472</v>
      </c>
      <c r="F1573" t="s">
        <v>410</v>
      </c>
      <c r="G1573">
        <v>206</v>
      </c>
      <c r="I1573">
        <v>201</v>
      </c>
    </row>
    <row r="1574" spans="1:17" x14ac:dyDescent="0.2">
      <c r="A1574" s="121">
        <v>39813</v>
      </c>
      <c r="B1574" t="s">
        <v>406</v>
      </c>
      <c r="C1574" t="s">
        <v>456</v>
      </c>
      <c r="D1574" t="s">
        <v>473</v>
      </c>
      <c r="E1574" t="s">
        <v>474</v>
      </c>
      <c r="F1574" t="s">
        <v>410</v>
      </c>
      <c r="G1574">
        <v>140</v>
      </c>
      <c r="I1574">
        <v>140</v>
      </c>
    </row>
    <row r="1575" spans="1:17" x14ac:dyDescent="0.2">
      <c r="A1575" s="121">
        <v>39813</v>
      </c>
      <c r="B1575" t="s">
        <v>406</v>
      </c>
      <c r="C1575" t="s">
        <v>456</v>
      </c>
      <c r="D1575" t="s">
        <v>475</v>
      </c>
      <c r="E1575" t="s">
        <v>476</v>
      </c>
      <c r="F1575" t="s">
        <v>410</v>
      </c>
      <c r="G1575">
        <v>265</v>
      </c>
      <c r="I1575">
        <v>265</v>
      </c>
    </row>
    <row r="1576" spans="1:17" x14ac:dyDescent="0.2">
      <c r="A1576" s="121">
        <v>39813</v>
      </c>
      <c r="B1576" t="s">
        <v>406</v>
      </c>
      <c r="C1576" t="s">
        <v>456</v>
      </c>
      <c r="D1576" t="s">
        <v>477</v>
      </c>
      <c r="E1576" t="s">
        <v>478</v>
      </c>
      <c r="F1576" t="s">
        <v>413</v>
      </c>
      <c r="G1576">
        <v>1766</v>
      </c>
      <c r="H1576">
        <v>1766</v>
      </c>
      <c r="I1576">
        <v>1626</v>
      </c>
      <c r="J1576">
        <v>1626</v>
      </c>
      <c r="K1576">
        <v>566</v>
      </c>
      <c r="L1576">
        <v>5</v>
      </c>
      <c r="M1576">
        <v>1147</v>
      </c>
      <c r="N1576">
        <v>22</v>
      </c>
      <c r="O1576">
        <v>26</v>
      </c>
      <c r="P1576">
        <v>16</v>
      </c>
      <c r="Q1576">
        <v>2</v>
      </c>
    </row>
    <row r="1577" spans="1:17" x14ac:dyDescent="0.2">
      <c r="A1577" s="121">
        <v>39813</v>
      </c>
      <c r="B1577" t="s">
        <v>406</v>
      </c>
      <c r="C1577" t="s">
        <v>456</v>
      </c>
      <c r="D1577" t="s">
        <v>479</v>
      </c>
      <c r="E1577" t="s">
        <v>480</v>
      </c>
      <c r="F1577" t="s">
        <v>410</v>
      </c>
      <c r="G1577">
        <v>77</v>
      </c>
      <c r="I1577">
        <v>77</v>
      </c>
    </row>
    <row r="1578" spans="1:17" x14ac:dyDescent="0.2">
      <c r="A1578" s="121">
        <v>39813</v>
      </c>
      <c r="B1578" t="s">
        <v>406</v>
      </c>
      <c r="C1578" t="s">
        <v>456</v>
      </c>
      <c r="D1578" t="s">
        <v>481</v>
      </c>
      <c r="E1578" t="s">
        <v>482</v>
      </c>
      <c r="F1578" t="s">
        <v>410</v>
      </c>
      <c r="G1578">
        <v>27</v>
      </c>
      <c r="I1578">
        <v>27</v>
      </c>
    </row>
    <row r="1579" spans="1:17" x14ac:dyDescent="0.2">
      <c r="A1579" s="121">
        <v>39813</v>
      </c>
      <c r="B1579" t="s">
        <v>406</v>
      </c>
      <c r="C1579" t="s">
        <v>456</v>
      </c>
      <c r="D1579" t="s">
        <v>483</v>
      </c>
      <c r="E1579" t="s">
        <v>484</v>
      </c>
      <c r="F1579" t="s">
        <v>410</v>
      </c>
      <c r="G1579">
        <v>102</v>
      </c>
      <c r="I1579">
        <v>102</v>
      </c>
    </row>
    <row r="1580" spans="1:17" x14ac:dyDescent="0.2">
      <c r="A1580" s="121">
        <v>39813</v>
      </c>
      <c r="B1580" t="s">
        <v>406</v>
      </c>
      <c r="C1580" t="s">
        <v>456</v>
      </c>
      <c r="D1580" t="s">
        <v>485</v>
      </c>
      <c r="E1580" t="s">
        <v>486</v>
      </c>
      <c r="F1580" t="s">
        <v>410</v>
      </c>
      <c r="G1580">
        <v>83</v>
      </c>
      <c r="I1580">
        <v>83</v>
      </c>
    </row>
    <row r="1581" spans="1:17" x14ac:dyDescent="0.2">
      <c r="A1581" s="121">
        <v>39813</v>
      </c>
      <c r="B1581" t="s">
        <v>406</v>
      </c>
      <c r="C1581" t="s">
        <v>456</v>
      </c>
      <c r="D1581" t="s">
        <v>487</v>
      </c>
      <c r="E1581" t="s">
        <v>488</v>
      </c>
      <c r="F1581" t="s">
        <v>410</v>
      </c>
      <c r="G1581">
        <v>24</v>
      </c>
      <c r="I1581">
        <v>24</v>
      </c>
    </row>
    <row r="1582" spans="1:17" x14ac:dyDescent="0.2">
      <c r="A1582" s="121">
        <v>39813</v>
      </c>
      <c r="B1582" t="s">
        <v>406</v>
      </c>
      <c r="C1582" t="s">
        <v>456</v>
      </c>
      <c r="D1582" t="s">
        <v>489</v>
      </c>
      <c r="E1582" t="s">
        <v>490</v>
      </c>
      <c r="F1582" t="s">
        <v>410</v>
      </c>
      <c r="G1582">
        <v>105</v>
      </c>
      <c r="H1582">
        <v>105</v>
      </c>
      <c r="I1582">
        <v>105</v>
      </c>
      <c r="J1582">
        <v>105</v>
      </c>
      <c r="K1582">
        <v>0</v>
      </c>
      <c r="L1582">
        <v>1</v>
      </c>
      <c r="M1582">
        <v>87</v>
      </c>
      <c r="N1582">
        <v>17</v>
      </c>
      <c r="O1582">
        <v>0</v>
      </c>
      <c r="P1582">
        <v>0</v>
      </c>
      <c r="Q1582">
        <v>0</v>
      </c>
    </row>
    <row r="1583" spans="1:17" x14ac:dyDescent="0.2">
      <c r="A1583" s="121">
        <v>39813</v>
      </c>
      <c r="B1583" t="s">
        <v>406</v>
      </c>
      <c r="C1583" t="s">
        <v>491</v>
      </c>
      <c r="D1583" t="s">
        <v>492</v>
      </c>
      <c r="E1583" t="s">
        <v>493</v>
      </c>
      <c r="F1583" t="s">
        <v>410</v>
      </c>
      <c r="G1583">
        <v>1188</v>
      </c>
      <c r="H1583">
        <v>1188</v>
      </c>
      <c r="I1583">
        <v>1163</v>
      </c>
      <c r="J1583">
        <v>1163</v>
      </c>
      <c r="K1583">
        <v>352</v>
      </c>
      <c r="L1583">
        <v>0</v>
      </c>
      <c r="M1583">
        <v>0</v>
      </c>
      <c r="N1583">
        <v>68</v>
      </c>
      <c r="O1583">
        <v>768</v>
      </c>
      <c r="P1583">
        <v>2</v>
      </c>
      <c r="Q1583">
        <v>0</v>
      </c>
    </row>
    <row r="1584" spans="1:17" x14ac:dyDescent="0.2">
      <c r="A1584" s="121">
        <v>39813</v>
      </c>
      <c r="B1584" t="s">
        <v>406</v>
      </c>
      <c r="C1584" t="s">
        <v>491</v>
      </c>
      <c r="D1584" t="s">
        <v>494</v>
      </c>
      <c r="E1584" t="s">
        <v>495</v>
      </c>
      <c r="F1584" t="s">
        <v>413</v>
      </c>
      <c r="G1584">
        <v>2701</v>
      </c>
      <c r="H1584">
        <v>2701</v>
      </c>
      <c r="I1584">
        <v>2644</v>
      </c>
      <c r="J1584">
        <v>2644</v>
      </c>
      <c r="K1584">
        <v>674</v>
      </c>
      <c r="L1584">
        <v>0</v>
      </c>
      <c r="M1584">
        <v>7</v>
      </c>
      <c r="N1584">
        <v>59</v>
      </c>
      <c r="O1584">
        <v>1961</v>
      </c>
      <c r="P1584">
        <v>1</v>
      </c>
      <c r="Q1584">
        <v>0</v>
      </c>
    </row>
    <row r="1585" spans="1:17" x14ac:dyDescent="0.2">
      <c r="A1585" s="121">
        <v>39813</v>
      </c>
      <c r="B1585" t="s">
        <v>406</v>
      </c>
      <c r="C1585" t="s">
        <v>491</v>
      </c>
      <c r="D1585" t="s">
        <v>496</v>
      </c>
      <c r="E1585" t="s">
        <v>497</v>
      </c>
      <c r="F1585" t="s">
        <v>413</v>
      </c>
      <c r="G1585">
        <v>5789</v>
      </c>
      <c r="H1585">
        <v>5789</v>
      </c>
      <c r="I1585">
        <v>5614</v>
      </c>
      <c r="J1585">
        <v>5614</v>
      </c>
      <c r="K1585">
        <v>1788</v>
      </c>
      <c r="L1585">
        <v>0</v>
      </c>
      <c r="M1585">
        <v>23</v>
      </c>
      <c r="N1585">
        <v>72</v>
      </c>
      <c r="O1585">
        <v>3906</v>
      </c>
      <c r="P1585">
        <v>4</v>
      </c>
      <c r="Q1585">
        <v>0</v>
      </c>
    </row>
    <row r="1586" spans="1:17" x14ac:dyDescent="0.2">
      <c r="A1586" s="121">
        <v>39813</v>
      </c>
      <c r="B1586" t="s">
        <v>406</v>
      </c>
      <c r="C1586" t="s">
        <v>491</v>
      </c>
      <c r="D1586" t="s">
        <v>498</v>
      </c>
      <c r="E1586" t="s">
        <v>499</v>
      </c>
      <c r="F1586" t="s">
        <v>413</v>
      </c>
      <c r="G1586">
        <v>6301</v>
      </c>
      <c r="H1586">
        <v>6301</v>
      </c>
      <c r="I1586">
        <v>6014</v>
      </c>
      <c r="J1586">
        <v>6014</v>
      </c>
      <c r="K1586">
        <v>2022</v>
      </c>
      <c r="L1586">
        <v>17</v>
      </c>
      <c r="M1586">
        <v>3813</v>
      </c>
      <c r="N1586">
        <v>121</v>
      </c>
      <c r="O1586">
        <v>328</v>
      </c>
      <c r="P1586">
        <v>3</v>
      </c>
      <c r="Q1586">
        <v>0</v>
      </c>
    </row>
    <row r="1587" spans="1:17" x14ac:dyDescent="0.2">
      <c r="A1587" s="121">
        <v>39813</v>
      </c>
      <c r="B1587" t="s">
        <v>406</v>
      </c>
      <c r="C1587" t="s">
        <v>491</v>
      </c>
      <c r="D1587" t="s">
        <v>500</v>
      </c>
      <c r="E1587" t="s">
        <v>501</v>
      </c>
      <c r="F1587" t="s">
        <v>413</v>
      </c>
      <c r="G1587">
        <v>3322</v>
      </c>
      <c r="H1587">
        <v>3322</v>
      </c>
      <c r="I1587">
        <v>3302</v>
      </c>
      <c r="J1587">
        <v>3302</v>
      </c>
      <c r="K1587">
        <v>1043</v>
      </c>
      <c r="L1587">
        <v>1</v>
      </c>
      <c r="M1587">
        <v>2113</v>
      </c>
      <c r="N1587">
        <v>28</v>
      </c>
      <c r="O1587">
        <v>137</v>
      </c>
      <c r="P1587">
        <v>0</v>
      </c>
      <c r="Q1587">
        <v>0</v>
      </c>
    </row>
    <row r="1588" spans="1:17" x14ac:dyDescent="0.2">
      <c r="A1588" s="121">
        <v>39813</v>
      </c>
      <c r="B1588" t="s">
        <v>406</v>
      </c>
      <c r="C1588" t="s">
        <v>491</v>
      </c>
      <c r="D1588" t="s">
        <v>502</v>
      </c>
      <c r="E1588" t="s">
        <v>503</v>
      </c>
      <c r="F1588" t="s">
        <v>413</v>
      </c>
      <c r="G1588">
        <v>5575</v>
      </c>
      <c r="H1588">
        <v>5575</v>
      </c>
      <c r="I1588">
        <v>5399</v>
      </c>
      <c r="J1588">
        <v>5399</v>
      </c>
      <c r="K1588">
        <v>1550</v>
      </c>
      <c r="L1588">
        <v>15</v>
      </c>
      <c r="M1588">
        <v>3779</v>
      </c>
      <c r="N1588">
        <v>164</v>
      </c>
      <c r="O1588">
        <v>67</v>
      </c>
      <c r="P1588">
        <v>23</v>
      </c>
      <c r="Q1588">
        <v>1</v>
      </c>
    </row>
    <row r="1589" spans="1:17" x14ac:dyDescent="0.2">
      <c r="A1589" s="121">
        <v>39813</v>
      </c>
      <c r="B1589" t="s">
        <v>406</v>
      </c>
      <c r="C1589" t="s">
        <v>491</v>
      </c>
      <c r="D1589" t="s">
        <v>504</v>
      </c>
      <c r="E1589" t="s">
        <v>505</v>
      </c>
      <c r="F1589" t="s">
        <v>413</v>
      </c>
      <c r="G1589">
        <v>4246</v>
      </c>
      <c r="H1589">
        <v>4246</v>
      </c>
      <c r="I1589">
        <v>4138</v>
      </c>
      <c r="J1589">
        <v>4138</v>
      </c>
      <c r="K1589">
        <v>1315</v>
      </c>
      <c r="L1589">
        <v>8</v>
      </c>
      <c r="M1589">
        <v>2806</v>
      </c>
      <c r="N1589">
        <v>57</v>
      </c>
      <c r="O1589">
        <v>60</v>
      </c>
      <c r="P1589">
        <v>4</v>
      </c>
      <c r="Q1589">
        <v>0</v>
      </c>
    </row>
    <row r="1590" spans="1:17" x14ac:dyDescent="0.2">
      <c r="A1590" s="121">
        <v>39813</v>
      </c>
      <c r="B1590" t="s">
        <v>406</v>
      </c>
      <c r="C1590" t="s">
        <v>491</v>
      </c>
      <c r="D1590" t="s">
        <v>506</v>
      </c>
      <c r="E1590" t="s">
        <v>507</v>
      </c>
      <c r="F1590" t="s">
        <v>413</v>
      </c>
      <c r="G1590">
        <v>3948</v>
      </c>
      <c r="H1590">
        <v>3948</v>
      </c>
      <c r="I1590">
        <v>3912</v>
      </c>
      <c r="J1590">
        <v>3912</v>
      </c>
      <c r="K1590">
        <v>557</v>
      </c>
      <c r="L1590">
        <v>1</v>
      </c>
      <c r="M1590">
        <v>3380</v>
      </c>
      <c r="N1590">
        <v>2</v>
      </c>
      <c r="O1590">
        <v>8</v>
      </c>
      <c r="P1590">
        <v>1</v>
      </c>
      <c r="Q1590">
        <v>1</v>
      </c>
    </row>
    <row r="1591" spans="1:17" x14ac:dyDescent="0.2">
      <c r="A1591" s="121">
        <v>39813</v>
      </c>
      <c r="B1591" t="s">
        <v>406</v>
      </c>
      <c r="C1591" t="s">
        <v>491</v>
      </c>
      <c r="D1591" t="s">
        <v>508</v>
      </c>
      <c r="E1591" t="s">
        <v>509</v>
      </c>
      <c r="F1591" t="s">
        <v>413</v>
      </c>
      <c r="G1591">
        <v>5185</v>
      </c>
      <c r="H1591">
        <v>5185</v>
      </c>
      <c r="I1591">
        <v>4887</v>
      </c>
      <c r="J1591">
        <v>4887</v>
      </c>
      <c r="K1591">
        <v>1773</v>
      </c>
      <c r="L1591">
        <v>12</v>
      </c>
      <c r="M1591">
        <v>2883</v>
      </c>
      <c r="N1591">
        <v>131</v>
      </c>
      <c r="O1591">
        <v>386</v>
      </c>
      <c r="P1591">
        <v>14</v>
      </c>
      <c r="Q1591">
        <v>0</v>
      </c>
    </row>
    <row r="1592" spans="1:17" x14ac:dyDescent="0.2">
      <c r="A1592" s="121">
        <v>39813</v>
      </c>
      <c r="B1592" t="s">
        <v>406</v>
      </c>
      <c r="C1592" t="s">
        <v>510</v>
      </c>
      <c r="D1592" t="s">
        <v>511</v>
      </c>
      <c r="E1592" t="s">
        <v>512</v>
      </c>
      <c r="F1592" t="s">
        <v>410</v>
      </c>
      <c r="G1592">
        <v>476</v>
      </c>
      <c r="I1592">
        <v>469</v>
      </c>
    </row>
    <row r="1593" spans="1:17" x14ac:dyDescent="0.2">
      <c r="A1593" s="121">
        <v>39813</v>
      </c>
      <c r="B1593" t="s">
        <v>406</v>
      </c>
      <c r="C1593" t="s">
        <v>510</v>
      </c>
      <c r="D1593" t="s">
        <v>513</v>
      </c>
      <c r="E1593" t="s">
        <v>514</v>
      </c>
      <c r="F1593" t="s">
        <v>410</v>
      </c>
      <c r="G1593">
        <v>583</v>
      </c>
      <c r="I1593">
        <v>579</v>
      </c>
    </row>
    <row r="1594" spans="1:17" x14ac:dyDescent="0.2">
      <c r="A1594" s="121">
        <v>39813</v>
      </c>
      <c r="B1594" t="s">
        <v>406</v>
      </c>
      <c r="C1594" t="s">
        <v>510</v>
      </c>
      <c r="D1594" t="s">
        <v>515</v>
      </c>
      <c r="E1594" t="s">
        <v>516</v>
      </c>
      <c r="F1594" t="s">
        <v>410</v>
      </c>
      <c r="G1594">
        <v>59</v>
      </c>
      <c r="I1594">
        <v>59</v>
      </c>
    </row>
    <row r="1595" spans="1:17" x14ac:dyDescent="0.2">
      <c r="A1595" s="121">
        <v>39813</v>
      </c>
      <c r="B1595" t="s">
        <v>406</v>
      </c>
      <c r="C1595" t="s">
        <v>510</v>
      </c>
      <c r="D1595" t="s">
        <v>517</v>
      </c>
      <c r="E1595" t="s">
        <v>518</v>
      </c>
      <c r="F1595" t="s">
        <v>410</v>
      </c>
      <c r="G1595">
        <v>291</v>
      </c>
      <c r="I1595">
        <v>287</v>
      </c>
    </row>
    <row r="1596" spans="1:17" x14ac:dyDescent="0.2">
      <c r="A1596" s="121">
        <v>39813</v>
      </c>
      <c r="B1596" t="s">
        <v>406</v>
      </c>
      <c r="C1596" t="s">
        <v>510</v>
      </c>
      <c r="D1596" t="s">
        <v>519</v>
      </c>
      <c r="E1596" t="s">
        <v>520</v>
      </c>
      <c r="F1596" t="s">
        <v>410</v>
      </c>
      <c r="G1596">
        <v>388</v>
      </c>
      <c r="I1596">
        <v>381</v>
      </c>
    </row>
    <row r="1597" spans="1:17" x14ac:dyDescent="0.2">
      <c r="A1597" s="121">
        <v>39813</v>
      </c>
      <c r="B1597" t="s">
        <v>406</v>
      </c>
      <c r="C1597" t="s">
        <v>510</v>
      </c>
      <c r="D1597" t="s">
        <v>521</v>
      </c>
      <c r="E1597" t="s">
        <v>522</v>
      </c>
      <c r="F1597" t="s">
        <v>410</v>
      </c>
      <c r="G1597">
        <v>39</v>
      </c>
      <c r="I1597">
        <v>38</v>
      </c>
    </row>
    <row r="1598" spans="1:17" x14ac:dyDescent="0.2">
      <c r="A1598" s="121">
        <v>39813</v>
      </c>
      <c r="B1598" t="s">
        <v>406</v>
      </c>
      <c r="C1598" t="s">
        <v>510</v>
      </c>
      <c r="D1598" t="s">
        <v>523</v>
      </c>
      <c r="E1598" t="s">
        <v>524</v>
      </c>
      <c r="F1598" t="s">
        <v>413</v>
      </c>
      <c r="G1598">
        <v>420</v>
      </c>
      <c r="I1598">
        <v>417</v>
      </c>
    </row>
    <row r="1599" spans="1:17" x14ac:dyDescent="0.2">
      <c r="A1599" s="121">
        <v>39813</v>
      </c>
      <c r="B1599" t="s">
        <v>406</v>
      </c>
      <c r="C1599" t="s">
        <v>510</v>
      </c>
      <c r="D1599" t="s">
        <v>527</v>
      </c>
      <c r="E1599" t="s">
        <v>528</v>
      </c>
      <c r="F1599" t="s">
        <v>410</v>
      </c>
      <c r="G1599">
        <v>216</v>
      </c>
      <c r="I1599">
        <v>216</v>
      </c>
    </row>
    <row r="1600" spans="1:17" x14ac:dyDescent="0.2">
      <c r="A1600" s="121">
        <v>39813</v>
      </c>
      <c r="B1600" t="s">
        <v>406</v>
      </c>
      <c r="C1600" t="s">
        <v>510</v>
      </c>
      <c r="D1600" t="s">
        <v>529</v>
      </c>
      <c r="E1600" t="s">
        <v>530</v>
      </c>
      <c r="F1600" t="s">
        <v>413</v>
      </c>
      <c r="G1600">
        <v>504</v>
      </c>
      <c r="I1600">
        <v>496</v>
      </c>
    </row>
    <row r="1601" spans="1:17" x14ac:dyDescent="0.2">
      <c r="A1601" s="121">
        <v>39813</v>
      </c>
      <c r="B1601" t="s">
        <v>406</v>
      </c>
      <c r="C1601" t="s">
        <v>510</v>
      </c>
      <c r="D1601" t="s">
        <v>531</v>
      </c>
      <c r="E1601" t="s">
        <v>532</v>
      </c>
      <c r="F1601" t="s">
        <v>410</v>
      </c>
      <c r="G1601">
        <v>37</v>
      </c>
      <c r="I1601">
        <v>37</v>
      </c>
    </row>
    <row r="1602" spans="1:17" x14ac:dyDescent="0.2">
      <c r="A1602" s="121">
        <v>39813</v>
      </c>
      <c r="B1602" t="s">
        <v>406</v>
      </c>
      <c r="C1602" t="s">
        <v>510</v>
      </c>
      <c r="D1602" t="s">
        <v>533</v>
      </c>
      <c r="E1602" t="s">
        <v>534</v>
      </c>
      <c r="F1602" t="s">
        <v>413</v>
      </c>
      <c r="G1602">
        <v>2296</v>
      </c>
      <c r="H1602">
        <v>2296</v>
      </c>
      <c r="I1602">
        <v>2253</v>
      </c>
      <c r="J1602">
        <v>2253</v>
      </c>
      <c r="K1602">
        <v>564</v>
      </c>
      <c r="L1602">
        <v>25</v>
      </c>
      <c r="M1602">
        <v>1703</v>
      </c>
      <c r="N1602">
        <v>4</v>
      </c>
      <c r="O1602">
        <v>0</v>
      </c>
      <c r="P1602">
        <v>2</v>
      </c>
      <c r="Q1602">
        <v>0</v>
      </c>
    </row>
    <row r="1603" spans="1:17" x14ac:dyDescent="0.2">
      <c r="A1603" s="121">
        <v>39813</v>
      </c>
      <c r="B1603" t="s">
        <v>406</v>
      </c>
      <c r="C1603" t="s">
        <v>510</v>
      </c>
      <c r="D1603" t="s">
        <v>535</v>
      </c>
      <c r="E1603" t="s">
        <v>536</v>
      </c>
      <c r="F1603" t="s">
        <v>410</v>
      </c>
      <c r="G1603">
        <v>202</v>
      </c>
      <c r="I1603">
        <v>202</v>
      </c>
    </row>
    <row r="1604" spans="1:17" x14ac:dyDescent="0.2">
      <c r="A1604" s="121">
        <v>39813</v>
      </c>
      <c r="B1604" t="s">
        <v>406</v>
      </c>
      <c r="C1604" t="s">
        <v>510</v>
      </c>
      <c r="D1604" t="s">
        <v>537</v>
      </c>
      <c r="E1604" t="s">
        <v>538</v>
      </c>
      <c r="F1604" t="s">
        <v>410</v>
      </c>
      <c r="G1604">
        <v>71</v>
      </c>
      <c r="I1604">
        <v>70</v>
      </c>
    </row>
    <row r="1605" spans="1:17" x14ac:dyDescent="0.2">
      <c r="A1605" s="121">
        <v>39813</v>
      </c>
      <c r="B1605" t="s">
        <v>406</v>
      </c>
      <c r="C1605" t="s">
        <v>510</v>
      </c>
      <c r="D1605" t="s">
        <v>539</v>
      </c>
      <c r="E1605" t="s">
        <v>540</v>
      </c>
      <c r="F1605" t="s">
        <v>413</v>
      </c>
      <c r="G1605">
        <v>601</v>
      </c>
      <c r="I1605">
        <v>589</v>
      </c>
    </row>
    <row r="1606" spans="1:17" x14ac:dyDescent="0.2">
      <c r="A1606" s="121">
        <v>39813</v>
      </c>
      <c r="B1606" t="s">
        <v>406</v>
      </c>
      <c r="C1606" t="s">
        <v>510</v>
      </c>
      <c r="D1606" t="s">
        <v>541</v>
      </c>
      <c r="E1606" t="s">
        <v>542</v>
      </c>
      <c r="F1606" t="s">
        <v>410</v>
      </c>
      <c r="G1606">
        <v>286</v>
      </c>
      <c r="I1606">
        <v>276</v>
      </c>
    </row>
    <row r="1607" spans="1:17" x14ac:dyDescent="0.2">
      <c r="A1607" s="121">
        <v>39813</v>
      </c>
      <c r="B1607" t="s">
        <v>406</v>
      </c>
      <c r="C1607" t="s">
        <v>510</v>
      </c>
      <c r="D1607" t="s">
        <v>543</v>
      </c>
      <c r="E1607" t="s">
        <v>544</v>
      </c>
      <c r="F1607" t="s">
        <v>410</v>
      </c>
      <c r="G1607">
        <v>276</v>
      </c>
      <c r="I1607">
        <v>263</v>
      </c>
    </row>
    <row r="1608" spans="1:17" x14ac:dyDescent="0.2">
      <c r="A1608" s="121">
        <v>39813</v>
      </c>
      <c r="B1608" t="s">
        <v>406</v>
      </c>
      <c r="C1608" t="s">
        <v>510</v>
      </c>
      <c r="D1608" t="s">
        <v>545</v>
      </c>
      <c r="E1608" t="s">
        <v>546</v>
      </c>
      <c r="F1608" t="s">
        <v>410</v>
      </c>
      <c r="G1608">
        <v>157</v>
      </c>
      <c r="I1608">
        <v>157</v>
      </c>
    </row>
    <row r="1609" spans="1:17" x14ac:dyDescent="0.2">
      <c r="A1609" s="121">
        <v>39813</v>
      </c>
      <c r="B1609" t="s">
        <v>406</v>
      </c>
      <c r="C1609" t="s">
        <v>510</v>
      </c>
      <c r="D1609" t="s">
        <v>547</v>
      </c>
      <c r="E1609" t="s">
        <v>548</v>
      </c>
      <c r="F1609" t="s">
        <v>410</v>
      </c>
      <c r="G1609">
        <v>104</v>
      </c>
      <c r="I1609">
        <v>103</v>
      </c>
    </row>
    <row r="1610" spans="1:17" x14ac:dyDescent="0.2">
      <c r="A1610" s="121">
        <v>39813</v>
      </c>
      <c r="B1610" t="s">
        <v>406</v>
      </c>
      <c r="C1610" t="s">
        <v>510</v>
      </c>
      <c r="D1610" t="s">
        <v>549</v>
      </c>
      <c r="E1610" t="s">
        <v>550</v>
      </c>
      <c r="F1610" t="s">
        <v>410</v>
      </c>
      <c r="G1610">
        <v>114</v>
      </c>
      <c r="I1610">
        <v>114</v>
      </c>
    </row>
    <row r="1611" spans="1:17" x14ac:dyDescent="0.2">
      <c r="A1611" s="121">
        <v>39813</v>
      </c>
      <c r="B1611" t="s">
        <v>406</v>
      </c>
      <c r="C1611" t="s">
        <v>551</v>
      </c>
      <c r="D1611" t="s">
        <v>552</v>
      </c>
      <c r="E1611" t="s">
        <v>553</v>
      </c>
      <c r="F1611" t="s">
        <v>413</v>
      </c>
      <c r="G1611">
        <v>4991</v>
      </c>
      <c r="H1611">
        <v>4991</v>
      </c>
      <c r="I1611">
        <v>4868</v>
      </c>
      <c r="J1611">
        <v>4868</v>
      </c>
      <c r="K1611">
        <v>1675</v>
      </c>
      <c r="L1611">
        <v>10</v>
      </c>
      <c r="M1611">
        <v>3264</v>
      </c>
      <c r="N1611">
        <v>21</v>
      </c>
      <c r="O1611">
        <v>21</v>
      </c>
      <c r="P1611">
        <v>6</v>
      </c>
      <c r="Q1611">
        <v>1</v>
      </c>
    </row>
    <row r="1612" spans="1:17" x14ac:dyDescent="0.2">
      <c r="A1612" s="121">
        <v>39813</v>
      </c>
      <c r="B1612" t="s">
        <v>406</v>
      </c>
      <c r="C1612" t="s">
        <v>551</v>
      </c>
      <c r="D1612" t="s">
        <v>554</v>
      </c>
      <c r="E1612" t="s">
        <v>555</v>
      </c>
      <c r="F1612" t="s">
        <v>410</v>
      </c>
      <c r="G1612">
        <v>123</v>
      </c>
      <c r="I1612">
        <v>123</v>
      </c>
    </row>
    <row r="1613" spans="1:17" x14ac:dyDescent="0.2">
      <c r="A1613" s="121">
        <v>39813</v>
      </c>
      <c r="B1613" t="s">
        <v>406</v>
      </c>
      <c r="C1613" t="s">
        <v>551</v>
      </c>
      <c r="D1613" t="s">
        <v>556</v>
      </c>
      <c r="E1613" t="s">
        <v>557</v>
      </c>
      <c r="F1613" t="s">
        <v>410</v>
      </c>
      <c r="G1613">
        <v>155</v>
      </c>
      <c r="I1613">
        <v>155</v>
      </c>
    </row>
    <row r="1614" spans="1:17" x14ac:dyDescent="0.2">
      <c r="A1614" s="121">
        <v>39813</v>
      </c>
      <c r="B1614" t="s">
        <v>406</v>
      </c>
      <c r="C1614" t="s">
        <v>551</v>
      </c>
      <c r="D1614" t="s">
        <v>558</v>
      </c>
      <c r="E1614" t="s">
        <v>559</v>
      </c>
      <c r="F1614" t="s">
        <v>413</v>
      </c>
      <c r="G1614">
        <v>4561</v>
      </c>
      <c r="H1614">
        <v>4561</v>
      </c>
      <c r="I1614">
        <v>4329</v>
      </c>
      <c r="J1614">
        <v>4329</v>
      </c>
      <c r="K1614">
        <v>1271</v>
      </c>
      <c r="L1614">
        <v>7</v>
      </c>
      <c r="M1614">
        <v>3252</v>
      </c>
      <c r="N1614">
        <v>6</v>
      </c>
      <c r="O1614">
        <v>25</v>
      </c>
      <c r="P1614">
        <v>24</v>
      </c>
      <c r="Q1614">
        <v>0</v>
      </c>
    </row>
    <row r="1615" spans="1:17" x14ac:dyDescent="0.2">
      <c r="A1615" s="121">
        <v>39813</v>
      </c>
      <c r="B1615" t="s">
        <v>406</v>
      </c>
      <c r="C1615" t="s">
        <v>551</v>
      </c>
      <c r="D1615" t="s">
        <v>560</v>
      </c>
      <c r="E1615" t="s">
        <v>561</v>
      </c>
      <c r="F1615" t="s">
        <v>413</v>
      </c>
      <c r="G1615">
        <v>5328</v>
      </c>
      <c r="H1615">
        <v>5328</v>
      </c>
      <c r="I1615">
        <v>5214</v>
      </c>
      <c r="J1615">
        <v>5214</v>
      </c>
      <c r="K1615">
        <v>1383</v>
      </c>
      <c r="L1615">
        <v>4</v>
      </c>
      <c r="M1615">
        <v>3899</v>
      </c>
      <c r="N1615">
        <v>16</v>
      </c>
      <c r="O1615">
        <v>26</v>
      </c>
      <c r="P1615">
        <v>12</v>
      </c>
      <c r="Q1615">
        <v>1</v>
      </c>
    </row>
    <row r="1616" spans="1:17" x14ac:dyDescent="0.2">
      <c r="A1616" s="121">
        <v>39813</v>
      </c>
      <c r="B1616" t="s">
        <v>406</v>
      </c>
      <c r="C1616" t="s">
        <v>562</v>
      </c>
      <c r="D1616" t="s">
        <v>603</v>
      </c>
      <c r="E1616" t="s">
        <v>604</v>
      </c>
      <c r="F1616" t="s">
        <v>410</v>
      </c>
      <c r="G1616">
        <v>19</v>
      </c>
      <c r="I1616">
        <v>19</v>
      </c>
    </row>
    <row r="1617" spans="1:17" x14ac:dyDescent="0.2">
      <c r="A1617" s="121">
        <v>39813</v>
      </c>
      <c r="B1617" t="s">
        <v>406</v>
      </c>
      <c r="C1617" t="s">
        <v>562</v>
      </c>
      <c r="D1617" t="s">
        <v>563</v>
      </c>
      <c r="E1617" t="s">
        <v>564</v>
      </c>
      <c r="F1617" t="s">
        <v>410</v>
      </c>
      <c r="G1617">
        <v>2864</v>
      </c>
      <c r="H1617">
        <v>2864</v>
      </c>
      <c r="I1617">
        <v>2751</v>
      </c>
      <c r="J1617">
        <v>2751</v>
      </c>
      <c r="K1617">
        <v>1109</v>
      </c>
      <c r="L1617">
        <v>0</v>
      </c>
      <c r="M1617">
        <v>1727</v>
      </c>
      <c r="N1617">
        <v>28</v>
      </c>
      <c r="O1617">
        <v>0</v>
      </c>
      <c r="P1617">
        <v>1</v>
      </c>
      <c r="Q1617">
        <v>0</v>
      </c>
    </row>
    <row r="1618" spans="1:17" x14ac:dyDescent="0.2">
      <c r="A1618" s="121">
        <v>39813</v>
      </c>
      <c r="B1618" t="s">
        <v>406</v>
      </c>
      <c r="C1618" t="s">
        <v>562</v>
      </c>
      <c r="D1618" t="s">
        <v>565</v>
      </c>
      <c r="E1618" t="s">
        <v>566</v>
      </c>
      <c r="F1618" t="s">
        <v>413</v>
      </c>
      <c r="G1618">
        <v>4101</v>
      </c>
      <c r="H1618">
        <v>4101</v>
      </c>
      <c r="I1618">
        <v>4000</v>
      </c>
      <c r="J1618">
        <v>4000</v>
      </c>
      <c r="K1618">
        <v>1042</v>
      </c>
      <c r="L1618">
        <v>8</v>
      </c>
      <c r="M1618">
        <v>2861</v>
      </c>
      <c r="N1618">
        <v>190</v>
      </c>
      <c r="O1618">
        <v>0</v>
      </c>
      <c r="P1618">
        <v>9</v>
      </c>
      <c r="Q1618">
        <v>2</v>
      </c>
    </row>
    <row r="1619" spans="1:17" x14ac:dyDescent="0.2">
      <c r="A1619" s="121">
        <v>39813</v>
      </c>
      <c r="B1619" t="s">
        <v>406</v>
      </c>
      <c r="C1619" t="s">
        <v>562</v>
      </c>
      <c r="D1619" t="s">
        <v>567</v>
      </c>
      <c r="E1619" t="s">
        <v>568</v>
      </c>
      <c r="F1619" t="s">
        <v>413</v>
      </c>
      <c r="G1619">
        <v>8920</v>
      </c>
      <c r="H1619">
        <v>8920</v>
      </c>
      <c r="I1619">
        <v>8399</v>
      </c>
      <c r="J1619">
        <v>8399</v>
      </c>
      <c r="K1619">
        <v>2681</v>
      </c>
      <c r="L1619">
        <v>27</v>
      </c>
      <c r="M1619">
        <v>5774</v>
      </c>
      <c r="N1619">
        <v>438</v>
      </c>
      <c r="O1619">
        <v>0</v>
      </c>
      <c r="P1619">
        <v>79</v>
      </c>
      <c r="Q1619">
        <v>9</v>
      </c>
    </row>
    <row r="1620" spans="1:17" x14ac:dyDescent="0.2">
      <c r="A1620" s="121">
        <v>39813</v>
      </c>
      <c r="B1620" t="s">
        <v>406</v>
      </c>
      <c r="C1620" t="s">
        <v>562</v>
      </c>
      <c r="D1620" t="s">
        <v>569</v>
      </c>
      <c r="E1620" t="s">
        <v>570</v>
      </c>
      <c r="F1620" t="s">
        <v>413</v>
      </c>
      <c r="G1620">
        <v>3133</v>
      </c>
      <c r="H1620">
        <v>3133</v>
      </c>
      <c r="I1620">
        <v>3086</v>
      </c>
      <c r="J1620">
        <v>3086</v>
      </c>
      <c r="K1620">
        <v>530</v>
      </c>
      <c r="L1620">
        <v>2</v>
      </c>
      <c r="M1620">
        <v>2601</v>
      </c>
      <c r="N1620">
        <v>0</v>
      </c>
      <c r="O1620">
        <v>0</v>
      </c>
      <c r="P1620">
        <v>0</v>
      </c>
      <c r="Q1620">
        <v>0</v>
      </c>
    </row>
    <row r="1621" spans="1:17" x14ac:dyDescent="0.2">
      <c r="A1621" s="121">
        <v>39813</v>
      </c>
      <c r="B1621" t="s">
        <v>406</v>
      </c>
      <c r="C1621" t="s">
        <v>571</v>
      </c>
      <c r="D1621" t="s">
        <v>572</v>
      </c>
      <c r="E1621" t="s">
        <v>573</v>
      </c>
      <c r="F1621" t="s">
        <v>410</v>
      </c>
      <c r="G1621">
        <v>251</v>
      </c>
      <c r="I1621">
        <v>250</v>
      </c>
    </row>
    <row r="1622" spans="1:17" x14ac:dyDescent="0.2">
      <c r="A1622" s="121">
        <v>39813</v>
      </c>
      <c r="B1622" t="s">
        <v>406</v>
      </c>
      <c r="C1622" t="s">
        <v>574</v>
      </c>
      <c r="D1622" t="s">
        <v>575</v>
      </c>
      <c r="E1622" t="s">
        <v>576</v>
      </c>
      <c r="F1622" t="s">
        <v>413</v>
      </c>
      <c r="G1622">
        <v>781</v>
      </c>
      <c r="H1622">
        <v>781</v>
      </c>
      <c r="I1622">
        <v>776</v>
      </c>
      <c r="J1622">
        <v>776</v>
      </c>
      <c r="K1622">
        <v>150</v>
      </c>
      <c r="L1622">
        <v>1</v>
      </c>
      <c r="M1622">
        <v>588</v>
      </c>
      <c r="N1622">
        <v>1</v>
      </c>
      <c r="O1622">
        <v>41</v>
      </c>
      <c r="P1622">
        <v>0</v>
      </c>
      <c r="Q1622">
        <v>0</v>
      </c>
    </row>
    <row r="1623" spans="1:17" x14ac:dyDescent="0.2">
      <c r="A1623" s="121">
        <v>39813</v>
      </c>
      <c r="B1623" t="s">
        <v>406</v>
      </c>
      <c r="C1623" t="s">
        <v>577</v>
      </c>
      <c r="D1623" t="s">
        <v>578</v>
      </c>
      <c r="E1623" t="s">
        <v>579</v>
      </c>
      <c r="F1623" t="s">
        <v>413</v>
      </c>
      <c r="G1623">
        <v>3969</v>
      </c>
      <c r="H1623">
        <v>3969</v>
      </c>
      <c r="I1623">
        <v>3893</v>
      </c>
      <c r="J1623">
        <v>3893</v>
      </c>
      <c r="K1623">
        <v>1088</v>
      </c>
      <c r="L1623">
        <v>12</v>
      </c>
      <c r="M1623">
        <v>2728</v>
      </c>
      <c r="N1623">
        <v>34</v>
      </c>
      <c r="O1623">
        <v>107</v>
      </c>
      <c r="P1623">
        <v>0</v>
      </c>
      <c r="Q1623">
        <v>0</v>
      </c>
    </row>
    <row r="1624" spans="1:17" x14ac:dyDescent="0.2">
      <c r="A1624" s="121">
        <v>39813</v>
      </c>
      <c r="B1624" t="s">
        <v>406</v>
      </c>
      <c r="C1624" t="s">
        <v>577</v>
      </c>
      <c r="D1624" t="s">
        <v>580</v>
      </c>
      <c r="E1624" t="s">
        <v>581</v>
      </c>
      <c r="F1624" t="s">
        <v>413</v>
      </c>
      <c r="G1624">
        <v>2014</v>
      </c>
      <c r="H1624">
        <v>2014</v>
      </c>
      <c r="I1624">
        <v>1981</v>
      </c>
      <c r="J1624">
        <v>1981</v>
      </c>
      <c r="K1624">
        <v>400</v>
      </c>
      <c r="L1624">
        <v>5</v>
      </c>
      <c r="M1624">
        <v>1354</v>
      </c>
      <c r="N1624">
        <v>42</v>
      </c>
      <c r="O1624">
        <v>213</v>
      </c>
      <c r="P1624">
        <v>0</v>
      </c>
      <c r="Q1624">
        <v>0</v>
      </c>
    </row>
    <row r="1625" spans="1:17" x14ac:dyDescent="0.2">
      <c r="A1625" s="121">
        <v>39813</v>
      </c>
      <c r="B1625" t="s">
        <v>406</v>
      </c>
      <c r="C1625" t="s">
        <v>577</v>
      </c>
      <c r="D1625" t="s">
        <v>584</v>
      </c>
      <c r="E1625" t="s">
        <v>585</v>
      </c>
      <c r="F1625" t="s">
        <v>410</v>
      </c>
      <c r="G1625">
        <v>169</v>
      </c>
      <c r="H1625">
        <v>169</v>
      </c>
      <c r="I1625">
        <v>169</v>
      </c>
      <c r="J1625">
        <v>169</v>
      </c>
      <c r="K1625">
        <v>16</v>
      </c>
      <c r="L1625">
        <v>0</v>
      </c>
      <c r="M1625">
        <v>0</v>
      </c>
      <c r="N1625">
        <v>0</v>
      </c>
      <c r="O1625">
        <v>153</v>
      </c>
      <c r="P1625">
        <v>0</v>
      </c>
      <c r="Q1625">
        <v>0</v>
      </c>
    </row>
    <row r="1626" spans="1:17" x14ac:dyDescent="0.2">
      <c r="A1626" s="121">
        <v>39813</v>
      </c>
      <c r="B1626" t="s">
        <v>406</v>
      </c>
      <c r="C1626" t="s">
        <v>577</v>
      </c>
      <c r="D1626" t="s">
        <v>586</v>
      </c>
      <c r="E1626" t="s">
        <v>587</v>
      </c>
      <c r="F1626" t="s">
        <v>410</v>
      </c>
      <c r="G1626">
        <v>746</v>
      </c>
      <c r="H1626">
        <v>746</v>
      </c>
      <c r="I1626">
        <v>745</v>
      </c>
      <c r="J1626">
        <v>745</v>
      </c>
      <c r="K1626">
        <v>20</v>
      </c>
      <c r="L1626">
        <v>0</v>
      </c>
      <c r="M1626">
        <v>505</v>
      </c>
      <c r="N1626">
        <v>0</v>
      </c>
      <c r="O1626">
        <v>221</v>
      </c>
      <c r="P1626">
        <v>0</v>
      </c>
      <c r="Q1626">
        <v>0</v>
      </c>
    </row>
    <row r="1627" spans="1:17" x14ac:dyDescent="0.2">
      <c r="A1627" s="121">
        <v>39813</v>
      </c>
      <c r="B1627" t="s">
        <v>406</v>
      </c>
      <c r="C1627" t="s">
        <v>577</v>
      </c>
      <c r="D1627" t="s">
        <v>588</v>
      </c>
      <c r="E1627" t="s">
        <v>589</v>
      </c>
      <c r="F1627" t="s">
        <v>410</v>
      </c>
      <c r="G1627">
        <v>137</v>
      </c>
      <c r="H1627">
        <v>137</v>
      </c>
      <c r="I1627">
        <v>137</v>
      </c>
      <c r="J1627">
        <v>137</v>
      </c>
      <c r="K1627">
        <v>1</v>
      </c>
      <c r="L1627">
        <v>0</v>
      </c>
      <c r="M1627">
        <v>107</v>
      </c>
      <c r="N1627">
        <v>0</v>
      </c>
      <c r="O1627">
        <v>29</v>
      </c>
      <c r="P1627">
        <v>0</v>
      </c>
      <c r="Q1627">
        <v>0</v>
      </c>
    </row>
    <row r="1628" spans="1:17" x14ac:dyDescent="0.2">
      <c r="A1628" s="121">
        <v>39813</v>
      </c>
      <c r="B1628" t="s">
        <v>406</v>
      </c>
      <c r="C1628" t="s">
        <v>577</v>
      </c>
      <c r="D1628" t="s">
        <v>613</v>
      </c>
      <c r="E1628" t="s">
        <v>614</v>
      </c>
      <c r="F1628" t="s">
        <v>410</v>
      </c>
      <c r="G1628">
        <v>159</v>
      </c>
      <c r="H1628">
        <v>159</v>
      </c>
      <c r="I1628">
        <v>159</v>
      </c>
      <c r="J1628">
        <v>159</v>
      </c>
      <c r="K1628">
        <v>16</v>
      </c>
      <c r="L1628">
        <v>0</v>
      </c>
      <c r="M1628">
        <v>121</v>
      </c>
      <c r="N1628">
        <v>0</v>
      </c>
      <c r="O1628">
        <v>22</v>
      </c>
      <c r="P1628">
        <v>0</v>
      </c>
      <c r="Q1628">
        <v>0</v>
      </c>
    </row>
    <row r="1629" spans="1:17" x14ac:dyDescent="0.2">
      <c r="A1629" s="121">
        <v>39813</v>
      </c>
      <c r="B1629" t="s">
        <v>406</v>
      </c>
      <c r="C1629" t="s">
        <v>577</v>
      </c>
      <c r="D1629" t="s">
        <v>590</v>
      </c>
      <c r="E1629" t="s">
        <v>591</v>
      </c>
      <c r="F1629" t="s">
        <v>410</v>
      </c>
      <c r="G1629">
        <v>359</v>
      </c>
      <c r="H1629">
        <v>359</v>
      </c>
      <c r="I1629">
        <v>359</v>
      </c>
      <c r="J1629">
        <v>359</v>
      </c>
      <c r="K1629">
        <v>9</v>
      </c>
      <c r="L1629">
        <v>0</v>
      </c>
      <c r="M1629">
        <v>325</v>
      </c>
      <c r="N1629">
        <v>0</v>
      </c>
      <c r="O1629">
        <v>25</v>
      </c>
      <c r="P1629">
        <v>0</v>
      </c>
      <c r="Q1629">
        <v>0</v>
      </c>
    </row>
    <row r="1630" spans="1:17" x14ac:dyDescent="0.2">
      <c r="A1630" s="121">
        <v>39813</v>
      </c>
      <c r="B1630" t="s">
        <v>406</v>
      </c>
      <c r="C1630" t="s">
        <v>577</v>
      </c>
      <c r="D1630" t="s">
        <v>607</v>
      </c>
      <c r="E1630" t="s">
        <v>608</v>
      </c>
      <c r="F1630" t="s">
        <v>410</v>
      </c>
      <c r="G1630">
        <v>50</v>
      </c>
      <c r="H1630">
        <v>50</v>
      </c>
      <c r="I1630">
        <v>50</v>
      </c>
      <c r="J1630">
        <v>50</v>
      </c>
      <c r="K1630">
        <v>5</v>
      </c>
      <c r="L1630">
        <v>0</v>
      </c>
      <c r="M1630">
        <v>42</v>
      </c>
      <c r="N1630">
        <v>0</v>
      </c>
      <c r="O1630">
        <v>3</v>
      </c>
      <c r="P1630">
        <v>0</v>
      </c>
      <c r="Q1630">
        <v>0</v>
      </c>
    </row>
    <row r="1631" spans="1:17" x14ac:dyDescent="0.2">
      <c r="A1631" s="121">
        <v>39813</v>
      </c>
      <c r="B1631" t="s">
        <v>406</v>
      </c>
      <c r="C1631" t="s">
        <v>577</v>
      </c>
      <c r="D1631" t="s">
        <v>592</v>
      </c>
      <c r="E1631" t="s">
        <v>593</v>
      </c>
      <c r="F1631" t="s">
        <v>410</v>
      </c>
      <c r="G1631">
        <v>318</v>
      </c>
      <c r="H1631">
        <v>318</v>
      </c>
      <c r="I1631">
        <v>318</v>
      </c>
      <c r="J1631">
        <v>318</v>
      </c>
      <c r="K1631">
        <v>5</v>
      </c>
      <c r="L1631">
        <v>0</v>
      </c>
      <c r="M1631">
        <v>259</v>
      </c>
      <c r="N1631">
        <v>0</v>
      </c>
      <c r="O1631">
        <v>54</v>
      </c>
      <c r="P1631">
        <v>0</v>
      </c>
      <c r="Q1631">
        <v>0</v>
      </c>
    </row>
    <row r="1632" spans="1:17" x14ac:dyDescent="0.2">
      <c r="A1632" s="121">
        <v>39813</v>
      </c>
      <c r="B1632" t="s">
        <v>406</v>
      </c>
      <c r="C1632" t="s">
        <v>594</v>
      </c>
      <c r="D1632" t="s">
        <v>595</v>
      </c>
      <c r="E1632" t="s">
        <v>596</v>
      </c>
      <c r="F1632" t="s">
        <v>410</v>
      </c>
      <c r="G1632">
        <v>28</v>
      </c>
      <c r="I1632">
        <v>28</v>
      </c>
    </row>
    <row r="1633" spans="1:17" x14ac:dyDescent="0.2">
      <c r="A1633" s="121">
        <v>39813</v>
      </c>
      <c r="B1633" t="s">
        <v>406</v>
      </c>
      <c r="C1633" t="s">
        <v>594</v>
      </c>
      <c r="D1633" t="s">
        <v>597</v>
      </c>
      <c r="E1633" t="s">
        <v>598</v>
      </c>
      <c r="F1633" t="s">
        <v>413</v>
      </c>
      <c r="G1633">
        <v>528</v>
      </c>
      <c r="H1633">
        <v>528</v>
      </c>
      <c r="I1633">
        <v>523</v>
      </c>
      <c r="J1633">
        <v>523</v>
      </c>
      <c r="K1633">
        <v>139</v>
      </c>
      <c r="L1633">
        <v>0</v>
      </c>
      <c r="M1633">
        <v>381</v>
      </c>
      <c r="N1633">
        <v>0</v>
      </c>
      <c r="O1633">
        <v>8</v>
      </c>
      <c r="P1633">
        <v>0</v>
      </c>
      <c r="Q1633">
        <v>0</v>
      </c>
    </row>
    <row r="1634" spans="1:17" x14ac:dyDescent="0.2">
      <c r="A1634" s="121">
        <v>39813</v>
      </c>
      <c r="B1634" t="s">
        <v>406</v>
      </c>
      <c r="C1634" t="s">
        <v>594</v>
      </c>
      <c r="D1634" t="s">
        <v>599</v>
      </c>
      <c r="E1634" t="s">
        <v>600</v>
      </c>
      <c r="F1634" t="s">
        <v>410</v>
      </c>
      <c r="G1634">
        <v>83</v>
      </c>
      <c r="I1634">
        <v>83</v>
      </c>
    </row>
    <row r="1635" spans="1:17" x14ac:dyDescent="0.2">
      <c r="A1635" s="121">
        <v>39844</v>
      </c>
      <c r="B1635" t="s">
        <v>406</v>
      </c>
      <c r="C1635" t="s">
        <v>407</v>
      </c>
      <c r="D1635" t="s">
        <v>408</v>
      </c>
      <c r="E1635" t="s">
        <v>409</v>
      </c>
      <c r="F1635" t="s">
        <v>410</v>
      </c>
      <c r="G1635">
        <v>146</v>
      </c>
      <c r="I1635">
        <v>146</v>
      </c>
    </row>
    <row r="1636" spans="1:17" x14ac:dyDescent="0.2">
      <c r="A1636" s="121">
        <v>39844</v>
      </c>
      <c r="B1636" t="s">
        <v>406</v>
      </c>
      <c r="C1636" t="s">
        <v>407</v>
      </c>
      <c r="D1636" t="s">
        <v>601</v>
      </c>
      <c r="E1636" t="s">
        <v>602</v>
      </c>
      <c r="F1636" t="s">
        <v>410</v>
      </c>
      <c r="G1636">
        <v>23</v>
      </c>
      <c r="I1636">
        <v>23</v>
      </c>
    </row>
    <row r="1637" spans="1:17" x14ac:dyDescent="0.2">
      <c r="A1637" s="121">
        <v>39844</v>
      </c>
      <c r="B1637" t="s">
        <v>406</v>
      </c>
      <c r="C1637" t="s">
        <v>407</v>
      </c>
      <c r="D1637" t="s">
        <v>411</v>
      </c>
      <c r="E1637" t="s">
        <v>412</v>
      </c>
      <c r="F1637" t="s">
        <v>413</v>
      </c>
      <c r="G1637">
        <v>5139</v>
      </c>
      <c r="H1637">
        <v>5139</v>
      </c>
      <c r="I1637">
        <v>4905</v>
      </c>
      <c r="J1637">
        <v>4905</v>
      </c>
      <c r="K1637">
        <v>2199</v>
      </c>
      <c r="L1637">
        <v>4</v>
      </c>
      <c r="M1637">
        <v>2734</v>
      </c>
      <c r="N1637">
        <v>63</v>
      </c>
      <c r="O1637">
        <v>139</v>
      </c>
      <c r="P1637">
        <v>10</v>
      </c>
      <c r="Q1637">
        <v>0</v>
      </c>
    </row>
    <row r="1638" spans="1:17" x14ac:dyDescent="0.2">
      <c r="A1638" s="121">
        <v>39844</v>
      </c>
      <c r="B1638" t="s">
        <v>406</v>
      </c>
      <c r="C1638" t="s">
        <v>407</v>
      </c>
      <c r="D1638" t="s">
        <v>414</v>
      </c>
      <c r="E1638" t="s">
        <v>415</v>
      </c>
      <c r="F1638" t="s">
        <v>410</v>
      </c>
      <c r="G1638">
        <v>58</v>
      </c>
      <c r="I1638">
        <v>58</v>
      </c>
    </row>
    <row r="1639" spans="1:17" x14ac:dyDescent="0.2">
      <c r="A1639" s="121">
        <v>39844</v>
      </c>
      <c r="B1639" t="s">
        <v>406</v>
      </c>
      <c r="C1639" t="s">
        <v>407</v>
      </c>
      <c r="D1639" t="s">
        <v>416</v>
      </c>
      <c r="E1639" t="s">
        <v>417</v>
      </c>
      <c r="F1639" t="s">
        <v>413</v>
      </c>
      <c r="G1639">
        <v>3339</v>
      </c>
      <c r="H1639">
        <v>3339</v>
      </c>
      <c r="I1639">
        <v>3158</v>
      </c>
      <c r="J1639">
        <v>3158</v>
      </c>
      <c r="K1639">
        <v>1376</v>
      </c>
      <c r="L1639">
        <v>13</v>
      </c>
      <c r="M1639">
        <v>1837</v>
      </c>
      <c r="N1639">
        <v>87</v>
      </c>
      <c r="O1639">
        <v>26</v>
      </c>
      <c r="P1639">
        <v>5</v>
      </c>
      <c r="Q1639">
        <v>0</v>
      </c>
    </row>
    <row r="1640" spans="1:17" x14ac:dyDescent="0.2">
      <c r="A1640" s="121">
        <v>39844</v>
      </c>
      <c r="B1640" t="s">
        <v>406</v>
      </c>
      <c r="C1640" t="s">
        <v>418</v>
      </c>
      <c r="D1640" t="s">
        <v>419</v>
      </c>
      <c r="E1640" t="s">
        <v>420</v>
      </c>
      <c r="F1640" t="s">
        <v>410</v>
      </c>
      <c r="G1640">
        <v>14</v>
      </c>
      <c r="I1640">
        <v>14</v>
      </c>
    </row>
    <row r="1641" spans="1:17" x14ac:dyDescent="0.2">
      <c r="A1641" s="121">
        <v>39844</v>
      </c>
      <c r="B1641" t="s">
        <v>406</v>
      </c>
      <c r="C1641" t="s">
        <v>418</v>
      </c>
      <c r="D1641" t="s">
        <v>421</v>
      </c>
      <c r="E1641" t="s">
        <v>422</v>
      </c>
      <c r="F1641" t="s">
        <v>410</v>
      </c>
      <c r="G1641">
        <v>60</v>
      </c>
      <c r="I1641">
        <v>60</v>
      </c>
    </row>
    <row r="1642" spans="1:17" x14ac:dyDescent="0.2">
      <c r="A1642" s="121">
        <v>39844</v>
      </c>
      <c r="B1642" t="s">
        <v>406</v>
      </c>
      <c r="C1642" t="s">
        <v>418</v>
      </c>
      <c r="D1642" t="s">
        <v>423</v>
      </c>
      <c r="E1642" t="s">
        <v>424</v>
      </c>
      <c r="F1642" t="s">
        <v>410</v>
      </c>
      <c r="G1642">
        <v>44</v>
      </c>
      <c r="I1642">
        <v>44</v>
      </c>
    </row>
    <row r="1643" spans="1:17" x14ac:dyDescent="0.2">
      <c r="A1643" s="121">
        <v>39844</v>
      </c>
      <c r="B1643" t="s">
        <v>406</v>
      </c>
      <c r="C1643" t="s">
        <v>418</v>
      </c>
      <c r="D1643" t="s">
        <v>425</v>
      </c>
      <c r="E1643" t="s">
        <v>426</v>
      </c>
      <c r="F1643" t="s">
        <v>410</v>
      </c>
      <c r="G1643">
        <v>31</v>
      </c>
      <c r="I1643">
        <v>31</v>
      </c>
    </row>
    <row r="1644" spans="1:17" x14ac:dyDescent="0.2">
      <c r="A1644" s="121">
        <v>39844</v>
      </c>
      <c r="B1644" t="s">
        <v>406</v>
      </c>
      <c r="C1644" t="s">
        <v>418</v>
      </c>
      <c r="D1644" t="s">
        <v>427</v>
      </c>
      <c r="E1644" t="s">
        <v>428</v>
      </c>
      <c r="F1644" t="s">
        <v>413</v>
      </c>
      <c r="G1644">
        <v>1930</v>
      </c>
      <c r="H1644">
        <v>1930</v>
      </c>
      <c r="I1644">
        <v>1872</v>
      </c>
      <c r="J1644">
        <v>1872</v>
      </c>
      <c r="K1644">
        <v>761</v>
      </c>
      <c r="L1644">
        <v>2</v>
      </c>
      <c r="M1644">
        <v>960</v>
      </c>
      <c r="N1644">
        <v>30</v>
      </c>
      <c r="O1644">
        <v>177</v>
      </c>
      <c r="P1644">
        <v>0</v>
      </c>
      <c r="Q1644">
        <v>0</v>
      </c>
    </row>
    <row r="1645" spans="1:17" x14ac:dyDescent="0.2">
      <c r="A1645" s="121">
        <v>39844</v>
      </c>
      <c r="B1645" t="s">
        <v>406</v>
      </c>
      <c r="C1645" t="s">
        <v>429</v>
      </c>
      <c r="D1645" t="s">
        <v>430</v>
      </c>
      <c r="E1645" t="s">
        <v>431</v>
      </c>
      <c r="F1645" t="s">
        <v>410</v>
      </c>
      <c r="G1645">
        <v>44</v>
      </c>
      <c r="I1645">
        <v>44</v>
      </c>
    </row>
    <row r="1646" spans="1:17" x14ac:dyDescent="0.2">
      <c r="A1646" s="121">
        <v>39844</v>
      </c>
      <c r="B1646" t="s">
        <v>406</v>
      </c>
      <c r="C1646" t="s">
        <v>429</v>
      </c>
      <c r="D1646" t="s">
        <v>432</v>
      </c>
      <c r="E1646" t="s">
        <v>433</v>
      </c>
      <c r="F1646" t="s">
        <v>410</v>
      </c>
      <c r="G1646">
        <v>79</v>
      </c>
      <c r="I1646">
        <v>79</v>
      </c>
    </row>
    <row r="1647" spans="1:17" x14ac:dyDescent="0.2">
      <c r="A1647" s="121">
        <v>39844</v>
      </c>
      <c r="B1647" t="s">
        <v>406</v>
      </c>
      <c r="C1647" t="s">
        <v>429</v>
      </c>
      <c r="D1647" t="s">
        <v>434</v>
      </c>
      <c r="E1647" t="s">
        <v>435</v>
      </c>
      <c r="F1647" t="s">
        <v>410</v>
      </c>
      <c r="G1647">
        <v>7</v>
      </c>
      <c r="I1647">
        <v>7</v>
      </c>
    </row>
    <row r="1648" spans="1:17" x14ac:dyDescent="0.2">
      <c r="A1648" s="121">
        <v>39844</v>
      </c>
      <c r="B1648" t="s">
        <v>406</v>
      </c>
      <c r="C1648" t="s">
        <v>429</v>
      </c>
      <c r="D1648" t="s">
        <v>436</v>
      </c>
      <c r="E1648" t="s">
        <v>437</v>
      </c>
      <c r="F1648" t="s">
        <v>410</v>
      </c>
      <c r="G1648">
        <v>39</v>
      </c>
      <c r="I1648">
        <v>39</v>
      </c>
    </row>
    <row r="1649" spans="1:17" x14ac:dyDescent="0.2">
      <c r="A1649" s="121">
        <v>39844</v>
      </c>
      <c r="B1649" t="s">
        <v>406</v>
      </c>
      <c r="C1649" t="s">
        <v>429</v>
      </c>
      <c r="D1649" t="s">
        <v>438</v>
      </c>
      <c r="E1649" t="s">
        <v>439</v>
      </c>
      <c r="F1649" t="s">
        <v>413</v>
      </c>
      <c r="G1649">
        <v>970</v>
      </c>
      <c r="H1649">
        <v>970</v>
      </c>
      <c r="I1649">
        <v>960</v>
      </c>
      <c r="J1649">
        <v>960</v>
      </c>
      <c r="K1649">
        <v>86</v>
      </c>
      <c r="L1649">
        <v>1</v>
      </c>
      <c r="M1649">
        <v>868</v>
      </c>
      <c r="N1649">
        <v>15</v>
      </c>
      <c r="O1649">
        <v>0</v>
      </c>
      <c r="P1649">
        <v>0</v>
      </c>
      <c r="Q1649">
        <v>0</v>
      </c>
    </row>
    <row r="1650" spans="1:17" x14ac:dyDescent="0.2">
      <c r="A1650" s="121">
        <v>39844</v>
      </c>
      <c r="B1650" t="s">
        <v>406</v>
      </c>
      <c r="C1650" t="s">
        <v>429</v>
      </c>
      <c r="D1650" t="s">
        <v>440</v>
      </c>
      <c r="E1650" t="s">
        <v>441</v>
      </c>
      <c r="F1650" t="s">
        <v>413</v>
      </c>
      <c r="G1650">
        <v>2829</v>
      </c>
      <c r="H1650">
        <v>2829</v>
      </c>
      <c r="I1650">
        <v>2723</v>
      </c>
      <c r="J1650">
        <v>2723</v>
      </c>
      <c r="K1650">
        <v>1140</v>
      </c>
      <c r="L1650">
        <v>7</v>
      </c>
      <c r="M1650">
        <v>1625</v>
      </c>
      <c r="N1650">
        <v>17</v>
      </c>
      <c r="O1650">
        <v>40</v>
      </c>
      <c r="P1650">
        <v>2</v>
      </c>
      <c r="Q1650">
        <v>0</v>
      </c>
    </row>
    <row r="1651" spans="1:17" x14ac:dyDescent="0.2">
      <c r="A1651" s="121">
        <v>39844</v>
      </c>
      <c r="B1651" t="s">
        <v>406</v>
      </c>
      <c r="C1651" t="s">
        <v>442</v>
      </c>
      <c r="D1651" t="s">
        <v>443</v>
      </c>
      <c r="E1651" t="s">
        <v>444</v>
      </c>
      <c r="F1651" t="s">
        <v>413</v>
      </c>
      <c r="G1651">
        <v>3122</v>
      </c>
      <c r="H1651">
        <v>3122</v>
      </c>
      <c r="I1651">
        <v>2930</v>
      </c>
      <c r="J1651">
        <v>2930</v>
      </c>
      <c r="K1651">
        <v>556</v>
      </c>
      <c r="L1651">
        <v>8</v>
      </c>
      <c r="M1651">
        <v>2461</v>
      </c>
      <c r="N1651">
        <v>36</v>
      </c>
      <c r="O1651">
        <v>61</v>
      </c>
      <c r="P1651">
        <v>40</v>
      </c>
      <c r="Q1651">
        <v>10</v>
      </c>
    </row>
    <row r="1652" spans="1:17" x14ac:dyDescent="0.2">
      <c r="A1652" s="121">
        <v>39844</v>
      </c>
      <c r="B1652" t="s">
        <v>406</v>
      </c>
      <c r="C1652" t="s">
        <v>442</v>
      </c>
      <c r="D1652" t="s">
        <v>445</v>
      </c>
      <c r="E1652" t="s">
        <v>446</v>
      </c>
      <c r="F1652" t="s">
        <v>410</v>
      </c>
      <c r="G1652">
        <v>124</v>
      </c>
      <c r="I1652">
        <v>124</v>
      </c>
    </row>
    <row r="1653" spans="1:17" x14ac:dyDescent="0.2">
      <c r="A1653" s="121">
        <v>39844</v>
      </c>
      <c r="B1653" t="s">
        <v>406</v>
      </c>
      <c r="C1653" t="s">
        <v>442</v>
      </c>
      <c r="D1653" t="s">
        <v>447</v>
      </c>
      <c r="E1653" t="s">
        <v>448</v>
      </c>
      <c r="F1653" t="s">
        <v>410</v>
      </c>
      <c r="G1653">
        <v>174</v>
      </c>
      <c r="I1653">
        <v>174</v>
      </c>
    </row>
    <row r="1654" spans="1:17" x14ac:dyDescent="0.2">
      <c r="A1654" s="121">
        <v>39844</v>
      </c>
      <c r="B1654" t="s">
        <v>406</v>
      </c>
      <c r="C1654" t="s">
        <v>442</v>
      </c>
      <c r="D1654" t="s">
        <v>449</v>
      </c>
      <c r="E1654" t="s">
        <v>450</v>
      </c>
      <c r="F1654" t="s">
        <v>413</v>
      </c>
      <c r="G1654">
        <v>2982</v>
      </c>
      <c r="H1654">
        <v>2982</v>
      </c>
      <c r="I1654">
        <v>2784</v>
      </c>
      <c r="J1654">
        <v>2784</v>
      </c>
      <c r="K1654">
        <v>651</v>
      </c>
      <c r="L1654">
        <v>3</v>
      </c>
      <c r="M1654">
        <v>2273</v>
      </c>
      <c r="N1654">
        <v>36</v>
      </c>
      <c r="O1654">
        <v>19</v>
      </c>
      <c r="P1654">
        <v>36</v>
      </c>
      <c r="Q1654">
        <v>6</v>
      </c>
    </row>
    <row r="1655" spans="1:17" x14ac:dyDescent="0.2">
      <c r="A1655" s="121">
        <v>39844</v>
      </c>
      <c r="B1655" t="s">
        <v>406</v>
      </c>
      <c r="C1655" t="s">
        <v>451</v>
      </c>
      <c r="D1655" t="s">
        <v>452</v>
      </c>
      <c r="E1655" t="s">
        <v>453</v>
      </c>
      <c r="F1655" t="s">
        <v>410</v>
      </c>
      <c r="G1655">
        <v>1444</v>
      </c>
      <c r="H1655">
        <v>1444</v>
      </c>
      <c r="I1655">
        <v>1443</v>
      </c>
      <c r="J1655">
        <v>1443</v>
      </c>
      <c r="K1655">
        <v>0</v>
      </c>
      <c r="L1655">
        <v>0</v>
      </c>
      <c r="M1655">
        <v>1053</v>
      </c>
      <c r="N1655">
        <v>157</v>
      </c>
      <c r="O1655">
        <v>234</v>
      </c>
      <c r="P1655">
        <v>0</v>
      </c>
      <c r="Q1655">
        <v>0</v>
      </c>
    </row>
    <row r="1656" spans="1:17" x14ac:dyDescent="0.2">
      <c r="A1656" s="121">
        <v>39844</v>
      </c>
      <c r="B1656" t="s">
        <v>406</v>
      </c>
      <c r="C1656" t="s">
        <v>451</v>
      </c>
      <c r="D1656" t="s">
        <v>454</v>
      </c>
      <c r="E1656" t="s">
        <v>455</v>
      </c>
      <c r="F1656" t="s">
        <v>413</v>
      </c>
      <c r="G1656">
        <v>3971</v>
      </c>
      <c r="H1656">
        <v>3971</v>
      </c>
      <c r="I1656">
        <v>3820</v>
      </c>
      <c r="J1656">
        <v>3820</v>
      </c>
      <c r="K1656">
        <v>1171</v>
      </c>
      <c r="L1656">
        <v>10</v>
      </c>
      <c r="M1656">
        <v>2245</v>
      </c>
      <c r="N1656">
        <v>42</v>
      </c>
      <c r="O1656">
        <v>503</v>
      </c>
      <c r="P1656">
        <v>5</v>
      </c>
      <c r="Q1656">
        <v>1</v>
      </c>
    </row>
    <row r="1657" spans="1:17" x14ac:dyDescent="0.2">
      <c r="A1657" s="121">
        <v>39844</v>
      </c>
      <c r="B1657" t="s">
        <v>406</v>
      </c>
      <c r="C1657" t="s">
        <v>456</v>
      </c>
      <c r="D1657" t="s">
        <v>457</v>
      </c>
      <c r="E1657" t="s">
        <v>458</v>
      </c>
      <c r="F1657" t="s">
        <v>413</v>
      </c>
      <c r="G1657">
        <v>5059</v>
      </c>
      <c r="H1657">
        <v>5059</v>
      </c>
      <c r="I1657">
        <v>4759</v>
      </c>
      <c r="J1657">
        <v>4759</v>
      </c>
      <c r="K1657">
        <v>1357</v>
      </c>
      <c r="L1657">
        <v>16</v>
      </c>
      <c r="M1657">
        <v>3575</v>
      </c>
      <c r="N1657">
        <v>85</v>
      </c>
      <c r="O1657">
        <v>26</v>
      </c>
      <c r="P1657">
        <v>71</v>
      </c>
      <c r="Q1657">
        <v>16</v>
      </c>
    </row>
    <row r="1658" spans="1:17" x14ac:dyDescent="0.2">
      <c r="A1658" s="121">
        <v>39844</v>
      </c>
      <c r="B1658" t="s">
        <v>406</v>
      </c>
      <c r="C1658" t="s">
        <v>456</v>
      </c>
      <c r="D1658" t="s">
        <v>459</v>
      </c>
      <c r="E1658" t="s">
        <v>460</v>
      </c>
      <c r="F1658" t="s">
        <v>413</v>
      </c>
      <c r="G1658">
        <v>1245</v>
      </c>
      <c r="H1658">
        <v>1245</v>
      </c>
      <c r="I1658">
        <v>1242</v>
      </c>
      <c r="J1658">
        <v>1242</v>
      </c>
      <c r="K1658">
        <v>412</v>
      </c>
      <c r="L1658">
        <v>1</v>
      </c>
      <c r="M1658">
        <v>830</v>
      </c>
      <c r="N1658">
        <v>2</v>
      </c>
      <c r="O1658">
        <v>0</v>
      </c>
      <c r="P1658">
        <v>1</v>
      </c>
      <c r="Q1658">
        <v>0</v>
      </c>
    </row>
    <row r="1659" spans="1:17" x14ac:dyDescent="0.2">
      <c r="A1659" s="121">
        <v>39844</v>
      </c>
      <c r="B1659" t="s">
        <v>406</v>
      </c>
      <c r="C1659" t="s">
        <v>456</v>
      </c>
      <c r="D1659" t="s">
        <v>461</v>
      </c>
      <c r="E1659" t="s">
        <v>462</v>
      </c>
      <c r="F1659" t="s">
        <v>410</v>
      </c>
      <c r="G1659">
        <v>68</v>
      </c>
      <c r="I1659">
        <v>68</v>
      </c>
    </row>
    <row r="1660" spans="1:17" x14ac:dyDescent="0.2">
      <c r="A1660" s="121">
        <v>39844</v>
      </c>
      <c r="B1660" t="s">
        <v>406</v>
      </c>
      <c r="C1660" t="s">
        <v>456</v>
      </c>
      <c r="D1660" t="s">
        <v>463</v>
      </c>
      <c r="E1660" t="s">
        <v>464</v>
      </c>
      <c r="F1660" t="s">
        <v>410</v>
      </c>
      <c r="G1660">
        <v>32</v>
      </c>
      <c r="I1660">
        <v>32</v>
      </c>
    </row>
    <row r="1661" spans="1:17" x14ac:dyDescent="0.2">
      <c r="A1661" s="121">
        <v>39844</v>
      </c>
      <c r="B1661" t="s">
        <v>406</v>
      </c>
      <c r="C1661" t="s">
        <v>456</v>
      </c>
      <c r="D1661" t="s">
        <v>465</v>
      </c>
      <c r="E1661" t="s">
        <v>466</v>
      </c>
      <c r="F1661" t="s">
        <v>410</v>
      </c>
      <c r="G1661">
        <v>62</v>
      </c>
      <c r="I1661">
        <v>62</v>
      </c>
    </row>
    <row r="1662" spans="1:17" x14ac:dyDescent="0.2">
      <c r="A1662" s="121">
        <v>39844</v>
      </c>
      <c r="B1662" t="s">
        <v>406</v>
      </c>
      <c r="C1662" t="s">
        <v>456</v>
      </c>
      <c r="D1662" t="s">
        <v>467</v>
      </c>
      <c r="E1662" t="s">
        <v>468</v>
      </c>
      <c r="F1662" t="s">
        <v>410</v>
      </c>
      <c r="G1662">
        <v>1135</v>
      </c>
      <c r="I1662">
        <v>1133</v>
      </c>
    </row>
    <row r="1663" spans="1:17" x14ac:dyDescent="0.2">
      <c r="A1663" s="121">
        <v>39844</v>
      </c>
      <c r="B1663" t="s">
        <v>406</v>
      </c>
      <c r="C1663" t="s">
        <v>456</v>
      </c>
      <c r="D1663" t="s">
        <v>469</v>
      </c>
      <c r="E1663" t="s">
        <v>470</v>
      </c>
      <c r="F1663" t="s">
        <v>410</v>
      </c>
      <c r="G1663">
        <v>835</v>
      </c>
      <c r="I1663">
        <v>830</v>
      </c>
    </row>
    <row r="1664" spans="1:17" x14ac:dyDescent="0.2">
      <c r="A1664" s="121">
        <v>39844</v>
      </c>
      <c r="B1664" t="s">
        <v>406</v>
      </c>
      <c r="C1664" t="s">
        <v>456</v>
      </c>
      <c r="D1664" t="s">
        <v>471</v>
      </c>
      <c r="E1664" t="s">
        <v>472</v>
      </c>
      <c r="F1664" t="s">
        <v>410</v>
      </c>
      <c r="G1664">
        <v>219</v>
      </c>
      <c r="I1664">
        <v>218</v>
      </c>
    </row>
    <row r="1665" spans="1:17" x14ac:dyDescent="0.2">
      <c r="A1665" s="121">
        <v>39844</v>
      </c>
      <c r="B1665" t="s">
        <v>406</v>
      </c>
      <c r="C1665" t="s">
        <v>456</v>
      </c>
      <c r="D1665" t="s">
        <v>473</v>
      </c>
      <c r="E1665" t="s">
        <v>474</v>
      </c>
      <c r="F1665" t="s">
        <v>410</v>
      </c>
      <c r="G1665">
        <v>172</v>
      </c>
      <c r="I1665">
        <v>172</v>
      </c>
    </row>
    <row r="1666" spans="1:17" x14ac:dyDescent="0.2">
      <c r="A1666" s="121">
        <v>39844</v>
      </c>
      <c r="B1666" t="s">
        <v>406</v>
      </c>
      <c r="C1666" t="s">
        <v>456</v>
      </c>
      <c r="D1666" t="s">
        <v>475</v>
      </c>
      <c r="E1666" t="s">
        <v>476</v>
      </c>
      <c r="F1666" t="s">
        <v>410</v>
      </c>
      <c r="G1666">
        <v>266</v>
      </c>
      <c r="I1666">
        <v>266</v>
      </c>
    </row>
    <row r="1667" spans="1:17" x14ac:dyDescent="0.2">
      <c r="A1667" s="121">
        <v>39844</v>
      </c>
      <c r="B1667" t="s">
        <v>406</v>
      </c>
      <c r="C1667" t="s">
        <v>456</v>
      </c>
      <c r="D1667" t="s">
        <v>477</v>
      </c>
      <c r="E1667" t="s">
        <v>478</v>
      </c>
      <c r="F1667" t="s">
        <v>413</v>
      </c>
      <c r="G1667">
        <v>1828</v>
      </c>
      <c r="H1667">
        <v>1828</v>
      </c>
      <c r="I1667">
        <v>1655</v>
      </c>
      <c r="J1667">
        <v>1655</v>
      </c>
      <c r="K1667">
        <v>606</v>
      </c>
      <c r="L1667">
        <v>3</v>
      </c>
      <c r="M1667">
        <v>1181</v>
      </c>
      <c r="N1667">
        <v>14</v>
      </c>
      <c r="O1667">
        <v>24</v>
      </c>
      <c r="P1667">
        <v>21</v>
      </c>
      <c r="Q1667">
        <v>8</v>
      </c>
    </row>
    <row r="1668" spans="1:17" x14ac:dyDescent="0.2">
      <c r="A1668" s="121">
        <v>39844</v>
      </c>
      <c r="B1668" t="s">
        <v>406</v>
      </c>
      <c r="C1668" t="s">
        <v>456</v>
      </c>
      <c r="D1668" t="s">
        <v>479</v>
      </c>
      <c r="E1668" t="s">
        <v>480</v>
      </c>
      <c r="F1668" t="s">
        <v>410</v>
      </c>
      <c r="G1668">
        <v>82</v>
      </c>
      <c r="I1668">
        <v>82</v>
      </c>
    </row>
    <row r="1669" spans="1:17" x14ac:dyDescent="0.2">
      <c r="A1669" s="121">
        <v>39844</v>
      </c>
      <c r="B1669" t="s">
        <v>406</v>
      </c>
      <c r="C1669" t="s">
        <v>456</v>
      </c>
      <c r="D1669" t="s">
        <v>481</v>
      </c>
      <c r="E1669" t="s">
        <v>482</v>
      </c>
      <c r="F1669" t="s">
        <v>410</v>
      </c>
      <c r="G1669">
        <v>37</v>
      </c>
      <c r="I1669">
        <v>37</v>
      </c>
    </row>
    <row r="1670" spans="1:17" x14ac:dyDescent="0.2">
      <c r="A1670" s="121">
        <v>39844</v>
      </c>
      <c r="B1670" t="s">
        <v>406</v>
      </c>
      <c r="C1670" t="s">
        <v>456</v>
      </c>
      <c r="D1670" t="s">
        <v>483</v>
      </c>
      <c r="E1670" t="s">
        <v>484</v>
      </c>
      <c r="F1670" t="s">
        <v>410</v>
      </c>
      <c r="G1670">
        <v>112</v>
      </c>
      <c r="I1670">
        <v>112</v>
      </c>
    </row>
    <row r="1671" spans="1:17" x14ac:dyDescent="0.2">
      <c r="A1671" s="121">
        <v>39844</v>
      </c>
      <c r="B1671" t="s">
        <v>406</v>
      </c>
      <c r="C1671" t="s">
        <v>456</v>
      </c>
      <c r="D1671" t="s">
        <v>485</v>
      </c>
      <c r="E1671" t="s">
        <v>486</v>
      </c>
      <c r="F1671" t="s">
        <v>410</v>
      </c>
      <c r="G1671">
        <v>60</v>
      </c>
      <c r="I1671">
        <v>60</v>
      </c>
    </row>
    <row r="1672" spans="1:17" x14ac:dyDescent="0.2">
      <c r="A1672" s="121">
        <v>39844</v>
      </c>
      <c r="B1672" t="s">
        <v>406</v>
      </c>
      <c r="C1672" t="s">
        <v>456</v>
      </c>
      <c r="D1672" t="s">
        <v>487</v>
      </c>
      <c r="E1672" t="s">
        <v>488</v>
      </c>
      <c r="F1672" t="s">
        <v>410</v>
      </c>
      <c r="G1672">
        <v>32</v>
      </c>
      <c r="I1672">
        <v>32</v>
      </c>
    </row>
    <row r="1673" spans="1:17" x14ac:dyDescent="0.2">
      <c r="A1673" s="121">
        <v>39844</v>
      </c>
      <c r="B1673" t="s">
        <v>406</v>
      </c>
      <c r="C1673" t="s">
        <v>456</v>
      </c>
      <c r="D1673" t="s">
        <v>489</v>
      </c>
      <c r="E1673" t="s">
        <v>490</v>
      </c>
      <c r="F1673" t="s">
        <v>410</v>
      </c>
      <c r="G1673">
        <v>86</v>
      </c>
      <c r="H1673">
        <v>86</v>
      </c>
      <c r="I1673">
        <v>86</v>
      </c>
      <c r="J1673">
        <v>86</v>
      </c>
      <c r="K1673">
        <v>0</v>
      </c>
      <c r="L1673">
        <v>1</v>
      </c>
      <c r="M1673">
        <v>68</v>
      </c>
      <c r="N1673">
        <v>17</v>
      </c>
      <c r="O1673">
        <v>0</v>
      </c>
      <c r="P1673">
        <v>0</v>
      </c>
      <c r="Q1673">
        <v>0</v>
      </c>
    </row>
    <row r="1674" spans="1:17" x14ac:dyDescent="0.2">
      <c r="A1674" s="121">
        <v>39844</v>
      </c>
      <c r="B1674" t="s">
        <v>406</v>
      </c>
      <c r="C1674" t="s">
        <v>491</v>
      </c>
      <c r="D1674" t="s">
        <v>492</v>
      </c>
      <c r="E1674" t="s">
        <v>493</v>
      </c>
      <c r="F1674" t="s">
        <v>410</v>
      </c>
      <c r="G1674">
        <v>1185</v>
      </c>
      <c r="H1674">
        <v>1185</v>
      </c>
      <c r="I1674">
        <v>1152</v>
      </c>
      <c r="J1674">
        <v>1152</v>
      </c>
      <c r="K1674">
        <v>0</v>
      </c>
      <c r="L1674">
        <v>0</v>
      </c>
      <c r="M1674">
        <v>0</v>
      </c>
      <c r="N1674">
        <v>8</v>
      </c>
      <c r="O1674">
        <v>1177</v>
      </c>
      <c r="P1674">
        <v>0</v>
      </c>
      <c r="Q1674">
        <v>0</v>
      </c>
    </row>
    <row r="1675" spans="1:17" x14ac:dyDescent="0.2">
      <c r="A1675" s="121">
        <v>39844</v>
      </c>
      <c r="B1675" t="s">
        <v>406</v>
      </c>
      <c r="C1675" t="s">
        <v>491</v>
      </c>
      <c r="D1675" t="s">
        <v>494</v>
      </c>
      <c r="E1675" t="s">
        <v>495</v>
      </c>
      <c r="F1675" t="s">
        <v>413</v>
      </c>
      <c r="G1675">
        <v>2549</v>
      </c>
      <c r="H1675">
        <v>2549</v>
      </c>
      <c r="I1675">
        <v>2488</v>
      </c>
      <c r="J1675">
        <v>2488</v>
      </c>
      <c r="K1675">
        <v>0</v>
      </c>
      <c r="L1675">
        <v>0</v>
      </c>
      <c r="M1675">
        <v>0</v>
      </c>
      <c r="N1675">
        <v>18</v>
      </c>
      <c r="O1675">
        <v>2531</v>
      </c>
      <c r="P1675">
        <v>0</v>
      </c>
      <c r="Q1675">
        <v>0</v>
      </c>
    </row>
    <row r="1676" spans="1:17" x14ac:dyDescent="0.2">
      <c r="A1676" s="121">
        <v>39844</v>
      </c>
      <c r="B1676" t="s">
        <v>406</v>
      </c>
      <c r="C1676" t="s">
        <v>491</v>
      </c>
      <c r="D1676" t="s">
        <v>496</v>
      </c>
      <c r="E1676" t="s">
        <v>497</v>
      </c>
      <c r="F1676" t="s">
        <v>413</v>
      </c>
      <c r="G1676">
        <v>5386</v>
      </c>
      <c r="H1676">
        <v>5386</v>
      </c>
      <c r="I1676">
        <v>5089</v>
      </c>
      <c r="J1676">
        <v>5089</v>
      </c>
      <c r="K1676">
        <v>1572</v>
      </c>
      <c r="L1676">
        <v>0</v>
      </c>
      <c r="M1676">
        <v>0</v>
      </c>
      <c r="N1676">
        <v>74</v>
      </c>
      <c r="O1676">
        <v>3740</v>
      </c>
      <c r="P1676">
        <v>12</v>
      </c>
      <c r="Q1676">
        <v>0</v>
      </c>
    </row>
    <row r="1677" spans="1:17" x14ac:dyDescent="0.2">
      <c r="A1677" s="121">
        <v>39844</v>
      </c>
      <c r="B1677" t="s">
        <v>406</v>
      </c>
      <c r="C1677" t="s">
        <v>491</v>
      </c>
      <c r="D1677" t="s">
        <v>498</v>
      </c>
      <c r="E1677" t="s">
        <v>499</v>
      </c>
      <c r="F1677" t="s">
        <v>413</v>
      </c>
      <c r="G1677">
        <v>5939</v>
      </c>
      <c r="H1677">
        <v>5939</v>
      </c>
      <c r="I1677">
        <v>5774</v>
      </c>
      <c r="J1677">
        <v>5774</v>
      </c>
      <c r="K1677">
        <v>1932</v>
      </c>
      <c r="L1677">
        <v>14</v>
      </c>
      <c r="M1677">
        <v>3640</v>
      </c>
      <c r="N1677">
        <v>111</v>
      </c>
      <c r="O1677">
        <v>242</v>
      </c>
      <c r="P1677">
        <v>3</v>
      </c>
      <c r="Q1677">
        <v>0</v>
      </c>
    </row>
    <row r="1678" spans="1:17" x14ac:dyDescent="0.2">
      <c r="A1678" s="121">
        <v>39844</v>
      </c>
      <c r="B1678" t="s">
        <v>406</v>
      </c>
      <c r="C1678" t="s">
        <v>491</v>
      </c>
      <c r="D1678" t="s">
        <v>500</v>
      </c>
      <c r="E1678" t="s">
        <v>501</v>
      </c>
      <c r="F1678" t="s">
        <v>413</v>
      </c>
      <c r="G1678">
        <v>3376</v>
      </c>
      <c r="H1678">
        <v>3376</v>
      </c>
      <c r="I1678">
        <v>3351</v>
      </c>
      <c r="J1678">
        <v>3351</v>
      </c>
      <c r="K1678">
        <v>1039</v>
      </c>
      <c r="L1678">
        <v>1</v>
      </c>
      <c r="M1678">
        <v>2118</v>
      </c>
      <c r="N1678">
        <v>41</v>
      </c>
      <c r="O1678">
        <v>177</v>
      </c>
      <c r="P1678">
        <v>0</v>
      </c>
      <c r="Q1678">
        <v>0</v>
      </c>
    </row>
    <row r="1679" spans="1:17" x14ac:dyDescent="0.2">
      <c r="A1679" s="121">
        <v>39844</v>
      </c>
      <c r="B1679" t="s">
        <v>406</v>
      </c>
      <c r="C1679" t="s">
        <v>491</v>
      </c>
      <c r="D1679" t="s">
        <v>502</v>
      </c>
      <c r="E1679" t="s">
        <v>503</v>
      </c>
      <c r="F1679" t="s">
        <v>413</v>
      </c>
      <c r="G1679">
        <v>5446</v>
      </c>
      <c r="H1679">
        <v>5446</v>
      </c>
      <c r="I1679">
        <v>5257</v>
      </c>
      <c r="J1679">
        <v>5257</v>
      </c>
      <c r="K1679">
        <v>1592</v>
      </c>
      <c r="L1679">
        <v>11</v>
      </c>
      <c r="M1679">
        <v>3636</v>
      </c>
      <c r="N1679">
        <v>146</v>
      </c>
      <c r="O1679">
        <v>61</v>
      </c>
      <c r="P1679">
        <v>20</v>
      </c>
      <c r="Q1679">
        <v>4</v>
      </c>
    </row>
    <row r="1680" spans="1:17" x14ac:dyDescent="0.2">
      <c r="A1680" s="121">
        <v>39844</v>
      </c>
      <c r="B1680" t="s">
        <v>406</v>
      </c>
      <c r="C1680" t="s">
        <v>491</v>
      </c>
      <c r="D1680" t="s">
        <v>504</v>
      </c>
      <c r="E1680" t="s">
        <v>505</v>
      </c>
      <c r="F1680" t="s">
        <v>413</v>
      </c>
      <c r="G1680">
        <v>3959</v>
      </c>
      <c r="H1680">
        <v>3959</v>
      </c>
      <c r="I1680">
        <v>3777</v>
      </c>
      <c r="J1680">
        <v>3777</v>
      </c>
      <c r="K1680">
        <v>1327</v>
      </c>
      <c r="L1680">
        <v>8</v>
      </c>
      <c r="M1680">
        <v>2487</v>
      </c>
      <c r="N1680">
        <v>51</v>
      </c>
      <c r="O1680">
        <v>86</v>
      </c>
      <c r="P1680">
        <v>5</v>
      </c>
      <c r="Q1680">
        <v>1</v>
      </c>
    </row>
    <row r="1681" spans="1:17" x14ac:dyDescent="0.2">
      <c r="A1681" s="121">
        <v>39844</v>
      </c>
      <c r="B1681" t="s">
        <v>406</v>
      </c>
      <c r="C1681" t="s">
        <v>491</v>
      </c>
      <c r="D1681" t="s">
        <v>506</v>
      </c>
      <c r="E1681" t="s">
        <v>507</v>
      </c>
      <c r="F1681" t="s">
        <v>413</v>
      </c>
      <c r="G1681">
        <v>3244</v>
      </c>
      <c r="H1681">
        <v>3244</v>
      </c>
      <c r="I1681">
        <v>3210</v>
      </c>
      <c r="J1681">
        <v>3210</v>
      </c>
      <c r="K1681">
        <v>504</v>
      </c>
      <c r="L1681">
        <v>0</v>
      </c>
      <c r="M1681">
        <v>2735</v>
      </c>
      <c r="N1681">
        <v>1</v>
      </c>
      <c r="O1681">
        <v>4</v>
      </c>
      <c r="P1681">
        <v>0</v>
      </c>
      <c r="Q1681">
        <v>0</v>
      </c>
    </row>
    <row r="1682" spans="1:17" x14ac:dyDescent="0.2">
      <c r="A1682" s="121">
        <v>39844</v>
      </c>
      <c r="B1682" t="s">
        <v>406</v>
      </c>
      <c r="C1682" t="s">
        <v>491</v>
      </c>
      <c r="D1682" t="s">
        <v>508</v>
      </c>
      <c r="E1682" t="s">
        <v>509</v>
      </c>
      <c r="F1682" t="s">
        <v>413</v>
      </c>
      <c r="G1682">
        <v>4919</v>
      </c>
      <c r="H1682">
        <v>4919</v>
      </c>
      <c r="I1682">
        <v>4652</v>
      </c>
      <c r="J1682">
        <v>4652</v>
      </c>
      <c r="K1682">
        <v>1756</v>
      </c>
      <c r="L1682">
        <v>15</v>
      </c>
      <c r="M1682">
        <v>2686</v>
      </c>
      <c r="N1682">
        <v>178</v>
      </c>
      <c r="O1682">
        <v>284</v>
      </c>
      <c r="P1682">
        <v>24</v>
      </c>
      <c r="Q1682">
        <v>0</v>
      </c>
    </row>
    <row r="1683" spans="1:17" x14ac:dyDescent="0.2">
      <c r="A1683" s="121">
        <v>39844</v>
      </c>
      <c r="B1683" t="s">
        <v>406</v>
      </c>
      <c r="C1683" t="s">
        <v>510</v>
      </c>
      <c r="D1683" t="s">
        <v>511</v>
      </c>
      <c r="E1683" t="s">
        <v>512</v>
      </c>
      <c r="F1683" t="s">
        <v>410</v>
      </c>
      <c r="G1683">
        <v>452</v>
      </c>
      <c r="I1683">
        <v>437</v>
      </c>
    </row>
    <row r="1684" spans="1:17" x14ac:dyDescent="0.2">
      <c r="A1684" s="121">
        <v>39844</v>
      </c>
      <c r="B1684" t="s">
        <v>406</v>
      </c>
      <c r="C1684" t="s">
        <v>510</v>
      </c>
      <c r="D1684" t="s">
        <v>513</v>
      </c>
      <c r="E1684" t="s">
        <v>514</v>
      </c>
      <c r="F1684" t="s">
        <v>410</v>
      </c>
      <c r="G1684">
        <v>453</v>
      </c>
      <c r="I1684">
        <v>453</v>
      </c>
    </row>
    <row r="1685" spans="1:17" x14ac:dyDescent="0.2">
      <c r="A1685" s="121">
        <v>39844</v>
      </c>
      <c r="B1685" t="s">
        <v>406</v>
      </c>
      <c r="C1685" t="s">
        <v>510</v>
      </c>
      <c r="D1685" t="s">
        <v>515</v>
      </c>
      <c r="E1685" t="s">
        <v>516</v>
      </c>
      <c r="F1685" t="s">
        <v>410</v>
      </c>
      <c r="G1685">
        <v>86</v>
      </c>
      <c r="I1685">
        <v>86</v>
      </c>
    </row>
    <row r="1686" spans="1:17" x14ac:dyDescent="0.2">
      <c r="A1686" s="121">
        <v>39844</v>
      </c>
      <c r="B1686" t="s">
        <v>406</v>
      </c>
      <c r="C1686" t="s">
        <v>510</v>
      </c>
      <c r="D1686" t="s">
        <v>517</v>
      </c>
      <c r="E1686" t="s">
        <v>518</v>
      </c>
      <c r="F1686" t="s">
        <v>410</v>
      </c>
      <c r="G1686">
        <v>295</v>
      </c>
      <c r="I1686">
        <v>291</v>
      </c>
    </row>
    <row r="1687" spans="1:17" x14ac:dyDescent="0.2">
      <c r="A1687" s="121">
        <v>39844</v>
      </c>
      <c r="B1687" t="s">
        <v>406</v>
      </c>
      <c r="C1687" t="s">
        <v>510</v>
      </c>
      <c r="D1687" t="s">
        <v>519</v>
      </c>
      <c r="E1687" t="s">
        <v>520</v>
      </c>
      <c r="F1687" t="s">
        <v>410</v>
      </c>
      <c r="G1687">
        <v>364</v>
      </c>
      <c r="I1687">
        <v>357</v>
      </c>
    </row>
    <row r="1688" spans="1:17" x14ac:dyDescent="0.2">
      <c r="A1688" s="121">
        <v>39844</v>
      </c>
      <c r="B1688" t="s">
        <v>406</v>
      </c>
      <c r="C1688" t="s">
        <v>510</v>
      </c>
      <c r="D1688" t="s">
        <v>521</v>
      </c>
      <c r="E1688" t="s">
        <v>522</v>
      </c>
      <c r="F1688" t="s">
        <v>410</v>
      </c>
      <c r="G1688">
        <v>37</v>
      </c>
      <c r="I1688">
        <v>35</v>
      </c>
    </row>
    <row r="1689" spans="1:17" x14ac:dyDescent="0.2">
      <c r="A1689" s="121">
        <v>39844</v>
      </c>
      <c r="B1689" t="s">
        <v>406</v>
      </c>
      <c r="C1689" t="s">
        <v>510</v>
      </c>
      <c r="D1689" t="s">
        <v>523</v>
      </c>
      <c r="E1689" t="s">
        <v>524</v>
      </c>
      <c r="F1689" t="s">
        <v>413</v>
      </c>
      <c r="G1689">
        <v>443</v>
      </c>
      <c r="I1689">
        <v>439</v>
      </c>
    </row>
    <row r="1690" spans="1:17" x14ac:dyDescent="0.2">
      <c r="A1690" s="121">
        <v>39844</v>
      </c>
      <c r="B1690" t="s">
        <v>406</v>
      </c>
      <c r="C1690" t="s">
        <v>510</v>
      </c>
      <c r="D1690" t="s">
        <v>527</v>
      </c>
      <c r="E1690" t="s">
        <v>528</v>
      </c>
      <c r="F1690" t="s">
        <v>410</v>
      </c>
      <c r="G1690">
        <v>181</v>
      </c>
      <c r="I1690">
        <v>180</v>
      </c>
    </row>
    <row r="1691" spans="1:17" x14ac:dyDescent="0.2">
      <c r="A1691" s="121">
        <v>39844</v>
      </c>
      <c r="B1691" t="s">
        <v>406</v>
      </c>
      <c r="C1691" t="s">
        <v>510</v>
      </c>
      <c r="D1691" t="s">
        <v>529</v>
      </c>
      <c r="E1691" t="s">
        <v>530</v>
      </c>
      <c r="F1691" t="s">
        <v>413</v>
      </c>
      <c r="G1691">
        <v>492</v>
      </c>
      <c r="I1691">
        <v>484</v>
      </c>
    </row>
    <row r="1692" spans="1:17" x14ac:dyDescent="0.2">
      <c r="A1692" s="121">
        <v>39844</v>
      </c>
      <c r="B1692" t="s">
        <v>406</v>
      </c>
      <c r="C1692" t="s">
        <v>510</v>
      </c>
      <c r="D1692" t="s">
        <v>531</v>
      </c>
      <c r="E1692" t="s">
        <v>532</v>
      </c>
      <c r="F1692" t="s">
        <v>410</v>
      </c>
      <c r="G1692">
        <v>62</v>
      </c>
      <c r="I1692">
        <v>62</v>
      </c>
    </row>
    <row r="1693" spans="1:17" x14ac:dyDescent="0.2">
      <c r="A1693" s="121">
        <v>39844</v>
      </c>
      <c r="B1693" t="s">
        <v>406</v>
      </c>
      <c r="C1693" t="s">
        <v>510</v>
      </c>
      <c r="D1693" t="s">
        <v>533</v>
      </c>
      <c r="E1693" t="s">
        <v>534</v>
      </c>
      <c r="F1693" t="s">
        <v>413</v>
      </c>
      <c r="G1693">
        <v>2344</v>
      </c>
      <c r="H1693">
        <v>2344</v>
      </c>
      <c r="I1693">
        <v>2292</v>
      </c>
      <c r="J1693">
        <v>2292</v>
      </c>
      <c r="K1693">
        <v>559</v>
      </c>
      <c r="L1693">
        <v>36</v>
      </c>
      <c r="M1693">
        <v>1749</v>
      </c>
      <c r="N1693">
        <v>0</v>
      </c>
      <c r="O1693">
        <v>0</v>
      </c>
      <c r="P1693">
        <v>1</v>
      </c>
      <c r="Q1693">
        <v>0</v>
      </c>
    </row>
    <row r="1694" spans="1:17" x14ac:dyDescent="0.2">
      <c r="A1694" s="121">
        <v>39844</v>
      </c>
      <c r="B1694" t="s">
        <v>406</v>
      </c>
      <c r="C1694" t="s">
        <v>510</v>
      </c>
      <c r="D1694" t="s">
        <v>535</v>
      </c>
      <c r="E1694" t="s">
        <v>536</v>
      </c>
      <c r="F1694" t="s">
        <v>410</v>
      </c>
      <c r="G1694">
        <v>182</v>
      </c>
      <c r="I1694">
        <v>182</v>
      </c>
    </row>
    <row r="1695" spans="1:17" x14ac:dyDescent="0.2">
      <c r="A1695" s="121">
        <v>39844</v>
      </c>
      <c r="B1695" t="s">
        <v>406</v>
      </c>
      <c r="C1695" t="s">
        <v>510</v>
      </c>
      <c r="D1695" t="s">
        <v>537</v>
      </c>
      <c r="E1695" t="s">
        <v>538</v>
      </c>
      <c r="F1695" t="s">
        <v>410</v>
      </c>
      <c r="G1695">
        <v>54</v>
      </c>
      <c r="I1695">
        <v>54</v>
      </c>
    </row>
    <row r="1696" spans="1:17" x14ac:dyDescent="0.2">
      <c r="A1696" s="121">
        <v>39844</v>
      </c>
      <c r="B1696" t="s">
        <v>406</v>
      </c>
      <c r="C1696" t="s">
        <v>510</v>
      </c>
      <c r="D1696" t="s">
        <v>539</v>
      </c>
      <c r="E1696" t="s">
        <v>540</v>
      </c>
      <c r="F1696" t="s">
        <v>413</v>
      </c>
      <c r="G1696">
        <v>690</v>
      </c>
      <c r="I1696">
        <v>680</v>
      </c>
    </row>
    <row r="1697" spans="1:17" x14ac:dyDescent="0.2">
      <c r="A1697" s="121">
        <v>39844</v>
      </c>
      <c r="B1697" t="s">
        <v>406</v>
      </c>
      <c r="C1697" t="s">
        <v>510</v>
      </c>
      <c r="D1697" t="s">
        <v>541</v>
      </c>
      <c r="E1697" t="s">
        <v>542</v>
      </c>
      <c r="F1697" t="s">
        <v>410</v>
      </c>
      <c r="G1697">
        <v>320</v>
      </c>
      <c r="I1697">
        <v>314</v>
      </c>
    </row>
    <row r="1698" spans="1:17" x14ac:dyDescent="0.2">
      <c r="A1698" s="121">
        <v>39844</v>
      </c>
      <c r="B1698" t="s">
        <v>406</v>
      </c>
      <c r="C1698" t="s">
        <v>510</v>
      </c>
      <c r="D1698" t="s">
        <v>543</v>
      </c>
      <c r="E1698" t="s">
        <v>544</v>
      </c>
      <c r="F1698" t="s">
        <v>410</v>
      </c>
      <c r="G1698">
        <v>276</v>
      </c>
      <c r="I1698">
        <v>263</v>
      </c>
    </row>
    <row r="1699" spans="1:17" x14ac:dyDescent="0.2">
      <c r="A1699" s="121">
        <v>39844</v>
      </c>
      <c r="B1699" t="s">
        <v>406</v>
      </c>
      <c r="C1699" t="s">
        <v>510</v>
      </c>
      <c r="D1699" t="s">
        <v>545</v>
      </c>
      <c r="E1699" t="s">
        <v>546</v>
      </c>
      <c r="F1699" t="s">
        <v>410</v>
      </c>
      <c r="G1699">
        <v>143</v>
      </c>
      <c r="I1699">
        <v>143</v>
      </c>
    </row>
    <row r="1700" spans="1:17" x14ac:dyDescent="0.2">
      <c r="A1700" s="121">
        <v>39844</v>
      </c>
      <c r="B1700" t="s">
        <v>406</v>
      </c>
      <c r="C1700" t="s">
        <v>510</v>
      </c>
      <c r="D1700" t="s">
        <v>547</v>
      </c>
      <c r="E1700" t="s">
        <v>548</v>
      </c>
      <c r="F1700" t="s">
        <v>410</v>
      </c>
      <c r="G1700">
        <v>71</v>
      </c>
      <c r="I1700">
        <v>71</v>
      </c>
    </row>
    <row r="1701" spans="1:17" x14ac:dyDescent="0.2">
      <c r="A1701" s="121">
        <v>39844</v>
      </c>
      <c r="B1701" t="s">
        <v>406</v>
      </c>
      <c r="C1701" t="s">
        <v>510</v>
      </c>
      <c r="D1701" t="s">
        <v>549</v>
      </c>
      <c r="E1701" t="s">
        <v>550</v>
      </c>
      <c r="F1701" t="s">
        <v>410</v>
      </c>
      <c r="G1701">
        <v>110</v>
      </c>
      <c r="I1701">
        <v>108</v>
      </c>
    </row>
    <row r="1702" spans="1:17" x14ac:dyDescent="0.2">
      <c r="A1702" s="121">
        <v>39844</v>
      </c>
      <c r="B1702" t="s">
        <v>406</v>
      </c>
      <c r="C1702" t="s">
        <v>551</v>
      </c>
      <c r="D1702" t="s">
        <v>552</v>
      </c>
      <c r="E1702" t="s">
        <v>553</v>
      </c>
      <c r="F1702" t="s">
        <v>413</v>
      </c>
      <c r="G1702">
        <v>5406</v>
      </c>
      <c r="H1702">
        <v>5406</v>
      </c>
      <c r="I1702">
        <v>5235</v>
      </c>
      <c r="J1702">
        <v>5235</v>
      </c>
      <c r="K1702">
        <v>1872</v>
      </c>
      <c r="L1702">
        <v>8</v>
      </c>
      <c r="M1702">
        <v>3495</v>
      </c>
      <c r="N1702">
        <v>16</v>
      </c>
      <c r="O1702">
        <v>15</v>
      </c>
      <c r="P1702">
        <v>26</v>
      </c>
      <c r="Q1702">
        <v>6</v>
      </c>
    </row>
    <row r="1703" spans="1:17" x14ac:dyDescent="0.2">
      <c r="A1703" s="121">
        <v>39844</v>
      </c>
      <c r="B1703" t="s">
        <v>406</v>
      </c>
      <c r="C1703" t="s">
        <v>551</v>
      </c>
      <c r="D1703" t="s">
        <v>554</v>
      </c>
      <c r="E1703" t="s">
        <v>555</v>
      </c>
      <c r="F1703" t="s">
        <v>410</v>
      </c>
      <c r="G1703">
        <v>154</v>
      </c>
      <c r="I1703">
        <v>154</v>
      </c>
    </row>
    <row r="1704" spans="1:17" x14ac:dyDescent="0.2">
      <c r="A1704" s="121">
        <v>39844</v>
      </c>
      <c r="B1704" t="s">
        <v>406</v>
      </c>
      <c r="C1704" t="s">
        <v>551</v>
      </c>
      <c r="D1704" t="s">
        <v>556</v>
      </c>
      <c r="E1704" t="s">
        <v>557</v>
      </c>
      <c r="F1704" t="s">
        <v>410</v>
      </c>
      <c r="G1704">
        <v>140</v>
      </c>
      <c r="I1704">
        <v>140</v>
      </c>
    </row>
    <row r="1705" spans="1:17" x14ac:dyDescent="0.2">
      <c r="A1705" s="121">
        <v>39844</v>
      </c>
      <c r="B1705" t="s">
        <v>406</v>
      </c>
      <c r="C1705" t="s">
        <v>551</v>
      </c>
      <c r="D1705" t="s">
        <v>558</v>
      </c>
      <c r="E1705" t="s">
        <v>559</v>
      </c>
      <c r="F1705" t="s">
        <v>413</v>
      </c>
      <c r="G1705">
        <v>4594</v>
      </c>
      <c r="H1705">
        <v>4594</v>
      </c>
      <c r="I1705">
        <v>4399</v>
      </c>
      <c r="J1705">
        <v>4399</v>
      </c>
      <c r="K1705">
        <v>1285</v>
      </c>
      <c r="L1705">
        <v>7</v>
      </c>
      <c r="M1705">
        <v>3271</v>
      </c>
      <c r="N1705">
        <v>6</v>
      </c>
      <c r="O1705">
        <v>25</v>
      </c>
      <c r="P1705">
        <v>51</v>
      </c>
      <c r="Q1705">
        <v>14</v>
      </c>
    </row>
    <row r="1706" spans="1:17" x14ac:dyDescent="0.2">
      <c r="A1706" s="121">
        <v>39844</v>
      </c>
      <c r="B1706" t="s">
        <v>406</v>
      </c>
      <c r="C1706" t="s">
        <v>551</v>
      </c>
      <c r="D1706" t="s">
        <v>560</v>
      </c>
      <c r="E1706" t="s">
        <v>561</v>
      </c>
      <c r="F1706" t="s">
        <v>413</v>
      </c>
      <c r="G1706">
        <v>5635</v>
      </c>
      <c r="H1706">
        <v>5635</v>
      </c>
      <c r="I1706">
        <v>5459</v>
      </c>
      <c r="J1706">
        <v>5459</v>
      </c>
      <c r="K1706">
        <v>1522</v>
      </c>
      <c r="L1706">
        <v>9</v>
      </c>
      <c r="M1706">
        <v>4061</v>
      </c>
      <c r="N1706">
        <v>18</v>
      </c>
      <c r="O1706">
        <v>25</v>
      </c>
      <c r="P1706">
        <v>40</v>
      </c>
      <c r="Q1706">
        <v>16</v>
      </c>
    </row>
    <row r="1707" spans="1:17" x14ac:dyDescent="0.2">
      <c r="A1707" s="121">
        <v>39844</v>
      </c>
      <c r="B1707" t="s">
        <v>406</v>
      </c>
      <c r="C1707" t="s">
        <v>562</v>
      </c>
      <c r="D1707" t="s">
        <v>603</v>
      </c>
      <c r="E1707" t="s">
        <v>604</v>
      </c>
      <c r="F1707" t="s">
        <v>410</v>
      </c>
      <c r="G1707">
        <v>9</v>
      </c>
      <c r="I1707">
        <v>9</v>
      </c>
    </row>
    <row r="1708" spans="1:17" x14ac:dyDescent="0.2">
      <c r="A1708" s="121">
        <v>39844</v>
      </c>
      <c r="B1708" t="s">
        <v>406</v>
      </c>
      <c r="C1708" t="s">
        <v>562</v>
      </c>
      <c r="D1708" t="s">
        <v>563</v>
      </c>
      <c r="E1708" t="s">
        <v>564</v>
      </c>
      <c r="F1708" t="s">
        <v>410</v>
      </c>
      <c r="G1708">
        <v>2895</v>
      </c>
      <c r="H1708">
        <v>2895</v>
      </c>
      <c r="I1708">
        <v>2774</v>
      </c>
      <c r="J1708">
        <v>2774</v>
      </c>
      <c r="K1708">
        <v>1105</v>
      </c>
      <c r="L1708">
        <v>2</v>
      </c>
      <c r="M1708">
        <v>1759</v>
      </c>
      <c r="N1708">
        <v>29</v>
      </c>
      <c r="O1708">
        <v>0</v>
      </c>
      <c r="P1708">
        <v>3</v>
      </c>
      <c r="Q1708">
        <v>0</v>
      </c>
    </row>
    <row r="1709" spans="1:17" x14ac:dyDescent="0.2">
      <c r="A1709" s="121">
        <v>39844</v>
      </c>
      <c r="B1709" t="s">
        <v>406</v>
      </c>
      <c r="C1709" t="s">
        <v>562</v>
      </c>
      <c r="D1709" t="s">
        <v>565</v>
      </c>
      <c r="E1709" t="s">
        <v>566</v>
      </c>
      <c r="F1709" t="s">
        <v>413</v>
      </c>
      <c r="G1709">
        <v>3962</v>
      </c>
      <c r="H1709">
        <v>3962</v>
      </c>
      <c r="I1709">
        <v>3881</v>
      </c>
      <c r="J1709">
        <v>3881</v>
      </c>
      <c r="K1709">
        <v>998</v>
      </c>
      <c r="L1709">
        <v>4</v>
      </c>
      <c r="M1709">
        <v>2836</v>
      </c>
      <c r="N1709">
        <v>124</v>
      </c>
      <c r="O1709">
        <v>0</v>
      </c>
      <c r="P1709">
        <v>12</v>
      </c>
      <c r="Q1709">
        <v>8</v>
      </c>
    </row>
    <row r="1710" spans="1:17" x14ac:dyDescent="0.2">
      <c r="A1710" s="121">
        <v>39844</v>
      </c>
      <c r="B1710" t="s">
        <v>406</v>
      </c>
      <c r="C1710" t="s">
        <v>562</v>
      </c>
      <c r="D1710" t="s">
        <v>567</v>
      </c>
      <c r="E1710" t="s">
        <v>568</v>
      </c>
      <c r="F1710" t="s">
        <v>413</v>
      </c>
      <c r="G1710">
        <v>8382</v>
      </c>
      <c r="H1710">
        <v>8382</v>
      </c>
      <c r="I1710">
        <v>7857</v>
      </c>
      <c r="J1710">
        <v>7857</v>
      </c>
      <c r="K1710">
        <v>2565</v>
      </c>
      <c r="L1710">
        <v>15</v>
      </c>
      <c r="M1710">
        <v>5482</v>
      </c>
      <c r="N1710">
        <v>320</v>
      </c>
      <c r="O1710">
        <v>0</v>
      </c>
      <c r="P1710">
        <v>72</v>
      </c>
      <c r="Q1710">
        <v>1</v>
      </c>
    </row>
    <row r="1711" spans="1:17" x14ac:dyDescent="0.2">
      <c r="A1711" s="121">
        <v>39844</v>
      </c>
      <c r="B1711" t="s">
        <v>406</v>
      </c>
      <c r="C1711" t="s">
        <v>562</v>
      </c>
      <c r="D1711" t="s">
        <v>569</v>
      </c>
      <c r="E1711" t="s">
        <v>570</v>
      </c>
      <c r="F1711" t="s">
        <v>413</v>
      </c>
      <c r="G1711">
        <v>2702</v>
      </c>
      <c r="H1711">
        <v>2702</v>
      </c>
      <c r="I1711">
        <v>2692</v>
      </c>
      <c r="J1711">
        <v>2692</v>
      </c>
      <c r="K1711">
        <v>457</v>
      </c>
      <c r="L1711">
        <v>0</v>
      </c>
      <c r="M1711">
        <v>2245</v>
      </c>
      <c r="N1711">
        <v>0</v>
      </c>
      <c r="O1711">
        <v>0</v>
      </c>
      <c r="P1711">
        <v>0</v>
      </c>
      <c r="Q1711">
        <v>0</v>
      </c>
    </row>
    <row r="1712" spans="1:17" x14ac:dyDescent="0.2">
      <c r="A1712" s="121">
        <v>39844</v>
      </c>
      <c r="B1712" t="s">
        <v>406</v>
      </c>
      <c r="C1712" t="s">
        <v>571</v>
      </c>
      <c r="D1712" t="s">
        <v>572</v>
      </c>
      <c r="E1712" t="s">
        <v>573</v>
      </c>
      <c r="F1712" t="s">
        <v>410</v>
      </c>
      <c r="G1712">
        <v>293</v>
      </c>
      <c r="I1712">
        <v>292</v>
      </c>
    </row>
    <row r="1713" spans="1:17" x14ac:dyDescent="0.2">
      <c r="A1713" s="121">
        <v>39844</v>
      </c>
      <c r="B1713" t="s">
        <v>406</v>
      </c>
      <c r="C1713" t="s">
        <v>574</v>
      </c>
      <c r="D1713" t="s">
        <v>575</v>
      </c>
      <c r="E1713" t="s">
        <v>576</v>
      </c>
      <c r="F1713" t="s">
        <v>413</v>
      </c>
      <c r="G1713">
        <v>764</v>
      </c>
      <c r="H1713">
        <v>764</v>
      </c>
      <c r="I1713">
        <v>759</v>
      </c>
      <c r="J1713">
        <v>759</v>
      </c>
      <c r="K1713">
        <v>138</v>
      </c>
      <c r="L1713">
        <v>1</v>
      </c>
      <c r="M1713">
        <v>593</v>
      </c>
      <c r="N1713">
        <v>1</v>
      </c>
      <c r="O1713">
        <v>31</v>
      </c>
      <c r="P1713">
        <v>1</v>
      </c>
      <c r="Q1713">
        <v>0</v>
      </c>
    </row>
    <row r="1714" spans="1:17" x14ac:dyDescent="0.2">
      <c r="A1714" s="121">
        <v>39844</v>
      </c>
      <c r="B1714" t="s">
        <v>406</v>
      </c>
      <c r="C1714" t="s">
        <v>577</v>
      </c>
      <c r="D1714" t="s">
        <v>578</v>
      </c>
      <c r="E1714" t="s">
        <v>579</v>
      </c>
      <c r="F1714" t="s">
        <v>413</v>
      </c>
      <c r="G1714">
        <v>3783</v>
      </c>
      <c r="H1714">
        <v>3783</v>
      </c>
      <c r="I1714">
        <v>3733</v>
      </c>
      <c r="J1714">
        <v>3733</v>
      </c>
      <c r="K1714">
        <v>897</v>
      </c>
      <c r="L1714">
        <v>11</v>
      </c>
      <c r="M1714">
        <v>2773</v>
      </c>
      <c r="N1714">
        <v>36</v>
      </c>
      <c r="O1714">
        <v>66</v>
      </c>
      <c r="P1714">
        <v>1</v>
      </c>
      <c r="Q1714">
        <v>0</v>
      </c>
    </row>
    <row r="1715" spans="1:17" x14ac:dyDescent="0.2">
      <c r="A1715" s="121">
        <v>39844</v>
      </c>
      <c r="B1715" t="s">
        <v>406</v>
      </c>
      <c r="C1715" t="s">
        <v>577</v>
      </c>
      <c r="D1715" t="s">
        <v>580</v>
      </c>
      <c r="E1715" t="s">
        <v>581</v>
      </c>
      <c r="F1715" t="s">
        <v>413</v>
      </c>
      <c r="G1715">
        <v>1859</v>
      </c>
      <c r="H1715">
        <v>1859</v>
      </c>
      <c r="I1715">
        <v>1835</v>
      </c>
      <c r="J1715">
        <v>1835</v>
      </c>
      <c r="K1715">
        <v>382</v>
      </c>
      <c r="L1715">
        <v>8</v>
      </c>
      <c r="M1715">
        <v>1224</v>
      </c>
      <c r="N1715">
        <v>58</v>
      </c>
      <c r="O1715">
        <v>187</v>
      </c>
      <c r="P1715">
        <v>0</v>
      </c>
      <c r="Q1715">
        <v>0</v>
      </c>
    </row>
    <row r="1716" spans="1:17" x14ac:dyDescent="0.2">
      <c r="A1716" s="121">
        <v>39844</v>
      </c>
      <c r="B1716" t="s">
        <v>406</v>
      </c>
      <c r="C1716" t="s">
        <v>577</v>
      </c>
      <c r="D1716" t="s">
        <v>584</v>
      </c>
      <c r="E1716" t="s">
        <v>585</v>
      </c>
      <c r="F1716" t="s">
        <v>410</v>
      </c>
      <c r="G1716">
        <v>176</v>
      </c>
      <c r="H1716">
        <v>176</v>
      </c>
      <c r="I1716">
        <v>176</v>
      </c>
      <c r="J1716">
        <v>176</v>
      </c>
      <c r="K1716">
        <v>4</v>
      </c>
      <c r="L1716">
        <v>0</v>
      </c>
      <c r="M1716">
        <v>156</v>
      </c>
      <c r="N1716">
        <v>0</v>
      </c>
      <c r="O1716">
        <v>16</v>
      </c>
      <c r="P1716">
        <v>0</v>
      </c>
      <c r="Q1716">
        <v>0</v>
      </c>
    </row>
    <row r="1717" spans="1:17" x14ac:dyDescent="0.2">
      <c r="A1717" s="121">
        <v>39844</v>
      </c>
      <c r="B1717" t="s">
        <v>406</v>
      </c>
      <c r="C1717" t="s">
        <v>577</v>
      </c>
      <c r="D1717" t="s">
        <v>586</v>
      </c>
      <c r="E1717" t="s">
        <v>587</v>
      </c>
      <c r="F1717" t="s">
        <v>410</v>
      </c>
      <c r="G1717">
        <v>757</v>
      </c>
      <c r="H1717">
        <v>757</v>
      </c>
      <c r="I1717">
        <v>757</v>
      </c>
      <c r="J1717">
        <v>757</v>
      </c>
      <c r="K1717">
        <v>20</v>
      </c>
      <c r="L1717">
        <v>0</v>
      </c>
      <c r="M1717">
        <v>546</v>
      </c>
      <c r="N1717">
        <v>0</v>
      </c>
      <c r="O1717">
        <v>191</v>
      </c>
      <c r="P1717">
        <v>0</v>
      </c>
      <c r="Q1717">
        <v>0</v>
      </c>
    </row>
    <row r="1718" spans="1:17" x14ac:dyDescent="0.2">
      <c r="A1718" s="121">
        <v>39844</v>
      </c>
      <c r="B1718" t="s">
        <v>406</v>
      </c>
      <c r="C1718" t="s">
        <v>577</v>
      </c>
      <c r="D1718" t="s">
        <v>588</v>
      </c>
      <c r="E1718" t="s">
        <v>589</v>
      </c>
      <c r="F1718" t="s">
        <v>410</v>
      </c>
      <c r="G1718">
        <v>132</v>
      </c>
      <c r="H1718">
        <v>132</v>
      </c>
      <c r="I1718">
        <v>132</v>
      </c>
      <c r="J1718">
        <v>132</v>
      </c>
      <c r="K1718">
        <v>7</v>
      </c>
      <c r="L1718">
        <v>0</v>
      </c>
      <c r="M1718">
        <v>102</v>
      </c>
      <c r="N1718">
        <v>0</v>
      </c>
      <c r="O1718">
        <v>23</v>
      </c>
      <c r="P1718">
        <v>0</v>
      </c>
      <c r="Q1718">
        <v>0</v>
      </c>
    </row>
    <row r="1719" spans="1:17" x14ac:dyDescent="0.2">
      <c r="A1719" s="121">
        <v>39844</v>
      </c>
      <c r="B1719" t="s">
        <v>406</v>
      </c>
      <c r="C1719" t="s">
        <v>577</v>
      </c>
      <c r="D1719" t="s">
        <v>613</v>
      </c>
      <c r="E1719" t="s">
        <v>614</v>
      </c>
      <c r="F1719" t="s">
        <v>410</v>
      </c>
      <c r="G1719">
        <v>137</v>
      </c>
      <c r="H1719">
        <v>137</v>
      </c>
      <c r="I1719">
        <v>137</v>
      </c>
      <c r="J1719">
        <v>137</v>
      </c>
      <c r="K1719">
        <v>5</v>
      </c>
      <c r="L1719">
        <v>0</v>
      </c>
      <c r="M1719">
        <v>111</v>
      </c>
      <c r="N1719">
        <v>0</v>
      </c>
      <c r="O1719">
        <v>21</v>
      </c>
      <c r="P1719">
        <v>0</v>
      </c>
      <c r="Q1719">
        <v>0</v>
      </c>
    </row>
    <row r="1720" spans="1:17" x14ac:dyDescent="0.2">
      <c r="A1720" s="121">
        <v>39844</v>
      </c>
      <c r="B1720" t="s">
        <v>406</v>
      </c>
      <c r="C1720" t="s">
        <v>577</v>
      </c>
      <c r="D1720" t="s">
        <v>590</v>
      </c>
      <c r="E1720" t="s">
        <v>591</v>
      </c>
      <c r="F1720" t="s">
        <v>410</v>
      </c>
      <c r="G1720">
        <v>393</v>
      </c>
      <c r="H1720">
        <v>393</v>
      </c>
      <c r="I1720">
        <v>393</v>
      </c>
      <c r="J1720">
        <v>393</v>
      </c>
      <c r="K1720">
        <v>6</v>
      </c>
      <c r="L1720">
        <v>0</v>
      </c>
      <c r="M1720">
        <v>353</v>
      </c>
      <c r="N1720">
        <v>0</v>
      </c>
      <c r="O1720">
        <v>34</v>
      </c>
      <c r="P1720">
        <v>0</v>
      </c>
      <c r="Q1720">
        <v>0</v>
      </c>
    </row>
    <row r="1721" spans="1:17" x14ac:dyDescent="0.2">
      <c r="A1721" s="121">
        <v>39844</v>
      </c>
      <c r="B1721" t="s">
        <v>406</v>
      </c>
      <c r="C1721" t="s">
        <v>577</v>
      </c>
      <c r="D1721" t="s">
        <v>607</v>
      </c>
      <c r="E1721" t="s">
        <v>608</v>
      </c>
      <c r="F1721" t="s">
        <v>410</v>
      </c>
      <c r="G1721">
        <v>56</v>
      </c>
      <c r="H1721">
        <v>56</v>
      </c>
      <c r="I1721">
        <v>56</v>
      </c>
      <c r="J1721">
        <v>56</v>
      </c>
      <c r="K1721">
        <v>3</v>
      </c>
      <c r="L1721">
        <v>0</v>
      </c>
      <c r="M1721">
        <v>49</v>
      </c>
      <c r="N1721">
        <v>0</v>
      </c>
      <c r="O1721">
        <v>4</v>
      </c>
      <c r="P1721">
        <v>0</v>
      </c>
      <c r="Q1721">
        <v>0</v>
      </c>
    </row>
    <row r="1722" spans="1:17" x14ac:dyDescent="0.2">
      <c r="A1722" s="121">
        <v>39844</v>
      </c>
      <c r="B1722" t="s">
        <v>406</v>
      </c>
      <c r="C1722" t="s">
        <v>577</v>
      </c>
      <c r="D1722" t="s">
        <v>592</v>
      </c>
      <c r="E1722" t="s">
        <v>593</v>
      </c>
      <c r="F1722" t="s">
        <v>410</v>
      </c>
      <c r="G1722">
        <v>304</v>
      </c>
      <c r="H1722">
        <v>304</v>
      </c>
      <c r="I1722">
        <v>304</v>
      </c>
      <c r="J1722">
        <v>304</v>
      </c>
      <c r="K1722">
        <v>9</v>
      </c>
      <c r="L1722">
        <v>0</v>
      </c>
      <c r="M1722">
        <v>245</v>
      </c>
      <c r="N1722">
        <v>0</v>
      </c>
      <c r="O1722">
        <v>50</v>
      </c>
      <c r="P1722">
        <v>0</v>
      </c>
      <c r="Q1722">
        <v>0</v>
      </c>
    </row>
    <row r="1723" spans="1:17" x14ac:dyDescent="0.2">
      <c r="A1723" s="121">
        <v>39844</v>
      </c>
      <c r="B1723" t="s">
        <v>406</v>
      </c>
      <c r="C1723" t="s">
        <v>594</v>
      </c>
      <c r="D1723" t="s">
        <v>595</v>
      </c>
      <c r="E1723" t="s">
        <v>596</v>
      </c>
      <c r="F1723" t="s">
        <v>410</v>
      </c>
      <c r="G1723">
        <v>17</v>
      </c>
      <c r="I1723">
        <v>17</v>
      </c>
    </row>
    <row r="1724" spans="1:17" x14ac:dyDescent="0.2">
      <c r="A1724" s="121">
        <v>39844</v>
      </c>
      <c r="B1724" t="s">
        <v>406</v>
      </c>
      <c r="C1724" t="s">
        <v>594</v>
      </c>
      <c r="D1724" t="s">
        <v>597</v>
      </c>
      <c r="E1724" t="s">
        <v>598</v>
      </c>
      <c r="F1724" t="s">
        <v>413</v>
      </c>
      <c r="G1724">
        <v>541</v>
      </c>
      <c r="H1724">
        <v>541</v>
      </c>
      <c r="I1724">
        <v>527</v>
      </c>
      <c r="J1724">
        <v>527</v>
      </c>
      <c r="K1724">
        <v>172</v>
      </c>
      <c r="L1724">
        <v>0</v>
      </c>
      <c r="M1724">
        <v>367</v>
      </c>
      <c r="N1724">
        <v>0</v>
      </c>
      <c r="O1724">
        <v>2</v>
      </c>
      <c r="P1724">
        <v>0</v>
      </c>
      <c r="Q1724">
        <v>0</v>
      </c>
    </row>
    <row r="1725" spans="1:17" x14ac:dyDescent="0.2">
      <c r="A1725" s="121">
        <v>39844</v>
      </c>
      <c r="B1725" t="s">
        <v>406</v>
      </c>
      <c r="C1725" t="s">
        <v>594</v>
      </c>
      <c r="D1725" t="s">
        <v>599</v>
      </c>
      <c r="E1725" t="s">
        <v>600</v>
      </c>
      <c r="F1725" t="s">
        <v>410</v>
      </c>
      <c r="G1725">
        <v>50</v>
      </c>
      <c r="I1725">
        <v>50</v>
      </c>
    </row>
    <row r="1726" spans="1:17" x14ac:dyDescent="0.2">
      <c r="A1726" s="121">
        <v>39872</v>
      </c>
      <c r="B1726" t="s">
        <v>406</v>
      </c>
      <c r="C1726" t="s">
        <v>407</v>
      </c>
      <c r="D1726" t="s">
        <v>408</v>
      </c>
      <c r="E1726" t="s">
        <v>409</v>
      </c>
      <c r="F1726" t="s">
        <v>410</v>
      </c>
      <c r="G1726">
        <v>146</v>
      </c>
      <c r="I1726">
        <v>146</v>
      </c>
    </row>
    <row r="1727" spans="1:17" x14ac:dyDescent="0.2">
      <c r="A1727" s="121">
        <v>39872</v>
      </c>
      <c r="B1727" t="s">
        <v>406</v>
      </c>
      <c r="C1727" t="s">
        <v>407</v>
      </c>
      <c r="D1727" t="s">
        <v>601</v>
      </c>
      <c r="E1727" t="s">
        <v>602</v>
      </c>
      <c r="F1727" t="s">
        <v>410</v>
      </c>
      <c r="G1727">
        <v>38</v>
      </c>
      <c r="I1727">
        <v>38</v>
      </c>
    </row>
    <row r="1728" spans="1:17" x14ac:dyDescent="0.2">
      <c r="A1728" s="121">
        <v>39872</v>
      </c>
      <c r="B1728" t="s">
        <v>406</v>
      </c>
      <c r="C1728" t="s">
        <v>407</v>
      </c>
      <c r="D1728" t="s">
        <v>411</v>
      </c>
      <c r="E1728" t="s">
        <v>412</v>
      </c>
      <c r="F1728" t="s">
        <v>413</v>
      </c>
      <c r="G1728">
        <v>4768</v>
      </c>
      <c r="H1728">
        <v>4768</v>
      </c>
      <c r="I1728">
        <v>4660</v>
      </c>
      <c r="J1728">
        <v>4660</v>
      </c>
      <c r="K1728">
        <v>1858</v>
      </c>
      <c r="L1728">
        <v>14</v>
      </c>
      <c r="M1728">
        <v>2790</v>
      </c>
      <c r="N1728">
        <v>42</v>
      </c>
      <c r="O1728">
        <v>64</v>
      </c>
      <c r="P1728">
        <v>1</v>
      </c>
      <c r="Q1728">
        <v>0</v>
      </c>
    </row>
    <row r="1729" spans="1:17" x14ac:dyDescent="0.2">
      <c r="A1729" s="121">
        <v>39872</v>
      </c>
      <c r="B1729" t="s">
        <v>406</v>
      </c>
      <c r="C1729" t="s">
        <v>407</v>
      </c>
      <c r="D1729" t="s">
        <v>414</v>
      </c>
      <c r="E1729" t="s">
        <v>415</v>
      </c>
      <c r="F1729" t="s">
        <v>410</v>
      </c>
      <c r="G1729">
        <v>82</v>
      </c>
      <c r="I1729">
        <v>82</v>
      </c>
    </row>
    <row r="1730" spans="1:17" x14ac:dyDescent="0.2">
      <c r="A1730" s="121">
        <v>39872</v>
      </c>
      <c r="B1730" t="s">
        <v>406</v>
      </c>
      <c r="C1730" t="s">
        <v>407</v>
      </c>
      <c r="D1730" t="s">
        <v>416</v>
      </c>
      <c r="E1730" t="s">
        <v>417</v>
      </c>
      <c r="F1730" t="s">
        <v>413</v>
      </c>
      <c r="G1730">
        <v>3076</v>
      </c>
      <c r="H1730">
        <v>3076</v>
      </c>
      <c r="I1730">
        <v>2957</v>
      </c>
      <c r="J1730">
        <v>2957</v>
      </c>
      <c r="K1730">
        <v>1187</v>
      </c>
      <c r="L1730">
        <v>5</v>
      </c>
      <c r="M1730">
        <v>1775</v>
      </c>
      <c r="N1730">
        <v>73</v>
      </c>
      <c r="O1730">
        <v>36</v>
      </c>
      <c r="P1730">
        <v>0</v>
      </c>
      <c r="Q1730">
        <v>0</v>
      </c>
    </row>
    <row r="1731" spans="1:17" x14ac:dyDescent="0.2">
      <c r="A1731" s="121">
        <v>39872</v>
      </c>
      <c r="B1731" t="s">
        <v>406</v>
      </c>
      <c r="C1731" t="s">
        <v>418</v>
      </c>
      <c r="D1731" t="s">
        <v>419</v>
      </c>
      <c r="E1731" t="s">
        <v>420</v>
      </c>
      <c r="F1731" t="s">
        <v>410</v>
      </c>
      <c r="G1731">
        <v>11</v>
      </c>
      <c r="I1731">
        <v>11</v>
      </c>
    </row>
    <row r="1732" spans="1:17" x14ac:dyDescent="0.2">
      <c r="A1732" s="121">
        <v>39872</v>
      </c>
      <c r="B1732" t="s">
        <v>406</v>
      </c>
      <c r="C1732" t="s">
        <v>418</v>
      </c>
      <c r="D1732" t="s">
        <v>421</v>
      </c>
      <c r="E1732" t="s">
        <v>422</v>
      </c>
      <c r="F1732" t="s">
        <v>410</v>
      </c>
      <c r="G1732">
        <v>78</v>
      </c>
      <c r="I1732">
        <v>78</v>
      </c>
    </row>
    <row r="1733" spans="1:17" x14ac:dyDescent="0.2">
      <c r="A1733" s="121">
        <v>39872</v>
      </c>
      <c r="B1733" t="s">
        <v>406</v>
      </c>
      <c r="C1733" t="s">
        <v>418</v>
      </c>
      <c r="D1733" t="s">
        <v>423</v>
      </c>
      <c r="E1733" t="s">
        <v>424</v>
      </c>
      <c r="F1733" t="s">
        <v>410</v>
      </c>
      <c r="G1733">
        <v>25</v>
      </c>
      <c r="I1733">
        <v>25</v>
      </c>
    </row>
    <row r="1734" spans="1:17" x14ac:dyDescent="0.2">
      <c r="A1734" s="121">
        <v>39872</v>
      </c>
      <c r="B1734" t="s">
        <v>406</v>
      </c>
      <c r="C1734" t="s">
        <v>418</v>
      </c>
      <c r="D1734" t="s">
        <v>425</v>
      </c>
      <c r="E1734" t="s">
        <v>426</v>
      </c>
      <c r="F1734" t="s">
        <v>410</v>
      </c>
      <c r="G1734">
        <v>74</v>
      </c>
      <c r="I1734">
        <v>74</v>
      </c>
    </row>
    <row r="1735" spans="1:17" x14ac:dyDescent="0.2">
      <c r="A1735" s="121">
        <v>39872</v>
      </c>
      <c r="B1735" t="s">
        <v>406</v>
      </c>
      <c r="C1735" t="s">
        <v>418</v>
      </c>
      <c r="D1735" t="s">
        <v>427</v>
      </c>
      <c r="E1735" t="s">
        <v>428</v>
      </c>
      <c r="F1735" t="s">
        <v>413</v>
      </c>
      <c r="G1735">
        <v>1656</v>
      </c>
      <c r="H1735">
        <v>1656</v>
      </c>
      <c r="I1735">
        <v>1631</v>
      </c>
      <c r="J1735">
        <v>1631</v>
      </c>
      <c r="K1735">
        <v>567</v>
      </c>
      <c r="L1735">
        <v>4</v>
      </c>
      <c r="M1735">
        <v>867</v>
      </c>
      <c r="N1735">
        <v>29</v>
      </c>
      <c r="O1735">
        <v>189</v>
      </c>
      <c r="P1735">
        <v>0</v>
      </c>
      <c r="Q1735">
        <v>0</v>
      </c>
    </row>
    <row r="1736" spans="1:17" x14ac:dyDescent="0.2">
      <c r="A1736" s="121">
        <v>39872</v>
      </c>
      <c r="B1736" t="s">
        <v>406</v>
      </c>
      <c r="C1736" t="s">
        <v>429</v>
      </c>
      <c r="D1736" t="s">
        <v>430</v>
      </c>
      <c r="E1736" t="s">
        <v>431</v>
      </c>
      <c r="F1736" t="s">
        <v>410</v>
      </c>
      <c r="G1736">
        <v>41</v>
      </c>
      <c r="I1736">
        <v>41</v>
      </c>
    </row>
    <row r="1737" spans="1:17" x14ac:dyDescent="0.2">
      <c r="A1737" s="121">
        <v>39872</v>
      </c>
      <c r="B1737" t="s">
        <v>406</v>
      </c>
      <c r="C1737" t="s">
        <v>429</v>
      </c>
      <c r="D1737" t="s">
        <v>432</v>
      </c>
      <c r="E1737" t="s">
        <v>433</v>
      </c>
      <c r="F1737" t="s">
        <v>410</v>
      </c>
      <c r="G1737">
        <v>83</v>
      </c>
      <c r="I1737">
        <v>83</v>
      </c>
    </row>
    <row r="1738" spans="1:17" x14ac:dyDescent="0.2">
      <c r="A1738" s="121">
        <v>39872</v>
      </c>
      <c r="B1738" t="s">
        <v>406</v>
      </c>
      <c r="C1738" t="s">
        <v>429</v>
      </c>
      <c r="D1738" t="s">
        <v>434</v>
      </c>
      <c r="E1738" t="s">
        <v>435</v>
      </c>
      <c r="F1738" t="s">
        <v>410</v>
      </c>
      <c r="G1738">
        <v>22</v>
      </c>
      <c r="I1738">
        <v>22</v>
      </c>
    </row>
    <row r="1739" spans="1:17" x14ac:dyDescent="0.2">
      <c r="A1739" s="121">
        <v>39872</v>
      </c>
      <c r="B1739" t="s">
        <v>406</v>
      </c>
      <c r="C1739" t="s">
        <v>429</v>
      </c>
      <c r="D1739" t="s">
        <v>436</v>
      </c>
      <c r="E1739" t="s">
        <v>437</v>
      </c>
      <c r="F1739" t="s">
        <v>410</v>
      </c>
      <c r="G1739">
        <v>42</v>
      </c>
      <c r="I1739">
        <v>42</v>
      </c>
    </row>
    <row r="1740" spans="1:17" x14ac:dyDescent="0.2">
      <c r="A1740" s="121">
        <v>39872</v>
      </c>
      <c r="B1740" t="s">
        <v>406</v>
      </c>
      <c r="C1740" t="s">
        <v>429</v>
      </c>
      <c r="D1740" t="s">
        <v>438</v>
      </c>
      <c r="E1740" t="s">
        <v>439</v>
      </c>
      <c r="F1740" t="s">
        <v>413</v>
      </c>
      <c r="G1740">
        <v>874</v>
      </c>
      <c r="H1740">
        <v>874</v>
      </c>
      <c r="I1740">
        <v>858</v>
      </c>
      <c r="J1740">
        <v>858</v>
      </c>
      <c r="K1740">
        <v>94</v>
      </c>
      <c r="L1740">
        <v>1</v>
      </c>
      <c r="M1740">
        <v>771</v>
      </c>
      <c r="N1740">
        <v>8</v>
      </c>
      <c r="O1740">
        <v>0</v>
      </c>
      <c r="P1740">
        <v>0</v>
      </c>
      <c r="Q1740">
        <v>0</v>
      </c>
    </row>
    <row r="1741" spans="1:17" x14ac:dyDescent="0.2">
      <c r="A1741" s="121">
        <v>39872</v>
      </c>
      <c r="B1741" t="s">
        <v>406</v>
      </c>
      <c r="C1741" t="s">
        <v>429</v>
      </c>
      <c r="D1741" t="s">
        <v>440</v>
      </c>
      <c r="E1741" t="s">
        <v>441</v>
      </c>
      <c r="F1741" t="s">
        <v>413</v>
      </c>
      <c r="G1741">
        <v>2553</v>
      </c>
      <c r="H1741">
        <v>2553</v>
      </c>
      <c r="I1741">
        <v>2463</v>
      </c>
      <c r="J1741">
        <v>2463</v>
      </c>
      <c r="K1741">
        <v>963</v>
      </c>
      <c r="L1741">
        <v>1</v>
      </c>
      <c r="M1741">
        <v>1551</v>
      </c>
      <c r="N1741">
        <v>12</v>
      </c>
      <c r="O1741">
        <v>26</v>
      </c>
      <c r="P1741">
        <v>3</v>
      </c>
      <c r="Q1741">
        <v>1</v>
      </c>
    </row>
    <row r="1742" spans="1:17" x14ac:dyDescent="0.2">
      <c r="A1742" s="121">
        <v>39872</v>
      </c>
      <c r="B1742" t="s">
        <v>406</v>
      </c>
      <c r="C1742" t="s">
        <v>442</v>
      </c>
      <c r="D1742" t="s">
        <v>443</v>
      </c>
      <c r="E1742" t="s">
        <v>444</v>
      </c>
      <c r="F1742" t="s">
        <v>413</v>
      </c>
      <c r="G1742">
        <v>3027</v>
      </c>
      <c r="H1742">
        <v>3027</v>
      </c>
      <c r="I1742">
        <v>2858</v>
      </c>
      <c r="J1742">
        <v>2858</v>
      </c>
      <c r="K1742">
        <v>498</v>
      </c>
      <c r="L1742">
        <v>3</v>
      </c>
      <c r="M1742">
        <v>2438</v>
      </c>
      <c r="N1742">
        <v>41</v>
      </c>
      <c r="O1742">
        <v>47</v>
      </c>
      <c r="P1742">
        <v>14</v>
      </c>
      <c r="Q1742">
        <v>2</v>
      </c>
    </row>
    <row r="1743" spans="1:17" x14ac:dyDescent="0.2">
      <c r="A1743" s="121">
        <v>39872</v>
      </c>
      <c r="B1743" t="s">
        <v>406</v>
      </c>
      <c r="C1743" t="s">
        <v>442</v>
      </c>
      <c r="D1743" t="s">
        <v>445</v>
      </c>
      <c r="E1743" t="s">
        <v>446</v>
      </c>
      <c r="F1743" t="s">
        <v>410</v>
      </c>
      <c r="G1743">
        <v>131</v>
      </c>
      <c r="I1743">
        <v>131</v>
      </c>
    </row>
    <row r="1744" spans="1:17" x14ac:dyDescent="0.2">
      <c r="A1744" s="121">
        <v>39872</v>
      </c>
      <c r="B1744" t="s">
        <v>406</v>
      </c>
      <c r="C1744" t="s">
        <v>442</v>
      </c>
      <c r="D1744" t="s">
        <v>447</v>
      </c>
      <c r="E1744" t="s">
        <v>448</v>
      </c>
      <c r="F1744" t="s">
        <v>410</v>
      </c>
      <c r="G1744">
        <v>250</v>
      </c>
      <c r="I1744">
        <v>250</v>
      </c>
    </row>
    <row r="1745" spans="1:17" x14ac:dyDescent="0.2">
      <c r="A1745" s="121">
        <v>39872</v>
      </c>
      <c r="B1745" t="s">
        <v>406</v>
      </c>
      <c r="C1745" t="s">
        <v>442</v>
      </c>
      <c r="D1745" t="s">
        <v>449</v>
      </c>
      <c r="E1745" t="s">
        <v>450</v>
      </c>
      <c r="F1745" t="s">
        <v>413</v>
      </c>
      <c r="G1745">
        <v>3025</v>
      </c>
      <c r="H1745">
        <v>3025</v>
      </c>
      <c r="I1745">
        <v>2865</v>
      </c>
      <c r="J1745">
        <v>2865</v>
      </c>
      <c r="K1745">
        <v>596</v>
      </c>
      <c r="L1745">
        <v>12</v>
      </c>
      <c r="M1745">
        <v>2370</v>
      </c>
      <c r="N1745">
        <v>27</v>
      </c>
      <c r="O1745">
        <v>20</v>
      </c>
      <c r="P1745">
        <v>8</v>
      </c>
      <c r="Q1745">
        <v>0</v>
      </c>
    </row>
    <row r="1746" spans="1:17" x14ac:dyDescent="0.2">
      <c r="A1746" s="121">
        <v>39872</v>
      </c>
      <c r="B1746" t="s">
        <v>406</v>
      </c>
      <c r="C1746" t="s">
        <v>451</v>
      </c>
      <c r="D1746" t="s">
        <v>452</v>
      </c>
      <c r="E1746" t="s">
        <v>453</v>
      </c>
      <c r="F1746" t="s">
        <v>410</v>
      </c>
      <c r="G1746">
        <v>1516</v>
      </c>
      <c r="H1746">
        <v>1516</v>
      </c>
      <c r="I1746">
        <v>1514</v>
      </c>
      <c r="J1746">
        <v>1514</v>
      </c>
      <c r="K1746">
        <v>0</v>
      </c>
      <c r="L1746">
        <v>0</v>
      </c>
      <c r="M1746">
        <v>1110</v>
      </c>
      <c r="N1746">
        <v>172</v>
      </c>
      <c r="O1746">
        <v>234</v>
      </c>
      <c r="P1746">
        <v>0</v>
      </c>
      <c r="Q1746">
        <v>0</v>
      </c>
    </row>
    <row r="1747" spans="1:17" x14ac:dyDescent="0.2">
      <c r="A1747" s="121">
        <v>39872</v>
      </c>
      <c r="B1747" t="s">
        <v>406</v>
      </c>
      <c r="C1747" t="s">
        <v>451</v>
      </c>
      <c r="D1747" t="s">
        <v>454</v>
      </c>
      <c r="E1747" t="s">
        <v>455</v>
      </c>
      <c r="F1747" t="s">
        <v>413</v>
      </c>
      <c r="G1747">
        <v>3852</v>
      </c>
      <c r="H1747">
        <v>3852</v>
      </c>
      <c r="I1747">
        <v>3625</v>
      </c>
      <c r="J1747">
        <v>3625</v>
      </c>
      <c r="K1747">
        <v>1037</v>
      </c>
      <c r="L1747">
        <v>12</v>
      </c>
      <c r="M1747">
        <v>2173</v>
      </c>
      <c r="N1747">
        <v>36</v>
      </c>
      <c r="O1747">
        <v>594</v>
      </c>
      <c r="P1747">
        <v>7</v>
      </c>
      <c r="Q1747">
        <v>0</v>
      </c>
    </row>
    <row r="1748" spans="1:17" x14ac:dyDescent="0.2">
      <c r="A1748" s="121">
        <v>39872</v>
      </c>
      <c r="B1748" t="s">
        <v>406</v>
      </c>
      <c r="C1748" t="s">
        <v>456</v>
      </c>
      <c r="D1748" t="s">
        <v>457</v>
      </c>
      <c r="E1748" t="s">
        <v>458</v>
      </c>
      <c r="F1748" t="s">
        <v>413</v>
      </c>
      <c r="G1748">
        <v>4764</v>
      </c>
      <c r="H1748">
        <v>4764</v>
      </c>
      <c r="I1748">
        <v>4492</v>
      </c>
      <c r="J1748">
        <v>4492</v>
      </c>
      <c r="K1748">
        <v>1197</v>
      </c>
      <c r="L1748">
        <v>21</v>
      </c>
      <c r="M1748">
        <v>3425</v>
      </c>
      <c r="N1748">
        <v>81</v>
      </c>
      <c r="O1748">
        <v>40</v>
      </c>
      <c r="P1748">
        <v>65</v>
      </c>
      <c r="Q1748">
        <v>16</v>
      </c>
    </row>
    <row r="1749" spans="1:17" x14ac:dyDescent="0.2">
      <c r="A1749" s="121">
        <v>39872</v>
      </c>
      <c r="B1749" t="s">
        <v>406</v>
      </c>
      <c r="C1749" t="s">
        <v>456</v>
      </c>
      <c r="D1749" t="s">
        <v>459</v>
      </c>
      <c r="E1749" t="s">
        <v>460</v>
      </c>
      <c r="F1749" t="s">
        <v>413</v>
      </c>
      <c r="G1749">
        <v>1239</v>
      </c>
      <c r="H1749">
        <v>1239</v>
      </c>
      <c r="I1749">
        <v>1224</v>
      </c>
      <c r="J1749">
        <v>1224</v>
      </c>
      <c r="K1749">
        <v>393</v>
      </c>
      <c r="L1749">
        <v>0</v>
      </c>
      <c r="M1749">
        <v>846</v>
      </c>
      <c r="N1749">
        <v>0</v>
      </c>
      <c r="O1749">
        <v>0</v>
      </c>
      <c r="P1749">
        <v>0</v>
      </c>
      <c r="Q1749">
        <v>0</v>
      </c>
    </row>
    <row r="1750" spans="1:17" x14ac:dyDescent="0.2">
      <c r="A1750" s="121">
        <v>39872</v>
      </c>
      <c r="B1750" t="s">
        <v>406</v>
      </c>
      <c r="C1750" t="s">
        <v>456</v>
      </c>
      <c r="D1750" t="s">
        <v>461</v>
      </c>
      <c r="E1750" t="s">
        <v>462</v>
      </c>
      <c r="F1750" t="s">
        <v>410</v>
      </c>
      <c r="G1750">
        <v>64</v>
      </c>
      <c r="I1750">
        <v>64</v>
      </c>
    </row>
    <row r="1751" spans="1:17" x14ac:dyDescent="0.2">
      <c r="A1751" s="121">
        <v>39872</v>
      </c>
      <c r="B1751" t="s">
        <v>406</v>
      </c>
      <c r="C1751" t="s">
        <v>456</v>
      </c>
      <c r="D1751" t="s">
        <v>463</v>
      </c>
      <c r="E1751" t="s">
        <v>464</v>
      </c>
      <c r="F1751" t="s">
        <v>410</v>
      </c>
      <c r="G1751">
        <v>24</v>
      </c>
      <c r="I1751">
        <v>24</v>
      </c>
    </row>
    <row r="1752" spans="1:17" x14ac:dyDescent="0.2">
      <c r="A1752" s="121">
        <v>39872</v>
      </c>
      <c r="B1752" t="s">
        <v>406</v>
      </c>
      <c r="C1752" t="s">
        <v>456</v>
      </c>
      <c r="D1752" t="s">
        <v>465</v>
      </c>
      <c r="E1752" t="s">
        <v>466</v>
      </c>
      <c r="F1752" t="s">
        <v>410</v>
      </c>
      <c r="G1752">
        <v>53</v>
      </c>
      <c r="I1752">
        <v>53</v>
      </c>
    </row>
    <row r="1753" spans="1:17" x14ac:dyDescent="0.2">
      <c r="A1753" s="121">
        <v>39872</v>
      </c>
      <c r="B1753" t="s">
        <v>406</v>
      </c>
      <c r="C1753" t="s">
        <v>456</v>
      </c>
      <c r="D1753" t="s">
        <v>467</v>
      </c>
      <c r="E1753" t="s">
        <v>468</v>
      </c>
      <c r="F1753" t="s">
        <v>410</v>
      </c>
      <c r="G1753">
        <v>935</v>
      </c>
      <c r="I1753">
        <v>933</v>
      </c>
    </row>
    <row r="1754" spans="1:17" x14ac:dyDescent="0.2">
      <c r="A1754" s="121">
        <v>39872</v>
      </c>
      <c r="B1754" t="s">
        <v>406</v>
      </c>
      <c r="C1754" t="s">
        <v>456</v>
      </c>
      <c r="D1754" t="s">
        <v>469</v>
      </c>
      <c r="E1754" t="s">
        <v>470</v>
      </c>
      <c r="F1754" t="s">
        <v>410</v>
      </c>
      <c r="G1754">
        <v>726</v>
      </c>
      <c r="I1754">
        <v>723</v>
      </c>
    </row>
    <row r="1755" spans="1:17" x14ac:dyDescent="0.2">
      <c r="A1755" s="121">
        <v>39872</v>
      </c>
      <c r="B1755" t="s">
        <v>406</v>
      </c>
      <c r="C1755" t="s">
        <v>456</v>
      </c>
      <c r="D1755" t="s">
        <v>471</v>
      </c>
      <c r="E1755" t="s">
        <v>472</v>
      </c>
      <c r="F1755" t="s">
        <v>410</v>
      </c>
      <c r="G1755">
        <v>247</v>
      </c>
      <c r="I1755">
        <v>247</v>
      </c>
    </row>
    <row r="1756" spans="1:17" x14ac:dyDescent="0.2">
      <c r="A1756" s="121">
        <v>39872</v>
      </c>
      <c r="B1756" t="s">
        <v>406</v>
      </c>
      <c r="C1756" t="s">
        <v>456</v>
      </c>
      <c r="D1756" t="s">
        <v>473</v>
      </c>
      <c r="E1756" t="s">
        <v>474</v>
      </c>
      <c r="F1756" t="s">
        <v>410</v>
      </c>
      <c r="G1756">
        <v>141</v>
      </c>
      <c r="I1756">
        <v>141</v>
      </c>
    </row>
    <row r="1757" spans="1:17" x14ac:dyDescent="0.2">
      <c r="A1757" s="121">
        <v>39872</v>
      </c>
      <c r="B1757" t="s">
        <v>406</v>
      </c>
      <c r="C1757" t="s">
        <v>456</v>
      </c>
      <c r="D1757" t="s">
        <v>475</v>
      </c>
      <c r="E1757" t="s">
        <v>476</v>
      </c>
      <c r="F1757" t="s">
        <v>410</v>
      </c>
      <c r="G1757">
        <v>270</v>
      </c>
      <c r="I1757">
        <v>270</v>
      </c>
    </row>
    <row r="1758" spans="1:17" x14ac:dyDescent="0.2">
      <c r="A1758" s="121">
        <v>39872</v>
      </c>
      <c r="B1758" t="s">
        <v>406</v>
      </c>
      <c r="C1758" t="s">
        <v>456</v>
      </c>
      <c r="D1758" t="s">
        <v>477</v>
      </c>
      <c r="E1758" t="s">
        <v>478</v>
      </c>
      <c r="F1758" t="s">
        <v>413</v>
      </c>
      <c r="G1758">
        <v>1628</v>
      </c>
      <c r="H1758">
        <v>1628</v>
      </c>
      <c r="I1758">
        <v>1450</v>
      </c>
      <c r="J1758">
        <v>1450</v>
      </c>
      <c r="K1758">
        <v>500</v>
      </c>
      <c r="L1758">
        <v>9</v>
      </c>
      <c r="M1758">
        <v>1086</v>
      </c>
      <c r="N1758">
        <v>18</v>
      </c>
      <c r="O1758">
        <v>15</v>
      </c>
      <c r="P1758">
        <v>12</v>
      </c>
      <c r="Q1758">
        <v>0</v>
      </c>
    </row>
    <row r="1759" spans="1:17" x14ac:dyDescent="0.2">
      <c r="A1759" s="121">
        <v>39872</v>
      </c>
      <c r="B1759" t="s">
        <v>406</v>
      </c>
      <c r="C1759" t="s">
        <v>456</v>
      </c>
      <c r="D1759" t="s">
        <v>479</v>
      </c>
      <c r="E1759" t="s">
        <v>480</v>
      </c>
      <c r="F1759" t="s">
        <v>410</v>
      </c>
      <c r="G1759">
        <v>61</v>
      </c>
      <c r="I1759">
        <v>61</v>
      </c>
    </row>
    <row r="1760" spans="1:17" x14ac:dyDescent="0.2">
      <c r="A1760" s="121">
        <v>39872</v>
      </c>
      <c r="B1760" t="s">
        <v>406</v>
      </c>
      <c r="C1760" t="s">
        <v>456</v>
      </c>
      <c r="D1760" t="s">
        <v>481</v>
      </c>
      <c r="E1760" t="s">
        <v>482</v>
      </c>
      <c r="F1760" t="s">
        <v>410</v>
      </c>
      <c r="G1760">
        <v>27</v>
      </c>
      <c r="I1760">
        <v>27</v>
      </c>
    </row>
    <row r="1761" spans="1:17" x14ac:dyDescent="0.2">
      <c r="A1761" s="121">
        <v>39872</v>
      </c>
      <c r="B1761" t="s">
        <v>406</v>
      </c>
      <c r="C1761" t="s">
        <v>456</v>
      </c>
      <c r="D1761" t="s">
        <v>483</v>
      </c>
      <c r="E1761" t="s">
        <v>484</v>
      </c>
      <c r="F1761" t="s">
        <v>410</v>
      </c>
      <c r="G1761">
        <v>99</v>
      </c>
      <c r="I1761">
        <v>99</v>
      </c>
    </row>
    <row r="1762" spans="1:17" x14ac:dyDescent="0.2">
      <c r="A1762" s="121">
        <v>39872</v>
      </c>
      <c r="B1762" t="s">
        <v>406</v>
      </c>
      <c r="C1762" t="s">
        <v>456</v>
      </c>
      <c r="D1762" t="s">
        <v>485</v>
      </c>
      <c r="E1762" t="s">
        <v>486</v>
      </c>
      <c r="F1762" t="s">
        <v>410</v>
      </c>
      <c r="G1762">
        <v>67</v>
      </c>
      <c r="I1762">
        <v>67</v>
      </c>
    </row>
    <row r="1763" spans="1:17" x14ac:dyDescent="0.2">
      <c r="A1763" s="121">
        <v>39872</v>
      </c>
      <c r="B1763" t="s">
        <v>406</v>
      </c>
      <c r="C1763" t="s">
        <v>456</v>
      </c>
      <c r="D1763" t="s">
        <v>487</v>
      </c>
      <c r="E1763" t="s">
        <v>488</v>
      </c>
      <c r="F1763" t="s">
        <v>410</v>
      </c>
      <c r="G1763">
        <v>14</v>
      </c>
      <c r="I1763">
        <v>14</v>
      </c>
    </row>
    <row r="1764" spans="1:17" x14ac:dyDescent="0.2">
      <c r="A1764" s="121">
        <v>39872</v>
      </c>
      <c r="B1764" t="s">
        <v>406</v>
      </c>
      <c r="C1764" t="s">
        <v>456</v>
      </c>
      <c r="D1764" t="s">
        <v>489</v>
      </c>
      <c r="E1764" t="s">
        <v>490</v>
      </c>
      <c r="F1764" t="s">
        <v>410</v>
      </c>
      <c r="G1764">
        <v>101</v>
      </c>
      <c r="H1764">
        <v>101</v>
      </c>
      <c r="I1764">
        <v>101</v>
      </c>
      <c r="J1764">
        <v>101</v>
      </c>
      <c r="K1764">
        <v>0</v>
      </c>
      <c r="L1764">
        <v>0</v>
      </c>
      <c r="M1764">
        <v>82</v>
      </c>
      <c r="N1764">
        <v>19</v>
      </c>
      <c r="O1764">
        <v>0</v>
      </c>
      <c r="P1764">
        <v>0</v>
      </c>
      <c r="Q1764">
        <v>0</v>
      </c>
    </row>
    <row r="1765" spans="1:17" x14ac:dyDescent="0.2">
      <c r="A1765" s="121">
        <v>39872</v>
      </c>
      <c r="B1765" t="s">
        <v>406</v>
      </c>
      <c r="C1765" t="s">
        <v>491</v>
      </c>
      <c r="D1765" t="s">
        <v>492</v>
      </c>
      <c r="E1765" t="s">
        <v>493</v>
      </c>
      <c r="F1765" t="s">
        <v>410</v>
      </c>
      <c r="G1765">
        <v>1137</v>
      </c>
      <c r="H1765">
        <v>1137</v>
      </c>
      <c r="I1765">
        <v>1129</v>
      </c>
      <c r="J1765">
        <v>1129</v>
      </c>
      <c r="K1765">
        <v>0</v>
      </c>
      <c r="L1765">
        <v>0</v>
      </c>
      <c r="M1765">
        <v>0</v>
      </c>
      <c r="N1765">
        <v>5</v>
      </c>
      <c r="O1765">
        <v>1132</v>
      </c>
      <c r="P1765">
        <v>0</v>
      </c>
      <c r="Q1765">
        <v>0</v>
      </c>
    </row>
    <row r="1766" spans="1:17" x14ac:dyDescent="0.2">
      <c r="A1766" s="121">
        <v>39872</v>
      </c>
      <c r="B1766" t="s">
        <v>406</v>
      </c>
      <c r="C1766" t="s">
        <v>491</v>
      </c>
      <c r="D1766" t="s">
        <v>494</v>
      </c>
      <c r="E1766" t="s">
        <v>495</v>
      </c>
      <c r="F1766" t="s">
        <v>413</v>
      </c>
      <c r="G1766">
        <v>2405</v>
      </c>
      <c r="H1766">
        <v>2405</v>
      </c>
      <c r="I1766">
        <v>2380</v>
      </c>
      <c r="J1766">
        <v>2380</v>
      </c>
      <c r="K1766">
        <v>0</v>
      </c>
      <c r="L1766">
        <v>0</v>
      </c>
      <c r="M1766">
        <v>7</v>
      </c>
      <c r="N1766">
        <v>23</v>
      </c>
      <c r="O1766">
        <v>2375</v>
      </c>
      <c r="P1766">
        <v>0</v>
      </c>
      <c r="Q1766">
        <v>0</v>
      </c>
    </row>
    <row r="1767" spans="1:17" x14ac:dyDescent="0.2">
      <c r="A1767" s="121">
        <v>39872</v>
      </c>
      <c r="B1767" t="s">
        <v>406</v>
      </c>
      <c r="C1767" t="s">
        <v>491</v>
      </c>
      <c r="D1767" t="s">
        <v>496</v>
      </c>
      <c r="E1767" t="s">
        <v>497</v>
      </c>
      <c r="F1767" t="s">
        <v>413</v>
      </c>
      <c r="G1767">
        <v>5386</v>
      </c>
      <c r="H1767">
        <v>5386</v>
      </c>
      <c r="I1767">
        <v>5189</v>
      </c>
      <c r="J1767">
        <v>5189</v>
      </c>
      <c r="K1767">
        <v>1419</v>
      </c>
      <c r="L1767">
        <v>0</v>
      </c>
      <c r="M1767">
        <v>21</v>
      </c>
      <c r="N1767">
        <v>73</v>
      </c>
      <c r="O1767">
        <v>3873</v>
      </c>
      <c r="P1767">
        <v>8</v>
      </c>
      <c r="Q1767">
        <v>0</v>
      </c>
    </row>
    <row r="1768" spans="1:17" x14ac:dyDescent="0.2">
      <c r="A1768" s="121">
        <v>39872</v>
      </c>
      <c r="B1768" t="s">
        <v>406</v>
      </c>
      <c r="C1768" t="s">
        <v>491</v>
      </c>
      <c r="D1768" t="s">
        <v>498</v>
      </c>
      <c r="E1768" t="s">
        <v>499</v>
      </c>
      <c r="F1768" t="s">
        <v>413</v>
      </c>
      <c r="G1768">
        <v>5833</v>
      </c>
      <c r="H1768">
        <v>5833</v>
      </c>
      <c r="I1768">
        <v>5714</v>
      </c>
      <c r="J1768">
        <v>5714</v>
      </c>
      <c r="K1768">
        <v>1799</v>
      </c>
      <c r="L1768">
        <v>13</v>
      </c>
      <c r="M1768">
        <v>3669</v>
      </c>
      <c r="N1768">
        <v>110</v>
      </c>
      <c r="O1768">
        <v>242</v>
      </c>
      <c r="P1768">
        <v>1</v>
      </c>
      <c r="Q1768">
        <v>0</v>
      </c>
    </row>
    <row r="1769" spans="1:17" x14ac:dyDescent="0.2">
      <c r="A1769" s="121">
        <v>39872</v>
      </c>
      <c r="B1769" t="s">
        <v>406</v>
      </c>
      <c r="C1769" t="s">
        <v>491</v>
      </c>
      <c r="D1769" t="s">
        <v>500</v>
      </c>
      <c r="E1769" t="s">
        <v>501</v>
      </c>
      <c r="F1769" t="s">
        <v>413</v>
      </c>
      <c r="G1769">
        <v>3205</v>
      </c>
      <c r="H1769">
        <v>3205</v>
      </c>
      <c r="I1769">
        <v>3180</v>
      </c>
      <c r="J1769">
        <v>3180</v>
      </c>
      <c r="K1769">
        <v>917</v>
      </c>
      <c r="L1769">
        <v>0</v>
      </c>
      <c r="M1769">
        <v>2108</v>
      </c>
      <c r="N1769">
        <v>34</v>
      </c>
      <c r="O1769">
        <v>146</v>
      </c>
      <c r="P1769">
        <v>0</v>
      </c>
      <c r="Q1769">
        <v>0</v>
      </c>
    </row>
    <row r="1770" spans="1:17" x14ac:dyDescent="0.2">
      <c r="A1770" s="121">
        <v>39872</v>
      </c>
      <c r="B1770" t="s">
        <v>406</v>
      </c>
      <c r="C1770" t="s">
        <v>491</v>
      </c>
      <c r="D1770" t="s">
        <v>502</v>
      </c>
      <c r="E1770" t="s">
        <v>503</v>
      </c>
      <c r="F1770" t="s">
        <v>413</v>
      </c>
      <c r="G1770">
        <v>4995</v>
      </c>
      <c r="H1770">
        <v>4995</v>
      </c>
      <c r="I1770">
        <v>4904</v>
      </c>
      <c r="J1770">
        <v>4904</v>
      </c>
      <c r="K1770">
        <v>1394</v>
      </c>
      <c r="L1770">
        <v>6</v>
      </c>
      <c r="M1770">
        <v>3428</v>
      </c>
      <c r="N1770">
        <v>109</v>
      </c>
      <c r="O1770">
        <v>58</v>
      </c>
      <c r="P1770">
        <v>2</v>
      </c>
      <c r="Q1770">
        <v>0</v>
      </c>
    </row>
    <row r="1771" spans="1:17" x14ac:dyDescent="0.2">
      <c r="A1771" s="121">
        <v>39872</v>
      </c>
      <c r="B1771" t="s">
        <v>406</v>
      </c>
      <c r="C1771" t="s">
        <v>491</v>
      </c>
      <c r="D1771" t="s">
        <v>504</v>
      </c>
      <c r="E1771" t="s">
        <v>505</v>
      </c>
      <c r="F1771" t="s">
        <v>413</v>
      </c>
      <c r="G1771">
        <v>3691</v>
      </c>
      <c r="H1771">
        <v>3691</v>
      </c>
      <c r="I1771">
        <v>3570</v>
      </c>
      <c r="J1771">
        <v>3570</v>
      </c>
      <c r="K1771">
        <v>1167</v>
      </c>
      <c r="L1771">
        <v>6</v>
      </c>
      <c r="M1771">
        <v>2433</v>
      </c>
      <c r="N1771">
        <v>38</v>
      </c>
      <c r="O1771">
        <v>47</v>
      </c>
      <c r="P1771">
        <v>1</v>
      </c>
      <c r="Q1771">
        <v>0</v>
      </c>
    </row>
    <row r="1772" spans="1:17" x14ac:dyDescent="0.2">
      <c r="A1772" s="121">
        <v>39872</v>
      </c>
      <c r="B1772" t="s">
        <v>406</v>
      </c>
      <c r="C1772" t="s">
        <v>491</v>
      </c>
      <c r="D1772" t="s">
        <v>506</v>
      </c>
      <c r="E1772" t="s">
        <v>507</v>
      </c>
      <c r="F1772" t="s">
        <v>413</v>
      </c>
      <c r="G1772">
        <v>3308</v>
      </c>
      <c r="H1772">
        <v>3308</v>
      </c>
      <c r="I1772">
        <v>3262</v>
      </c>
      <c r="J1772">
        <v>3262</v>
      </c>
      <c r="K1772">
        <v>489</v>
      </c>
      <c r="L1772">
        <v>1</v>
      </c>
      <c r="M1772">
        <v>2807</v>
      </c>
      <c r="N1772">
        <v>2</v>
      </c>
      <c r="O1772">
        <v>9</v>
      </c>
      <c r="P1772">
        <v>0</v>
      </c>
      <c r="Q1772">
        <v>0</v>
      </c>
    </row>
    <row r="1773" spans="1:17" x14ac:dyDescent="0.2">
      <c r="A1773" s="121">
        <v>39872</v>
      </c>
      <c r="B1773" t="s">
        <v>406</v>
      </c>
      <c r="C1773" t="s">
        <v>491</v>
      </c>
      <c r="D1773" t="s">
        <v>508</v>
      </c>
      <c r="E1773" t="s">
        <v>509</v>
      </c>
      <c r="F1773" t="s">
        <v>413</v>
      </c>
      <c r="G1773">
        <v>4767</v>
      </c>
      <c r="H1773">
        <v>4767</v>
      </c>
      <c r="I1773">
        <v>4501</v>
      </c>
      <c r="J1773">
        <v>4501</v>
      </c>
      <c r="K1773">
        <v>1588</v>
      </c>
      <c r="L1773">
        <v>12</v>
      </c>
      <c r="M1773">
        <v>2763</v>
      </c>
      <c r="N1773">
        <v>131</v>
      </c>
      <c r="O1773">
        <v>273</v>
      </c>
      <c r="P1773">
        <v>8</v>
      </c>
      <c r="Q1773">
        <v>0</v>
      </c>
    </row>
    <row r="1774" spans="1:17" x14ac:dyDescent="0.2">
      <c r="A1774" s="121">
        <v>39872</v>
      </c>
      <c r="B1774" t="s">
        <v>406</v>
      </c>
      <c r="C1774" t="s">
        <v>510</v>
      </c>
      <c r="D1774" t="s">
        <v>511</v>
      </c>
      <c r="E1774" t="s">
        <v>512</v>
      </c>
      <c r="F1774" t="s">
        <v>410</v>
      </c>
      <c r="G1774">
        <v>465</v>
      </c>
      <c r="I1774">
        <v>456</v>
      </c>
    </row>
    <row r="1775" spans="1:17" x14ac:dyDescent="0.2">
      <c r="A1775" s="121">
        <v>39872</v>
      </c>
      <c r="B1775" t="s">
        <v>406</v>
      </c>
      <c r="C1775" t="s">
        <v>510</v>
      </c>
      <c r="D1775" t="s">
        <v>513</v>
      </c>
      <c r="E1775" t="s">
        <v>514</v>
      </c>
      <c r="F1775" t="s">
        <v>410</v>
      </c>
      <c r="G1775">
        <v>460</v>
      </c>
      <c r="I1775">
        <v>459</v>
      </c>
    </row>
    <row r="1776" spans="1:17" x14ac:dyDescent="0.2">
      <c r="A1776" s="121">
        <v>39872</v>
      </c>
      <c r="B1776" t="s">
        <v>406</v>
      </c>
      <c r="C1776" t="s">
        <v>510</v>
      </c>
      <c r="D1776" t="s">
        <v>515</v>
      </c>
      <c r="E1776" t="s">
        <v>516</v>
      </c>
      <c r="F1776" t="s">
        <v>410</v>
      </c>
      <c r="G1776">
        <v>57</v>
      </c>
      <c r="I1776">
        <v>55</v>
      </c>
    </row>
    <row r="1777" spans="1:17" x14ac:dyDescent="0.2">
      <c r="A1777" s="121">
        <v>39872</v>
      </c>
      <c r="B1777" t="s">
        <v>406</v>
      </c>
      <c r="C1777" t="s">
        <v>510</v>
      </c>
      <c r="D1777" t="s">
        <v>517</v>
      </c>
      <c r="E1777" t="s">
        <v>518</v>
      </c>
      <c r="F1777" t="s">
        <v>410</v>
      </c>
      <c r="G1777">
        <v>249</v>
      </c>
      <c r="I1777">
        <v>248</v>
      </c>
    </row>
    <row r="1778" spans="1:17" x14ac:dyDescent="0.2">
      <c r="A1778" s="121">
        <v>39872</v>
      </c>
      <c r="B1778" t="s">
        <v>406</v>
      </c>
      <c r="C1778" t="s">
        <v>510</v>
      </c>
      <c r="D1778" t="s">
        <v>519</v>
      </c>
      <c r="E1778" t="s">
        <v>520</v>
      </c>
      <c r="F1778" t="s">
        <v>410</v>
      </c>
      <c r="G1778">
        <v>305</v>
      </c>
      <c r="I1778">
        <v>303</v>
      </c>
    </row>
    <row r="1779" spans="1:17" x14ac:dyDescent="0.2">
      <c r="A1779" s="121">
        <v>39872</v>
      </c>
      <c r="B1779" t="s">
        <v>406</v>
      </c>
      <c r="C1779" t="s">
        <v>510</v>
      </c>
      <c r="D1779" t="s">
        <v>521</v>
      </c>
      <c r="E1779" t="s">
        <v>522</v>
      </c>
      <c r="F1779" t="s">
        <v>410</v>
      </c>
      <c r="G1779">
        <v>21</v>
      </c>
      <c r="I1779">
        <v>18</v>
      </c>
    </row>
    <row r="1780" spans="1:17" x14ac:dyDescent="0.2">
      <c r="A1780" s="121">
        <v>39872</v>
      </c>
      <c r="B1780" t="s">
        <v>406</v>
      </c>
      <c r="C1780" t="s">
        <v>510</v>
      </c>
      <c r="D1780" t="s">
        <v>523</v>
      </c>
      <c r="E1780" t="s">
        <v>524</v>
      </c>
      <c r="F1780" t="s">
        <v>413</v>
      </c>
      <c r="G1780">
        <v>404</v>
      </c>
      <c r="I1780">
        <v>403</v>
      </c>
    </row>
    <row r="1781" spans="1:17" x14ac:dyDescent="0.2">
      <c r="A1781" s="121">
        <v>39872</v>
      </c>
      <c r="B1781" t="s">
        <v>406</v>
      </c>
      <c r="C1781" t="s">
        <v>510</v>
      </c>
      <c r="D1781" t="s">
        <v>527</v>
      </c>
      <c r="E1781" t="s">
        <v>528</v>
      </c>
      <c r="F1781" t="s">
        <v>410</v>
      </c>
      <c r="G1781">
        <v>140</v>
      </c>
      <c r="I1781">
        <v>140</v>
      </c>
    </row>
    <row r="1782" spans="1:17" x14ac:dyDescent="0.2">
      <c r="A1782" s="121">
        <v>39872</v>
      </c>
      <c r="B1782" t="s">
        <v>406</v>
      </c>
      <c r="C1782" t="s">
        <v>510</v>
      </c>
      <c r="D1782" t="s">
        <v>529</v>
      </c>
      <c r="E1782" t="s">
        <v>530</v>
      </c>
      <c r="F1782" t="s">
        <v>413</v>
      </c>
      <c r="G1782">
        <v>432</v>
      </c>
      <c r="I1782">
        <v>429</v>
      </c>
    </row>
    <row r="1783" spans="1:17" x14ac:dyDescent="0.2">
      <c r="A1783" s="121">
        <v>39872</v>
      </c>
      <c r="B1783" t="s">
        <v>406</v>
      </c>
      <c r="C1783" t="s">
        <v>510</v>
      </c>
      <c r="D1783" t="s">
        <v>531</v>
      </c>
      <c r="E1783" t="s">
        <v>532</v>
      </c>
      <c r="F1783" t="s">
        <v>410</v>
      </c>
      <c r="G1783">
        <v>42</v>
      </c>
      <c r="I1783">
        <v>42</v>
      </c>
    </row>
    <row r="1784" spans="1:17" x14ac:dyDescent="0.2">
      <c r="A1784" s="121">
        <v>39872</v>
      </c>
      <c r="B1784" t="s">
        <v>406</v>
      </c>
      <c r="C1784" t="s">
        <v>510</v>
      </c>
      <c r="D1784" t="s">
        <v>533</v>
      </c>
      <c r="E1784" t="s">
        <v>534</v>
      </c>
      <c r="F1784" t="s">
        <v>413</v>
      </c>
      <c r="G1784">
        <v>2148</v>
      </c>
      <c r="H1784">
        <v>2148</v>
      </c>
      <c r="I1784">
        <v>2111</v>
      </c>
      <c r="J1784">
        <v>2111</v>
      </c>
      <c r="K1784">
        <v>495</v>
      </c>
      <c r="L1784">
        <v>26</v>
      </c>
      <c r="M1784">
        <v>1625</v>
      </c>
      <c r="N1784">
        <v>2</v>
      </c>
      <c r="O1784">
        <v>0</v>
      </c>
      <c r="P1784">
        <v>1</v>
      </c>
      <c r="Q1784">
        <v>0</v>
      </c>
    </row>
    <row r="1785" spans="1:17" x14ac:dyDescent="0.2">
      <c r="A1785" s="121">
        <v>39872</v>
      </c>
      <c r="B1785" t="s">
        <v>406</v>
      </c>
      <c r="C1785" t="s">
        <v>510</v>
      </c>
      <c r="D1785" t="s">
        <v>535</v>
      </c>
      <c r="E1785" t="s">
        <v>536</v>
      </c>
      <c r="F1785" t="s">
        <v>410</v>
      </c>
      <c r="G1785">
        <v>171</v>
      </c>
      <c r="I1785">
        <v>171</v>
      </c>
    </row>
    <row r="1786" spans="1:17" x14ac:dyDescent="0.2">
      <c r="A1786" s="121">
        <v>39872</v>
      </c>
      <c r="B1786" t="s">
        <v>406</v>
      </c>
      <c r="C1786" t="s">
        <v>510</v>
      </c>
      <c r="D1786" t="s">
        <v>537</v>
      </c>
      <c r="E1786" t="s">
        <v>538</v>
      </c>
      <c r="F1786" t="s">
        <v>410</v>
      </c>
      <c r="G1786">
        <v>76</v>
      </c>
      <c r="I1786">
        <v>76</v>
      </c>
    </row>
    <row r="1787" spans="1:17" x14ac:dyDescent="0.2">
      <c r="A1787" s="121">
        <v>39872</v>
      </c>
      <c r="B1787" t="s">
        <v>406</v>
      </c>
      <c r="C1787" t="s">
        <v>510</v>
      </c>
      <c r="D1787" t="s">
        <v>539</v>
      </c>
      <c r="E1787" t="s">
        <v>540</v>
      </c>
      <c r="F1787" t="s">
        <v>413</v>
      </c>
      <c r="G1787">
        <v>613</v>
      </c>
      <c r="I1787">
        <v>597</v>
      </c>
    </row>
    <row r="1788" spans="1:17" x14ac:dyDescent="0.2">
      <c r="A1788" s="121">
        <v>39872</v>
      </c>
      <c r="B1788" t="s">
        <v>406</v>
      </c>
      <c r="C1788" t="s">
        <v>510</v>
      </c>
      <c r="D1788" t="s">
        <v>541</v>
      </c>
      <c r="E1788" t="s">
        <v>542</v>
      </c>
      <c r="F1788" t="s">
        <v>410</v>
      </c>
      <c r="G1788">
        <v>223</v>
      </c>
      <c r="I1788">
        <v>218</v>
      </c>
    </row>
    <row r="1789" spans="1:17" x14ac:dyDescent="0.2">
      <c r="A1789" s="121">
        <v>39872</v>
      </c>
      <c r="B1789" t="s">
        <v>406</v>
      </c>
      <c r="C1789" t="s">
        <v>510</v>
      </c>
      <c r="D1789" t="s">
        <v>543</v>
      </c>
      <c r="E1789" t="s">
        <v>544</v>
      </c>
      <c r="F1789" t="s">
        <v>410</v>
      </c>
      <c r="G1789">
        <v>223</v>
      </c>
      <c r="I1789">
        <v>218</v>
      </c>
    </row>
    <row r="1790" spans="1:17" x14ac:dyDescent="0.2">
      <c r="A1790" s="121">
        <v>39872</v>
      </c>
      <c r="B1790" t="s">
        <v>406</v>
      </c>
      <c r="C1790" t="s">
        <v>510</v>
      </c>
      <c r="D1790" t="s">
        <v>545</v>
      </c>
      <c r="E1790" t="s">
        <v>546</v>
      </c>
      <c r="F1790" t="s">
        <v>410</v>
      </c>
      <c r="G1790">
        <v>180</v>
      </c>
      <c r="I1790">
        <v>180</v>
      </c>
    </row>
    <row r="1791" spans="1:17" x14ac:dyDescent="0.2">
      <c r="A1791" s="121">
        <v>39872</v>
      </c>
      <c r="B1791" t="s">
        <v>406</v>
      </c>
      <c r="C1791" t="s">
        <v>510</v>
      </c>
      <c r="D1791" t="s">
        <v>547</v>
      </c>
      <c r="E1791" t="s">
        <v>548</v>
      </c>
      <c r="F1791" t="s">
        <v>410</v>
      </c>
      <c r="G1791">
        <v>82</v>
      </c>
      <c r="I1791">
        <v>82</v>
      </c>
    </row>
    <row r="1792" spans="1:17" x14ac:dyDescent="0.2">
      <c r="A1792" s="121">
        <v>39872</v>
      </c>
      <c r="B1792" t="s">
        <v>406</v>
      </c>
      <c r="C1792" t="s">
        <v>510</v>
      </c>
      <c r="D1792" t="s">
        <v>549</v>
      </c>
      <c r="E1792" t="s">
        <v>550</v>
      </c>
      <c r="F1792" t="s">
        <v>410</v>
      </c>
      <c r="G1792">
        <v>177</v>
      </c>
      <c r="I1792">
        <v>177</v>
      </c>
    </row>
    <row r="1793" spans="1:17" x14ac:dyDescent="0.2">
      <c r="A1793" s="121">
        <v>39872</v>
      </c>
      <c r="B1793" t="s">
        <v>406</v>
      </c>
      <c r="C1793" t="s">
        <v>551</v>
      </c>
      <c r="D1793" t="s">
        <v>552</v>
      </c>
      <c r="E1793" t="s">
        <v>553</v>
      </c>
      <c r="F1793" t="s">
        <v>413</v>
      </c>
      <c r="G1793">
        <v>5078</v>
      </c>
      <c r="H1793">
        <v>5078</v>
      </c>
      <c r="I1793">
        <v>4956</v>
      </c>
      <c r="J1793">
        <v>4956</v>
      </c>
      <c r="K1793">
        <v>1619</v>
      </c>
      <c r="L1793">
        <v>8</v>
      </c>
      <c r="M1793">
        <v>3415</v>
      </c>
      <c r="N1793">
        <v>13</v>
      </c>
      <c r="O1793">
        <v>23</v>
      </c>
      <c r="P1793">
        <v>6</v>
      </c>
      <c r="Q1793">
        <v>0</v>
      </c>
    </row>
    <row r="1794" spans="1:17" x14ac:dyDescent="0.2">
      <c r="A1794" s="121">
        <v>39872</v>
      </c>
      <c r="B1794" t="s">
        <v>406</v>
      </c>
      <c r="C1794" t="s">
        <v>551</v>
      </c>
      <c r="D1794" t="s">
        <v>554</v>
      </c>
      <c r="E1794" t="s">
        <v>555</v>
      </c>
      <c r="F1794" t="s">
        <v>410</v>
      </c>
      <c r="G1794">
        <v>143</v>
      </c>
      <c r="I1794">
        <v>143</v>
      </c>
    </row>
    <row r="1795" spans="1:17" x14ac:dyDescent="0.2">
      <c r="A1795" s="121">
        <v>39872</v>
      </c>
      <c r="B1795" t="s">
        <v>406</v>
      </c>
      <c r="C1795" t="s">
        <v>551</v>
      </c>
      <c r="D1795" t="s">
        <v>556</v>
      </c>
      <c r="E1795" t="s">
        <v>557</v>
      </c>
      <c r="F1795" t="s">
        <v>410</v>
      </c>
      <c r="G1795">
        <v>135</v>
      </c>
      <c r="I1795">
        <v>135</v>
      </c>
    </row>
    <row r="1796" spans="1:17" x14ac:dyDescent="0.2">
      <c r="A1796" s="121">
        <v>39872</v>
      </c>
      <c r="B1796" t="s">
        <v>406</v>
      </c>
      <c r="C1796" t="s">
        <v>551</v>
      </c>
      <c r="D1796" t="s">
        <v>558</v>
      </c>
      <c r="E1796" t="s">
        <v>559</v>
      </c>
      <c r="F1796" t="s">
        <v>413</v>
      </c>
      <c r="G1796">
        <v>4140</v>
      </c>
      <c r="H1796">
        <v>4140</v>
      </c>
      <c r="I1796">
        <v>4052</v>
      </c>
      <c r="J1796">
        <v>4052</v>
      </c>
      <c r="K1796">
        <v>1108</v>
      </c>
      <c r="L1796">
        <v>6</v>
      </c>
      <c r="M1796">
        <v>2979</v>
      </c>
      <c r="N1796">
        <v>13</v>
      </c>
      <c r="O1796">
        <v>34</v>
      </c>
      <c r="P1796">
        <v>2</v>
      </c>
      <c r="Q1796">
        <v>0</v>
      </c>
    </row>
    <row r="1797" spans="1:17" x14ac:dyDescent="0.2">
      <c r="A1797" s="121">
        <v>39872</v>
      </c>
      <c r="B1797" t="s">
        <v>406</v>
      </c>
      <c r="C1797" t="s">
        <v>551</v>
      </c>
      <c r="D1797" t="s">
        <v>560</v>
      </c>
      <c r="E1797" t="s">
        <v>561</v>
      </c>
      <c r="F1797" t="s">
        <v>413</v>
      </c>
      <c r="G1797">
        <v>5081</v>
      </c>
      <c r="H1797">
        <v>5081</v>
      </c>
      <c r="I1797">
        <v>4999</v>
      </c>
      <c r="J1797">
        <v>4999</v>
      </c>
      <c r="K1797">
        <v>1325</v>
      </c>
      <c r="L1797">
        <v>8</v>
      </c>
      <c r="M1797">
        <v>3722</v>
      </c>
      <c r="N1797">
        <v>11</v>
      </c>
      <c r="O1797">
        <v>15</v>
      </c>
      <c r="P1797">
        <v>4</v>
      </c>
      <c r="Q1797">
        <v>0</v>
      </c>
    </row>
    <row r="1798" spans="1:17" x14ac:dyDescent="0.2">
      <c r="A1798" s="121">
        <v>39872</v>
      </c>
      <c r="B1798" t="s">
        <v>406</v>
      </c>
      <c r="C1798" t="s">
        <v>562</v>
      </c>
      <c r="D1798" t="s">
        <v>603</v>
      </c>
      <c r="E1798" t="s">
        <v>604</v>
      </c>
      <c r="F1798" t="s">
        <v>410</v>
      </c>
      <c r="G1798">
        <v>6</v>
      </c>
      <c r="I1798">
        <v>6</v>
      </c>
    </row>
    <row r="1799" spans="1:17" x14ac:dyDescent="0.2">
      <c r="A1799" s="121">
        <v>39872</v>
      </c>
      <c r="B1799" t="s">
        <v>406</v>
      </c>
      <c r="C1799" t="s">
        <v>562</v>
      </c>
      <c r="D1799" t="s">
        <v>605</v>
      </c>
      <c r="E1799" t="s">
        <v>606</v>
      </c>
      <c r="F1799" t="s">
        <v>410</v>
      </c>
      <c r="G1799">
        <v>117</v>
      </c>
      <c r="I1799">
        <v>117</v>
      </c>
    </row>
    <row r="1800" spans="1:17" x14ac:dyDescent="0.2">
      <c r="A1800" s="121">
        <v>39872</v>
      </c>
      <c r="B1800" t="s">
        <v>406</v>
      </c>
      <c r="C1800" t="s">
        <v>562</v>
      </c>
      <c r="D1800" t="s">
        <v>563</v>
      </c>
      <c r="E1800" t="s">
        <v>564</v>
      </c>
      <c r="F1800" t="s">
        <v>410</v>
      </c>
      <c r="G1800">
        <v>2650</v>
      </c>
      <c r="H1800">
        <v>2650</v>
      </c>
      <c r="I1800">
        <v>2607</v>
      </c>
      <c r="J1800">
        <v>2607</v>
      </c>
      <c r="K1800">
        <v>952</v>
      </c>
      <c r="L1800">
        <v>1</v>
      </c>
      <c r="M1800">
        <v>1681</v>
      </c>
      <c r="N1800">
        <v>16</v>
      </c>
      <c r="O1800">
        <v>0</v>
      </c>
      <c r="P1800">
        <v>0</v>
      </c>
      <c r="Q1800">
        <v>0</v>
      </c>
    </row>
    <row r="1801" spans="1:17" x14ac:dyDescent="0.2">
      <c r="A1801" s="121">
        <v>39872</v>
      </c>
      <c r="B1801" t="s">
        <v>406</v>
      </c>
      <c r="C1801" t="s">
        <v>562</v>
      </c>
      <c r="D1801" t="s">
        <v>565</v>
      </c>
      <c r="E1801" t="s">
        <v>566</v>
      </c>
      <c r="F1801" t="s">
        <v>413</v>
      </c>
      <c r="G1801">
        <v>3731</v>
      </c>
      <c r="H1801">
        <v>3731</v>
      </c>
      <c r="I1801">
        <v>3652</v>
      </c>
      <c r="J1801">
        <v>3652</v>
      </c>
      <c r="K1801">
        <v>944</v>
      </c>
      <c r="L1801">
        <v>4</v>
      </c>
      <c r="M1801">
        <v>2681</v>
      </c>
      <c r="N1801">
        <v>102</v>
      </c>
      <c r="O1801">
        <v>0</v>
      </c>
      <c r="P1801">
        <v>8</v>
      </c>
      <c r="Q1801">
        <v>1</v>
      </c>
    </row>
    <row r="1802" spans="1:17" x14ac:dyDescent="0.2">
      <c r="A1802" s="121">
        <v>39872</v>
      </c>
      <c r="B1802" t="s">
        <v>406</v>
      </c>
      <c r="C1802" t="s">
        <v>562</v>
      </c>
      <c r="D1802" t="s">
        <v>567</v>
      </c>
      <c r="E1802" t="s">
        <v>568</v>
      </c>
      <c r="F1802" t="s">
        <v>413</v>
      </c>
      <c r="G1802">
        <v>8215</v>
      </c>
      <c r="H1802">
        <v>8215</v>
      </c>
      <c r="I1802">
        <v>7952</v>
      </c>
      <c r="J1802">
        <v>7952</v>
      </c>
      <c r="K1802">
        <v>2377</v>
      </c>
      <c r="L1802">
        <v>18</v>
      </c>
      <c r="M1802">
        <v>5551</v>
      </c>
      <c r="N1802">
        <v>269</v>
      </c>
      <c r="O1802">
        <v>0</v>
      </c>
      <c r="P1802">
        <v>16</v>
      </c>
      <c r="Q1802">
        <v>0</v>
      </c>
    </row>
    <row r="1803" spans="1:17" x14ac:dyDescent="0.2">
      <c r="A1803" s="121">
        <v>39872</v>
      </c>
      <c r="B1803" t="s">
        <v>406</v>
      </c>
      <c r="C1803" t="s">
        <v>562</v>
      </c>
      <c r="D1803" t="s">
        <v>569</v>
      </c>
      <c r="E1803" t="s">
        <v>570</v>
      </c>
      <c r="F1803" t="s">
        <v>413</v>
      </c>
      <c r="G1803">
        <v>2829</v>
      </c>
      <c r="H1803">
        <v>2829</v>
      </c>
      <c r="I1803">
        <v>2806</v>
      </c>
      <c r="J1803">
        <v>2806</v>
      </c>
      <c r="K1803">
        <v>440</v>
      </c>
      <c r="L1803">
        <v>0</v>
      </c>
      <c r="M1803">
        <v>2389</v>
      </c>
      <c r="N1803">
        <v>0</v>
      </c>
      <c r="O1803">
        <v>0</v>
      </c>
      <c r="P1803">
        <v>1</v>
      </c>
      <c r="Q1803">
        <v>0</v>
      </c>
    </row>
    <row r="1804" spans="1:17" x14ac:dyDescent="0.2">
      <c r="A1804" s="121">
        <v>39872</v>
      </c>
      <c r="B1804" t="s">
        <v>406</v>
      </c>
      <c r="C1804" t="s">
        <v>571</v>
      </c>
      <c r="D1804" t="s">
        <v>572</v>
      </c>
      <c r="E1804" t="s">
        <v>573</v>
      </c>
      <c r="F1804" t="s">
        <v>410</v>
      </c>
      <c r="G1804">
        <v>243</v>
      </c>
      <c r="I1804">
        <v>243</v>
      </c>
    </row>
    <row r="1805" spans="1:17" x14ac:dyDescent="0.2">
      <c r="A1805" s="121">
        <v>39872</v>
      </c>
      <c r="B1805" t="s">
        <v>406</v>
      </c>
      <c r="C1805" t="s">
        <v>574</v>
      </c>
      <c r="D1805" t="s">
        <v>575</v>
      </c>
      <c r="E1805" t="s">
        <v>576</v>
      </c>
      <c r="F1805" t="s">
        <v>413</v>
      </c>
      <c r="G1805">
        <v>620</v>
      </c>
      <c r="H1805">
        <v>620</v>
      </c>
      <c r="I1805">
        <v>619</v>
      </c>
      <c r="J1805">
        <v>619</v>
      </c>
      <c r="K1805">
        <v>125</v>
      </c>
      <c r="L1805">
        <v>0</v>
      </c>
      <c r="M1805">
        <v>476</v>
      </c>
      <c r="N1805">
        <v>1</v>
      </c>
      <c r="O1805">
        <v>18</v>
      </c>
      <c r="P1805">
        <v>0</v>
      </c>
      <c r="Q1805">
        <v>0</v>
      </c>
    </row>
    <row r="1806" spans="1:17" x14ac:dyDescent="0.2">
      <c r="A1806" s="121">
        <v>39872</v>
      </c>
      <c r="B1806" t="s">
        <v>406</v>
      </c>
      <c r="C1806" t="s">
        <v>577</v>
      </c>
      <c r="D1806" t="s">
        <v>578</v>
      </c>
      <c r="E1806" t="s">
        <v>579</v>
      </c>
      <c r="F1806" t="s">
        <v>413</v>
      </c>
      <c r="G1806">
        <v>3735</v>
      </c>
      <c r="H1806">
        <v>3735</v>
      </c>
      <c r="I1806">
        <v>3669</v>
      </c>
      <c r="J1806">
        <v>3669</v>
      </c>
      <c r="K1806">
        <v>902</v>
      </c>
      <c r="L1806">
        <v>18</v>
      </c>
      <c r="M1806">
        <v>2780</v>
      </c>
      <c r="N1806">
        <v>35</v>
      </c>
      <c r="O1806">
        <v>0</v>
      </c>
      <c r="P1806">
        <v>0</v>
      </c>
      <c r="Q1806">
        <v>0</v>
      </c>
    </row>
    <row r="1807" spans="1:17" x14ac:dyDescent="0.2">
      <c r="A1807" s="121">
        <v>39872</v>
      </c>
      <c r="B1807" t="s">
        <v>406</v>
      </c>
      <c r="C1807" t="s">
        <v>577</v>
      </c>
      <c r="D1807" t="s">
        <v>580</v>
      </c>
      <c r="E1807" t="s">
        <v>581</v>
      </c>
      <c r="F1807" t="s">
        <v>413</v>
      </c>
      <c r="G1807">
        <v>1815</v>
      </c>
      <c r="H1807">
        <v>1815</v>
      </c>
      <c r="I1807">
        <v>1799</v>
      </c>
      <c r="J1807">
        <v>1799</v>
      </c>
      <c r="K1807">
        <v>352</v>
      </c>
      <c r="L1807">
        <v>6</v>
      </c>
      <c r="M1807">
        <v>1273</v>
      </c>
      <c r="N1807">
        <v>49</v>
      </c>
      <c r="O1807">
        <v>135</v>
      </c>
      <c r="P1807">
        <v>0</v>
      </c>
      <c r="Q1807">
        <v>0</v>
      </c>
    </row>
    <row r="1808" spans="1:17" x14ac:dyDescent="0.2">
      <c r="A1808" s="121">
        <v>39872</v>
      </c>
      <c r="B1808" t="s">
        <v>406</v>
      </c>
      <c r="C1808" t="s">
        <v>577</v>
      </c>
      <c r="D1808" t="s">
        <v>584</v>
      </c>
      <c r="E1808" t="s">
        <v>585</v>
      </c>
      <c r="F1808" t="s">
        <v>410</v>
      </c>
      <c r="G1808">
        <v>119</v>
      </c>
      <c r="H1808">
        <v>119</v>
      </c>
      <c r="I1808">
        <v>119</v>
      </c>
      <c r="J1808">
        <v>119</v>
      </c>
      <c r="K1808">
        <v>6</v>
      </c>
      <c r="L1808">
        <v>0</v>
      </c>
      <c r="M1808">
        <v>101</v>
      </c>
      <c r="N1808">
        <v>0</v>
      </c>
      <c r="O1808">
        <v>12</v>
      </c>
      <c r="P1808">
        <v>0</v>
      </c>
      <c r="Q1808">
        <v>0</v>
      </c>
    </row>
    <row r="1809" spans="1:17" x14ac:dyDescent="0.2">
      <c r="A1809" s="121">
        <v>39872</v>
      </c>
      <c r="B1809" t="s">
        <v>406</v>
      </c>
      <c r="C1809" t="s">
        <v>577</v>
      </c>
      <c r="D1809" t="s">
        <v>586</v>
      </c>
      <c r="E1809" t="s">
        <v>587</v>
      </c>
      <c r="F1809" t="s">
        <v>410</v>
      </c>
      <c r="G1809">
        <v>639</v>
      </c>
      <c r="H1809">
        <v>639</v>
      </c>
      <c r="I1809">
        <v>639</v>
      </c>
      <c r="J1809">
        <v>639</v>
      </c>
      <c r="K1809">
        <v>21</v>
      </c>
      <c r="L1809">
        <v>0</v>
      </c>
      <c r="M1809">
        <v>427</v>
      </c>
      <c r="N1809">
        <v>0</v>
      </c>
      <c r="O1809">
        <v>191</v>
      </c>
      <c r="P1809">
        <v>0</v>
      </c>
      <c r="Q1809">
        <v>0</v>
      </c>
    </row>
    <row r="1810" spans="1:17" x14ac:dyDescent="0.2">
      <c r="A1810" s="121">
        <v>39872</v>
      </c>
      <c r="B1810" t="s">
        <v>406</v>
      </c>
      <c r="C1810" t="s">
        <v>577</v>
      </c>
      <c r="D1810" t="s">
        <v>588</v>
      </c>
      <c r="E1810" t="s">
        <v>589</v>
      </c>
      <c r="F1810" t="s">
        <v>410</v>
      </c>
      <c r="G1810">
        <v>108</v>
      </c>
      <c r="H1810">
        <v>108</v>
      </c>
      <c r="I1810">
        <v>108</v>
      </c>
      <c r="J1810">
        <v>108</v>
      </c>
      <c r="K1810">
        <v>2</v>
      </c>
      <c r="L1810">
        <v>0</v>
      </c>
      <c r="M1810">
        <v>86</v>
      </c>
      <c r="N1810">
        <v>0</v>
      </c>
      <c r="O1810">
        <v>20</v>
      </c>
      <c r="P1810">
        <v>0</v>
      </c>
      <c r="Q1810">
        <v>0</v>
      </c>
    </row>
    <row r="1811" spans="1:17" x14ac:dyDescent="0.2">
      <c r="A1811" s="121">
        <v>39872</v>
      </c>
      <c r="B1811" t="s">
        <v>406</v>
      </c>
      <c r="C1811" t="s">
        <v>577</v>
      </c>
      <c r="D1811" t="s">
        <v>613</v>
      </c>
      <c r="E1811" t="s">
        <v>614</v>
      </c>
      <c r="F1811" t="s">
        <v>410</v>
      </c>
      <c r="G1811">
        <v>110</v>
      </c>
      <c r="H1811">
        <v>110</v>
      </c>
      <c r="I1811">
        <v>110</v>
      </c>
      <c r="J1811">
        <v>110</v>
      </c>
      <c r="K1811">
        <v>9</v>
      </c>
      <c r="L1811">
        <v>0</v>
      </c>
      <c r="M1811">
        <v>84</v>
      </c>
      <c r="N1811">
        <v>0</v>
      </c>
      <c r="O1811">
        <v>17</v>
      </c>
      <c r="P1811">
        <v>0</v>
      </c>
      <c r="Q1811">
        <v>0</v>
      </c>
    </row>
    <row r="1812" spans="1:17" x14ac:dyDescent="0.2">
      <c r="A1812" s="121">
        <v>39872</v>
      </c>
      <c r="B1812" t="s">
        <v>406</v>
      </c>
      <c r="C1812" t="s">
        <v>577</v>
      </c>
      <c r="D1812" t="s">
        <v>590</v>
      </c>
      <c r="E1812" t="s">
        <v>591</v>
      </c>
      <c r="F1812" t="s">
        <v>410</v>
      </c>
      <c r="G1812">
        <v>300</v>
      </c>
      <c r="H1812">
        <v>300</v>
      </c>
      <c r="I1812">
        <v>299</v>
      </c>
      <c r="J1812">
        <v>299</v>
      </c>
      <c r="K1812">
        <v>15</v>
      </c>
      <c r="L1812">
        <v>0</v>
      </c>
      <c r="M1812">
        <v>257</v>
      </c>
      <c r="N1812">
        <v>0</v>
      </c>
      <c r="O1812">
        <v>28</v>
      </c>
      <c r="P1812">
        <v>0</v>
      </c>
      <c r="Q1812">
        <v>0</v>
      </c>
    </row>
    <row r="1813" spans="1:17" x14ac:dyDescent="0.2">
      <c r="A1813" s="121">
        <v>39872</v>
      </c>
      <c r="B1813" t="s">
        <v>406</v>
      </c>
      <c r="C1813" t="s">
        <v>577</v>
      </c>
      <c r="D1813" t="s">
        <v>607</v>
      </c>
      <c r="E1813" t="s">
        <v>608</v>
      </c>
      <c r="F1813" t="s">
        <v>410</v>
      </c>
      <c r="G1813">
        <v>32</v>
      </c>
      <c r="H1813">
        <v>32</v>
      </c>
      <c r="I1813">
        <v>32</v>
      </c>
      <c r="J1813">
        <v>32</v>
      </c>
      <c r="K1813">
        <v>2</v>
      </c>
      <c r="L1813">
        <v>0</v>
      </c>
      <c r="M1813">
        <v>27</v>
      </c>
      <c r="N1813">
        <v>0</v>
      </c>
      <c r="O1813">
        <v>3</v>
      </c>
      <c r="P1813">
        <v>0</v>
      </c>
      <c r="Q1813">
        <v>0</v>
      </c>
    </row>
    <row r="1814" spans="1:17" x14ac:dyDescent="0.2">
      <c r="A1814" s="121">
        <v>39872</v>
      </c>
      <c r="B1814" t="s">
        <v>406</v>
      </c>
      <c r="C1814" t="s">
        <v>577</v>
      </c>
      <c r="D1814" t="s">
        <v>592</v>
      </c>
      <c r="E1814" t="s">
        <v>593</v>
      </c>
      <c r="F1814" t="s">
        <v>410</v>
      </c>
      <c r="G1814">
        <v>223</v>
      </c>
      <c r="H1814">
        <v>223</v>
      </c>
      <c r="I1814">
        <v>223</v>
      </c>
      <c r="J1814">
        <v>223</v>
      </c>
      <c r="K1814">
        <v>4</v>
      </c>
      <c r="L1814">
        <v>0</v>
      </c>
      <c r="M1814">
        <v>177</v>
      </c>
      <c r="N1814">
        <v>0</v>
      </c>
      <c r="O1814">
        <v>42</v>
      </c>
      <c r="P1814">
        <v>0</v>
      </c>
      <c r="Q1814">
        <v>0</v>
      </c>
    </row>
    <row r="1815" spans="1:17" x14ac:dyDescent="0.2">
      <c r="A1815" s="121">
        <v>39872</v>
      </c>
      <c r="B1815" t="s">
        <v>406</v>
      </c>
      <c r="C1815" t="s">
        <v>594</v>
      </c>
      <c r="D1815" t="s">
        <v>595</v>
      </c>
      <c r="E1815" t="s">
        <v>596</v>
      </c>
      <c r="F1815" t="s">
        <v>410</v>
      </c>
      <c r="G1815">
        <v>25</v>
      </c>
      <c r="I1815">
        <v>25</v>
      </c>
    </row>
    <row r="1816" spans="1:17" x14ac:dyDescent="0.2">
      <c r="A1816" s="121">
        <v>39872</v>
      </c>
      <c r="B1816" t="s">
        <v>406</v>
      </c>
      <c r="C1816" t="s">
        <v>594</v>
      </c>
      <c r="D1816" t="s">
        <v>597</v>
      </c>
      <c r="E1816" t="s">
        <v>598</v>
      </c>
      <c r="F1816" t="s">
        <v>413</v>
      </c>
      <c r="G1816">
        <v>494</v>
      </c>
      <c r="H1816">
        <v>494</v>
      </c>
      <c r="I1816">
        <v>484</v>
      </c>
      <c r="J1816">
        <v>484</v>
      </c>
      <c r="K1816">
        <v>150</v>
      </c>
      <c r="L1816">
        <v>0</v>
      </c>
      <c r="M1816">
        <v>338</v>
      </c>
      <c r="N1816">
        <v>1</v>
      </c>
      <c r="O1816">
        <v>5</v>
      </c>
      <c r="P1816">
        <v>0</v>
      </c>
      <c r="Q1816">
        <v>0</v>
      </c>
    </row>
    <row r="1817" spans="1:17" x14ac:dyDescent="0.2">
      <c r="A1817" s="121">
        <v>39872</v>
      </c>
      <c r="B1817" t="s">
        <v>406</v>
      </c>
      <c r="C1817" t="s">
        <v>594</v>
      </c>
      <c r="D1817" t="s">
        <v>599</v>
      </c>
      <c r="E1817" t="s">
        <v>600</v>
      </c>
      <c r="F1817" t="s">
        <v>410</v>
      </c>
      <c r="G1817">
        <v>65</v>
      </c>
      <c r="I1817">
        <v>65</v>
      </c>
    </row>
    <row r="1818" spans="1:17" x14ac:dyDescent="0.2">
      <c r="A1818" s="121">
        <v>39903</v>
      </c>
      <c r="B1818" t="s">
        <v>406</v>
      </c>
      <c r="C1818" t="s">
        <v>407</v>
      </c>
      <c r="D1818" t="s">
        <v>408</v>
      </c>
      <c r="E1818" t="s">
        <v>409</v>
      </c>
      <c r="F1818" t="s">
        <v>410</v>
      </c>
      <c r="G1818">
        <v>166</v>
      </c>
      <c r="I1818">
        <v>166</v>
      </c>
    </row>
    <row r="1819" spans="1:17" x14ac:dyDescent="0.2">
      <c r="A1819" s="121">
        <v>39903</v>
      </c>
      <c r="B1819" t="s">
        <v>406</v>
      </c>
      <c r="C1819" t="s">
        <v>407</v>
      </c>
      <c r="D1819" t="s">
        <v>601</v>
      </c>
      <c r="E1819" t="s">
        <v>602</v>
      </c>
      <c r="F1819" t="s">
        <v>410</v>
      </c>
      <c r="G1819">
        <v>48</v>
      </c>
      <c r="I1819">
        <v>48</v>
      </c>
    </row>
    <row r="1820" spans="1:17" x14ac:dyDescent="0.2">
      <c r="A1820" s="121">
        <v>39903</v>
      </c>
      <c r="B1820" t="s">
        <v>406</v>
      </c>
      <c r="C1820" t="s">
        <v>407</v>
      </c>
      <c r="D1820" t="s">
        <v>411</v>
      </c>
      <c r="E1820" t="s">
        <v>412</v>
      </c>
      <c r="F1820" t="s">
        <v>413</v>
      </c>
      <c r="G1820">
        <v>5676</v>
      </c>
      <c r="H1820">
        <v>5676</v>
      </c>
      <c r="I1820">
        <v>5553</v>
      </c>
      <c r="J1820">
        <v>5553</v>
      </c>
      <c r="K1820">
        <v>2223</v>
      </c>
      <c r="L1820">
        <v>7</v>
      </c>
      <c r="M1820">
        <v>3277</v>
      </c>
      <c r="N1820">
        <v>65</v>
      </c>
      <c r="O1820">
        <v>104</v>
      </c>
      <c r="P1820">
        <v>0</v>
      </c>
      <c r="Q1820">
        <v>0</v>
      </c>
    </row>
    <row r="1821" spans="1:17" x14ac:dyDescent="0.2">
      <c r="A1821" s="121">
        <v>39903</v>
      </c>
      <c r="B1821" t="s">
        <v>406</v>
      </c>
      <c r="C1821" t="s">
        <v>407</v>
      </c>
      <c r="D1821" t="s">
        <v>414</v>
      </c>
      <c r="E1821" t="s">
        <v>415</v>
      </c>
      <c r="F1821" t="s">
        <v>410</v>
      </c>
      <c r="G1821">
        <v>79</v>
      </c>
      <c r="I1821">
        <v>79</v>
      </c>
    </row>
    <row r="1822" spans="1:17" x14ac:dyDescent="0.2">
      <c r="A1822" s="121">
        <v>39903</v>
      </c>
      <c r="B1822" t="s">
        <v>406</v>
      </c>
      <c r="C1822" t="s">
        <v>407</v>
      </c>
      <c r="D1822" t="s">
        <v>416</v>
      </c>
      <c r="E1822" t="s">
        <v>417</v>
      </c>
      <c r="F1822" t="s">
        <v>413</v>
      </c>
      <c r="G1822">
        <v>3574</v>
      </c>
      <c r="H1822">
        <v>3574</v>
      </c>
      <c r="I1822">
        <v>3421</v>
      </c>
      <c r="J1822">
        <v>3421</v>
      </c>
      <c r="K1822">
        <v>1291</v>
      </c>
      <c r="L1822">
        <v>6</v>
      </c>
      <c r="M1822">
        <v>2150</v>
      </c>
      <c r="N1822">
        <v>94</v>
      </c>
      <c r="O1822">
        <v>33</v>
      </c>
      <c r="P1822">
        <v>6</v>
      </c>
      <c r="Q1822">
        <v>0</v>
      </c>
    </row>
    <row r="1823" spans="1:17" x14ac:dyDescent="0.2">
      <c r="A1823" s="121">
        <v>39903</v>
      </c>
      <c r="B1823" t="s">
        <v>406</v>
      </c>
      <c r="C1823" t="s">
        <v>418</v>
      </c>
      <c r="D1823" t="s">
        <v>419</v>
      </c>
      <c r="E1823" t="s">
        <v>420</v>
      </c>
      <c r="F1823" t="s">
        <v>410</v>
      </c>
      <c r="G1823">
        <v>16</v>
      </c>
      <c r="I1823">
        <v>16</v>
      </c>
    </row>
    <row r="1824" spans="1:17" x14ac:dyDescent="0.2">
      <c r="A1824" s="121">
        <v>39903</v>
      </c>
      <c r="B1824" t="s">
        <v>406</v>
      </c>
      <c r="C1824" t="s">
        <v>418</v>
      </c>
      <c r="D1824" t="s">
        <v>421</v>
      </c>
      <c r="E1824" t="s">
        <v>422</v>
      </c>
      <c r="F1824" t="s">
        <v>410</v>
      </c>
      <c r="G1824">
        <v>129</v>
      </c>
      <c r="I1824">
        <v>129</v>
      </c>
    </row>
    <row r="1825" spans="1:17" x14ac:dyDescent="0.2">
      <c r="A1825" s="121">
        <v>39903</v>
      </c>
      <c r="B1825" t="s">
        <v>406</v>
      </c>
      <c r="C1825" t="s">
        <v>418</v>
      </c>
      <c r="D1825" t="s">
        <v>423</v>
      </c>
      <c r="E1825" t="s">
        <v>424</v>
      </c>
      <c r="F1825" t="s">
        <v>410</v>
      </c>
      <c r="G1825">
        <v>33</v>
      </c>
      <c r="I1825">
        <v>33</v>
      </c>
    </row>
    <row r="1826" spans="1:17" x14ac:dyDescent="0.2">
      <c r="A1826" s="121">
        <v>39903</v>
      </c>
      <c r="B1826" t="s">
        <v>406</v>
      </c>
      <c r="C1826" t="s">
        <v>418</v>
      </c>
      <c r="D1826" t="s">
        <v>425</v>
      </c>
      <c r="E1826" t="s">
        <v>426</v>
      </c>
      <c r="F1826" t="s">
        <v>410</v>
      </c>
      <c r="G1826">
        <v>106</v>
      </c>
      <c r="I1826">
        <v>106</v>
      </c>
    </row>
    <row r="1827" spans="1:17" x14ac:dyDescent="0.2">
      <c r="A1827" s="121">
        <v>39903</v>
      </c>
      <c r="B1827" t="s">
        <v>406</v>
      </c>
      <c r="C1827" t="s">
        <v>418</v>
      </c>
      <c r="D1827" t="s">
        <v>427</v>
      </c>
      <c r="E1827" t="s">
        <v>428</v>
      </c>
      <c r="F1827" t="s">
        <v>413</v>
      </c>
      <c r="G1827">
        <v>2086</v>
      </c>
      <c r="H1827">
        <v>2086</v>
      </c>
      <c r="I1827">
        <v>2034</v>
      </c>
      <c r="J1827">
        <v>2034</v>
      </c>
      <c r="K1827">
        <v>709</v>
      </c>
      <c r="L1827">
        <v>4</v>
      </c>
      <c r="M1827">
        <v>1119</v>
      </c>
      <c r="N1827">
        <v>34</v>
      </c>
      <c r="O1827">
        <v>220</v>
      </c>
      <c r="P1827">
        <v>0</v>
      </c>
      <c r="Q1827">
        <v>0</v>
      </c>
    </row>
    <row r="1828" spans="1:17" x14ac:dyDescent="0.2">
      <c r="A1828" s="121">
        <v>39903</v>
      </c>
      <c r="B1828" t="s">
        <v>406</v>
      </c>
      <c r="C1828" t="s">
        <v>429</v>
      </c>
      <c r="D1828" t="s">
        <v>430</v>
      </c>
      <c r="E1828" t="s">
        <v>431</v>
      </c>
      <c r="F1828" t="s">
        <v>410</v>
      </c>
      <c r="G1828">
        <v>47</v>
      </c>
      <c r="I1828">
        <v>47</v>
      </c>
    </row>
    <row r="1829" spans="1:17" x14ac:dyDescent="0.2">
      <c r="A1829" s="121">
        <v>39903</v>
      </c>
      <c r="B1829" t="s">
        <v>406</v>
      </c>
      <c r="C1829" t="s">
        <v>429</v>
      </c>
      <c r="D1829" t="s">
        <v>432</v>
      </c>
      <c r="E1829" t="s">
        <v>433</v>
      </c>
      <c r="F1829" t="s">
        <v>410</v>
      </c>
      <c r="G1829">
        <v>90</v>
      </c>
      <c r="I1829">
        <v>90</v>
      </c>
    </row>
    <row r="1830" spans="1:17" x14ac:dyDescent="0.2">
      <c r="A1830" s="121">
        <v>39903</v>
      </c>
      <c r="B1830" t="s">
        <v>406</v>
      </c>
      <c r="C1830" t="s">
        <v>429</v>
      </c>
      <c r="D1830" t="s">
        <v>434</v>
      </c>
      <c r="E1830" t="s">
        <v>435</v>
      </c>
      <c r="F1830" t="s">
        <v>410</v>
      </c>
      <c r="G1830">
        <v>31</v>
      </c>
      <c r="I1830">
        <v>31</v>
      </c>
    </row>
    <row r="1831" spans="1:17" x14ac:dyDescent="0.2">
      <c r="A1831" s="121">
        <v>39903</v>
      </c>
      <c r="B1831" t="s">
        <v>406</v>
      </c>
      <c r="C1831" t="s">
        <v>429</v>
      </c>
      <c r="D1831" t="s">
        <v>436</v>
      </c>
      <c r="E1831" t="s">
        <v>437</v>
      </c>
      <c r="F1831" t="s">
        <v>410</v>
      </c>
      <c r="G1831">
        <v>34</v>
      </c>
      <c r="I1831">
        <v>34</v>
      </c>
    </row>
    <row r="1832" spans="1:17" x14ac:dyDescent="0.2">
      <c r="A1832" s="121">
        <v>39903</v>
      </c>
      <c r="B1832" t="s">
        <v>406</v>
      </c>
      <c r="C1832" t="s">
        <v>429</v>
      </c>
      <c r="D1832" t="s">
        <v>438</v>
      </c>
      <c r="E1832" t="s">
        <v>439</v>
      </c>
      <c r="F1832" t="s">
        <v>413</v>
      </c>
      <c r="G1832">
        <v>1046</v>
      </c>
      <c r="H1832">
        <v>1046</v>
      </c>
      <c r="I1832">
        <v>1031</v>
      </c>
      <c r="J1832">
        <v>1031</v>
      </c>
      <c r="K1832">
        <v>118</v>
      </c>
      <c r="L1832">
        <v>0</v>
      </c>
      <c r="M1832">
        <v>915</v>
      </c>
      <c r="N1832">
        <v>13</v>
      </c>
      <c r="O1832">
        <v>0</v>
      </c>
      <c r="P1832">
        <v>0</v>
      </c>
      <c r="Q1832">
        <v>0</v>
      </c>
    </row>
    <row r="1833" spans="1:17" x14ac:dyDescent="0.2">
      <c r="A1833" s="121">
        <v>39903</v>
      </c>
      <c r="B1833" t="s">
        <v>406</v>
      </c>
      <c r="C1833" t="s">
        <v>429</v>
      </c>
      <c r="D1833" t="s">
        <v>440</v>
      </c>
      <c r="E1833" t="s">
        <v>441</v>
      </c>
      <c r="F1833" t="s">
        <v>413</v>
      </c>
      <c r="G1833">
        <v>2990</v>
      </c>
      <c r="H1833">
        <v>2990</v>
      </c>
      <c r="I1833">
        <v>2866</v>
      </c>
      <c r="J1833">
        <v>2866</v>
      </c>
      <c r="K1833">
        <v>1043</v>
      </c>
      <c r="L1833">
        <v>4</v>
      </c>
      <c r="M1833">
        <v>1898</v>
      </c>
      <c r="N1833">
        <v>15</v>
      </c>
      <c r="O1833">
        <v>30</v>
      </c>
      <c r="P1833">
        <v>1</v>
      </c>
      <c r="Q1833">
        <v>0</v>
      </c>
    </row>
    <row r="1834" spans="1:17" x14ac:dyDescent="0.2">
      <c r="A1834" s="121">
        <v>39903</v>
      </c>
      <c r="B1834" t="s">
        <v>406</v>
      </c>
      <c r="C1834" t="s">
        <v>442</v>
      </c>
      <c r="D1834" t="s">
        <v>443</v>
      </c>
      <c r="E1834" t="s">
        <v>444</v>
      </c>
      <c r="F1834" t="s">
        <v>413</v>
      </c>
      <c r="G1834">
        <v>3828</v>
      </c>
      <c r="H1834">
        <v>3828</v>
      </c>
      <c r="I1834">
        <v>3639</v>
      </c>
      <c r="J1834">
        <v>3639</v>
      </c>
      <c r="K1834">
        <v>570</v>
      </c>
      <c r="L1834">
        <v>5</v>
      </c>
      <c r="M1834">
        <v>3139</v>
      </c>
      <c r="N1834">
        <v>35</v>
      </c>
      <c r="O1834">
        <v>79</v>
      </c>
      <c r="P1834">
        <v>8</v>
      </c>
      <c r="Q1834">
        <v>0</v>
      </c>
    </row>
    <row r="1835" spans="1:17" x14ac:dyDescent="0.2">
      <c r="A1835" s="121">
        <v>39903</v>
      </c>
      <c r="B1835" t="s">
        <v>406</v>
      </c>
      <c r="C1835" t="s">
        <v>442</v>
      </c>
      <c r="D1835" t="s">
        <v>445</v>
      </c>
      <c r="E1835" t="s">
        <v>446</v>
      </c>
      <c r="F1835" t="s">
        <v>410</v>
      </c>
      <c r="G1835">
        <v>167</v>
      </c>
      <c r="I1835">
        <v>167</v>
      </c>
    </row>
    <row r="1836" spans="1:17" x14ac:dyDescent="0.2">
      <c r="A1836" s="121">
        <v>39903</v>
      </c>
      <c r="B1836" t="s">
        <v>406</v>
      </c>
      <c r="C1836" t="s">
        <v>442</v>
      </c>
      <c r="D1836" t="s">
        <v>447</v>
      </c>
      <c r="E1836" t="s">
        <v>448</v>
      </c>
      <c r="F1836" t="s">
        <v>410</v>
      </c>
      <c r="G1836">
        <v>315</v>
      </c>
      <c r="I1836">
        <v>315</v>
      </c>
    </row>
    <row r="1837" spans="1:17" x14ac:dyDescent="0.2">
      <c r="A1837" s="121">
        <v>39903</v>
      </c>
      <c r="B1837" t="s">
        <v>406</v>
      </c>
      <c r="C1837" t="s">
        <v>442</v>
      </c>
      <c r="D1837" t="s">
        <v>449</v>
      </c>
      <c r="E1837" t="s">
        <v>450</v>
      </c>
      <c r="F1837" t="s">
        <v>413</v>
      </c>
      <c r="G1837">
        <v>3327</v>
      </c>
      <c r="H1837">
        <v>3327</v>
      </c>
      <c r="I1837">
        <v>3164</v>
      </c>
      <c r="J1837">
        <v>3164</v>
      </c>
      <c r="K1837">
        <v>633</v>
      </c>
      <c r="L1837">
        <v>7</v>
      </c>
      <c r="M1837">
        <v>2620</v>
      </c>
      <c r="N1837">
        <v>27</v>
      </c>
      <c r="O1837">
        <v>40</v>
      </c>
      <c r="P1837">
        <v>1</v>
      </c>
      <c r="Q1837">
        <v>0</v>
      </c>
    </row>
    <row r="1838" spans="1:17" x14ac:dyDescent="0.2">
      <c r="A1838" s="121">
        <v>39903</v>
      </c>
      <c r="B1838" t="s">
        <v>406</v>
      </c>
      <c r="C1838" t="s">
        <v>451</v>
      </c>
      <c r="D1838" t="s">
        <v>452</v>
      </c>
      <c r="E1838" t="s">
        <v>453</v>
      </c>
      <c r="F1838" t="s">
        <v>410</v>
      </c>
      <c r="G1838">
        <v>1886</v>
      </c>
      <c r="H1838">
        <v>1886</v>
      </c>
      <c r="I1838">
        <v>1885</v>
      </c>
      <c r="J1838">
        <v>1885</v>
      </c>
      <c r="K1838">
        <v>0</v>
      </c>
      <c r="L1838">
        <v>0</v>
      </c>
      <c r="M1838">
        <v>1420</v>
      </c>
      <c r="N1838">
        <v>170</v>
      </c>
      <c r="O1838">
        <v>296</v>
      </c>
      <c r="P1838">
        <v>0</v>
      </c>
      <c r="Q1838">
        <v>0</v>
      </c>
    </row>
    <row r="1839" spans="1:17" x14ac:dyDescent="0.2">
      <c r="A1839" s="121">
        <v>39903</v>
      </c>
      <c r="B1839" t="s">
        <v>406</v>
      </c>
      <c r="C1839" t="s">
        <v>451</v>
      </c>
      <c r="D1839" t="s">
        <v>454</v>
      </c>
      <c r="E1839" t="s">
        <v>455</v>
      </c>
      <c r="F1839" t="s">
        <v>413</v>
      </c>
      <c r="G1839">
        <v>4452</v>
      </c>
      <c r="H1839">
        <v>4452</v>
      </c>
      <c r="I1839">
        <v>4261</v>
      </c>
      <c r="J1839">
        <v>4261</v>
      </c>
      <c r="K1839">
        <v>1129</v>
      </c>
      <c r="L1839">
        <v>8</v>
      </c>
      <c r="M1839">
        <v>2532</v>
      </c>
      <c r="N1839">
        <v>41</v>
      </c>
      <c r="O1839">
        <v>742</v>
      </c>
      <c r="P1839">
        <v>7</v>
      </c>
      <c r="Q1839">
        <v>0</v>
      </c>
    </row>
    <row r="1840" spans="1:17" x14ac:dyDescent="0.2">
      <c r="A1840" s="121">
        <v>39903</v>
      </c>
      <c r="B1840" t="s">
        <v>406</v>
      </c>
      <c r="C1840" t="s">
        <v>456</v>
      </c>
      <c r="D1840" t="s">
        <v>457</v>
      </c>
      <c r="E1840" t="s">
        <v>458</v>
      </c>
      <c r="F1840" t="s">
        <v>413</v>
      </c>
      <c r="G1840">
        <v>5520</v>
      </c>
      <c r="H1840">
        <v>5520</v>
      </c>
      <c r="I1840">
        <v>5208</v>
      </c>
      <c r="J1840">
        <v>5208</v>
      </c>
      <c r="K1840">
        <v>1349</v>
      </c>
      <c r="L1840">
        <v>28</v>
      </c>
      <c r="M1840">
        <v>4016</v>
      </c>
      <c r="N1840">
        <v>92</v>
      </c>
      <c r="O1840">
        <v>35</v>
      </c>
      <c r="P1840">
        <v>35</v>
      </c>
      <c r="Q1840">
        <v>1</v>
      </c>
    </row>
    <row r="1841" spans="1:17" x14ac:dyDescent="0.2">
      <c r="A1841" s="121">
        <v>39903</v>
      </c>
      <c r="B1841" t="s">
        <v>406</v>
      </c>
      <c r="C1841" t="s">
        <v>456</v>
      </c>
      <c r="D1841" t="s">
        <v>459</v>
      </c>
      <c r="E1841" t="s">
        <v>460</v>
      </c>
      <c r="F1841" t="s">
        <v>413</v>
      </c>
      <c r="G1841">
        <v>1703</v>
      </c>
      <c r="H1841">
        <v>1703</v>
      </c>
      <c r="I1841">
        <v>1691</v>
      </c>
      <c r="J1841">
        <v>1691</v>
      </c>
      <c r="K1841">
        <v>521</v>
      </c>
      <c r="L1841">
        <v>0</v>
      </c>
      <c r="M1841">
        <v>1182</v>
      </c>
      <c r="N1841">
        <v>0</v>
      </c>
      <c r="O1841">
        <v>0</v>
      </c>
      <c r="P1841">
        <v>0</v>
      </c>
      <c r="Q1841">
        <v>0</v>
      </c>
    </row>
    <row r="1842" spans="1:17" x14ac:dyDescent="0.2">
      <c r="A1842" s="121">
        <v>39903</v>
      </c>
      <c r="B1842" t="s">
        <v>406</v>
      </c>
      <c r="C1842" t="s">
        <v>456</v>
      </c>
      <c r="D1842" t="s">
        <v>461</v>
      </c>
      <c r="E1842" t="s">
        <v>462</v>
      </c>
      <c r="F1842" t="s">
        <v>410</v>
      </c>
      <c r="G1842">
        <v>89</v>
      </c>
      <c r="I1842">
        <v>89</v>
      </c>
    </row>
    <row r="1843" spans="1:17" x14ac:dyDescent="0.2">
      <c r="A1843" s="121">
        <v>39903</v>
      </c>
      <c r="B1843" t="s">
        <v>406</v>
      </c>
      <c r="C1843" t="s">
        <v>456</v>
      </c>
      <c r="D1843" t="s">
        <v>463</v>
      </c>
      <c r="E1843" t="s">
        <v>464</v>
      </c>
      <c r="F1843" t="s">
        <v>410</v>
      </c>
      <c r="G1843">
        <v>37</v>
      </c>
      <c r="I1843">
        <v>37</v>
      </c>
    </row>
    <row r="1844" spans="1:17" x14ac:dyDescent="0.2">
      <c r="A1844" s="121">
        <v>39903</v>
      </c>
      <c r="B1844" t="s">
        <v>406</v>
      </c>
      <c r="C1844" t="s">
        <v>456</v>
      </c>
      <c r="D1844" t="s">
        <v>465</v>
      </c>
      <c r="E1844" t="s">
        <v>466</v>
      </c>
      <c r="F1844" t="s">
        <v>410</v>
      </c>
      <c r="G1844">
        <v>83</v>
      </c>
      <c r="I1844">
        <v>83</v>
      </c>
    </row>
    <row r="1845" spans="1:17" x14ac:dyDescent="0.2">
      <c r="A1845" s="121">
        <v>39903</v>
      </c>
      <c r="B1845" t="s">
        <v>406</v>
      </c>
      <c r="C1845" t="s">
        <v>456</v>
      </c>
      <c r="D1845" t="s">
        <v>467</v>
      </c>
      <c r="E1845" t="s">
        <v>468</v>
      </c>
      <c r="F1845" t="s">
        <v>410</v>
      </c>
      <c r="G1845">
        <v>1171</v>
      </c>
      <c r="I1845">
        <v>1168</v>
      </c>
    </row>
    <row r="1846" spans="1:17" x14ac:dyDescent="0.2">
      <c r="A1846" s="121">
        <v>39903</v>
      </c>
      <c r="B1846" t="s">
        <v>406</v>
      </c>
      <c r="C1846" t="s">
        <v>456</v>
      </c>
      <c r="D1846" t="s">
        <v>469</v>
      </c>
      <c r="E1846" t="s">
        <v>470</v>
      </c>
      <c r="F1846" t="s">
        <v>410</v>
      </c>
      <c r="G1846">
        <v>834</v>
      </c>
      <c r="I1846">
        <v>833</v>
      </c>
    </row>
    <row r="1847" spans="1:17" x14ac:dyDescent="0.2">
      <c r="A1847" s="121">
        <v>39903</v>
      </c>
      <c r="B1847" t="s">
        <v>406</v>
      </c>
      <c r="C1847" t="s">
        <v>456</v>
      </c>
      <c r="D1847" t="s">
        <v>471</v>
      </c>
      <c r="E1847" t="s">
        <v>472</v>
      </c>
      <c r="F1847" t="s">
        <v>410</v>
      </c>
      <c r="G1847">
        <v>280</v>
      </c>
      <c r="I1847">
        <v>280</v>
      </c>
    </row>
    <row r="1848" spans="1:17" x14ac:dyDescent="0.2">
      <c r="A1848" s="121">
        <v>39903</v>
      </c>
      <c r="B1848" t="s">
        <v>406</v>
      </c>
      <c r="C1848" t="s">
        <v>456</v>
      </c>
      <c r="D1848" t="s">
        <v>473</v>
      </c>
      <c r="E1848" t="s">
        <v>474</v>
      </c>
      <c r="F1848" t="s">
        <v>410</v>
      </c>
      <c r="G1848">
        <v>208</v>
      </c>
      <c r="I1848">
        <v>208</v>
      </c>
    </row>
    <row r="1849" spans="1:17" x14ac:dyDescent="0.2">
      <c r="A1849" s="121">
        <v>39903</v>
      </c>
      <c r="B1849" t="s">
        <v>406</v>
      </c>
      <c r="C1849" t="s">
        <v>456</v>
      </c>
      <c r="D1849" t="s">
        <v>475</v>
      </c>
      <c r="E1849" t="s">
        <v>476</v>
      </c>
      <c r="F1849" t="s">
        <v>410</v>
      </c>
      <c r="G1849">
        <v>295</v>
      </c>
      <c r="I1849">
        <v>294</v>
      </c>
    </row>
    <row r="1850" spans="1:17" x14ac:dyDescent="0.2">
      <c r="A1850" s="121">
        <v>39903</v>
      </c>
      <c r="B1850" t="s">
        <v>406</v>
      </c>
      <c r="C1850" t="s">
        <v>456</v>
      </c>
      <c r="D1850" t="s">
        <v>477</v>
      </c>
      <c r="E1850" t="s">
        <v>478</v>
      </c>
      <c r="F1850" t="s">
        <v>413</v>
      </c>
      <c r="G1850">
        <v>1899</v>
      </c>
      <c r="H1850">
        <v>1899</v>
      </c>
      <c r="I1850">
        <v>1753</v>
      </c>
      <c r="J1850">
        <v>1753</v>
      </c>
      <c r="K1850">
        <v>562</v>
      </c>
      <c r="L1850">
        <v>1</v>
      </c>
      <c r="M1850">
        <v>1300</v>
      </c>
      <c r="N1850">
        <v>22</v>
      </c>
      <c r="O1850">
        <v>14</v>
      </c>
      <c r="P1850">
        <v>8</v>
      </c>
      <c r="Q1850">
        <v>4</v>
      </c>
    </row>
    <row r="1851" spans="1:17" x14ac:dyDescent="0.2">
      <c r="A1851" s="121">
        <v>39903</v>
      </c>
      <c r="B1851" t="s">
        <v>406</v>
      </c>
      <c r="C1851" t="s">
        <v>456</v>
      </c>
      <c r="D1851" t="s">
        <v>479</v>
      </c>
      <c r="E1851" t="s">
        <v>480</v>
      </c>
      <c r="F1851" t="s">
        <v>410</v>
      </c>
      <c r="G1851">
        <v>63</v>
      </c>
      <c r="I1851">
        <v>63</v>
      </c>
    </row>
    <row r="1852" spans="1:17" x14ac:dyDescent="0.2">
      <c r="A1852" s="121">
        <v>39903</v>
      </c>
      <c r="B1852" t="s">
        <v>406</v>
      </c>
      <c r="C1852" t="s">
        <v>456</v>
      </c>
      <c r="D1852" t="s">
        <v>481</v>
      </c>
      <c r="E1852" t="s">
        <v>482</v>
      </c>
      <c r="F1852" t="s">
        <v>410</v>
      </c>
      <c r="G1852">
        <v>41</v>
      </c>
      <c r="I1852">
        <v>41</v>
      </c>
    </row>
    <row r="1853" spans="1:17" x14ac:dyDescent="0.2">
      <c r="A1853" s="121">
        <v>39903</v>
      </c>
      <c r="B1853" t="s">
        <v>406</v>
      </c>
      <c r="C1853" t="s">
        <v>456</v>
      </c>
      <c r="D1853" t="s">
        <v>483</v>
      </c>
      <c r="E1853" t="s">
        <v>484</v>
      </c>
      <c r="F1853" t="s">
        <v>410</v>
      </c>
      <c r="G1853">
        <v>118</v>
      </c>
      <c r="I1853">
        <v>118</v>
      </c>
    </row>
    <row r="1854" spans="1:17" x14ac:dyDescent="0.2">
      <c r="A1854" s="121">
        <v>39903</v>
      </c>
      <c r="B1854" t="s">
        <v>406</v>
      </c>
      <c r="C1854" t="s">
        <v>456</v>
      </c>
      <c r="D1854" t="s">
        <v>485</v>
      </c>
      <c r="E1854" t="s">
        <v>486</v>
      </c>
      <c r="F1854" t="s">
        <v>410</v>
      </c>
      <c r="G1854">
        <v>85</v>
      </c>
      <c r="I1854">
        <v>85</v>
      </c>
    </row>
    <row r="1855" spans="1:17" x14ac:dyDescent="0.2">
      <c r="A1855" s="121">
        <v>39903</v>
      </c>
      <c r="B1855" t="s">
        <v>406</v>
      </c>
      <c r="C1855" t="s">
        <v>456</v>
      </c>
      <c r="D1855" t="s">
        <v>487</v>
      </c>
      <c r="E1855" t="s">
        <v>488</v>
      </c>
      <c r="F1855" t="s">
        <v>410</v>
      </c>
      <c r="G1855">
        <v>26</v>
      </c>
      <c r="I1855">
        <v>26</v>
      </c>
    </row>
    <row r="1856" spans="1:17" x14ac:dyDescent="0.2">
      <c r="A1856" s="121">
        <v>39903</v>
      </c>
      <c r="B1856" t="s">
        <v>406</v>
      </c>
      <c r="C1856" t="s">
        <v>456</v>
      </c>
      <c r="D1856" t="s">
        <v>489</v>
      </c>
      <c r="E1856" t="s">
        <v>490</v>
      </c>
      <c r="F1856" t="s">
        <v>410</v>
      </c>
      <c r="G1856">
        <v>133</v>
      </c>
      <c r="H1856">
        <v>133</v>
      </c>
      <c r="I1856">
        <v>133</v>
      </c>
      <c r="J1856">
        <v>133</v>
      </c>
      <c r="K1856">
        <v>0</v>
      </c>
      <c r="L1856">
        <v>0</v>
      </c>
      <c r="M1856">
        <v>107</v>
      </c>
      <c r="N1856">
        <v>26</v>
      </c>
      <c r="O1856">
        <v>0</v>
      </c>
      <c r="P1856">
        <v>0</v>
      </c>
      <c r="Q1856">
        <v>0</v>
      </c>
    </row>
    <row r="1857" spans="1:17" x14ac:dyDescent="0.2">
      <c r="A1857" s="121">
        <v>39903</v>
      </c>
      <c r="B1857" t="s">
        <v>406</v>
      </c>
      <c r="C1857" t="s">
        <v>491</v>
      </c>
      <c r="D1857" t="s">
        <v>492</v>
      </c>
      <c r="E1857" t="s">
        <v>493</v>
      </c>
      <c r="F1857" t="s">
        <v>410</v>
      </c>
      <c r="G1857">
        <v>1329</v>
      </c>
      <c r="H1857">
        <v>1329</v>
      </c>
      <c r="I1857">
        <v>1313</v>
      </c>
      <c r="J1857">
        <v>1313</v>
      </c>
      <c r="K1857">
        <v>0</v>
      </c>
      <c r="L1857">
        <v>0</v>
      </c>
      <c r="M1857">
        <v>0</v>
      </c>
      <c r="N1857">
        <v>9</v>
      </c>
      <c r="O1857">
        <v>1320</v>
      </c>
      <c r="P1857">
        <v>0</v>
      </c>
      <c r="Q1857">
        <v>0</v>
      </c>
    </row>
    <row r="1858" spans="1:17" x14ac:dyDescent="0.2">
      <c r="A1858" s="121">
        <v>39903</v>
      </c>
      <c r="B1858" t="s">
        <v>406</v>
      </c>
      <c r="C1858" t="s">
        <v>491</v>
      </c>
      <c r="D1858" t="s">
        <v>494</v>
      </c>
      <c r="E1858" t="s">
        <v>495</v>
      </c>
      <c r="F1858" t="s">
        <v>413</v>
      </c>
      <c r="G1858">
        <v>2870</v>
      </c>
      <c r="H1858">
        <v>2870</v>
      </c>
      <c r="I1858">
        <v>2821</v>
      </c>
      <c r="J1858">
        <v>2821</v>
      </c>
      <c r="K1858">
        <v>0</v>
      </c>
      <c r="L1858">
        <v>0</v>
      </c>
      <c r="M1858">
        <v>9</v>
      </c>
      <c r="N1858">
        <v>24</v>
      </c>
      <c r="O1858">
        <v>2837</v>
      </c>
      <c r="P1858">
        <v>0</v>
      </c>
      <c r="Q1858">
        <v>0</v>
      </c>
    </row>
    <row r="1859" spans="1:17" x14ac:dyDescent="0.2">
      <c r="A1859" s="121">
        <v>39903</v>
      </c>
      <c r="B1859" t="s">
        <v>406</v>
      </c>
      <c r="C1859" t="s">
        <v>491</v>
      </c>
      <c r="D1859" t="s">
        <v>496</v>
      </c>
      <c r="E1859" t="s">
        <v>497</v>
      </c>
      <c r="F1859" t="s">
        <v>413</v>
      </c>
      <c r="G1859">
        <v>6103</v>
      </c>
      <c r="H1859">
        <v>6103</v>
      </c>
      <c r="I1859">
        <v>5971</v>
      </c>
      <c r="J1859">
        <v>5971</v>
      </c>
      <c r="K1859">
        <v>1565</v>
      </c>
      <c r="L1859">
        <v>0</v>
      </c>
      <c r="M1859">
        <v>13</v>
      </c>
      <c r="N1859">
        <v>55</v>
      </c>
      <c r="O1859">
        <v>4470</v>
      </c>
      <c r="P1859">
        <v>5</v>
      </c>
      <c r="Q1859">
        <v>0</v>
      </c>
    </row>
    <row r="1860" spans="1:17" x14ac:dyDescent="0.2">
      <c r="A1860" s="121">
        <v>39903</v>
      </c>
      <c r="B1860" t="s">
        <v>406</v>
      </c>
      <c r="C1860" t="s">
        <v>491</v>
      </c>
      <c r="D1860" t="s">
        <v>498</v>
      </c>
      <c r="E1860" t="s">
        <v>499</v>
      </c>
      <c r="F1860" t="s">
        <v>413</v>
      </c>
      <c r="G1860">
        <v>6648</v>
      </c>
      <c r="H1860">
        <v>6648</v>
      </c>
      <c r="I1860">
        <v>6453</v>
      </c>
      <c r="J1860">
        <v>6453</v>
      </c>
      <c r="K1860">
        <v>1973</v>
      </c>
      <c r="L1860">
        <v>13</v>
      </c>
      <c r="M1860">
        <v>4259</v>
      </c>
      <c r="N1860">
        <v>103</v>
      </c>
      <c r="O1860">
        <v>300</v>
      </c>
      <c r="P1860">
        <v>2</v>
      </c>
      <c r="Q1860">
        <v>0</v>
      </c>
    </row>
    <row r="1861" spans="1:17" x14ac:dyDescent="0.2">
      <c r="A1861" s="121">
        <v>39903</v>
      </c>
      <c r="B1861" t="s">
        <v>406</v>
      </c>
      <c r="C1861" t="s">
        <v>491</v>
      </c>
      <c r="D1861" t="s">
        <v>500</v>
      </c>
      <c r="E1861" t="s">
        <v>501</v>
      </c>
      <c r="F1861" t="s">
        <v>413</v>
      </c>
      <c r="G1861">
        <v>3722</v>
      </c>
      <c r="H1861">
        <v>3722</v>
      </c>
      <c r="I1861">
        <v>3702</v>
      </c>
      <c r="J1861">
        <v>3702</v>
      </c>
      <c r="K1861">
        <v>1052</v>
      </c>
      <c r="L1861">
        <v>1</v>
      </c>
      <c r="M1861">
        <v>2452</v>
      </c>
      <c r="N1861">
        <v>45</v>
      </c>
      <c r="O1861">
        <v>172</v>
      </c>
      <c r="P1861">
        <v>0</v>
      </c>
      <c r="Q1861">
        <v>0</v>
      </c>
    </row>
    <row r="1862" spans="1:17" x14ac:dyDescent="0.2">
      <c r="A1862" s="121">
        <v>39903</v>
      </c>
      <c r="B1862" t="s">
        <v>406</v>
      </c>
      <c r="C1862" t="s">
        <v>491</v>
      </c>
      <c r="D1862" t="s">
        <v>502</v>
      </c>
      <c r="E1862" t="s">
        <v>503</v>
      </c>
      <c r="F1862" t="s">
        <v>413</v>
      </c>
      <c r="G1862">
        <v>6020</v>
      </c>
      <c r="H1862">
        <v>6020</v>
      </c>
      <c r="I1862">
        <v>5935</v>
      </c>
      <c r="J1862">
        <v>5935</v>
      </c>
      <c r="K1862">
        <v>1575</v>
      </c>
      <c r="L1862">
        <v>9</v>
      </c>
      <c r="M1862">
        <v>4258</v>
      </c>
      <c r="N1862">
        <v>142</v>
      </c>
      <c r="O1862">
        <v>36</v>
      </c>
      <c r="P1862">
        <v>1</v>
      </c>
      <c r="Q1862">
        <v>0</v>
      </c>
    </row>
    <row r="1863" spans="1:17" x14ac:dyDescent="0.2">
      <c r="A1863" s="121">
        <v>39903</v>
      </c>
      <c r="B1863" t="s">
        <v>406</v>
      </c>
      <c r="C1863" t="s">
        <v>491</v>
      </c>
      <c r="D1863" t="s">
        <v>504</v>
      </c>
      <c r="E1863" t="s">
        <v>505</v>
      </c>
      <c r="F1863" t="s">
        <v>413</v>
      </c>
      <c r="G1863">
        <v>4285</v>
      </c>
      <c r="H1863">
        <v>4285</v>
      </c>
      <c r="I1863">
        <v>4182</v>
      </c>
      <c r="J1863">
        <v>4182</v>
      </c>
      <c r="K1863">
        <v>1224</v>
      </c>
      <c r="L1863">
        <v>4</v>
      </c>
      <c r="M1863">
        <v>2932</v>
      </c>
      <c r="N1863">
        <v>55</v>
      </c>
      <c r="O1863">
        <v>70</v>
      </c>
      <c r="P1863">
        <v>1</v>
      </c>
      <c r="Q1863">
        <v>1</v>
      </c>
    </row>
    <row r="1864" spans="1:17" x14ac:dyDescent="0.2">
      <c r="A1864" s="121">
        <v>39903</v>
      </c>
      <c r="B1864" t="s">
        <v>406</v>
      </c>
      <c r="C1864" t="s">
        <v>491</v>
      </c>
      <c r="D1864" t="s">
        <v>506</v>
      </c>
      <c r="E1864" t="s">
        <v>507</v>
      </c>
      <c r="F1864" t="s">
        <v>413</v>
      </c>
      <c r="G1864">
        <v>4231</v>
      </c>
      <c r="H1864">
        <v>4231</v>
      </c>
      <c r="I1864">
        <v>4174</v>
      </c>
      <c r="J1864">
        <v>4174</v>
      </c>
      <c r="K1864">
        <v>678</v>
      </c>
      <c r="L1864">
        <v>0</v>
      </c>
      <c r="M1864">
        <v>3543</v>
      </c>
      <c r="N1864">
        <v>3</v>
      </c>
      <c r="O1864">
        <v>7</v>
      </c>
      <c r="P1864">
        <v>2</v>
      </c>
      <c r="Q1864">
        <v>1</v>
      </c>
    </row>
    <row r="1865" spans="1:17" x14ac:dyDescent="0.2">
      <c r="A1865" s="121">
        <v>39903</v>
      </c>
      <c r="B1865" t="s">
        <v>406</v>
      </c>
      <c r="C1865" t="s">
        <v>491</v>
      </c>
      <c r="D1865" t="s">
        <v>508</v>
      </c>
      <c r="E1865" t="s">
        <v>509</v>
      </c>
      <c r="F1865" t="s">
        <v>413</v>
      </c>
      <c r="G1865">
        <v>5439</v>
      </c>
      <c r="H1865">
        <v>5439</v>
      </c>
      <c r="I1865">
        <v>5217</v>
      </c>
      <c r="J1865">
        <v>5217</v>
      </c>
      <c r="K1865">
        <v>1755</v>
      </c>
      <c r="L1865">
        <v>8</v>
      </c>
      <c r="M1865">
        <v>3197</v>
      </c>
      <c r="N1865">
        <v>146</v>
      </c>
      <c r="O1865">
        <v>333</v>
      </c>
      <c r="P1865">
        <v>6</v>
      </c>
      <c r="Q1865">
        <v>0</v>
      </c>
    </row>
    <row r="1866" spans="1:17" x14ac:dyDescent="0.2">
      <c r="A1866" s="121">
        <v>39903</v>
      </c>
      <c r="B1866" t="s">
        <v>406</v>
      </c>
      <c r="C1866" t="s">
        <v>510</v>
      </c>
      <c r="D1866" t="s">
        <v>511</v>
      </c>
      <c r="E1866" t="s">
        <v>512</v>
      </c>
      <c r="F1866" t="s">
        <v>410</v>
      </c>
      <c r="G1866">
        <v>536</v>
      </c>
      <c r="I1866">
        <v>527</v>
      </c>
    </row>
    <row r="1867" spans="1:17" x14ac:dyDescent="0.2">
      <c r="A1867" s="121">
        <v>39903</v>
      </c>
      <c r="B1867" t="s">
        <v>406</v>
      </c>
      <c r="C1867" t="s">
        <v>510</v>
      </c>
      <c r="D1867" t="s">
        <v>513</v>
      </c>
      <c r="E1867" t="s">
        <v>514</v>
      </c>
      <c r="F1867" t="s">
        <v>410</v>
      </c>
      <c r="G1867">
        <v>557</v>
      </c>
      <c r="I1867">
        <v>556</v>
      </c>
    </row>
    <row r="1868" spans="1:17" x14ac:dyDescent="0.2">
      <c r="A1868" s="121">
        <v>39903</v>
      </c>
      <c r="B1868" t="s">
        <v>406</v>
      </c>
      <c r="C1868" t="s">
        <v>510</v>
      </c>
      <c r="D1868" t="s">
        <v>515</v>
      </c>
      <c r="E1868" t="s">
        <v>516</v>
      </c>
      <c r="F1868" t="s">
        <v>410</v>
      </c>
      <c r="G1868">
        <v>65</v>
      </c>
      <c r="I1868">
        <v>65</v>
      </c>
    </row>
    <row r="1869" spans="1:17" x14ac:dyDescent="0.2">
      <c r="A1869" s="121">
        <v>39903</v>
      </c>
      <c r="B1869" t="s">
        <v>406</v>
      </c>
      <c r="C1869" t="s">
        <v>510</v>
      </c>
      <c r="D1869" t="s">
        <v>517</v>
      </c>
      <c r="E1869" t="s">
        <v>518</v>
      </c>
      <c r="F1869" t="s">
        <v>410</v>
      </c>
      <c r="G1869">
        <v>312</v>
      </c>
      <c r="I1869">
        <v>308</v>
      </c>
    </row>
    <row r="1870" spans="1:17" x14ac:dyDescent="0.2">
      <c r="A1870" s="121">
        <v>39903</v>
      </c>
      <c r="B1870" t="s">
        <v>406</v>
      </c>
      <c r="C1870" t="s">
        <v>510</v>
      </c>
      <c r="D1870" t="s">
        <v>519</v>
      </c>
      <c r="E1870" t="s">
        <v>520</v>
      </c>
      <c r="F1870" t="s">
        <v>410</v>
      </c>
      <c r="G1870">
        <v>367</v>
      </c>
      <c r="I1870">
        <v>363</v>
      </c>
    </row>
    <row r="1871" spans="1:17" x14ac:dyDescent="0.2">
      <c r="A1871" s="121">
        <v>39903</v>
      </c>
      <c r="B1871" t="s">
        <v>406</v>
      </c>
      <c r="C1871" t="s">
        <v>510</v>
      </c>
      <c r="D1871" t="s">
        <v>521</v>
      </c>
      <c r="E1871" t="s">
        <v>522</v>
      </c>
      <c r="F1871" t="s">
        <v>410</v>
      </c>
      <c r="G1871">
        <v>21</v>
      </c>
      <c r="I1871">
        <v>21</v>
      </c>
    </row>
    <row r="1872" spans="1:17" x14ac:dyDescent="0.2">
      <c r="A1872" s="121">
        <v>39903</v>
      </c>
      <c r="B1872" t="s">
        <v>406</v>
      </c>
      <c r="C1872" t="s">
        <v>510</v>
      </c>
      <c r="D1872" t="s">
        <v>523</v>
      </c>
      <c r="E1872" t="s">
        <v>524</v>
      </c>
      <c r="F1872" t="s">
        <v>413</v>
      </c>
      <c r="G1872">
        <v>509</v>
      </c>
      <c r="I1872">
        <v>504</v>
      </c>
    </row>
    <row r="1873" spans="1:17" x14ac:dyDescent="0.2">
      <c r="A1873" s="121">
        <v>39903</v>
      </c>
      <c r="B1873" t="s">
        <v>406</v>
      </c>
      <c r="C1873" t="s">
        <v>510</v>
      </c>
      <c r="D1873" t="s">
        <v>527</v>
      </c>
      <c r="E1873" t="s">
        <v>528</v>
      </c>
      <c r="F1873" t="s">
        <v>410</v>
      </c>
      <c r="G1873">
        <v>199</v>
      </c>
      <c r="I1873">
        <v>199</v>
      </c>
    </row>
    <row r="1874" spans="1:17" x14ac:dyDescent="0.2">
      <c r="A1874" s="121">
        <v>39903</v>
      </c>
      <c r="B1874" t="s">
        <v>406</v>
      </c>
      <c r="C1874" t="s">
        <v>510</v>
      </c>
      <c r="D1874" t="s">
        <v>529</v>
      </c>
      <c r="E1874" t="s">
        <v>530</v>
      </c>
      <c r="F1874" t="s">
        <v>413</v>
      </c>
      <c r="G1874">
        <v>493</v>
      </c>
      <c r="I1874">
        <v>483</v>
      </c>
    </row>
    <row r="1875" spans="1:17" x14ac:dyDescent="0.2">
      <c r="A1875" s="121">
        <v>39903</v>
      </c>
      <c r="B1875" t="s">
        <v>406</v>
      </c>
      <c r="C1875" t="s">
        <v>510</v>
      </c>
      <c r="D1875" t="s">
        <v>531</v>
      </c>
      <c r="E1875" t="s">
        <v>532</v>
      </c>
      <c r="F1875" t="s">
        <v>410</v>
      </c>
      <c r="G1875">
        <v>46</v>
      </c>
      <c r="I1875">
        <v>46</v>
      </c>
    </row>
    <row r="1876" spans="1:17" x14ac:dyDescent="0.2">
      <c r="A1876" s="121">
        <v>39903</v>
      </c>
      <c r="B1876" t="s">
        <v>406</v>
      </c>
      <c r="C1876" t="s">
        <v>510</v>
      </c>
      <c r="D1876" t="s">
        <v>533</v>
      </c>
      <c r="E1876" t="s">
        <v>534</v>
      </c>
      <c r="F1876" t="s">
        <v>413</v>
      </c>
      <c r="G1876">
        <v>2609</v>
      </c>
      <c r="H1876">
        <v>2609</v>
      </c>
      <c r="I1876">
        <v>2566</v>
      </c>
      <c r="J1876">
        <v>2566</v>
      </c>
      <c r="K1876">
        <v>561</v>
      </c>
      <c r="L1876">
        <v>41</v>
      </c>
      <c r="M1876">
        <v>2007</v>
      </c>
      <c r="N1876">
        <v>0</v>
      </c>
      <c r="O1876">
        <v>0</v>
      </c>
      <c r="P1876">
        <v>2</v>
      </c>
      <c r="Q1876">
        <v>1</v>
      </c>
    </row>
    <row r="1877" spans="1:17" x14ac:dyDescent="0.2">
      <c r="A1877" s="121">
        <v>39903</v>
      </c>
      <c r="B1877" t="s">
        <v>406</v>
      </c>
      <c r="C1877" t="s">
        <v>510</v>
      </c>
      <c r="D1877" t="s">
        <v>535</v>
      </c>
      <c r="E1877" t="s">
        <v>536</v>
      </c>
      <c r="F1877" t="s">
        <v>410</v>
      </c>
      <c r="G1877">
        <v>199</v>
      </c>
      <c r="I1877">
        <v>199</v>
      </c>
    </row>
    <row r="1878" spans="1:17" x14ac:dyDescent="0.2">
      <c r="A1878" s="121">
        <v>39903</v>
      </c>
      <c r="B1878" t="s">
        <v>406</v>
      </c>
      <c r="C1878" t="s">
        <v>510</v>
      </c>
      <c r="D1878" t="s">
        <v>537</v>
      </c>
      <c r="E1878" t="s">
        <v>538</v>
      </c>
      <c r="F1878" t="s">
        <v>410</v>
      </c>
      <c r="G1878">
        <v>98</v>
      </c>
      <c r="I1878">
        <v>98</v>
      </c>
    </row>
    <row r="1879" spans="1:17" x14ac:dyDescent="0.2">
      <c r="A1879" s="121">
        <v>39903</v>
      </c>
      <c r="B1879" t="s">
        <v>406</v>
      </c>
      <c r="C1879" t="s">
        <v>510</v>
      </c>
      <c r="D1879" t="s">
        <v>539</v>
      </c>
      <c r="E1879" t="s">
        <v>540</v>
      </c>
      <c r="F1879" t="s">
        <v>413</v>
      </c>
      <c r="G1879">
        <v>701</v>
      </c>
      <c r="I1879">
        <v>690</v>
      </c>
    </row>
    <row r="1880" spans="1:17" x14ac:dyDescent="0.2">
      <c r="A1880" s="121">
        <v>39903</v>
      </c>
      <c r="B1880" t="s">
        <v>406</v>
      </c>
      <c r="C1880" t="s">
        <v>510</v>
      </c>
      <c r="D1880" t="s">
        <v>541</v>
      </c>
      <c r="E1880" t="s">
        <v>542</v>
      </c>
      <c r="F1880" t="s">
        <v>410</v>
      </c>
      <c r="G1880">
        <v>349</v>
      </c>
      <c r="I1880">
        <v>342</v>
      </c>
    </row>
    <row r="1881" spans="1:17" x14ac:dyDescent="0.2">
      <c r="A1881" s="121">
        <v>39903</v>
      </c>
      <c r="B1881" t="s">
        <v>406</v>
      </c>
      <c r="C1881" t="s">
        <v>510</v>
      </c>
      <c r="D1881" t="s">
        <v>543</v>
      </c>
      <c r="E1881" t="s">
        <v>544</v>
      </c>
      <c r="F1881" t="s">
        <v>410</v>
      </c>
      <c r="G1881">
        <v>218</v>
      </c>
      <c r="I1881">
        <v>212</v>
      </c>
    </row>
    <row r="1882" spans="1:17" x14ac:dyDescent="0.2">
      <c r="A1882" s="121">
        <v>39903</v>
      </c>
      <c r="B1882" t="s">
        <v>406</v>
      </c>
      <c r="C1882" t="s">
        <v>510</v>
      </c>
      <c r="D1882" t="s">
        <v>545</v>
      </c>
      <c r="E1882" t="s">
        <v>546</v>
      </c>
      <c r="F1882" t="s">
        <v>410</v>
      </c>
      <c r="G1882">
        <v>210</v>
      </c>
      <c r="I1882">
        <v>210</v>
      </c>
    </row>
    <row r="1883" spans="1:17" x14ac:dyDescent="0.2">
      <c r="A1883" s="121">
        <v>39903</v>
      </c>
      <c r="B1883" t="s">
        <v>406</v>
      </c>
      <c r="C1883" t="s">
        <v>510</v>
      </c>
      <c r="D1883" t="s">
        <v>547</v>
      </c>
      <c r="E1883" t="s">
        <v>548</v>
      </c>
      <c r="F1883" t="s">
        <v>410</v>
      </c>
      <c r="G1883">
        <v>114</v>
      </c>
      <c r="I1883">
        <v>114</v>
      </c>
    </row>
    <row r="1884" spans="1:17" x14ac:dyDescent="0.2">
      <c r="A1884" s="121">
        <v>39903</v>
      </c>
      <c r="B1884" t="s">
        <v>406</v>
      </c>
      <c r="C1884" t="s">
        <v>510</v>
      </c>
      <c r="D1884" t="s">
        <v>549</v>
      </c>
      <c r="E1884" t="s">
        <v>550</v>
      </c>
      <c r="F1884" t="s">
        <v>410</v>
      </c>
      <c r="G1884">
        <v>185</v>
      </c>
      <c r="I1884">
        <v>184</v>
      </c>
    </row>
    <row r="1885" spans="1:17" x14ac:dyDescent="0.2">
      <c r="A1885" s="121">
        <v>39903</v>
      </c>
      <c r="B1885" t="s">
        <v>406</v>
      </c>
      <c r="C1885" t="s">
        <v>551</v>
      </c>
      <c r="D1885" t="s">
        <v>552</v>
      </c>
      <c r="E1885" t="s">
        <v>553</v>
      </c>
      <c r="F1885" t="s">
        <v>413</v>
      </c>
      <c r="G1885">
        <v>6177</v>
      </c>
      <c r="H1885">
        <v>6177</v>
      </c>
      <c r="I1885">
        <v>6092</v>
      </c>
      <c r="J1885">
        <v>6092</v>
      </c>
      <c r="K1885">
        <v>1834</v>
      </c>
      <c r="L1885">
        <v>8</v>
      </c>
      <c r="M1885">
        <v>4290</v>
      </c>
      <c r="N1885">
        <v>20</v>
      </c>
      <c r="O1885">
        <v>25</v>
      </c>
      <c r="P1885">
        <v>2</v>
      </c>
      <c r="Q1885">
        <v>0</v>
      </c>
    </row>
    <row r="1886" spans="1:17" x14ac:dyDescent="0.2">
      <c r="A1886" s="121">
        <v>39903</v>
      </c>
      <c r="B1886" t="s">
        <v>406</v>
      </c>
      <c r="C1886" t="s">
        <v>551</v>
      </c>
      <c r="D1886" t="s">
        <v>554</v>
      </c>
      <c r="E1886" t="s">
        <v>555</v>
      </c>
      <c r="F1886" t="s">
        <v>410</v>
      </c>
      <c r="G1886">
        <v>192</v>
      </c>
      <c r="I1886">
        <v>192</v>
      </c>
    </row>
    <row r="1887" spans="1:17" x14ac:dyDescent="0.2">
      <c r="A1887" s="121">
        <v>39903</v>
      </c>
      <c r="B1887" t="s">
        <v>406</v>
      </c>
      <c r="C1887" t="s">
        <v>551</v>
      </c>
      <c r="D1887" t="s">
        <v>556</v>
      </c>
      <c r="E1887" t="s">
        <v>557</v>
      </c>
      <c r="F1887" t="s">
        <v>410</v>
      </c>
      <c r="G1887">
        <v>214</v>
      </c>
      <c r="I1887">
        <v>214</v>
      </c>
    </row>
    <row r="1888" spans="1:17" x14ac:dyDescent="0.2">
      <c r="A1888" s="121">
        <v>39903</v>
      </c>
      <c r="B1888" t="s">
        <v>406</v>
      </c>
      <c r="C1888" t="s">
        <v>551</v>
      </c>
      <c r="D1888" t="s">
        <v>558</v>
      </c>
      <c r="E1888" t="s">
        <v>559</v>
      </c>
      <c r="F1888" t="s">
        <v>413</v>
      </c>
      <c r="G1888">
        <v>5233</v>
      </c>
      <c r="H1888">
        <v>5233</v>
      </c>
      <c r="I1888">
        <v>5129</v>
      </c>
      <c r="J1888">
        <v>5129</v>
      </c>
      <c r="K1888">
        <v>1294</v>
      </c>
      <c r="L1888">
        <v>12</v>
      </c>
      <c r="M1888">
        <v>3874</v>
      </c>
      <c r="N1888">
        <v>17</v>
      </c>
      <c r="O1888">
        <v>36</v>
      </c>
      <c r="P1888">
        <v>0</v>
      </c>
      <c r="Q1888">
        <v>0</v>
      </c>
    </row>
    <row r="1889" spans="1:17" x14ac:dyDescent="0.2">
      <c r="A1889" s="121">
        <v>39903</v>
      </c>
      <c r="B1889" t="s">
        <v>406</v>
      </c>
      <c r="C1889" t="s">
        <v>551</v>
      </c>
      <c r="D1889" t="s">
        <v>560</v>
      </c>
      <c r="E1889" t="s">
        <v>561</v>
      </c>
      <c r="F1889" t="s">
        <v>413</v>
      </c>
      <c r="G1889">
        <v>6226</v>
      </c>
      <c r="H1889">
        <v>6226</v>
      </c>
      <c r="I1889">
        <v>6194</v>
      </c>
      <c r="J1889">
        <v>6194</v>
      </c>
      <c r="K1889">
        <v>1512</v>
      </c>
      <c r="L1889">
        <v>5</v>
      </c>
      <c r="M1889">
        <v>4672</v>
      </c>
      <c r="N1889">
        <v>15</v>
      </c>
      <c r="O1889">
        <v>22</v>
      </c>
      <c r="P1889">
        <v>0</v>
      </c>
      <c r="Q1889">
        <v>0</v>
      </c>
    </row>
    <row r="1890" spans="1:17" x14ac:dyDescent="0.2">
      <c r="A1890" s="121">
        <v>39903</v>
      </c>
      <c r="B1890" t="s">
        <v>406</v>
      </c>
      <c r="C1890" t="s">
        <v>562</v>
      </c>
      <c r="D1890" t="s">
        <v>603</v>
      </c>
      <c r="E1890" t="s">
        <v>604</v>
      </c>
      <c r="F1890" t="s">
        <v>410</v>
      </c>
      <c r="G1890">
        <v>15</v>
      </c>
      <c r="I1890">
        <v>15</v>
      </c>
    </row>
    <row r="1891" spans="1:17" x14ac:dyDescent="0.2">
      <c r="A1891" s="121">
        <v>39903</v>
      </c>
      <c r="B1891" t="s">
        <v>406</v>
      </c>
      <c r="C1891" t="s">
        <v>562</v>
      </c>
      <c r="D1891" t="s">
        <v>605</v>
      </c>
      <c r="E1891" t="s">
        <v>606</v>
      </c>
      <c r="F1891" t="s">
        <v>410</v>
      </c>
      <c r="G1891">
        <v>150</v>
      </c>
      <c r="I1891">
        <v>150</v>
      </c>
    </row>
    <row r="1892" spans="1:17" x14ac:dyDescent="0.2">
      <c r="A1892" s="121">
        <v>39903</v>
      </c>
      <c r="B1892" t="s">
        <v>406</v>
      </c>
      <c r="C1892" t="s">
        <v>562</v>
      </c>
      <c r="D1892" t="s">
        <v>563</v>
      </c>
      <c r="E1892" t="s">
        <v>564</v>
      </c>
      <c r="F1892" t="s">
        <v>410</v>
      </c>
      <c r="G1892">
        <v>3193</v>
      </c>
      <c r="H1892">
        <v>3193</v>
      </c>
      <c r="I1892">
        <v>3162</v>
      </c>
      <c r="J1892">
        <v>3162</v>
      </c>
      <c r="K1892">
        <v>1053</v>
      </c>
      <c r="L1892">
        <v>2</v>
      </c>
      <c r="M1892">
        <v>2114</v>
      </c>
      <c r="N1892">
        <v>24</v>
      </c>
      <c r="O1892">
        <v>0</v>
      </c>
      <c r="P1892">
        <v>2</v>
      </c>
      <c r="Q1892">
        <v>0</v>
      </c>
    </row>
    <row r="1893" spans="1:17" x14ac:dyDescent="0.2">
      <c r="A1893" s="121">
        <v>39903</v>
      </c>
      <c r="B1893" t="s">
        <v>406</v>
      </c>
      <c r="C1893" t="s">
        <v>562</v>
      </c>
      <c r="D1893" t="s">
        <v>565</v>
      </c>
      <c r="E1893" t="s">
        <v>566</v>
      </c>
      <c r="F1893" t="s">
        <v>413</v>
      </c>
      <c r="G1893">
        <v>4521</v>
      </c>
      <c r="H1893">
        <v>4521</v>
      </c>
      <c r="I1893">
        <v>4448</v>
      </c>
      <c r="J1893">
        <v>4448</v>
      </c>
      <c r="K1893">
        <v>999</v>
      </c>
      <c r="L1893">
        <v>4</v>
      </c>
      <c r="M1893">
        <v>3414</v>
      </c>
      <c r="N1893">
        <v>104</v>
      </c>
      <c r="O1893">
        <v>0</v>
      </c>
      <c r="P1893">
        <v>5</v>
      </c>
      <c r="Q1893">
        <v>1</v>
      </c>
    </row>
    <row r="1894" spans="1:17" x14ac:dyDescent="0.2">
      <c r="A1894" s="121">
        <v>39903</v>
      </c>
      <c r="B1894" t="s">
        <v>406</v>
      </c>
      <c r="C1894" t="s">
        <v>562</v>
      </c>
      <c r="D1894" t="s">
        <v>567</v>
      </c>
      <c r="E1894" t="s">
        <v>568</v>
      </c>
      <c r="F1894" t="s">
        <v>413</v>
      </c>
      <c r="G1894">
        <v>9346</v>
      </c>
      <c r="H1894">
        <v>9346</v>
      </c>
      <c r="I1894">
        <v>9053</v>
      </c>
      <c r="J1894">
        <v>9053</v>
      </c>
      <c r="K1894">
        <v>2642</v>
      </c>
      <c r="L1894">
        <v>17</v>
      </c>
      <c r="M1894">
        <v>6392</v>
      </c>
      <c r="N1894">
        <v>295</v>
      </c>
      <c r="O1894">
        <v>0</v>
      </c>
      <c r="P1894">
        <v>17</v>
      </c>
      <c r="Q1894">
        <v>2</v>
      </c>
    </row>
    <row r="1895" spans="1:17" x14ac:dyDescent="0.2">
      <c r="A1895" s="121">
        <v>39903</v>
      </c>
      <c r="B1895" t="s">
        <v>406</v>
      </c>
      <c r="C1895" t="s">
        <v>562</v>
      </c>
      <c r="D1895" t="s">
        <v>569</v>
      </c>
      <c r="E1895" t="s">
        <v>570</v>
      </c>
      <c r="F1895" t="s">
        <v>413</v>
      </c>
      <c r="G1895">
        <v>3694</v>
      </c>
      <c r="H1895">
        <v>3694</v>
      </c>
      <c r="I1895">
        <v>3657</v>
      </c>
      <c r="J1895">
        <v>3657</v>
      </c>
      <c r="K1895">
        <v>531</v>
      </c>
      <c r="L1895">
        <v>1</v>
      </c>
      <c r="M1895">
        <v>3161</v>
      </c>
      <c r="N1895">
        <v>1</v>
      </c>
      <c r="O1895">
        <v>0</v>
      </c>
      <c r="P1895">
        <v>0</v>
      </c>
      <c r="Q1895">
        <v>0</v>
      </c>
    </row>
    <row r="1896" spans="1:17" x14ac:dyDescent="0.2">
      <c r="A1896" s="121">
        <v>39903</v>
      </c>
      <c r="B1896" t="s">
        <v>406</v>
      </c>
      <c r="C1896" t="s">
        <v>571</v>
      </c>
      <c r="D1896" t="s">
        <v>572</v>
      </c>
      <c r="E1896" t="s">
        <v>573</v>
      </c>
      <c r="F1896" t="s">
        <v>410</v>
      </c>
      <c r="G1896">
        <v>234</v>
      </c>
      <c r="I1896">
        <v>233</v>
      </c>
    </row>
    <row r="1897" spans="1:17" x14ac:dyDescent="0.2">
      <c r="A1897" s="121">
        <v>39903</v>
      </c>
      <c r="B1897" t="s">
        <v>406</v>
      </c>
      <c r="C1897" t="s">
        <v>574</v>
      </c>
      <c r="D1897" t="s">
        <v>575</v>
      </c>
      <c r="E1897" t="s">
        <v>576</v>
      </c>
      <c r="F1897" t="s">
        <v>413</v>
      </c>
      <c r="G1897">
        <v>835</v>
      </c>
      <c r="H1897">
        <v>835</v>
      </c>
      <c r="I1897">
        <v>833</v>
      </c>
      <c r="J1897">
        <v>833</v>
      </c>
      <c r="K1897">
        <v>122</v>
      </c>
      <c r="L1897">
        <v>0</v>
      </c>
      <c r="M1897">
        <v>674</v>
      </c>
      <c r="N1897">
        <v>3</v>
      </c>
      <c r="O1897">
        <v>36</v>
      </c>
      <c r="P1897">
        <v>0</v>
      </c>
      <c r="Q1897">
        <v>0</v>
      </c>
    </row>
    <row r="1898" spans="1:17" x14ac:dyDescent="0.2">
      <c r="A1898" s="121">
        <v>39903</v>
      </c>
      <c r="B1898" t="s">
        <v>406</v>
      </c>
      <c r="C1898" t="s">
        <v>577</v>
      </c>
      <c r="D1898" t="s">
        <v>578</v>
      </c>
      <c r="E1898" t="s">
        <v>579</v>
      </c>
      <c r="F1898" t="s">
        <v>413</v>
      </c>
      <c r="G1898">
        <v>4478</v>
      </c>
      <c r="H1898">
        <v>4478</v>
      </c>
      <c r="I1898">
        <v>4420</v>
      </c>
      <c r="J1898">
        <v>4420</v>
      </c>
      <c r="K1898">
        <v>978</v>
      </c>
      <c r="L1898">
        <v>13</v>
      </c>
      <c r="M1898">
        <v>3455</v>
      </c>
      <c r="N1898">
        <v>32</v>
      </c>
      <c r="O1898">
        <v>0</v>
      </c>
      <c r="P1898">
        <v>2</v>
      </c>
      <c r="Q1898">
        <v>0</v>
      </c>
    </row>
    <row r="1899" spans="1:17" x14ac:dyDescent="0.2">
      <c r="A1899" s="121">
        <v>39903</v>
      </c>
      <c r="B1899" t="s">
        <v>406</v>
      </c>
      <c r="C1899" t="s">
        <v>577</v>
      </c>
      <c r="D1899" t="s">
        <v>580</v>
      </c>
      <c r="E1899" t="s">
        <v>581</v>
      </c>
      <c r="F1899" t="s">
        <v>413</v>
      </c>
      <c r="G1899">
        <v>2165</v>
      </c>
      <c r="H1899">
        <v>2165</v>
      </c>
      <c r="I1899">
        <v>2144</v>
      </c>
      <c r="J1899">
        <v>2144</v>
      </c>
      <c r="K1899">
        <v>371</v>
      </c>
      <c r="L1899">
        <v>4</v>
      </c>
      <c r="M1899">
        <v>1580</v>
      </c>
      <c r="N1899">
        <v>60</v>
      </c>
      <c r="O1899">
        <v>150</v>
      </c>
      <c r="P1899">
        <v>2</v>
      </c>
      <c r="Q1899">
        <v>0</v>
      </c>
    </row>
    <row r="1900" spans="1:17" x14ac:dyDescent="0.2">
      <c r="A1900" s="121">
        <v>39903</v>
      </c>
      <c r="B1900" t="s">
        <v>406</v>
      </c>
      <c r="C1900" t="s">
        <v>577</v>
      </c>
      <c r="D1900" t="s">
        <v>584</v>
      </c>
      <c r="E1900" t="s">
        <v>585</v>
      </c>
      <c r="F1900" t="s">
        <v>410</v>
      </c>
      <c r="G1900">
        <v>130</v>
      </c>
      <c r="H1900">
        <v>130</v>
      </c>
      <c r="I1900">
        <v>130</v>
      </c>
      <c r="J1900">
        <v>130</v>
      </c>
      <c r="K1900">
        <v>4</v>
      </c>
      <c r="L1900">
        <v>0</v>
      </c>
      <c r="M1900">
        <v>112</v>
      </c>
      <c r="N1900">
        <v>0</v>
      </c>
      <c r="O1900">
        <v>14</v>
      </c>
      <c r="P1900">
        <v>0</v>
      </c>
      <c r="Q1900">
        <v>0</v>
      </c>
    </row>
    <row r="1901" spans="1:17" x14ac:dyDescent="0.2">
      <c r="A1901" s="121">
        <v>39903</v>
      </c>
      <c r="B1901" t="s">
        <v>406</v>
      </c>
      <c r="C1901" t="s">
        <v>577</v>
      </c>
      <c r="D1901" t="s">
        <v>586</v>
      </c>
      <c r="E1901" t="s">
        <v>587</v>
      </c>
      <c r="F1901" t="s">
        <v>410</v>
      </c>
      <c r="G1901">
        <v>727</v>
      </c>
      <c r="H1901">
        <v>727</v>
      </c>
      <c r="I1901">
        <v>727</v>
      </c>
      <c r="J1901">
        <v>727</v>
      </c>
      <c r="K1901">
        <v>21</v>
      </c>
      <c r="L1901">
        <v>0</v>
      </c>
      <c r="M1901">
        <v>504</v>
      </c>
      <c r="N1901">
        <v>0</v>
      </c>
      <c r="O1901">
        <v>202</v>
      </c>
      <c r="P1901">
        <v>0</v>
      </c>
      <c r="Q1901">
        <v>0</v>
      </c>
    </row>
    <row r="1902" spans="1:17" x14ac:dyDescent="0.2">
      <c r="A1902" s="121">
        <v>39903</v>
      </c>
      <c r="B1902" t="s">
        <v>406</v>
      </c>
      <c r="C1902" t="s">
        <v>577</v>
      </c>
      <c r="D1902" t="s">
        <v>588</v>
      </c>
      <c r="E1902" t="s">
        <v>589</v>
      </c>
      <c r="F1902" t="s">
        <v>410</v>
      </c>
      <c r="G1902">
        <v>137</v>
      </c>
      <c r="H1902">
        <v>137</v>
      </c>
      <c r="I1902">
        <v>136</v>
      </c>
      <c r="J1902">
        <v>136</v>
      </c>
      <c r="K1902">
        <v>3</v>
      </c>
      <c r="L1902">
        <v>0</v>
      </c>
      <c r="M1902">
        <v>100</v>
      </c>
      <c r="N1902">
        <v>0</v>
      </c>
      <c r="O1902">
        <v>34</v>
      </c>
      <c r="P1902">
        <v>0</v>
      </c>
      <c r="Q1902">
        <v>0</v>
      </c>
    </row>
    <row r="1903" spans="1:17" x14ac:dyDescent="0.2">
      <c r="A1903" s="121">
        <v>39903</v>
      </c>
      <c r="B1903" t="s">
        <v>406</v>
      </c>
      <c r="C1903" t="s">
        <v>577</v>
      </c>
      <c r="D1903" t="s">
        <v>613</v>
      </c>
      <c r="E1903" t="s">
        <v>614</v>
      </c>
      <c r="F1903" t="s">
        <v>410</v>
      </c>
      <c r="G1903">
        <v>160</v>
      </c>
      <c r="H1903">
        <v>160</v>
      </c>
      <c r="I1903">
        <v>160</v>
      </c>
      <c r="J1903">
        <v>160</v>
      </c>
      <c r="K1903">
        <v>0</v>
      </c>
      <c r="L1903">
        <v>0</v>
      </c>
      <c r="M1903">
        <v>113</v>
      </c>
      <c r="N1903">
        <v>0</v>
      </c>
      <c r="O1903">
        <v>47</v>
      </c>
      <c r="P1903">
        <v>0</v>
      </c>
      <c r="Q1903">
        <v>0</v>
      </c>
    </row>
    <row r="1904" spans="1:17" x14ac:dyDescent="0.2">
      <c r="A1904" s="121">
        <v>39903</v>
      </c>
      <c r="B1904" t="s">
        <v>406</v>
      </c>
      <c r="C1904" t="s">
        <v>577</v>
      </c>
      <c r="D1904" t="s">
        <v>590</v>
      </c>
      <c r="E1904" t="s">
        <v>591</v>
      </c>
      <c r="F1904" t="s">
        <v>410</v>
      </c>
      <c r="G1904">
        <v>364</v>
      </c>
      <c r="H1904">
        <v>364</v>
      </c>
      <c r="I1904">
        <v>363</v>
      </c>
      <c r="J1904">
        <v>363</v>
      </c>
      <c r="K1904">
        <v>6</v>
      </c>
      <c r="L1904">
        <v>0</v>
      </c>
      <c r="M1904">
        <v>318</v>
      </c>
      <c r="N1904">
        <v>0</v>
      </c>
      <c r="O1904">
        <v>40</v>
      </c>
      <c r="P1904">
        <v>0</v>
      </c>
      <c r="Q1904">
        <v>0</v>
      </c>
    </row>
    <row r="1905" spans="1:17" x14ac:dyDescent="0.2">
      <c r="A1905" s="121">
        <v>39903</v>
      </c>
      <c r="B1905" t="s">
        <v>406</v>
      </c>
      <c r="C1905" t="s">
        <v>577</v>
      </c>
      <c r="D1905" t="s">
        <v>607</v>
      </c>
      <c r="E1905" t="s">
        <v>608</v>
      </c>
      <c r="F1905" t="s">
        <v>410</v>
      </c>
      <c r="G1905">
        <v>47</v>
      </c>
      <c r="H1905">
        <v>47</v>
      </c>
      <c r="I1905">
        <v>47</v>
      </c>
      <c r="J1905">
        <v>47</v>
      </c>
      <c r="K1905">
        <v>0</v>
      </c>
      <c r="L1905">
        <v>0</v>
      </c>
      <c r="M1905">
        <v>33</v>
      </c>
      <c r="N1905">
        <v>0</v>
      </c>
      <c r="O1905">
        <v>14</v>
      </c>
      <c r="P1905">
        <v>0</v>
      </c>
      <c r="Q1905">
        <v>0</v>
      </c>
    </row>
    <row r="1906" spans="1:17" x14ac:dyDescent="0.2">
      <c r="A1906" s="121">
        <v>39903</v>
      </c>
      <c r="B1906" t="s">
        <v>406</v>
      </c>
      <c r="C1906" t="s">
        <v>577</v>
      </c>
      <c r="D1906" t="s">
        <v>592</v>
      </c>
      <c r="E1906" t="s">
        <v>593</v>
      </c>
      <c r="F1906" t="s">
        <v>410</v>
      </c>
      <c r="G1906">
        <v>304</v>
      </c>
      <c r="H1906">
        <v>304</v>
      </c>
      <c r="I1906">
        <v>303</v>
      </c>
      <c r="J1906">
        <v>303</v>
      </c>
      <c r="K1906">
        <v>11</v>
      </c>
      <c r="L1906">
        <v>0</v>
      </c>
      <c r="M1906">
        <v>236</v>
      </c>
      <c r="N1906">
        <v>0</v>
      </c>
      <c r="O1906">
        <v>57</v>
      </c>
      <c r="P1906">
        <v>0</v>
      </c>
      <c r="Q1906">
        <v>0</v>
      </c>
    </row>
    <row r="1907" spans="1:17" x14ac:dyDescent="0.2">
      <c r="A1907" s="121">
        <v>39903</v>
      </c>
      <c r="B1907" t="s">
        <v>406</v>
      </c>
      <c r="C1907" t="s">
        <v>594</v>
      </c>
      <c r="D1907" t="s">
        <v>595</v>
      </c>
      <c r="E1907" t="s">
        <v>596</v>
      </c>
      <c r="F1907" t="s">
        <v>410</v>
      </c>
      <c r="G1907">
        <v>26</v>
      </c>
      <c r="I1907">
        <v>26</v>
      </c>
    </row>
    <row r="1908" spans="1:17" x14ac:dyDescent="0.2">
      <c r="A1908" s="121">
        <v>39903</v>
      </c>
      <c r="B1908" t="s">
        <v>406</v>
      </c>
      <c r="C1908" t="s">
        <v>594</v>
      </c>
      <c r="D1908" t="s">
        <v>597</v>
      </c>
      <c r="E1908" t="s">
        <v>598</v>
      </c>
      <c r="F1908" t="s">
        <v>413</v>
      </c>
      <c r="G1908">
        <v>589</v>
      </c>
      <c r="H1908">
        <v>589</v>
      </c>
      <c r="I1908">
        <v>582</v>
      </c>
      <c r="J1908">
        <v>582</v>
      </c>
      <c r="K1908">
        <v>153</v>
      </c>
      <c r="L1908">
        <v>0</v>
      </c>
      <c r="M1908">
        <v>428</v>
      </c>
      <c r="N1908">
        <v>0</v>
      </c>
      <c r="O1908">
        <v>8</v>
      </c>
      <c r="P1908">
        <v>0</v>
      </c>
      <c r="Q1908">
        <v>0</v>
      </c>
    </row>
    <row r="1909" spans="1:17" x14ac:dyDescent="0.2">
      <c r="A1909" s="121">
        <v>39903</v>
      </c>
      <c r="B1909" t="s">
        <v>406</v>
      </c>
      <c r="C1909" t="s">
        <v>594</v>
      </c>
      <c r="D1909" t="s">
        <v>599</v>
      </c>
      <c r="E1909" t="s">
        <v>600</v>
      </c>
      <c r="F1909" t="s">
        <v>410</v>
      </c>
      <c r="G1909">
        <v>96</v>
      </c>
      <c r="I1909">
        <v>96</v>
      </c>
    </row>
    <row r="1910" spans="1:17" x14ac:dyDescent="0.2">
      <c r="A1910" s="121">
        <v>39933</v>
      </c>
      <c r="B1910" t="s">
        <v>406</v>
      </c>
      <c r="C1910" t="s">
        <v>407</v>
      </c>
      <c r="D1910" t="s">
        <v>408</v>
      </c>
      <c r="E1910" t="s">
        <v>409</v>
      </c>
      <c r="F1910" t="s">
        <v>410</v>
      </c>
      <c r="G1910">
        <v>206</v>
      </c>
      <c r="I1910">
        <v>206</v>
      </c>
    </row>
    <row r="1911" spans="1:17" x14ac:dyDescent="0.2">
      <c r="A1911" s="121">
        <v>39933</v>
      </c>
      <c r="B1911" t="s">
        <v>406</v>
      </c>
      <c r="C1911" t="s">
        <v>407</v>
      </c>
      <c r="D1911" t="s">
        <v>601</v>
      </c>
      <c r="E1911" t="s">
        <v>602</v>
      </c>
      <c r="F1911" t="s">
        <v>410</v>
      </c>
      <c r="G1911">
        <v>75</v>
      </c>
      <c r="I1911">
        <v>75</v>
      </c>
    </row>
    <row r="1912" spans="1:17" x14ac:dyDescent="0.2">
      <c r="A1912" s="121">
        <v>39933</v>
      </c>
      <c r="B1912" t="s">
        <v>406</v>
      </c>
      <c r="C1912" t="s">
        <v>407</v>
      </c>
      <c r="D1912" t="s">
        <v>411</v>
      </c>
      <c r="E1912" t="s">
        <v>412</v>
      </c>
      <c r="F1912" t="s">
        <v>413</v>
      </c>
      <c r="G1912">
        <v>5593</v>
      </c>
      <c r="H1912">
        <v>5593</v>
      </c>
      <c r="I1912">
        <v>5460</v>
      </c>
      <c r="J1912">
        <v>5460</v>
      </c>
      <c r="K1912">
        <v>2081</v>
      </c>
      <c r="L1912">
        <v>12</v>
      </c>
      <c r="M1912">
        <v>3316</v>
      </c>
      <c r="N1912">
        <v>64</v>
      </c>
      <c r="O1912">
        <v>120</v>
      </c>
      <c r="P1912">
        <v>0</v>
      </c>
      <c r="Q1912">
        <v>0</v>
      </c>
    </row>
    <row r="1913" spans="1:17" x14ac:dyDescent="0.2">
      <c r="A1913" s="121">
        <v>39933</v>
      </c>
      <c r="B1913" t="s">
        <v>406</v>
      </c>
      <c r="C1913" t="s">
        <v>407</v>
      </c>
      <c r="D1913" t="s">
        <v>414</v>
      </c>
      <c r="E1913" t="s">
        <v>415</v>
      </c>
      <c r="F1913" t="s">
        <v>410</v>
      </c>
      <c r="G1913">
        <v>85</v>
      </c>
      <c r="I1913">
        <v>85</v>
      </c>
    </row>
    <row r="1914" spans="1:17" x14ac:dyDescent="0.2">
      <c r="A1914" s="121">
        <v>39933</v>
      </c>
      <c r="B1914" t="s">
        <v>406</v>
      </c>
      <c r="C1914" t="s">
        <v>407</v>
      </c>
      <c r="D1914" t="s">
        <v>416</v>
      </c>
      <c r="E1914" t="s">
        <v>417</v>
      </c>
      <c r="F1914" t="s">
        <v>413</v>
      </c>
      <c r="G1914">
        <v>3664</v>
      </c>
      <c r="H1914">
        <v>3664</v>
      </c>
      <c r="I1914">
        <v>3497</v>
      </c>
      <c r="J1914">
        <v>3497</v>
      </c>
      <c r="K1914">
        <v>1191</v>
      </c>
      <c r="L1914">
        <v>7</v>
      </c>
      <c r="M1914">
        <v>2272</v>
      </c>
      <c r="N1914">
        <v>75</v>
      </c>
      <c r="O1914">
        <v>119</v>
      </c>
      <c r="P1914">
        <v>7</v>
      </c>
      <c r="Q1914">
        <v>0</v>
      </c>
    </row>
    <row r="1915" spans="1:17" x14ac:dyDescent="0.2">
      <c r="A1915" s="121">
        <v>39933</v>
      </c>
      <c r="B1915" t="s">
        <v>406</v>
      </c>
      <c r="C1915" t="s">
        <v>418</v>
      </c>
      <c r="D1915" t="s">
        <v>419</v>
      </c>
      <c r="E1915" t="s">
        <v>420</v>
      </c>
      <c r="F1915" t="s">
        <v>410</v>
      </c>
      <c r="G1915">
        <v>15</v>
      </c>
      <c r="I1915">
        <v>15</v>
      </c>
    </row>
    <row r="1916" spans="1:17" x14ac:dyDescent="0.2">
      <c r="A1916" s="121">
        <v>39933</v>
      </c>
      <c r="B1916" t="s">
        <v>406</v>
      </c>
      <c r="C1916" t="s">
        <v>418</v>
      </c>
      <c r="D1916" t="s">
        <v>421</v>
      </c>
      <c r="E1916" t="s">
        <v>422</v>
      </c>
      <c r="F1916" t="s">
        <v>410</v>
      </c>
      <c r="G1916">
        <v>123</v>
      </c>
      <c r="I1916">
        <v>123</v>
      </c>
    </row>
    <row r="1917" spans="1:17" x14ac:dyDescent="0.2">
      <c r="A1917" s="121">
        <v>39933</v>
      </c>
      <c r="B1917" t="s">
        <v>406</v>
      </c>
      <c r="C1917" t="s">
        <v>418</v>
      </c>
      <c r="D1917" t="s">
        <v>423</v>
      </c>
      <c r="E1917" t="s">
        <v>424</v>
      </c>
      <c r="F1917" t="s">
        <v>410</v>
      </c>
      <c r="G1917">
        <v>36</v>
      </c>
      <c r="I1917">
        <v>36</v>
      </c>
    </row>
    <row r="1918" spans="1:17" x14ac:dyDescent="0.2">
      <c r="A1918" s="121">
        <v>39933</v>
      </c>
      <c r="B1918" t="s">
        <v>406</v>
      </c>
      <c r="C1918" t="s">
        <v>418</v>
      </c>
      <c r="D1918" t="s">
        <v>425</v>
      </c>
      <c r="E1918" t="s">
        <v>426</v>
      </c>
      <c r="F1918" t="s">
        <v>410</v>
      </c>
      <c r="G1918">
        <v>77</v>
      </c>
      <c r="I1918">
        <v>77</v>
      </c>
    </row>
    <row r="1919" spans="1:17" x14ac:dyDescent="0.2">
      <c r="A1919" s="121">
        <v>39933</v>
      </c>
      <c r="B1919" t="s">
        <v>406</v>
      </c>
      <c r="C1919" t="s">
        <v>418</v>
      </c>
      <c r="D1919" t="s">
        <v>427</v>
      </c>
      <c r="E1919" t="s">
        <v>428</v>
      </c>
      <c r="F1919" t="s">
        <v>413</v>
      </c>
      <c r="G1919">
        <v>2002</v>
      </c>
      <c r="H1919">
        <v>2002</v>
      </c>
      <c r="I1919">
        <v>1949</v>
      </c>
      <c r="J1919">
        <v>1949</v>
      </c>
      <c r="K1919">
        <v>652</v>
      </c>
      <c r="L1919">
        <v>6</v>
      </c>
      <c r="M1919">
        <v>1107</v>
      </c>
      <c r="N1919">
        <v>29</v>
      </c>
      <c r="O1919">
        <v>208</v>
      </c>
      <c r="P1919">
        <v>0</v>
      </c>
      <c r="Q1919">
        <v>0</v>
      </c>
    </row>
    <row r="1920" spans="1:17" x14ac:dyDescent="0.2">
      <c r="A1920" s="121">
        <v>39933</v>
      </c>
      <c r="B1920" t="s">
        <v>406</v>
      </c>
      <c r="C1920" t="s">
        <v>429</v>
      </c>
      <c r="D1920" t="s">
        <v>430</v>
      </c>
      <c r="E1920" t="s">
        <v>431</v>
      </c>
      <c r="F1920" t="s">
        <v>410</v>
      </c>
      <c r="G1920">
        <v>56</v>
      </c>
      <c r="I1920">
        <v>56</v>
      </c>
    </row>
    <row r="1921" spans="1:17" x14ac:dyDescent="0.2">
      <c r="A1921" s="121">
        <v>39933</v>
      </c>
      <c r="B1921" t="s">
        <v>406</v>
      </c>
      <c r="C1921" t="s">
        <v>429</v>
      </c>
      <c r="D1921" t="s">
        <v>432</v>
      </c>
      <c r="E1921" t="s">
        <v>433</v>
      </c>
      <c r="F1921" t="s">
        <v>410</v>
      </c>
      <c r="G1921">
        <v>83</v>
      </c>
      <c r="I1921">
        <v>83</v>
      </c>
    </row>
    <row r="1922" spans="1:17" x14ac:dyDescent="0.2">
      <c r="A1922" s="121">
        <v>39933</v>
      </c>
      <c r="B1922" t="s">
        <v>406</v>
      </c>
      <c r="C1922" t="s">
        <v>429</v>
      </c>
      <c r="D1922" t="s">
        <v>434</v>
      </c>
      <c r="E1922" t="s">
        <v>435</v>
      </c>
      <c r="F1922" t="s">
        <v>410</v>
      </c>
      <c r="G1922">
        <v>24</v>
      </c>
      <c r="I1922">
        <v>24</v>
      </c>
    </row>
    <row r="1923" spans="1:17" x14ac:dyDescent="0.2">
      <c r="A1923" s="121">
        <v>39933</v>
      </c>
      <c r="B1923" t="s">
        <v>406</v>
      </c>
      <c r="C1923" t="s">
        <v>429</v>
      </c>
      <c r="D1923" t="s">
        <v>436</v>
      </c>
      <c r="E1923" t="s">
        <v>437</v>
      </c>
      <c r="F1923" t="s">
        <v>410</v>
      </c>
      <c r="G1923">
        <v>38</v>
      </c>
      <c r="I1923">
        <v>38</v>
      </c>
    </row>
    <row r="1924" spans="1:17" x14ac:dyDescent="0.2">
      <c r="A1924" s="121">
        <v>39933</v>
      </c>
      <c r="B1924" t="s">
        <v>406</v>
      </c>
      <c r="C1924" t="s">
        <v>429</v>
      </c>
      <c r="D1924" t="s">
        <v>438</v>
      </c>
      <c r="E1924" t="s">
        <v>439</v>
      </c>
      <c r="F1924" t="s">
        <v>413</v>
      </c>
      <c r="G1924">
        <v>1079</v>
      </c>
      <c r="H1924">
        <v>1079</v>
      </c>
      <c r="I1924">
        <v>1060</v>
      </c>
      <c r="J1924">
        <v>1060</v>
      </c>
      <c r="K1924">
        <v>106</v>
      </c>
      <c r="L1924">
        <v>0</v>
      </c>
      <c r="M1924">
        <v>959</v>
      </c>
      <c r="N1924">
        <v>14</v>
      </c>
      <c r="O1924">
        <v>0</v>
      </c>
      <c r="P1924">
        <v>0</v>
      </c>
      <c r="Q1924">
        <v>0</v>
      </c>
    </row>
    <row r="1925" spans="1:17" x14ac:dyDescent="0.2">
      <c r="A1925" s="121">
        <v>39933</v>
      </c>
      <c r="B1925" t="s">
        <v>406</v>
      </c>
      <c r="C1925" t="s">
        <v>429</v>
      </c>
      <c r="D1925" t="s">
        <v>440</v>
      </c>
      <c r="E1925" t="s">
        <v>441</v>
      </c>
      <c r="F1925" t="s">
        <v>413</v>
      </c>
      <c r="G1925">
        <v>3039</v>
      </c>
      <c r="H1925">
        <v>3039</v>
      </c>
      <c r="I1925">
        <v>2950</v>
      </c>
      <c r="J1925">
        <v>2950</v>
      </c>
      <c r="K1925">
        <v>969</v>
      </c>
      <c r="L1925">
        <v>2</v>
      </c>
      <c r="M1925">
        <v>1983</v>
      </c>
      <c r="N1925">
        <v>17</v>
      </c>
      <c r="O1925">
        <v>68</v>
      </c>
      <c r="P1925">
        <v>1</v>
      </c>
      <c r="Q1925">
        <v>0</v>
      </c>
    </row>
    <row r="1926" spans="1:17" x14ac:dyDescent="0.2">
      <c r="A1926" s="121">
        <v>39933</v>
      </c>
      <c r="B1926" t="s">
        <v>406</v>
      </c>
      <c r="C1926" t="s">
        <v>442</v>
      </c>
      <c r="D1926" t="s">
        <v>443</v>
      </c>
      <c r="E1926" t="s">
        <v>444</v>
      </c>
      <c r="F1926" t="s">
        <v>413</v>
      </c>
      <c r="G1926">
        <v>3655</v>
      </c>
      <c r="H1926">
        <v>3655</v>
      </c>
      <c r="I1926">
        <v>3537</v>
      </c>
      <c r="J1926">
        <v>3537</v>
      </c>
      <c r="K1926">
        <v>531</v>
      </c>
      <c r="L1926">
        <v>9</v>
      </c>
      <c r="M1926">
        <v>2990</v>
      </c>
      <c r="N1926">
        <v>41</v>
      </c>
      <c r="O1926">
        <v>84</v>
      </c>
      <c r="P1926">
        <v>5</v>
      </c>
      <c r="Q1926">
        <v>1</v>
      </c>
    </row>
    <row r="1927" spans="1:17" x14ac:dyDescent="0.2">
      <c r="A1927" s="121">
        <v>39933</v>
      </c>
      <c r="B1927" t="s">
        <v>406</v>
      </c>
      <c r="C1927" t="s">
        <v>442</v>
      </c>
      <c r="D1927" t="s">
        <v>445</v>
      </c>
      <c r="E1927" t="s">
        <v>446</v>
      </c>
      <c r="F1927" t="s">
        <v>410</v>
      </c>
      <c r="G1927">
        <v>134</v>
      </c>
      <c r="I1927">
        <v>134</v>
      </c>
    </row>
    <row r="1928" spans="1:17" x14ac:dyDescent="0.2">
      <c r="A1928" s="121">
        <v>39933</v>
      </c>
      <c r="B1928" t="s">
        <v>406</v>
      </c>
      <c r="C1928" t="s">
        <v>442</v>
      </c>
      <c r="D1928" t="s">
        <v>447</v>
      </c>
      <c r="E1928" t="s">
        <v>448</v>
      </c>
      <c r="F1928" t="s">
        <v>410</v>
      </c>
      <c r="G1928">
        <v>322</v>
      </c>
      <c r="I1928">
        <v>322</v>
      </c>
    </row>
    <row r="1929" spans="1:17" x14ac:dyDescent="0.2">
      <c r="A1929" s="121">
        <v>39933</v>
      </c>
      <c r="B1929" t="s">
        <v>406</v>
      </c>
      <c r="C1929" t="s">
        <v>442</v>
      </c>
      <c r="D1929" t="s">
        <v>449</v>
      </c>
      <c r="E1929" t="s">
        <v>450</v>
      </c>
      <c r="F1929" t="s">
        <v>413</v>
      </c>
      <c r="G1929">
        <v>3525</v>
      </c>
      <c r="H1929">
        <v>3525</v>
      </c>
      <c r="I1929">
        <v>3341</v>
      </c>
      <c r="J1929">
        <v>3341</v>
      </c>
      <c r="K1929">
        <v>671</v>
      </c>
      <c r="L1929">
        <v>5</v>
      </c>
      <c r="M1929">
        <v>2784</v>
      </c>
      <c r="N1929">
        <v>33</v>
      </c>
      <c r="O1929">
        <v>32</v>
      </c>
      <c r="P1929">
        <v>15</v>
      </c>
      <c r="Q1929">
        <v>0</v>
      </c>
    </row>
    <row r="1930" spans="1:17" x14ac:dyDescent="0.2">
      <c r="A1930" s="121">
        <v>39933</v>
      </c>
      <c r="B1930" t="s">
        <v>406</v>
      </c>
      <c r="C1930" t="s">
        <v>451</v>
      </c>
      <c r="D1930" t="s">
        <v>452</v>
      </c>
      <c r="E1930" t="s">
        <v>453</v>
      </c>
      <c r="F1930" t="s">
        <v>410</v>
      </c>
      <c r="G1930">
        <v>1838</v>
      </c>
      <c r="H1930">
        <v>1838</v>
      </c>
      <c r="I1930">
        <v>1837</v>
      </c>
      <c r="J1930">
        <v>1837</v>
      </c>
      <c r="K1930">
        <v>0</v>
      </c>
      <c r="L1930">
        <v>0</v>
      </c>
      <c r="M1930">
        <v>1379</v>
      </c>
      <c r="N1930">
        <v>194</v>
      </c>
      <c r="O1930">
        <v>265</v>
      </c>
      <c r="P1930">
        <v>0</v>
      </c>
      <c r="Q1930">
        <v>0</v>
      </c>
    </row>
    <row r="1931" spans="1:17" x14ac:dyDescent="0.2">
      <c r="A1931" s="121">
        <v>39933</v>
      </c>
      <c r="B1931" t="s">
        <v>406</v>
      </c>
      <c r="C1931" t="s">
        <v>451</v>
      </c>
      <c r="D1931" t="s">
        <v>454</v>
      </c>
      <c r="E1931" t="s">
        <v>455</v>
      </c>
      <c r="F1931" t="s">
        <v>413</v>
      </c>
      <c r="G1931">
        <v>4289</v>
      </c>
      <c r="H1931">
        <v>4289</v>
      </c>
      <c r="I1931">
        <v>4044</v>
      </c>
      <c r="J1931">
        <v>4044</v>
      </c>
      <c r="K1931">
        <v>1127</v>
      </c>
      <c r="L1931">
        <v>8</v>
      </c>
      <c r="M1931">
        <v>2323</v>
      </c>
      <c r="N1931">
        <v>42</v>
      </c>
      <c r="O1931">
        <v>789</v>
      </c>
      <c r="P1931">
        <v>9</v>
      </c>
      <c r="Q1931">
        <v>0</v>
      </c>
    </row>
    <row r="1932" spans="1:17" x14ac:dyDescent="0.2">
      <c r="A1932" s="121">
        <v>39933</v>
      </c>
      <c r="B1932" t="s">
        <v>406</v>
      </c>
      <c r="C1932" t="s">
        <v>456</v>
      </c>
      <c r="D1932" t="s">
        <v>457</v>
      </c>
      <c r="E1932" t="s">
        <v>458</v>
      </c>
      <c r="F1932" t="s">
        <v>413</v>
      </c>
      <c r="G1932">
        <v>5126</v>
      </c>
      <c r="H1932">
        <v>5126</v>
      </c>
      <c r="I1932">
        <v>4903</v>
      </c>
      <c r="J1932">
        <v>4903</v>
      </c>
      <c r="K1932">
        <v>1289</v>
      </c>
      <c r="L1932">
        <v>15</v>
      </c>
      <c r="M1932">
        <v>3715</v>
      </c>
      <c r="N1932">
        <v>77</v>
      </c>
      <c r="O1932">
        <v>30</v>
      </c>
      <c r="P1932">
        <v>11</v>
      </c>
      <c r="Q1932">
        <v>0</v>
      </c>
    </row>
    <row r="1933" spans="1:17" x14ac:dyDescent="0.2">
      <c r="A1933" s="121">
        <v>39933</v>
      </c>
      <c r="B1933" t="s">
        <v>406</v>
      </c>
      <c r="C1933" t="s">
        <v>456</v>
      </c>
      <c r="D1933" t="s">
        <v>459</v>
      </c>
      <c r="E1933" t="s">
        <v>460</v>
      </c>
      <c r="F1933" t="s">
        <v>413</v>
      </c>
      <c r="G1933">
        <v>1497</v>
      </c>
      <c r="H1933">
        <v>1497</v>
      </c>
      <c r="I1933">
        <v>1492</v>
      </c>
      <c r="J1933">
        <v>1492</v>
      </c>
      <c r="K1933">
        <v>380</v>
      </c>
      <c r="L1933">
        <v>0</v>
      </c>
      <c r="M1933">
        <v>1117</v>
      </c>
      <c r="N1933">
        <v>0</v>
      </c>
      <c r="O1933">
        <v>0</v>
      </c>
      <c r="P1933">
        <v>0</v>
      </c>
      <c r="Q1933">
        <v>0</v>
      </c>
    </row>
    <row r="1934" spans="1:17" x14ac:dyDescent="0.2">
      <c r="A1934" s="121">
        <v>39933</v>
      </c>
      <c r="B1934" t="s">
        <v>406</v>
      </c>
      <c r="C1934" t="s">
        <v>456</v>
      </c>
      <c r="D1934" t="s">
        <v>461</v>
      </c>
      <c r="E1934" t="s">
        <v>462</v>
      </c>
      <c r="F1934" t="s">
        <v>410</v>
      </c>
      <c r="G1934">
        <v>91</v>
      </c>
      <c r="I1934">
        <v>91</v>
      </c>
    </row>
    <row r="1935" spans="1:17" x14ac:dyDescent="0.2">
      <c r="A1935" s="121">
        <v>39933</v>
      </c>
      <c r="B1935" t="s">
        <v>406</v>
      </c>
      <c r="C1935" t="s">
        <v>456</v>
      </c>
      <c r="D1935" t="s">
        <v>463</v>
      </c>
      <c r="E1935" t="s">
        <v>464</v>
      </c>
      <c r="F1935" t="s">
        <v>410</v>
      </c>
      <c r="G1935">
        <v>31</v>
      </c>
      <c r="I1935">
        <v>31</v>
      </c>
    </row>
    <row r="1936" spans="1:17" x14ac:dyDescent="0.2">
      <c r="A1936" s="121">
        <v>39933</v>
      </c>
      <c r="B1936" t="s">
        <v>406</v>
      </c>
      <c r="C1936" t="s">
        <v>456</v>
      </c>
      <c r="D1936" t="s">
        <v>465</v>
      </c>
      <c r="E1936" t="s">
        <v>466</v>
      </c>
      <c r="F1936" t="s">
        <v>410</v>
      </c>
      <c r="G1936">
        <v>75</v>
      </c>
      <c r="I1936">
        <v>75</v>
      </c>
    </row>
    <row r="1937" spans="1:17" x14ac:dyDescent="0.2">
      <c r="A1937" s="121">
        <v>39933</v>
      </c>
      <c r="B1937" t="s">
        <v>406</v>
      </c>
      <c r="C1937" t="s">
        <v>456</v>
      </c>
      <c r="D1937" t="s">
        <v>467</v>
      </c>
      <c r="E1937" t="s">
        <v>468</v>
      </c>
      <c r="F1937" t="s">
        <v>410</v>
      </c>
      <c r="G1937">
        <v>1078</v>
      </c>
      <c r="I1937">
        <v>1077</v>
      </c>
    </row>
    <row r="1938" spans="1:17" x14ac:dyDescent="0.2">
      <c r="A1938" s="121">
        <v>39933</v>
      </c>
      <c r="B1938" t="s">
        <v>406</v>
      </c>
      <c r="C1938" t="s">
        <v>456</v>
      </c>
      <c r="D1938" t="s">
        <v>469</v>
      </c>
      <c r="E1938" t="s">
        <v>470</v>
      </c>
      <c r="F1938" t="s">
        <v>410</v>
      </c>
      <c r="G1938">
        <v>811</v>
      </c>
      <c r="I1938">
        <v>807</v>
      </c>
    </row>
    <row r="1939" spans="1:17" x14ac:dyDescent="0.2">
      <c r="A1939" s="121">
        <v>39933</v>
      </c>
      <c r="B1939" t="s">
        <v>406</v>
      </c>
      <c r="C1939" t="s">
        <v>456</v>
      </c>
      <c r="D1939" t="s">
        <v>471</v>
      </c>
      <c r="E1939" t="s">
        <v>472</v>
      </c>
      <c r="F1939" t="s">
        <v>410</v>
      </c>
      <c r="G1939">
        <v>257</v>
      </c>
      <c r="I1939">
        <v>257</v>
      </c>
    </row>
    <row r="1940" spans="1:17" x14ac:dyDescent="0.2">
      <c r="A1940" s="121">
        <v>39933</v>
      </c>
      <c r="B1940" t="s">
        <v>406</v>
      </c>
      <c r="C1940" t="s">
        <v>456</v>
      </c>
      <c r="D1940" t="s">
        <v>473</v>
      </c>
      <c r="E1940" t="s">
        <v>474</v>
      </c>
      <c r="F1940" t="s">
        <v>410</v>
      </c>
      <c r="G1940">
        <v>186</v>
      </c>
      <c r="I1940">
        <v>186</v>
      </c>
    </row>
    <row r="1941" spans="1:17" x14ac:dyDescent="0.2">
      <c r="A1941" s="121">
        <v>39933</v>
      </c>
      <c r="B1941" t="s">
        <v>406</v>
      </c>
      <c r="C1941" t="s">
        <v>456</v>
      </c>
      <c r="D1941" t="s">
        <v>475</v>
      </c>
      <c r="E1941" t="s">
        <v>476</v>
      </c>
      <c r="F1941" t="s">
        <v>410</v>
      </c>
      <c r="G1941">
        <v>335</v>
      </c>
      <c r="I1941">
        <v>335</v>
      </c>
    </row>
    <row r="1942" spans="1:17" x14ac:dyDescent="0.2">
      <c r="A1942" s="121">
        <v>39933</v>
      </c>
      <c r="B1942" t="s">
        <v>406</v>
      </c>
      <c r="C1942" t="s">
        <v>456</v>
      </c>
      <c r="D1942" t="s">
        <v>477</v>
      </c>
      <c r="E1942" t="s">
        <v>478</v>
      </c>
      <c r="F1942" t="s">
        <v>413</v>
      </c>
      <c r="G1942">
        <v>1921</v>
      </c>
      <c r="H1942">
        <v>1921</v>
      </c>
      <c r="I1942">
        <v>1833</v>
      </c>
      <c r="J1942">
        <v>1833</v>
      </c>
      <c r="K1942">
        <v>487</v>
      </c>
      <c r="L1942">
        <v>5</v>
      </c>
      <c r="M1942">
        <v>1393</v>
      </c>
      <c r="N1942">
        <v>18</v>
      </c>
      <c r="O1942">
        <v>18</v>
      </c>
      <c r="P1942">
        <v>4</v>
      </c>
      <c r="Q1942">
        <v>3</v>
      </c>
    </row>
    <row r="1943" spans="1:17" x14ac:dyDescent="0.2">
      <c r="A1943" s="121">
        <v>39933</v>
      </c>
      <c r="B1943" t="s">
        <v>406</v>
      </c>
      <c r="C1943" t="s">
        <v>456</v>
      </c>
      <c r="D1943" t="s">
        <v>479</v>
      </c>
      <c r="E1943" t="s">
        <v>480</v>
      </c>
      <c r="F1943" t="s">
        <v>410</v>
      </c>
      <c r="G1943">
        <v>89</v>
      </c>
      <c r="I1943">
        <v>89</v>
      </c>
    </row>
    <row r="1944" spans="1:17" x14ac:dyDescent="0.2">
      <c r="A1944" s="121">
        <v>39933</v>
      </c>
      <c r="B1944" t="s">
        <v>406</v>
      </c>
      <c r="C1944" t="s">
        <v>456</v>
      </c>
      <c r="D1944" t="s">
        <v>481</v>
      </c>
      <c r="E1944" t="s">
        <v>482</v>
      </c>
      <c r="F1944" t="s">
        <v>410</v>
      </c>
      <c r="G1944">
        <v>44</v>
      </c>
      <c r="I1944">
        <v>44</v>
      </c>
    </row>
    <row r="1945" spans="1:17" x14ac:dyDescent="0.2">
      <c r="A1945" s="121">
        <v>39933</v>
      </c>
      <c r="B1945" t="s">
        <v>406</v>
      </c>
      <c r="C1945" t="s">
        <v>456</v>
      </c>
      <c r="D1945" t="s">
        <v>483</v>
      </c>
      <c r="E1945" t="s">
        <v>484</v>
      </c>
      <c r="F1945" t="s">
        <v>410</v>
      </c>
      <c r="G1945">
        <v>127</v>
      </c>
      <c r="I1945">
        <v>127</v>
      </c>
    </row>
    <row r="1946" spans="1:17" x14ac:dyDescent="0.2">
      <c r="A1946" s="121">
        <v>39933</v>
      </c>
      <c r="B1946" t="s">
        <v>406</v>
      </c>
      <c r="C1946" t="s">
        <v>456</v>
      </c>
      <c r="D1946" t="s">
        <v>485</v>
      </c>
      <c r="E1946" t="s">
        <v>486</v>
      </c>
      <c r="F1946" t="s">
        <v>410</v>
      </c>
      <c r="G1946">
        <v>100</v>
      </c>
      <c r="I1946">
        <v>100</v>
      </c>
    </row>
    <row r="1947" spans="1:17" x14ac:dyDescent="0.2">
      <c r="A1947" s="121">
        <v>39933</v>
      </c>
      <c r="B1947" t="s">
        <v>406</v>
      </c>
      <c r="C1947" t="s">
        <v>456</v>
      </c>
      <c r="D1947" t="s">
        <v>487</v>
      </c>
      <c r="E1947" t="s">
        <v>488</v>
      </c>
      <c r="F1947" t="s">
        <v>410</v>
      </c>
      <c r="G1947">
        <v>24</v>
      </c>
      <c r="I1947">
        <v>24</v>
      </c>
    </row>
    <row r="1948" spans="1:17" x14ac:dyDescent="0.2">
      <c r="A1948" s="121">
        <v>39933</v>
      </c>
      <c r="B1948" t="s">
        <v>406</v>
      </c>
      <c r="C1948" t="s">
        <v>456</v>
      </c>
      <c r="D1948" t="s">
        <v>489</v>
      </c>
      <c r="E1948" t="s">
        <v>490</v>
      </c>
      <c r="F1948" t="s">
        <v>410</v>
      </c>
      <c r="G1948">
        <v>129</v>
      </c>
      <c r="H1948">
        <v>129</v>
      </c>
      <c r="I1948">
        <v>129</v>
      </c>
      <c r="J1948">
        <v>129</v>
      </c>
      <c r="K1948">
        <v>0</v>
      </c>
      <c r="L1948">
        <v>0</v>
      </c>
      <c r="M1948">
        <v>103</v>
      </c>
      <c r="N1948">
        <v>26</v>
      </c>
      <c r="O1948">
        <v>0</v>
      </c>
      <c r="P1948">
        <v>0</v>
      </c>
      <c r="Q1948">
        <v>0</v>
      </c>
    </row>
    <row r="1949" spans="1:17" x14ac:dyDescent="0.2">
      <c r="A1949" s="121">
        <v>39933</v>
      </c>
      <c r="B1949" t="s">
        <v>406</v>
      </c>
      <c r="C1949" t="s">
        <v>491</v>
      </c>
      <c r="D1949" t="s">
        <v>492</v>
      </c>
      <c r="E1949" t="s">
        <v>493</v>
      </c>
      <c r="F1949" t="s">
        <v>410</v>
      </c>
      <c r="G1949">
        <v>1331</v>
      </c>
      <c r="H1949">
        <v>1331</v>
      </c>
      <c r="I1949">
        <v>1319</v>
      </c>
      <c r="J1949">
        <v>1319</v>
      </c>
      <c r="K1949">
        <v>0</v>
      </c>
      <c r="L1949">
        <v>0</v>
      </c>
      <c r="M1949">
        <v>0</v>
      </c>
      <c r="N1949">
        <v>5</v>
      </c>
      <c r="O1949">
        <v>1326</v>
      </c>
      <c r="P1949">
        <v>0</v>
      </c>
      <c r="Q1949">
        <v>0</v>
      </c>
    </row>
    <row r="1950" spans="1:17" x14ac:dyDescent="0.2">
      <c r="A1950" s="121">
        <v>39933</v>
      </c>
      <c r="B1950" t="s">
        <v>406</v>
      </c>
      <c r="C1950" t="s">
        <v>491</v>
      </c>
      <c r="D1950" t="s">
        <v>494</v>
      </c>
      <c r="E1950" t="s">
        <v>495</v>
      </c>
      <c r="F1950" t="s">
        <v>413</v>
      </c>
      <c r="G1950">
        <v>2902</v>
      </c>
      <c r="H1950">
        <v>2902</v>
      </c>
      <c r="I1950">
        <v>2812</v>
      </c>
      <c r="J1950">
        <v>2812</v>
      </c>
      <c r="K1950">
        <v>0</v>
      </c>
      <c r="L1950">
        <v>0</v>
      </c>
      <c r="M1950">
        <v>12</v>
      </c>
      <c r="N1950">
        <v>16</v>
      </c>
      <c r="O1950">
        <v>2874</v>
      </c>
      <c r="P1950">
        <v>0</v>
      </c>
      <c r="Q1950">
        <v>0</v>
      </c>
    </row>
    <row r="1951" spans="1:17" x14ac:dyDescent="0.2">
      <c r="A1951" s="121">
        <v>39933</v>
      </c>
      <c r="B1951" t="s">
        <v>406</v>
      </c>
      <c r="C1951" t="s">
        <v>491</v>
      </c>
      <c r="D1951" t="s">
        <v>496</v>
      </c>
      <c r="E1951" t="s">
        <v>497</v>
      </c>
      <c r="F1951" t="s">
        <v>413</v>
      </c>
      <c r="G1951">
        <v>6063</v>
      </c>
      <c r="H1951">
        <v>6063</v>
      </c>
      <c r="I1951">
        <v>5917</v>
      </c>
      <c r="J1951">
        <v>5917</v>
      </c>
      <c r="K1951">
        <v>1545</v>
      </c>
      <c r="L1951">
        <v>0</v>
      </c>
      <c r="M1951">
        <v>15</v>
      </c>
      <c r="N1951">
        <v>73</v>
      </c>
      <c r="O1951">
        <v>4430</v>
      </c>
      <c r="P1951">
        <v>3</v>
      </c>
      <c r="Q1951">
        <v>0</v>
      </c>
    </row>
    <row r="1952" spans="1:17" x14ac:dyDescent="0.2">
      <c r="A1952" s="121">
        <v>39933</v>
      </c>
      <c r="B1952" t="s">
        <v>406</v>
      </c>
      <c r="C1952" t="s">
        <v>491</v>
      </c>
      <c r="D1952" t="s">
        <v>498</v>
      </c>
      <c r="E1952" t="s">
        <v>499</v>
      </c>
      <c r="F1952" t="s">
        <v>413</v>
      </c>
      <c r="G1952">
        <v>6296</v>
      </c>
      <c r="H1952">
        <v>6296</v>
      </c>
      <c r="I1952">
        <v>6018</v>
      </c>
      <c r="J1952">
        <v>6018</v>
      </c>
      <c r="K1952">
        <v>1840</v>
      </c>
      <c r="L1952">
        <v>9</v>
      </c>
      <c r="M1952">
        <v>3978</v>
      </c>
      <c r="N1952">
        <v>124</v>
      </c>
      <c r="O1952">
        <v>345</v>
      </c>
      <c r="P1952">
        <v>2</v>
      </c>
      <c r="Q1952">
        <v>0</v>
      </c>
    </row>
    <row r="1953" spans="1:17" x14ac:dyDescent="0.2">
      <c r="A1953" s="121">
        <v>39933</v>
      </c>
      <c r="B1953" t="s">
        <v>406</v>
      </c>
      <c r="C1953" t="s">
        <v>491</v>
      </c>
      <c r="D1953" t="s">
        <v>500</v>
      </c>
      <c r="E1953" t="s">
        <v>501</v>
      </c>
      <c r="F1953" t="s">
        <v>413</v>
      </c>
      <c r="G1953">
        <v>3746</v>
      </c>
      <c r="H1953">
        <v>3746</v>
      </c>
      <c r="I1953">
        <v>3728</v>
      </c>
      <c r="J1953">
        <v>3728</v>
      </c>
      <c r="K1953">
        <v>960</v>
      </c>
      <c r="L1953">
        <v>0</v>
      </c>
      <c r="M1953">
        <v>2602</v>
      </c>
      <c r="N1953">
        <v>40</v>
      </c>
      <c r="O1953">
        <v>144</v>
      </c>
      <c r="P1953">
        <v>0</v>
      </c>
      <c r="Q1953">
        <v>0</v>
      </c>
    </row>
    <row r="1954" spans="1:17" x14ac:dyDescent="0.2">
      <c r="A1954" s="121">
        <v>39933</v>
      </c>
      <c r="B1954" t="s">
        <v>406</v>
      </c>
      <c r="C1954" t="s">
        <v>491</v>
      </c>
      <c r="D1954" t="s">
        <v>502</v>
      </c>
      <c r="E1954" t="s">
        <v>503</v>
      </c>
      <c r="F1954" t="s">
        <v>413</v>
      </c>
      <c r="G1954">
        <v>5789</v>
      </c>
      <c r="H1954">
        <v>5789</v>
      </c>
      <c r="I1954">
        <v>5670</v>
      </c>
      <c r="J1954">
        <v>5670</v>
      </c>
      <c r="K1954">
        <v>1534</v>
      </c>
      <c r="L1954">
        <v>11</v>
      </c>
      <c r="M1954">
        <v>4060</v>
      </c>
      <c r="N1954">
        <v>138</v>
      </c>
      <c r="O1954">
        <v>46</v>
      </c>
      <c r="P1954">
        <v>4</v>
      </c>
      <c r="Q1954">
        <v>0</v>
      </c>
    </row>
    <row r="1955" spans="1:17" x14ac:dyDescent="0.2">
      <c r="A1955" s="121">
        <v>39933</v>
      </c>
      <c r="B1955" t="s">
        <v>406</v>
      </c>
      <c r="C1955" t="s">
        <v>491</v>
      </c>
      <c r="D1955" t="s">
        <v>504</v>
      </c>
      <c r="E1955" t="s">
        <v>505</v>
      </c>
      <c r="F1955" t="s">
        <v>413</v>
      </c>
      <c r="G1955">
        <v>4260</v>
      </c>
      <c r="H1955">
        <v>4260</v>
      </c>
      <c r="I1955">
        <v>4174</v>
      </c>
      <c r="J1955">
        <v>4174</v>
      </c>
      <c r="K1955">
        <v>1119</v>
      </c>
      <c r="L1955">
        <v>8</v>
      </c>
      <c r="M1955">
        <v>2957</v>
      </c>
      <c r="N1955">
        <v>60</v>
      </c>
      <c r="O1955">
        <v>116</v>
      </c>
      <c r="P1955">
        <v>1</v>
      </c>
      <c r="Q1955">
        <v>0</v>
      </c>
    </row>
    <row r="1956" spans="1:17" x14ac:dyDescent="0.2">
      <c r="A1956" s="121">
        <v>39933</v>
      </c>
      <c r="B1956" t="s">
        <v>406</v>
      </c>
      <c r="C1956" t="s">
        <v>491</v>
      </c>
      <c r="D1956" t="s">
        <v>506</v>
      </c>
      <c r="E1956" t="s">
        <v>507</v>
      </c>
      <c r="F1956" t="s">
        <v>413</v>
      </c>
      <c r="G1956">
        <v>4052</v>
      </c>
      <c r="H1956">
        <v>4052</v>
      </c>
      <c r="I1956">
        <v>4006</v>
      </c>
      <c r="J1956">
        <v>4006</v>
      </c>
      <c r="K1956">
        <v>537</v>
      </c>
      <c r="L1956">
        <v>2</v>
      </c>
      <c r="M1956">
        <v>3501</v>
      </c>
      <c r="N1956">
        <v>1</v>
      </c>
      <c r="O1956">
        <v>11</v>
      </c>
      <c r="P1956">
        <v>0</v>
      </c>
      <c r="Q1956">
        <v>0</v>
      </c>
    </row>
    <row r="1957" spans="1:17" x14ac:dyDescent="0.2">
      <c r="A1957" s="121">
        <v>39933</v>
      </c>
      <c r="B1957" t="s">
        <v>406</v>
      </c>
      <c r="C1957" t="s">
        <v>491</v>
      </c>
      <c r="D1957" t="s">
        <v>508</v>
      </c>
      <c r="E1957" t="s">
        <v>509</v>
      </c>
      <c r="F1957" t="s">
        <v>413</v>
      </c>
      <c r="G1957">
        <v>5124</v>
      </c>
      <c r="H1957">
        <v>5124</v>
      </c>
      <c r="I1957">
        <v>4839</v>
      </c>
      <c r="J1957">
        <v>4839</v>
      </c>
      <c r="K1957">
        <v>1711</v>
      </c>
      <c r="L1957">
        <v>11</v>
      </c>
      <c r="M1957">
        <v>2906</v>
      </c>
      <c r="N1957">
        <v>160</v>
      </c>
      <c r="O1957">
        <v>336</v>
      </c>
      <c r="P1957">
        <v>12</v>
      </c>
      <c r="Q1957">
        <v>0</v>
      </c>
    </row>
    <row r="1958" spans="1:17" x14ac:dyDescent="0.2">
      <c r="A1958" s="121">
        <v>39933</v>
      </c>
      <c r="B1958" t="s">
        <v>406</v>
      </c>
      <c r="C1958" t="s">
        <v>510</v>
      </c>
      <c r="D1958" t="s">
        <v>511</v>
      </c>
      <c r="E1958" t="s">
        <v>512</v>
      </c>
      <c r="F1958" t="s">
        <v>410</v>
      </c>
      <c r="G1958">
        <v>569</v>
      </c>
      <c r="I1958">
        <v>563</v>
      </c>
    </row>
    <row r="1959" spans="1:17" x14ac:dyDescent="0.2">
      <c r="A1959" s="121">
        <v>39933</v>
      </c>
      <c r="B1959" t="s">
        <v>406</v>
      </c>
      <c r="C1959" t="s">
        <v>510</v>
      </c>
      <c r="D1959" t="s">
        <v>513</v>
      </c>
      <c r="E1959" t="s">
        <v>514</v>
      </c>
      <c r="F1959" t="s">
        <v>410</v>
      </c>
      <c r="G1959">
        <v>627</v>
      </c>
      <c r="I1959">
        <v>627</v>
      </c>
    </row>
    <row r="1960" spans="1:17" x14ac:dyDescent="0.2">
      <c r="A1960" s="121">
        <v>39933</v>
      </c>
      <c r="B1960" t="s">
        <v>406</v>
      </c>
      <c r="C1960" t="s">
        <v>510</v>
      </c>
      <c r="D1960" t="s">
        <v>515</v>
      </c>
      <c r="E1960" t="s">
        <v>516</v>
      </c>
      <c r="F1960" t="s">
        <v>410</v>
      </c>
      <c r="G1960">
        <v>64</v>
      </c>
      <c r="I1960">
        <v>63</v>
      </c>
    </row>
    <row r="1961" spans="1:17" x14ac:dyDescent="0.2">
      <c r="A1961" s="121">
        <v>39933</v>
      </c>
      <c r="B1961" t="s">
        <v>406</v>
      </c>
      <c r="C1961" t="s">
        <v>510</v>
      </c>
      <c r="D1961" t="s">
        <v>517</v>
      </c>
      <c r="E1961" t="s">
        <v>518</v>
      </c>
      <c r="F1961" t="s">
        <v>410</v>
      </c>
      <c r="G1961">
        <v>354</v>
      </c>
      <c r="I1961">
        <v>350</v>
      </c>
    </row>
    <row r="1962" spans="1:17" x14ac:dyDescent="0.2">
      <c r="A1962" s="121">
        <v>39933</v>
      </c>
      <c r="B1962" t="s">
        <v>406</v>
      </c>
      <c r="C1962" t="s">
        <v>510</v>
      </c>
      <c r="D1962" t="s">
        <v>519</v>
      </c>
      <c r="E1962" t="s">
        <v>520</v>
      </c>
      <c r="F1962" t="s">
        <v>410</v>
      </c>
      <c r="G1962">
        <v>367</v>
      </c>
      <c r="I1962">
        <v>363</v>
      </c>
    </row>
    <row r="1963" spans="1:17" x14ac:dyDescent="0.2">
      <c r="A1963" s="121">
        <v>39933</v>
      </c>
      <c r="B1963" t="s">
        <v>406</v>
      </c>
      <c r="C1963" t="s">
        <v>510</v>
      </c>
      <c r="D1963" t="s">
        <v>521</v>
      </c>
      <c r="E1963" t="s">
        <v>522</v>
      </c>
      <c r="F1963" t="s">
        <v>410</v>
      </c>
      <c r="G1963">
        <v>63</v>
      </c>
      <c r="I1963">
        <v>58</v>
      </c>
    </row>
    <row r="1964" spans="1:17" x14ac:dyDescent="0.2">
      <c r="A1964" s="121">
        <v>39933</v>
      </c>
      <c r="B1964" t="s">
        <v>406</v>
      </c>
      <c r="C1964" t="s">
        <v>510</v>
      </c>
      <c r="D1964" t="s">
        <v>523</v>
      </c>
      <c r="E1964" t="s">
        <v>524</v>
      </c>
      <c r="F1964" t="s">
        <v>413</v>
      </c>
      <c r="G1964">
        <v>549</v>
      </c>
      <c r="I1964">
        <v>546</v>
      </c>
    </row>
    <row r="1965" spans="1:17" x14ac:dyDescent="0.2">
      <c r="A1965" s="121">
        <v>39933</v>
      </c>
      <c r="B1965" t="s">
        <v>406</v>
      </c>
      <c r="C1965" t="s">
        <v>510</v>
      </c>
      <c r="D1965" t="s">
        <v>527</v>
      </c>
      <c r="E1965" t="s">
        <v>528</v>
      </c>
      <c r="F1965" t="s">
        <v>410</v>
      </c>
      <c r="G1965">
        <v>212</v>
      </c>
      <c r="I1965">
        <v>209</v>
      </c>
    </row>
    <row r="1966" spans="1:17" x14ac:dyDescent="0.2">
      <c r="A1966" s="121">
        <v>39933</v>
      </c>
      <c r="B1966" t="s">
        <v>406</v>
      </c>
      <c r="C1966" t="s">
        <v>510</v>
      </c>
      <c r="D1966" t="s">
        <v>529</v>
      </c>
      <c r="E1966" t="s">
        <v>530</v>
      </c>
      <c r="F1966" t="s">
        <v>413</v>
      </c>
      <c r="G1966">
        <v>561</v>
      </c>
      <c r="I1966">
        <v>554</v>
      </c>
    </row>
    <row r="1967" spans="1:17" x14ac:dyDescent="0.2">
      <c r="A1967" s="121">
        <v>39933</v>
      </c>
      <c r="B1967" t="s">
        <v>406</v>
      </c>
      <c r="C1967" t="s">
        <v>510</v>
      </c>
      <c r="D1967" t="s">
        <v>531</v>
      </c>
      <c r="E1967" t="s">
        <v>532</v>
      </c>
      <c r="F1967" t="s">
        <v>410</v>
      </c>
      <c r="G1967">
        <v>63</v>
      </c>
      <c r="I1967">
        <v>62</v>
      </c>
    </row>
    <row r="1968" spans="1:17" x14ac:dyDescent="0.2">
      <c r="A1968" s="121">
        <v>39933</v>
      </c>
      <c r="B1968" t="s">
        <v>406</v>
      </c>
      <c r="C1968" t="s">
        <v>510</v>
      </c>
      <c r="D1968" t="s">
        <v>533</v>
      </c>
      <c r="E1968" t="s">
        <v>534</v>
      </c>
      <c r="F1968" t="s">
        <v>413</v>
      </c>
      <c r="G1968">
        <v>2627</v>
      </c>
      <c r="H1968">
        <v>2627</v>
      </c>
      <c r="I1968">
        <v>2594</v>
      </c>
      <c r="J1968">
        <v>2594</v>
      </c>
      <c r="K1968">
        <v>493</v>
      </c>
      <c r="L1968">
        <v>30</v>
      </c>
      <c r="M1968">
        <v>2102</v>
      </c>
      <c r="N1968">
        <v>2</v>
      </c>
      <c r="O1968">
        <v>0</v>
      </c>
      <c r="P1968">
        <v>2</v>
      </c>
      <c r="Q1968">
        <v>0</v>
      </c>
    </row>
    <row r="1969" spans="1:17" x14ac:dyDescent="0.2">
      <c r="A1969" s="121">
        <v>39933</v>
      </c>
      <c r="B1969" t="s">
        <v>406</v>
      </c>
      <c r="C1969" t="s">
        <v>510</v>
      </c>
      <c r="D1969" t="s">
        <v>535</v>
      </c>
      <c r="E1969" t="s">
        <v>536</v>
      </c>
      <c r="F1969" t="s">
        <v>410</v>
      </c>
      <c r="G1969">
        <v>215</v>
      </c>
      <c r="I1969">
        <v>215</v>
      </c>
    </row>
    <row r="1970" spans="1:17" x14ac:dyDescent="0.2">
      <c r="A1970" s="121">
        <v>39933</v>
      </c>
      <c r="B1970" t="s">
        <v>406</v>
      </c>
      <c r="C1970" t="s">
        <v>510</v>
      </c>
      <c r="D1970" t="s">
        <v>537</v>
      </c>
      <c r="E1970" t="s">
        <v>538</v>
      </c>
      <c r="F1970" t="s">
        <v>410</v>
      </c>
      <c r="G1970">
        <v>93</v>
      </c>
      <c r="I1970">
        <v>93</v>
      </c>
    </row>
    <row r="1971" spans="1:17" x14ac:dyDescent="0.2">
      <c r="A1971" s="121">
        <v>39933</v>
      </c>
      <c r="B1971" t="s">
        <v>406</v>
      </c>
      <c r="C1971" t="s">
        <v>510</v>
      </c>
      <c r="D1971" t="s">
        <v>539</v>
      </c>
      <c r="E1971" t="s">
        <v>540</v>
      </c>
      <c r="F1971" t="s">
        <v>413</v>
      </c>
      <c r="G1971">
        <v>848</v>
      </c>
      <c r="I1971">
        <v>834</v>
      </c>
    </row>
    <row r="1972" spans="1:17" x14ac:dyDescent="0.2">
      <c r="A1972" s="121">
        <v>39933</v>
      </c>
      <c r="B1972" t="s">
        <v>406</v>
      </c>
      <c r="C1972" t="s">
        <v>510</v>
      </c>
      <c r="D1972" t="s">
        <v>541</v>
      </c>
      <c r="E1972" t="s">
        <v>542</v>
      </c>
      <c r="F1972" t="s">
        <v>410</v>
      </c>
      <c r="G1972">
        <v>384</v>
      </c>
      <c r="I1972">
        <v>371</v>
      </c>
    </row>
    <row r="1973" spans="1:17" x14ac:dyDescent="0.2">
      <c r="A1973" s="121">
        <v>39933</v>
      </c>
      <c r="B1973" t="s">
        <v>406</v>
      </c>
      <c r="C1973" t="s">
        <v>510</v>
      </c>
      <c r="D1973" t="s">
        <v>543</v>
      </c>
      <c r="E1973" t="s">
        <v>544</v>
      </c>
      <c r="F1973" t="s">
        <v>410</v>
      </c>
      <c r="G1973">
        <v>244</v>
      </c>
      <c r="I1973">
        <v>236</v>
      </c>
    </row>
    <row r="1974" spans="1:17" x14ac:dyDescent="0.2">
      <c r="A1974" s="121">
        <v>39933</v>
      </c>
      <c r="B1974" t="s">
        <v>406</v>
      </c>
      <c r="C1974" t="s">
        <v>510</v>
      </c>
      <c r="D1974" t="s">
        <v>545</v>
      </c>
      <c r="E1974" t="s">
        <v>546</v>
      </c>
      <c r="F1974" t="s">
        <v>410</v>
      </c>
      <c r="G1974">
        <v>197</v>
      </c>
      <c r="I1974">
        <v>197</v>
      </c>
    </row>
    <row r="1975" spans="1:17" x14ac:dyDescent="0.2">
      <c r="A1975" s="121">
        <v>39933</v>
      </c>
      <c r="B1975" t="s">
        <v>406</v>
      </c>
      <c r="C1975" t="s">
        <v>510</v>
      </c>
      <c r="D1975" t="s">
        <v>547</v>
      </c>
      <c r="E1975" t="s">
        <v>548</v>
      </c>
      <c r="F1975" t="s">
        <v>410</v>
      </c>
      <c r="G1975">
        <v>141</v>
      </c>
      <c r="I1975">
        <v>140</v>
      </c>
    </row>
    <row r="1976" spans="1:17" x14ac:dyDescent="0.2">
      <c r="A1976" s="121">
        <v>39933</v>
      </c>
      <c r="B1976" t="s">
        <v>406</v>
      </c>
      <c r="C1976" t="s">
        <v>510</v>
      </c>
      <c r="D1976" t="s">
        <v>549</v>
      </c>
      <c r="E1976" t="s">
        <v>550</v>
      </c>
      <c r="F1976" t="s">
        <v>410</v>
      </c>
      <c r="G1976">
        <v>159</v>
      </c>
      <c r="I1976">
        <v>156</v>
      </c>
    </row>
    <row r="1977" spans="1:17" x14ac:dyDescent="0.2">
      <c r="A1977" s="121">
        <v>39933</v>
      </c>
      <c r="B1977" t="s">
        <v>406</v>
      </c>
      <c r="C1977" t="s">
        <v>551</v>
      </c>
      <c r="D1977" t="s">
        <v>552</v>
      </c>
      <c r="E1977" t="s">
        <v>553</v>
      </c>
      <c r="F1977" t="s">
        <v>413</v>
      </c>
      <c r="G1977">
        <v>5807</v>
      </c>
      <c r="H1977">
        <v>5807</v>
      </c>
      <c r="I1977">
        <v>5718</v>
      </c>
      <c r="J1977">
        <v>5718</v>
      </c>
      <c r="K1977">
        <v>1724</v>
      </c>
      <c r="L1977">
        <v>14</v>
      </c>
      <c r="M1977">
        <v>4029</v>
      </c>
      <c r="N1977">
        <v>20</v>
      </c>
      <c r="O1977">
        <v>20</v>
      </c>
      <c r="P1977">
        <v>5</v>
      </c>
      <c r="Q1977">
        <v>0</v>
      </c>
    </row>
    <row r="1978" spans="1:17" x14ac:dyDescent="0.2">
      <c r="A1978" s="121">
        <v>39933</v>
      </c>
      <c r="B1978" t="s">
        <v>406</v>
      </c>
      <c r="C1978" t="s">
        <v>551</v>
      </c>
      <c r="D1978" t="s">
        <v>554</v>
      </c>
      <c r="E1978" t="s">
        <v>555</v>
      </c>
      <c r="F1978" t="s">
        <v>410</v>
      </c>
      <c r="G1978">
        <v>143</v>
      </c>
      <c r="I1978">
        <v>143</v>
      </c>
    </row>
    <row r="1979" spans="1:17" x14ac:dyDescent="0.2">
      <c r="A1979" s="121">
        <v>39933</v>
      </c>
      <c r="B1979" t="s">
        <v>406</v>
      </c>
      <c r="C1979" t="s">
        <v>551</v>
      </c>
      <c r="D1979" t="s">
        <v>556</v>
      </c>
      <c r="E1979" t="s">
        <v>557</v>
      </c>
      <c r="F1979" t="s">
        <v>410</v>
      </c>
      <c r="G1979">
        <v>194</v>
      </c>
      <c r="I1979">
        <v>194</v>
      </c>
    </row>
    <row r="1980" spans="1:17" x14ac:dyDescent="0.2">
      <c r="A1980" s="121">
        <v>39933</v>
      </c>
      <c r="B1980" t="s">
        <v>406</v>
      </c>
      <c r="C1980" t="s">
        <v>551</v>
      </c>
      <c r="D1980" t="s">
        <v>558</v>
      </c>
      <c r="E1980" t="s">
        <v>559</v>
      </c>
      <c r="F1980" t="s">
        <v>413</v>
      </c>
      <c r="G1980">
        <v>5237</v>
      </c>
      <c r="H1980">
        <v>5237</v>
      </c>
      <c r="I1980">
        <v>5134</v>
      </c>
      <c r="J1980">
        <v>5134</v>
      </c>
      <c r="K1980">
        <v>1209</v>
      </c>
      <c r="L1980">
        <v>8</v>
      </c>
      <c r="M1980">
        <v>3970</v>
      </c>
      <c r="N1980">
        <v>14</v>
      </c>
      <c r="O1980">
        <v>36</v>
      </c>
      <c r="P1980">
        <v>7</v>
      </c>
      <c r="Q1980">
        <v>0</v>
      </c>
    </row>
    <row r="1981" spans="1:17" x14ac:dyDescent="0.2">
      <c r="A1981" s="121">
        <v>39933</v>
      </c>
      <c r="B1981" t="s">
        <v>406</v>
      </c>
      <c r="C1981" t="s">
        <v>551</v>
      </c>
      <c r="D1981" t="s">
        <v>560</v>
      </c>
      <c r="E1981" t="s">
        <v>561</v>
      </c>
      <c r="F1981" t="s">
        <v>413</v>
      </c>
      <c r="G1981">
        <v>6095</v>
      </c>
      <c r="H1981">
        <v>6095</v>
      </c>
      <c r="I1981">
        <v>6013</v>
      </c>
      <c r="J1981">
        <v>6013</v>
      </c>
      <c r="K1981">
        <v>1350</v>
      </c>
      <c r="L1981">
        <v>12</v>
      </c>
      <c r="M1981">
        <v>4694</v>
      </c>
      <c r="N1981">
        <v>22</v>
      </c>
      <c r="O1981">
        <v>17</v>
      </c>
      <c r="P1981">
        <v>4</v>
      </c>
      <c r="Q1981">
        <v>0</v>
      </c>
    </row>
    <row r="1982" spans="1:17" x14ac:dyDescent="0.2">
      <c r="A1982" s="121">
        <v>39933</v>
      </c>
      <c r="B1982" t="s">
        <v>406</v>
      </c>
      <c r="C1982" t="s">
        <v>562</v>
      </c>
      <c r="D1982" t="s">
        <v>603</v>
      </c>
      <c r="E1982" t="s">
        <v>604</v>
      </c>
      <c r="F1982" t="s">
        <v>410</v>
      </c>
      <c r="G1982">
        <v>25</v>
      </c>
      <c r="I1982">
        <v>25</v>
      </c>
    </row>
    <row r="1983" spans="1:17" x14ac:dyDescent="0.2">
      <c r="A1983" s="121">
        <v>39933</v>
      </c>
      <c r="B1983" t="s">
        <v>406</v>
      </c>
      <c r="C1983" t="s">
        <v>562</v>
      </c>
      <c r="D1983" t="s">
        <v>605</v>
      </c>
      <c r="E1983" t="s">
        <v>606</v>
      </c>
      <c r="F1983" t="s">
        <v>410</v>
      </c>
      <c r="G1983">
        <v>160</v>
      </c>
      <c r="I1983">
        <v>160</v>
      </c>
    </row>
    <row r="1984" spans="1:17" x14ac:dyDescent="0.2">
      <c r="A1984" s="121">
        <v>39933</v>
      </c>
      <c r="B1984" t="s">
        <v>406</v>
      </c>
      <c r="C1984" t="s">
        <v>562</v>
      </c>
      <c r="D1984" t="s">
        <v>563</v>
      </c>
      <c r="E1984" t="s">
        <v>564</v>
      </c>
      <c r="F1984" t="s">
        <v>410</v>
      </c>
      <c r="G1984">
        <v>2935</v>
      </c>
      <c r="H1984">
        <v>2935</v>
      </c>
      <c r="I1984">
        <v>2888</v>
      </c>
      <c r="J1984">
        <v>2888</v>
      </c>
      <c r="K1984">
        <v>944</v>
      </c>
      <c r="L1984">
        <v>2</v>
      </c>
      <c r="M1984">
        <v>1952</v>
      </c>
      <c r="N1984">
        <v>37</v>
      </c>
      <c r="O1984">
        <v>0</v>
      </c>
      <c r="P1984">
        <v>3</v>
      </c>
      <c r="Q1984">
        <v>0</v>
      </c>
    </row>
    <row r="1985" spans="1:17" x14ac:dyDescent="0.2">
      <c r="A1985" s="121">
        <v>39933</v>
      </c>
      <c r="B1985" t="s">
        <v>406</v>
      </c>
      <c r="C1985" t="s">
        <v>562</v>
      </c>
      <c r="D1985" t="s">
        <v>565</v>
      </c>
      <c r="E1985" t="s">
        <v>566</v>
      </c>
      <c r="F1985" t="s">
        <v>413</v>
      </c>
      <c r="G1985">
        <v>4355</v>
      </c>
      <c r="H1985">
        <v>4355</v>
      </c>
      <c r="I1985">
        <v>4238</v>
      </c>
      <c r="J1985">
        <v>4238</v>
      </c>
      <c r="K1985">
        <v>1005</v>
      </c>
      <c r="L1985">
        <v>3</v>
      </c>
      <c r="M1985">
        <v>3204</v>
      </c>
      <c r="N1985">
        <v>143</v>
      </c>
      <c r="O1985">
        <v>0</v>
      </c>
      <c r="P1985">
        <v>3</v>
      </c>
      <c r="Q1985">
        <v>2</v>
      </c>
    </row>
    <row r="1986" spans="1:17" x14ac:dyDescent="0.2">
      <c r="A1986" s="121">
        <v>39933</v>
      </c>
      <c r="B1986" t="s">
        <v>406</v>
      </c>
      <c r="C1986" t="s">
        <v>562</v>
      </c>
      <c r="D1986" t="s">
        <v>567</v>
      </c>
      <c r="E1986" t="s">
        <v>568</v>
      </c>
      <c r="F1986" t="s">
        <v>413</v>
      </c>
      <c r="G1986">
        <v>9046</v>
      </c>
      <c r="H1986">
        <v>9046</v>
      </c>
      <c r="I1986">
        <v>8390</v>
      </c>
      <c r="J1986">
        <v>8390</v>
      </c>
      <c r="K1986">
        <v>2572</v>
      </c>
      <c r="L1986">
        <v>16</v>
      </c>
      <c r="M1986">
        <v>6116</v>
      </c>
      <c r="N1986">
        <v>342</v>
      </c>
      <c r="O1986">
        <v>0</v>
      </c>
      <c r="P1986">
        <v>106</v>
      </c>
      <c r="Q1986">
        <v>17</v>
      </c>
    </row>
    <row r="1987" spans="1:17" x14ac:dyDescent="0.2">
      <c r="A1987" s="121">
        <v>39933</v>
      </c>
      <c r="B1987" t="s">
        <v>406</v>
      </c>
      <c r="C1987" t="s">
        <v>562</v>
      </c>
      <c r="D1987" t="s">
        <v>569</v>
      </c>
      <c r="E1987" t="s">
        <v>570</v>
      </c>
      <c r="F1987" t="s">
        <v>413</v>
      </c>
      <c r="G1987">
        <v>3384</v>
      </c>
      <c r="H1987">
        <v>3384</v>
      </c>
      <c r="I1987">
        <v>3342</v>
      </c>
      <c r="J1987">
        <v>3342</v>
      </c>
      <c r="K1987">
        <v>461</v>
      </c>
      <c r="L1987">
        <v>0</v>
      </c>
      <c r="M1987">
        <v>2923</v>
      </c>
      <c r="N1987">
        <v>0</v>
      </c>
      <c r="O1987">
        <v>0</v>
      </c>
      <c r="P1987">
        <v>0</v>
      </c>
      <c r="Q1987">
        <v>0</v>
      </c>
    </row>
    <row r="1988" spans="1:17" x14ac:dyDescent="0.2">
      <c r="A1988" s="121">
        <v>39933</v>
      </c>
      <c r="B1988" t="s">
        <v>406</v>
      </c>
      <c r="C1988" t="s">
        <v>571</v>
      </c>
      <c r="D1988" t="s">
        <v>572</v>
      </c>
      <c r="E1988" t="s">
        <v>573</v>
      </c>
      <c r="F1988" t="s">
        <v>410</v>
      </c>
      <c r="G1988">
        <v>279</v>
      </c>
      <c r="I1988">
        <v>279</v>
      </c>
    </row>
    <row r="1989" spans="1:17" x14ac:dyDescent="0.2">
      <c r="A1989" s="121">
        <v>39933</v>
      </c>
      <c r="B1989" t="s">
        <v>406</v>
      </c>
      <c r="C1989" t="s">
        <v>574</v>
      </c>
      <c r="D1989" t="s">
        <v>575</v>
      </c>
      <c r="E1989" t="s">
        <v>576</v>
      </c>
      <c r="F1989" t="s">
        <v>413</v>
      </c>
      <c r="G1989">
        <v>760</v>
      </c>
      <c r="H1989">
        <v>760</v>
      </c>
      <c r="I1989">
        <v>757</v>
      </c>
      <c r="J1989">
        <v>757</v>
      </c>
      <c r="K1989">
        <v>151</v>
      </c>
      <c r="L1989">
        <v>1</v>
      </c>
      <c r="M1989">
        <v>584</v>
      </c>
      <c r="N1989">
        <v>0</v>
      </c>
      <c r="O1989">
        <v>24</v>
      </c>
      <c r="P1989">
        <v>0</v>
      </c>
      <c r="Q1989">
        <v>0</v>
      </c>
    </row>
    <row r="1990" spans="1:17" x14ac:dyDescent="0.2">
      <c r="A1990" s="121">
        <v>39933</v>
      </c>
      <c r="B1990" t="s">
        <v>406</v>
      </c>
      <c r="C1990" t="s">
        <v>577</v>
      </c>
      <c r="D1990" t="s">
        <v>578</v>
      </c>
      <c r="E1990" t="s">
        <v>579</v>
      </c>
      <c r="F1990" t="s">
        <v>413</v>
      </c>
      <c r="G1990">
        <v>4268</v>
      </c>
      <c r="H1990">
        <v>4268</v>
      </c>
      <c r="I1990">
        <v>4218</v>
      </c>
      <c r="J1990">
        <v>4218</v>
      </c>
      <c r="K1990">
        <v>975</v>
      </c>
      <c r="L1990">
        <v>14</v>
      </c>
      <c r="M1990">
        <v>3241</v>
      </c>
      <c r="N1990">
        <v>38</v>
      </c>
      <c r="O1990">
        <v>0</v>
      </c>
      <c r="P1990">
        <v>0</v>
      </c>
      <c r="Q1990">
        <v>0</v>
      </c>
    </row>
    <row r="1991" spans="1:17" x14ac:dyDescent="0.2">
      <c r="A1991" s="121">
        <v>39933</v>
      </c>
      <c r="B1991" t="s">
        <v>406</v>
      </c>
      <c r="C1991" t="s">
        <v>577</v>
      </c>
      <c r="D1991" t="s">
        <v>580</v>
      </c>
      <c r="E1991" t="s">
        <v>581</v>
      </c>
      <c r="F1991" t="s">
        <v>413</v>
      </c>
      <c r="G1991">
        <v>2155</v>
      </c>
      <c r="H1991">
        <v>2155</v>
      </c>
      <c r="I1991">
        <v>2145</v>
      </c>
      <c r="J1991">
        <v>2145</v>
      </c>
      <c r="K1991">
        <v>412</v>
      </c>
      <c r="L1991">
        <v>2</v>
      </c>
      <c r="M1991">
        <v>1542</v>
      </c>
      <c r="N1991">
        <v>54</v>
      </c>
      <c r="O1991">
        <v>145</v>
      </c>
      <c r="P1991">
        <v>1</v>
      </c>
      <c r="Q1991">
        <v>0</v>
      </c>
    </row>
    <row r="1992" spans="1:17" x14ac:dyDescent="0.2">
      <c r="A1992" s="121">
        <v>39933</v>
      </c>
      <c r="B1992" t="s">
        <v>406</v>
      </c>
      <c r="C1992" t="s">
        <v>577</v>
      </c>
      <c r="D1992" t="s">
        <v>609</v>
      </c>
      <c r="E1992" t="s">
        <v>610</v>
      </c>
      <c r="F1992" t="s">
        <v>410</v>
      </c>
      <c r="G1992">
        <v>19</v>
      </c>
      <c r="H1992">
        <v>19</v>
      </c>
      <c r="I1992">
        <v>19</v>
      </c>
      <c r="J1992">
        <v>19</v>
      </c>
      <c r="K1992">
        <v>0</v>
      </c>
      <c r="L1992">
        <v>0</v>
      </c>
      <c r="M1992">
        <v>16</v>
      </c>
      <c r="N1992">
        <v>0</v>
      </c>
      <c r="O1992">
        <v>3</v>
      </c>
      <c r="P1992">
        <v>0</v>
      </c>
      <c r="Q1992">
        <v>0</v>
      </c>
    </row>
    <row r="1993" spans="1:17" x14ac:dyDescent="0.2">
      <c r="A1993" s="121">
        <v>39933</v>
      </c>
      <c r="B1993" t="s">
        <v>406</v>
      </c>
      <c r="C1993" t="s">
        <v>577</v>
      </c>
      <c r="D1993" t="s">
        <v>611</v>
      </c>
      <c r="E1993" t="s">
        <v>612</v>
      </c>
      <c r="F1993" t="s">
        <v>410</v>
      </c>
      <c r="G1993">
        <v>17</v>
      </c>
      <c r="H1993">
        <v>17</v>
      </c>
      <c r="I1993">
        <v>17</v>
      </c>
      <c r="J1993">
        <v>17</v>
      </c>
      <c r="K1993">
        <v>0</v>
      </c>
      <c r="L1993">
        <v>0</v>
      </c>
      <c r="M1993">
        <v>5</v>
      </c>
      <c r="N1993">
        <v>0</v>
      </c>
      <c r="O1993">
        <v>12</v>
      </c>
      <c r="P1993">
        <v>0</v>
      </c>
      <c r="Q1993">
        <v>0</v>
      </c>
    </row>
    <row r="1994" spans="1:17" x14ac:dyDescent="0.2">
      <c r="A1994" s="121">
        <v>39933</v>
      </c>
      <c r="B1994" t="s">
        <v>406</v>
      </c>
      <c r="C1994" t="s">
        <v>577</v>
      </c>
      <c r="D1994" t="s">
        <v>584</v>
      </c>
      <c r="E1994" t="s">
        <v>585</v>
      </c>
      <c r="F1994" t="s">
        <v>410</v>
      </c>
      <c r="G1994">
        <v>238</v>
      </c>
      <c r="H1994">
        <v>238</v>
      </c>
      <c r="I1994">
        <v>238</v>
      </c>
      <c r="J1994">
        <v>238</v>
      </c>
      <c r="K1994">
        <v>0</v>
      </c>
      <c r="L1994">
        <v>0</v>
      </c>
      <c r="M1994">
        <v>180</v>
      </c>
      <c r="N1994">
        <v>0</v>
      </c>
      <c r="O1994">
        <v>58</v>
      </c>
      <c r="P1994">
        <v>0</v>
      </c>
      <c r="Q1994">
        <v>0</v>
      </c>
    </row>
    <row r="1995" spans="1:17" x14ac:dyDescent="0.2">
      <c r="A1995" s="121">
        <v>39933</v>
      </c>
      <c r="B1995" t="s">
        <v>406</v>
      </c>
      <c r="C1995" t="s">
        <v>577</v>
      </c>
      <c r="D1995" t="s">
        <v>586</v>
      </c>
      <c r="E1995" t="s">
        <v>587</v>
      </c>
      <c r="F1995" t="s">
        <v>410</v>
      </c>
      <c r="G1995">
        <v>1152</v>
      </c>
      <c r="H1995">
        <v>1152</v>
      </c>
      <c r="I1995">
        <v>1152</v>
      </c>
      <c r="J1995">
        <v>1152</v>
      </c>
      <c r="K1995">
        <v>28</v>
      </c>
      <c r="L1995">
        <v>0</v>
      </c>
      <c r="M1995">
        <v>750</v>
      </c>
      <c r="N1995">
        <v>0</v>
      </c>
      <c r="O1995">
        <v>374</v>
      </c>
      <c r="P1995">
        <v>0</v>
      </c>
      <c r="Q1995">
        <v>0</v>
      </c>
    </row>
    <row r="1996" spans="1:17" x14ac:dyDescent="0.2">
      <c r="A1996" s="121">
        <v>39933</v>
      </c>
      <c r="B1996" t="s">
        <v>406</v>
      </c>
      <c r="C1996" t="s">
        <v>577</v>
      </c>
      <c r="D1996" t="s">
        <v>588</v>
      </c>
      <c r="E1996" t="s">
        <v>589</v>
      </c>
      <c r="F1996" t="s">
        <v>410</v>
      </c>
      <c r="G1996">
        <v>294</v>
      </c>
      <c r="H1996">
        <v>294</v>
      </c>
      <c r="I1996">
        <v>294</v>
      </c>
      <c r="J1996">
        <v>294</v>
      </c>
      <c r="K1996">
        <v>42</v>
      </c>
      <c r="L1996">
        <v>0</v>
      </c>
      <c r="M1996">
        <v>194</v>
      </c>
      <c r="N1996">
        <v>0</v>
      </c>
      <c r="O1996">
        <v>58</v>
      </c>
      <c r="P1996">
        <v>0</v>
      </c>
      <c r="Q1996">
        <v>0</v>
      </c>
    </row>
    <row r="1997" spans="1:17" x14ac:dyDescent="0.2">
      <c r="A1997" s="121">
        <v>39933</v>
      </c>
      <c r="B1997" t="s">
        <v>406</v>
      </c>
      <c r="C1997" t="s">
        <v>577</v>
      </c>
      <c r="D1997" t="s">
        <v>613</v>
      </c>
      <c r="E1997" t="s">
        <v>614</v>
      </c>
      <c r="F1997" t="s">
        <v>410</v>
      </c>
      <c r="G1997">
        <v>256</v>
      </c>
      <c r="H1997">
        <v>256</v>
      </c>
      <c r="I1997">
        <v>256</v>
      </c>
      <c r="J1997">
        <v>256</v>
      </c>
      <c r="K1997">
        <v>0</v>
      </c>
      <c r="L1997">
        <v>0</v>
      </c>
      <c r="M1997">
        <v>191</v>
      </c>
      <c r="N1997">
        <v>0</v>
      </c>
      <c r="O1997">
        <v>65</v>
      </c>
      <c r="P1997">
        <v>0</v>
      </c>
      <c r="Q1997">
        <v>0</v>
      </c>
    </row>
    <row r="1998" spans="1:17" x14ac:dyDescent="0.2">
      <c r="A1998" s="121">
        <v>39933</v>
      </c>
      <c r="B1998" t="s">
        <v>406</v>
      </c>
      <c r="C1998" t="s">
        <v>577</v>
      </c>
      <c r="D1998" t="s">
        <v>590</v>
      </c>
      <c r="E1998" t="s">
        <v>591</v>
      </c>
      <c r="F1998" t="s">
        <v>410</v>
      </c>
      <c r="G1998">
        <v>557</v>
      </c>
      <c r="H1998">
        <v>557</v>
      </c>
      <c r="I1998">
        <v>557</v>
      </c>
      <c r="J1998">
        <v>557</v>
      </c>
      <c r="K1998">
        <v>14</v>
      </c>
      <c r="L1998">
        <v>0</v>
      </c>
      <c r="M1998">
        <v>505</v>
      </c>
      <c r="N1998">
        <v>0</v>
      </c>
      <c r="O1998">
        <v>38</v>
      </c>
      <c r="P1998">
        <v>0</v>
      </c>
      <c r="Q1998">
        <v>0</v>
      </c>
    </row>
    <row r="1999" spans="1:17" x14ac:dyDescent="0.2">
      <c r="A1999" s="121">
        <v>39933</v>
      </c>
      <c r="B1999" t="s">
        <v>406</v>
      </c>
      <c r="C1999" t="s">
        <v>577</v>
      </c>
      <c r="D1999" t="s">
        <v>607</v>
      </c>
      <c r="E1999" t="s">
        <v>608</v>
      </c>
      <c r="F1999" t="s">
        <v>410</v>
      </c>
      <c r="G1999">
        <v>117</v>
      </c>
      <c r="H1999">
        <v>117</v>
      </c>
      <c r="I1999">
        <v>117</v>
      </c>
      <c r="J1999">
        <v>117</v>
      </c>
      <c r="K1999">
        <v>0</v>
      </c>
      <c r="L1999">
        <v>0</v>
      </c>
      <c r="M1999">
        <v>93</v>
      </c>
      <c r="N1999">
        <v>0</v>
      </c>
      <c r="O1999">
        <v>24</v>
      </c>
      <c r="P1999">
        <v>0</v>
      </c>
      <c r="Q1999">
        <v>0</v>
      </c>
    </row>
    <row r="2000" spans="1:17" x14ac:dyDescent="0.2">
      <c r="A2000" s="121">
        <v>39933</v>
      </c>
      <c r="B2000" t="s">
        <v>406</v>
      </c>
      <c r="C2000" t="s">
        <v>577</v>
      </c>
      <c r="D2000" t="s">
        <v>592</v>
      </c>
      <c r="E2000" t="s">
        <v>593</v>
      </c>
      <c r="F2000" t="s">
        <v>410</v>
      </c>
      <c r="G2000">
        <v>535</v>
      </c>
      <c r="H2000">
        <v>535</v>
      </c>
      <c r="I2000">
        <v>533</v>
      </c>
      <c r="J2000">
        <v>533</v>
      </c>
      <c r="K2000">
        <v>16</v>
      </c>
      <c r="L2000">
        <v>0</v>
      </c>
      <c r="M2000">
        <v>415</v>
      </c>
      <c r="N2000">
        <v>0</v>
      </c>
      <c r="O2000">
        <v>104</v>
      </c>
      <c r="P2000">
        <v>0</v>
      </c>
      <c r="Q2000">
        <v>0</v>
      </c>
    </row>
    <row r="2001" spans="1:17" x14ac:dyDescent="0.2">
      <c r="A2001" s="121">
        <v>39933</v>
      </c>
      <c r="B2001" t="s">
        <v>406</v>
      </c>
      <c r="C2001" t="s">
        <v>594</v>
      </c>
      <c r="D2001" t="s">
        <v>595</v>
      </c>
      <c r="E2001" t="s">
        <v>596</v>
      </c>
      <c r="F2001" t="s">
        <v>410</v>
      </c>
      <c r="G2001">
        <v>31</v>
      </c>
      <c r="I2001">
        <v>31</v>
      </c>
    </row>
    <row r="2002" spans="1:17" x14ac:dyDescent="0.2">
      <c r="A2002" s="121">
        <v>39933</v>
      </c>
      <c r="B2002" t="s">
        <v>406</v>
      </c>
      <c r="C2002" t="s">
        <v>594</v>
      </c>
      <c r="D2002" t="s">
        <v>597</v>
      </c>
      <c r="E2002" t="s">
        <v>598</v>
      </c>
      <c r="F2002" t="s">
        <v>413</v>
      </c>
      <c r="G2002">
        <v>637</v>
      </c>
      <c r="H2002">
        <v>637</v>
      </c>
      <c r="I2002">
        <v>628</v>
      </c>
      <c r="J2002">
        <v>628</v>
      </c>
      <c r="K2002">
        <v>193</v>
      </c>
      <c r="L2002">
        <v>0</v>
      </c>
      <c r="M2002">
        <v>428</v>
      </c>
      <c r="N2002">
        <v>3</v>
      </c>
      <c r="O2002">
        <v>13</v>
      </c>
      <c r="P2002">
        <v>0</v>
      </c>
      <c r="Q2002">
        <v>0</v>
      </c>
    </row>
    <row r="2003" spans="1:17" x14ac:dyDescent="0.2">
      <c r="A2003" s="121">
        <v>39933</v>
      </c>
      <c r="B2003" t="s">
        <v>406</v>
      </c>
      <c r="C2003" t="s">
        <v>594</v>
      </c>
      <c r="D2003" t="s">
        <v>599</v>
      </c>
      <c r="E2003" t="s">
        <v>600</v>
      </c>
      <c r="F2003" t="s">
        <v>410</v>
      </c>
      <c r="G2003">
        <v>128</v>
      </c>
      <c r="I2003">
        <v>128</v>
      </c>
    </row>
    <row r="2004" spans="1:17" x14ac:dyDescent="0.2">
      <c r="A2004" s="121">
        <v>39964</v>
      </c>
      <c r="B2004" t="s">
        <v>406</v>
      </c>
      <c r="C2004" t="s">
        <v>407</v>
      </c>
      <c r="D2004" t="s">
        <v>408</v>
      </c>
      <c r="E2004" t="s">
        <v>409</v>
      </c>
      <c r="F2004" t="s">
        <v>410</v>
      </c>
      <c r="G2004">
        <v>235</v>
      </c>
      <c r="I2004">
        <v>235</v>
      </c>
    </row>
    <row r="2005" spans="1:17" x14ac:dyDescent="0.2">
      <c r="A2005" s="121">
        <v>39964</v>
      </c>
      <c r="B2005" t="s">
        <v>406</v>
      </c>
      <c r="C2005" t="s">
        <v>407</v>
      </c>
      <c r="D2005" t="s">
        <v>601</v>
      </c>
      <c r="E2005" t="s">
        <v>602</v>
      </c>
      <c r="F2005" t="s">
        <v>410</v>
      </c>
      <c r="G2005">
        <v>91</v>
      </c>
      <c r="I2005">
        <v>91</v>
      </c>
    </row>
    <row r="2006" spans="1:17" x14ac:dyDescent="0.2">
      <c r="A2006" s="121">
        <v>39964</v>
      </c>
      <c r="B2006" t="s">
        <v>406</v>
      </c>
      <c r="C2006" t="s">
        <v>407</v>
      </c>
      <c r="D2006" t="s">
        <v>411</v>
      </c>
      <c r="E2006" t="s">
        <v>412</v>
      </c>
      <c r="F2006" t="s">
        <v>413</v>
      </c>
      <c r="G2006">
        <v>5807</v>
      </c>
      <c r="H2006">
        <v>5807</v>
      </c>
      <c r="I2006">
        <v>5754</v>
      </c>
      <c r="J2006">
        <v>5754</v>
      </c>
      <c r="K2006">
        <v>2122</v>
      </c>
      <c r="L2006">
        <v>5</v>
      </c>
      <c r="M2006">
        <v>3384</v>
      </c>
      <c r="N2006">
        <v>50</v>
      </c>
      <c r="O2006">
        <v>246</v>
      </c>
      <c r="P2006">
        <v>0</v>
      </c>
      <c r="Q2006">
        <v>0</v>
      </c>
    </row>
    <row r="2007" spans="1:17" x14ac:dyDescent="0.2">
      <c r="A2007" s="121">
        <v>39964</v>
      </c>
      <c r="B2007" t="s">
        <v>406</v>
      </c>
      <c r="C2007" t="s">
        <v>407</v>
      </c>
      <c r="D2007" t="s">
        <v>414</v>
      </c>
      <c r="E2007" t="s">
        <v>415</v>
      </c>
      <c r="F2007" t="s">
        <v>410</v>
      </c>
      <c r="G2007">
        <v>82</v>
      </c>
      <c r="I2007">
        <v>82</v>
      </c>
    </row>
    <row r="2008" spans="1:17" x14ac:dyDescent="0.2">
      <c r="A2008" s="121">
        <v>39964</v>
      </c>
      <c r="B2008" t="s">
        <v>406</v>
      </c>
      <c r="C2008" t="s">
        <v>407</v>
      </c>
      <c r="D2008" t="s">
        <v>416</v>
      </c>
      <c r="E2008" t="s">
        <v>417</v>
      </c>
      <c r="F2008" t="s">
        <v>413</v>
      </c>
      <c r="G2008">
        <v>3909</v>
      </c>
      <c r="H2008">
        <v>3909</v>
      </c>
      <c r="I2008">
        <v>3866</v>
      </c>
      <c r="J2008">
        <v>3866</v>
      </c>
      <c r="K2008">
        <v>1291</v>
      </c>
      <c r="L2008">
        <v>3</v>
      </c>
      <c r="M2008">
        <v>2466</v>
      </c>
      <c r="N2008">
        <v>88</v>
      </c>
      <c r="O2008">
        <v>61</v>
      </c>
      <c r="P2008">
        <v>1</v>
      </c>
      <c r="Q2008">
        <v>0</v>
      </c>
    </row>
    <row r="2009" spans="1:17" x14ac:dyDescent="0.2">
      <c r="A2009" s="121">
        <v>39964</v>
      </c>
      <c r="B2009" t="s">
        <v>406</v>
      </c>
      <c r="C2009" t="s">
        <v>418</v>
      </c>
      <c r="D2009" t="s">
        <v>419</v>
      </c>
      <c r="E2009" t="s">
        <v>420</v>
      </c>
      <c r="F2009" t="s">
        <v>410</v>
      </c>
      <c r="G2009">
        <v>11</v>
      </c>
      <c r="I2009">
        <v>11</v>
      </c>
    </row>
    <row r="2010" spans="1:17" x14ac:dyDescent="0.2">
      <c r="A2010" s="121">
        <v>39964</v>
      </c>
      <c r="B2010" t="s">
        <v>406</v>
      </c>
      <c r="C2010" t="s">
        <v>418</v>
      </c>
      <c r="D2010" t="s">
        <v>421</v>
      </c>
      <c r="E2010" t="s">
        <v>422</v>
      </c>
      <c r="F2010" t="s">
        <v>410</v>
      </c>
      <c r="G2010">
        <v>141</v>
      </c>
      <c r="I2010">
        <v>141</v>
      </c>
    </row>
    <row r="2011" spans="1:17" x14ac:dyDescent="0.2">
      <c r="A2011" s="121">
        <v>39964</v>
      </c>
      <c r="B2011" t="s">
        <v>406</v>
      </c>
      <c r="C2011" t="s">
        <v>418</v>
      </c>
      <c r="D2011" t="s">
        <v>423</v>
      </c>
      <c r="E2011" t="s">
        <v>424</v>
      </c>
      <c r="F2011" t="s">
        <v>410</v>
      </c>
      <c r="G2011">
        <v>23</v>
      </c>
      <c r="I2011">
        <v>23</v>
      </c>
    </row>
    <row r="2012" spans="1:17" x14ac:dyDescent="0.2">
      <c r="A2012" s="121">
        <v>39964</v>
      </c>
      <c r="B2012" t="s">
        <v>406</v>
      </c>
      <c r="C2012" t="s">
        <v>418</v>
      </c>
      <c r="D2012" t="s">
        <v>425</v>
      </c>
      <c r="E2012" t="s">
        <v>426</v>
      </c>
      <c r="F2012" t="s">
        <v>410</v>
      </c>
      <c r="G2012">
        <v>117</v>
      </c>
      <c r="I2012">
        <v>117</v>
      </c>
    </row>
    <row r="2013" spans="1:17" x14ac:dyDescent="0.2">
      <c r="A2013" s="121">
        <v>39964</v>
      </c>
      <c r="B2013" t="s">
        <v>406</v>
      </c>
      <c r="C2013" t="s">
        <v>418</v>
      </c>
      <c r="D2013" t="s">
        <v>427</v>
      </c>
      <c r="E2013" t="s">
        <v>428</v>
      </c>
      <c r="F2013" t="s">
        <v>413</v>
      </c>
      <c r="G2013">
        <v>2007</v>
      </c>
      <c r="H2013">
        <v>2007</v>
      </c>
      <c r="I2013">
        <v>1959</v>
      </c>
      <c r="J2013">
        <v>1959</v>
      </c>
      <c r="K2013">
        <v>601</v>
      </c>
      <c r="L2013">
        <v>7</v>
      </c>
      <c r="M2013">
        <v>1135</v>
      </c>
      <c r="N2013">
        <v>29</v>
      </c>
      <c r="O2013">
        <v>235</v>
      </c>
      <c r="P2013">
        <v>0</v>
      </c>
      <c r="Q2013">
        <v>0</v>
      </c>
    </row>
    <row r="2014" spans="1:17" x14ac:dyDescent="0.2">
      <c r="A2014" s="121">
        <v>39964</v>
      </c>
      <c r="B2014" t="s">
        <v>406</v>
      </c>
      <c r="C2014" t="s">
        <v>429</v>
      </c>
      <c r="D2014" t="s">
        <v>430</v>
      </c>
      <c r="E2014" t="s">
        <v>431</v>
      </c>
      <c r="F2014" t="s">
        <v>410</v>
      </c>
      <c r="G2014">
        <v>47</v>
      </c>
      <c r="I2014">
        <v>47</v>
      </c>
    </row>
    <row r="2015" spans="1:17" x14ac:dyDescent="0.2">
      <c r="A2015" s="121">
        <v>39964</v>
      </c>
      <c r="B2015" t="s">
        <v>406</v>
      </c>
      <c r="C2015" t="s">
        <v>429</v>
      </c>
      <c r="D2015" t="s">
        <v>432</v>
      </c>
      <c r="E2015" t="s">
        <v>433</v>
      </c>
      <c r="F2015" t="s">
        <v>410</v>
      </c>
      <c r="G2015">
        <v>83</v>
      </c>
      <c r="I2015">
        <v>83</v>
      </c>
    </row>
    <row r="2016" spans="1:17" x14ac:dyDescent="0.2">
      <c r="A2016" s="121">
        <v>39964</v>
      </c>
      <c r="B2016" t="s">
        <v>406</v>
      </c>
      <c r="C2016" t="s">
        <v>429</v>
      </c>
      <c r="D2016" t="s">
        <v>434</v>
      </c>
      <c r="E2016" t="s">
        <v>435</v>
      </c>
      <c r="F2016" t="s">
        <v>410</v>
      </c>
      <c r="G2016">
        <v>31</v>
      </c>
      <c r="I2016">
        <v>31</v>
      </c>
    </row>
    <row r="2017" spans="1:17" x14ac:dyDescent="0.2">
      <c r="A2017" s="121">
        <v>39964</v>
      </c>
      <c r="B2017" t="s">
        <v>406</v>
      </c>
      <c r="C2017" t="s">
        <v>429</v>
      </c>
      <c r="D2017" t="s">
        <v>436</v>
      </c>
      <c r="E2017" t="s">
        <v>437</v>
      </c>
      <c r="F2017" t="s">
        <v>410</v>
      </c>
      <c r="G2017">
        <v>38</v>
      </c>
      <c r="I2017">
        <v>38</v>
      </c>
    </row>
    <row r="2018" spans="1:17" x14ac:dyDescent="0.2">
      <c r="A2018" s="121">
        <v>39964</v>
      </c>
      <c r="B2018" t="s">
        <v>406</v>
      </c>
      <c r="C2018" t="s">
        <v>429</v>
      </c>
      <c r="D2018" t="s">
        <v>438</v>
      </c>
      <c r="E2018" t="s">
        <v>439</v>
      </c>
      <c r="F2018" t="s">
        <v>413</v>
      </c>
      <c r="G2018">
        <v>1153</v>
      </c>
      <c r="H2018">
        <v>1153</v>
      </c>
      <c r="I2018">
        <v>1141</v>
      </c>
      <c r="J2018">
        <v>1141</v>
      </c>
      <c r="K2018">
        <v>112</v>
      </c>
      <c r="L2018">
        <v>1</v>
      </c>
      <c r="M2018">
        <v>1032</v>
      </c>
      <c r="N2018">
        <v>8</v>
      </c>
      <c r="O2018">
        <v>0</v>
      </c>
      <c r="P2018">
        <v>0</v>
      </c>
      <c r="Q2018">
        <v>0</v>
      </c>
    </row>
    <row r="2019" spans="1:17" x14ac:dyDescent="0.2">
      <c r="A2019" s="121">
        <v>39964</v>
      </c>
      <c r="B2019" t="s">
        <v>406</v>
      </c>
      <c r="C2019" t="s">
        <v>429</v>
      </c>
      <c r="D2019" t="s">
        <v>440</v>
      </c>
      <c r="E2019" t="s">
        <v>441</v>
      </c>
      <c r="F2019" t="s">
        <v>413</v>
      </c>
      <c r="G2019">
        <v>3138</v>
      </c>
      <c r="H2019">
        <v>3138</v>
      </c>
      <c r="I2019">
        <v>3058</v>
      </c>
      <c r="J2019">
        <v>3058</v>
      </c>
      <c r="K2019">
        <v>1016</v>
      </c>
      <c r="L2019">
        <v>4</v>
      </c>
      <c r="M2019">
        <v>2017</v>
      </c>
      <c r="N2019">
        <v>28</v>
      </c>
      <c r="O2019">
        <v>73</v>
      </c>
      <c r="P2019">
        <v>0</v>
      </c>
      <c r="Q2019">
        <v>0</v>
      </c>
    </row>
    <row r="2020" spans="1:17" x14ac:dyDescent="0.2">
      <c r="A2020" s="121">
        <v>39964</v>
      </c>
      <c r="B2020" t="s">
        <v>406</v>
      </c>
      <c r="C2020" t="s">
        <v>442</v>
      </c>
      <c r="D2020" t="s">
        <v>443</v>
      </c>
      <c r="E2020" t="s">
        <v>444</v>
      </c>
      <c r="F2020" t="s">
        <v>413</v>
      </c>
      <c r="G2020">
        <v>3549</v>
      </c>
      <c r="H2020">
        <v>3549</v>
      </c>
      <c r="I2020">
        <v>3415</v>
      </c>
      <c r="J2020">
        <v>3415</v>
      </c>
      <c r="K2020">
        <v>404</v>
      </c>
      <c r="L2020">
        <v>4</v>
      </c>
      <c r="M2020">
        <v>2985</v>
      </c>
      <c r="N2020">
        <v>34</v>
      </c>
      <c r="O2020">
        <v>122</v>
      </c>
      <c r="P2020">
        <v>7</v>
      </c>
      <c r="Q2020">
        <v>0</v>
      </c>
    </row>
    <row r="2021" spans="1:17" x14ac:dyDescent="0.2">
      <c r="A2021" s="121">
        <v>39964</v>
      </c>
      <c r="B2021" t="s">
        <v>406</v>
      </c>
      <c r="C2021" t="s">
        <v>442</v>
      </c>
      <c r="D2021" t="s">
        <v>445</v>
      </c>
      <c r="E2021" t="s">
        <v>446</v>
      </c>
      <c r="F2021" t="s">
        <v>410</v>
      </c>
      <c r="G2021">
        <v>152</v>
      </c>
      <c r="I2021">
        <v>152</v>
      </c>
    </row>
    <row r="2022" spans="1:17" x14ac:dyDescent="0.2">
      <c r="A2022" s="121">
        <v>39964</v>
      </c>
      <c r="B2022" t="s">
        <v>406</v>
      </c>
      <c r="C2022" t="s">
        <v>442</v>
      </c>
      <c r="D2022" t="s">
        <v>447</v>
      </c>
      <c r="E2022" t="s">
        <v>448</v>
      </c>
      <c r="F2022" t="s">
        <v>410</v>
      </c>
      <c r="G2022">
        <v>317</v>
      </c>
      <c r="I2022">
        <v>317</v>
      </c>
    </row>
    <row r="2023" spans="1:17" x14ac:dyDescent="0.2">
      <c r="A2023" s="121">
        <v>39964</v>
      </c>
      <c r="B2023" t="s">
        <v>406</v>
      </c>
      <c r="C2023" t="s">
        <v>442</v>
      </c>
      <c r="D2023" t="s">
        <v>449</v>
      </c>
      <c r="E2023" t="s">
        <v>450</v>
      </c>
      <c r="F2023" t="s">
        <v>413</v>
      </c>
      <c r="G2023">
        <v>3342</v>
      </c>
      <c r="H2023">
        <v>3342</v>
      </c>
      <c r="I2023">
        <v>3225</v>
      </c>
      <c r="J2023">
        <v>3225</v>
      </c>
      <c r="K2023">
        <v>533</v>
      </c>
      <c r="L2023">
        <v>5</v>
      </c>
      <c r="M2023">
        <v>2716</v>
      </c>
      <c r="N2023">
        <v>25</v>
      </c>
      <c r="O2023">
        <v>63</v>
      </c>
      <c r="P2023">
        <v>6</v>
      </c>
      <c r="Q2023">
        <v>4</v>
      </c>
    </row>
    <row r="2024" spans="1:17" x14ac:dyDescent="0.2">
      <c r="A2024" s="121">
        <v>39964</v>
      </c>
      <c r="B2024" t="s">
        <v>406</v>
      </c>
      <c r="C2024" t="s">
        <v>451</v>
      </c>
      <c r="D2024" t="s">
        <v>452</v>
      </c>
      <c r="E2024" t="s">
        <v>453</v>
      </c>
      <c r="F2024" t="s">
        <v>410</v>
      </c>
      <c r="G2024">
        <v>1943</v>
      </c>
      <c r="H2024">
        <v>1943</v>
      </c>
      <c r="I2024">
        <v>1941</v>
      </c>
      <c r="J2024">
        <v>1941</v>
      </c>
      <c r="K2024">
        <v>0</v>
      </c>
      <c r="L2024">
        <v>0</v>
      </c>
      <c r="M2024">
        <v>1403</v>
      </c>
      <c r="N2024">
        <v>204</v>
      </c>
      <c r="O2024">
        <v>336</v>
      </c>
      <c r="P2024">
        <v>0</v>
      </c>
      <c r="Q2024">
        <v>0</v>
      </c>
    </row>
    <row r="2025" spans="1:17" x14ac:dyDescent="0.2">
      <c r="A2025" s="121">
        <v>39964</v>
      </c>
      <c r="B2025" t="s">
        <v>406</v>
      </c>
      <c r="C2025" t="s">
        <v>451</v>
      </c>
      <c r="D2025" t="s">
        <v>454</v>
      </c>
      <c r="E2025" t="s">
        <v>455</v>
      </c>
      <c r="F2025" t="s">
        <v>413</v>
      </c>
      <c r="G2025">
        <v>4649</v>
      </c>
      <c r="H2025">
        <v>4649</v>
      </c>
      <c r="I2025">
        <v>4432</v>
      </c>
      <c r="J2025">
        <v>4432</v>
      </c>
      <c r="K2025">
        <v>1148</v>
      </c>
      <c r="L2025">
        <v>10</v>
      </c>
      <c r="M2025">
        <v>2604</v>
      </c>
      <c r="N2025">
        <v>41</v>
      </c>
      <c r="O2025">
        <v>846</v>
      </c>
      <c r="P2025">
        <v>0</v>
      </c>
      <c r="Q2025">
        <v>0</v>
      </c>
    </row>
    <row r="2026" spans="1:17" x14ac:dyDescent="0.2">
      <c r="A2026" s="121">
        <v>39964</v>
      </c>
      <c r="B2026" t="s">
        <v>406</v>
      </c>
      <c r="C2026" t="s">
        <v>456</v>
      </c>
      <c r="D2026" t="s">
        <v>457</v>
      </c>
      <c r="E2026" t="s">
        <v>458</v>
      </c>
      <c r="F2026" t="s">
        <v>413</v>
      </c>
      <c r="G2026">
        <v>5588</v>
      </c>
      <c r="H2026">
        <v>5588</v>
      </c>
      <c r="I2026">
        <v>5284</v>
      </c>
      <c r="J2026">
        <v>5284</v>
      </c>
      <c r="K2026">
        <v>1439</v>
      </c>
      <c r="L2026">
        <v>22</v>
      </c>
      <c r="M2026">
        <v>4008</v>
      </c>
      <c r="N2026">
        <v>86</v>
      </c>
      <c r="O2026">
        <v>33</v>
      </c>
      <c r="P2026">
        <v>29</v>
      </c>
      <c r="Q2026">
        <v>3</v>
      </c>
    </row>
    <row r="2027" spans="1:17" x14ac:dyDescent="0.2">
      <c r="A2027" s="121">
        <v>39964</v>
      </c>
      <c r="B2027" t="s">
        <v>406</v>
      </c>
      <c r="C2027" t="s">
        <v>456</v>
      </c>
      <c r="D2027" t="s">
        <v>459</v>
      </c>
      <c r="E2027" t="s">
        <v>460</v>
      </c>
      <c r="F2027" t="s">
        <v>413</v>
      </c>
      <c r="G2027">
        <v>1726</v>
      </c>
      <c r="H2027">
        <v>1726</v>
      </c>
      <c r="I2027">
        <v>1712</v>
      </c>
      <c r="J2027">
        <v>1712</v>
      </c>
      <c r="K2027">
        <v>446</v>
      </c>
      <c r="L2027">
        <v>0</v>
      </c>
      <c r="M2027">
        <v>1280</v>
      </c>
      <c r="N2027">
        <v>0</v>
      </c>
      <c r="O2027">
        <v>0</v>
      </c>
      <c r="P2027">
        <v>1</v>
      </c>
      <c r="Q2027">
        <v>1</v>
      </c>
    </row>
    <row r="2028" spans="1:17" x14ac:dyDescent="0.2">
      <c r="A2028" s="121">
        <v>39964</v>
      </c>
      <c r="B2028" t="s">
        <v>406</v>
      </c>
      <c r="C2028" t="s">
        <v>456</v>
      </c>
      <c r="D2028" t="s">
        <v>461</v>
      </c>
      <c r="E2028" t="s">
        <v>462</v>
      </c>
      <c r="F2028" t="s">
        <v>410</v>
      </c>
      <c r="G2028">
        <v>96</v>
      </c>
      <c r="I2028">
        <v>96</v>
      </c>
    </row>
    <row r="2029" spans="1:17" x14ac:dyDescent="0.2">
      <c r="A2029" s="121">
        <v>39964</v>
      </c>
      <c r="B2029" t="s">
        <v>406</v>
      </c>
      <c r="C2029" t="s">
        <v>456</v>
      </c>
      <c r="D2029" t="s">
        <v>463</v>
      </c>
      <c r="E2029" t="s">
        <v>464</v>
      </c>
      <c r="F2029" t="s">
        <v>410</v>
      </c>
      <c r="G2029">
        <v>38</v>
      </c>
      <c r="I2029">
        <v>38</v>
      </c>
    </row>
    <row r="2030" spans="1:17" x14ac:dyDescent="0.2">
      <c r="A2030" s="121">
        <v>39964</v>
      </c>
      <c r="B2030" t="s">
        <v>406</v>
      </c>
      <c r="C2030" t="s">
        <v>456</v>
      </c>
      <c r="D2030" t="s">
        <v>465</v>
      </c>
      <c r="E2030" t="s">
        <v>466</v>
      </c>
      <c r="F2030" t="s">
        <v>410</v>
      </c>
      <c r="G2030">
        <v>72</v>
      </c>
      <c r="I2030">
        <v>72</v>
      </c>
    </row>
    <row r="2031" spans="1:17" x14ac:dyDescent="0.2">
      <c r="A2031" s="121">
        <v>39964</v>
      </c>
      <c r="B2031" t="s">
        <v>406</v>
      </c>
      <c r="C2031" t="s">
        <v>456</v>
      </c>
      <c r="D2031" t="s">
        <v>467</v>
      </c>
      <c r="E2031" t="s">
        <v>468</v>
      </c>
      <c r="F2031" t="s">
        <v>410</v>
      </c>
      <c r="G2031">
        <v>1233</v>
      </c>
      <c r="I2031">
        <v>1233</v>
      </c>
    </row>
    <row r="2032" spans="1:17" x14ac:dyDescent="0.2">
      <c r="A2032" s="121">
        <v>39964</v>
      </c>
      <c r="B2032" t="s">
        <v>406</v>
      </c>
      <c r="C2032" t="s">
        <v>456</v>
      </c>
      <c r="D2032" t="s">
        <v>469</v>
      </c>
      <c r="E2032" t="s">
        <v>470</v>
      </c>
      <c r="F2032" t="s">
        <v>410</v>
      </c>
      <c r="G2032">
        <v>907</v>
      </c>
      <c r="I2032">
        <v>903</v>
      </c>
    </row>
    <row r="2033" spans="1:17" x14ac:dyDescent="0.2">
      <c r="A2033" s="121">
        <v>39964</v>
      </c>
      <c r="B2033" t="s">
        <v>406</v>
      </c>
      <c r="C2033" t="s">
        <v>456</v>
      </c>
      <c r="D2033" t="s">
        <v>471</v>
      </c>
      <c r="E2033" t="s">
        <v>472</v>
      </c>
      <c r="F2033" t="s">
        <v>410</v>
      </c>
      <c r="G2033">
        <v>225</v>
      </c>
      <c r="I2033">
        <v>225</v>
      </c>
    </row>
    <row r="2034" spans="1:17" x14ac:dyDescent="0.2">
      <c r="A2034" s="121">
        <v>39964</v>
      </c>
      <c r="B2034" t="s">
        <v>406</v>
      </c>
      <c r="C2034" t="s">
        <v>456</v>
      </c>
      <c r="D2034" t="s">
        <v>473</v>
      </c>
      <c r="E2034" t="s">
        <v>474</v>
      </c>
      <c r="F2034" t="s">
        <v>410</v>
      </c>
      <c r="G2034">
        <v>215</v>
      </c>
      <c r="I2034">
        <v>215</v>
      </c>
    </row>
    <row r="2035" spans="1:17" x14ac:dyDescent="0.2">
      <c r="A2035" s="121">
        <v>39964</v>
      </c>
      <c r="B2035" t="s">
        <v>406</v>
      </c>
      <c r="C2035" t="s">
        <v>456</v>
      </c>
      <c r="D2035" t="s">
        <v>475</v>
      </c>
      <c r="E2035" t="s">
        <v>476</v>
      </c>
      <c r="F2035" t="s">
        <v>410</v>
      </c>
      <c r="G2035">
        <v>340</v>
      </c>
      <c r="I2035">
        <v>340</v>
      </c>
    </row>
    <row r="2036" spans="1:17" x14ac:dyDescent="0.2">
      <c r="A2036" s="121">
        <v>39964</v>
      </c>
      <c r="B2036" t="s">
        <v>406</v>
      </c>
      <c r="C2036" t="s">
        <v>456</v>
      </c>
      <c r="D2036" t="s">
        <v>477</v>
      </c>
      <c r="E2036" t="s">
        <v>478</v>
      </c>
      <c r="F2036" t="s">
        <v>413</v>
      </c>
      <c r="G2036">
        <v>1896</v>
      </c>
      <c r="H2036">
        <v>1896</v>
      </c>
      <c r="I2036">
        <v>1832</v>
      </c>
      <c r="J2036">
        <v>1832</v>
      </c>
      <c r="K2036">
        <v>325</v>
      </c>
      <c r="L2036">
        <v>8</v>
      </c>
      <c r="M2036">
        <v>1449</v>
      </c>
      <c r="N2036">
        <v>91</v>
      </c>
      <c r="O2036">
        <v>23</v>
      </c>
      <c r="P2036">
        <v>5</v>
      </c>
      <c r="Q2036">
        <v>1</v>
      </c>
    </row>
    <row r="2037" spans="1:17" x14ac:dyDescent="0.2">
      <c r="A2037" s="121">
        <v>39964</v>
      </c>
      <c r="B2037" t="s">
        <v>406</v>
      </c>
      <c r="C2037" t="s">
        <v>456</v>
      </c>
      <c r="D2037" t="s">
        <v>479</v>
      </c>
      <c r="E2037" t="s">
        <v>480</v>
      </c>
      <c r="F2037" t="s">
        <v>410</v>
      </c>
      <c r="G2037">
        <v>79</v>
      </c>
      <c r="I2037">
        <v>79</v>
      </c>
    </row>
    <row r="2038" spans="1:17" x14ac:dyDescent="0.2">
      <c r="A2038" s="121">
        <v>39964</v>
      </c>
      <c r="B2038" t="s">
        <v>406</v>
      </c>
      <c r="C2038" t="s">
        <v>456</v>
      </c>
      <c r="D2038" t="s">
        <v>481</v>
      </c>
      <c r="E2038" t="s">
        <v>482</v>
      </c>
      <c r="F2038" t="s">
        <v>410</v>
      </c>
      <c r="G2038">
        <v>46</v>
      </c>
      <c r="I2038">
        <v>46</v>
      </c>
    </row>
    <row r="2039" spans="1:17" x14ac:dyDescent="0.2">
      <c r="A2039" s="121">
        <v>39964</v>
      </c>
      <c r="B2039" t="s">
        <v>406</v>
      </c>
      <c r="C2039" t="s">
        <v>456</v>
      </c>
      <c r="D2039" t="s">
        <v>483</v>
      </c>
      <c r="E2039" t="s">
        <v>484</v>
      </c>
      <c r="F2039" t="s">
        <v>410</v>
      </c>
      <c r="G2039">
        <v>125</v>
      </c>
      <c r="I2039">
        <v>125</v>
      </c>
    </row>
    <row r="2040" spans="1:17" x14ac:dyDescent="0.2">
      <c r="A2040" s="121">
        <v>39964</v>
      </c>
      <c r="B2040" t="s">
        <v>406</v>
      </c>
      <c r="C2040" t="s">
        <v>456</v>
      </c>
      <c r="D2040" t="s">
        <v>485</v>
      </c>
      <c r="E2040" t="s">
        <v>486</v>
      </c>
      <c r="F2040" t="s">
        <v>410</v>
      </c>
      <c r="G2040">
        <v>83</v>
      </c>
      <c r="I2040">
        <v>83</v>
      </c>
    </row>
    <row r="2041" spans="1:17" x14ac:dyDescent="0.2">
      <c r="A2041" s="121">
        <v>39964</v>
      </c>
      <c r="B2041" t="s">
        <v>406</v>
      </c>
      <c r="C2041" t="s">
        <v>456</v>
      </c>
      <c r="D2041" t="s">
        <v>487</v>
      </c>
      <c r="E2041" t="s">
        <v>488</v>
      </c>
      <c r="F2041" t="s">
        <v>410</v>
      </c>
      <c r="G2041">
        <v>37</v>
      </c>
      <c r="I2041">
        <v>37</v>
      </c>
    </row>
    <row r="2042" spans="1:17" x14ac:dyDescent="0.2">
      <c r="A2042" s="121">
        <v>39964</v>
      </c>
      <c r="B2042" t="s">
        <v>406</v>
      </c>
      <c r="C2042" t="s">
        <v>456</v>
      </c>
      <c r="D2042" t="s">
        <v>489</v>
      </c>
      <c r="E2042" t="s">
        <v>490</v>
      </c>
      <c r="F2042" t="s">
        <v>410</v>
      </c>
      <c r="G2042">
        <v>126</v>
      </c>
      <c r="H2042">
        <v>126</v>
      </c>
      <c r="I2042">
        <v>126</v>
      </c>
      <c r="J2042">
        <v>126</v>
      </c>
      <c r="K2042">
        <v>0</v>
      </c>
      <c r="L2042">
        <v>0</v>
      </c>
      <c r="M2042">
        <v>98</v>
      </c>
      <c r="N2042">
        <v>28</v>
      </c>
      <c r="O2042">
        <v>0</v>
      </c>
      <c r="P2042">
        <v>0</v>
      </c>
      <c r="Q2042">
        <v>0</v>
      </c>
    </row>
    <row r="2043" spans="1:17" x14ac:dyDescent="0.2">
      <c r="A2043" s="121">
        <v>39964</v>
      </c>
      <c r="B2043" t="s">
        <v>406</v>
      </c>
      <c r="C2043" t="s">
        <v>491</v>
      </c>
      <c r="D2043" t="s">
        <v>492</v>
      </c>
      <c r="E2043" t="s">
        <v>493</v>
      </c>
      <c r="F2043" t="s">
        <v>410</v>
      </c>
      <c r="G2043">
        <v>1437</v>
      </c>
      <c r="H2043">
        <v>1437</v>
      </c>
      <c r="I2043">
        <v>1428</v>
      </c>
      <c r="J2043">
        <v>1428</v>
      </c>
      <c r="K2043">
        <v>0</v>
      </c>
      <c r="L2043">
        <v>0</v>
      </c>
      <c r="M2043">
        <v>0</v>
      </c>
      <c r="N2043">
        <v>6</v>
      </c>
      <c r="O2043">
        <v>1431</v>
      </c>
      <c r="P2043">
        <v>0</v>
      </c>
      <c r="Q2043">
        <v>0</v>
      </c>
    </row>
    <row r="2044" spans="1:17" x14ac:dyDescent="0.2">
      <c r="A2044" s="121">
        <v>39964</v>
      </c>
      <c r="B2044" t="s">
        <v>406</v>
      </c>
      <c r="C2044" t="s">
        <v>491</v>
      </c>
      <c r="D2044" t="s">
        <v>494</v>
      </c>
      <c r="E2044" t="s">
        <v>495</v>
      </c>
      <c r="F2044" t="s">
        <v>413</v>
      </c>
      <c r="G2044">
        <v>2946</v>
      </c>
      <c r="H2044">
        <v>2946</v>
      </c>
      <c r="I2044">
        <v>2885</v>
      </c>
      <c r="J2044">
        <v>2885</v>
      </c>
      <c r="K2044">
        <v>0</v>
      </c>
      <c r="L2044">
        <v>0</v>
      </c>
      <c r="M2044">
        <v>5</v>
      </c>
      <c r="N2044">
        <v>26</v>
      </c>
      <c r="O2044">
        <v>2915</v>
      </c>
      <c r="P2044">
        <v>1</v>
      </c>
      <c r="Q2044">
        <v>1</v>
      </c>
    </row>
    <row r="2045" spans="1:17" x14ac:dyDescent="0.2">
      <c r="A2045" s="121">
        <v>39964</v>
      </c>
      <c r="B2045" t="s">
        <v>406</v>
      </c>
      <c r="C2045" t="s">
        <v>491</v>
      </c>
      <c r="D2045" t="s">
        <v>496</v>
      </c>
      <c r="E2045" t="s">
        <v>497</v>
      </c>
      <c r="F2045" t="s">
        <v>413</v>
      </c>
      <c r="G2045">
        <v>6326</v>
      </c>
      <c r="H2045">
        <v>6326</v>
      </c>
      <c r="I2045">
        <v>6122</v>
      </c>
      <c r="J2045">
        <v>6122</v>
      </c>
      <c r="K2045">
        <v>1687</v>
      </c>
      <c r="L2045">
        <v>0</v>
      </c>
      <c r="M2045">
        <v>15</v>
      </c>
      <c r="N2045">
        <v>73</v>
      </c>
      <c r="O2045">
        <v>4551</v>
      </c>
      <c r="P2045">
        <v>2</v>
      </c>
      <c r="Q2045">
        <v>0</v>
      </c>
    </row>
    <row r="2046" spans="1:17" x14ac:dyDescent="0.2">
      <c r="A2046" s="121">
        <v>39964</v>
      </c>
      <c r="B2046" t="s">
        <v>406</v>
      </c>
      <c r="C2046" t="s">
        <v>491</v>
      </c>
      <c r="D2046" t="s">
        <v>498</v>
      </c>
      <c r="E2046" t="s">
        <v>499</v>
      </c>
      <c r="F2046" t="s">
        <v>413</v>
      </c>
      <c r="G2046">
        <v>6541</v>
      </c>
      <c r="H2046">
        <v>6541</v>
      </c>
      <c r="I2046">
        <v>6383</v>
      </c>
      <c r="J2046">
        <v>6383</v>
      </c>
      <c r="K2046">
        <v>1990</v>
      </c>
      <c r="L2046">
        <v>8</v>
      </c>
      <c r="M2046">
        <v>4070</v>
      </c>
      <c r="N2046">
        <v>153</v>
      </c>
      <c r="O2046">
        <v>320</v>
      </c>
      <c r="P2046">
        <v>3</v>
      </c>
      <c r="Q2046">
        <v>0</v>
      </c>
    </row>
    <row r="2047" spans="1:17" x14ac:dyDescent="0.2">
      <c r="A2047" s="121">
        <v>39964</v>
      </c>
      <c r="B2047" t="s">
        <v>406</v>
      </c>
      <c r="C2047" t="s">
        <v>491</v>
      </c>
      <c r="D2047" t="s">
        <v>500</v>
      </c>
      <c r="E2047" t="s">
        <v>501</v>
      </c>
      <c r="F2047" t="s">
        <v>413</v>
      </c>
      <c r="G2047">
        <v>3792</v>
      </c>
      <c r="H2047">
        <v>3792</v>
      </c>
      <c r="I2047">
        <v>3769</v>
      </c>
      <c r="J2047">
        <v>3769</v>
      </c>
      <c r="K2047">
        <v>958</v>
      </c>
      <c r="L2047">
        <v>0</v>
      </c>
      <c r="M2047">
        <v>2622</v>
      </c>
      <c r="N2047">
        <v>51</v>
      </c>
      <c r="O2047">
        <v>161</v>
      </c>
      <c r="P2047">
        <v>0</v>
      </c>
      <c r="Q2047">
        <v>0</v>
      </c>
    </row>
    <row r="2048" spans="1:17" x14ac:dyDescent="0.2">
      <c r="A2048" s="121">
        <v>39964</v>
      </c>
      <c r="B2048" t="s">
        <v>406</v>
      </c>
      <c r="C2048" t="s">
        <v>491</v>
      </c>
      <c r="D2048" t="s">
        <v>502</v>
      </c>
      <c r="E2048" t="s">
        <v>503</v>
      </c>
      <c r="F2048" t="s">
        <v>413</v>
      </c>
      <c r="G2048">
        <v>6000</v>
      </c>
      <c r="H2048">
        <v>6000</v>
      </c>
      <c r="I2048">
        <v>5919</v>
      </c>
      <c r="J2048">
        <v>5919</v>
      </c>
      <c r="K2048">
        <v>1569</v>
      </c>
      <c r="L2048">
        <v>12</v>
      </c>
      <c r="M2048">
        <v>4221</v>
      </c>
      <c r="N2048">
        <v>133</v>
      </c>
      <c r="O2048">
        <v>65</v>
      </c>
      <c r="P2048">
        <v>3</v>
      </c>
      <c r="Q2048">
        <v>2</v>
      </c>
    </row>
    <row r="2049" spans="1:17" x14ac:dyDescent="0.2">
      <c r="A2049" s="121">
        <v>39964</v>
      </c>
      <c r="B2049" t="s">
        <v>406</v>
      </c>
      <c r="C2049" t="s">
        <v>491</v>
      </c>
      <c r="D2049" t="s">
        <v>504</v>
      </c>
      <c r="E2049" t="s">
        <v>505</v>
      </c>
      <c r="F2049" t="s">
        <v>413</v>
      </c>
      <c r="G2049">
        <v>4316</v>
      </c>
      <c r="H2049">
        <v>4316</v>
      </c>
      <c r="I2049">
        <v>4238</v>
      </c>
      <c r="J2049">
        <v>4238</v>
      </c>
      <c r="K2049">
        <v>1242</v>
      </c>
      <c r="L2049">
        <v>6</v>
      </c>
      <c r="M2049">
        <v>2909</v>
      </c>
      <c r="N2049">
        <v>82</v>
      </c>
      <c r="O2049">
        <v>77</v>
      </c>
      <c r="P2049">
        <v>1</v>
      </c>
      <c r="Q2049">
        <v>0</v>
      </c>
    </row>
    <row r="2050" spans="1:17" x14ac:dyDescent="0.2">
      <c r="A2050" s="121">
        <v>39964</v>
      </c>
      <c r="B2050" t="s">
        <v>406</v>
      </c>
      <c r="C2050" t="s">
        <v>491</v>
      </c>
      <c r="D2050" t="s">
        <v>506</v>
      </c>
      <c r="E2050" t="s">
        <v>507</v>
      </c>
      <c r="F2050" t="s">
        <v>413</v>
      </c>
      <c r="G2050">
        <v>3967</v>
      </c>
      <c r="H2050">
        <v>3967</v>
      </c>
      <c r="I2050">
        <v>3928</v>
      </c>
      <c r="J2050">
        <v>3928</v>
      </c>
      <c r="K2050">
        <v>536</v>
      </c>
      <c r="L2050">
        <v>0</v>
      </c>
      <c r="M2050">
        <v>3419</v>
      </c>
      <c r="N2050">
        <v>0</v>
      </c>
      <c r="O2050">
        <v>12</v>
      </c>
      <c r="P2050">
        <v>0</v>
      </c>
      <c r="Q2050">
        <v>0</v>
      </c>
    </row>
    <row r="2051" spans="1:17" x14ac:dyDescent="0.2">
      <c r="A2051" s="121">
        <v>39964</v>
      </c>
      <c r="B2051" t="s">
        <v>406</v>
      </c>
      <c r="C2051" t="s">
        <v>491</v>
      </c>
      <c r="D2051" t="s">
        <v>508</v>
      </c>
      <c r="E2051" t="s">
        <v>509</v>
      </c>
      <c r="F2051" t="s">
        <v>413</v>
      </c>
      <c r="G2051">
        <v>5215</v>
      </c>
      <c r="H2051">
        <v>5215</v>
      </c>
      <c r="I2051">
        <v>5025</v>
      </c>
      <c r="J2051">
        <v>5025</v>
      </c>
      <c r="K2051">
        <v>1758</v>
      </c>
      <c r="L2051">
        <v>5</v>
      </c>
      <c r="M2051">
        <v>2961</v>
      </c>
      <c r="N2051">
        <v>166</v>
      </c>
      <c r="O2051">
        <v>325</v>
      </c>
      <c r="P2051">
        <v>2</v>
      </c>
      <c r="Q2051">
        <v>0</v>
      </c>
    </row>
    <row r="2052" spans="1:17" x14ac:dyDescent="0.2">
      <c r="A2052" s="121">
        <v>39964</v>
      </c>
      <c r="B2052" t="s">
        <v>406</v>
      </c>
      <c r="C2052" t="s">
        <v>510</v>
      </c>
      <c r="D2052" t="s">
        <v>511</v>
      </c>
      <c r="E2052" t="s">
        <v>512</v>
      </c>
      <c r="F2052" t="s">
        <v>410</v>
      </c>
      <c r="G2052">
        <v>509</v>
      </c>
      <c r="I2052">
        <v>506</v>
      </c>
    </row>
    <row r="2053" spans="1:17" x14ac:dyDescent="0.2">
      <c r="A2053" s="121">
        <v>39964</v>
      </c>
      <c r="B2053" t="s">
        <v>406</v>
      </c>
      <c r="C2053" t="s">
        <v>510</v>
      </c>
      <c r="D2053" t="s">
        <v>513</v>
      </c>
      <c r="E2053" t="s">
        <v>514</v>
      </c>
      <c r="F2053" t="s">
        <v>410</v>
      </c>
      <c r="G2053">
        <v>653</v>
      </c>
      <c r="I2053">
        <v>651</v>
      </c>
    </row>
    <row r="2054" spans="1:17" x14ac:dyDescent="0.2">
      <c r="A2054" s="121">
        <v>39964</v>
      </c>
      <c r="B2054" t="s">
        <v>406</v>
      </c>
      <c r="C2054" t="s">
        <v>510</v>
      </c>
      <c r="D2054" t="s">
        <v>515</v>
      </c>
      <c r="E2054" t="s">
        <v>516</v>
      </c>
      <c r="F2054" t="s">
        <v>410</v>
      </c>
      <c r="G2054">
        <v>96</v>
      </c>
      <c r="I2054">
        <v>95</v>
      </c>
    </row>
    <row r="2055" spans="1:17" x14ac:dyDescent="0.2">
      <c r="A2055" s="121">
        <v>39964</v>
      </c>
      <c r="B2055" t="s">
        <v>406</v>
      </c>
      <c r="C2055" t="s">
        <v>510</v>
      </c>
      <c r="D2055" t="s">
        <v>517</v>
      </c>
      <c r="E2055" t="s">
        <v>518</v>
      </c>
      <c r="F2055" t="s">
        <v>410</v>
      </c>
      <c r="G2055">
        <v>359</v>
      </c>
      <c r="I2055">
        <v>350</v>
      </c>
    </row>
    <row r="2056" spans="1:17" x14ac:dyDescent="0.2">
      <c r="A2056" s="121">
        <v>39964</v>
      </c>
      <c r="B2056" t="s">
        <v>406</v>
      </c>
      <c r="C2056" t="s">
        <v>510</v>
      </c>
      <c r="D2056" t="s">
        <v>519</v>
      </c>
      <c r="E2056" t="s">
        <v>520</v>
      </c>
      <c r="F2056" t="s">
        <v>410</v>
      </c>
      <c r="G2056">
        <v>428</v>
      </c>
      <c r="I2056">
        <v>421</v>
      </c>
    </row>
    <row r="2057" spans="1:17" x14ac:dyDescent="0.2">
      <c r="A2057" s="121">
        <v>39964</v>
      </c>
      <c r="B2057" t="s">
        <v>406</v>
      </c>
      <c r="C2057" t="s">
        <v>510</v>
      </c>
      <c r="D2057" t="s">
        <v>521</v>
      </c>
      <c r="E2057" t="s">
        <v>522</v>
      </c>
      <c r="F2057" t="s">
        <v>410</v>
      </c>
      <c r="G2057">
        <v>73</v>
      </c>
      <c r="I2057">
        <v>73</v>
      </c>
    </row>
    <row r="2058" spans="1:17" x14ac:dyDescent="0.2">
      <c r="A2058" s="121">
        <v>39964</v>
      </c>
      <c r="B2058" t="s">
        <v>406</v>
      </c>
      <c r="C2058" t="s">
        <v>510</v>
      </c>
      <c r="D2058" t="s">
        <v>523</v>
      </c>
      <c r="E2058" t="s">
        <v>524</v>
      </c>
      <c r="F2058" t="s">
        <v>413</v>
      </c>
      <c r="G2058">
        <v>558</v>
      </c>
      <c r="I2058">
        <v>554</v>
      </c>
    </row>
    <row r="2059" spans="1:17" x14ac:dyDescent="0.2">
      <c r="A2059" s="121">
        <v>39964</v>
      </c>
      <c r="B2059" t="s">
        <v>406</v>
      </c>
      <c r="C2059" t="s">
        <v>510</v>
      </c>
      <c r="D2059" t="s">
        <v>527</v>
      </c>
      <c r="E2059" t="s">
        <v>528</v>
      </c>
      <c r="F2059" t="s">
        <v>410</v>
      </c>
      <c r="G2059">
        <v>251</v>
      </c>
      <c r="I2059">
        <v>250</v>
      </c>
    </row>
    <row r="2060" spans="1:17" x14ac:dyDescent="0.2">
      <c r="A2060" s="121">
        <v>39964</v>
      </c>
      <c r="B2060" t="s">
        <v>406</v>
      </c>
      <c r="C2060" t="s">
        <v>510</v>
      </c>
      <c r="D2060" t="s">
        <v>529</v>
      </c>
      <c r="E2060" t="s">
        <v>530</v>
      </c>
      <c r="F2060" t="s">
        <v>413</v>
      </c>
      <c r="G2060">
        <v>545</v>
      </c>
      <c r="I2060">
        <v>540</v>
      </c>
    </row>
    <row r="2061" spans="1:17" x14ac:dyDescent="0.2">
      <c r="A2061" s="121">
        <v>39964</v>
      </c>
      <c r="B2061" t="s">
        <v>406</v>
      </c>
      <c r="C2061" t="s">
        <v>510</v>
      </c>
      <c r="D2061" t="s">
        <v>531</v>
      </c>
      <c r="E2061" t="s">
        <v>532</v>
      </c>
      <c r="F2061" t="s">
        <v>410</v>
      </c>
      <c r="G2061">
        <v>58</v>
      </c>
      <c r="I2061">
        <v>56</v>
      </c>
    </row>
    <row r="2062" spans="1:17" x14ac:dyDescent="0.2">
      <c r="A2062" s="121">
        <v>39964</v>
      </c>
      <c r="B2062" t="s">
        <v>406</v>
      </c>
      <c r="C2062" t="s">
        <v>510</v>
      </c>
      <c r="D2062" t="s">
        <v>533</v>
      </c>
      <c r="E2062" t="s">
        <v>534</v>
      </c>
      <c r="F2062" t="s">
        <v>413</v>
      </c>
      <c r="G2062">
        <v>2695</v>
      </c>
      <c r="H2062">
        <v>2695</v>
      </c>
      <c r="I2062">
        <v>2695</v>
      </c>
      <c r="J2062">
        <v>2695</v>
      </c>
      <c r="K2062">
        <v>495</v>
      </c>
      <c r="L2062">
        <v>26</v>
      </c>
      <c r="M2062">
        <v>2174</v>
      </c>
      <c r="N2062">
        <v>0</v>
      </c>
      <c r="O2062">
        <v>0</v>
      </c>
      <c r="P2062">
        <v>0</v>
      </c>
      <c r="Q2062">
        <v>0</v>
      </c>
    </row>
    <row r="2063" spans="1:17" x14ac:dyDescent="0.2">
      <c r="A2063" s="121">
        <v>39964</v>
      </c>
      <c r="B2063" t="s">
        <v>406</v>
      </c>
      <c r="C2063" t="s">
        <v>510</v>
      </c>
      <c r="D2063" t="s">
        <v>535</v>
      </c>
      <c r="E2063" t="s">
        <v>536</v>
      </c>
      <c r="F2063" t="s">
        <v>410</v>
      </c>
      <c r="G2063">
        <v>219</v>
      </c>
      <c r="I2063">
        <v>219</v>
      </c>
    </row>
    <row r="2064" spans="1:17" x14ac:dyDescent="0.2">
      <c r="A2064" s="121">
        <v>39964</v>
      </c>
      <c r="B2064" t="s">
        <v>406</v>
      </c>
      <c r="C2064" t="s">
        <v>510</v>
      </c>
      <c r="D2064" t="s">
        <v>537</v>
      </c>
      <c r="E2064" t="s">
        <v>538</v>
      </c>
      <c r="F2064" t="s">
        <v>410</v>
      </c>
      <c r="G2064">
        <v>100</v>
      </c>
      <c r="I2064">
        <v>100</v>
      </c>
    </row>
    <row r="2065" spans="1:17" x14ac:dyDescent="0.2">
      <c r="A2065" s="121">
        <v>39964</v>
      </c>
      <c r="B2065" t="s">
        <v>406</v>
      </c>
      <c r="C2065" t="s">
        <v>510</v>
      </c>
      <c r="D2065" t="s">
        <v>539</v>
      </c>
      <c r="E2065" t="s">
        <v>540</v>
      </c>
      <c r="F2065" t="s">
        <v>413</v>
      </c>
      <c r="G2065">
        <v>914</v>
      </c>
      <c r="I2065">
        <v>904</v>
      </c>
    </row>
    <row r="2066" spans="1:17" x14ac:dyDescent="0.2">
      <c r="A2066" s="121">
        <v>39964</v>
      </c>
      <c r="B2066" t="s">
        <v>406</v>
      </c>
      <c r="C2066" t="s">
        <v>510</v>
      </c>
      <c r="D2066" t="s">
        <v>541</v>
      </c>
      <c r="E2066" t="s">
        <v>542</v>
      </c>
      <c r="F2066" t="s">
        <v>410</v>
      </c>
      <c r="G2066">
        <v>489</v>
      </c>
      <c r="I2066">
        <v>475</v>
      </c>
    </row>
    <row r="2067" spans="1:17" x14ac:dyDescent="0.2">
      <c r="A2067" s="121">
        <v>39964</v>
      </c>
      <c r="B2067" t="s">
        <v>406</v>
      </c>
      <c r="C2067" t="s">
        <v>510</v>
      </c>
      <c r="D2067" t="s">
        <v>543</v>
      </c>
      <c r="E2067" t="s">
        <v>544</v>
      </c>
      <c r="F2067" t="s">
        <v>410</v>
      </c>
      <c r="G2067">
        <v>355</v>
      </c>
      <c r="I2067">
        <v>341</v>
      </c>
    </row>
    <row r="2068" spans="1:17" x14ac:dyDescent="0.2">
      <c r="A2068" s="121">
        <v>39964</v>
      </c>
      <c r="B2068" t="s">
        <v>406</v>
      </c>
      <c r="C2068" t="s">
        <v>510</v>
      </c>
      <c r="D2068" t="s">
        <v>545</v>
      </c>
      <c r="E2068" t="s">
        <v>546</v>
      </c>
      <c r="F2068" t="s">
        <v>410</v>
      </c>
      <c r="G2068">
        <v>183</v>
      </c>
      <c r="I2068">
        <v>183</v>
      </c>
    </row>
    <row r="2069" spans="1:17" x14ac:dyDescent="0.2">
      <c r="A2069" s="121">
        <v>39964</v>
      </c>
      <c r="B2069" t="s">
        <v>406</v>
      </c>
      <c r="C2069" t="s">
        <v>510</v>
      </c>
      <c r="D2069" t="s">
        <v>547</v>
      </c>
      <c r="E2069" t="s">
        <v>548</v>
      </c>
      <c r="F2069" t="s">
        <v>410</v>
      </c>
      <c r="G2069">
        <v>140</v>
      </c>
      <c r="I2069">
        <v>140</v>
      </c>
    </row>
    <row r="2070" spans="1:17" x14ac:dyDescent="0.2">
      <c r="A2070" s="121">
        <v>39964</v>
      </c>
      <c r="B2070" t="s">
        <v>406</v>
      </c>
      <c r="C2070" t="s">
        <v>510</v>
      </c>
      <c r="D2070" t="s">
        <v>549</v>
      </c>
      <c r="E2070" t="s">
        <v>550</v>
      </c>
      <c r="F2070" t="s">
        <v>410</v>
      </c>
      <c r="G2070">
        <v>156</v>
      </c>
      <c r="I2070">
        <v>156</v>
      </c>
    </row>
    <row r="2071" spans="1:17" x14ac:dyDescent="0.2">
      <c r="A2071" s="121">
        <v>39964</v>
      </c>
      <c r="B2071" t="s">
        <v>406</v>
      </c>
      <c r="C2071" t="s">
        <v>551</v>
      </c>
      <c r="D2071" t="s">
        <v>552</v>
      </c>
      <c r="E2071" t="s">
        <v>553</v>
      </c>
      <c r="F2071" t="s">
        <v>413</v>
      </c>
      <c r="G2071">
        <v>6216</v>
      </c>
      <c r="H2071">
        <v>6216</v>
      </c>
      <c r="I2071">
        <v>6071</v>
      </c>
      <c r="J2071">
        <v>6071</v>
      </c>
      <c r="K2071">
        <v>1711</v>
      </c>
      <c r="L2071">
        <v>11</v>
      </c>
      <c r="M2071">
        <v>4454</v>
      </c>
      <c r="N2071">
        <v>17</v>
      </c>
      <c r="O2071">
        <v>23</v>
      </c>
      <c r="P2071">
        <v>13</v>
      </c>
      <c r="Q2071">
        <v>8</v>
      </c>
    </row>
    <row r="2072" spans="1:17" x14ac:dyDescent="0.2">
      <c r="A2072" s="121">
        <v>39964</v>
      </c>
      <c r="B2072" t="s">
        <v>406</v>
      </c>
      <c r="C2072" t="s">
        <v>551</v>
      </c>
      <c r="D2072" t="s">
        <v>554</v>
      </c>
      <c r="E2072" t="s">
        <v>555</v>
      </c>
      <c r="F2072" t="s">
        <v>410</v>
      </c>
      <c r="G2072">
        <v>131</v>
      </c>
      <c r="I2072">
        <v>131</v>
      </c>
    </row>
    <row r="2073" spans="1:17" x14ac:dyDescent="0.2">
      <c r="A2073" s="121">
        <v>39964</v>
      </c>
      <c r="B2073" t="s">
        <v>406</v>
      </c>
      <c r="C2073" t="s">
        <v>551</v>
      </c>
      <c r="D2073" t="s">
        <v>556</v>
      </c>
      <c r="E2073" t="s">
        <v>557</v>
      </c>
      <c r="F2073" t="s">
        <v>410</v>
      </c>
      <c r="G2073">
        <v>189</v>
      </c>
      <c r="I2073">
        <v>189</v>
      </c>
    </row>
    <row r="2074" spans="1:17" x14ac:dyDescent="0.2">
      <c r="A2074" s="121">
        <v>39964</v>
      </c>
      <c r="B2074" t="s">
        <v>406</v>
      </c>
      <c r="C2074" t="s">
        <v>551</v>
      </c>
      <c r="D2074" t="s">
        <v>558</v>
      </c>
      <c r="E2074" t="s">
        <v>559</v>
      </c>
      <c r="F2074" t="s">
        <v>413</v>
      </c>
      <c r="G2074">
        <v>5121</v>
      </c>
      <c r="H2074">
        <v>5121</v>
      </c>
      <c r="I2074">
        <v>5021</v>
      </c>
      <c r="J2074">
        <v>5021</v>
      </c>
      <c r="K2074">
        <v>1190</v>
      </c>
      <c r="L2074">
        <v>7</v>
      </c>
      <c r="M2074">
        <v>3882</v>
      </c>
      <c r="N2074">
        <v>12</v>
      </c>
      <c r="O2074">
        <v>30</v>
      </c>
      <c r="P2074">
        <v>2</v>
      </c>
      <c r="Q2074">
        <v>0</v>
      </c>
    </row>
    <row r="2075" spans="1:17" x14ac:dyDescent="0.2">
      <c r="A2075" s="121">
        <v>39964</v>
      </c>
      <c r="B2075" t="s">
        <v>406</v>
      </c>
      <c r="C2075" t="s">
        <v>551</v>
      </c>
      <c r="D2075" t="s">
        <v>560</v>
      </c>
      <c r="E2075" t="s">
        <v>561</v>
      </c>
      <c r="F2075" t="s">
        <v>413</v>
      </c>
      <c r="G2075">
        <v>6285</v>
      </c>
      <c r="H2075">
        <v>6285</v>
      </c>
      <c r="I2075">
        <v>6194</v>
      </c>
      <c r="J2075">
        <v>6194</v>
      </c>
      <c r="K2075">
        <v>1344</v>
      </c>
      <c r="L2075">
        <v>5</v>
      </c>
      <c r="M2075">
        <v>4899</v>
      </c>
      <c r="N2075">
        <v>12</v>
      </c>
      <c r="O2075">
        <v>25</v>
      </c>
      <c r="P2075">
        <v>4</v>
      </c>
      <c r="Q2075">
        <v>0</v>
      </c>
    </row>
    <row r="2076" spans="1:17" x14ac:dyDescent="0.2">
      <c r="A2076" s="121">
        <v>39964</v>
      </c>
      <c r="B2076" t="s">
        <v>406</v>
      </c>
      <c r="C2076" t="s">
        <v>562</v>
      </c>
      <c r="D2076" t="s">
        <v>603</v>
      </c>
      <c r="E2076" t="s">
        <v>604</v>
      </c>
      <c r="F2076" t="s">
        <v>410</v>
      </c>
      <c r="G2076">
        <v>26</v>
      </c>
      <c r="I2076">
        <v>26</v>
      </c>
    </row>
    <row r="2077" spans="1:17" x14ac:dyDescent="0.2">
      <c r="A2077" s="121">
        <v>39964</v>
      </c>
      <c r="B2077" t="s">
        <v>406</v>
      </c>
      <c r="C2077" t="s">
        <v>562</v>
      </c>
      <c r="D2077" t="s">
        <v>605</v>
      </c>
      <c r="E2077" t="s">
        <v>606</v>
      </c>
      <c r="F2077" t="s">
        <v>410</v>
      </c>
      <c r="G2077">
        <v>136</v>
      </c>
      <c r="I2077">
        <v>136</v>
      </c>
    </row>
    <row r="2078" spans="1:17" x14ac:dyDescent="0.2">
      <c r="A2078" s="121">
        <v>39964</v>
      </c>
      <c r="B2078" t="s">
        <v>406</v>
      </c>
      <c r="C2078" t="s">
        <v>562</v>
      </c>
      <c r="D2078" t="s">
        <v>563</v>
      </c>
      <c r="E2078" t="s">
        <v>564</v>
      </c>
      <c r="F2078" t="s">
        <v>410</v>
      </c>
      <c r="G2078">
        <v>3007</v>
      </c>
      <c r="H2078">
        <v>3007</v>
      </c>
      <c r="I2078">
        <v>2980</v>
      </c>
      <c r="J2078">
        <v>2980</v>
      </c>
      <c r="K2078">
        <v>952</v>
      </c>
      <c r="L2078">
        <v>2</v>
      </c>
      <c r="M2078">
        <v>2038</v>
      </c>
      <c r="N2078">
        <v>15</v>
      </c>
      <c r="O2078">
        <v>0</v>
      </c>
      <c r="P2078">
        <v>0</v>
      </c>
      <c r="Q2078">
        <v>0</v>
      </c>
    </row>
    <row r="2079" spans="1:17" x14ac:dyDescent="0.2">
      <c r="A2079" s="121">
        <v>39964</v>
      </c>
      <c r="B2079" t="s">
        <v>406</v>
      </c>
      <c r="C2079" t="s">
        <v>562</v>
      </c>
      <c r="D2079" t="s">
        <v>565</v>
      </c>
      <c r="E2079" t="s">
        <v>566</v>
      </c>
      <c r="F2079" t="s">
        <v>413</v>
      </c>
      <c r="G2079">
        <v>4450</v>
      </c>
      <c r="H2079">
        <v>4450</v>
      </c>
      <c r="I2079">
        <v>4362</v>
      </c>
      <c r="J2079">
        <v>4362</v>
      </c>
      <c r="K2079">
        <v>976</v>
      </c>
      <c r="L2079">
        <v>4</v>
      </c>
      <c r="M2079">
        <v>3354</v>
      </c>
      <c r="N2079">
        <v>116</v>
      </c>
      <c r="O2079">
        <v>0</v>
      </c>
      <c r="P2079">
        <v>13</v>
      </c>
      <c r="Q2079">
        <v>6</v>
      </c>
    </row>
    <row r="2080" spans="1:17" x14ac:dyDescent="0.2">
      <c r="A2080" s="121">
        <v>39964</v>
      </c>
      <c r="B2080" t="s">
        <v>406</v>
      </c>
      <c r="C2080" t="s">
        <v>562</v>
      </c>
      <c r="D2080" t="s">
        <v>567</v>
      </c>
      <c r="E2080" t="s">
        <v>568</v>
      </c>
      <c r="F2080" t="s">
        <v>413</v>
      </c>
      <c r="G2080">
        <v>9479</v>
      </c>
      <c r="H2080">
        <v>9479</v>
      </c>
      <c r="I2080">
        <v>8913</v>
      </c>
      <c r="J2080">
        <v>8913</v>
      </c>
      <c r="K2080">
        <v>2652</v>
      </c>
      <c r="L2080">
        <v>26</v>
      </c>
      <c r="M2080">
        <v>6447</v>
      </c>
      <c r="N2080">
        <v>354</v>
      </c>
      <c r="O2080">
        <v>0</v>
      </c>
      <c r="P2080">
        <v>66</v>
      </c>
      <c r="Q2080">
        <v>6</v>
      </c>
    </row>
    <row r="2081" spans="1:17" x14ac:dyDescent="0.2">
      <c r="A2081" s="121">
        <v>39964</v>
      </c>
      <c r="B2081" t="s">
        <v>406</v>
      </c>
      <c r="C2081" t="s">
        <v>562</v>
      </c>
      <c r="D2081" t="s">
        <v>569</v>
      </c>
      <c r="E2081" t="s">
        <v>570</v>
      </c>
      <c r="F2081" t="s">
        <v>413</v>
      </c>
      <c r="G2081">
        <v>3419</v>
      </c>
      <c r="H2081">
        <v>3419</v>
      </c>
      <c r="I2081">
        <v>3402</v>
      </c>
      <c r="J2081">
        <v>3402</v>
      </c>
      <c r="K2081">
        <v>454</v>
      </c>
      <c r="L2081">
        <v>1</v>
      </c>
      <c r="M2081">
        <v>2964</v>
      </c>
      <c r="N2081">
        <v>0</v>
      </c>
      <c r="O2081">
        <v>0</v>
      </c>
      <c r="P2081">
        <v>0</v>
      </c>
      <c r="Q2081">
        <v>0</v>
      </c>
    </row>
    <row r="2082" spans="1:17" x14ac:dyDescent="0.2">
      <c r="A2082" s="121">
        <v>39964</v>
      </c>
      <c r="B2082" t="s">
        <v>406</v>
      </c>
      <c r="C2082" t="s">
        <v>571</v>
      </c>
      <c r="D2082" t="s">
        <v>572</v>
      </c>
      <c r="E2082" t="s">
        <v>573</v>
      </c>
      <c r="F2082" t="s">
        <v>410</v>
      </c>
      <c r="G2082">
        <v>337</v>
      </c>
      <c r="I2082">
        <v>336</v>
      </c>
    </row>
    <row r="2083" spans="1:17" x14ac:dyDescent="0.2">
      <c r="A2083" s="121">
        <v>39964</v>
      </c>
      <c r="B2083" t="s">
        <v>406</v>
      </c>
      <c r="C2083" t="s">
        <v>574</v>
      </c>
      <c r="D2083" t="s">
        <v>575</v>
      </c>
      <c r="E2083" t="s">
        <v>576</v>
      </c>
      <c r="F2083" t="s">
        <v>413</v>
      </c>
      <c r="G2083">
        <v>787</v>
      </c>
      <c r="H2083">
        <v>787</v>
      </c>
      <c r="I2083">
        <v>784</v>
      </c>
      <c r="J2083">
        <v>784</v>
      </c>
      <c r="K2083">
        <v>132</v>
      </c>
      <c r="L2083">
        <v>1</v>
      </c>
      <c r="M2083">
        <v>621</v>
      </c>
      <c r="N2083">
        <v>3</v>
      </c>
      <c r="O2083">
        <v>30</v>
      </c>
      <c r="P2083">
        <v>0</v>
      </c>
      <c r="Q2083">
        <v>0</v>
      </c>
    </row>
    <row r="2084" spans="1:17" x14ac:dyDescent="0.2">
      <c r="A2084" s="121">
        <v>39964</v>
      </c>
      <c r="B2084" t="s">
        <v>406</v>
      </c>
      <c r="C2084" t="s">
        <v>577</v>
      </c>
      <c r="D2084" t="s">
        <v>578</v>
      </c>
      <c r="E2084" t="s">
        <v>579</v>
      </c>
      <c r="F2084" t="s">
        <v>413</v>
      </c>
      <c r="G2084">
        <v>4252</v>
      </c>
      <c r="H2084">
        <v>4252</v>
      </c>
      <c r="I2084">
        <v>4200</v>
      </c>
      <c r="J2084">
        <v>4200</v>
      </c>
      <c r="K2084">
        <v>936</v>
      </c>
      <c r="L2084">
        <v>15</v>
      </c>
      <c r="M2084">
        <v>3255</v>
      </c>
      <c r="N2084">
        <v>46</v>
      </c>
      <c r="O2084">
        <v>0</v>
      </c>
      <c r="P2084">
        <v>1</v>
      </c>
      <c r="Q2084">
        <v>0</v>
      </c>
    </row>
    <row r="2085" spans="1:17" x14ac:dyDescent="0.2">
      <c r="A2085" s="121">
        <v>39964</v>
      </c>
      <c r="B2085" t="s">
        <v>406</v>
      </c>
      <c r="C2085" t="s">
        <v>577</v>
      </c>
      <c r="D2085" t="s">
        <v>580</v>
      </c>
      <c r="E2085" t="s">
        <v>581</v>
      </c>
      <c r="F2085" t="s">
        <v>413</v>
      </c>
      <c r="G2085">
        <v>2202</v>
      </c>
      <c r="H2085">
        <v>2202</v>
      </c>
      <c r="I2085">
        <v>2183</v>
      </c>
      <c r="J2085">
        <v>2183</v>
      </c>
      <c r="K2085">
        <v>430</v>
      </c>
      <c r="L2085">
        <v>1</v>
      </c>
      <c r="M2085">
        <v>1568</v>
      </c>
      <c r="N2085">
        <v>52</v>
      </c>
      <c r="O2085">
        <v>151</v>
      </c>
      <c r="P2085">
        <v>0</v>
      </c>
      <c r="Q2085">
        <v>0</v>
      </c>
    </row>
    <row r="2086" spans="1:17" x14ac:dyDescent="0.2">
      <c r="A2086" s="121">
        <v>39964</v>
      </c>
      <c r="B2086" t="s">
        <v>406</v>
      </c>
      <c r="C2086" t="s">
        <v>577</v>
      </c>
      <c r="D2086" t="s">
        <v>609</v>
      </c>
      <c r="E2086" t="s">
        <v>610</v>
      </c>
      <c r="F2086" t="s">
        <v>410</v>
      </c>
      <c r="G2086">
        <v>37</v>
      </c>
      <c r="H2086">
        <v>37</v>
      </c>
      <c r="I2086">
        <v>37</v>
      </c>
      <c r="J2086">
        <v>37</v>
      </c>
      <c r="K2086">
        <v>5</v>
      </c>
      <c r="L2086">
        <v>0</v>
      </c>
      <c r="M2086">
        <v>23</v>
      </c>
      <c r="N2086">
        <v>0</v>
      </c>
      <c r="O2086">
        <v>9</v>
      </c>
      <c r="P2086">
        <v>0</v>
      </c>
      <c r="Q2086">
        <v>0</v>
      </c>
    </row>
    <row r="2087" spans="1:17" x14ac:dyDescent="0.2">
      <c r="A2087" s="121">
        <v>39964</v>
      </c>
      <c r="B2087" t="s">
        <v>406</v>
      </c>
      <c r="C2087" t="s">
        <v>577</v>
      </c>
      <c r="D2087" t="s">
        <v>611</v>
      </c>
      <c r="E2087" t="s">
        <v>612</v>
      </c>
      <c r="F2087" t="s">
        <v>410</v>
      </c>
      <c r="G2087">
        <v>21</v>
      </c>
      <c r="H2087">
        <v>21</v>
      </c>
      <c r="I2087">
        <v>21</v>
      </c>
      <c r="J2087">
        <v>21</v>
      </c>
      <c r="K2087">
        <v>0</v>
      </c>
      <c r="L2087">
        <v>0</v>
      </c>
      <c r="M2087">
        <v>8</v>
      </c>
      <c r="N2087">
        <v>0</v>
      </c>
      <c r="O2087">
        <v>13</v>
      </c>
      <c r="P2087">
        <v>0</v>
      </c>
      <c r="Q2087">
        <v>0</v>
      </c>
    </row>
    <row r="2088" spans="1:17" x14ac:dyDescent="0.2">
      <c r="A2088" s="121">
        <v>39964</v>
      </c>
      <c r="B2088" t="s">
        <v>406</v>
      </c>
      <c r="C2088" t="s">
        <v>577</v>
      </c>
      <c r="D2088" t="s">
        <v>584</v>
      </c>
      <c r="E2088" t="s">
        <v>585</v>
      </c>
      <c r="F2088" t="s">
        <v>410</v>
      </c>
      <c r="G2088">
        <v>272</v>
      </c>
      <c r="H2088">
        <v>272</v>
      </c>
      <c r="I2088">
        <v>271</v>
      </c>
      <c r="J2088">
        <v>271</v>
      </c>
      <c r="K2088">
        <v>17</v>
      </c>
      <c r="L2088">
        <v>0</v>
      </c>
      <c r="M2088">
        <v>228</v>
      </c>
      <c r="N2088">
        <v>0</v>
      </c>
      <c r="O2088">
        <v>27</v>
      </c>
      <c r="P2088">
        <v>0</v>
      </c>
      <c r="Q2088">
        <v>0</v>
      </c>
    </row>
    <row r="2089" spans="1:17" x14ac:dyDescent="0.2">
      <c r="A2089" s="121">
        <v>39964</v>
      </c>
      <c r="B2089" t="s">
        <v>406</v>
      </c>
      <c r="C2089" t="s">
        <v>577</v>
      </c>
      <c r="D2089" t="s">
        <v>586</v>
      </c>
      <c r="E2089" t="s">
        <v>587</v>
      </c>
      <c r="F2089" t="s">
        <v>410</v>
      </c>
      <c r="G2089">
        <v>1286</v>
      </c>
      <c r="H2089">
        <v>1286</v>
      </c>
      <c r="I2089">
        <v>1285</v>
      </c>
      <c r="J2089">
        <v>1285</v>
      </c>
      <c r="K2089">
        <v>23</v>
      </c>
      <c r="L2089">
        <v>0</v>
      </c>
      <c r="M2089">
        <v>874</v>
      </c>
      <c r="N2089">
        <v>0</v>
      </c>
      <c r="O2089">
        <v>389</v>
      </c>
      <c r="P2089">
        <v>0</v>
      </c>
      <c r="Q2089">
        <v>0</v>
      </c>
    </row>
    <row r="2090" spans="1:17" x14ac:dyDescent="0.2">
      <c r="A2090" s="121">
        <v>39964</v>
      </c>
      <c r="B2090" t="s">
        <v>406</v>
      </c>
      <c r="C2090" t="s">
        <v>577</v>
      </c>
      <c r="D2090" t="s">
        <v>588</v>
      </c>
      <c r="E2090" t="s">
        <v>589</v>
      </c>
      <c r="F2090" t="s">
        <v>410</v>
      </c>
      <c r="G2090">
        <v>294</v>
      </c>
      <c r="H2090">
        <v>294</v>
      </c>
      <c r="I2090">
        <v>294</v>
      </c>
      <c r="J2090">
        <v>294</v>
      </c>
      <c r="K2090">
        <v>12</v>
      </c>
      <c r="L2090">
        <v>0</v>
      </c>
      <c r="M2090">
        <v>223</v>
      </c>
      <c r="N2090">
        <v>0</v>
      </c>
      <c r="O2090">
        <v>59</v>
      </c>
      <c r="P2090">
        <v>0</v>
      </c>
      <c r="Q2090">
        <v>0</v>
      </c>
    </row>
    <row r="2091" spans="1:17" x14ac:dyDescent="0.2">
      <c r="A2091" s="121">
        <v>39964</v>
      </c>
      <c r="B2091" t="s">
        <v>406</v>
      </c>
      <c r="C2091" t="s">
        <v>577</v>
      </c>
      <c r="D2091" t="s">
        <v>613</v>
      </c>
      <c r="E2091" t="s">
        <v>614</v>
      </c>
      <c r="F2091" t="s">
        <v>410</v>
      </c>
      <c r="G2091">
        <v>228</v>
      </c>
      <c r="H2091">
        <v>228</v>
      </c>
      <c r="I2091">
        <v>228</v>
      </c>
      <c r="J2091">
        <v>228</v>
      </c>
      <c r="K2091">
        <v>20</v>
      </c>
      <c r="L2091">
        <v>0</v>
      </c>
      <c r="M2091">
        <v>164</v>
      </c>
      <c r="N2091">
        <v>0</v>
      </c>
      <c r="O2091">
        <v>44</v>
      </c>
      <c r="P2091">
        <v>0</v>
      </c>
      <c r="Q2091">
        <v>0</v>
      </c>
    </row>
    <row r="2092" spans="1:17" x14ac:dyDescent="0.2">
      <c r="A2092" s="121">
        <v>39964</v>
      </c>
      <c r="B2092" t="s">
        <v>406</v>
      </c>
      <c r="C2092" t="s">
        <v>577</v>
      </c>
      <c r="D2092" t="s">
        <v>590</v>
      </c>
      <c r="E2092" t="s">
        <v>591</v>
      </c>
      <c r="F2092" t="s">
        <v>410</v>
      </c>
      <c r="G2092">
        <v>643</v>
      </c>
      <c r="H2092">
        <v>643</v>
      </c>
      <c r="I2092">
        <v>642</v>
      </c>
      <c r="J2092">
        <v>642</v>
      </c>
      <c r="K2092">
        <v>10</v>
      </c>
      <c r="L2092">
        <v>0</v>
      </c>
      <c r="M2092">
        <v>576</v>
      </c>
      <c r="N2092">
        <v>0</v>
      </c>
      <c r="O2092">
        <v>57</v>
      </c>
      <c r="P2092">
        <v>0</v>
      </c>
      <c r="Q2092">
        <v>0</v>
      </c>
    </row>
    <row r="2093" spans="1:17" x14ac:dyDescent="0.2">
      <c r="A2093" s="121">
        <v>39964</v>
      </c>
      <c r="B2093" t="s">
        <v>406</v>
      </c>
      <c r="C2093" t="s">
        <v>577</v>
      </c>
      <c r="D2093" t="s">
        <v>607</v>
      </c>
      <c r="E2093" t="s">
        <v>608</v>
      </c>
      <c r="F2093" t="s">
        <v>410</v>
      </c>
      <c r="G2093">
        <v>161</v>
      </c>
      <c r="H2093">
        <v>161</v>
      </c>
      <c r="I2093">
        <v>161</v>
      </c>
      <c r="J2093">
        <v>161</v>
      </c>
      <c r="K2093">
        <v>8</v>
      </c>
      <c r="L2093">
        <v>0</v>
      </c>
      <c r="M2093">
        <v>139</v>
      </c>
      <c r="N2093">
        <v>0</v>
      </c>
      <c r="O2093">
        <v>14</v>
      </c>
      <c r="P2093">
        <v>0</v>
      </c>
      <c r="Q2093">
        <v>0</v>
      </c>
    </row>
    <row r="2094" spans="1:17" x14ac:dyDescent="0.2">
      <c r="A2094" s="121">
        <v>39964</v>
      </c>
      <c r="B2094" t="s">
        <v>406</v>
      </c>
      <c r="C2094" t="s">
        <v>577</v>
      </c>
      <c r="D2094" t="s">
        <v>592</v>
      </c>
      <c r="E2094" t="s">
        <v>593</v>
      </c>
      <c r="F2094" t="s">
        <v>410</v>
      </c>
      <c r="G2094">
        <v>537</v>
      </c>
      <c r="H2094">
        <v>537</v>
      </c>
      <c r="I2094">
        <v>536</v>
      </c>
      <c r="J2094">
        <v>536</v>
      </c>
      <c r="K2094">
        <v>16</v>
      </c>
      <c r="L2094">
        <v>0</v>
      </c>
      <c r="M2094">
        <v>428</v>
      </c>
      <c r="N2094">
        <v>0</v>
      </c>
      <c r="O2094">
        <v>93</v>
      </c>
      <c r="P2094">
        <v>0</v>
      </c>
      <c r="Q2094">
        <v>0</v>
      </c>
    </row>
    <row r="2095" spans="1:17" x14ac:dyDescent="0.2">
      <c r="A2095" s="121">
        <v>39964</v>
      </c>
      <c r="B2095" t="s">
        <v>406</v>
      </c>
      <c r="C2095" t="s">
        <v>594</v>
      </c>
      <c r="D2095" t="s">
        <v>595</v>
      </c>
      <c r="E2095" t="s">
        <v>596</v>
      </c>
      <c r="F2095" t="s">
        <v>410</v>
      </c>
      <c r="G2095">
        <v>30</v>
      </c>
      <c r="I2095">
        <v>30</v>
      </c>
    </row>
    <row r="2096" spans="1:17" x14ac:dyDescent="0.2">
      <c r="A2096" s="121">
        <v>39964</v>
      </c>
      <c r="B2096" t="s">
        <v>406</v>
      </c>
      <c r="C2096" t="s">
        <v>594</v>
      </c>
      <c r="D2096" t="s">
        <v>597</v>
      </c>
      <c r="E2096" t="s">
        <v>598</v>
      </c>
      <c r="F2096" t="s">
        <v>413</v>
      </c>
      <c r="G2096">
        <v>634</v>
      </c>
      <c r="H2096">
        <v>634</v>
      </c>
      <c r="I2096">
        <v>631</v>
      </c>
      <c r="J2096">
        <v>631</v>
      </c>
      <c r="K2096">
        <v>147</v>
      </c>
      <c r="L2096">
        <v>0</v>
      </c>
      <c r="M2096">
        <v>483</v>
      </c>
      <c r="N2096">
        <v>0</v>
      </c>
      <c r="O2096">
        <v>4</v>
      </c>
      <c r="P2096">
        <v>0</v>
      </c>
      <c r="Q2096">
        <v>0</v>
      </c>
    </row>
    <row r="2097" spans="1:17" x14ac:dyDescent="0.2">
      <c r="A2097" s="121">
        <v>39964</v>
      </c>
      <c r="B2097" t="s">
        <v>406</v>
      </c>
      <c r="C2097" t="s">
        <v>594</v>
      </c>
      <c r="D2097" t="s">
        <v>599</v>
      </c>
      <c r="E2097" t="s">
        <v>600</v>
      </c>
      <c r="F2097" t="s">
        <v>410</v>
      </c>
      <c r="G2097">
        <v>108</v>
      </c>
      <c r="I2097">
        <v>108</v>
      </c>
    </row>
    <row r="2098" spans="1:17" x14ac:dyDescent="0.2">
      <c r="A2098" s="121">
        <v>39994</v>
      </c>
      <c r="B2098" t="s">
        <v>406</v>
      </c>
      <c r="C2098" t="s">
        <v>407</v>
      </c>
      <c r="D2098" t="s">
        <v>408</v>
      </c>
      <c r="E2098" t="s">
        <v>409</v>
      </c>
      <c r="F2098" t="s">
        <v>410</v>
      </c>
      <c r="G2098">
        <v>292</v>
      </c>
      <c r="I2098">
        <v>292</v>
      </c>
    </row>
    <row r="2099" spans="1:17" x14ac:dyDescent="0.2">
      <c r="A2099" s="121">
        <v>39994</v>
      </c>
      <c r="B2099" t="s">
        <v>406</v>
      </c>
      <c r="C2099" t="s">
        <v>407</v>
      </c>
      <c r="D2099" t="s">
        <v>601</v>
      </c>
      <c r="E2099" t="s">
        <v>602</v>
      </c>
      <c r="F2099" t="s">
        <v>410</v>
      </c>
      <c r="G2099">
        <v>68</v>
      </c>
      <c r="I2099">
        <v>68</v>
      </c>
    </row>
    <row r="2100" spans="1:17" x14ac:dyDescent="0.2">
      <c r="A2100" s="121">
        <v>39994</v>
      </c>
      <c r="B2100" t="s">
        <v>406</v>
      </c>
      <c r="C2100" t="s">
        <v>407</v>
      </c>
      <c r="D2100" t="s">
        <v>411</v>
      </c>
      <c r="E2100" t="s">
        <v>412</v>
      </c>
      <c r="F2100" t="s">
        <v>413</v>
      </c>
      <c r="G2100">
        <v>5732</v>
      </c>
      <c r="H2100">
        <v>5732</v>
      </c>
      <c r="I2100">
        <v>5699</v>
      </c>
      <c r="J2100">
        <v>5699</v>
      </c>
      <c r="K2100">
        <v>1973</v>
      </c>
      <c r="L2100">
        <v>16</v>
      </c>
      <c r="M2100">
        <v>3506</v>
      </c>
      <c r="N2100">
        <v>33</v>
      </c>
      <c r="O2100">
        <v>204</v>
      </c>
      <c r="P2100">
        <v>0</v>
      </c>
      <c r="Q2100">
        <v>0</v>
      </c>
    </row>
    <row r="2101" spans="1:17" x14ac:dyDescent="0.2">
      <c r="A2101" s="121">
        <v>39994</v>
      </c>
      <c r="B2101" t="s">
        <v>406</v>
      </c>
      <c r="C2101" t="s">
        <v>407</v>
      </c>
      <c r="D2101" t="s">
        <v>414</v>
      </c>
      <c r="E2101" t="s">
        <v>415</v>
      </c>
      <c r="F2101" t="s">
        <v>410</v>
      </c>
      <c r="G2101">
        <v>102</v>
      </c>
      <c r="I2101">
        <v>102</v>
      </c>
    </row>
    <row r="2102" spans="1:17" x14ac:dyDescent="0.2">
      <c r="A2102" s="121">
        <v>39994</v>
      </c>
      <c r="B2102" t="s">
        <v>406</v>
      </c>
      <c r="C2102" t="s">
        <v>407</v>
      </c>
      <c r="D2102" t="s">
        <v>416</v>
      </c>
      <c r="E2102" t="s">
        <v>417</v>
      </c>
      <c r="F2102" t="s">
        <v>413</v>
      </c>
      <c r="G2102">
        <v>3876</v>
      </c>
      <c r="H2102">
        <v>3876</v>
      </c>
      <c r="I2102">
        <v>3836</v>
      </c>
      <c r="J2102">
        <v>3836</v>
      </c>
      <c r="K2102">
        <v>1288</v>
      </c>
      <c r="L2102">
        <v>7</v>
      </c>
      <c r="M2102">
        <v>2441</v>
      </c>
      <c r="N2102">
        <v>84</v>
      </c>
      <c r="O2102">
        <v>56</v>
      </c>
      <c r="P2102">
        <v>0</v>
      </c>
      <c r="Q2102">
        <v>0</v>
      </c>
    </row>
    <row r="2103" spans="1:17" x14ac:dyDescent="0.2">
      <c r="A2103" s="121">
        <v>39994</v>
      </c>
      <c r="B2103" t="s">
        <v>406</v>
      </c>
      <c r="C2103" t="s">
        <v>418</v>
      </c>
      <c r="D2103" t="s">
        <v>419</v>
      </c>
      <c r="E2103" t="s">
        <v>420</v>
      </c>
      <c r="F2103" t="s">
        <v>410</v>
      </c>
      <c r="G2103">
        <v>22</v>
      </c>
      <c r="I2103">
        <v>22</v>
      </c>
    </row>
    <row r="2104" spans="1:17" x14ac:dyDescent="0.2">
      <c r="A2104" s="121">
        <v>39994</v>
      </c>
      <c r="B2104" t="s">
        <v>406</v>
      </c>
      <c r="C2104" t="s">
        <v>418</v>
      </c>
      <c r="D2104" t="s">
        <v>421</v>
      </c>
      <c r="E2104" t="s">
        <v>422</v>
      </c>
      <c r="F2104" t="s">
        <v>410</v>
      </c>
      <c r="G2104">
        <v>104</v>
      </c>
      <c r="I2104">
        <v>104</v>
      </c>
    </row>
    <row r="2105" spans="1:17" x14ac:dyDescent="0.2">
      <c r="A2105" s="121">
        <v>39994</v>
      </c>
      <c r="B2105" t="s">
        <v>406</v>
      </c>
      <c r="C2105" t="s">
        <v>418</v>
      </c>
      <c r="D2105" t="s">
        <v>423</v>
      </c>
      <c r="E2105" t="s">
        <v>424</v>
      </c>
      <c r="F2105" t="s">
        <v>410</v>
      </c>
      <c r="G2105">
        <v>27</v>
      </c>
      <c r="I2105">
        <v>27</v>
      </c>
    </row>
    <row r="2106" spans="1:17" x14ac:dyDescent="0.2">
      <c r="A2106" s="121">
        <v>39994</v>
      </c>
      <c r="B2106" t="s">
        <v>406</v>
      </c>
      <c r="C2106" t="s">
        <v>418</v>
      </c>
      <c r="D2106" t="s">
        <v>425</v>
      </c>
      <c r="E2106" t="s">
        <v>426</v>
      </c>
      <c r="F2106" t="s">
        <v>410</v>
      </c>
      <c r="G2106">
        <v>115</v>
      </c>
      <c r="I2106">
        <v>115</v>
      </c>
    </row>
    <row r="2107" spans="1:17" x14ac:dyDescent="0.2">
      <c r="A2107" s="121">
        <v>39994</v>
      </c>
      <c r="B2107" t="s">
        <v>406</v>
      </c>
      <c r="C2107" t="s">
        <v>418</v>
      </c>
      <c r="D2107" t="s">
        <v>427</v>
      </c>
      <c r="E2107" t="s">
        <v>428</v>
      </c>
      <c r="F2107" t="s">
        <v>413</v>
      </c>
      <c r="G2107">
        <v>1898</v>
      </c>
      <c r="H2107">
        <v>1898</v>
      </c>
      <c r="I2107">
        <v>1841</v>
      </c>
      <c r="J2107">
        <v>1841</v>
      </c>
      <c r="K2107">
        <v>578</v>
      </c>
      <c r="L2107">
        <v>5</v>
      </c>
      <c r="M2107">
        <v>1046</v>
      </c>
      <c r="N2107">
        <v>22</v>
      </c>
      <c r="O2107">
        <v>247</v>
      </c>
      <c r="P2107">
        <v>0</v>
      </c>
      <c r="Q2107">
        <v>0</v>
      </c>
    </row>
    <row r="2108" spans="1:17" x14ac:dyDescent="0.2">
      <c r="A2108" s="121">
        <v>39994</v>
      </c>
      <c r="B2108" t="s">
        <v>406</v>
      </c>
      <c r="C2108" t="s">
        <v>429</v>
      </c>
      <c r="D2108" t="s">
        <v>430</v>
      </c>
      <c r="E2108" t="s">
        <v>431</v>
      </c>
      <c r="F2108" t="s">
        <v>410</v>
      </c>
      <c r="G2108">
        <v>47</v>
      </c>
      <c r="I2108">
        <v>47</v>
      </c>
    </row>
    <row r="2109" spans="1:17" x14ac:dyDescent="0.2">
      <c r="A2109" s="121">
        <v>39994</v>
      </c>
      <c r="B2109" t="s">
        <v>406</v>
      </c>
      <c r="C2109" t="s">
        <v>429</v>
      </c>
      <c r="D2109" t="s">
        <v>432</v>
      </c>
      <c r="E2109" t="s">
        <v>433</v>
      </c>
      <c r="F2109" t="s">
        <v>410</v>
      </c>
      <c r="G2109">
        <v>83</v>
      </c>
      <c r="I2109">
        <v>83</v>
      </c>
    </row>
    <row r="2110" spans="1:17" x14ac:dyDescent="0.2">
      <c r="A2110" s="121">
        <v>39994</v>
      </c>
      <c r="B2110" t="s">
        <v>406</v>
      </c>
      <c r="C2110" t="s">
        <v>429</v>
      </c>
      <c r="D2110" t="s">
        <v>434</v>
      </c>
      <c r="E2110" t="s">
        <v>435</v>
      </c>
      <c r="F2110" t="s">
        <v>410</v>
      </c>
      <c r="G2110">
        <v>31</v>
      </c>
      <c r="I2110">
        <v>31</v>
      </c>
    </row>
    <row r="2111" spans="1:17" x14ac:dyDescent="0.2">
      <c r="A2111" s="121">
        <v>39994</v>
      </c>
      <c r="B2111" t="s">
        <v>406</v>
      </c>
      <c r="C2111" t="s">
        <v>429</v>
      </c>
      <c r="D2111" t="s">
        <v>436</v>
      </c>
      <c r="E2111" t="s">
        <v>437</v>
      </c>
      <c r="F2111" t="s">
        <v>410</v>
      </c>
      <c r="G2111">
        <v>38</v>
      </c>
      <c r="I2111">
        <v>38</v>
      </c>
    </row>
    <row r="2112" spans="1:17" x14ac:dyDescent="0.2">
      <c r="A2112" s="121">
        <v>39994</v>
      </c>
      <c r="B2112" t="s">
        <v>406</v>
      </c>
      <c r="C2112" t="s">
        <v>429</v>
      </c>
      <c r="D2112" t="s">
        <v>438</v>
      </c>
      <c r="E2112" t="s">
        <v>439</v>
      </c>
      <c r="F2112" t="s">
        <v>413</v>
      </c>
      <c r="G2112">
        <v>1191</v>
      </c>
      <c r="H2112">
        <v>1191</v>
      </c>
      <c r="I2112">
        <v>1170</v>
      </c>
      <c r="J2112">
        <v>1170</v>
      </c>
      <c r="K2112">
        <v>120</v>
      </c>
      <c r="L2112">
        <v>2</v>
      </c>
      <c r="M2112">
        <v>1066</v>
      </c>
      <c r="N2112">
        <v>3</v>
      </c>
      <c r="O2112">
        <v>0</v>
      </c>
      <c r="P2112">
        <v>0</v>
      </c>
      <c r="Q2112">
        <v>0</v>
      </c>
    </row>
    <row r="2113" spans="1:17" x14ac:dyDescent="0.2">
      <c r="A2113" s="121">
        <v>39994</v>
      </c>
      <c r="B2113" t="s">
        <v>406</v>
      </c>
      <c r="C2113" t="s">
        <v>429</v>
      </c>
      <c r="D2113" t="s">
        <v>440</v>
      </c>
      <c r="E2113" t="s">
        <v>441</v>
      </c>
      <c r="F2113" t="s">
        <v>413</v>
      </c>
      <c r="G2113">
        <v>3099</v>
      </c>
      <c r="H2113">
        <v>3099</v>
      </c>
      <c r="I2113">
        <v>3011</v>
      </c>
      <c r="J2113">
        <v>3011</v>
      </c>
      <c r="K2113">
        <v>933</v>
      </c>
      <c r="L2113">
        <v>1</v>
      </c>
      <c r="M2113">
        <v>2076</v>
      </c>
      <c r="N2113">
        <v>18</v>
      </c>
      <c r="O2113">
        <v>71</v>
      </c>
      <c r="P2113">
        <v>0</v>
      </c>
      <c r="Q2113">
        <v>0</v>
      </c>
    </row>
    <row r="2114" spans="1:17" x14ac:dyDescent="0.2">
      <c r="A2114" s="121">
        <v>39994</v>
      </c>
      <c r="B2114" t="s">
        <v>406</v>
      </c>
      <c r="C2114" t="s">
        <v>442</v>
      </c>
      <c r="D2114" t="s">
        <v>443</v>
      </c>
      <c r="E2114" t="s">
        <v>444</v>
      </c>
      <c r="F2114" t="s">
        <v>413</v>
      </c>
      <c r="G2114">
        <v>3514</v>
      </c>
      <c r="H2114">
        <v>3514</v>
      </c>
      <c r="I2114">
        <v>3436</v>
      </c>
      <c r="J2114">
        <v>3436</v>
      </c>
      <c r="K2114">
        <v>406</v>
      </c>
      <c r="L2114">
        <v>3</v>
      </c>
      <c r="M2114">
        <v>2879</v>
      </c>
      <c r="N2114">
        <v>21</v>
      </c>
      <c r="O2114">
        <v>205</v>
      </c>
      <c r="P2114">
        <v>2</v>
      </c>
      <c r="Q2114">
        <v>0</v>
      </c>
    </row>
    <row r="2115" spans="1:17" x14ac:dyDescent="0.2">
      <c r="A2115" s="121">
        <v>39994</v>
      </c>
      <c r="B2115" t="s">
        <v>406</v>
      </c>
      <c r="C2115" t="s">
        <v>442</v>
      </c>
      <c r="D2115" t="s">
        <v>445</v>
      </c>
      <c r="E2115" t="s">
        <v>446</v>
      </c>
      <c r="F2115" t="s">
        <v>410</v>
      </c>
      <c r="G2115">
        <v>177</v>
      </c>
      <c r="I2115">
        <v>177</v>
      </c>
    </row>
    <row r="2116" spans="1:17" x14ac:dyDescent="0.2">
      <c r="A2116" s="121">
        <v>39994</v>
      </c>
      <c r="B2116" t="s">
        <v>406</v>
      </c>
      <c r="C2116" t="s">
        <v>442</v>
      </c>
      <c r="D2116" t="s">
        <v>447</v>
      </c>
      <c r="E2116" t="s">
        <v>448</v>
      </c>
      <c r="F2116" t="s">
        <v>410</v>
      </c>
      <c r="G2116">
        <v>254</v>
      </c>
      <c r="I2116">
        <v>254</v>
      </c>
    </row>
    <row r="2117" spans="1:17" x14ac:dyDescent="0.2">
      <c r="A2117" s="121">
        <v>39994</v>
      </c>
      <c r="B2117" t="s">
        <v>406</v>
      </c>
      <c r="C2117" t="s">
        <v>442</v>
      </c>
      <c r="D2117" t="s">
        <v>449</v>
      </c>
      <c r="E2117" t="s">
        <v>450</v>
      </c>
      <c r="F2117" t="s">
        <v>413</v>
      </c>
      <c r="G2117">
        <v>3631</v>
      </c>
      <c r="H2117">
        <v>3631</v>
      </c>
      <c r="I2117">
        <v>3482</v>
      </c>
      <c r="J2117">
        <v>3482</v>
      </c>
      <c r="K2117">
        <v>531</v>
      </c>
      <c r="L2117">
        <v>6</v>
      </c>
      <c r="M2117">
        <v>2906</v>
      </c>
      <c r="N2117">
        <v>32</v>
      </c>
      <c r="O2117">
        <v>156</v>
      </c>
      <c r="P2117">
        <v>22</v>
      </c>
      <c r="Q2117">
        <v>17</v>
      </c>
    </row>
    <row r="2118" spans="1:17" x14ac:dyDescent="0.2">
      <c r="A2118" s="121">
        <v>39994</v>
      </c>
      <c r="B2118" t="s">
        <v>406</v>
      </c>
      <c r="C2118" t="s">
        <v>451</v>
      </c>
      <c r="D2118" t="s">
        <v>452</v>
      </c>
      <c r="E2118" t="s">
        <v>453</v>
      </c>
      <c r="F2118" t="s">
        <v>410</v>
      </c>
      <c r="G2118">
        <v>1975</v>
      </c>
      <c r="H2118">
        <v>1975</v>
      </c>
      <c r="I2118">
        <v>1972</v>
      </c>
      <c r="J2118">
        <v>1972</v>
      </c>
      <c r="K2118">
        <v>0</v>
      </c>
      <c r="L2118">
        <v>0</v>
      </c>
      <c r="M2118">
        <v>1445</v>
      </c>
      <c r="N2118">
        <v>155</v>
      </c>
      <c r="O2118">
        <v>375</v>
      </c>
      <c r="P2118">
        <v>0</v>
      </c>
      <c r="Q2118">
        <v>0</v>
      </c>
    </row>
    <row r="2119" spans="1:17" x14ac:dyDescent="0.2">
      <c r="A2119" s="121">
        <v>39994</v>
      </c>
      <c r="B2119" t="s">
        <v>406</v>
      </c>
      <c r="C2119" t="s">
        <v>451</v>
      </c>
      <c r="D2119" t="s">
        <v>454</v>
      </c>
      <c r="E2119" t="s">
        <v>455</v>
      </c>
      <c r="F2119" t="s">
        <v>413</v>
      </c>
      <c r="G2119">
        <v>4559</v>
      </c>
      <c r="H2119">
        <v>4559</v>
      </c>
      <c r="I2119">
        <v>4334</v>
      </c>
      <c r="J2119">
        <v>4334</v>
      </c>
      <c r="K2119">
        <v>1099</v>
      </c>
      <c r="L2119">
        <v>6</v>
      </c>
      <c r="M2119">
        <v>2515</v>
      </c>
      <c r="N2119">
        <v>42</v>
      </c>
      <c r="O2119">
        <v>897</v>
      </c>
      <c r="P2119">
        <v>4</v>
      </c>
      <c r="Q2119">
        <v>0</v>
      </c>
    </row>
    <row r="2120" spans="1:17" x14ac:dyDescent="0.2">
      <c r="A2120" s="121">
        <v>39994</v>
      </c>
      <c r="B2120" t="s">
        <v>406</v>
      </c>
      <c r="C2120" t="s">
        <v>456</v>
      </c>
      <c r="D2120" t="s">
        <v>457</v>
      </c>
      <c r="E2120" t="s">
        <v>458</v>
      </c>
      <c r="F2120" t="s">
        <v>413</v>
      </c>
      <c r="G2120">
        <v>5365</v>
      </c>
      <c r="H2120">
        <v>5365</v>
      </c>
      <c r="I2120">
        <v>5147</v>
      </c>
      <c r="J2120">
        <v>5147</v>
      </c>
      <c r="K2120">
        <v>1207</v>
      </c>
      <c r="L2120">
        <v>25</v>
      </c>
      <c r="M2120">
        <v>4010</v>
      </c>
      <c r="N2120">
        <v>81</v>
      </c>
      <c r="O2120">
        <v>42</v>
      </c>
      <c r="P2120">
        <v>15</v>
      </c>
      <c r="Q2120">
        <v>1</v>
      </c>
    </row>
    <row r="2121" spans="1:17" x14ac:dyDescent="0.2">
      <c r="A2121" s="121">
        <v>39994</v>
      </c>
      <c r="B2121" t="s">
        <v>406</v>
      </c>
      <c r="C2121" t="s">
        <v>456</v>
      </c>
      <c r="D2121" t="s">
        <v>459</v>
      </c>
      <c r="E2121" t="s">
        <v>460</v>
      </c>
      <c r="F2121" t="s">
        <v>413</v>
      </c>
      <c r="G2121">
        <v>1609</v>
      </c>
      <c r="H2121">
        <v>1609</v>
      </c>
      <c r="I2121">
        <v>1601</v>
      </c>
      <c r="J2121">
        <v>1601</v>
      </c>
      <c r="K2121">
        <v>394</v>
      </c>
      <c r="L2121">
        <v>0</v>
      </c>
      <c r="M2121">
        <v>1213</v>
      </c>
      <c r="N2121">
        <v>1</v>
      </c>
      <c r="O2121">
        <v>1</v>
      </c>
      <c r="P2121">
        <v>1</v>
      </c>
      <c r="Q2121">
        <v>1</v>
      </c>
    </row>
    <row r="2122" spans="1:17" x14ac:dyDescent="0.2">
      <c r="A2122" s="121">
        <v>39994</v>
      </c>
      <c r="B2122" t="s">
        <v>406</v>
      </c>
      <c r="C2122" t="s">
        <v>456</v>
      </c>
      <c r="D2122" t="s">
        <v>461</v>
      </c>
      <c r="E2122" t="s">
        <v>462</v>
      </c>
      <c r="F2122" t="s">
        <v>410</v>
      </c>
      <c r="G2122">
        <v>95</v>
      </c>
      <c r="I2122">
        <v>95</v>
      </c>
    </row>
    <row r="2123" spans="1:17" x14ac:dyDescent="0.2">
      <c r="A2123" s="121">
        <v>39994</v>
      </c>
      <c r="B2123" t="s">
        <v>406</v>
      </c>
      <c r="C2123" t="s">
        <v>456</v>
      </c>
      <c r="D2123" t="s">
        <v>463</v>
      </c>
      <c r="E2123" t="s">
        <v>464</v>
      </c>
      <c r="F2123" t="s">
        <v>410</v>
      </c>
      <c r="G2123">
        <v>44</v>
      </c>
      <c r="I2123">
        <v>44</v>
      </c>
    </row>
    <row r="2124" spans="1:17" x14ac:dyDescent="0.2">
      <c r="A2124" s="121">
        <v>39994</v>
      </c>
      <c r="B2124" t="s">
        <v>406</v>
      </c>
      <c r="C2124" t="s">
        <v>456</v>
      </c>
      <c r="D2124" t="s">
        <v>465</v>
      </c>
      <c r="E2124" t="s">
        <v>466</v>
      </c>
      <c r="F2124" t="s">
        <v>410</v>
      </c>
      <c r="G2124">
        <v>74</v>
      </c>
      <c r="I2124">
        <v>74</v>
      </c>
    </row>
    <row r="2125" spans="1:17" x14ac:dyDescent="0.2">
      <c r="A2125" s="121">
        <v>39994</v>
      </c>
      <c r="B2125" t="s">
        <v>406</v>
      </c>
      <c r="C2125" t="s">
        <v>456</v>
      </c>
      <c r="D2125" t="s">
        <v>467</v>
      </c>
      <c r="E2125" t="s">
        <v>468</v>
      </c>
      <c r="F2125" t="s">
        <v>410</v>
      </c>
      <c r="G2125">
        <v>1140</v>
      </c>
      <c r="I2125">
        <v>1139</v>
      </c>
    </row>
    <row r="2126" spans="1:17" x14ac:dyDescent="0.2">
      <c r="A2126" s="121">
        <v>39994</v>
      </c>
      <c r="B2126" t="s">
        <v>406</v>
      </c>
      <c r="C2126" t="s">
        <v>456</v>
      </c>
      <c r="D2126" t="s">
        <v>469</v>
      </c>
      <c r="E2126" t="s">
        <v>470</v>
      </c>
      <c r="F2126" t="s">
        <v>410</v>
      </c>
      <c r="G2126">
        <v>823</v>
      </c>
      <c r="I2126">
        <v>816</v>
      </c>
    </row>
    <row r="2127" spans="1:17" x14ac:dyDescent="0.2">
      <c r="A2127" s="121">
        <v>39994</v>
      </c>
      <c r="B2127" t="s">
        <v>406</v>
      </c>
      <c r="C2127" t="s">
        <v>456</v>
      </c>
      <c r="D2127" t="s">
        <v>471</v>
      </c>
      <c r="E2127" t="s">
        <v>472</v>
      </c>
      <c r="F2127" t="s">
        <v>410</v>
      </c>
      <c r="G2127">
        <v>243</v>
      </c>
      <c r="I2127">
        <v>243</v>
      </c>
    </row>
    <row r="2128" spans="1:17" x14ac:dyDescent="0.2">
      <c r="A2128" s="121">
        <v>39994</v>
      </c>
      <c r="B2128" t="s">
        <v>406</v>
      </c>
      <c r="C2128" t="s">
        <v>456</v>
      </c>
      <c r="D2128" t="s">
        <v>473</v>
      </c>
      <c r="E2128" t="s">
        <v>474</v>
      </c>
      <c r="F2128" t="s">
        <v>410</v>
      </c>
      <c r="G2128">
        <v>219</v>
      </c>
      <c r="I2128">
        <v>219</v>
      </c>
    </row>
    <row r="2129" spans="1:17" x14ac:dyDescent="0.2">
      <c r="A2129" s="121">
        <v>39994</v>
      </c>
      <c r="B2129" t="s">
        <v>406</v>
      </c>
      <c r="C2129" t="s">
        <v>456</v>
      </c>
      <c r="D2129" t="s">
        <v>475</v>
      </c>
      <c r="E2129" t="s">
        <v>476</v>
      </c>
      <c r="F2129" t="s">
        <v>410</v>
      </c>
      <c r="G2129">
        <v>372</v>
      </c>
      <c r="I2129">
        <v>369</v>
      </c>
    </row>
    <row r="2130" spans="1:17" x14ac:dyDescent="0.2">
      <c r="A2130" s="121">
        <v>39994</v>
      </c>
      <c r="B2130" t="s">
        <v>406</v>
      </c>
      <c r="C2130" t="s">
        <v>456</v>
      </c>
      <c r="D2130" t="s">
        <v>477</v>
      </c>
      <c r="E2130" t="s">
        <v>478</v>
      </c>
      <c r="F2130" t="s">
        <v>413</v>
      </c>
      <c r="G2130">
        <v>1871</v>
      </c>
      <c r="H2130">
        <v>1871</v>
      </c>
      <c r="I2130">
        <v>1840</v>
      </c>
      <c r="J2130">
        <v>1840</v>
      </c>
      <c r="K2130">
        <v>267</v>
      </c>
      <c r="L2130">
        <v>1</v>
      </c>
      <c r="M2130">
        <v>1480</v>
      </c>
      <c r="N2130">
        <v>111</v>
      </c>
      <c r="O2130">
        <v>12</v>
      </c>
      <c r="P2130">
        <v>2</v>
      </c>
      <c r="Q2130">
        <v>0</v>
      </c>
    </row>
    <row r="2131" spans="1:17" x14ac:dyDescent="0.2">
      <c r="A2131" s="121">
        <v>39994</v>
      </c>
      <c r="B2131" t="s">
        <v>406</v>
      </c>
      <c r="C2131" t="s">
        <v>456</v>
      </c>
      <c r="D2131" t="s">
        <v>479</v>
      </c>
      <c r="E2131" t="s">
        <v>480</v>
      </c>
      <c r="F2131" t="s">
        <v>410</v>
      </c>
      <c r="G2131">
        <v>91</v>
      </c>
      <c r="I2131">
        <v>91</v>
      </c>
    </row>
    <row r="2132" spans="1:17" x14ac:dyDescent="0.2">
      <c r="A2132" s="121">
        <v>39994</v>
      </c>
      <c r="B2132" t="s">
        <v>406</v>
      </c>
      <c r="C2132" t="s">
        <v>456</v>
      </c>
      <c r="D2132" t="s">
        <v>481</v>
      </c>
      <c r="E2132" t="s">
        <v>482</v>
      </c>
      <c r="F2132" t="s">
        <v>410</v>
      </c>
      <c r="G2132">
        <v>50</v>
      </c>
      <c r="I2132">
        <v>50</v>
      </c>
    </row>
    <row r="2133" spans="1:17" x14ac:dyDescent="0.2">
      <c r="A2133" s="121">
        <v>39994</v>
      </c>
      <c r="B2133" t="s">
        <v>406</v>
      </c>
      <c r="C2133" t="s">
        <v>456</v>
      </c>
      <c r="D2133" t="s">
        <v>483</v>
      </c>
      <c r="E2133" t="s">
        <v>484</v>
      </c>
      <c r="F2133" t="s">
        <v>410</v>
      </c>
      <c r="G2133">
        <v>163</v>
      </c>
      <c r="I2133">
        <v>163</v>
      </c>
    </row>
    <row r="2134" spans="1:17" x14ac:dyDescent="0.2">
      <c r="A2134" s="121">
        <v>39994</v>
      </c>
      <c r="B2134" t="s">
        <v>406</v>
      </c>
      <c r="C2134" t="s">
        <v>456</v>
      </c>
      <c r="D2134" t="s">
        <v>485</v>
      </c>
      <c r="E2134" t="s">
        <v>486</v>
      </c>
      <c r="F2134" t="s">
        <v>410</v>
      </c>
      <c r="G2134">
        <v>103</v>
      </c>
      <c r="I2134">
        <v>103</v>
      </c>
    </row>
    <row r="2135" spans="1:17" x14ac:dyDescent="0.2">
      <c r="A2135" s="121">
        <v>39994</v>
      </c>
      <c r="B2135" t="s">
        <v>406</v>
      </c>
      <c r="C2135" t="s">
        <v>456</v>
      </c>
      <c r="D2135" t="s">
        <v>487</v>
      </c>
      <c r="E2135" t="s">
        <v>488</v>
      </c>
      <c r="F2135" t="s">
        <v>410</v>
      </c>
      <c r="G2135">
        <v>26</v>
      </c>
      <c r="I2135">
        <v>26</v>
      </c>
    </row>
    <row r="2136" spans="1:17" x14ac:dyDescent="0.2">
      <c r="A2136" s="121">
        <v>39994</v>
      </c>
      <c r="B2136" t="s">
        <v>406</v>
      </c>
      <c r="C2136" t="s">
        <v>456</v>
      </c>
      <c r="D2136" t="s">
        <v>489</v>
      </c>
      <c r="E2136" t="s">
        <v>490</v>
      </c>
      <c r="F2136" t="s">
        <v>410</v>
      </c>
      <c r="G2136">
        <v>140</v>
      </c>
      <c r="H2136">
        <v>140</v>
      </c>
      <c r="I2136">
        <v>140</v>
      </c>
      <c r="J2136">
        <v>140</v>
      </c>
      <c r="K2136">
        <v>0</v>
      </c>
      <c r="L2136">
        <v>0</v>
      </c>
      <c r="M2136">
        <v>112</v>
      </c>
      <c r="N2136">
        <v>28</v>
      </c>
      <c r="O2136">
        <v>0</v>
      </c>
      <c r="P2136">
        <v>0</v>
      </c>
      <c r="Q2136">
        <v>0</v>
      </c>
    </row>
    <row r="2137" spans="1:17" x14ac:dyDescent="0.2">
      <c r="A2137" s="121">
        <v>39994</v>
      </c>
      <c r="B2137" t="s">
        <v>406</v>
      </c>
      <c r="C2137" t="s">
        <v>491</v>
      </c>
      <c r="D2137" t="s">
        <v>492</v>
      </c>
      <c r="E2137" t="s">
        <v>493</v>
      </c>
      <c r="F2137" t="s">
        <v>410</v>
      </c>
      <c r="G2137">
        <v>1454</v>
      </c>
      <c r="H2137">
        <v>1454</v>
      </c>
      <c r="I2137">
        <v>1436</v>
      </c>
      <c r="J2137">
        <v>1436</v>
      </c>
      <c r="K2137">
        <v>339</v>
      </c>
      <c r="L2137">
        <v>0</v>
      </c>
      <c r="M2137">
        <v>1</v>
      </c>
      <c r="N2137">
        <v>73</v>
      </c>
      <c r="O2137">
        <v>1041</v>
      </c>
      <c r="P2137">
        <v>0</v>
      </c>
      <c r="Q2137">
        <v>0</v>
      </c>
    </row>
    <row r="2138" spans="1:17" x14ac:dyDescent="0.2">
      <c r="A2138" s="121">
        <v>39994</v>
      </c>
      <c r="B2138" t="s">
        <v>406</v>
      </c>
      <c r="C2138" t="s">
        <v>491</v>
      </c>
      <c r="D2138" t="s">
        <v>494</v>
      </c>
      <c r="E2138" t="s">
        <v>495</v>
      </c>
      <c r="F2138" t="s">
        <v>413</v>
      </c>
      <c r="G2138">
        <v>2970</v>
      </c>
      <c r="H2138">
        <v>2970</v>
      </c>
      <c r="I2138">
        <v>2921</v>
      </c>
      <c r="J2138">
        <v>2921</v>
      </c>
      <c r="K2138">
        <v>650</v>
      </c>
      <c r="L2138">
        <v>0</v>
      </c>
      <c r="M2138">
        <v>7</v>
      </c>
      <c r="N2138">
        <v>58</v>
      </c>
      <c r="O2138">
        <v>2255</v>
      </c>
      <c r="P2138">
        <v>0</v>
      </c>
      <c r="Q2138">
        <v>0</v>
      </c>
    </row>
    <row r="2139" spans="1:17" x14ac:dyDescent="0.2">
      <c r="A2139" s="121">
        <v>39994</v>
      </c>
      <c r="B2139" t="s">
        <v>406</v>
      </c>
      <c r="C2139" t="s">
        <v>491</v>
      </c>
      <c r="D2139" t="s">
        <v>496</v>
      </c>
      <c r="E2139" t="s">
        <v>497</v>
      </c>
      <c r="F2139" t="s">
        <v>413</v>
      </c>
      <c r="G2139">
        <v>6284</v>
      </c>
      <c r="H2139">
        <v>6284</v>
      </c>
      <c r="I2139">
        <v>6091</v>
      </c>
      <c r="J2139">
        <v>6091</v>
      </c>
      <c r="K2139">
        <v>1679</v>
      </c>
      <c r="L2139">
        <v>0</v>
      </c>
      <c r="M2139">
        <v>12</v>
      </c>
      <c r="N2139">
        <v>73</v>
      </c>
      <c r="O2139">
        <v>4520</v>
      </c>
      <c r="P2139">
        <v>2</v>
      </c>
      <c r="Q2139">
        <v>0</v>
      </c>
    </row>
    <row r="2140" spans="1:17" x14ac:dyDescent="0.2">
      <c r="A2140" s="121">
        <v>39994</v>
      </c>
      <c r="B2140" t="s">
        <v>406</v>
      </c>
      <c r="C2140" t="s">
        <v>491</v>
      </c>
      <c r="D2140" t="s">
        <v>498</v>
      </c>
      <c r="E2140" t="s">
        <v>499</v>
      </c>
      <c r="F2140" t="s">
        <v>413</v>
      </c>
      <c r="G2140">
        <v>6535</v>
      </c>
      <c r="H2140">
        <v>6535</v>
      </c>
      <c r="I2140">
        <v>6338</v>
      </c>
      <c r="J2140">
        <v>6338</v>
      </c>
      <c r="K2140">
        <v>1930</v>
      </c>
      <c r="L2140">
        <v>8</v>
      </c>
      <c r="M2140">
        <v>4139</v>
      </c>
      <c r="N2140">
        <v>135</v>
      </c>
      <c r="O2140">
        <v>323</v>
      </c>
      <c r="P2140">
        <v>3</v>
      </c>
      <c r="Q2140">
        <v>0</v>
      </c>
    </row>
    <row r="2141" spans="1:17" x14ac:dyDescent="0.2">
      <c r="A2141" s="121">
        <v>39994</v>
      </c>
      <c r="B2141" t="s">
        <v>406</v>
      </c>
      <c r="C2141" t="s">
        <v>491</v>
      </c>
      <c r="D2141" t="s">
        <v>500</v>
      </c>
      <c r="E2141" t="s">
        <v>501</v>
      </c>
      <c r="F2141" t="s">
        <v>413</v>
      </c>
      <c r="G2141">
        <v>3884</v>
      </c>
      <c r="H2141">
        <v>3884</v>
      </c>
      <c r="I2141">
        <v>3861</v>
      </c>
      <c r="J2141">
        <v>3861</v>
      </c>
      <c r="K2141">
        <v>898</v>
      </c>
      <c r="L2141">
        <v>0</v>
      </c>
      <c r="M2141">
        <v>2764</v>
      </c>
      <c r="N2141">
        <v>52</v>
      </c>
      <c r="O2141">
        <v>170</v>
      </c>
      <c r="P2141">
        <v>1</v>
      </c>
      <c r="Q2141">
        <v>0</v>
      </c>
    </row>
    <row r="2142" spans="1:17" x14ac:dyDescent="0.2">
      <c r="A2142" s="121">
        <v>39994</v>
      </c>
      <c r="B2142" t="s">
        <v>406</v>
      </c>
      <c r="C2142" t="s">
        <v>491</v>
      </c>
      <c r="D2142" t="s">
        <v>502</v>
      </c>
      <c r="E2142" t="s">
        <v>503</v>
      </c>
      <c r="F2142" t="s">
        <v>413</v>
      </c>
      <c r="G2142">
        <v>6053</v>
      </c>
      <c r="H2142">
        <v>6053</v>
      </c>
      <c r="I2142">
        <v>5989</v>
      </c>
      <c r="J2142">
        <v>5989</v>
      </c>
      <c r="K2142">
        <v>1411</v>
      </c>
      <c r="L2142">
        <v>7</v>
      </c>
      <c r="M2142">
        <v>4443</v>
      </c>
      <c r="N2142">
        <v>135</v>
      </c>
      <c r="O2142">
        <v>57</v>
      </c>
      <c r="P2142">
        <v>1</v>
      </c>
      <c r="Q2142">
        <v>0</v>
      </c>
    </row>
    <row r="2143" spans="1:17" x14ac:dyDescent="0.2">
      <c r="A2143" s="121">
        <v>39994</v>
      </c>
      <c r="B2143" t="s">
        <v>406</v>
      </c>
      <c r="C2143" t="s">
        <v>491</v>
      </c>
      <c r="D2143" t="s">
        <v>504</v>
      </c>
      <c r="E2143" t="s">
        <v>505</v>
      </c>
      <c r="F2143" t="s">
        <v>413</v>
      </c>
      <c r="G2143">
        <v>4449</v>
      </c>
      <c r="H2143">
        <v>4449</v>
      </c>
      <c r="I2143">
        <v>4338</v>
      </c>
      <c r="J2143">
        <v>4338</v>
      </c>
      <c r="K2143">
        <v>1099</v>
      </c>
      <c r="L2143">
        <v>13</v>
      </c>
      <c r="M2143">
        <v>3167</v>
      </c>
      <c r="N2143">
        <v>87</v>
      </c>
      <c r="O2143">
        <v>83</v>
      </c>
      <c r="P2143">
        <v>1</v>
      </c>
      <c r="Q2143">
        <v>0</v>
      </c>
    </row>
    <row r="2144" spans="1:17" x14ac:dyDescent="0.2">
      <c r="A2144" s="121">
        <v>39994</v>
      </c>
      <c r="B2144" t="s">
        <v>406</v>
      </c>
      <c r="C2144" t="s">
        <v>491</v>
      </c>
      <c r="D2144" t="s">
        <v>506</v>
      </c>
      <c r="E2144" t="s">
        <v>507</v>
      </c>
      <c r="F2144" t="s">
        <v>413</v>
      </c>
      <c r="G2144">
        <v>4017</v>
      </c>
      <c r="H2144">
        <v>4017</v>
      </c>
      <c r="I2144">
        <v>3966</v>
      </c>
      <c r="J2144">
        <v>3966</v>
      </c>
      <c r="K2144">
        <v>547</v>
      </c>
      <c r="L2144">
        <v>1</v>
      </c>
      <c r="M2144">
        <v>3464</v>
      </c>
      <c r="N2144">
        <v>0</v>
      </c>
      <c r="O2144">
        <v>5</v>
      </c>
      <c r="P2144">
        <v>1</v>
      </c>
      <c r="Q2144">
        <v>0</v>
      </c>
    </row>
    <row r="2145" spans="1:17" x14ac:dyDescent="0.2">
      <c r="A2145" s="121">
        <v>39994</v>
      </c>
      <c r="B2145" t="s">
        <v>406</v>
      </c>
      <c r="C2145" t="s">
        <v>491</v>
      </c>
      <c r="D2145" t="s">
        <v>508</v>
      </c>
      <c r="E2145" t="s">
        <v>509</v>
      </c>
      <c r="F2145" t="s">
        <v>413</v>
      </c>
      <c r="G2145">
        <v>5285</v>
      </c>
      <c r="H2145">
        <v>5285</v>
      </c>
      <c r="I2145">
        <v>5120</v>
      </c>
      <c r="J2145">
        <v>5120</v>
      </c>
      <c r="K2145">
        <v>1668</v>
      </c>
      <c r="L2145">
        <v>5</v>
      </c>
      <c r="M2145">
        <v>3108</v>
      </c>
      <c r="N2145">
        <v>153</v>
      </c>
      <c r="O2145">
        <v>351</v>
      </c>
      <c r="P2145">
        <v>3</v>
      </c>
      <c r="Q2145">
        <v>0</v>
      </c>
    </row>
    <row r="2146" spans="1:17" x14ac:dyDescent="0.2">
      <c r="A2146" s="121">
        <v>39994</v>
      </c>
      <c r="B2146" t="s">
        <v>406</v>
      </c>
      <c r="C2146" t="s">
        <v>510</v>
      </c>
      <c r="D2146" t="s">
        <v>511</v>
      </c>
      <c r="E2146" t="s">
        <v>512</v>
      </c>
      <c r="F2146" t="s">
        <v>410</v>
      </c>
      <c r="G2146">
        <v>525</v>
      </c>
      <c r="I2146">
        <v>523</v>
      </c>
    </row>
    <row r="2147" spans="1:17" x14ac:dyDescent="0.2">
      <c r="A2147" s="121">
        <v>39994</v>
      </c>
      <c r="B2147" t="s">
        <v>406</v>
      </c>
      <c r="C2147" t="s">
        <v>510</v>
      </c>
      <c r="D2147" t="s">
        <v>513</v>
      </c>
      <c r="E2147" t="s">
        <v>514</v>
      </c>
      <c r="F2147" t="s">
        <v>410</v>
      </c>
      <c r="G2147">
        <v>670</v>
      </c>
      <c r="I2147">
        <v>669</v>
      </c>
    </row>
    <row r="2148" spans="1:17" x14ac:dyDescent="0.2">
      <c r="A2148" s="121">
        <v>39994</v>
      </c>
      <c r="B2148" t="s">
        <v>406</v>
      </c>
      <c r="C2148" t="s">
        <v>510</v>
      </c>
      <c r="D2148" t="s">
        <v>515</v>
      </c>
      <c r="E2148" t="s">
        <v>516</v>
      </c>
      <c r="F2148" t="s">
        <v>410</v>
      </c>
      <c r="G2148">
        <v>121</v>
      </c>
      <c r="I2148">
        <v>121</v>
      </c>
    </row>
    <row r="2149" spans="1:17" x14ac:dyDescent="0.2">
      <c r="A2149" s="121">
        <v>39994</v>
      </c>
      <c r="B2149" t="s">
        <v>406</v>
      </c>
      <c r="C2149" t="s">
        <v>510</v>
      </c>
      <c r="D2149" t="s">
        <v>517</v>
      </c>
      <c r="E2149" t="s">
        <v>518</v>
      </c>
      <c r="F2149" t="s">
        <v>410</v>
      </c>
      <c r="G2149">
        <v>382</v>
      </c>
      <c r="I2149">
        <v>377</v>
      </c>
    </row>
    <row r="2150" spans="1:17" x14ac:dyDescent="0.2">
      <c r="A2150" s="121">
        <v>39994</v>
      </c>
      <c r="B2150" t="s">
        <v>406</v>
      </c>
      <c r="C2150" t="s">
        <v>510</v>
      </c>
      <c r="D2150" t="s">
        <v>519</v>
      </c>
      <c r="E2150" t="s">
        <v>520</v>
      </c>
      <c r="F2150" t="s">
        <v>410</v>
      </c>
      <c r="G2150">
        <v>280</v>
      </c>
      <c r="I2150">
        <v>276</v>
      </c>
    </row>
    <row r="2151" spans="1:17" x14ac:dyDescent="0.2">
      <c r="A2151" s="121">
        <v>39994</v>
      </c>
      <c r="B2151" t="s">
        <v>406</v>
      </c>
      <c r="C2151" t="s">
        <v>510</v>
      </c>
      <c r="D2151" t="s">
        <v>521</v>
      </c>
      <c r="E2151" t="s">
        <v>522</v>
      </c>
      <c r="F2151" t="s">
        <v>410</v>
      </c>
      <c r="G2151">
        <v>75</v>
      </c>
      <c r="I2151">
        <v>75</v>
      </c>
    </row>
    <row r="2152" spans="1:17" x14ac:dyDescent="0.2">
      <c r="A2152" s="121">
        <v>39994</v>
      </c>
      <c r="B2152" t="s">
        <v>406</v>
      </c>
      <c r="C2152" t="s">
        <v>510</v>
      </c>
      <c r="D2152" t="s">
        <v>523</v>
      </c>
      <c r="E2152" t="s">
        <v>524</v>
      </c>
      <c r="F2152" t="s">
        <v>413</v>
      </c>
      <c r="G2152">
        <v>635</v>
      </c>
      <c r="I2152">
        <v>631</v>
      </c>
    </row>
    <row r="2153" spans="1:17" x14ac:dyDescent="0.2">
      <c r="A2153" s="121">
        <v>39994</v>
      </c>
      <c r="B2153" t="s">
        <v>406</v>
      </c>
      <c r="C2153" t="s">
        <v>510</v>
      </c>
      <c r="D2153" t="s">
        <v>527</v>
      </c>
      <c r="E2153" t="s">
        <v>528</v>
      </c>
      <c r="F2153" t="s">
        <v>410</v>
      </c>
      <c r="G2153">
        <v>219</v>
      </c>
      <c r="I2153">
        <v>219</v>
      </c>
    </row>
    <row r="2154" spans="1:17" x14ac:dyDescent="0.2">
      <c r="A2154" s="121">
        <v>39994</v>
      </c>
      <c r="B2154" t="s">
        <v>406</v>
      </c>
      <c r="C2154" t="s">
        <v>510</v>
      </c>
      <c r="D2154" t="s">
        <v>529</v>
      </c>
      <c r="E2154" t="s">
        <v>530</v>
      </c>
      <c r="F2154" t="s">
        <v>413</v>
      </c>
      <c r="G2154">
        <v>567</v>
      </c>
      <c r="I2154">
        <v>563</v>
      </c>
    </row>
    <row r="2155" spans="1:17" x14ac:dyDescent="0.2">
      <c r="A2155" s="121">
        <v>39994</v>
      </c>
      <c r="B2155" t="s">
        <v>406</v>
      </c>
      <c r="C2155" t="s">
        <v>510</v>
      </c>
      <c r="D2155" t="s">
        <v>531</v>
      </c>
      <c r="E2155" t="s">
        <v>532</v>
      </c>
      <c r="F2155" t="s">
        <v>410</v>
      </c>
      <c r="G2155">
        <v>73</v>
      </c>
      <c r="I2155">
        <v>73</v>
      </c>
    </row>
    <row r="2156" spans="1:17" x14ac:dyDescent="0.2">
      <c r="A2156" s="121">
        <v>39994</v>
      </c>
      <c r="B2156" t="s">
        <v>406</v>
      </c>
      <c r="C2156" t="s">
        <v>510</v>
      </c>
      <c r="D2156" t="s">
        <v>533</v>
      </c>
      <c r="E2156" t="s">
        <v>534</v>
      </c>
      <c r="F2156" t="s">
        <v>413</v>
      </c>
      <c r="G2156">
        <v>2720</v>
      </c>
      <c r="H2156">
        <v>2720</v>
      </c>
      <c r="I2156">
        <v>2695</v>
      </c>
      <c r="J2156">
        <v>2695</v>
      </c>
      <c r="K2156">
        <v>492</v>
      </c>
      <c r="L2156">
        <v>23</v>
      </c>
      <c r="M2156">
        <v>2204</v>
      </c>
      <c r="N2156">
        <v>1</v>
      </c>
      <c r="O2156">
        <v>0</v>
      </c>
      <c r="P2156">
        <v>0</v>
      </c>
      <c r="Q2156">
        <v>0</v>
      </c>
    </row>
    <row r="2157" spans="1:17" x14ac:dyDescent="0.2">
      <c r="A2157" s="121">
        <v>39994</v>
      </c>
      <c r="B2157" t="s">
        <v>406</v>
      </c>
      <c r="C2157" t="s">
        <v>510</v>
      </c>
      <c r="D2157" t="s">
        <v>535</v>
      </c>
      <c r="E2157" t="s">
        <v>536</v>
      </c>
      <c r="F2157" t="s">
        <v>410</v>
      </c>
      <c r="G2157">
        <v>265</v>
      </c>
      <c r="I2157">
        <v>263</v>
      </c>
    </row>
    <row r="2158" spans="1:17" x14ac:dyDescent="0.2">
      <c r="A2158" s="121">
        <v>39994</v>
      </c>
      <c r="B2158" t="s">
        <v>406</v>
      </c>
      <c r="C2158" t="s">
        <v>510</v>
      </c>
      <c r="D2158" t="s">
        <v>537</v>
      </c>
      <c r="E2158" t="s">
        <v>538</v>
      </c>
      <c r="F2158" t="s">
        <v>410</v>
      </c>
      <c r="G2158">
        <v>111</v>
      </c>
      <c r="I2158">
        <v>111</v>
      </c>
    </row>
    <row r="2159" spans="1:17" x14ac:dyDescent="0.2">
      <c r="A2159" s="121">
        <v>39994</v>
      </c>
      <c r="B2159" t="s">
        <v>406</v>
      </c>
      <c r="C2159" t="s">
        <v>510</v>
      </c>
      <c r="D2159" t="s">
        <v>539</v>
      </c>
      <c r="E2159" t="s">
        <v>540</v>
      </c>
      <c r="F2159" t="s">
        <v>413</v>
      </c>
      <c r="G2159">
        <v>939</v>
      </c>
      <c r="I2159">
        <v>926</v>
      </c>
    </row>
    <row r="2160" spans="1:17" x14ac:dyDescent="0.2">
      <c r="A2160" s="121">
        <v>39994</v>
      </c>
      <c r="B2160" t="s">
        <v>406</v>
      </c>
      <c r="C2160" t="s">
        <v>510</v>
      </c>
      <c r="D2160" t="s">
        <v>541</v>
      </c>
      <c r="E2160" t="s">
        <v>542</v>
      </c>
      <c r="F2160" t="s">
        <v>410</v>
      </c>
      <c r="G2160">
        <v>495</v>
      </c>
      <c r="I2160">
        <v>480</v>
      </c>
    </row>
    <row r="2161" spans="1:17" x14ac:dyDescent="0.2">
      <c r="A2161" s="121">
        <v>39994</v>
      </c>
      <c r="B2161" t="s">
        <v>406</v>
      </c>
      <c r="C2161" t="s">
        <v>510</v>
      </c>
      <c r="D2161" t="s">
        <v>543</v>
      </c>
      <c r="E2161" t="s">
        <v>544</v>
      </c>
      <c r="F2161" t="s">
        <v>410</v>
      </c>
      <c r="G2161">
        <v>352</v>
      </c>
      <c r="I2161">
        <v>346</v>
      </c>
    </row>
    <row r="2162" spans="1:17" x14ac:dyDescent="0.2">
      <c r="A2162" s="121">
        <v>39994</v>
      </c>
      <c r="B2162" t="s">
        <v>406</v>
      </c>
      <c r="C2162" t="s">
        <v>510</v>
      </c>
      <c r="D2162" t="s">
        <v>545</v>
      </c>
      <c r="E2162" t="s">
        <v>546</v>
      </c>
      <c r="F2162" t="s">
        <v>410</v>
      </c>
      <c r="G2162">
        <v>208</v>
      </c>
      <c r="I2162">
        <v>208</v>
      </c>
    </row>
    <row r="2163" spans="1:17" x14ac:dyDescent="0.2">
      <c r="A2163" s="121">
        <v>39994</v>
      </c>
      <c r="B2163" t="s">
        <v>406</v>
      </c>
      <c r="C2163" t="s">
        <v>510</v>
      </c>
      <c r="D2163" t="s">
        <v>547</v>
      </c>
      <c r="E2163" t="s">
        <v>548</v>
      </c>
      <c r="F2163" t="s">
        <v>410</v>
      </c>
      <c r="G2163">
        <v>170</v>
      </c>
      <c r="I2163">
        <v>170</v>
      </c>
    </row>
    <row r="2164" spans="1:17" x14ac:dyDescent="0.2">
      <c r="A2164" s="121">
        <v>39994</v>
      </c>
      <c r="B2164" t="s">
        <v>406</v>
      </c>
      <c r="C2164" t="s">
        <v>510</v>
      </c>
      <c r="D2164" t="s">
        <v>549</v>
      </c>
      <c r="E2164" t="s">
        <v>550</v>
      </c>
      <c r="F2164" t="s">
        <v>410</v>
      </c>
      <c r="G2164">
        <v>190</v>
      </c>
      <c r="I2164">
        <v>189</v>
      </c>
    </row>
    <row r="2165" spans="1:17" x14ac:dyDescent="0.2">
      <c r="A2165" s="121">
        <v>39994</v>
      </c>
      <c r="B2165" t="s">
        <v>406</v>
      </c>
      <c r="C2165" t="s">
        <v>551</v>
      </c>
      <c r="D2165" t="s">
        <v>552</v>
      </c>
      <c r="E2165" t="s">
        <v>553</v>
      </c>
      <c r="F2165" t="s">
        <v>413</v>
      </c>
      <c r="G2165">
        <v>6302</v>
      </c>
      <c r="H2165">
        <v>6302</v>
      </c>
      <c r="I2165">
        <v>6145</v>
      </c>
      <c r="J2165">
        <v>6145</v>
      </c>
      <c r="K2165">
        <v>1563</v>
      </c>
      <c r="L2165">
        <v>6</v>
      </c>
      <c r="M2165">
        <v>4465</v>
      </c>
      <c r="N2165">
        <v>251</v>
      </c>
      <c r="O2165">
        <v>17</v>
      </c>
      <c r="P2165">
        <v>8</v>
      </c>
      <c r="Q2165">
        <v>2</v>
      </c>
    </row>
    <row r="2166" spans="1:17" x14ac:dyDescent="0.2">
      <c r="A2166" s="121">
        <v>39994</v>
      </c>
      <c r="B2166" t="s">
        <v>406</v>
      </c>
      <c r="C2166" t="s">
        <v>551</v>
      </c>
      <c r="D2166" t="s">
        <v>554</v>
      </c>
      <c r="E2166" t="s">
        <v>555</v>
      </c>
      <c r="F2166" t="s">
        <v>410</v>
      </c>
      <c r="G2166">
        <v>107</v>
      </c>
      <c r="I2166">
        <v>107</v>
      </c>
    </row>
    <row r="2167" spans="1:17" x14ac:dyDescent="0.2">
      <c r="A2167" s="121">
        <v>39994</v>
      </c>
      <c r="B2167" t="s">
        <v>406</v>
      </c>
      <c r="C2167" t="s">
        <v>551</v>
      </c>
      <c r="D2167" t="s">
        <v>556</v>
      </c>
      <c r="E2167" t="s">
        <v>557</v>
      </c>
      <c r="F2167" t="s">
        <v>410</v>
      </c>
      <c r="G2167">
        <v>207</v>
      </c>
      <c r="I2167">
        <v>207</v>
      </c>
    </row>
    <row r="2168" spans="1:17" x14ac:dyDescent="0.2">
      <c r="A2168" s="121">
        <v>39994</v>
      </c>
      <c r="B2168" t="s">
        <v>406</v>
      </c>
      <c r="C2168" t="s">
        <v>551</v>
      </c>
      <c r="D2168" t="s">
        <v>558</v>
      </c>
      <c r="E2168" t="s">
        <v>559</v>
      </c>
      <c r="F2168" t="s">
        <v>413</v>
      </c>
      <c r="G2168">
        <v>5106</v>
      </c>
      <c r="H2168">
        <v>5106</v>
      </c>
      <c r="I2168">
        <v>5032</v>
      </c>
      <c r="J2168">
        <v>5032</v>
      </c>
      <c r="K2168">
        <v>1085</v>
      </c>
      <c r="L2168">
        <v>8</v>
      </c>
      <c r="M2168">
        <v>3856</v>
      </c>
      <c r="N2168">
        <v>127</v>
      </c>
      <c r="O2168">
        <v>30</v>
      </c>
      <c r="P2168">
        <v>1</v>
      </c>
      <c r="Q2168">
        <v>1</v>
      </c>
    </row>
    <row r="2169" spans="1:17" x14ac:dyDescent="0.2">
      <c r="A2169" s="121">
        <v>39994</v>
      </c>
      <c r="B2169" t="s">
        <v>406</v>
      </c>
      <c r="C2169" t="s">
        <v>551</v>
      </c>
      <c r="D2169" t="s">
        <v>560</v>
      </c>
      <c r="E2169" t="s">
        <v>561</v>
      </c>
      <c r="F2169" t="s">
        <v>413</v>
      </c>
      <c r="G2169">
        <v>6098</v>
      </c>
      <c r="H2169">
        <v>6098</v>
      </c>
      <c r="I2169">
        <v>6061</v>
      </c>
      <c r="J2169">
        <v>6061</v>
      </c>
      <c r="K2169">
        <v>1272</v>
      </c>
      <c r="L2169">
        <v>11</v>
      </c>
      <c r="M2169">
        <v>4546</v>
      </c>
      <c r="N2169">
        <v>249</v>
      </c>
      <c r="O2169">
        <v>20</v>
      </c>
      <c r="P2169">
        <v>1</v>
      </c>
      <c r="Q2169">
        <v>0</v>
      </c>
    </row>
    <row r="2170" spans="1:17" x14ac:dyDescent="0.2">
      <c r="A2170" s="121">
        <v>39994</v>
      </c>
      <c r="B2170" t="s">
        <v>406</v>
      </c>
      <c r="C2170" t="s">
        <v>562</v>
      </c>
      <c r="D2170" t="s">
        <v>603</v>
      </c>
      <c r="E2170" t="s">
        <v>604</v>
      </c>
      <c r="F2170" t="s">
        <v>410</v>
      </c>
      <c r="G2170">
        <v>24</v>
      </c>
      <c r="I2170">
        <v>24</v>
      </c>
    </row>
    <row r="2171" spans="1:17" x14ac:dyDescent="0.2">
      <c r="A2171" s="121">
        <v>39994</v>
      </c>
      <c r="B2171" t="s">
        <v>406</v>
      </c>
      <c r="C2171" t="s">
        <v>562</v>
      </c>
      <c r="D2171" t="s">
        <v>605</v>
      </c>
      <c r="E2171" t="s">
        <v>606</v>
      </c>
      <c r="F2171" t="s">
        <v>410</v>
      </c>
      <c r="G2171">
        <v>163</v>
      </c>
      <c r="I2171">
        <v>163</v>
      </c>
    </row>
    <row r="2172" spans="1:17" x14ac:dyDescent="0.2">
      <c r="A2172" s="121">
        <v>39994</v>
      </c>
      <c r="B2172" t="s">
        <v>406</v>
      </c>
      <c r="C2172" t="s">
        <v>562</v>
      </c>
      <c r="D2172" t="s">
        <v>563</v>
      </c>
      <c r="E2172" t="s">
        <v>564</v>
      </c>
      <c r="F2172" t="s">
        <v>410</v>
      </c>
      <c r="G2172">
        <v>3094</v>
      </c>
      <c r="H2172">
        <v>3094</v>
      </c>
      <c r="I2172">
        <v>3059</v>
      </c>
      <c r="J2172">
        <v>3059</v>
      </c>
      <c r="K2172">
        <v>951</v>
      </c>
      <c r="L2172">
        <v>2</v>
      </c>
      <c r="M2172">
        <v>2113</v>
      </c>
      <c r="N2172">
        <v>28</v>
      </c>
      <c r="O2172">
        <v>0</v>
      </c>
      <c r="P2172">
        <v>2</v>
      </c>
      <c r="Q2172">
        <v>0</v>
      </c>
    </row>
    <row r="2173" spans="1:17" x14ac:dyDescent="0.2">
      <c r="A2173" s="121">
        <v>39994</v>
      </c>
      <c r="B2173" t="s">
        <v>406</v>
      </c>
      <c r="C2173" t="s">
        <v>562</v>
      </c>
      <c r="D2173" t="s">
        <v>565</v>
      </c>
      <c r="E2173" t="s">
        <v>566</v>
      </c>
      <c r="F2173" t="s">
        <v>413</v>
      </c>
      <c r="G2173">
        <v>4305</v>
      </c>
      <c r="H2173">
        <v>4305</v>
      </c>
      <c r="I2173">
        <v>4226</v>
      </c>
      <c r="J2173">
        <v>4226</v>
      </c>
      <c r="K2173">
        <v>902</v>
      </c>
      <c r="L2173">
        <v>7</v>
      </c>
      <c r="M2173">
        <v>3285</v>
      </c>
      <c r="N2173">
        <v>111</v>
      </c>
      <c r="O2173">
        <v>0</v>
      </c>
      <c r="P2173">
        <v>6</v>
      </c>
      <c r="Q2173">
        <v>0</v>
      </c>
    </row>
    <row r="2174" spans="1:17" x14ac:dyDescent="0.2">
      <c r="A2174" s="121">
        <v>39994</v>
      </c>
      <c r="B2174" t="s">
        <v>406</v>
      </c>
      <c r="C2174" t="s">
        <v>562</v>
      </c>
      <c r="D2174" t="s">
        <v>567</v>
      </c>
      <c r="E2174" t="s">
        <v>568</v>
      </c>
      <c r="F2174" t="s">
        <v>413</v>
      </c>
      <c r="G2174">
        <v>8917</v>
      </c>
      <c r="H2174">
        <v>8917</v>
      </c>
      <c r="I2174">
        <v>8333</v>
      </c>
      <c r="J2174">
        <v>8333</v>
      </c>
      <c r="K2174">
        <v>2542</v>
      </c>
      <c r="L2174">
        <v>21</v>
      </c>
      <c r="M2174">
        <v>6057</v>
      </c>
      <c r="N2174">
        <v>297</v>
      </c>
      <c r="O2174">
        <v>0</v>
      </c>
      <c r="P2174">
        <v>61</v>
      </c>
      <c r="Q2174">
        <v>2</v>
      </c>
    </row>
    <row r="2175" spans="1:17" x14ac:dyDescent="0.2">
      <c r="A2175" s="121">
        <v>39994</v>
      </c>
      <c r="B2175" t="s">
        <v>406</v>
      </c>
      <c r="C2175" t="s">
        <v>562</v>
      </c>
      <c r="D2175" t="s">
        <v>569</v>
      </c>
      <c r="E2175" t="s">
        <v>570</v>
      </c>
      <c r="F2175" t="s">
        <v>413</v>
      </c>
      <c r="G2175">
        <v>3237</v>
      </c>
      <c r="H2175">
        <v>3237</v>
      </c>
      <c r="I2175">
        <v>3226</v>
      </c>
      <c r="J2175">
        <v>3226</v>
      </c>
      <c r="K2175">
        <v>431</v>
      </c>
      <c r="L2175">
        <v>2</v>
      </c>
      <c r="M2175">
        <v>2803</v>
      </c>
      <c r="N2175">
        <v>1</v>
      </c>
      <c r="O2175">
        <v>0</v>
      </c>
      <c r="P2175">
        <v>1</v>
      </c>
      <c r="Q2175">
        <v>0</v>
      </c>
    </row>
    <row r="2176" spans="1:17" x14ac:dyDescent="0.2">
      <c r="A2176" s="121">
        <v>39994</v>
      </c>
      <c r="B2176" t="s">
        <v>406</v>
      </c>
      <c r="C2176" t="s">
        <v>571</v>
      </c>
      <c r="D2176" t="s">
        <v>572</v>
      </c>
      <c r="E2176" t="s">
        <v>573</v>
      </c>
      <c r="F2176" t="s">
        <v>410</v>
      </c>
      <c r="G2176">
        <v>360</v>
      </c>
      <c r="I2176">
        <v>359</v>
      </c>
    </row>
    <row r="2177" spans="1:17" x14ac:dyDescent="0.2">
      <c r="A2177" s="121">
        <v>39994</v>
      </c>
      <c r="B2177" t="s">
        <v>406</v>
      </c>
      <c r="C2177" t="s">
        <v>574</v>
      </c>
      <c r="D2177" t="s">
        <v>575</v>
      </c>
      <c r="E2177" t="s">
        <v>576</v>
      </c>
      <c r="F2177" t="s">
        <v>413</v>
      </c>
      <c r="G2177">
        <v>778</v>
      </c>
      <c r="H2177">
        <v>778</v>
      </c>
      <c r="I2177">
        <v>776</v>
      </c>
      <c r="J2177">
        <v>776</v>
      </c>
      <c r="K2177">
        <v>131</v>
      </c>
      <c r="L2177">
        <v>1</v>
      </c>
      <c r="M2177">
        <v>608</v>
      </c>
      <c r="N2177">
        <v>1</v>
      </c>
      <c r="O2177">
        <v>37</v>
      </c>
      <c r="P2177">
        <v>0</v>
      </c>
      <c r="Q2177">
        <v>0</v>
      </c>
    </row>
    <row r="2178" spans="1:17" x14ac:dyDescent="0.2">
      <c r="A2178" s="121">
        <v>39994</v>
      </c>
      <c r="B2178" t="s">
        <v>406</v>
      </c>
      <c r="C2178" t="s">
        <v>577</v>
      </c>
      <c r="D2178" t="s">
        <v>578</v>
      </c>
      <c r="E2178" t="s">
        <v>579</v>
      </c>
      <c r="F2178" t="s">
        <v>413</v>
      </c>
      <c r="G2178">
        <v>4159</v>
      </c>
      <c r="H2178">
        <v>4159</v>
      </c>
      <c r="I2178">
        <v>4127</v>
      </c>
      <c r="J2178">
        <v>4127</v>
      </c>
      <c r="K2178">
        <v>931</v>
      </c>
      <c r="L2178">
        <v>10</v>
      </c>
      <c r="M2178">
        <v>3183</v>
      </c>
      <c r="N2178">
        <v>35</v>
      </c>
      <c r="O2178">
        <v>0</v>
      </c>
      <c r="P2178">
        <v>0</v>
      </c>
      <c r="Q2178">
        <v>0</v>
      </c>
    </row>
    <row r="2179" spans="1:17" x14ac:dyDescent="0.2">
      <c r="A2179" s="121">
        <v>39994</v>
      </c>
      <c r="B2179" t="s">
        <v>406</v>
      </c>
      <c r="C2179" t="s">
        <v>577</v>
      </c>
      <c r="D2179" t="s">
        <v>580</v>
      </c>
      <c r="E2179" t="s">
        <v>581</v>
      </c>
      <c r="F2179" t="s">
        <v>413</v>
      </c>
      <c r="G2179">
        <v>2267</v>
      </c>
      <c r="H2179">
        <v>2267</v>
      </c>
      <c r="I2179">
        <v>2257</v>
      </c>
      <c r="J2179">
        <v>2257</v>
      </c>
      <c r="K2179">
        <v>364</v>
      </c>
      <c r="L2179">
        <v>6</v>
      </c>
      <c r="M2179">
        <v>1708</v>
      </c>
      <c r="N2179">
        <v>33</v>
      </c>
      <c r="O2179">
        <v>156</v>
      </c>
      <c r="P2179">
        <v>1</v>
      </c>
      <c r="Q2179">
        <v>0</v>
      </c>
    </row>
    <row r="2180" spans="1:17" x14ac:dyDescent="0.2">
      <c r="A2180" s="121">
        <v>39994</v>
      </c>
      <c r="B2180" t="s">
        <v>406</v>
      </c>
      <c r="C2180" t="s">
        <v>577</v>
      </c>
      <c r="D2180" t="s">
        <v>609</v>
      </c>
      <c r="E2180" t="s">
        <v>610</v>
      </c>
      <c r="F2180" t="s">
        <v>410</v>
      </c>
      <c r="G2180">
        <v>36</v>
      </c>
      <c r="H2180">
        <v>36</v>
      </c>
      <c r="I2180">
        <v>36</v>
      </c>
      <c r="J2180">
        <v>36</v>
      </c>
      <c r="K2180">
        <v>1</v>
      </c>
      <c r="L2180">
        <v>0</v>
      </c>
      <c r="M2180">
        <v>31</v>
      </c>
      <c r="N2180">
        <v>0</v>
      </c>
      <c r="O2180">
        <v>4</v>
      </c>
      <c r="P2180">
        <v>0</v>
      </c>
      <c r="Q2180">
        <v>0</v>
      </c>
    </row>
    <row r="2181" spans="1:17" x14ac:dyDescent="0.2">
      <c r="A2181" s="121">
        <v>39994</v>
      </c>
      <c r="B2181" t="s">
        <v>406</v>
      </c>
      <c r="C2181" t="s">
        <v>577</v>
      </c>
      <c r="D2181" t="s">
        <v>611</v>
      </c>
      <c r="E2181" t="s">
        <v>612</v>
      </c>
      <c r="F2181" t="s">
        <v>410</v>
      </c>
      <c r="G2181">
        <v>26</v>
      </c>
      <c r="H2181">
        <v>26</v>
      </c>
      <c r="I2181">
        <v>26</v>
      </c>
      <c r="J2181">
        <v>26</v>
      </c>
      <c r="K2181">
        <v>0</v>
      </c>
      <c r="L2181">
        <v>0</v>
      </c>
      <c r="M2181">
        <v>14</v>
      </c>
      <c r="N2181">
        <v>0</v>
      </c>
      <c r="O2181">
        <v>12</v>
      </c>
      <c r="P2181">
        <v>0</v>
      </c>
      <c r="Q2181">
        <v>0</v>
      </c>
    </row>
    <row r="2182" spans="1:17" x14ac:dyDescent="0.2">
      <c r="A2182" s="121">
        <v>39994</v>
      </c>
      <c r="B2182" t="s">
        <v>406</v>
      </c>
      <c r="C2182" t="s">
        <v>577</v>
      </c>
      <c r="D2182" t="s">
        <v>584</v>
      </c>
      <c r="E2182" t="s">
        <v>585</v>
      </c>
      <c r="F2182" t="s">
        <v>410</v>
      </c>
      <c r="G2182">
        <v>295</v>
      </c>
      <c r="H2182">
        <v>295</v>
      </c>
      <c r="I2182">
        <v>295</v>
      </c>
      <c r="J2182">
        <v>295</v>
      </c>
      <c r="K2182">
        <v>17</v>
      </c>
      <c r="L2182">
        <v>0</v>
      </c>
      <c r="M2182">
        <v>237</v>
      </c>
      <c r="N2182">
        <v>0</v>
      </c>
      <c r="O2182">
        <v>41</v>
      </c>
      <c r="P2182">
        <v>0</v>
      </c>
      <c r="Q2182">
        <v>0</v>
      </c>
    </row>
    <row r="2183" spans="1:17" x14ac:dyDescent="0.2">
      <c r="A2183" s="121">
        <v>39994</v>
      </c>
      <c r="B2183" t="s">
        <v>406</v>
      </c>
      <c r="C2183" t="s">
        <v>577</v>
      </c>
      <c r="D2183" t="s">
        <v>586</v>
      </c>
      <c r="E2183" t="s">
        <v>587</v>
      </c>
      <c r="F2183" t="s">
        <v>410</v>
      </c>
      <c r="G2183">
        <v>1111</v>
      </c>
      <c r="H2183">
        <v>1111</v>
      </c>
      <c r="I2183">
        <v>1110</v>
      </c>
      <c r="J2183">
        <v>1110</v>
      </c>
      <c r="K2183">
        <v>33</v>
      </c>
      <c r="L2183">
        <v>0</v>
      </c>
      <c r="M2183">
        <v>762</v>
      </c>
      <c r="N2183">
        <v>0</v>
      </c>
      <c r="O2183">
        <v>316</v>
      </c>
      <c r="P2183">
        <v>0</v>
      </c>
      <c r="Q2183">
        <v>0</v>
      </c>
    </row>
    <row r="2184" spans="1:17" x14ac:dyDescent="0.2">
      <c r="A2184" s="121">
        <v>39994</v>
      </c>
      <c r="B2184" t="s">
        <v>406</v>
      </c>
      <c r="C2184" t="s">
        <v>577</v>
      </c>
      <c r="D2184" t="s">
        <v>588</v>
      </c>
      <c r="E2184" t="s">
        <v>589</v>
      </c>
      <c r="F2184" t="s">
        <v>410</v>
      </c>
      <c r="G2184">
        <v>249</v>
      </c>
      <c r="H2184">
        <v>249</v>
      </c>
      <c r="I2184">
        <v>249</v>
      </c>
      <c r="J2184">
        <v>249</v>
      </c>
      <c r="K2184">
        <v>12</v>
      </c>
      <c r="L2184">
        <v>0</v>
      </c>
      <c r="M2184">
        <v>188</v>
      </c>
      <c r="N2184">
        <v>0</v>
      </c>
      <c r="O2184">
        <v>49</v>
      </c>
      <c r="P2184">
        <v>0</v>
      </c>
      <c r="Q2184">
        <v>0</v>
      </c>
    </row>
    <row r="2185" spans="1:17" x14ac:dyDescent="0.2">
      <c r="A2185" s="121">
        <v>39994</v>
      </c>
      <c r="B2185" t="s">
        <v>406</v>
      </c>
      <c r="C2185" t="s">
        <v>577</v>
      </c>
      <c r="D2185" t="s">
        <v>613</v>
      </c>
      <c r="E2185" t="s">
        <v>614</v>
      </c>
      <c r="F2185" t="s">
        <v>410</v>
      </c>
      <c r="G2185">
        <v>225</v>
      </c>
      <c r="H2185">
        <v>225</v>
      </c>
      <c r="I2185">
        <v>225</v>
      </c>
      <c r="J2185">
        <v>225</v>
      </c>
      <c r="K2185">
        <v>22</v>
      </c>
      <c r="L2185">
        <v>0</v>
      </c>
      <c r="M2185">
        <v>162</v>
      </c>
      <c r="N2185">
        <v>0</v>
      </c>
      <c r="O2185">
        <v>41</v>
      </c>
      <c r="P2185">
        <v>0</v>
      </c>
      <c r="Q2185">
        <v>0</v>
      </c>
    </row>
    <row r="2186" spans="1:17" x14ac:dyDescent="0.2">
      <c r="A2186" s="121">
        <v>39994</v>
      </c>
      <c r="B2186" t="s">
        <v>406</v>
      </c>
      <c r="C2186" t="s">
        <v>577</v>
      </c>
      <c r="D2186" t="s">
        <v>590</v>
      </c>
      <c r="E2186" t="s">
        <v>591</v>
      </c>
      <c r="F2186" t="s">
        <v>410</v>
      </c>
      <c r="G2186">
        <v>589</v>
      </c>
      <c r="H2186">
        <v>589</v>
      </c>
      <c r="I2186">
        <v>589</v>
      </c>
      <c r="J2186">
        <v>589</v>
      </c>
      <c r="K2186">
        <v>14</v>
      </c>
      <c r="L2186">
        <v>0</v>
      </c>
      <c r="M2186">
        <v>519</v>
      </c>
      <c r="N2186">
        <v>0</v>
      </c>
      <c r="O2186">
        <v>56</v>
      </c>
      <c r="P2186">
        <v>0</v>
      </c>
      <c r="Q2186">
        <v>0</v>
      </c>
    </row>
    <row r="2187" spans="1:17" x14ac:dyDescent="0.2">
      <c r="A2187" s="121">
        <v>39994</v>
      </c>
      <c r="B2187" t="s">
        <v>406</v>
      </c>
      <c r="C2187" t="s">
        <v>577</v>
      </c>
      <c r="D2187" t="s">
        <v>607</v>
      </c>
      <c r="E2187" t="s">
        <v>608</v>
      </c>
      <c r="F2187" t="s">
        <v>410</v>
      </c>
      <c r="G2187">
        <v>139</v>
      </c>
      <c r="H2187">
        <v>139</v>
      </c>
      <c r="I2187">
        <v>139</v>
      </c>
      <c r="J2187">
        <v>139</v>
      </c>
      <c r="K2187">
        <v>13</v>
      </c>
      <c r="L2187">
        <v>0</v>
      </c>
      <c r="M2187">
        <v>107</v>
      </c>
      <c r="N2187">
        <v>0</v>
      </c>
      <c r="O2187">
        <v>19</v>
      </c>
      <c r="P2187">
        <v>0</v>
      </c>
      <c r="Q2187">
        <v>0</v>
      </c>
    </row>
    <row r="2188" spans="1:17" x14ac:dyDescent="0.2">
      <c r="A2188" s="121">
        <v>39994</v>
      </c>
      <c r="B2188" t="s">
        <v>406</v>
      </c>
      <c r="C2188" t="s">
        <v>577</v>
      </c>
      <c r="D2188" t="s">
        <v>592</v>
      </c>
      <c r="E2188" t="s">
        <v>593</v>
      </c>
      <c r="F2188" t="s">
        <v>410</v>
      </c>
      <c r="G2188">
        <v>537</v>
      </c>
      <c r="H2188">
        <v>537</v>
      </c>
      <c r="I2188">
        <v>537</v>
      </c>
      <c r="J2188">
        <v>537</v>
      </c>
      <c r="K2188">
        <v>16</v>
      </c>
      <c r="L2188">
        <v>0</v>
      </c>
      <c r="M2188">
        <v>412</v>
      </c>
      <c r="N2188">
        <v>0</v>
      </c>
      <c r="O2188">
        <v>109</v>
      </c>
      <c r="P2188">
        <v>0</v>
      </c>
      <c r="Q2188">
        <v>0</v>
      </c>
    </row>
    <row r="2189" spans="1:17" x14ac:dyDescent="0.2">
      <c r="A2189" s="121">
        <v>39994</v>
      </c>
      <c r="B2189" t="s">
        <v>406</v>
      </c>
      <c r="C2189" t="s">
        <v>594</v>
      </c>
      <c r="D2189" t="s">
        <v>595</v>
      </c>
      <c r="E2189" t="s">
        <v>596</v>
      </c>
      <c r="F2189" t="s">
        <v>410</v>
      </c>
      <c r="G2189">
        <v>44</v>
      </c>
      <c r="I2189">
        <v>44</v>
      </c>
    </row>
    <row r="2190" spans="1:17" x14ac:dyDescent="0.2">
      <c r="A2190" s="121">
        <v>39994</v>
      </c>
      <c r="B2190" t="s">
        <v>406</v>
      </c>
      <c r="C2190" t="s">
        <v>594</v>
      </c>
      <c r="D2190" t="s">
        <v>597</v>
      </c>
      <c r="E2190" t="s">
        <v>598</v>
      </c>
      <c r="F2190" t="s">
        <v>413</v>
      </c>
      <c r="G2190">
        <v>700</v>
      </c>
      <c r="H2190">
        <v>700</v>
      </c>
      <c r="I2190">
        <v>695</v>
      </c>
      <c r="J2190">
        <v>695</v>
      </c>
      <c r="K2190">
        <v>148</v>
      </c>
      <c r="L2190">
        <v>0</v>
      </c>
      <c r="M2190">
        <v>542</v>
      </c>
      <c r="N2190">
        <v>0</v>
      </c>
      <c r="O2190">
        <v>10</v>
      </c>
      <c r="P2190">
        <v>0</v>
      </c>
      <c r="Q2190">
        <v>0</v>
      </c>
    </row>
    <row r="2191" spans="1:17" x14ac:dyDescent="0.2">
      <c r="A2191" s="121">
        <v>39994</v>
      </c>
      <c r="B2191" t="s">
        <v>406</v>
      </c>
      <c r="C2191" t="s">
        <v>594</v>
      </c>
      <c r="D2191" t="s">
        <v>599</v>
      </c>
      <c r="E2191" t="s">
        <v>600</v>
      </c>
      <c r="F2191" t="s">
        <v>410</v>
      </c>
      <c r="G2191">
        <v>146</v>
      </c>
      <c r="I2191">
        <v>146</v>
      </c>
    </row>
    <row r="2192" spans="1:17" x14ac:dyDescent="0.2">
      <c r="A2192" s="121">
        <v>40025</v>
      </c>
      <c r="B2192" t="s">
        <v>406</v>
      </c>
      <c r="C2192" t="s">
        <v>407</v>
      </c>
      <c r="D2192" t="s">
        <v>408</v>
      </c>
      <c r="E2192" t="s">
        <v>409</v>
      </c>
      <c r="F2192" t="s">
        <v>410</v>
      </c>
      <c r="G2192">
        <v>304</v>
      </c>
      <c r="I2192">
        <v>304</v>
      </c>
    </row>
    <row r="2193" spans="1:17" x14ac:dyDescent="0.2">
      <c r="A2193" s="121">
        <v>40025</v>
      </c>
      <c r="B2193" t="s">
        <v>406</v>
      </c>
      <c r="C2193" t="s">
        <v>407</v>
      </c>
      <c r="D2193" t="s">
        <v>601</v>
      </c>
      <c r="E2193" t="s">
        <v>602</v>
      </c>
      <c r="F2193" t="s">
        <v>410</v>
      </c>
      <c r="G2193">
        <v>104</v>
      </c>
      <c r="I2193">
        <v>104</v>
      </c>
    </row>
    <row r="2194" spans="1:17" x14ac:dyDescent="0.2">
      <c r="A2194" s="121">
        <v>40025</v>
      </c>
      <c r="B2194" t="s">
        <v>406</v>
      </c>
      <c r="C2194" t="s">
        <v>407</v>
      </c>
      <c r="D2194" t="s">
        <v>411</v>
      </c>
      <c r="E2194" t="s">
        <v>412</v>
      </c>
      <c r="F2194" t="s">
        <v>413</v>
      </c>
      <c r="G2194">
        <v>5528</v>
      </c>
      <c r="H2194">
        <v>5528</v>
      </c>
      <c r="I2194">
        <v>5486</v>
      </c>
      <c r="J2194">
        <v>5486</v>
      </c>
      <c r="K2194">
        <v>2015</v>
      </c>
      <c r="L2194">
        <v>9</v>
      </c>
      <c r="M2194">
        <v>3312</v>
      </c>
      <c r="N2194">
        <v>39</v>
      </c>
      <c r="O2194">
        <v>153</v>
      </c>
      <c r="P2194">
        <v>0</v>
      </c>
      <c r="Q2194">
        <v>0</v>
      </c>
    </row>
    <row r="2195" spans="1:17" x14ac:dyDescent="0.2">
      <c r="A2195" s="121">
        <v>40025</v>
      </c>
      <c r="B2195" t="s">
        <v>406</v>
      </c>
      <c r="C2195" t="s">
        <v>407</v>
      </c>
      <c r="D2195" t="s">
        <v>414</v>
      </c>
      <c r="E2195" t="s">
        <v>415</v>
      </c>
      <c r="F2195" t="s">
        <v>410</v>
      </c>
      <c r="G2195">
        <v>99</v>
      </c>
      <c r="I2195">
        <v>99</v>
      </c>
    </row>
    <row r="2196" spans="1:17" x14ac:dyDescent="0.2">
      <c r="A2196" s="121">
        <v>40025</v>
      </c>
      <c r="B2196" t="s">
        <v>406</v>
      </c>
      <c r="C2196" t="s">
        <v>407</v>
      </c>
      <c r="D2196" t="s">
        <v>416</v>
      </c>
      <c r="E2196" t="s">
        <v>417</v>
      </c>
      <c r="F2196" t="s">
        <v>413</v>
      </c>
      <c r="G2196">
        <v>3866</v>
      </c>
      <c r="H2196">
        <v>3866</v>
      </c>
      <c r="I2196">
        <v>3836</v>
      </c>
      <c r="J2196">
        <v>3836</v>
      </c>
      <c r="K2196">
        <v>1281</v>
      </c>
      <c r="L2196">
        <v>4</v>
      </c>
      <c r="M2196">
        <v>2440</v>
      </c>
      <c r="N2196">
        <v>97</v>
      </c>
      <c r="O2196">
        <v>44</v>
      </c>
      <c r="P2196">
        <v>0</v>
      </c>
      <c r="Q2196">
        <v>0</v>
      </c>
    </row>
    <row r="2197" spans="1:17" x14ac:dyDescent="0.2">
      <c r="A2197" s="121">
        <v>40025</v>
      </c>
      <c r="B2197" t="s">
        <v>406</v>
      </c>
      <c r="C2197" t="s">
        <v>418</v>
      </c>
      <c r="D2197" t="s">
        <v>419</v>
      </c>
      <c r="E2197" t="s">
        <v>420</v>
      </c>
      <c r="F2197" t="s">
        <v>410</v>
      </c>
      <c r="G2197">
        <v>22</v>
      </c>
      <c r="I2197">
        <v>22</v>
      </c>
    </row>
    <row r="2198" spans="1:17" x14ac:dyDescent="0.2">
      <c r="A2198" s="121">
        <v>40025</v>
      </c>
      <c r="B2198" t="s">
        <v>406</v>
      </c>
      <c r="C2198" t="s">
        <v>418</v>
      </c>
      <c r="D2198" t="s">
        <v>421</v>
      </c>
      <c r="E2198" t="s">
        <v>422</v>
      </c>
      <c r="F2198" t="s">
        <v>410</v>
      </c>
      <c r="G2198">
        <v>112</v>
      </c>
      <c r="I2198">
        <v>112</v>
      </c>
    </row>
    <row r="2199" spans="1:17" x14ac:dyDescent="0.2">
      <c r="A2199" s="121">
        <v>40025</v>
      </c>
      <c r="B2199" t="s">
        <v>406</v>
      </c>
      <c r="C2199" t="s">
        <v>418</v>
      </c>
      <c r="D2199" t="s">
        <v>423</v>
      </c>
      <c r="E2199" t="s">
        <v>424</v>
      </c>
      <c r="F2199" t="s">
        <v>410</v>
      </c>
      <c r="G2199">
        <v>41</v>
      </c>
      <c r="I2199">
        <v>41</v>
      </c>
    </row>
    <row r="2200" spans="1:17" x14ac:dyDescent="0.2">
      <c r="A2200" s="121">
        <v>40025</v>
      </c>
      <c r="B2200" t="s">
        <v>406</v>
      </c>
      <c r="C2200" t="s">
        <v>418</v>
      </c>
      <c r="D2200" t="s">
        <v>425</v>
      </c>
      <c r="E2200" t="s">
        <v>426</v>
      </c>
      <c r="F2200" t="s">
        <v>410</v>
      </c>
      <c r="G2200">
        <v>79</v>
      </c>
      <c r="I2200">
        <v>79</v>
      </c>
    </row>
    <row r="2201" spans="1:17" x14ac:dyDescent="0.2">
      <c r="A2201" s="121">
        <v>40025</v>
      </c>
      <c r="B2201" t="s">
        <v>406</v>
      </c>
      <c r="C2201" t="s">
        <v>418</v>
      </c>
      <c r="D2201" t="s">
        <v>427</v>
      </c>
      <c r="E2201" t="s">
        <v>428</v>
      </c>
      <c r="F2201" t="s">
        <v>413</v>
      </c>
      <c r="G2201">
        <v>1945</v>
      </c>
      <c r="H2201">
        <v>1945</v>
      </c>
      <c r="I2201">
        <v>1907</v>
      </c>
      <c r="J2201">
        <v>1907</v>
      </c>
      <c r="K2201">
        <v>616</v>
      </c>
      <c r="L2201">
        <v>2</v>
      </c>
      <c r="M2201">
        <v>1047</v>
      </c>
      <c r="N2201">
        <v>26</v>
      </c>
      <c r="O2201">
        <v>254</v>
      </c>
      <c r="P2201">
        <v>0</v>
      </c>
      <c r="Q2201">
        <v>0</v>
      </c>
    </row>
    <row r="2202" spans="1:17" x14ac:dyDescent="0.2">
      <c r="A2202" s="121">
        <v>40025</v>
      </c>
      <c r="B2202" t="s">
        <v>406</v>
      </c>
      <c r="C2202" t="s">
        <v>429</v>
      </c>
      <c r="D2202" t="s">
        <v>430</v>
      </c>
      <c r="E2202" t="s">
        <v>431</v>
      </c>
      <c r="F2202" t="s">
        <v>410</v>
      </c>
      <c r="G2202">
        <v>76</v>
      </c>
      <c r="I2202">
        <v>76</v>
      </c>
    </row>
    <row r="2203" spans="1:17" x14ac:dyDescent="0.2">
      <c r="A2203" s="121">
        <v>40025</v>
      </c>
      <c r="B2203" t="s">
        <v>406</v>
      </c>
      <c r="C2203" t="s">
        <v>429</v>
      </c>
      <c r="D2203" t="s">
        <v>432</v>
      </c>
      <c r="E2203" t="s">
        <v>433</v>
      </c>
      <c r="F2203" t="s">
        <v>410</v>
      </c>
      <c r="G2203">
        <v>75</v>
      </c>
      <c r="I2203">
        <v>75</v>
      </c>
    </row>
    <row r="2204" spans="1:17" x14ac:dyDescent="0.2">
      <c r="A2204" s="121">
        <v>40025</v>
      </c>
      <c r="B2204" t="s">
        <v>406</v>
      </c>
      <c r="C2204" t="s">
        <v>429</v>
      </c>
      <c r="D2204" t="s">
        <v>434</v>
      </c>
      <c r="E2204" t="s">
        <v>435</v>
      </c>
      <c r="F2204" t="s">
        <v>410</v>
      </c>
      <c r="G2204">
        <v>47</v>
      </c>
      <c r="I2204">
        <v>47</v>
      </c>
    </row>
    <row r="2205" spans="1:17" x14ac:dyDescent="0.2">
      <c r="A2205" s="121">
        <v>40025</v>
      </c>
      <c r="B2205" t="s">
        <v>406</v>
      </c>
      <c r="C2205" t="s">
        <v>429</v>
      </c>
      <c r="D2205" t="s">
        <v>436</v>
      </c>
      <c r="E2205" t="s">
        <v>437</v>
      </c>
      <c r="F2205" t="s">
        <v>410</v>
      </c>
      <c r="G2205">
        <v>38</v>
      </c>
      <c r="I2205">
        <v>38</v>
      </c>
    </row>
    <row r="2206" spans="1:17" x14ac:dyDescent="0.2">
      <c r="A2206" s="121">
        <v>40025</v>
      </c>
      <c r="B2206" t="s">
        <v>406</v>
      </c>
      <c r="C2206" t="s">
        <v>429</v>
      </c>
      <c r="D2206" t="s">
        <v>438</v>
      </c>
      <c r="E2206" t="s">
        <v>439</v>
      </c>
      <c r="F2206" t="s">
        <v>413</v>
      </c>
      <c r="G2206">
        <v>1119</v>
      </c>
      <c r="H2206">
        <v>1119</v>
      </c>
      <c r="I2206">
        <v>1096</v>
      </c>
      <c r="J2206">
        <v>1096</v>
      </c>
      <c r="K2206">
        <v>105</v>
      </c>
      <c r="L2206">
        <v>0</v>
      </c>
      <c r="M2206">
        <v>1005</v>
      </c>
      <c r="N2206">
        <v>9</v>
      </c>
      <c r="O2206">
        <v>0</v>
      </c>
      <c r="P2206">
        <v>1</v>
      </c>
      <c r="Q2206">
        <v>0</v>
      </c>
    </row>
    <row r="2207" spans="1:17" x14ac:dyDescent="0.2">
      <c r="A2207" s="121">
        <v>40025</v>
      </c>
      <c r="B2207" t="s">
        <v>406</v>
      </c>
      <c r="C2207" t="s">
        <v>429</v>
      </c>
      <c r="D2207" t="s">
        <v>440</v>
      </c>
      <c r="E2207" t="s">
        <v>441</v>
      </c>
      <c r="F2207" t="s">
        <v>413</v>
      </c>
      <c r="G2207">
        <v>3158</v>
      </c>
      <c r="H2207">
        <v>3158</v>
      </c>
      <c r="I2207">
        <v>3063</v>
      </c>
      <c r="J2207">
        <v>3063</v>
      </c>
      <c r="K2207">
        <v>982</v>
      </c>
      <c r="L2207">
        <v>3</v>
      </c>
      <c r="M2207">
        <v>2076</v>
      </c>
      <c r="N2207">
        <v>19</v>
      </c>
      <c r="O2207">
        <v>78</v>
      </c>
      <c r="P2207">
        <v>2</v>
      </c>
      <c r="Q2207">
        <v>0</v>
      </c>
    </row>
    <row r="2208" spans="1:17" x14ac:dyDescent="0.2">
      <c r="A2208" s="121">
        <v>40025</v>
      </c>
      <c r="B2208" t="s">
        <v>406</v>
      </c>
      <c r="C2208" t="s">
        <v>442</v>
      </c>
      <c r="D2208" t="s">
        <v>443</v>
      </c>
      <c r="E2208" t="s">
        <v>444</v>
      </c>
      <c r="F2208" t="s">
        <v>413</v>
      </c>
      <c r="G2208">
        <v>3496</v>
      </c>
      <c r="H2208">
        <v>3496</v>
      </c>
      <c r="I2208">
        <v>3395</v>
      </c>
      <c r="J2208">
        <v>3395</v>
      </c>
      <c r="K2208">
        <v>408</v>
      </c>
      <c r="L2208">
        <v>4</v>
      </c>
      <c r="M2208">
        <v>2940</v>
      </c>
      <c r="N2208">
        <v>31</v>
      </c>
      <c r="O2208">
        <v>113</v>
      </c>
      <c r="P2208">
        <v>3</v>
      </c>
      <c r="Q2208">
        <v>0</v>
      </c>
    </row>
    <row r="2209" spans="1:17" x14ac:dyDescent="0.2">
      <c r="A2209" s="121">
        <v>40025</v>
      </c>
      <c r="B2209" t="s">
        <v>406</v>
      </c>
      <c r="C2209" t="s">
        <v>442</v>
      </c>
      <c r="D2209" t="s">
        <v>445</v>
      </c>
      <c r="E2209" t="s">
        <v>446</v>
      </c>
      <c r="F2209" t="s">
        <v>410</v>
      </c>
      <c r="G2209">
        <v>151</v>
      </c>
      <c r="I2209">
        <v>151</v>
      </c>
    </row>
    <row r="2210" spans="1:17" x14ac:dyDescent="0.2">
      <c r="A2210" s="121">
        <v>40025</v>
      </c>
      <c r="B2210" t="s">
        <v>406</v>
      </c>
      <c r="C2210" t="s">
        <v>442</v>
      </c>
      <c r="D2210" t="s">
        <v>447</v>
      </c>
      <c r="E2210" t="s">
        <v>448</v>
      </c>
      <c r="F2210" t="s">
        <v>410</v>
      </c>
      <c r="G2210">
        <v>362</v>
      </c>
      <c r="I2210">
        <v>362</v>
      </c>
    </row>
    <row r="2211" spans="1:17" x14ac:dyDescent="0.2">
      <c r="A2211" s="121">
        <v>40025</v>
      </c>
      <c r="B2211" t="s">
        <v>406</v>
      </c>
      <c r="C2211" t="s">
        <v>442</v>
      </c>
      <c r="D2211" t="s">
        <v>449</v>
      </c>
      <c r="E2211" t="s">
        <v>450</v>
      </c>
      <c r="F2211" t="s">
        <v>413</v>
      </c>
      <c r="G2211">
        <v>3538</v>
      </c>
      <c r="H2211">
        <v>3538</v>
      </c>
      <c r="I2211">
        <v>3461</v>
      </c>
      <c r="J2211">
        <v>3461</v>
      </c>
      <c r="K2211">
        <v>658</v>
      </c>
      <c r="L2211">
        <v>4</v>
      </c>
      <c r="M2211">
        <v>2795</v>
      </c>
      <c r="N2211">
        <v>24</v>
      </c>
      <c r="O2211">
        <v>57</v>
      </c>
      <c r="P2211">
        <v>10</v>
      </c>
      <c r="Q2211">
        <v>5</v>
      </c>
    </row>
    <row r="2212" spans="1:17" x14ac:dyDescent="0.2">
      <c r="A2212" s="121">
        <v>40025</v>
      </c>
      <c r="B2212" t="s">
        <v>406</v>
      </c>
      <c r="C2212" t="s">
        <v>451</v>
      </c>
      <c r="D2212" t="s">
        <v>452</v>
      </c>
      <c r="E2212" t="s">
        <v>453</v>
      </c>
      <c r="F2212" t="s">
        <v>410</v>
      </c>
      <c r="G2212">
        <v>1836</v>
      </c>
      <c r="H2212">
        <v>1836</v>
      </c>
      <c r="I2212">
        <v>1835</v>
      </c>
      <c r="J2212">
        <v>1835</v>
      </c>
      <c r="K2212">
        <v>0</v>
      </c>
      <c r="L2212">
        <v>0</v>
      </c>
      <c r="M2212">
        <v>1428</v>
      </c>
      <c r="N2212">
        <v>145</v>
      </c>
      <c r="O2212">
        <v>263</v>
      </c>
      <c r="P2212">
        <v>1</v>
      </c>
      <c r="Q2212">
        <v>0</v>
      </c>
    </row>
    <row r="2213" spans="1:17" x14ac:dyDescent="0.2">
      <c r="A2213" s="121">
        <v>40025</v>
      </c>
      <c r="B2213" t="s">
        <v>406</v>
      </c>
      <c r="C2213" t="s">
        <v>451</v>
      </c>
      <c r="D2213" t="s">
        <v>454</v>
      </c>
      <c r="E2213" t="s">
        <v>455</v>
      </c>
      <c r="F2213" t="s">
        <v>413</v>
      </c>
      <c r="G2213">
        <v>4501</v>
      </c>
      <c r="H2213">
        <v>4501</v>
      </c>
      <c r="I2213">
        <v>4203</v>
      </c>
      <c r="J2213">
        <v>4203</v>
      </c>
      <c r="K2213">
        <v>1215</v>
      </c>
      <c r="L2213">
        <v>14</v>
      </c>
      <c r="M2213">
        <v>2442</v>
      </c>
      <c r="N2213">
        <v>69</v>
      </c>
      <c r="O2213">
        <v>761</v>
      </c>
      <c r="P2213">
        <v>6</v>
      </c>
      <c r="Q2213">
        <v>0</v>
      </c>
    </row>
    <row r="2214" spans="1:17" x14ac:dyDescent="0.2">
      <c r="A2214" s="121">
        <v>40025</v>
      </c>
      <c r="B2214" t="s">
        <v>406</v>
      </c>
      <c r="C2214" t="s">
        <v>456</v>
      </c>
      <c r="D2214" t="s">
        <v>457</v>
      </c>
      <c r="E2214" t="s">
        <v>458</v>
      </c>
      <c r="F2214" t="s">
        <v>413</v>
      </c>
      <c r="G2214">
        <v>5317</v>
      </c>
      <c r="H2214">
        <v>5317</v>
      </c>
      <c r="I2214">
        <v>5028</v>
      </c>
      <c r="J2214">
        <v>5028</v>
      </c>
      <c r="K2214">
        <v>1387</v>
      </c>
      <c r="L2214">
        <v>16</v>
      </c>
      <c r="M2214">
        <v>3799</v>
      </c>
      <c r="N2214">
        <v>91</v>
      </c>
      <c r="O2214">
        <v>24</v>
      </c>
      <c r="P2214">
        <v>26</v>
      </c>
      <c r="Q2214">
        <v>1</v>
      </c>
    </row>
    <row r="2215" spans="1:17" x14ac:dyDescent="0.2">
      <c r="A2215" s="121">
        <v>40025</v>
      </c>
      <c r="B2215" t="s">
        <v>406</v>
      </c>
      <c r="C2215" t="s">
        <v>456</v>
      </c>
      <c r="D2215" t="s">
        <v>459</v>
      </c>
      <c r="E2215" t="s">
        <v>460</v>
      </c>
      <c r="F2215" t="s">
        <v>413</v>
      </c>
      <c r="G2215">
        <v>1381</v>
      </c>
      <c r="H2215">
        <v>1381</v>
      </c>
      <c r="I2215">
        <v>1372</v>
      </c>
      <c r="J2215">
        <v>1372</v>
      </c>
      <c r="K2215">
        <v>372</v>
      </c>
      <c r="L2215">
        <v>1</v>
      </c>
      <c r="M2215">
        <v>1006</v>
      </c>
      <c r="N2215">
        <v>1</v>
      </c>
      <c r="O2215">
        <v>1</v>
      </c>
      <c r="P2215">
        <v>0</v>
      </c>
      <c r="Q2215">
        <v>0</v>
      </c>
    </row>
    <row r="2216" spans="1:17" x14ac:dyDescent="0.2">
      <c r="A2216" s="121">
        <v>40025</v>
      </c>
      <c r="B2216" t="s">
        <v>406</v>
      </c>
      <c r="C2216" t="s">
        <v>456</v>
      </c>
      <c r="D2216" t="s">
        <v>461</v>
      </c>
      <c r="E2216" t="s">
        <v>462</v>
      </c>
      <c r="F2216" t="s">
        <v>410</v>
      </c>
      <c r="G2216">
        <v>121</v>
      </c>
      <c r="I2216">
        <v>121</v>
      </c>
    </row>
    <row r="2217" spans="1:17" x14ac:dyDescent="0.2">
      <c r="A2217" s="121">
        <v>40025</v>
      </c>
      <c r="B2217" t="s">
        <v>406</v>
      </c>
      <c r="C2217" t="s">
        <v>456</v>
      </c>
      <c r="D2217" t="s">
        <v>463</v>
      </c>
      <c r="E2217" t="s">
        <v>464</v>
      </c>
      <c r="F2217" t="s">
        <v>410</v>
      </c>
      <c r="G2217">
        <v>48</v>
      </c>
      <c r="I2217">
        <v>48</v>
      </c>
    </row>
    <row r="2218" spans="1:17" x14ac:dyDescent="0.2">
      <c r="A2218" s="121">
        <v>40025</v>
      </c>
      <c r="B2218" t="s">
        <v>406</v>
      </c>
      <c r="C2218" t="s">
        <v>456</v>
      </c>
      <c r="D2218" t="s">
        <v>465</v>
      </c>
      <c r="E2218" t="s">
        <v>466</v>
      </c>
      <c r="F2218" t="s">
        <v>410</v>
      </c>
      <c r="G2218">
        <v>80</v>
      </c>
      <c r="I2218">
        <v>80</v>
      </c>
    </row>
    <row r="2219" spans="1:17" x14ac:dyDescent="0.2">
      <c r="A2219" s="121">
        <v>40025</v>
      </c>
      <c r="B2219" t="s">
        <v>406</v>
      </c>
      <c r="C2219" t="s">
        <v>456</v>
      </c>
      <c r="D2219" t="s">
        <v>467</v>
      </c>
      <c r="E2219" t="s">
        <v>468</v>
      </c>
      <c r="F2219" t="s">
        <v>410</v>
      </c>
      <c r="G2219">
        <v>1239</v>
      </c>
      <c r="I2219">
        <v>1235</v>
      </c>
    </row>
    <row r="2220" spans="1:17" x14ac:dyDescent="0.2">
      <c r="A2220" s="121">
        <v>40025</v>
      </c>
      <c r="B2220" t="s">
        <v>406</v>
      </c>
      <c r="C2220" t="s">
        <v>456</v>
      </c>
      <c r="D2220" t="s">
        <v>469</v>
      </c>
      <c r="E2220" t="s">
        <v>470</v>
      </c>
      <c r="F2220" t="s">
        <v>410</v>
      </c>
      <c r="G2220">
        <v>792</v>
      </c>
      <c r="I2220">
        <v>786</v>
      </c>
    </row>
    <row r="2221" spans="1:17" x14ac:dyDescent="0.2">
      <c r="A2221" s="121">
        <v>40025</v>
      </c>
      <c r="B2221" t="s">
        <v>406</v>
      </c>
      <c r="C2221" t="s">
        <v>456</v>
      </c>
      <c r="D2221" t="s">
        <v>471</v>
      </c>
      <c r="E2221" t="s">
        <v>472</v>
      </c>
      <c r="F2221" t="s">
        <v>410</v>
      </c>
      <c r="G2221">
        <v>252</v>
      </c>
      <c r="I2221">
        <v>252</v>
      </c>
    </row>
    <row r="2222" spans="1:17" x14ac:dyDescent="0.2">
      <c r="A2222" s="121">
        <v>40025</v>
      </c>
      <c r="B2222" t="s">
        <v>406</v>
      </c>
      <c r="C2222" t="s">
        <v>456</v>
      </c>
      <c r="D2222" t="s">
        <v>473</v>
      </c>
      <c r="E2222" t="s">
        <v>474</v>
      </c>
      <c r="F2222" t="s">
        <v>410</v>
      </c>
      <c r="G2222">
        <v>228</v>
      </c>
      <c r="I2222">
        <v>228</v>
      </c>
    </row>
    <row r="2223" spans="1:17" x14ac:dyDescent="0.2">
      <c r="A2223" s="121">
        <v>40025</v>
      </c>
      <c r="B2223" t="s">
        <v>406</v>
      </c>
      <c r="C2223" t="s">
        <v>456</v>
      </c>
      <c r="D2223" t="s">
        <v>475</v>
      </c>
      <c r="E2223" t="s">
        <v>476</v>
      </c>
      <c r="F2223" t="s">
        <v>410</v>
      </c>
      <c r="G2223">
        <v>418</v>
      </c>
      <c r="I2223">
        <v>415</v>
      </c>
    </row>
    <row r="2224" spans="1:17" x14ac:dyDescent="0.2">
      <c r="A2224" s="121">
        <v>40025</v>
      </c>
      <c r="B2224" t="s">
        <v>406</v>
      </c>
      <c r="C2224" t="s">
        <v>456</v>
      </c>
      <c r="D2224" t="s">
        <v>477</v>
      </c>
      <c r="E2224" t="s">
        <v>478</v>
      </c>
      <c r="F2224" t="s">
        <v>413</v>
      </c>
      <c r="G2224">
        <v>1926</v>
      </c>
      <c r="H2224">
        <v>1926</v>
      </c>
      <c r="I2224">
        <v>1890</v>
      </c>
      <c r="J2224">
        <v>1890</v>
      </c>
      <c r="K2224">
        <v>329</v>
      </c>
      <c r="L2224">
        <v>13</v>
      </c>
      <c r="M2224">
        <v>1500</v>
      </c>
      <c r="N2224">
        <v>62</v>
      </c>
      <c r="O2224">
        <v>22</v>
      </c>
      <c r="P2224">
        <v>0</v>
      </c>
      <c r="Q2224">
        <v>0</v>
      </c>
    </row>
    <row r="2225" spans="1:17" x14ac:dyDescent="0.2">
      <c r="A2225" s="121">
        <v>40025</v>
      </c>
      <c r="B2225" t="s">
        <v>406</v>
      </c>
      <c r="C2225" t="s">
        <v>456</v>
      </c>
      <c r="D2225" t="s">
        <v>479</v>
      </c>
      <c r="E2225" t="s">
        <v>480</v>
      </c>
      <c r="F2225" t="s">
        <v>410</v>
      </c>
      <c r="G2225">
        <v>100</v>
      </c>
      <c r="I2225">
        <v>100</v>
      </c>
    </row>
    <row r="2226" spans="1:17" x14ac:dyDescent="0.2">
      <c r="A2226" s="121">
        <v>40025</v>
      </c>
      <c r="B2226" t="s">
        <v>406</v>
      </c>
      <c r="C2226" t="s">
        <v>456</v>
      </c>
      <c r="D2226" t="s">
        <v>481</v>
      </c>
      <c r="E2226" t="s">
        <v>482</v>
      </c>
      <c r="F2226" t="s">
        <v>410</v>
      </c>
      <c r="G2226">
        <v>55</v>
      </c>
      <c r="I2226">
        <v>55</v>
      </c>
    </row>
    <row r="2227" spans="1:17" x14ac:dyDescent="0.2">
      <c r="A2227" s="121">
        <v>40025</v>
      </c>
      <c r="B2227" t="s">
        <v>406</v>
      </c>
      <c r="C2227" t="s">
        <v>456</v>
      </c>
      <c r="D2227" t="s">
        <v>483</v>
      </c>
      <c r="E2227" t="s">
        <v>484</v>
      </c>
      <c r="F2227" t="s">
        <v>410</v>
      </c>
      <c r="G2227">
        <v>145</v>
      </c>
      <c r="I2227">
        <v>145</v>
      </c>
    </row>
    <row r="2228" spans="1:17" x14ac:dyDescent="0.2">
      <c r="A2228" s="121">
        <v>40025</v>
      </c>
      <c r="B2228" t="s">
        <v>406</v>
      </c>
      <c r="C2228" t="s">
        <v>456</v>
      </c>
      <c r="D2228" t="s">
        <v>485</v>
      </c>
      <c r="E2228" t="s">
        <v>486</v>
      </c>
      <c r="F2228" t="s">
        <v>410</v>
      </c>
      <c r="G2228">
        <v>92</v>
      </c>
      <c r="I2228">
        <v>92</v>
      </c>
    </row>
    <row r="2229" spans="1:17" x14ac:dyDescent="0.2">
      <c r="A2229" s="121">
        <v>40025</v>
      </c>
      <c r="B2229" t="s">
        <v>406</v>
      </c>
      <c r="C2229" t="s">
        <v>456</v>
      </c>
      <c r="D2229" t="s">
        <v>487</v>
      </c>
      <c r="E2229" t="s">
        <v>488</v>
      </c>
      <c r="F2229" t="s">
        <v>410</v>
      </c>
      <c r="G2229">
        <v>47</v>
      </c>
      <c r="I2229">
        <v>47</v>
      </c>
    </row>
    <row r="2230" spans="1:17" x14ac:dyDescent="0.2">
      <c r="A2230" s="121">
        <v>40025</v>
      </c>
      <c r="B2230" t="s">
        <v>406</v>
      </c>
      <c r="C2230" t="s">
        <v>456</v>
      </c>
      <c r="D2230" t="s">
        <v>489</v>
      </c>
      <c r="E2230" t="s">
        <v>490</v>
      </c>
      <c r="F2230" t="s">
        <v>410</v>
      </c>
      <c r="G2230">
        <v>144</v>
      </c>
      <c r="H2230">
        <v>144</v>
      </c>
      <c r="I2230">
        <v>144</v>
      </c>
      <c r="J2230">
        <v>144</v>
      </c>
      <c r="K2230">
        <v>0</v>
      </c>
      <c r="L2230">
        <v>0</v>
      </c>
      <c r="M2230">
        <v>118</v>
      </c>
      <c r="N2230">
        <v>26</v>
      </c>
      <c r="O2230">
        <v>0</v>
      </c>
      <c r="P2230">
        <v>0</v>
      </c>
      <c r="Q2230">
        <v>0</v>
      </c>
    </row>
    <row r="2231" spans="1:17" x14ac:dyDescent="0.2">
      <c r="A2231" s="121">
        <v>40025</v>
      </c>
      <c r="B2231" t="s">
        <v>406</v>
      </c>
      <c r="C2231" t="s">
        <v>491</v>
      </c>
      <c r="D2231" t="s">
        <v>492</v>
      </c>
      <c r="E2231" t="s">
        <v>493</v>
      </c>
      <c r="F2231" t="s">
        <v>410</v>
      </c>
      <c r="G2231">
        <v>1394</v>
      </c>
      <c r="H2231">
        <v>1394</v>
      </c>
      <c r="I2231">
        <v>1379</v>
      </c>
      <c r="J2231">
        <v>1379</v>
      </c>
      <c r="K2231">
        <v>358</v>
      </c>
      <c r="L2231">
        <v>0</v>
      </c>
      <c r="M2231">
        <v>1</v>
      </c>
      <c r="N2231">
        <v>10</v>
      </c>
      <c r="O2231">
        <v>1025</v>
      </c>
      <c r="P2231">
        <v>0</v>
      </c>
      <c r="Q2231">
        <v>0</v>
      </c>
    </row>
    <row r="2232" spans="1:17" x14ac:dyDescent="0.2">
      <c r="A2232" s="121">
        <v>40025</v>
      </c>
      <c r="B2232" t="s">
        <v>406</v>
      </c>
      <c r="C2232" t="s">
        <v>491</v>
      </c>
      <c r="D2232" t="s">
        <v>494</v>
      </c>
      <c r="E2232" t="s">
        <v>495</v>
      </c>
      <c r="F2232" t="s">
        <v>413</v>
      </c>
      <c r="G2232">
        <v>2893</v>
      </c>
      <c r="H2232">
        <v>2893</v>
      </c>
      <c r="I2232">
        <v>2858</v>
      </c>
      <c r="J2232">
        <v>2858</v>
      </c>
      <c r="K2232">
        <v>585</v>
      </c>
      <c r="L2232">
        <v>0</v>
      </c>
      <c r="M2232">
        <v>12</v>
      </c>
      <c r="N2232">
        <v>23</v>
      </c>
      <c r="O2232">
        <v>2273</v>
      </c>
      <c r="P2232">
        <v>1</v>
      </c>
      <c r="Q2232">
        <v>0</v>
      </c>
    </row>
    <row r="2233" spans="1:17" x14ac:dyDescent="0.2">
      <c r="A2233" s="121">
        <v>40025</v>
      </c>
      <c r="B2233" t="s">
        <v>406</v>
      </c>
      <c r="C2233" t="s">
        <v>491</v>
      </c>
      <c r="D2233" t="s">
        <v>496</v>
      </c>
      <c r="E2233" t="s">
        <v>497</v>
      </c>
      <c r="F2233" t="s">
        <v>413</v>
      </c>
      <c r="G2233">
        <v>5986</v>
      </c>
      <c r="H2233">
        <v>5986</v>
      </c>
      <c r="I2233">
        <v>5889</v>
      </c>
      <c r="J2233">
        <v>5889</v>
      </c>
      <c r="K2233">
        <v>1663</v>
      </c>
      <c r="L2233">
        <v>0</v>
      </c>
      <c r="M2233">
        <v>12</v>
      </c>
      <c r="N2233">
        <v>62</v>
      </c>
      <c r="O2233">
        <v>4249</v>
      </c>
      <c r="P2233">
        <v>3</v>
      </c>
      <c r="Q2233">
        <v>0</v>
      </c>
    </row>
    <row r="2234" spans="1:17" x14ac:dyDescent="0.2">
      <c r="A2234" s="121">
        <v>40025</v>
      </c>
      <c r="B2234" t="s">
        <v>406</v>
      </c>
      <c r="C2234" t="s">
        <v>491</v>
      </c>
      <c r="D2234" t="s">
        <v>498</v>
      </c>
      <c r="E2234" t="s">
        <v>499</v>
      </c>
      <c r="F2234" t="s">
        <v>413</v>
      </c>
      <c r="G2234">
        <v>6521</v>
      </c>
      <c r="H2234">
        <v>6521</v>
      </c>
      <c r="I2234">
        <v>6432</v>
      </c>
      <c r="J2234">
        <v>6432</v>
      </c>
      <c r="K2234">
        <v>1915</v>
      </c>
      <c r="L2234">
        <v>13</v>
      </c>
      <c r="M2234">
        <v>4176</v>
      </c>
      <c r="N2234">
        <v>114</v>
      </c>
      <c r="O2234">
        <v>303</v>
      </c>
      <c r="P2234">
        <v>2</v>
      </c>
      <c r="Q2234">
        <v>0</v>
      </c>
    </row>
    <row r="2235" spans="1:17" x14ac:dyDescent="0.2">
      <c r="A2235" s="121">
        <v>40025</v>
      </c>
      <c r="B2235" t="s">
        <v>406</v>
      </c>
      <c r="C2235" t="s">
        <v>491</v>
      </c>
      <c r="D2235" t="s">
        <v>500</v>
      </c>
      <c r="E2235" t="s">
        <v>501</v>
      </c>
      <c r="F2235" t="s">
        <v>413</v>
      </c>
      <c r="G2235">
        <v>3856</v>
      </c>
      <c r="H2235">
        <v>3856</v>
      </c>
      <c r="I2235">
        <v>3842</v>
      </c>
      <c r="J2235">
        <v>3842</v>
      </c>
      <c r="K2235">
        <v>1004</v>
      </c>
      <c r="L2235">
        <v>0</v>
      </c>
      <c r="M2235">
        <v>2626</v>
      </c>
      <c r="N2235">
        <v>53</v>
      </c>
      <c r="O2235">
        <v>173</v>
      </c>
      <c r="P2235">
        <v>0</v>
      </c>
      <c r="Q2235">
        <v>0</v>
      </c>
    </row>
    <row r="2236" spans="1:17" x14ac:dyDescent="0.2">
      <c r="A2236" s="121">
        <v>40025</v>
      </c>
      <c r="B2236" t="s">
        <v>406</v>
      </c>
      <c r="C2236" t="s">
        <v>491</v>
      </c>
      <c r="D2236" t="s">
        <v>502</v>
      </c>
      <c r="E2236" t="s">
        <v>503</v>
      </c>
      <c r="F2236" t="s">
        <v>413</v>
      </c>
      <c r="G2236">
        <v>6128</v>
      </c>
      <c r="H2236">
        <v>6128</v>
      </c>
      <c r="I2236">
        <v>6037</v>
      </c>
      <c r="J2236">
        <v>6037</v>
      </c>
      <c r="K2236">
        <v>1394</v>
      </c>
      <c r="L2236">
        <v>8</v>
      </c>
      <c r="M2236">
        <v>4557</v>
      </c>
      <c r="N2236">
        <v>123</v>
      </c>
      <c r="O2236">
        <v>46</v>
      </c>
      <c r="P2236">
        <v>4</v>
      </c>
      <c r="Q2236">
        <v>0</v>
      </c>
    </row>
    <row r="2237" spans="1:17" x14ac:dyDescent="0.2">
      <c r="A2237" s="121">
        <v>40025</v>
      </c>
      <c r="B2237" t="s">
        <v>406</v>
      </c>
      <c r="C2237" t="s">
        <v>491</v>
      </c>
      <c r="D2237" t="s">
        <v>504</v>
      </c>
      <c r="E2237" t="s">
        <v>505</v>
      </c>
      <c r="F2237" t="s">
        <v>413</v>
      </c>
      <c r="G2237">
        <v>4288</v>
      </c>
      <c r="H2237">
        <v>4288</v>
      </c>
      <c r="I2237">
        <v>4169</v>
      </c>
      <c r="J2237">
        <v>4169</v>
      </c>
      <c r="K2237">
        <v>1180</v>
      </c>
      <c r="L2237">
        <v>6</v>
      </c>
      <c r="M2237">
        <v>2960</v>
      </c>
      <c r="N2237">
        <v>68</v>
      </c>
      <c r="O2237">
        <v>74</v>
      </c>
      <c r="P2237">
        <v>2</v>
      </c>
      <c r="Q2237">
        <v>0</v>
      </c>
    </row>
    <row r="2238" spans="1:17" x14ac:dyDescent="0.2">
      <c r="A2238" s="121">
        <v>40025</v>
      </c>
      <c r="B2238" t="s">
        <v>406</v>
      </c>
      <c r="C2238" t="s">
        <v>491</v>
      </c>
      <c r="D2238" t="s">
        <v>506</v>
      </c>
      <c r="E2238" t="s">
        <v>507</v>
      </c>
      <c r="F2238" t="s">
        <v>413</v>
      </c>
      <c r="G2238">
        <v>3414</v>
      </c>
      <c r="H2238">
        <v>3414</v>
      </c>
      <c r="I2238">
        <v>3389</v>
      </c>
      <c r="J2238">
        <v>3389</v>
      </c>
      <c r="K2238">
        <v>465</v>
      </c>
      <c r="L2238">
        <v>0</v>
      </c>
      <c r="M2238">
        <v>2940</v>
      </c>
      <c r="N2238">
        <v>1</v>
      </c>
      <c r="O2238">
        <v>8</v>
      </c>
      <c r="P2238">
        <v>1</v>
      </c>
      <c r="Q2238">
        <v>0</v>
      </c>
    </row>
    <row r="2239" spans="1:17" x14ac:dyDescent="0.2">
      <c r="A2239" s="121">
        <v>40025</v>
      </c>
      <c r="B2239" t="s">
        <v>406</v>
      </c>
      <c r="C2239" t="s">
        <v>491</v>
      </c>
      <c r="D2239" t="s">
        <v>508</v>
      </c>
      <c r="E2239" t="s">
        <v>509</v>
      </c>
      <c r="F2239" t="s">
        <v>413</v>
      </c>
      <c r="G2239">
        <v>5219</v>
      </c>
      <c r="H2239">
        <v>5219</v>
      </c>
      <c r="I2239">
        <v>5076</v>
      </c>
      <c r="J2239">
        <v>5076</v>
      </c>
      <c r="K2239">
        <v>1716</v>
      </c>
      <c r="L2239">
        <v>10</v>
      </c>
      <c r="M2239">
        <v>3042</v>
      </c>
      <c r="N2239">
        <v>163</v>
      </c>
      <c r="O2239">
        <v>288</v>
      </c>
      <c r="P2239">
        <v>21</v>
      </c>
      <c r="Q2239">
        <v>2</v>
      </c>
    </row>
    <row r="2240" spans="1:17" x14ac:dyDescent="0.2">
      <c r="A2240" s="121">
        <v>40025</v>
      </c>
      <c r="B2240" t="s">
        <v>406</v>
      </c>
      <c r="C2240" t="s">
        <v>510</v>
      </c>
      <c r="D2240" t="s">
        <v>511</v>
      </c>
      <c r="E2240" t="s">
        <v>512</v>
      </c>
      <c r="F2240" t="s">
        <v>410</v>
      </c>
      <c r="G2240">
        <v>512</v>
      </c>
      <c r="I2240">
        <v>510</v>
      </c>
    </row>
    <row r="2241" spans="1:17" x14ac:dyDescent="0.2">
      <c r="A2241" s="121">
        <v>40025</v>
      </c>
      <c r="B2241" t="s">
        <v>406</v>
      </c>
      <c r="C2241" t="s">
        <v>510</v>
      </c>
      <c r="D2241" t="s">
        <v>513</v>
      </c>
      <c r="E2241" t="s">
        <v>514</v>
      </c>
      <c r="F2241" t="s">
        <v>410</v>
      </c>
      <c r="G2241">
        <v>668</v>
      </c>
      <c r="I2241">
        <v>665</v>
      </c>
    </row>
    <row r="2242" spans="1:17" x14ac:dyDescent="0.2">
      <c r="A2242" s="121">
        <v>40025</v>
      </c>
      <c r="B2242" t="s">
        <v>406</v>
      </c>
      <c r="C2242" t="s">
        <v>510</v>
      </c>
      <c r="D2242" t="s">
        <v>515</v>
      </c>
      <c r="E2242" t="s">
        <v>516</v>
      </c>
      <c r="F2242" t="s">
        <v>410</v>
      </c>
      <c r="G2242">
        <v>132</v>
      </c>
      <c r="I2242">
        <v>131</v>
      </c>
    </row>
    <row r="2243" spans="1:17" x14ac:dyDescent="0.2">
      <c r="A2243" s="121">
        <v>40025</v>
      </c>
      <c r="B2243" t="s">
        <v>406</v>
      </c>
      <c r="C2243" t="s">
        <v>510</v>
      </c>
      <c r="D2243" t="s">
        <v>517</v>
      </c>
      <c r="E2243" t="s">
        <v>518</v>
      </c>
      <c r="F2243" t="s">
        <v>410</v>
      </c>
      <c r="G2243">
        <v>350</v>
      </c>
      <c r="I2243">
        <v>338</v>
      </c>
    </row>
    <row r="2244" spans="1:17" x14ac:dyDescent="0.2">
      <c r="A2244" s="121">
        <v>40025</v>
      </c>
      <c r="B2244" t="s">
        <v>406</v>
      </c>
      <c r="C2244" t="s">
        <v>510</v>
      </c>
      <c r="D2244" t="s">
        <v>519</v>
      </c>
      <c r="E2244" t="s">
        <v>520</v>
      </c>
      <c r="F2244" t="s">
        <v>410</v>
      </c>
      <c r="G2244">
        <v>424</v>
      </c>
      <c r="I2244">
        <v>421</v>
      </c>
    </row>
    <row r="2245" spans="1:17" x14ac:dyDescent="0.2">
      <c r="A2245" s="121">
        <v>40025</v>
      </c>
      <c r="B2245" t="s">
        <v>406</v>
      </c>
      <c r="C2245" t="s">
        <v>510</v>
      </c>
      <c r="D2245" t="s">
        <v>521</v>
      </c>
      <c r="E2245" t="s">
        <v>522</v>
      </c>
      <c r="F2245" t="s">
        <v>410</v>
      </c>
      <c r="G2245">
        <v>89</v>
      </c>
      <c r="I2245">
        <v>85</v>
      </c>
    </row>
    <row r="2246" spans="1:17" x14ac:dyDescent="0.2">
      <c r="A2246" s="121">
        <v>40025</v>
      </c>
      <c r="B2246" t="s">
        <v>406</v>
      </c>
      <c r="C2246" t="s">
        <v>510</v>
      </c>
      <c r="D2246" t="s">
        <v>523</v>
      </c>
      <c r="E2246" t="s">
        <v>524</v>
      </c>
      <c r="F2246" t="s">
        <v>413</v>
      </c>
      <c r="G2246">
        <v>598</v>
      </c>
      <c r="I2246">
        <v>595</v>
      </c>
    </row>
    <row r="2247" spans="1:17" x14ac:dyDescent="0.2">
      <c r="A2247" s="121">
        <v>40025</v>
      </c>
      <c r="B2247" t="s">
        <v>406</v>
      </c>
      <c r="C2247" t="s">
        <v>510</v>
      </c>
      <c r="D2247" t="s">
        <v>527</v>
      </c>
      <c r="E2247" t="s">
        <v>528</v>
      </c>
      <c r="F2247" t="s">
        <v>410</v>
      </c>
      <c r="G2247">
        <v>278</v>
      </c>
      <c r="I2247">
        <v>278</v>
      </c>
    </row>
    <row r="2248" spans="1:17" x14ac:dyDescent="0.2">
      <c r="A2248" s="121">
        <v>40025</v>
      </c>
      <c r="B2248" t="s">
        <v>406</v>
      </c>
      <c r="C2248" t="s">
        <v>510</v>
      </c>
      <c r="D2248" t="s">
        <v>529</v>
      </c>
      <c r="E2248" t="s">
        <v>530</v>
      </c>
      <c r="F2248" t="s">
        <v>413</v>
      </c>
      <c r="G2248">
        <v>552</v>
      </c>
      <c r="I2248">
        <v>548</v>
      </c>
    </row>
    <row r="2249" spans="1:17" x14ac:dyDescent="0.2">
      <c r="A2249" s="121">
        <v>40025</v>
      </c>
      <c r="B2249" t="s">
        <v>406</v>
      </c>
      <c r="C2249" t="s">
        <v>510</v>
      </c>
      <c r="D2249" t="s">
        <v>531</v>
      </c>
      <c r="E2249" t="s">
        <v>532</v>
      </c>
      <c r="F2249" t="s">
        <v>410</v>
      </c>
      <c r="G2249">
        <v>70</v>
      </c>
      <c r="I2249">
        <v>70</v>
      </c>
    </row>
    <row r="2250" spans="1:17" x14ac:dyDescent="0.2">
      <c r="A2250" s="121">
        <v>40025</v>
      </c>
      <c r="B2250" t="s">
        <v>406</v>
      </c>
      <c r="C2250" t="s">
        <v>510</v>
      </c>
      <c r="D2250" t="s">
        <v>533</v>
      </c>
      <c r="E2250" t="s">
        <v>534</v>
      </c>
      <c r="F2250" t="s">
        <v>413</v>
      </c>
      <c r="G2250">
        <v>2774</v>
      </c>
      <c r="H2250">
        <v>2774</v>
      </c>
      <c r="I2250">
        <v>2740</v>
      </c>
      <c r="J2250">
        <v>2740</v>
      </c>
      <c r="K2250">
        <v>535</v>
      </c>
      <c r="L2250">
        <v>26</v>
      </c>
      <c r="M2250">
        <v>2211</v>
      </c>
      <c r="N2250">
        <v>2</v>
      </c>
      <c r="O2250">
        <v>0</v>
      </c>
      <c r="P2250">
        <v>1</v>
      </c>
      <c r="Q2250">
        <v>0</v>
      </c>
    </row>
    <row r="2251" spans="1:17" x14ac:dyDescent="0.2">
      <c r="A2251" s="121">
        <v>40025</v>
      </c>
      <c r="B2251" t="s">
        <v>406</v>
      </c>
      <c r="C2251" t="s">
        <v>510</v>
      </c>
      <c r="D2251" t="s">
        <v>535</v>
      </c>
      <c r="E2251" t="s">
        <v>536</v>
      </c>
      <c r="F2251" t="s">
        <v>410</v>
      </c>
      <c r="G2251">
        <v>300</v>
      </c>
      <c r="I2251">
        <v>300</v>
      </c>
    </row>
    <row r="2252" spans="1:17" x14ac:dyDescent="0.2">
      <c r="A2252" s="121">
        <v>40025</v>
      </c>
      <c r="B2252" t="s">
        <v>406</v>
      </c>
      <c r="C2252" t="s">
        <v>510</v>
      </c>
      <c r="D2252" t="s">
        <v>537</v>
      </c>
      <c r="E2252" t="s">
        <v>538</v>
      </c>
      <c r="F2252" t="s">
        <v>410</v>
      </c>
      <c r="G2252">
        <v>97</v>
      </c>
      <c r="I2252">
        <v>97</v>
      </c>
    </row>
    <row r="2253" spans="1:17" x14ac:dyDescent="0.2">
      <c r="A2253" s="121">
        <v>40025</v>
      </c>
      <c r="B2253" t="s">
        <v>406</v>
      </c>
      <c r="C2253" t="s">
        <v>510</v>
      </c>
      <c r="D2253" t="s">
        <v>539</v>
      </c>
      <c r="E2253" t="s">
        <v>540</v>
      </c>
      <c r="F2253" t="s">
        <v>413</v>
      </c>
      <c r="G2253">
        <v>1037</v>
      </c>
      <c r="I2253">
        <v>1023</v>
      </c>
    </row>
    <row r="2254" spans="1:17" x14ac:dyDescent="0.2">
      <c r="A2254" s="121">
        <v>40025</v>
      </c>
      <c r="B2254" t="s">
        <v>406</v>
      </c>
      <c r="C2254" t="s">
        <v>510</v>
      </c>
      <c r="D2254" t="s">
        <v>541</v>
      </c>
      <c r="E2254" t="s">
        <v>542</v>
      </c>
      <c r="F2254" t="s">
        <v>410</v>
      </c>
      <c r="G2254">
        <v>480</v>
      </c>
      <c r="I2254">
        <v>459</v>
      </c>
    </row>
    <row r="2255" spans="1:17" x14ac:dyDescent="0.2">
      <c r="A2255" s="121">
        <v>40025</v>
      </c>
      <c r="B2255" t="s">
        <v>406</v>
      </c>
      <c r="C2255" t="s">
        <v>510</v>
      </c>
      <c r="D2255" t="s">
        <v>543</v>
      </c>
      <c r="E2255" t="s">
        <v>544</v>
      </c>
      <c r="F2255" t="s">
        <v>410</v>
      </c>
      <c r="G2255">
        <v>331</v>
      </c>
      <c r="I2255">
        <v>318</v>
      </c>
    </row>
    <row r="2256" spans="1:17" x14ac:dyDescent="0.2">
      <c r="A2256" s="121">
        <v>40025</v>
      </c>
      <c r="B2256" t="s">
        <v>406</v>
      </c>
      <c r="C2256" t="s">
        <v>510</v>
      </c>
      <c r="D2256" t="s">
        <v>545</v>
      </c>
      <c r="E2256" t="s">
        <v>546</v>
      </c>
      <c r="F2256" t="s">
        <v>410</v>
      </c>
      <c r="G2256">
        <v>221</v>
      </c>
      <c r="I2256">
        <v>221</v>
      </c>
    </row>
    <row r="2257" spans="1:17" x14ac:dyDescent="0.2">
      <c r="A2257" s="121">
        <v>40025</v>
      </c>
      <c r="B2257" t="s">
        <v>406</v>
      </c>
      <c r="C2257" t="s">
        <v>510</v>
      </c>
      <c r="D2257" t="s">
        <v>547</v>
      </c>
      <c r="E2257" t="s">
        <v>548</v>
      </c>
      <c r="F2257" t="s">
        <v>410</v>
      </c>
      <c r="G2257">
        <v>127</v>
      </c>
      <c r="I2257">
        <v>127</v>
      </c>
    </row>
    <row r="2258" spans="1:17" x14ac:dyDescent="0.2">
      <c r="A2258" s="121">
        <v>40025</v>
      </c>
      <c r="B2258" t="s">
        <v>406</v>
      </c>
      <c r="C2258" t="s">
        <v>510</v>
      </c>
      <c r="D2258" t="s">
        <v>549</v>
      </c>
      <c r="E2258" t="s">
        <v>550</v>
      </c>
      <c r="F2258" t="s">
        <v>410</v>
      </c>
      <c r="G2258">
        <v>267</v>
      </c>
      <c r="I2258">
        <v>266</v>
      </c>
    </row>
    <row r="2259" spans="1:17" x14ac:dyDescent="0.2">
      <c r="A2259" s="121">
        <v>40025</v>
      </c>
      <c r="B2259" t="s">
        <v>406</v>
      </c>
      <c r="C2259" t="s">
        <v>551</v>
      </c>
      <c r="D2259" t="s">
        <v>552</v>
      </c>
      <c r="E2259" t="s">
        <v>553</v>
      </c>
      <c r="F2259" t="s">
        <v>413</v>
      </c>
      <c r="G2259">
        <v>5832</v>
      </c>
      <c r="H2259">
        <v>5832</v>
      </c>
      <c r="I2259">
        <v>5738</v>
      </c>
      <c r="J2259">
        <v>5738</v>
      </c>
      <c r="K2259">
        <v>1702</v>
      </c>
      <c r="L2259">
        <v>8</v>
      </c>
      <c r="M2259">
        <v>3880</v>
      </c>
      <c r="N2259">
        <v>219</v>
      </c>
      <c r="O2259">
        <v>23</v>
      </c>
      <c r="P2259">
        <v>1</v>
      </c>
      <c r="Q2259">
        <v>0</v>
      </c>
    </row>
    <row r="2260" spans="1:17" x14ac:dyDescent="0.2">
      <c r="A2260" s="121">
        <v>40025</v>
      </c>
      <c r="B2260" t="s">
        <v>406</v>
      </c>
      <c r="C2260" t="s">
        <v>551</v>
      </c>
      <c r="D2260" t="s">
        <v>554</v>
      </c>
      <c r="E2260" t="s">
        <v>555</v>
      </c>
      <c r="F2260" t="s">
        <v>410</v>
      </c>
      <c r="G2260">
        <v>137</v>
      </c>
      <c r="I2260">
        <v>137</v>
      </c>
    </row>
    <row r="2261" spans="1:17" x14ac:dyDescent="0.2">
      <c r="A2261" s="121">
        <v>40025</v>
      </c>
      <c r="B2261" t="s">
        <v>406</v>
      </c>
      <c r="C2261" t="s">
        <v>551</v>
      </c>
      <c r="D2261" t="s">
        <v>556</v>
      </c>
      <c r="E2261" t="s">
        <v>557</v>
      </c>
      <c r="F2261" t="s">
        <v>410</v>
      </c>
      <c r="G2261">
        <v>163</v>
      </c>
      <c r="I2261">
        <v>163</v>
      </c>
    </row>
    <row r="2262" spans="1:17" x14ac:dyDescent="0.2">
      <c r="A2262" s="121">
        <v>40025</v>
      </c>
      <c r="B2262" t="s">
        <v>406</v>
      </c>
      <c r="C2262" t="s">
        <v>551</v>
      </c>
      <c r="D2262" t="s">
        <v>558</v>
      </c>
      <c r="E2262" t="s">
        <v>559</v>
      </c>
      <c r="F2262" t="s">
        <v>413</v>
      </c>
      <c r="G2262">
        <v>4776</v>
      </c>
      <c r="H2262">
        <v>4776</v>
      </c>
      <c r="I2262">
        <v>4694</v>
      </c>
      <c r="J2262">
        <v>4694</v>
      </c>
      <c r="K2262">
        <v>1102</v>
      </c>
      <c r="L2262">
        <v>4</v>
      </c>
      <c r="M2262">
        <v>3526</v>
      </c>
      <c r="N2262">
        <v>108</v>
      </c>
      <c r="O2262">
        <v>36</v>
      </c>
      <c r="P2262">
        <v>0</v>
      </c>
      <c r="Q2262">
        <v>0</v>
      </c>
    </row>
    <row r="2263" spans="1:17" x14ac:dyDescent="0.2">
      <c r="A2263" s="121">
        <v>40025</v>
      </c>
      <c r="B2263" t="s">
        <v>406</v>
      </c>
      <c r="C2263" t="s">
        <v>551</v>
      </c>
      <c r="D2263" t="s">
        <v>560</v>
      </c>
      <c r="E2263" t="s">
        <v>561</v>
      </c>
      <c r="F2263" t="s">
        <v>413</v>
      </c>
      <c r="G2263">
        <v>5740</v>
      </c>
      <c r="H2263">
        <v>5740</v>
      </c>
      <c r="I2263">
        <v>5716</v>
      </c>
      <c r="J2263">
        <v>5716</v>
      </c>
      <c r="K2263">
        <v>1269</v>
      </c>
      <c r="L2263">
        <v>4</v>
      </c>
      <c r="M2263">
        <v>4205</v>
      </c>
      <c r="N2263">
        <v>241</v>
      </c>
      <c r="O2263">
        <v>21</v>
      </c>
      <c r="P2263">
        <v>1</v>
      </c>
      <c r="Q2263">
        <v>0</v>
      </c>
    </row>
    <row r="2264" spans="1:17" x14ac:dyDescent="0.2">
      <c r="A2264" s="121">
        <v>40025</v>
      </c>
      <c r="B2264" t="s">
        <v>406</v>
      </c>
      <c r="C2264" t="s">
        <v>562</v>
      </c>
      <c r="D2264" t="s">
        <v>603</v>
      </c>
      <c r="E2264" t="s">
        <v>604</v>
      </c>
      <c r="F2264" t="s">
        <v>410</v>
      </c>
      <c r="G2264">
        <v>14</v>
      </c>
      <c r="I2264">
        <v>14</v>
      </c>
    </row>
    <row r="2265" spans="1:17" x14ac:dyDescent="0.2">
      <c r="A2265" s="121">
        <v>40025</v>
      </c>
      <c r="B2265" t="s">
        <v>406</v>
      </c>
      <c r="C2265" t="s">
        <v>562</v>
      </c>
      <c r="D2265" t="s">
        <v>605</v>
      </c>
      <c r="E2265" t="s">
        <v>606</v>
      </c>
      <c r="F2265" t="s">
        <v>410</v>
      </c>
      <c r="G2265">
        <v>189</v>
      </c>
      <c r="I2265">
        <v>189</v>
      </c>
    </row>
    <row r="2266" spans="1:17" x14ac:dyDescent="0.2">
      <c r="A2266" s="121">
        <v>40025</v>
      </c>
      <c r="B2266" t="s">
        <v>406</v>
      </c>
      <c r="C2266" t="s">
        <v>562</v>
      </c>
      <c r="D2266" t="s">
        <v>563</v>
      </c>
      <c r="E2266" t="s">
        <v>564</v>
      </c>
      <c r="F2266" t="s">
        <v>410</v>
      </c>
      <c r="G2266">
        <v>2815</v>
      </c>
      <c r="H2266">
        <v>2815</v>
      </c>
      <c r="I2266">
        <v>2803</v>
      </c>
      <c r="J2266">
        <v>2803</v>
      </c>
      <c r="K2266">
        <v>912</v>
      </c>
      <c r="L2266">
        <v>2</v>
      </c>
      <c r="M2266">
        <v>1861</v>
      </c>
      <c r="N2266">
        <v>40</v>
      </c>
      <c r="O2266">
        <v>0</v>
      </c>
      <c r="P2266">
        <v>1</v>
      </c>
      <c r="Q2266">
        <v>0</v>
      </c>
    </row>
    <row r="2267" spans="1:17" x14ac:dyDescent="0.2">
      <c r="A2267" s="121">
        <v>40025</v>
      </c>
      <c r="B2267" t="s">
        <v>406</v>
      </c>
      <c r="C2267" t="s">
        <v>562</v>
      </c>
      <c r="D2267" t="s">
        <v>565</v>
      </c>
      <c r="E2267" t="s">
        <v>566</v>
      </c>
      <c r="F2267" t="s">
        <v>413</v>
      </c>
      <c r="G2267">
        <v>4065</v>
      </c>
      <c r="H2267">
        <v>4065</v>
      </c>
      <c r="I2267">
        <v>3979</v>
      </c>
      <c r="J2267">
        <v>3979</v>
      </c>
      <c r="K2267">
        <v>871</v>
      </c>
      <c r="L2267">
        <v>2</v>
      </c>
      <c r="M2267">
        <v>3081</v>
      </c>
      <c r="N2267">
        <v>111</v>
      </c>
      <c r="O2267">
        <v>0</v>
      </c>
      <c r="P2267">
        <v>3</v>
      </c>
      <c r="Q2267">
        <v>1</v>
      </c>
    </row>
    <row r="2268" spans="1:17" x14ac:dyDescent="0.2">
      <c r="A2268" s="121">
        <v>40025</v>
      </c>
      <c r="B2268" t="s">
        <v>406</v>
      </c>
      <c r="C2268" t="s">
        <v>562</v>
      </c>
      <c r="D2268" t="s">
        <v>567</v>
      </c>
      <c r="E2268" t="s">
        <v>568</v>
      </c>
      <c r="F2268" t="s">
        <v>413</v>
      </c>
      <c r="G2268">
        <v>9033</v>
      </c>
      <c r="H2268">
        <v>9033</v>
      </c>
      <c r="I2268">
        <v>8719</v>
      </c>
      <c r="J2268">
        <v>8719</v>
      </c>
      <c r="K2268">
        <v>2651</v>
      </c>
      <c r="L2268">
        <v>17</v>
      </c>
      <c r="M2268">
        <v>6027</v>
      </c>
      <c r="N2268">
        <v>338</v>
      </c>
      <c r="O2268">
        <v>0</v>
      </c>
      <c r="P2268">
        <v>13</v>
      </c>
      <c r="Q2268">
        <v>1</v>
      </c>
    </row>
    <row r="2269" spans="1:17" x14ac:dyDescent="0.2">
      <c r="A2269" s="121">
        <v>40025</v>
      </c>
      <c r="B2269" t="s">
        <v>406</v>
      </c>
      <c r="C2269" t="s">
        <v>562</v>
      </c>
      <c r="D2269" t="s">
        <v>569</v>
      </c>
      <c r="E2269" t="s">
        <v>570</v>
      </c>
      <c r="F2269" t="s">
        <v>413</v>
      </c>
      <c r="G2269">
        <v>2804</v>
      </c>
      <c r="H2269">
        <v>2804</v>
      </c>
      <c r="I2269">
        <v>2796</v>
      </c>
      <c r="J2269">
        <v>2796</v>
      </c>
      <c r="K2269">
        <v>346</v>
      </c>
      <c r="L2269">
        <v>0</v>
      </c>
      <c r="M2269">
        <v>2458</v>
      </c>
      <c r="N2269">
        <v>0</v>
      </c>
      <c r="O2269">
        <v>0</v>
      </c>
      <c r="P2269">
        <v>0</v>
      </c>
      <c r="Q2269">
        <v>0</v>
      </c>
    </row>
    <row r="2270" spans="1:17" x14ac:dyDescent="0.2">
      <c r="A2270" s="121">
        <v>40025</v>
      </c>
      <c r="B2270" t="s">
        <v>406</v>
      </c>
      <c r="C2270" t="s">
        <v>571</v>
      </c>
      <c r="D2270" t="s">
        <v>572</v>
      </c>
      <c r="E2270" t="s">
        <v>573</v>
      </c>
      <c r="F2270" t="s">
        <v>410</v>
      </c>
      <c r="G2270">
        <v>350</v>
      </c>
      <c r="I2270">
        <v>350</v>
      </c>
    </row>
    <row r="2271" spans="1:17" x14ac:dyDescent="0.2">
      <c r="A2271" s="121">
        <v>40025</v>
      </c>
      <c r="B2271" t="s">
        <v>406</v>
      </c>
      <c r="C2271" t="s">
        <v>574</v>
      </c>
      <c r="D2271" t="s">
        <v>575</v>
      </c>
      <c r="E2271" t="s">
        <v>576</v>
      </c>
      <c r="F2271" t="s">
        <v>413</v>
      </c>
      <c r="G2271">
        <v>825</v>
      </c>
      <c r="H2271">
        <v>825</v>
      </c>
      <c r="I2271">
        <v>824</v>
      </c>
      <c r="J2271">
        <v>824</v>
      </c>
      <c r="K2271">
        <v>152</v>
      </c>
      <c r="L2271">
        <v>1</v>
      </c>
      <c r="M2271">
        <v>635</v>
      </c>
      <c r="N2271">
        <v>1</v>
      </c>
      <c r="O2271">
        <v>36</v>
      </c>
      <c r="P2271">
        <v>0</v>
      </c>
      <c r="Q2271">
        <v>0</v>
      </c>
    </row>
    <row r="2272" spans="1:17" x14ac:dyDescent="0.2">
      <c r="A2272" s="121">
        <v>40025</v>
      </c>
      <c r="B2272" t="s">
        <v>406</v>
      </c>
      <c r="C2272" t="s">
        <v>577</v>
      </c>
      <c r="D2272" t="s">
        <v>578</v>
      </c>
      <c r="E2272" t="s">
        <v>579</v>
      </c>
      <c r="F2272" t="s">
        <v>413</v>
      </c>
      <c r="G2272">
        <v>4194</v>
      </c>
      <c r="H2272">
        <v>4194</v>
      </c>
      <c r="I2272">
        <v>4139</v>
      </c>
      <c r="J2272">
        <v>4139</v>
      </c>
      <c r="K2272">
        <v>906</v>
      </c>
      <c r="L2272">
        <v>11</v>
      </c>
      <c r="M2272">
        <v>3240</v>
      </c>
      <c r="N2272">
        <v>37</v>
      </c>
      <c r="O2272">
        <v>0</v>
      </c>
      <c r="P2272">
        <v>1</v>
      </c>
      <c r="Q2272">
        <v>0</v>
      </c>
    </row>
    <row r="2273" spans="1:17" x14ac:dyDescent="0.2">
      <c r="A2273" s="121">
        <v>40025</v>
      </c>
      <c r="B2273" t="s">
        <v>406</v>
      </c>
      <c r="C2273" t="s">
        <v>577</v>
      </c>
      <c r="D2273" t="s">
        <v>580</v>
      </c>
      <c r="E2273" t="s">
        <v>581</v>
      </c>
      <c r="F2273" t="s">
        <v>413</v>
      </c>
      <c r="G2273">
        <v>2301</v>
      </c>
      <c r="H2273">
        <v>2301</v>
      </c>
      <c r="I2273">
        <v>2289</v>
      </c>
      <c r="J2273">
        <v>2289</v>
      </c>
      <c r="K2273">
        <v>413</v>
      </c>
      <c r="L2273">
        <v>2</v>
      </c>
      <c r="M2273">
        <v>1660</v>
      </c>
      <c r="N2273">
        <v>33</v>
      </c>
      <c r="O2273">
        <v>193</v>
      </c>
      <c r="P2273">
        <v>1</v>
      </c>
      <c r="Q2273">
        <v>0</v>
      </c>
    </row>
    <row r="2274" spans="1:17" x14ac:dyDescent="0.2">
      <c r="A2274" s="121">
        <v>40025</v>
      </c>
      <c r="B2274" t="s">
        <v>406</v>
      </c>
      <c r="C2274" t="s">
        <v>577</v>
      </c>
      <c r="D2274" t="s">
        <v>609</v>
      </c>
      <c r="E2274" t="s">
        <v>610</v>
      </c>
      <c r="F2274" t="s">
        <v>410</v>
      </c>
      <c r="G2274">
        <v>32</v>
      </c>
      <c r="H2274">
        <v>32</v>
      </c>
      <c r="I2274">
        <v>32</v>
      </c>
      <c r="J2274">
        <v>32</v>
      </c>
      <c r="K2274">
        <v>3</v>
      </c>
      <c r="L2274">
        <v>0</v>
      </c>
      <c r="M2274">
        <v>22</v>
      </c>
      <c r="N2274">
        <v>0</v>
      </c>
      <c r="O2274">
        <v>7</v>
      </c>
      <c r="P2274">
        <v>0</v>
      </c>
      <c r="Q2274">
        <v>0</v>
      </c>
    </row>
    <row r="2275" spans="1:17" x14ac:dyDescent="0.2">
      <c r="A2275" s="121">
        <v>40025</v>
      </c>
      <c r="B2275" t="s">
        <v>406</v>
      </c>
      <c r="C2275" t="s">
        <v>577</v>
      </c>
      <c r="D2275" t="s">
        <v>611</v>
      </c>
      <c r="E2275" t="s">
        <v>612</v>
      </c>
      <c r="F2275" t="s">
        <v>410</v>
      </c>
      <c r="G2275">
        <v>25</v>
      </c>
      <c r="H2275">
        <v>25</v>
      </c>
      <c r="I2275">
        <v>25</v>
      </c>
      <c r="J2275">
        <v>25</v>
      </c>
      <c r="K2275">
        <v>0</v>
      </c>
      <c r="L2275">
        <v>0</v>
      </c>
      <c r="M2275">
        <v>16</v>
      </c>
      <c r="N2275">
        <v>0</v>
      </c>
      <c r="O2275">
        <v>9</v>
      </c>
      <c r="P2275">
        <v>0</v>
      </c>
      <c r="Q2275">
        <v>0</v>
      </c>
    </row>
    <row r="2276" spans="1:17" x14ac:dyDescent="0.2">
      <c r="A2276" s="121">
        <v>40025</v>
      </c>
      <c r="B2276" t="s">
        <v>406</v>
      </c>
      <c r="C2276" t="s">
        <v>577</v>
      </c>
      <c r="D2276" t="s">
        <v>584</v>
      </c>
      <c r="E2276" t="s">
        <v>585</v>
      </c>
      <c r="F2276" t="s">
        <v>410</v>
      </c>
      <c r="G2276">
        <v>304</v>
      </c>
      <c r="H2276">
        <v>304</v>
      </c>
      <c r="I2276">
        <v>304</v>
      </c>
      <c r="J2276">
        <v>304</v>
      </c>
      <c r="K2276">
        <v>16</v>
      </c>
      <c r="L2276">
        <v>0</v>
      </c>
      <c r="M2276">
        <v>252</v>
      </c>
      <c r="N2276">
        <v>0</v>
      </c>
      <c r="O2276">
        <v>36</v>
      </c>
      <c r="P2276">
        <v>0</v>
      </c>
      <c r="Q2276">
        <v>0</v>
      </c>
    </row>
    <row r="2277" spans="1:17" x14ac:dyDescent="0.2">
      <c r="A2277" s="121">
        <v>40025</v>
      </c>
      <c r="B2277" t="s">
        <v>406</v>
      </c>
      <c r="C2277" t="s">
        <v>577</v>
      </c>
      <c r="D2277" t="s">
        <v>586</v>
      </c>
      <c r="E2277" t="s">
        <v>587</v>
      </c>
      <c r="F2277" t="s">
        <v>410</v>
      </c>
      <c r="G2277">
        <v>1191</v>
      </c>
      <c r="H2277">
        <v>1191</v>
      </c>
      <c r="I2277">
        <v>1191</v>
      </c>
      <c r="J2277">
        <v>1191</v>
      </c>
      <c r="K2277">
        <v>41</v>
      </c>
      <c r="L2277">
        <v>0</v>
      </c>
      <c r="M2277">
        <v>863</v>
      </c>
      <c r="N2277">
        <v>0</v>
      </c>
      <c r="O2277">
        <v>287</v>
      </c>
      <c r="P2277">
        <v>0</v>
      </c>
      <c r="Q2277">
        <v>0</v>
      </c>
    </row>
    <row r="2278" spans="1:17" x14ac:dyDescent="0.2">
      <c r="A2278" s="121">
        <v>40025</v>
      </c>
      <c r="B2278" t="s">
        <v>406</v>
      </c>
      <c r="C2278" t="s">
        <v>577</v>
      </c>
      <c r="D2278" t="s">
        <v>588</v>
      </c>
      <c r="E2278" t="s">
        <v>589</v>
      </c>
      <c r="F2278" t="s">
        <v>410</v>
      </c>
      <c r="G2278">
        <v>266</v>
      </c>
      <c r="H2278">
        <v>266</v>
      </c>
      <c r="I2278">
        <v>266</v>
      </c>
      <c r="J2278">
        <v>266</v>
      </c>
      <c r="K2278">
        <v>2</v>
      </c>
      <c r="L2278">
        <v>0</v>
      </c>
      <c r="M2278">
        <v>210</v>
      </c>
      <c r="N2278">
        <v>0</v>
      </c>
      <c r="O2278">
        <v>54</v>
      </c>
      <c r="P2278">
        <v>0</v>
      </c>
      <c r="Q2278">
        <v>0</v>
      </c>
    </row>
    <row r="2279" spans="1:17" x14ac:dyDescent="0.2">
      <c r="A2279" s="121">
        <v>40025</v>
      </c>
      <c r="B2279" t="s">
        <v>406</v>
      </c>
      <c r="C2279" t="s">
        <v>577</v>
      </c>
      <c r="D2279" t="s">
        <v>613</v>
      </c>
      <c r="E2279" t="s">
        <v>614</v>
      </c>
      <c r="F2279" t="s">
        <v>410</v>
      </c>
      <c r="G2279">
        <v>274</v>
      </c>
      <c r="H2279">
        <v>274</v>
      </c>
      <c r="I2279">
        <v>274</v>
      </c>
      <c r="J2279">
        <v>274</v>
      </c>
      <c r="K2279">
        <v>18</v>
      </c>
      <c r="L2279">
        <v>0</v>
      </c>
      <c r="M2279">
        <v>207</v>
      </c>
      <c r="N2279">
        <v>0</v>
      </c>
      <c r="O2279">
        <v>49</v>
      </c>
      <c r="P2279">
        <v>0</v>
      </c>
      <c r="Q2279">
        <v>0</v>
      </c>
    </row>
    <row r="2280" spans="1:17" x14ac:dyDescent="0.2">
      <c r="A2280" s="121">
        <v>40025</v>
      </c>
      <c r="B2280" t="s">
        <v>406</v>
      </c>
      <c r="C2280" t="s">
        <v>577</v>
      </c>
      <c r="D2280" t="s">
        <v>590</v>
      </c>
      <c r="E2280" t="s">
        <v>591</v>
      </c>
      <c r="F2280" t="s">
        <v>410</v>
      </c>
      <c r="G2280">
        <v>649</v>
      </c>
      <c r="H2280">
        <v>649</v>
      </c>
      <c r="I2280">
        <v>649</v>
      </c>
      <c r="J2280">
        <v>649</v>
      </c>
      <c r="K2280">
        <v>16</v>
      </c>
      <c r="L2280">
        <v>0</v>
      </c>
      <c r="M2280">
        <v>593</v>
      </c>
      <c r="N2280">
        <v>0</v>
      </c>
      <c r="O2280">
        <v>40</v>
      </c>
      <c r="P2280">
        <v>0</v>
      </c>
      <c r="Q2280">
        <v>0</v>
      </c>
    </row>
    <row r="2281" spans="1:17" x14ac:dyDescent="0.2">
      <c r="A2281" s="121">
        <v>40025</v>
      </c>
      <c r="B2281" t="s">
        <v>406</v>
      </c>
      <c r="C2281" t="s">
        <v>577</v>
      </c>
      <c r="D2281" t="s">
        <v>607</v>
      </c>
      <c r="E2281" t="s">
        <v>608</v>
      </c>
      <c r="F2281" t="s">
        <v>410</v>
      </c>
      <c r="G2281">
        <v>140</v>
      </c>
      <c r="H2281">
        <v>140</v>
      </c>
      <c r="I2281">
        <v>140</v>
      </c>
      <c r="J2281">
        <v>140</v>
      </c>
      <c r="K2281">
        <v>11</v>
      </c>
      <c r="L2281">
        <v>0</v>
      </c>
      <c r="M2281">
        <v>109</v>
      </c>
      <c r="N2281">
        <v>0</v>
      </c>
      <c r="O2281">
        <v>20</v>
      </c>
      <c r="P2281">
        <v>0</v>
      </c>
      <c r="Q2281">
        <v>0</v>
      </c>
    </row>
    <row r="2282" spans="1:17" x14ac:dyDescent="0.2">
      <c r="A2282" s="121">
        <v>40025</v>
      </c>
      <c r="B2282" t="s">
        <v>406</v>
      </c>
      <c r="C2282" t="s">
        <v>577</v>
      </c>
      <c r="D2282" t="s">
        <v>592</v>
      </c>
      <c r="E2282" t="s">
        <v>593</v>
      </c>
      <c r="F2282" t="s">
        <v>410</v>
      </c>
      <c r="G2282">
        <v>523</v>
      </c>
      <c r="H2282">
        <v>523</v>
      </c>
      <c r="I2282">
        <v>523</v>
      </c>
      <c r="J2282">
        <v>523</v>
      </c>
      <c r="K2282">
        <v>19</v>
      </c>
      <c r="L2282">
        <v>0</v>
      </c>
      <c r="M2282">
        <v>406</v>
      </c>
      <c r="N2282">
        <v>0</v>
      </c>
      <c r="O2282">
        <v>98</v>
      </c>
      <c r="P2282">
        <v>0</v>
      </c>
      <c r="Q2282">
        <v>0</v>
      </c>
    </row>
    <row r="2283" spans="1:17" x14ac:dyDescent="0.2">
      <c r="A2283" s="121">
        <v>40025</v>
      </c>
      <c r="B2283" t="s">
        <v>406</v>
      </c>
      <c r="C2283" t="s">
        <v>594</v>
      </c>
      <c r="D2283" t="s">
        <v>595</v>
      </c>
      <c r="E2283" t="s">
        <v>596</v>
      </c>
      <c r="F2283" t="s">
        <v>410</v>
      </c>
      <c r="G2283">
        <v>74</v>
      </c>
      <c r="I2283">
        <v>74</v>
      </c>
    </row>
    <row r="2284" spans="1:17" x14ac:dyDescent="0.2">
      <c r="A2284" s="121">
        <v>40025</v>
      </c>
      <c r="B2284" t="s">
        <v>406</v>
      </c>
      <c r="C2284" t="s">
        <v>594</v>
      </c>
      <c r="D2284" t="s">
        <v>597</v>
      </c>
      <c r="E2284" t="s">
        <v>598</v>
      </c>
      <c r="F2284" t="s">
        <v>413</v>
      </c>
      <c r="G2284">
        <v>664</v>
      </c>
      <c r="H2284">
        <v>664</v>
      </c>
      <c r="I2284">
        <v>656</v>
      </c>
      <c r="J2284">
        <v>656</v>
      </c>
      <c r="K2284">
        <v>119</v>
      </c>
      <c r="L2284">
        <v>0</v>
      </c>
      <c r="M2284">
        <v>539</v>
      </c>
      <c r="N2284">
        <v>0</v>
      </c>
      <c r="O2284">
        <v>6</v>
      </c>
      <c r="P2284">
        <v>0</v>
      </c>
      <c r="Q2284">
        <v>0</v>
      </c>
    </row>
    <row r="2285" spans="1:17" x14ac:dyDescent="0.2">
      <c r="A2285" s="121">
        <v>40025</v>
      </c>
      <c r="B2285" t="s">
        <v>406</v>
      </c>
      <c r="C2285" t="s">
        <v>594</v>
      </c>
      <c r="D2285" t="s">
        <v>599</v>
      </c>
      <c r="E2285" t="s">
        <v>600</v>
      </c>
      <c r="F2285" t="s">
        <v>410</v>
      </c>
      <c r="G2285">
        <v>121</v>
      </c>
      <c r="I2285">
        <v>121</v>
      </c>
    </row>
    <row r="2286" spans="1:17" x14ac:dyDescent="0.2">
      <c r="A2286" s="121">
        <v>40056</v>
      </c>
      <c r="B2286" t="s">
        <v>406</v>
      </c>
      <c r="C2286" t="s">
        <v>407</v>
      </c>
      <c r="D2286" t="s">
        <v>408</v>
      </c>
      <c r="E2286" t="s">
        <v>409</v>
      </c>
      <c r="F2286" t="s">
        <v>410</v>
      </c>
      <c r="G2286">
        <v>302</v>
      </c>
      <c r="I2286">
        <v>302</v>
      </c>
    </row>
    <row r="2287" spans="1:17" x14ac:dyDescent="0.2">
      <c r="A2287" s="121">
        <v>40056</v>
      </c>
      <c r="B2287" t="s">
        <v>406</v>
      </c>
      <c r="C2287" t="s">
        <v>407</v>
      </c>
      <c r="D2287" t="s">
        <v>601</v>
      </c>
      <c r="E2287" t="s">
        <v>602</v>
      </c>
      <c r="F2287" t="s">
        <v>410</v>
      </c>
      <c r="G2287">
        <v>81</v>
      </c>
      <c r="I2287">
        <v>81</v>
      </c>
    </row>
    <row r="2288" spans="1:17" x14ac:dyDescent="0.2">
      <c r="A2288" s="121">
        <v>40056</v>
      </c>
      <c r="B2288" t="s">
        <v>406</v>
      </c>
      <c r="C2288" t="s">
        <v>407</v>
      </c>
      <c r="D2288" t="s">
        <v>411</v>
      </c>
      <c r="E2288" t="s">
        <v>412</v>
      </c>
      <c r="F2288" t="s">
        <v>413</v>
      </c>
      <c r="G2288">
        <v>5433</v>
      </c>
      <c r="H2288">
        <v>5433</v>
      </c>
      <c r="I2288">
        <v>5394</v>
      </c>
      <c r="J2288">
        <v>5394</v>
      </c>
      <c r="K2288">
        <v>1986</v>
      </c>
      <c r="L2288">
        <v>6</v>
      </c>
      <c r="M2288">
        <v>3135</v>
      </c>
      <c r="N2288">
        <v>28</v>
      </c>
      <c r="O2288">
        <v>278</v>
      </c>
      <c r="P2288">
        <v>0</v>
      </c>
      <c r="Q2288">
        <v>0</v>
      </c>
    </row>
    <row r="2289" spans="1:17" x14ac:dyDescent="0.2">
      <c r="A2289" s="121">
        <v>40056</v>
      </c>
      <c r="B2289" t="s">
        <v>406</v>
      </c>
      <c r="C2289" t="s">
        <v>407</v>
      </c>
      <c r="D2289" t="s">
        <v>414</v>
      </c>
      <c r="E2289" t="s">
        <v>415</v>
      </c>
      <c r="F2289" t="s">
        <v>410</v>
      </c>
      <c r="G2289">
        <v>82</v>
      </c>
      <c r="I2289">
        <v>82</v>
      </c>
    </row>
    <row r="2290" spans="1:17" x14ac:dyDescent="0.2">
      <c r="A2290" s="121">
        <v>40056</v>
      </c>
      <c r="B2290" t="s">
        <v>406</v>
      </c>
      <c r="C2290" t="s">
        <v>407</v>
      </c>
      <c r="D2290" t="s">
        <v>416</v>
      </c>
      <c r="E2290" t="s">
        <v>417</v>
      </c>
      <c r="F2290" t="s">
        <v>413</v>
      </c>
      <c r="G2290">
        <v>3663</v>
      </c>
      <c r="H2290">
        <v>3663</v>
      </c>
      <c r="I2290">
        <v>3638</v>
      </c>
      <c r="J2290">
        <v>3638</v>
      </c>
      <c r="K2290">
        <v>1211</v>
      </c>
      <c r="L2290">
        <v>2</v>
      </c>
      <c r="M2290">
        <v>2348</v>
      </c>
      <c r="N2290">
        <v>67</v>
      </c>
      <c r="O2290">
        <v>35</v>
      </c>
      <c r="P2290">
        <v>0</v>
      </c>
      <c r="Q2290">
        <v>0</v>
      </c>
    </row>
    <row r="2291" spans="1:17" x14ac:dyDescent="0.2">
      <c r="A2291" s="121">
        <v>40056</v>
      </c>
      <c r="B2291" t="s">
        <v>406</v>
      </c>
      <c r="C2291" t="s">
        <v>418</v>
      </c>
      <c r="D2291" t="s">
        <v>419</v>
      </c>
      <c r="E2291" t="s">
        <v>420</v>
      </c>
      <c r="F2291" t="s">
        <v>410</v>
      </c>
      <c r="G2291">
        <v>24</v>
      </c>
      <c r="I2291">
        <v>24</v>
      </c>
    </row>
    <row r="2292" spans="1:17" x14ac:dyDescent="0.2">
      <c r="A2292" s="121">
        <v>40056</v>
      </c>
      <c r="B2292" t="s">
        <v>406</v>
      </c>
      <c r="C2292" t="s">
        <v>418</v>
      </c>
      <c r="D2292" t="s">
        <v>421</v>
      </c>
      <c r="E2292" t="s">
        <v>422</v>
      </c>
      <c r="F2292" t="s">
        <v>410</v>
      </c>
      <c r="G2292">
        <v>142</v>
      </c>
      <c r="I2292">
        <v>142</v>
      </c>
    </row>
    <row r="2293" spans="1:17" x14ac:dyDescent="0.2">
      <c r="A2293" s="121">
        <v>40056</v>
      </c>
      <c r="B2293" t="s">
        <v>406</v>
      </c>
      <c r="C2293" t="s">
        <v>418</v>
      </c>
      <c r="D2293" t="s">
        <v>423</v>
      </c>
      <c r="E2293" t="s">
        <v>424</v>
      </c>
      <c r="F2293" t="s">
        <v>410</v>
      </c>
      <c r="G2293">
        <v>30</v>
      </c>
      <c r="I2293">
        <v>30</v>
      </c>
    </row>
    <row r="2294" spans="1:17" x14ac:dyDescent="0.2">
      <c r="A2294" s="121">
        <v>40056</v>
      </c>
      <c r="B2294" t="s">
        <v>406</v>
      </c>
      <c r="C2294" t="s">
        <v>418</v>
      </c>
      <c r="D2294" t="s">
        <v>425</v>
      </c>
      <c r="E2294" t="s">
        <v>426</v>
      </c>
      <c r="F2294" t="s">
        <v>410</v>
      </c>
      <c r="G2294">
        <v>78</v>
      </c>
      <c r="I2294">
        <v>78</v>
      </c>
    </row>
    <row r="2295" spans="1:17" x14ac:dyDescent="0.2">
      <c r="A2295" s="121">
        <v>40056</v>
      </c>
      <c r="B2295" t="s">
        <v>406</v>
      </c>
      <c r="C2295" t="s">
        <v>418</v>
      </c>
      <c r="D2295" t="s">
        <v>427</v>
      </c>
      <c r="E2295" t="s">
        <v>428</v>
      </c>
      <c r="F2295" t="s">
        <v>413</v>
      </c>
      <c r="G2295">
        <v>2017</v>
      </c>
      <c r="H2295">
        <v>2017</v>
      </c>
      <c r="I2295">
        <v>1980</v>
      </c>
      <c r="J2295">
        <v>1980</v>
      </c>
      <c r="K2295">
        <v>643</v>
      </c>
      <c r="L2295">
        <v>5</v>
      </c>
      <c r="M2295">
        <v>1106</v>
      </c>
      <c r="N2295">
        <v>30</v>
      </c>
      <c r="O2295">
        <v>233</v>
      </c>
      <c r="P2295">
        <v>0</v>
      </c>
      <c r="Q2295">
        <v>0</v>
      </c>
    </row>
    <row r="2296" spans="1:17" x14ac:dyDescent="0.2">
      <c r="A2296" s="121">
        <v>40056</v>
      </c>
      <c r="B2296" t="s">
        <v>406</v>
      </c>
      <c r="C2296" t="s">
        <v>429</v>
      </c>
      <c r="D2296" t="s">
        <v>430</v>
      </c>
      <c r="E2296" t="s">
        <v>431</v>
      </c>
      <c r="F2296" t="s">
        <v>410</v>
      </c>
      <c r="G2296">
        <v>74</v>
      </c>
      <c r="I2296">
        <v>74</v>
      </c>
    </row>
    <row r="2297" spans="1:17" x14ac:dyDescent="0.2">
      <c r="A2297" s="121">
        <v>40056</v>
      </c>
      <c r="B2297" t="s">
        <v>406</v>
      </c>
      <c r="C2297" t="s">
        <v>429</v>
      </c>
      <c r="D2297" t="s">
        <v>432</v>
      </c>
      <c r="E2297" t="s">
        <v>433</v>
      </c>
      <c r="F2297" t="s">
        <v>410</v>
      </c>
      <c r="G2297">
        <v>82</v>
      </c>
      <c r="I2297">
        <v>82</v>
      </c>
    </row>
    <row r="2298" spans="1:17" x14ac:dyDescent="0.2">
      <c r="A2298" s="121">
        <v>40056</v>
      </c>
      <c r="B2298" t="s">
        <v>406</v>
      </c>
      <c r="C2298" t="s">
        <v>429</v>
      </c>
      <c r="D2298" t="s">
        <v>434</v>
      </c>
      <c r="E2298" t="s">
        <v>435</v>
      </c>
      <c r="F2298" t="s">
        <v>410</v>
      </c>
      <c r="G2298">
        <v>16</v>
      </c>
      <c r="I2298">
        <v>16</v>
      </c>
    </row>
    <row r="2299" spans="1:17" x14ac:dyDescent="0.2">
      <c r="A2299" s="121">
        <v>40056</v>
      </c>
      <c r="B2299" t="s">
        <v>406</v>
      </c>
      <c r="C2299" t="s">
        <v>429</v>
      </c>
      <c r="D2299" t="s">
        <v>436</v>
      </c>
      <c r="E2299" t="s">
        <v>437</v>
      </c>
      <c r="F2299" t="s">
        <v>410</v>
      </c>
      <c r="G2299">
        <v>52</v>
      </c>
      <c r="I2299">
        <v>52</v>
      </c>
    </row>
    <row r="2300" spans="1:17" x14ac:dyDescent="0.2">
      <c r="A2300" s="121">
        <v>40056</v>
      </c>
      <c r="B2300" t="s">
        <v>406</v>
      </c>
      <c r="C2300" t="s">
        <v>429</v>
      </c>
      <c r="D2300" t="s">
        <v>438</v>
      </c>
      <c r="E2300" t="s">
        <v>439</v>
      </c>
      <c r="F2300" t="s">
        <v>413</v>
      </c>
      <c r="G2300">
        <v>1138</v>
      </c>
      <c r="H2300">
        <v>1138</v>
      </c>
      <c r="I2300">
        <v>1111</v>
      </c>
      <c r="J2300">
        <v>1111</v>
      </c>
      <c r="K2300">
        <v>120</v>
      </c>
      <c r="L2300">
        <v>0</v>
      </c>
      <c r="M2300">
        <v>1001</v>
      </c>
      <c r="N2300">
        <v>17</v>
      </c>
      <c r="O2300">
        <v>0</v>
      </c>
      <c r="P2300">
        <v>0</v>
      </c>
      <c r="Q2300">
        <v>0</v>
      </c>
    </row>
    <row r="2301" spans="1:17" x14ac:dyDescent="0.2">
      <c r="A2301" s="121">
        <v>40056</v>
      </c>
      <c r="B2301" t="s">
        <v>406</v>
      </c>
      <c r="C2301" t="s">
        <v>429</v>
      </c>
      <c r="D2301" t="s">
        <v>440</v>
      </c>
      <c r="E2301" t="s">
        <v>441</v>
      </c>
      <c r="F2301" t="s">
        <v>413</v>
      </c>
      <c r="G2301">
        <v>3112</v>
      </c>
      <c r="H2301">
        <v>3112</v>
      </c>
      <c r="I2301">
        <v>2990</v>
      </c>
      <c r="J2301">
        <v>2990</v>
      </c>
      <c r="K2301">
        <v>1017</v>
      </c>
      <c r="L2301">
        <v>4</v>
      </c>
      <c r="M2301">
        <v>2011</v>
      </c>
      <c r="N2301">
        <v>17</v>
      </c>
      <c r="O2301">
        <v>63</v>
      </c>
      <c r="P2301">
        <v>0</v>
      </c>
      <c r="Q2301">
        <v>0</v>
      </c>
    </row>
    <row r="2302" spans="1:17" x14ac:dyDescent="0.2">
      <c r="A2302" s="121">
        <v>40056</v>
      </c>
      <c r="B2302" t="s">
        <v>406</v>
      </c>
      <c r="C2302" t="s">
        <v>442</v>
      </c>
      <c r="D2302" t="s">
        <v>443</v>
      </c>
      <c r="E2302" t="s">
        <v>444</v>
      </c>
      <c r="F2302" t="s">
        <v>413</v>
      </c>
      <c r="G2302">
        <v>3566</v>
      </c>
      <c r="H2302">
        <v>3566</v>
      </c>
      <c r="I2302">
        <v>3475</v>
      </c>
      <c r="J2302">
        <v>3475</v>
      </c>
      <c r="K2302">
        <v>464</v>
      </c>
      <c r="L2302">
        <v>7</v>
      </c>
      <c r="M2302">
        <v>2870</v>
      </c>
      <c r="N2302">
        <v>48</v>
      </c>
      <c r="O2302">
        <v>177</v>
      </c>
      <c r="P2302">
        <v>1</v>
      </c>
      <c r="Q2302">
        <v>0</v>
      </c>
    </row>
    <row r="2303" spans="1:17" x14ac:dyDescent="0.2">
      <c r="A2303" s="121">
        <v>40056</v>
      </c>
      <c r="B2303" t="s">
        <v>406</v>
      </c>
      <c r="C2303" t="s">
        <v>442</v>
      </c>
      <c r="D2303" t="s">
        <v>445</v>
      </c>
      <c r="E2303" t="s">
        <v>446</v>
      </c>
      <c r="F2303" t="s">
        <v>410</v>
      </c>
      <c r="G2303">
        <v>163</v>
      </c>
      <c r="I2303">
        <v>163</v>
      </c>
    </row>
    <row r="2304" spans="1:17" x14ac:dyDescent="0.2">
      <c r="A2304" s="121">
        <v>40056</v>
      </c>
      <c r="B2304" t="s">
        <v>406</v>
      </c>
      <c r="C2304" t="s">
        <v>442</v>
      </c>
      <c r="D2304" t="s">
        <v>447</v>
      </c>
      <c r="E2304" t="s">
        <v>448</v>
      </c>
      <c r="F2304" t="s">
        <v>410</v>
      </c>
      <c r="G2304">
        <v>342</v>
      </c>
      <c r="I2304">
        <v>342</v>
      </c>
    </row>
    <row r="2305" spans="1:17" x14ac:dyDescent="0.2">
      <c r="A2305" s="121">
        <v>40056</v>
      </c>
      <c r="B2305" t="s">
        <v>406</v>
      </c>
      <c r="C2305" t="s">
        <v>442</v>
      </c>
      <c r="D2305" t="s">
        <v>449</v>
      </c>
      <c r="E2305" t="s">
        <v>450</v>
      </c>
      <c r="F2305" t="s">
        <v>413</v>
      </c>
      <c r="G2305">
        <v>3513</v>
      </c>
      <c r="H2305">
        <v>3513</v>
      </c>
      <c r="I2305">
        <v>3422</v>
      </c>
      <c r="J2305">
        <v>3422</v>
      </c>
      <c r="K2305">
        <v>667</v>
      </c>
      <c r="L2305">
        <v>5</v>
      </c>
      <c r="M2305">
        <v>2708</v>
      </c>
      <c r="N2305">
        <v>30</v>
      </c>
      <c r="O2305">
        <v>103</v>
      </c>
      <c r="P2305">
        <v>3</v>
      </c>
      <c r="Q2305">
        <v>1</v>
      </c>
    </row>
    <row r="2306" spans="1:17" x14ac:dyDescent="0.2">
      <c r="A2306" s="121">
        <v>40056</v>
      </c>
      <c r="B2306" t="s">
        <v>406</v>
      </c>
      <c r="C2306" t="s">
        <v>451</v>
      </c>
      <c r="D2306" t="s">
        <v>452</v>
      </c>
      <c r="E2306" t="s">
        <v>453</v>
      </c>
      <c r="F2306" t="s">
        <v>410</v>
      </c>
      <c r="G2306">
        <v>1760</v>
      </c>
      <c r="H2306">
        <v>1760</v>
      </c>
      <c r="I2306">
        <v>1760</v>
      </c>
      <c r="J2306">
        <v>1760</v>
      </c>
      <c r="K2306">
        <v>0</v>
      </c>
      <c r="L2306">
        <v>0</v>
      </c>
      <c r="M2306">
        <v>1371</v>
      </c>
      <c r="N2306">
        <v>135</v>
      </c>
      <c r="O2306">
        <v>254</v>
      </c>
      <c r="P2306">
        <v>0</v>
      </c>
      <c r="Q2306">
        <v>0</v>
      </c>
    </row>
    <row r="2307" spans="1:17" x14ac:dyDescent="0.2">
      <c r="A2307" s="121">
        <v>40056</v>
      </c>
      <c r="B2307" t="s">
        <v>406</v>
      </c>
      <c r="C2307" t="s">
        <v>451</v>
      </c>
      <c r="D2307" t="s">
        <v>454</v>
      </c>
      <c r="E2307" t="s">
        <v>455</v>
      </c>
      <c r="F2307" t="s">
        <v>413</v>
      </c>
      <c r="G2307">
        <v>4630</v>
      </c>
      <c r="H2307">
        <v>4630</v>
      </c>
      <c r="I2307">
        <v>4454</v>
      </c>
      <c r="J2307">
        <v>4454</v>
      </c>
      <c r="K2307">
        <v>1157</v>
      </c>
      <c r="L2307">
        <v>9</v>
      </c>
      <c r="M2307">
        <v>2727</v>
      </c>
      <c r="N2307">
        <v>45</v>
      </c>
      <c r="O2307">
        <v>692</v>
      </c>
      <c r="P2307">
        <v>4</v>
      </c>
      <c r="Q2307">
        <v>0</v>
      </c>
    </row>
    <row r="2308" spans="1:17" x14ac:dyDescent="0.2">
      <c r="A2308" s="121">
        <v>40056</v>
      </c>
      <c r="B2308" t="s">
        <v>406</v>
      </c>
      <c r="C2308" t="s">
        <v>456</v>
      </c>
      <c r="D2308" t="s">
        <v>457</v>
      </c>
      <c r="E2308" t="s">
        <v>458</v>
      </c>
      <c r="F2308" t="s">
        <v>413</v>
      </c>
      <c r="G2308">
        <v>5520</v>
      </c>
      <c r="H2308">
        <v>5520</v>
      </c>
      <c r="I2308">
        <v>5195</v>
      </c>
      <c r="J2308">
        <v>5195</v>
      </c>
      <c r="K2308">
        <v>1304</v>
      </c>
      <c r="L2308">
        <v>20</v>
      </c>
      <c r="M2308">
        <v>4050</v>
      </c>
      <c r="N2308">
        <v>102</v>
      </c>
      <c r="O2308">
        <v>44</v>
      </c>
      <c r="P2308">
        <v>14</v>
      </c>
      <c r="Q2308">
        <v>2</v>
      </c>
    </row>
    <row r="2309" spans="1:17" x14ac:dyDescent="0.2">
      <c r="A2309" s="121">
        <v>40056</v>
      </c>
      <c r="B2309" t="s">
        <v>406</v>
      </c>
      <c r="C2309" t="s">
        <v>456</v>
      </c>
      <c r="D2309" t="s">
        <v>459</v>
      </c>
      <c r="E2309" t="s">
        <v>460</v>
      </c>
      <c r="F2309" t="s">
        <v>413</v>
      </c>
      <c r="G2309">
        <v>1446</v>
      </c>
      <c r="H2309">
        <v>1446</v>
      </c>
      <c r="I2309">
        <v>1440</v>
      </c>
      <c r="J2309">
        <v>1440</v>
      </c>
      <c r="K2309">
        <v>350</v>
      </c>
      <c r="L2309">
        <v>0</v>
      </c>
      <c r="M2309">
        <v>1096</v>
      </c>
      <c r="N2309">
        <v>0</v>
      </c>
      <c r="O2309">
        <v>0</v>
      </c>
      <c r="P2309">
        <v>0</v>
      </c>
      <c r="Q2309">
        <v>0</v>
      </c>
    </row>
    <row r="2310" spans="1:17" x14ac:dyDescent="0.2">
      <c r="A2310" s="121">
        <v>40056</v>
      </c>
      <c r="B2310" t="s">
        <v>406</v>
      </c>
      <c r="C2310" t="s">
        <v>456</v>
      </c>
      <c r="D2310" t="s">
        <v>461</v>
      </c>
      <c r="E2310" t="s">
        <v>462</v>
      </c>
      <c r="F2310" t="s">
        <v>410</v>
      </c>
      <c r="G2310">
        <v>113</v>
      </c>
      <c r="I2310">
        <v>113</v>
      </c>
    </row>
    <row r="2311" spans="1:17" x14ac:dyDescent="0.2">
      <c r="A2311" s="121">
        <v>40056</v>
      </c>
      <c r="B2311" t="s">
        <v>406</v>
      </c>
      <c r="C2311" t="s">
        <v>456</v>
      </c>
      <c r="D2311" t="s">
        <v>463</v>
      </c>
      <c r="E2311" t="s">
        <v>464</v>
      </c>
      <c r="F2311" t="s">
        <v>410</v>
      </c>
      <c r="G2311">
        <v>67</v>
      </c>
      <c r="I2311">
        <v>67</v>
      </c>
    </row>
    <row r="2312" spans="1:17" x14ac:dyDescent="0.2">
      <c r="A2312" s="121">
        <v>40056</v>
      </c>
      <c r="B2312" t="s">
        <v>406</v>
      </c>
      <c r="C2312" t="s">
        <v>456</v>
      </c>
      <c r="D2312" t="s">
        <v>465</v>
      </c>
      <c r="E2312" t="s">
        <v>466</v>
      </c>
      <c r="F2312" t="s">
        <v>410</v>
      </c>
      <c r="G2312">
        <v>93</v>
      </c>
      <c r="I2312">
        <v>93</v>
      </c>
    </row>
    <row r="2313" spans="1:17" x14ac:dyDescent="0.2">
      <c r="A2313" s="121">
        <v>40056</v>
      </c>
      <c r="B2313" t="s">
        <v>406</v>
      </c>
      <c r="C2313" t="s">
        <v>456</v>
      </c>
      <c r="D2313" t="s">
        <v>467</v>
      </c>
      <c r="E2313" t="s">
        <v>468</v>
      </c>
      <c r="F2313" t="s">
        <v>410</v>
      </c>
      <c r="G2313">
        <v>1218</v>
      </c>
      <c r="I2313">
        <v>1218</v>
      </c>
    </row>
    <row r="2314" spans="1:17" x14ac:dyDescent="0.2">
      <c r="A2314" s="121">
        <v>40056</v>
      </c>
      <c r="B2314" t="s">
        <v>406</v>
      </c>
      <c r="C2314" t="s">
        <v>456</v>
      </c>
      <c r="D2314" t="s">
        <v>469</v>
      </c>
      <c r="E2314" t="s">
        <v>470</v>
      </c>
      <c r="F2314" t="s">
        <v>410</v>
      </c>
      <c r="G2314">
        <v>803</v>
      </c>
      <c r="I2314">
        <v>797</v>
      </c>
    </row>
    <row r="2315" spans="1:17" x14ac:dyDescent="0.2">
      <c r="A2315" s="121">
        <v>40056</v>
      </c>
      <c r="B2315" t="s">
        <v>406</v>
      </c>
      <c r="C2315" t="s">
        <v>456</v>
      </c>
      <c r="D2315" t="s">
        <v>471</v>
      </c>
      <c r="E2315" t="s">
        <v>472</v>
      </c>
      <c r="F2315" t="s">
        <v>410</v>
      </c>
      <c r="G2315">
        <v>222</v>
      </c>
      <c r="I2315">
        <v>222</v>
      </c>
    </row>
    <row r="2316" spans="1:17" x14ac:dyDescent="0.2">
      <c r="A2316" s="121">
        <v>40056</v>
      </c>
      <c r="B2316" t="s">
        <v>406</v>
      </c>
      <c r="C2316" t="s">
        <v>456</v>
      </c>
      <c r="D2316" t="s">
        <v>473</v>
      </c>
      <c r="E2316" t="s">
        <v>474</v>
      </c>
      <c r="F2316" t="s">
        <v>410</v>
      </c>
      <c r="G2316">
        <v>248</v>
      </c>
      <c r="I2316">
        <v>248</v>
      </c>
    </row>
    <row r="2317" spans="1:17" x14ac:dyDescent="0.2">
      <c r="A2317" s="121">
        <v>40056</v>
      </c>
      <c r="B2317" t="s">
        <v>406</v>
      </c>
      <c r="C2317" t="s">
        <v>456</v>
      </c>
      <c r="D2317" t="s">
        <v>475</v>
      </c>
      <c r="E2317" t="s">
        <v>476</v>
      </c>
      <c r="F2317" t="s">
        <v>410</v>
      </c>
      <c r="G2317">
        <v>345</v>
      </c>
      <c r="I2317">
        <v>345</v>
      </c>
    </row>
    <row r="2318" spans="1:17" x14ac:dyDescent="0.2">
      <c r="A2318" s="121">
        <v>40056</v>
      </c>
      <c r="B2318" t="s">
        <v>406</v>
      </c>
      <c r="C2318" t="s">
        <v>456</v>
      </c>
      <c r="D2318" t="s">
        <v>477</v>
      </c>
      <c r="E2318" t="s">
        <v>478</v>
      </c>
      <c r="F2318" t="s">
        <v>413</v>
      </c>
      <c r="G2318">
        <v>1921</v>
      </c>
      <c r="H2318">
        <v>1921</v>
      </c>
      <c r="I2318">
        <v>1887</v>
      </c>
      <c r="J2318">
        <v>1887</v>
      </c>
      <c r="K2318">
        <v>397</v>
      </c>
      <c r="L2318">
        <v>7</v>
      </c>
      <c r="M2318">
        <v>1471</v>
      </c>
      <c r="N2318">
        <v>24</v>
      </c>
      <c r="O2318">
        <v>22</v>
      </c>
      <c r="P2318">
        <v>0</v>
      </c>
      <c r="Q2318">
        <v>0</v>
      </c>
    </row>
    <row r="2319" spans="1:17" x14ac:dyDescent="0.2">
      <c r="A2319" s="121">
        <v>40056</v>
      </c>
      <c r="B2319" t="s">
        <v>406</v>
      </c>
      <c r="C2319" t="s">
        <v>456</v>
      </c>
      <c r="D2319" t="s">
        <v>479</v>
      </c>
      <c r="E2319" t="s">
        <v>480</v>
      </c>
      <c r="F2319" t="s">
        <v>410</v>
      </c>
      <c r="G2319">
        <v>94</v>
      </c>
      <c r="I2319">
        <v>94</v>
      </c>
    </row>
    <row r="2320" spans="1:17" x14ac:dyDescent="0.2">
      <c r="A2320" s="121">
        <v>40056</v>
      </c>
      <c r="B2320" t="s">
        <v>406</v>
      </c>
      <c r="C2320" t="s">
        <v>456</v>
      </c>
      <c r="D2320" t="s">
        <v>481</v>
      </c>
      <c r="E2320" t="s">
        <v>482</v>
      </c>
      <c r="F2320" t="s">
        <v>410</v>
      </c>
      <c r="G2320">
        <v>44</v>
      </c>
      <c r="I2320">
        <v>44</v>
      </c>
    </row>
    <row r="2321" spans="1:17" x14ac:dyDescent="0.2">
      <c r="A2321" s="121">
        <v>40056</v>
      </c>
      <c r="B2321" t="s">
        <v>406</v>
      </c>
      <c r="C2321" t="s">
        <v>456</v>
      </c>
      <c r="D2321" t="s">
        <v>483</v>
      </c>
      <c r="E2321" t="s">
        <v>484</v>
      </c>
      <c r="F2321" t="s">
        <v>410</v>
      </c>
      <c r="G2321">
        <v>143</v>
      </c>
      <c r="I2321">
        <v>143</v>
      </c>
    </row>
    <row r="2322" spans="1:17" x14ac:dyDescent="0.2">
      <c r="A2322" s="121">
        <v>40056</v>
      </c>
      <c r="B2322" t="s">
        <v>406</v>
      </c>
      <c r="C2322" t="s">
        <v>456</v>
      </c>
      <c r="D2322" t="s">
        <v>485</v>
      </c>
      <c r="E2322" t="s">
        <v>486</v>
      </c>
      <c r="F2322" t="s">
        <v>410</v>
      </c>
      <c r="G2322">
        <v>109</v>
      </c>
      <c r="I2322">
        <v>109</v>
      </c>
    </row>
    <row r="2323" spans="1:17" x14ac:dyDescent="0.2">
      <c r="A2323" s="121">
        <v>40056</v>
      </c>
      <c r="B2323" t="s">
        <v>406</v>
      </c>
      <c r="C2323" t="s">
        <v>456</v>
      </c>
      <c r="D2323" t="s">
        <v>487</v>
      </c>
      <c r="E2323" t="s">
        <v>488</v>
      </c>
      <c r="F2323" t="s">
        <v>410</v>
      </c>
      <c r="G2323">
        <v>47</v>
      </c>
      <c r="I2323">
        <v>47</v>
      </c>
    </row>
    <row r="2324" spans="1:17" x14ac:dyDescent="0.2">
      <c r="A2324" s="121">
        <v>40056</v>
      </c>
      <c r="B2324" t="s">
        <v>406</v>
      </c>
      <c r="C2324" t="s">
        <v>456</v>
      </c>
      <c r="D2324" t="s">
        <v>489</v>
      </c>
      <c r="E2324" t="s">
        <v>490</v>
      </c>
      <c r="F2324" t="s">
        <v>410</v>
      </c>
      <c r="G2324">
        <v>155</v>
      </c>
      <c r="H2324">
        <v>155</v>
      </c>
      <c r="I2324">
        <v>155</v>
      </c>
      <c r="J2324">
        <v>155</v>
      </c>
      <c r="K2324">
        <v>0</v>
      </c>
      <c r="L2324">
        <v>0</v>
      </c>
      <c r="M2324">
        <v>140</v>
      </c>
      <c r="N2324">
        <v>15</v>
      </c>
      <c r="O2324">
        <v>0</v>
      </c>
      <c r="P2324">
        <v>0</v>
      </c>
      <c r="Q2324">
        <v>0</v>
      </c>
    </row>
    <row r="2325" spans="1:17" x14ac:dyDescent="0.2">
      <c r="A2325" s="121">
        <v>40056</v>
      </c>
      <c r="B2325" t="s">
        <v>406</v>
      </c>
      <c r="C2325" t="s">
        <v>491</v>
      </c>
      <c r="D2325" t="s">
        <v>492</v>
      </c>
      <c r="E2325" t="s">
        <v>493</v>
      </c>
      <c r="F2325" t="s">
        <v>410</v>
      </c>
      <c r="G2325">
        <v>1367</v>
      </c>
      <c r="H2325">
        <v>1367</v>
      </c>
      <c r="I2325">
        <v>1340</v>
      </c>
      <c r="J2325">
        <v>1340</v>
      </c>
      <c r="K2325">
        <v>331</v>
      </c>
      <c r="L2325">
        <v>0</v>
      </c>
      <c r="M2325">
        <v>2</v>
      </c>
      <c r="N2325">
        <v>43</v>
      </c>
      <c r="O2325">
        <v>991</v>
      </c>
      <c r="P2325">
        <v>0</v>
      </c>
      <c r="Q2325">
        <v>0</v>
      </c>
    </row>
    <row r="2326" spans="1:17" x14ac:dyDescent="0.2">
      <c r="A2326" s="121">
        <v>40056</v>
      </c>
      <c r="B2326" t="s">
        <v>406</v>
      </c>
      <c r="C2326" t="s">
        <v>491</v>
      </c>
      <c r="D2326" t="s">
        <v>494</v>
      </c>
      <c r="E2326" t="s">
        <v>495</v>
      </c>
      <c r="F2326" t="s">
        <v>413</v>
      </c>
      <c r="G2326">
        <v>2729</v>
      </c>
      <c r="H2326">
        <v>2729</v>
      </c>
      <c r="I2326">
        <v>2699</v>
      </c>
      <c r="J2326">
        <v>2699</v>
      </c>
      <c r="K2326">
        <v>606</v>
      </c>
      <c r="L2326">
        <v>0</v>
      </c>
      <c r="M2326">
        <v>6</v>
      </c>
      <c r="N2326">
        <v>41</v>
      </c>
      <c r="O2326">
        <v>2076</v>
      </c>
      <c r="P2326">
        <v>0</v>
      </c>
      <c r="Q2326">
        <v>0</v>
      </c>
    </row>
    <row r="2327" spans="1:17" x14ac:dyDescent="0.2">
      <c r="A2327" s="121">
        <v>40056</v>
      </c>
      <c r="B2327" t="s">
        <v>406</v>
      </c>
      <c r="C2327" t="s">
        <v>491</v>
      </c>
      <c r="D2327" t="s">
        <v>496</v>
      </c>
      <c r="E2327" t="s">
        <v>497</v>
      </c>
      <c r="F2327" t="s">
        <v>413</v>
      </c>
      <c r="G2327">
        <v>6040</v>
      </c>
      <c r="H2327">
        <v>6040</v>
      </c>
      <c r="I2327">
        <v>5950</v>
      </c>
      <c r="J2327">
        <v>5950</v>
      </c>
      <c r="K2327">
        <v>1692</v>
      </c>
      <c r="L2327">
        <v>0</v>
      </c>
      <c r="M2327">
        <v>23</v>
      </c>
      <c r="N2327">
        <v>92</v>
      </c>
      <c r="O2327">
        <v>4233</v>
      </c>
      <c r="P2327">
        <v>2</v>
      </c>
      <c r="Q2327">
        <v>0</v>
      </c>
    </row>
    <row r="2328" spans="1:17" x14ac:dyDescent="0.2">
      <c r="A2328" s="121">
        <v>40056</v>
      </c>
      <c r="B2328" t="s">
        <v>406</v>
      </c>
      <c r="C2328" t="s">
        <v>491</v>
      </c>
      <c r="D2328" t="s">
        <v>498</v>
      </c>
      <c r="E2328" t="s">
        <v>499</v>
      </c>
      <c r="F2328" t="s">
        <v>413</v>
      </c>
      <c r="G2328">
        <v>6413</v>
      </c>
      <c r="H2328">
        <v>6413</v>
      </c>
      <c r="I2328">
        <v>6245</v>
      </c>
      <c r="J2328">
        <v>6245</v>
      </c>
      <c r="K2328">
        <v>2050</v>
      </c>
      <c r="L2328">
        <v>16</v>
      </c>
      <c r="M2328">
        <v>3915</v>
      </c>
      <c r="N2328">
        <v>115</v>
      </c>
      <c r="O2328">
        <v>317</v>
      </c>
      <c r="P2328">
        <v>1</v>
      </c>
      <c r="Q2328">
        <v>0</v>
      </c>
    </row>
    <row r="2329" spans="1:17" x14ac:dyDescent="0.2">
      <c r="A2329" s="121">
        <v>40056</v>
      </c>
      <c r="B2329" t="s">
        <v>406</v>
      </c>
      <c r="C2329" t="s">
        <v>491</v>
      </c>
      <c r="D2329" t="s">
        <v>500</v>
      </c>
      <c r="E2329" t="s">
        <v>501</v>
      </c>
      <c r="F2329" t="s">
        <v>413</v>
      </c>
      <c r="G2329">
        <v>3777</v>
      </c>
      <c r="H2329">
        <v>3777</v>
      </c>
      <c r="I2329">
        <v>3762</v>
      </c>
      <c r="J2329">
        <v>3762</v>
      </c>
      <c r="K2329">
        <v>955</v>
      </c>
      <c r="L2329">
        <v>1</v>
      </c>
      <c r="M2329">
        <v>2587</v>
      </c>
      <c r="N2329">
        <v>35</v>
      </c>
      <c r="O2329">
        <v>199</v>
      </c>
      <c r="P2329">
        <v>1</v>
      </c>
      <c r="Q2329">
        <v>0</v>
      </c>
    </row>
    <row r="2330" spans="1:17" x14ac:dyDescent="0.2">
      <c r="A2330" s="121">
        <v>40056</v>
      </c>
      <c r="B2330" t="s">
        <v>406</v>
      </c>
      <c r="C2330" t="s">
        <v>491</v>
      </c>
      <c r="D2330" t="s">
        <v>502</v>
      </c>
      <c r="E2330" t="s">
        <v>503</v>
      </c>
      <c r="F2330" t="s">
        <v>413</v>
      </c>
      <c r="G2330">
        <v>6237</v>
      </c>
      <c r="H2330">
        <v>6237</v>
      </c>
      <c r="I2330">
        <v>6155</v>
      </c>
      <c r="J2330">
        <v>6155</v>
      </c>
      <c r="K2330">
        <v>1553</v>
      </c>
      <c r="L2330">
        <v>12</v>
      </c>
      <c r="M2330">
        <v>4492</v>
      </c>
      <c r="N2330">
        <v>116</v>
      </c>
      <c r="O2330">
        <v>64</v>
      </c>
      <c r="P2330">
        <v>4</v>
      </c>
      <c r="Q2330">
        <v>0</v>
      </c>
    </row>
    <row r="2331" spans="1:17" x14ac:dyDescent="0.2">
      <c r="A2331" s="121">
        <v>40056</v>
      </c>
      <c r="B2331" t="s">
        <v>406</v>
      </c>
      <c r="C2331" t="s">
        <v>491</v>
      </c>
      <c r="D2331" t="s">
        <v>504</v>
      </c>
      <c r="E2331" t="s">
        <v>505</v>
      </c>
      <c r="F2331" t="s">
        <v>413</v>
      </c>
      <c r="G2331">
        <v>4082</v>
      </c>
      <c r="H2331">
        <v>4082</v>
      </c>
      <c r="I2331">
        <v>3992</v>
      </c>
      <c r="J2331">
        <v>3992</v>
      </c>
      <c r="K2331">
        <v>1163</v>
      </c>
      <c r="L2331">
        <v>3</v>
      </c>
      <c r="M2331">
        <v>2793</v>
      </c>
      <c r="N2331">
        <v>70</v>
      </c>
      <c r="O2331">
        <v>53</v>
      </c>
      <c r="P2331">
        <v>0</v>
      </c>
      <c r="Q2331">
        <v>0</v>
      </c>
    </row>
    <row r="2332" spans="1:17" x14ac:dyDescent="0.2">
      <c r="A2332" s="121">
        <v>40056</v>
      </c>
      <c r="B2332" t="s">
        <v>406</v>
      </c>
      <c r="C2332" t="s">
        <v>491</v>
      </c>
      <c r="D2332" t="s">
        <v>506</v>
      </c>
      <c r="E2332" t="s">
        <v>507</v>
      </c>
      <c r="F2332" t="s">
        <v>413</v>
      </c>
      <c r="G2332">
        <v>3335</v>
      </c>
      <c r="H2332">
        <v>3335</v>
      </c>
      <c r="I2332">
        <v>3298</v>
      </c>
      <c r="J2332">
        <v>3298</v>
      </c>
      <c r="K2332">
        <v>484</v>
      </c>
      <c r="L2332">
        <v>0</v>
      </c>
      <c r="M2332">
        <v>2842</v>
      </c>
      <c r="N2332">
        <v>3</v>
      </c>
      <c r="O2332">
        <v>6</v>
      </c>
      <c r="P2332">
        <v>1</v>
      </c>
      <c r="Q2332">
        <v>1</v>
      </c>
    </row>
    <row r="2333" spans="1:17" x14ac:dyDescent="0.2">
      <c r="A2333" s="121">
        <v>40056</v>
      </c>
      <c r="B2333" t="s">
        <v>406</v>
      </c>
      <c r="C2333" t="s">
        <v>491</v>
      </c>
      <c r="D2333" t="s">
        <v>508</v>
      </c>
      <c r="E2333" t="s">
        <v>509</v>
      </c>
      <c r="F2333" t="s">
        <v>413</v>
      </c>
      <c r="G2333">
        <v>5221</v>
      </c>
      <c r="H2333">
        <v>5221</v>
      </c>
      <c r="I2333">
        <v>5053</v>
      </c>
      <c r="J2333">
        <v>5053</v>
      </c>
      <c r="K2333">
        <v>1729</v>
      </c>
      <c r="L2333">
        <v>9</v>
      </c>
      <c r="M2333">
        <v>3048</v>
      </c>
      <c r="N2333">
        <v>159</v>
      </c>
      <c r="O2333">
        <v>276</v>
      </c>
      <c r="P2333">
        <v>2</v>
      </c>
      <c r="Q2333">
        <v>0</v>
      </c>
    </row>
    <row r="2334" spans="1:17" x14ac:dyDescent="0.2">
      <c r="A2334" s="121">
        <v>40056</v>
      </c>
      <c r="B2334" t="s">
        <v>406</v>
      </c>
      <c r="C2334" t="s">
        <v>510</v>
      </c>
      <c r="D2334" t="s">
        <v>511</v>
      </c>
      <c r="E2334" t="s">
        <v>512</v>
      </c>
      <c r="F2334" t="s">
        <v>410</v>
      </c>
      <c r="G2334">
        <v>560</v>
      </c>
      <c r="I2334">
        <v>559</v>
      </c>
    </row>
    <row r="2335" spans="1:17" x14ac:dyDescent="0.2">
      <c r="A2335" s="121">
        <v>40056</v>
      </c>
      <c r="B2335" t="s">
        <v>406</v>
      </c>
      <c r="C2335" t="s">
        <v>510</v>
      </c>
      <c r="D2335" t="s">
        <v>513</v>
      </c>
      <c r="E2335" t="s">
        <v>514</v>
      </c>
      <c r="F2335" t="s">
        <v>410</v>
      </c>
      <c r="G2335">
        <v>638</v>
      </c>
      <c r="I2335">
        <v>634</v>
      </c>
    </row>
    <row r="2336" spans="1:17" x14ac:dyDescent="0.2">
      <c r="A2336" s="121">
        <v>40056</v>
      </c>
      <c r="B2336" t="s">
        <v>406</v>
      </c>
      <c r="C2336" t="s">
        <v>510</v>
      </c>
      <c r="D2336" t="s">
        <v>515</v>
      </c>
      <c r="E2336" t="s">
        <v>516</v>
      </c>
      <c r="F2336" t="s">
        <v>410</v>
      </c>
      <c r="G2336">
        <v>106</v>
      </c>
      <c r="I2336">
        <v>106</v>
      </c>
    </row>
    <row r="2337" spans="1:17" x14ac:dyDescent="0.2">
      <c r="A2337" s="121">
        <v>40056</v>
      </c>
      <c r="B2337" t="s">
        <v>406</v>
      </c>
      <c r="C2337" t="s">
        <v>510</v>
      </c>
      <c r="D2337" t="s">
        <v>517</v>
      </c>
      <c r="E2337" t="s">
        <v>518</v>
      </c>
      <c r="F2337" t="s">
        <v>410</v>
      </c>
      <c r="G2337">
        <v>359</v>
      </c>
      <c r="I2337">
        <v>358</v>
      </c>
    </row>
    <row r="2338" spans="1:17" x14ac:dyDescent="0.2">
      <c r="A2338" s="121">
        <v>40056</v>
      </c>
      <c r="B2338" t="s">
        <v>406</v>
      </c>
      <c r="C2338" t="s">
        <v>510</v>
      </c>
      <c r="D2338" t="s">
        <v>519</v>
      </c>
      <c r="E2338" t="s">
        <v>520</v>
      </c>
      <c r="F2338" t="s">
        <v>410</v>
      </c>
      <c r="G2338">
        <v>372</v>
      </c>
      <c r="I2338">
        <v>368</v>
      </c>
    </row>
    <row r="2339" spans="1:17" x14ac:dyDescent="0.2">
      <c r="A2339" s="121">
        <v>40056</v>
      </c>
      <c r="B2339" t="s">
        <v>406</v>
      </c>
      <c r="C2339" t="s">
        <v>510</v>
      </c>
      <c r="D2339" t="s">
        <v>521</v>
      </c>
      <c r="E2339" t="s">
        <v>522</v>
      </c>
      <c r="F2339" t="s">
        <v>410</v>
      </c>
      <c r="G2339">
        <v>93</v>
      </c>
      <c r="I2339">
        <v>93</v>
      </c>
    </row>
    <row r="2340" spans="1:17" x14ac:dyDescent="0.2">
      <c r="A2340" s="121">
        <v>40056</v>
      </c>
      <c r="B2340" t="s">
        <v>406</v>
      </c>
      <c r="C2340" t="s">
        <v>510</v>
      </c>
      <c r="D2340" t="s">
        <v>523</v>
      </c>
      <c r="E2340" t="s">
        <v>524</v>
      </c>
      <c r="F2340" t="s">
        <v>413</v>
      </c>
      <c r="G2340">
        <v>595</v>
      </c>
      <c r="I2340">
        <v>585</v>
      </c>
    </row>
    <row r="2341" spans="1:17" x14ac:dyDescent="0.2">
      <c r="A2341" s="121">
        <v>40056</v>
      </c>
      <c r="B2341" t="s">
        <v>406</v>
      </c>
      <c r="C2341" t="s">
        <v>510</v>
      </c>
      <c r="D2341" t="s">
        <v>527</v>
      </c>
      <c r="E2341" t="s">
        <v>528</v>
      </c>
      <c r="F2341" t="s">
        <v>410</v>
      </c>
      <c r="G2341">
        <v>227</v>
      </c>
      <c r="I2341">
        <v>226</v>
      </c>
    </row>
    <row r="2342" spans="1:17" x14ac:dyDescent="0.2">
      <c r="A2342" s="121">
        <v>40056</v>
      </c>
      <c r="B2342" t="s">
        <v>406</v>
      </c>
      <c r="C2342" t="s">
        <v>510</v>
      </c>
      <c r="D2342" t="s">
        <v>529</v>
      </c>
      <c r="E2342" t="s">
        <v>530</v>
      </c>
      <c r="F2342" t="s">
        <v>413</v>
      </c>
      <c r="G2342">
        <v>528</v>
      </c>
      <c r="I2342">
        <v>522</v>
      </c>
    </row>
    <row r="2343" spans="1:17" x14ac:dyDescent="0.2">
      <c r="A2343" s="121">
        <v>40056</v>
      </c>
      <c r="B2343" t="s">
        <v>406</v>
      </c>
      <c r="C2343" t="s">
        <v>510</v>
      </c>
      <c r="D2343" t="s">
        <v>531</v>
      </c>
      <c r="E2343" t="s">
        <v>532</v>
      </c>
      <c r="F2343" t="s">
        <v>410</v>
      </c>
      <c r="G2343">
        <v>64</v>
      </c>
      <c r="I2343">
        <v>64</v>
      </c>
    </row>
    <row r="2344" spans="1:17" x14ac:dyDescent="0.2">
      <c r="A2344" s="121">
        <v>40056</v>
      </c>
      <c r="B2344" t="s">
        <v>406</v>
      </c>
      <c r="C2344" t="s">
        <v>510</v>
      </c>
      <c r="D2344" t="s">
        <v>533</v>
      </c>
      <c r="E2344" t="s">
        <v>534</v>
      </c>
      <c r="F2344" t="s">
        <v>413</v>
      </c>
      <c r="G2344">
        <v>2838</v>
      </c>
      <c r="H2344">
        <v>2838</v>
      </c>
      <c r="I2344">
        <v>2779</v>
      </c>
      <c r="J2344">
        <v>2779</v>
      </c>
      <c r="K2344">
        <v>575</v>
      </c>
      <c r="L2344">
        <v>14</v>
      </c>
      <c r="M2344">
        <v>2248</v>
      </c>
      <c r="N2344">
        <v>1</v>
      </c>
      <c r="O2344">
        <v>0</v>
      </c>
      <c r="P2344">
        <v>2</v>
      </c>
      <c r="Q2344">
        <v>1</v>
      </c>
    </row>
    <row r="2345" spans="1:17" x14ac:dyDescent="0.2">
      <c r="A2345" s="121">
        <v>40056</v>
      </c>
      <c r="B2345" t="s">
        <v>406</v>
      </c>
      <c r="C2345" t="s">
        <v>510</v>
      </c>
      <c r="D2345" t="s">
        <v>535</v>
      </c>
      <c r="E2345" t="s">
        <v>536</v>
      </c>
      <c r="F2345" t="s">
        <v>410</v>
      </c>
      <c r="G2345">
        <v>281</v>
      </c>
      <c r="I2345">
        <v>281</v>
      </c>
    </row>
    <row r="2346" spans="1:17" x14ac:dyDescent="0.2">
      <c r="A2346" s="121">
        <v>40056</v>
      </c>
      <c r="B2346" t="s">
        <v>406</v>
      </c>
      <c r="C2346" t="s">
        <v>510</v>
      </c>
      <c r="D2346" t="s">
        <v>537</v>
      </c>
      <c r="E2346" t="s">
        <v>538</v>
      </c>
      <c r="F2346" t="s">
        <v>410</v>
      </c>
      <c r="G2346">
        <v>124</v>
      </c>
      <c r="I2346">
        <v>124</v>
      </c>
    </row>
    <row r="2347" spans="1:17" x14ac:dyDescent="0.2">
      <c r="A2347" s="121">
        <v>40056</v>
      </c>
      <c r="B2347" t="s">
        <v>406</v>
      </c>
      <c r="C2347" t="s">
        <v>510</v>
      </c>
      <c r="D2347" t="s">
        <v>539</v>
      </c>
      <c r="E2347" t="s">
        <v>540</v>
      </c>
      <c r="F2347" t="s">
        <v>413</v>
      </c>
      <c r="G2347">
        <v>973</v>
      </c>
      <c r="I2347">
        <v>947</v>
      </c>
    </row>
    <row r="2348" spans="1:17" x14ac:dyDescent="0.2">
      <c r="A2348" s="121">
        <v>40056</v>
      </c>
      <c r="B2348" t="s">
        <v>406</v>
      </c>
      <c r="C2348" t="s">
        <v>510</v>
      </c>
      <c r="D2348" t="s">
        <v>541</v>
      </c>
      <c r="E2348" t="s">
        <v>542</v>
      </c>
      <c r="F2348" t="s">
        <v>410</v>
      </c>
      <c r="G2348">
        <v>508</v>
      </c>
      <c r="I2348">
        <v>495</v>
      </c>
    </row>
    <row r="2349" spans="1:17" x14ac:dyDescent="0.2">
      <c r="A2349" s="121">
        <v>40056</v>
      </c>
      <c r="B2349" t="s">
        <v>406</v>
      </c>
      <c r="C2349" t="s">
        <v>510</v>
      </c>
      <c r="D2349" t="s">
        <v>543</v>
      </c>
      <c r="E2349" t="s">
        <v>544</v>
      </c>
      <c r="F2349" t="s">
        <v>410</v>
      </c>
      <c r="G2349">
        <v>394</v>
      </c>
      <c r="I2349">
        <v>386</v>
      </c>
    </row>
    <row r="2350" spans="1:17" x14ac:dyDescent="0.2">
      <c r="A2350" s="121">
        <v>40056</v>
      </c>
      <c r="B2350" t="s">
        <v>406</v>
      </c>
      <c r="C2350" t="s">
        <v>510</v>
      </c>
      <c r="D2350" t="s">
        <v>545</v>
      </c>
      <c r="E2350" t="s">
        <v>546</v>
      </c>
      <c r="F2350" t="s">
        <v>410</v>
      </c>
      <c r="G2350">
        <v>207</v>
      </c>
      <c r="I2350">
        <v>207</v>
      </c>
    </row>
    <row r="2351" spans="1:17" x14ac:dyDescent="0.2">
      <c r="A2351" s="121">
        <v>40056</v>
      </c>
      <c r="B2351" t="s">
        <v>406</v>
      </c>
      <c r="C2351" t="s">
        <v>510</v>
      </c>
      <c r="D2351" t="s">
        <v>547</v>
      </c>
      <c r="E2351" t="s">
        <v>548</v>
      </c>
      <c r="F2351" t="s">
        <v>410</v>
      </c>
      <c r="G2351">
        <v>131</v>
      </c>
      <c r="I2351">
        <v>131</v>
      </c>
    </row>
    <row r="2352" spans="1:17" x14ac:dyDescent="0.2">
      <c r="A2352" s="121">
        <v>40056</v>
      </c>
      <c r="B2352" t="s">
        <v>406</v>
      </c>
      <c r="C2352" t="s">
        <v>510</v>
      </c>
      <c r="D2352" t="s">
        <v>549</v>
      </c>
      <c r="E2352" t="s">
        <v>550</v>
      </c>
      <c r="F2352" t="s">
        <v>410</v>
      </c>
      <c r="G2352">
        <v>247</v>
      </c>
      <c r="I2352">
        <v>247</v>
      </c>
    </row>
    <row r="2353" spans="1:17" x14ac:dyDescent="0.2">
      <c r="A2353" s="121">
        <v>40056</v>
      </c>
      <c r="B2353" t="s">
        <v>406</v>
      </c>
      <c r="C2353" t="s">
        <v>551</v>
      </c>
      <c r="D2353" t="s">
        <v>552</v>
      </c>
      <c r="E2353" t="s">
        <v>553</v>
      </c>
      <c r="F2353" t="s">
        <v>413</v>
      </c>
      <c r="G2353">
        <v>5744</v>
      </c>
      <c r="H2353">
        <v>5744</v>
      </c>
      <c r="I2353">
        <v>5615</v>
      </c>
      <c r="J2353">
        <v>5615</v>
      </c>
      <c r="K2353">
        <v>1667</v>
      </c>
      <c r="L2353">
        <v>5</v>
      </c>
      <c r="M2353">
        <v>3834</v>
      </c>
      <c r="N2353">
        <v>222</v>
      </c>
      <c r="O2353">
        <v>16</v>
      </c>
      <c r="P2353">
        <v>10</v>
      </c>
      <c r="Q2353">
        <v>5</v>
      </c>
    </row>
    <row r="2354" spans="1:17" x14ac:dyDescent="0.2">
      <c r="A2354" s="121">
        <v>40056</v>
      </c>
      <c r="B2354" t="s">
        <v>406</v>
      </c>
      <c r="C2354" t="s">
        <v>551</v>
      </c>
      <c r="D2354" t="s">
        <v>554</v>
      </c>
      <c r="E2354" t="s">
        <v>555</v>
      </c>
      <c r="F2354" t="s">
        <v>410</v>
      </c>
      <c r="G2354">
        <v>147</v>
      </c>
      <c r="I2354">
        <v>147</v>
      </c>
    </row>
    <row r="2355" spans="1:17" x14ac:dyDescent="0.2">
      <c r="A2355" s="121">
        <v>40056</v>
      </c>
      <c r="B2355" t="s">
        <v>406</v>
      </c>
      <c r="C2355" t="s">
        <v>551</v>
      </c>
      <c r="D2355" t="s">
        <v>556</v>
      </c>
      <c r="E2355" t="s">
        <v>557</v>
      </c>
      <c r="F2355" t="s">
        <v>410</v>
      </c>
      <c r="G2355">
        <v>146</v>
      </c>
      <c r="I2355">
        <v>146</v>
      </c>
    </row>
    <row r="2356" spans="1:17" x14ac:dyDescent="0.2">
      <c r="A2356" s="121">
        <v>40056</v>
      </c>
      <c r="B2356" t="s">
        <v>406</v>
      </c>
      <c r="C2356" t="s">
        <v>551</v>
      </c>
      <c r="D2356" t="s">
        <v>558</v>
      </c>
      <c r="E2356" t="s">
        <v>559</v>
      </c>
      <c r="F2356" t="s">
        <v>413</v>
      </c>
      <c r="G2356">
        <v>4931</v>
      </c>
      <c r="H2356">
        <v>4931</v>
      </c>
      <c r="I2356">
        <v>4854</v>
      </c>
      <c r="J2356">
        <v>4854</v>
      </c>
      <c r="K2356">
        <v>1146</v>
      </c>
      <c r="L2356">
        <v>10</v>
      </c>
      <c r="M2356">
        <v>3642</v>
      </c>
      <c r="N2356">
        <v>105</v>
      </c>
      <c r="O2356">
        <v>28</v>
      </c>
      <c r="P2356">
        <v>2</v>
      </c>
      <c r="Q2356">
        <v>0</v>
      </c>
    </row>
    <row r="2357" spans="1:17" x14ac:dyDescent="0.2">
      <c r="A2357" s="121">
        <v>40056</v>
      </c>
      <c r="B2357" t="s">
        <v>406</v>
      </c>
      <c r="C2357" t="s">
        <v>551</v>
      </c>
      <c r="D2357" t="s">
        <v>560</v>
      </c>
      <c r="E2357" t="s">
        <v>561</v>
      </c>
      <c r="F2357" t="s">
        <v>413</v>
      </c>
      <c r="G2357">
        <v>5801</v>
      </c>
      <c r="H2357">
        <v>5801</v>
      </c>
      <c r="I2357">
        <v>5742</v>
      </c>
      <c r="J2357">
        <v>5742</v>
      </c>
      <c r="K2357">
        <v>1347</v>
      </c>
      <c r="L2357">
        <v>3</v>
      </c>
      <c r="M2357">
        <v>4184</v>
      </c>
      <c r="N2357">
        <v>251</v>
      </c>
      <c r="O2357">
        <v>16</v>
      </c>
      <c r="P2357">
        <v>0</v>
      </c>
      <c r="Q2357">
        <v>0</v>
      </c>
    </row>
    <row r="2358" spans="1:17" x14ac:dyDescent="0.2">
      <c r="A2358" s="121">
        <v>40056</v>
      </c>
      <c r="B2358" t="s">
        <v>406</v>
      </c>
      <c r="C2358" t="s">
        <v>562</v>
      </c>
      <c r="D2358" t="s">
        <v>603</v>
      </c>
      <c r="E2358" t="s">
        <v>604</v>
      </c>
      <c r="F2358" t="s">
        <v>410</v>
      </c>
      <c r="G2358">
        <v>22</v>
      </c>
      <c r="I2358">
        <v>22</v>
      </c>
    </row>
    <row r="2359" spans="1:17" x14ac:dyDescent="0.2">
      <c r="A2359" s="121">
        <v>40056</v>
      </c>
      <c r="B2359" t="s">
        <v>406</v>
      </c>
      <c r="C2359" t="s">
        <v>562</v>
      </c>
      <c r="D2359" t="s">
        <v>605</v>
      </c>
      <c r="E2359" t="s">
        <v>606</v>
      </c>
      <c r="F2359" t="s">
        <v>410</v>
      </c>
      <c r="G2359">
        <v>175</v>
      </c>
      <c r="I2359">
        <v>175</v>
      </c>
    </row>
    <row r="2360" spans="1:17" x14ac:dyDescent="0.2">
      <c r="A2360" s="121">
        <v>40056</v>
      </c>
      <c r="B2360" t="s">
        <v>406</v>
      </c>
      <c r="C2360" t="s">
        <v>562</v>
      </c>
      <c r="D2360" t="s">
        <v>563</v>
      </c>
      <c r="E2360" t="s">
        <v>564</v>
      </c>
      <c r="F2360" t="s">
        <v>410</v>
      </c>
      <c r="G2360">
        <v>3094</v>
      </c>
      <c r="H2360">
        <v>3094</v>
      </c>
      <c r="I2360">
        <v>3048</v>
      </c>
      <c r="J2360">
        <v>3048</v>
      </c>
      <c r="K2360">
        <v>963</v>
      </c>
      <c r="L2360">
        <v>1</v>
      </c>
      <c r="M2360">
        <v>2079</v>
      </c>
      <c r="N2360">
        <v>51</v>
      </c>
      <c r="O2360">
        <v>0</v>
      </c>
      <c r="P2360">
        <v>0</v>
      </c>
      <c r="Q2360">
        <v>0</v>
      </c>
    </row>
    <row r="2361" spans="1:17" x14ac:dyDescent="0.2">
      <c r="A2361" s="121">
        <v>40056</v>
      </c>
      <c r="B2361" t="s">
        <v>406</v>
      </c>
      <c r="C2361" t="s">
        <v>562</v>
      </c>
      <c r="D2361" t="s">
        <v>565</v>
      </c>
      <c r="E2361" t="s">
        <v>566</v>
      </c>
      <c r="F2361" t="s">
        <v>413</v>
      </c>
      <c r="G2361">
        <v>4275</v>
      </c>
      <c r="H2361">
        <v>4275</v>
      </c>
      <c r="I2361">
        <v>4159</v>
      </c>
      <c r="J2361">
        <v>4159</v>
      </c>
      <c r="K2361">
        <v>949</v>
      </c>
      <c r="L2361">
        <v>2</v>
      </c>
      <c r="M2361">
        <v>3212</v>
      </c>
      <c r="N2361">
        <v>112</v>
      </c>
      <c r="O2361">
        <v>0</v>
      </c>
      <c r="P2361">
        <v>3</v>
      </c>
      <c r="Q2361">
        <v>0</v>
      </c>
    </row>
    <row r="2362" spans="1:17" x14ac:dyDescent="0.2">
      <c r="A2362" s="121">
        <v>40056</v>
      </c>
      <c r="B2362" t="s">
        <v>406</v>
      </c>
      <c r="C2362" t="s">
        <v>562</v>
      </c>
      <c r="D2362" t="s">
        <v>567</v>
      </c>
      <c r="E2362" t="s">
        <v>568</v>
      </c>
      <c r="F2362" t="s">
        <v>413</v>
      </c>
      <c r="G2362">
        <v>9521</v>
      </c>
      <c r="H2362">
        <v>9521</v>
      </c>
      <c r="I2362">
        <v>9099</v>
      </c>
      <c r="J2362">
        <v>9099</v>
      </c>
      <c r="K2362">
        <v>2578</v>
      </c>
      <c r="L2362">
        <v>15</v>
      </c>
      <c r="M2362">
        <v>6526</v>
      </c>
      <c r="N2362">
        <v>402</v>
      </c>
      <c r="O2362">
        <v>0</v>
      </c>
      <c r="P2362">
        <v>23</v>
      </c>
      <c r="Q2362">
        <v>1</v>
      </c>
    </row>
    <row r="2363" spans="1:17" x14ac:dyDescent="0.2">
      <c r="A2363" s="121">
        <v>40056</v>
      </c>
      <c r="B2363" t="s">
        <v>406</v>
      </c>
      <c r="C2363" t="s">
        <v>562</v>
      </c>
      <c r="D2363" t="s">
        <v>569</v>
      </c>
      <c r="E2363" t="s">
        <v>570</v>
      </c>
      <c r="F2363" t="s">
        <v>413</v>
      </c>
      <c r="G2363">
        <v>2818</v>
      </c>
      <c r="H2363">
        <v>2818</v>
      </c>
      <c r="I2363">
        <v>2801</v>
      </c>
      <c r="J2363">
        <v>2801</v>
      </c>
      <c r="K2363">
        <v>409</v>
      </c>
      <c r="L2363">
        <v>2</v>
      </c>
      <c r="M2363">
        <v>2406</v>
      </c>
      <c r="N2363">
        <v>1</v>
      </c>
      <c r="O2363">
        <v>0</v>
      </c>
      <c r="P2363">
        <v>0</v>
      </c>
      <c r="Q2363">
        <v>0</v>
      </c>
    </row>
    <row r="2364" spans="1:17" x14ac:dyDescent="0.2">
      <c r="A2364" s="121">
        <v>40056</v>
      </c>
      <c r="B2364" t="s">
        <v>406</v>
      </c>
      <c r="C2364" t="s">
        <v>571</v>
      </c>
      <c r="D2364" t="s">
        <v>572</v>
      </c>
      <c r="E2364" t="s">
        <v>573</v>
      </c>
      <c r="F2364" t="s">
        <v>410</v>
      </c>
      <c r="G2364">
        <v>332</v>
      </c>
      <c r="I2364">
        <v>329</v>
      </c>
    </row>
    <row r="2365" spans="1:17" x14ac:dyDescent="0.2">
      <c r="A2365" s="121">
        <v>40056</v>
      </c>
      <c r="B2365" t="s">
        <v>406</v>
      </c>
      <c r="C2365" t="s">
        <v>574</v>
      </c>
      <c r="D2365" t="s">
        <v>575</v>
      </c>
      <c r="E2365" t="s">
        <v>576</v>
      </c>
      <c r="F2365" t="s">
        <v>413</v>
      </c>
      <c r="G2365">
        <v>803</v>
      </c>
      <c r="H2365">
        <v>803</v>
      </c>
      <c r="I2365">
        <v>799</v>
      </c>
      <c r="J2365">
        <v>799</v>
      </c>
      <c r="K2365">
        <v>164</v>
      </c>
      <c r="L2365">
        <v>0</v>
      </c>
      <c r="M2365">
        <v>602</v>
      </c>
      <c r="N2365">
        <v>3</v>
      </c>
      <c r="O2365">
        <v>34</v>
      </c>
      <c r="P2365">
        <v>0</v>
      </c>
      <c r="Q2365">
        <v>0</v>
      </c>
    </row>
    <row r="2366" spans="1:17" x14ac:dyDescent="0.2">
      <c r="A2366" s="121">
        <v>40056</v>
      </c>
      <c r="B2366" t="s">
        <v>406</v>
      </c>
      <c r="C2366" t="s">
        <v>577</v>
      </c>
      <c r="D2366" t="s">
        <v>578</v>
      </c>
      <c r="E2366" t="s">
        <v>579</v>
      </c>
      <c r="F2366" t="s">
        <v>413</v>
      </c>
      <c r="G2366">
        <v>4111</v>
      </c>
      <c r="H2366">
        <v>4111</v>
      </c>
      <c r="I2366">
        <v>4064</v>
      </c>
      <c r="J2366">
        <v>4064</v>
      </c>
      <c r="K2366">
        <v>874</v>
      </c>
      <c r="L2366">
        <v>20</v>
      </c>
      <c r="M2366">
        <v>3181</v>
      </c>
      <c r="N2366">
        <v>36</v>
      </c>
      <c r="O2366">
        <v>0</v>
      </c>
      <c r="P2366">
        <v>1</v>
      </c>
      <c r="Q2366">
        <v>0</v>
      </c>
    </row>
    <row r="2367" spans="1:17" x14ac:dyDescent="0.2">
      <c r="A2367" s="121">
        <v>40056</v>
      </c>
      <c r="B2367" t="s">
        <v>406</v>
      </c>
      <c r="C2367" t="s">
        <v>577</v>
      </c>
      <c r="D2367" t="s">
        <v>580</v>
      </c>
      <c r="E2367" t="s">
        <v>581</v>
      </c>
      <c r="F2367" t="s">
        <v>413</v>
      </c>
      <c r="G2367">
        <v>2204</v>
      </c>
      <c r="H2367">
        <v>2204</v>
      </c>
      <c r="I2367">
        <v>2189</v>
      </c>
      <c r="J2367">
        <v>2189</v>
      </c>
      <c r="K2367">
        <v>367</v>
      </c>
      <c r="L2367">
        <v>0</v>
      </c>
      <c r="M2367">
        <v>1625</v>
      </c>
      <c r="N2367">
        <v>23</v>
      </c>
      <c r="O2367">
        <v>189</v>
      </c>
      <c r="P2367">
        <v>0</v>
      </c>
      <c r="Q2367">
        <v>0</v>
      </c>
    </row>
    <row r="2368" spans="1:17" x14ac:dyDescent="0.2">
      <c r="A2368" s="121">
        <v>40056</v>
      </c>
      <c r="B2368" t="s">
        <v>406</v>
      </c>
      <c r="C2368" t="s">
        <v>577</v>
      </c>
      <c r="D2368" t="s">
        <v>609</v>
      </c>
      <c r="E2368" t="s">
        <v>610</v>
      </c>
      <c r="F2368" t="s">
        <v>410</v>
      </c>
      <c r="G2368">
        <v>34</v>
      </c>
      <c r="H2368">
        <v>34</v>
      </c>
      <c r="I2368">
        <v>34</v>
      </c>
      <c r="J2368">
        <v>34</v>
      </c>
      <c r="K2368">
        <v>2</v>
      </c>
      <c r="L2368">
        <v>0</v>
      </c>
      <c r="M2368">
        <v>22</v>
      </c>
      <c r="N2368">
        <v>0</v>
      </c>
      <c r="O2368">
        <v>10</v>
      </c>
      <c r="P2368">
        <v>0</v>
      </c>
      <c r="Q2368">
        <v>0</v>
      </c>
    </row>
    <row r="2369" spans="1:17" x14ac:dyDescent="0.2">
      <c r="A2369" s="121">
        <v>40056</v>
      </c>
      <c r="B2369" t="s">
        <v>406</v>
      </c>
      <c r="C2369" t="s">
        <v>577</v>
      </c>
      <c r="D2369" t="s">
        <v>611</v>
      </c>
      <c r="E2369" t="s">
        <v>612</v>
      </c>
      <c r="F2369" t="s">
        <v>410</v>
      </c>
      <c r="G2369">
        <v>33</v>
      </c>
      <c r="H2369">
        <v>33</v>
      </c>
      <c r="I2369">
        <v>33</v>
      </c>
      <c r="J2369">
        <v>33</v>
      </c>
      <c r="K2369">
        <v>0</v>
      </c>
      <c r="L2369">
        <v>0</v>
      </c>
      <c r="M2369">
        <v>12</v>
      </c>
      <c r="N2369">
        <v>0</v>
      </c>
      <c r="O2369">
        <v>21</v>
      </c>
      <c r="P2369">
        <v>0</v>
      </c>
      <c r="Q2369">
        <v>0</v>
      </c>
    </row>
    <row r="2370" spans="1:17" x14ac:dyDescent="0.2">
      <c r="A2370" s="121">
        <v>40056</v>
      </c>
      <c r="B2370" t="s">
        <v>406</v>
      </c>
      <c r="C2370" t="s">
        <v>577</v>
      </c>
      <c r="D2370" t="s">
        <v>584</v>
      </c>
      <c r="E2370" t="s">
        <v>585</v>
      </c>
      <c r="F2370" t="s">
        <v>410</v>
      </c>
      <c r="G2370">
        <v>295</v>
      </c>
      <c r="H2370">
        <v>295</v>
      </c>
      <c r="I2370">
        <v>295</v>
      </c>
      <c r="J2370">
        <v>295</v>
      </c>
      <c r="K2370">
        <v>11</v>
      </c>
      <c r="L2370">
        <v>0</v>
      </c>
      <c r="M2370">
        <v>255</v>
      </c>
      <c r="N2370">
        <v>0</v>
      </c>
      <c r="O2370">
        <v>29</v>
      </c>
      <c r="P2370">
        <v>0</v>
      </c>
      <c r="Q2370">
        <v>0</v>
      </c>
    </row>
    <row r="2371" spans="1:17" x14ac:dyDescent="0.2">
      <c r="A2371" s="121">
        <v>40056</v>
      </c>
      <c r="B2371" t="s">
        <v>406</v>
      </c>
      <c r="C2371" t="s">
        <v>577</v>
      </c>
      <c r="D2371" t="s">
        <v>586</v>
      </c>
      <c r="E2371" t="s">
        <v>587</v>
      </c>
      <c r="F2371" t="s">
        <v>410</v>
      </c>
      <c r="G2371">
        <v>1151</v>
      </c>
      <c r="H2371">
        <v>1151</v>
      </c>
      <c r="I2371">
        <v>1151</v>
      </c>
      <c r="J2371">
        <v>1151</v>
      </c>
      <c r="K2371">
        <v>35</v>
      </c>
      <c r="L2371">
        <v>0</v>
      </c>
      <c r="M2371">
        <v>776</v>
      </c>
      <c r="N2371">
        <v>0</v>
      </c>
      <c r="O2371">
        <v>340</v>
      </c>
      <c r="P2371">
        <v>0</v>
      </c>
      <c r="Q2371">
        <v>0</v>
      </c>
    </row>
    <row r="2372" spans="1:17" x14ac:dyDescent="0.2">
      <c r="A2372" s="121">
        <v>40056</v>
      </c>
      <c r="B2372" t="s">
        <v>406</v>
      </c>
      <c r="C2372" t="s">
        <v>577</v>
      </c>
      <c r="D2372" t="s">
        <v>588</v>
      </c>
      <c r="E2372" t="s">
        <v>589</v>
      </c>
      <c r="F2372" t="s">
        <v>410</v>
      </c>
      <c r="G2372">
        <v>318</v>
      </c>
      <c r="H2372">
        <v>318</v>
      </c>
      <c r="I2372">
        <v>318</v>
      </c>
      <c r="J2372">
        <v>318</v>
      </c>
      <c r="K2372">
        <v>9</v>
      </c>
      <c r="L2372">
        <v>0</v>
      </c>
      <c r="M2372">
        <v>258</v>
      </c>
      <c r="N2372">
        <v>0</v>
      </c>
      <c r="O2372">
        <v>51</v>
      </c>
      <c r="P2372">
        <v>0</v>
      </c>
      <c r="Q2372">
        <v>0</v>
      </c>
    </row>
    <row r="2373" spans="1:17" x14ac:dyDescent="0.2">
      <c r="A2373" s="121">
        <v>40056</v>
      </c>
      <c r="B2373" t="s">
        <v>406</v>
      </c>
      <c r="C2373" t="s">
        <v>577</v>
      </c>
      <c r="D2373" t="s">
        <v>613</v>
      </c>
      <c r="E2373" t="s">
        <v>614</v>
      </c>
      <c r="F2373" t="s">
        <v>410</v>
      </c>
      <c r="G2373">
        <v>227</v>
      </c>
      <c r="H2373">
        <v>227</v>
      </c>
      <c r="I2373">
        <v>227</v>
      </c>
      <c r="J2373">
        <v>227</v>
      </c>
      <c r="K2373">
        <v>15</v>
      </c>
      <c r="L2373">
        <v>0</v>
      </c>
      <c r="M2373">
        <v>159</v>
      </c>
      <c r="N2373">
        <v>0</v>
      </c>
      <c r="O2373">
        <v>53</v>
      </c>
      <c r="P2373">
        <v>0</v>
      </c>
      <c r="Q2373">
        <v>0</v>
      </c>
    </row>
    <row r="2374" spans="1:17" x14ac:dyDescent="0.2">
      <c r="A2374" s="121">
        <v>40056</v>
      </c>
      <c r="B2374" t="s">
        <v>406</v>
      </c>
      <c r="C2374" t="s">
        <v>577</v>
      </c>
      <c r="D2374" t="s">
        <v>590</v>
      </c>
      <c r="E2374" t="s">
        <v>591</v>
      </c>
      <c r="F2374" t="s">
        <v>410</v>
      </c>
      <c r="G2374">
        <v>584</v>
      </c>
      <c r="H2374">
        <v>584</v>
      </c>
      <c r="I2374">
        <v>584</v>
      </c>
      <c r="J2374">
        <v>584</v>
      </c>
      <c r="K2374">
        <v>10</v>
      </c>
      <c r="L2374">
        <v>0</v>
      </c>
      <c r="M2374">
        <v>513</v>
      </c>
      <c r="N2374">
        <v>0</v>
      </c>
      <c r="O2374">
        <v>61</v>
      </c>
      <c r="P2374">
        <v>0</v>
      </c>
      <c r="Q2374">
        <v>0</v>
      </c>
    </row>
    <row r="2375" spans="1:17" x14ac:dyDescent="0.2">
      <c r="A2375" s="121">
        <v>40056</v>
      </c>
      <c r="B2375" t="s">
        <v>406</v>
      </c>
      <c r="C2375" t="s">
        <v>577</v>
      </c>
      <c r="D2375" t="s">
        <v>607</v>
      </c>
      <c r="E2375" t="s">
        <v>608</v>
      </c>
      <c r="F2375" t="s">
        <v>410</v>
      </c>
      <c r="G2375">
        <v>164</v>
      </c>
      <c r="H2375">
        <v>164</v>
      </c>
      <c r="I2375">
        <v>164</v>
      </c>
      <c r="J2375">
        <v>164</v>
      </c>
      <c r="K2375">
        <v>9</v>
      </c>
      <c r="L2375">
        <v>0</v>
      </c>
      <c r="M2375">
        <v>144</v>
      </c>
      <c r="N2375">
        <v>0</v>
      </c>
      <c r="O2375">
        <v>11</v>
      </c>
      <c r="P2375">
        <v>0</v>
      </c>
      <c r="Q2375">
        <v>0</v>
      </c>
    </row>
    <row r="2376" spans="1:17" x14ac:dyDescent="0.2">
      <c r="A2376" s="121">
        <v>40056</v>
      </c>
      <c r="B2376" t="s">
        <v>406</v>
      </c>
      <c r="C2376" t="s">
        <v>577</v>
      </c>
      <c r="D2376" t="s">
        <v>592</v>
      </c>
      <c r="E2376" t="s">
        <v>593</v>
      </c>
      <c r="F2376" t="s">
        <v>410</v>
      </c>
      <c r="G2376">
        <v>710</v>
      </c>
      <c r="H2376">
        <v>710</v>
      </c>
      <c r="I2376">
        <v>710</v>
      </c>
      <c r="J2376">
        <v>710</v>
      </c>
      <c r="K2376">
        <v>21</v>
      </c>
      <c r="L2376">
        <v>0</v>
      </c>
      <c r="M2376">
        <v>552</v>
      </c>
      <c r="N2376">
        <v>0</v>
      </c>
      <c r="O2376">
        <v>137</v>
      </c>
      <c r="P2376">
        <v>0</v>
      </c>
      <c r="Q2376">
        <v>0</v>
      </c>
    </row>
    <row r="2377" spans="1:17" x14ac:dyDescent="0.2">
      <c r="A2377" s="121">
        <v>40056</v>
      </c>
      <c r="B2377" t="s">
        <v>406</v>
      </c>
      <c r="C2377" t="s">
        <v>594</v>
      </c>
      <c r="D2377" t="s">
        <v>595</v>
      </c>
      <c r="E2377" t="s">
        <v>596</v>
      </c>
      <c r="F2377" t="s">
        <v>410</v>
      </c>
      <c r="G2377">
        <v>58</v>
      </c>
      <c r="I2377">
        <v>58</v>
      </c>
    </row>
    <row r="2378" spans="1:17" x14ac:dyDescent="0.2">
      <c r="A2378" s="121">
        <v>40056</v>
      </c>
      <c r="B2378" t="s">
        <v>406</v>
      </c>
      <c r="C2378" t="s">
        <v>594</v>
      </c>
      <c r="D2378" t="s">
        <v>597</v>
      </c>
      <c r="E2378" t="s">
        <v>598</v>
      </c>
      <c r="F2378" t="s">
        <v>413</v>
      </c>
      <c r="G2378">
        <v>561</v>
      </c>
      <c r="H2378">
        <v>561</v>
      </c>
      <c r="I2378">
        <v>556</v>
      </c>
      <c r="J2378">
        <v>556</v>
      </c>
      <c r="K2378">
        <v>136</v>
      </c>
      <c r="L2378">
        <v>0</v>
      </c>
      <c r="M2378">
        <v>411</v>
      </c>
      <c r="N2378">
        <v>2</v>
      </c>
      <c r="O2378">
        <v>12</v>
      </c>
      <c r="P2378">
        <v>0</v>
      </c>
      <c r="Q2378">
        <v>0</v>
      </c>
    </row>
    <row r="2379" spans="1:17" x14ac:dyDescent="0.2">
      <c r="A2379" s="121">
        <v>40056</v>
      </c>
      <c r="B2379" t="s">
        <v>406</v>
      </c>
      <c r="C2379" t="s">
        <v>594</v>
      </c>
      <c r="D2379" t="s">
        <v>599</v>
      </c>
      <c r="E2379" t="s">
        <v>600</v>
      </c>
      <c r="F2379" t="s">
        <v>410</v>
      </c>
      <c r="G2379">
        <v>122</v>
      </c>
      <c r="I2379">
        <v>122</v>
      </c>
    </row>
    <row r="2380" spans="1:17" x14ac:dyDescent="0.2">
      <c r="A2380" s="121">
        <v>40086</v>
      </c>
      <c r="B2380" t="s">
        <v>406</v>
      </c>
      <c r="C2380" t="s">
        <v>407</v>
      </c>
      <c r="D2380" t="s">
        <v>408</v>
      </c>
      <c r="E2380" t="s">
        <v>409</v>
      </c>
      <c r="F2380" t="s">
        <v>410</v>
      </c>
      <c r="G2380">
        <v>202</v>
      </c>
      <c r="I2380">
        <v>202</v>
      </c>
    </row>
    <row r="2381" spans="1:17" x14ac:dyDescent="0.2">
      <c r="A2381" s="121">
        <v>40086</v>
      </c>
      <c r="B2381" t="s">
        <v>406</v>
      </c>
      <c r="C2381" t="s">
        <v>407</v>
      </c>
      <c r="D2381" t="s">
        <v>601</v>
      </c>
      <c r="E2381" t="s">
        <v>602</v>
      </c>
      <c r="F2381" t="s">
        <v>410</v>
      </c>
      <c r="G2381">
        <v>54</v>
      </c>
      <c r="I2381">
        <v>54</v>
      </c>
    </row>
    <row r="2382" spans="1:17" x14ac:dyDescent="0.2">
      <c r="A2382" s="121">
        <v>40086</v>
      </c>
      <c r="B2382" t="s">
        <v>406</v>
      </c>
      <c r="C2382" t="s">
        <v>407</v>
      </c>
      <c r="D2382" t="s">
        <v>411</v>
      </c>
      <c r="E2382" t="s">
        <v>412</v>
      </c>
      <c r="F2382" t="s">
        <v>413</v>
      </c>
      <c r="G2382">
        <v>5428</v>
      </c>
      <c r="H2382">
        <v>5428</v>
      </c>
      <c r="I2382">
        <v>5378</v>
      </c>
      <c r="J2382">
        <v>5378</v>
      </c>
      <c r="K2382">
        <v>2006</v>
      </c>
      <c r="L2382">
        <v>9</v>
      </c>
      <c r="M2382">
        <v>3193</v>
      </c>
      <c r="N2382">
        <v>39</v>
      </c>
      <c r="O2382">
        <v>181</v>
      </c>
      <c r="P2382">
        <v>0</v>
      </c>
      <c r="Q2382">
        <v>0</v>
      </c>
    </row>
    <row r="2383" spans="1:17" x14ac:dyDescent="0.2">
      <c r="A2383" s="121">
        <v>40086</v>
      </c>
      <c r="B2383" t="s">
        <v>406</v>
      </c>
      <c r="C2383" t="s">
        <v>407</v>
      </c>
      <c r="D2383" t="s">
        <v>414</v>
      </c>
      <c r="E2383" t="s">
        <v>415</v>
      </c>
      <c r="F2383" t="s">
        <v>410</v>
      </c>
      <c r="G2383">
        <v>102</v>
      </c>
      <c r="I2383">
        <v>102</v>
      </c>
    </row>
    <row r="2384" spans="1:17" x14ac:dyDescent="0.2">
      <c r="A2384" s="121">
        <v>40086</v>
      </c>
      <c r="B2384" t="s">
        <v>406</v>
      </c>
      <c r="C2384" t="s">
        <v>407</v>
      </c>
      <c r="D2384" t="s">
        <v>416</v>
      </c>
      <c r="E2384" t="s">
        <v>417</v>
      </c>
      <c r="F2384" t="s">
        <v>413</v>
      </c>
      <c r="G2384">
        <v>3609</v>
      </c>
      <c r="H2384">
        <v>3609</v>
      </c>
      <c r="I2384">
        <v>3580</v>
      </c>
      <c r="J2384">
        <v>3580</v>
      </c>
      <c r="K2384">
        <v>1233</v>
      </c>
      <c r="L2384">
        <v>7</v>
      </c>
      <c r="M2384">
        <v>2251</v>
      </c>
      <c r="N2384">
        <v>71</v>
      </c>
      <c r="O2384">
        <v>47</v>
      </c>
      <c r="P2384">
        <v>2</v>
      </c>
      <c r="Q2384">
        <v>0</v>
      </c>
    </row>
    <row r="2385" spans="1:17" x14ac:dyDescent="0.2">
      <c r="A2385" s="121">
        <v>40086</v>
      </c>
      <c r="B2385" t="s">
        <v>406</v>
      </c>
      <c r="C2385" t="s">
        <v>418</v>
      </c>
      <c r="D2385" t="s">
        <v>419</v>
      </c>
      <c r="E2385" t="s">
        <v>420</v>
      </c>
      <c r="F2385" t="s">
        <v>410</v>
      </c>
      <c r="G2385">
        <v>23</v>
      </c>
      <c r="I2385">
        <v>23</v>
      </c>
    </row>
    <row r="2386" spans="1:17" x14ac:dyDescent="0.2">
      <c r="A2386" s="121">
        <v>40086</v>
      </c>
      <c r="B2386" t="s">
        <v>406</v>
      </c>
      <c r="C2386" t="s">
        <v>418</v>
      </c>
      <c r="D2386" t="s">
        <v>421</v>
      </c>
      <c r="E2386" t="s">
        <v>422</v>
      </c>
      <c r="F2386" t="s">
        <v>410</v>
      </c>
      <c r="G2386">
        <v>137</v>
      </c>
      <c r="I2386">
        <v>137</v>
      </c>
    </row>
    <row r="2387" spans="1:17" x14ac:dyDescent="0.2">
      <c r="A2387" s="121">
        <v>40086</v>
      </c>
      <c r="B2387" t="s">
        <v>406</v>
      </c>
      <c r="C2387" t="s">
        <v>418</v>
      </c>
      <c r="D2387" t="s">
        <v>423</v>
      </c>
      <c r="E2387" t="s">
        <v>424</v>
      </c>
      <c r="F2387" t="s">
        <v>410</v>
      </c>
      <c r="G2387">
        <v>34</v>
      </c>
      <c r="I2387">
        <v>34</v>
      </c>
    </row>
    <row r="2388" spans="1:17" x14ac:dyDescent="0.2">
      <c r="A2388" s="121">
        <v>40086</v>
      </c>
      <c r="B2388" t="s">
        <v>406</v>
      </c>
      <c r="C2388" t="s">
        <v>418</v>
      </c>
      <c r="D2388" t="s">
        <v>425</v>
      </c>
      <c r="E2388" t="s">
        <v>426</v>
      </c>
      <c r="F2388" t="s">
        <v>410</v>
      </c>
      <c r="G2388">
        <v>90</v>
      </c>
      <c r="I2388">
        <v>90</v>
      </c>
    </row>
    <row r="2389" spans="1:17" x14ac:dyDescent="0.2">
      <c r="A2389" s="121">
        <v>40086</v>
      </c>
      <c r="B2389" t="s">
        <v>406</v>
      </c>
      <c r="C2389" t="s">
        <v>418</v>
      </c>
      <c r="D2389" t="s">
        <v>427</v>
      </c>
      <c r="E2389" t="s">
        <v>428</v>
      </c>
      <c r="F2389" t="s">
        <v>413</v>
      </c>
      <c r="G2389">
        <v>1831</v>
      </c>
      <c r="H2389">
        <v>1831</v>
      </c>
      <c r="I2389">
        <v>1783</v>
      </c>
      <c r="J2389">
        <v>1783</v>
      </c>
      <c r="K2389">
        <v>563</v>
      </c>
      <c r="L2389">
        <v>0</v>
      </c>
      <c r="M2389">
        <v>1039</v>
      </c>
      <c r="N2389">
        <v>24</v>
      </c>
      <c r="O2389">
        <v>205</v>
      </c>
      <c r="P2389">
        <v>0</v>
      </c>
      <c r="Q2389">
        <v>0</v>
      </c>
    </row>
    <row r="2390" spans="1:17" x14ac:dyDescent="0.2">
      <c r="A2390" s="121">
        <v>40086</v>
      </c>
      <c r="B2390" t="s">
        <v>406</v>
      </c>
      <c r="C2390" t="s">
        <v>429</v>
      </c>
      <c r="D2390" t="s">
        <v>430</v>
      </c>
      <c r="E2390" t="s">
        <v>431</v>
      </c>
      <c r="F2390" t="s">
        <v>410</v>
      </c>
      <c r="G2390">
        <v>58</v>
      </c>
      <c r="I2390">
        <v>58</v>
      </c>
    </row>
    <row r="2391" spans="1:17" x14ac:dyDescent="0.2">
      <c r="A2391" s="121">
        <v>40086</v>
      </c>
      <c r="B2391" t="s">
        <v>406</v>
      </c>
      <c r="C2391" t="s">
        <v>429</v>
      </c>
      <c r="D2391" t="s">
        <v>432</v>
      </c>
      <c r="E2391" t="s">
        <v>433</v>
      </c>
      <c r="F2391" t="s">
        <v>410</v>
      </c>
      <c r="G2391">
        <v>67</v>
      </c>
      <c r="I2391">
        <v>67</v>
      </c>
    </row>
    <row r="2392" spans="1:17" x14ac:dyDescent="0.2">
      <c r="A2392" s="121">
        <v>40086</v>
      </c>
      <c r="B2392" t="s">
        <v>406</v>
      </c>
      <c r="C2392" t="s">
        <v>429</v>
      </c>
      <c r="D2392" t="s">
        <v>434</v>
      </c>
      <c r="E2392" t="s">
        <v>435</v>
      </c>
      <c r="F2392" t="s">
        <v>410</v>
      </c>
      <c r="G2392">
        <v>29</v>
      </c>
      <c r="I2392">
        <v>29</v>
      </c>
    </row>
    <row r="2393" spans="1:17" x14ac:dyDescent="0.2">
      <c r="A2393" s="121">
        <v>40086</v>
      </c>
      <c r="B2393" t="s">
        <v>406</v>
      </c>
      <c r="C2393" t="s">
        <v>429</v>
      </c>
      <c r="D2393" t="s">
        <v>436</v>
      </c>
      <c r="E2393" t="s">
        <v>437</v>
      </c>
      <c r="F2393" t="s">
        <v>410</v>
      </c>
      <c r="G2393">
        <v>48</v>
      </c>
      <c r="I2393">
        <v>48</v>
      </c>
    </row>
    <row r="2394" spans="1:17" x14ac:dyDescent="0.2">
      <c r="A2394" s="121">
        <v>40086</v>
      </c>
      <c r="B2394" t="s">
        <v>406</v>
      </c>
      <c r="C2394" t="s">
        <v>429</v>
      </c>
      <c r="D2394" t="s">
        <v>438</v>
      </c>
      <c r="E2394" t="s">
        <v>439</v>
      </c>
      <c r="F2394" t="s">
        <v>413</v>
      </c>
      <c r="G2394">
        <v>1059</v>
      </c>
      <c r="H2394">
        <v>1059</v>
      </c>
      <c r="I2394">
        <v>1034</v>
      </c>
      <c r="J2394">
        <v>1034</v>
      </c>
      <c r="K2394">
        <v>111</v>
      </c>
      <c r="L2394">
        <v>0</v>
      </c>
      <c r="M2394">
        <v>930</v>
      </c>
      <c r="N2394">
        <v>16</v>
      </c>
      <c r="O2394">
        <v>2</v>
      </c>
      <c r="P2394">
        <v>0</v>
      </c>
      <c r="Q2394">
        <v>0</v>
      </c>
    </row>
    <row r="2395" spans="1:17" x14ac:dyDescent="0.2">
      <c r="A2395" s="121">
        <v>40086</v>
      </c>
      <c r="B2395" t="s">
        <v>406</v>
      </c>
      <c r="C2395" t="s">
        <v>429</v>
      </c>
      <c r="D2395" t="s">
        <v>440</v>
      </c>
      <c r="E2395" t="s">
        <v>441</v>
      </c>
      <c r="F2395" t="s">
        <v>413</v>
      </c>
      <c r="G2395">
        <v>2978</v>
      </c>
      <c r="H2395">
        <v>2978</v>
      </c>
      <c r="I2395">
        <v>2867</v>
      </c>
      <c r="J2395">
        <v>2867</v>
      </c>
      <c r="K2395">
        <v>995</v>
      </c>
      <c r="L2395">
        <v>1</v>
      </c>
      <c r="M2395">
        <v>1894</v>
      </c>
      <c r="N2395">
        <v>12</v>
      </c>
      <c r="O2395">
        <v>76</v>
      </c>
      <c r="P2395">
        <v>0</v>
      </c>
      <c r="Q2395">
        <v>0</v>
      </c>
    </row>
    <row r="2396" spans="1:17" x14ac:dyDescent="0.2">
      <c r="A2396" s="121">
        <v>40086</v>
      </c>
      <c r="B2396" t="s">
        <v>406</v>
      </c>
      <c r="C2396" t="s">
        <v>442</v>
      </c>
      <c r="D2396" t="s">
        <v>443</v>
      </c>
      <c r="E2396" t="s">
        <v>444</v>
      </c>
      <c r="F2396" t="s">
        <v>413</v>
      </c>
      <c r="G2396">
        <v>3661</v>
      </c>
      <c r="H2396">
        <v>3661</v>
      </c>
      <c r="I2396">
        <v>3598</v>
      </c>
      <c r="J2396">
        <v>3598</v>
      </c>
      <c r="K2396">
        <v>466</v>
      </c>
      <c r="L2396">
        <v>6</v>
      </c>
      <c r="M2396">
        <v>2959</v>
      </c>
      <c r="N2396">
        <v>42</v>
      </c>
      <c r="O2396">
        <v>188</v>
      </c>
      <c r="P2396">
        <v>0</v>
      </c>
      <c r="Q2396">
        <v>0</v>
      </c>
    </row>
    <row r="2397" spans="1:17" x14ac:dyDescent="0.2">
      <c r="A2397" s="121">
        <v>40086</v>
      </c>
      <c r="B2397" t="s">
        <v>406</v>
      </c>
      <c r="C2397" t="s">
        <v>442</v>
      </c>
      <c r="D2397" t="s">
        <v>445</v>
      </c>
      <c r="E2397" t="s">
        <v>446</v>
      </c>
      <c r="F2397" t="s">
        <v>410</v>
      </c>
      <c r="G2397">
        <v>169</v>
      </c>
      <c r="I2397">
        <v>169</v>
      </c>
    </row>
    <row r="2398" spans="1:17" x14ac:dyDescent="0.2">
      <c r="A2398" s="121">
        <v>40086</v>
      </c>
      <c r="B2398" t="s">
        <v>406</v>
      </c>
      <c r="C2398" t="s">
        <v>442</v>
      </c>
      <c r="D2398" t="s">
        <v>447</v>
      </c>
      <c r="E2398" t="s">
        <v>448</v>
      </c>
      <c r="F2398" t="s">
        <v>410</v>
      </c>
      <c r="G2398">
        <v>348</v>
      </c>
      <c r="I2398">
        <v>347</v>
      </c>
    </row>
    <row r="2399" spans="1:17" x14ac:dyDescent="0.2">
      <c r="A2399" s="121">
        <v>40086</v>
      </c>
      <c r="B2399" t="s">
        <v>406</v>
      </c>
      <c r="C2399" t="s">
        <v>442</v>
      </c>
      <c r="D2399" t="s">
        <v>449</v>
      </c>
      <c r="E2399" t="s">
        <v>450</v>
      </c>
      <c r="F2399" t="s">
        <v>413</v>
      </c>
      <c r="G2399">
        <v>3277</v>
      </c>
      <c r="H2399">
        <v>3277</v>
      </c>
      <c r="I2399">
        <v>3216</v>
      </c>
      <c r="J2399">
        <v>3216</v>
      </c>
      <c r="K2399">
        <v>711</v>
      </c>
      <c r="L2399">
        <v>10</v>
      </c>
      <c r="M2399">
        <v>2473</v>
      </c>
      <c r="N2399">
        <v>33</v>
      </c>
      <c r="O2399">
        <v>50</v>
      </c>
      <c r="P2399">
        <v>3</v>
      </c>
      <c r="Q2399">
        <v>0</v>
      </c>
    </row>
    <row r="2400" spans="1:17" x14ac:dyDescent="0.2">
      <c r="A2400" s="121">
        <v>40086</v>
      </c>
      <c r="B2400" t="s">
        <v>406</v>
      </c>
      <c r="C2400" t="s">
        <v>451</v>
      </c>
      <c r="D2400" t="s">
        <v>452</v>
      </c>
      <c r="E2400" t="s">
        <v>453</v>
      </c>
      <c r="F2400" t="s">
        <v>410</v>
      </c>
      <c r="G2400">
        <v>1827</v>
      </c>
      <c r="H2400">
        <v>1827</v>
      </c>
      <c r="I2400">
        <v>1827</v>
      </c>
      <c r="J2400">
        <v>1827</v>
      </c>
      <c r="K2400">
        <v>0</v>
      </c>
      <c r="L2400">
        <v>0</v>
      </c>
      <c r="M2400">
        <v>1375</v>
      </c>
      <c r="N2400">
        <v>184</v>
      </c>
      <c r="O2400">
        <v>268</v>
      </c>
      <c r="P2400">
        <v>0</v>
      </c>
      <c r="Q2400">
        <v>0</v>
      </c>
    </row>
    <row r="2401" spans="1:17" x14ac:dyDescent="0.2">
      <c r="A2401" s="121">
        <v>40086</v>
      </c>
      <c r="B2401" t="s">
        <v>406</v>
      </c>
      <c r="C2401" t="s">
        <v>451</v>
      </c>
      <c r="D2401" t="s">
        <v>454</v>
      </c>
      <c r="E2401" t="s">
        <v>455</v>
      </c>
      <c r="F2401" t="s">
        <v>413</v>
      </c>
      <c r="G2401">
        <v>4582</v>
      </c>
      <c r="H2401">
        <v>4582</v>
      </c>
      <c r="I2401">
        <v>4424</v>
      </c>
      <c r="J2401">
        <v>4424</v>
      </c>
      <c r="K2401">
        <v>1251</v>
      </c>
      <c r="L2401">
        <v>9</v>
      </c>
      <c r="M2401">
        <v>2580</v>
      </c>
      <c r="N2401">
        <v>54</v>
      </c>
      <c r="O2401">
        <v>688</v>
      </c>
      <c r="P2401">
        <v>3</v>
      </c>
      <c r="Q2401">
        <v>0</v>
      </c>
    </row>
    <row r="2402" spans="1:17" x14ac:dyDescent="0.2">
      <c r="A2402" s="121">
        <v>40086</v>
      </c>
      <c r="B2402" t="s">
        <v>406</v>
      </c>
      <c r="C2402" t="s">
        <v>456</v>
      </c>
      <c r="D2402" t="s">
        <v>457</v>
      </c>
      <c r="E2402" t="s">
        <v>458</v>
      </c>
      <c r="F2402" t="s">
        <v>413</v>
      </c>
      <c r="G2402">
        <v>5359</v>
      </c>
      <c r="H2402">
        <v>5359</v>
      </c>
      <c r="I2402">
        <v>5029</v>
      </c>
      <c r="J2402">
        <v>5029</v>
      </c>
      <c r="K2402">
        <v>1337</v>
      </c>
      <c r="L2402">
        <v>15</v>
      </c>
      <c r="M2402">
        <v>3871</v>
      </c>
      <c r="N2402">
        <v>99</v>
      </c>
      <c r="O2402">
        <v>37</v>
      </c>
      <c r="P2402">
        <v>8</v>
      </c>
      <c r="Q2402">
        <v>0</v>
      </c>
    </row>
    <row r="2403" spans="1:17" x14ac:dyDescent="0.2">
      <c r="A2403" s="121">
        <v>40086</v>
      </c>
      <c r="B2403" t="s">
        <v>406</v>
      </c>
      <c r="C2403" t="s">
        <v>456</v>
      </c>
      <c r="D2403" t="s">
        <v>459</v>
      </c>
      <c r="E2403" t="s">
        <v>460</v>
      </c>
      <c r="F2403" t="s">
        <v>413</v>
      </c>
      <c r="G2403">
        <v>1612</v>
      </c>
      <c r="H2403">
        <v>1612</v>
      </c>
      <c r="I2403">
        <v>1608</v>
      </c>
      <c r="J2403">
        <v>1608</v>
      </c>
      <c r="K2403">
        <v>397</v>
      </c>
      <c r="L2403">
        <v>0</v>
      </c>
      <c r="M2403">
        <v>1212</v>
      </c>
      <c r="N2403">
        <v>3</v>
      </c>
      <c r="O2403">
        <v>0</v>
      </c>
      <c r="P2403">
        <v>0</v>
      </c>
      <c r="Q2403">
        <v>0</v>
      </c>
    </row>
    <row r="2404" spans="1:17" x14ac:dyDescent="0.2">
      <c r="A2404" s="121">
        <v>40086</v>
      </c>
      <c r="B2404" t="s">
        <v>406</v>
      </c>
      <c r="C2404" t="s">
        <v>456</v>
      </c>
      <c r="D2404" t="s">
        <v>461</v>
      </c>
      <c r="E2404" t="s">
        <v>462</v>
      </c>
      <c r="F2404" t="s">
        <v>410</v>
      </c>
      <c r="G2404">
        <v>92</v>
      </c>
      <c r="I2404">
        <v>92</v>
      </c>
    </row>
    <row r="2405" spans="1:17" x14ac:dyDescent="0.2">
      <c r="A2405" s="121">
        <v>40086</v>
      </c>
      <c r="B2405" t="s">
        <v>406</v>
      </c>
      <c r="C2405" t="s">
        <v>456</v>
      </c>
      <c r="D2405" t="s">
        <v>463</v>
      </c>
      <c r="E2405" t="s">
        <v>464</v>
      </c>
      <c r="F2405" t="s">
        <v>410</v>
      </c>
      <c r="G2405">
        <v>53</v>
      </c>
      <c r="I2405">
        <v>53</v>
      </c>
    </row>
    <row r="2406" spans="1:17" x14ac:dyDescent="0.2">
      <c r="A2406" s="121">
        <v>40086</v>
      </c>
      <c r="B2406" t="s">
        <v>406</v>
      </c>
      <c r="C2406" t="s">
        <v>456</v>
      </c>
      <c r="D2406" t="s">
        <v>465</v>
      </c>
      <c r="E2406" t="s">
        <v>466</v>
      </c>
      <c r="F2406" t="s">
        <v>410</v>
      </c>
      <c r="G2406">
        <v>94</v>
      </c>
      <c r="I2406">
        <v>94</v>
      </c>
    </row>
    <row r="2407" spans="1:17" x14ac:dyDescent="0.2">
      <c r="A2407" s="121">
        <v>40086</v>
      </c>
      <c r="B2407" t="s">
        <v>406</v>
      </c>
      <c r="C2407" t="s">
        <v>456</v>
      </c>
      <c r="D2407" t="s">
        <v>467</v>
      </c>
      <c r="E2407" t="s">
        <v>468</v>
      </c>
      <c r="F2407" t="s">
        <v>410</v>
      </c>
      <c r="G2407">
        <v>1205</v>
      </c>
      <c r="I2407">
        <v>1203</v>
      </c>
    </row>
    <row r="2408" spans="1:17" x14ac:dyDescent="0.2">
      <c r="A2408" s="121">
        <v>40086</v>
      </c>
      <c r="B2408" t="s">
        <v>406</v>
      </c>
      <c r="C2408" t="s">
        <v>456</v>
      </c>
      <c r="D2408" t="s">
        <v>469</v>
      </c>
      <c r="E2408" t="s">
        <v>470</v>
      </c>
      <c r="F2408" t="s">
        <v>410</v>
      </c>
      <c r="G2408">
        <v>833</v>
      </c>
      <c r="I2408">
        <v>833</v>
      </c>
    </row>
    <row r="2409" spans="1:17" x14ac:dyDescent="0.2">
      <c r="A2409" s="121">
        <v>40086</v>
      </c>
      <c r="B2409" t="s">
        <v>406</v>
      </c>
      <c r="C2409" t="s">
        <v>456</v>
      </c>
      <c r="D2409" t="s">
        <v>471</v>
      </c>
      <c r="E2409" t="s">
        <v>472</v>
      </c>
      <c r="F2409" t="s">
        <v>410</v>
      </c>
      <c r="G2409">
        <v>336</v>
      </c>
      <c r="I2409">
        <v>336</v>
      </c>
    </row>
    <row r="2410" spans="1:17" x14ac:dyDescent="0.2">
      <c r="A2410" s="121">
        <v>40086</v>
      </c>
      <c r="B2410" t="s">
        <v>406</v>
      </c>
      <c r="C2410" t="s">
        <v>456</v>
      </c>
      <c r="D2410" t="s">
        <v>473</v>
      </c>
      <c r="E2410" t="s">
        <v>474</v>
      </c>
      <c r="F2410" t="s">
        <v>410</v>
      </c>
      <c r="G2410">
        <v>221</v>
      </c>
      <c r="I2410">
        <v>221</v>
      </c>
    </row>
    <row r="2411" spans="1:17" x14ac:dyDescent="0.2">
      <c r="A2411" s="121">
        <v>40086</v>
      </c>
      <c r="B2411" t="s">
        <v>406</v>
      </c>
      <c r="C2411" t="s">
        <v>456</v>
      </c>
      <c r="D2411" t="s">
        <v>475</v>
      </c>
      <c r="E2411" t="s">
        <v>476</v>
      </c>
      <c r="F2411" t="s">
        <v>410</v>
      </c>
      <c r="G2411">
        <v>415</v>
      </c>
      <c r="I2411">
        <v>415</v>
      </c>
    </row>
    <row r="2412" spans="1:17" x14ac:dyDescent="0.2">
      <c r="A2412" s="121">
        <v>40086</v>
      </c>
      <c r="B2412" t="s">
        <v>406</v>
      </c>
      <c r="C2412" t="s">
        <v>456</v>
      </c>
      <c r="D2412" t="s">
        <v>477</v>
      </c>
      <c r="E2412" t="s">
        <v>478</v>
      </c>
      <c r="F2412" t="s">
        <v>413</v>
      </c>
      <c r="G2412">
        <v>1859</v>
      </c>
      <c r="H2412">
        <v>1859</v>
      </c>
      <c r="I2412">
        <v>1821</v>
      </c>
      <c r="J2412">
        <v>1821</v>
      </c>
      <c r="K2412">
        <v>390</v>
      </c>
      <c r="L2412">
        <v>3</v>
      </c>
      <c r="M2412">
        <v>1410</v>
      </c>
      <c r="N2412">
        <v>32</v>
      </c>
      <c r="O2412">
        <v>24</v>
      </c>
      <c r="P2412">
        <v>2</v>
      </c>
      <c r="Q2412">
        <v>0</v>
      </c>
    </row>
    <row r="2413" spans="1:17" x14ac:dyDescent="0.2">
      <c r="A2413" s="121">
        <v>40086</v>
      </c>
      <c r="B2413" t="s">
        <v>406</v>
      </c>
      <c r="C2413" t="s">
        <v>456</v>
      </c>
      <c r="D2413" t="s">
        <v>479</v>
      </c>
      <c r="E2413" t="s">
        <v>480</v>
      </c>
      <c r="F2413" t="s">
        <v>410</v>
      </c>
      <c r="G2413">
        <v>88</v>
      </c>
      <c r="I2413">
        <v>88</v>
      </c>
    </row>
    <row r="2414" spans="1:17" x14ac:dyDescent="0.2">
      <c r="A2414" s="121">
        <v>40086</v>
      </c>
      <c r="B2414" t="s">
        <v>406</v>
      </c>
      <c r="C2414" t="s">
        <v>456</v>
      </c>
      <c r="D2414" t="s">
        <v>481</v>
      </c>
      <c r="E2414" t="s">
        <v>482</v>
      </c>
      <c r="F2414" t="s">
        <v>410</v>
      </c>
      <c r="G2414">
        <v>51</v>
      </c>
      <c r="I2414">
        <v>51</v>
      </c>
    </row>
    <row r="2415" spans="1:17" x14ac:dyDescent="0.2">
      <c r="A2415" s="121">
        <v>40086</v>
      </c>
      <c r="B2415" t="s">
        <v>406</v>
      </c>
      <c r="C2415" t="s">
        <v>456</v>
      </c>
      <c r="D2415" t="s">
        <v>483</v>
      </c>
      <c r="E2415" t="s">
        <v>484</v>
      </c>
      <c r="F2415" t="s">
        <v>410</v>
      </c>
      <c r="G2415">
        <v>144</v>
      </c>
      <c r="I2415">
        <v>144</v>
      </c>
    </row>
    <row r="2416" spans="1:17" x14ac:dyDescent="0.2">
      <c r="A2416" s="121">
        <v>40086</v>
      </c>
      <c r="B2416" t="s">
        <v>406</v>
      </c>
      <c r="C2416" t="s">
        <v>456</v>
      </c>
      <c r="D2416" t="s">
        <v>485</v>
      </c>
      <c r="E2416" t="s">
        <v>486</v>
      </c>
      <c r="F2416" t="s">
        <v>410</v>
      </c>
      <c r="G2416">
        <v>81</v>
      </c>
      <c r="I2416">
        <v>81</v>
      </c>
    </row>
    <row r="2417" spans="1:17" x14ac:dyDescent="0.2">
      <c r="A2417" s="121">
        <v>40086</v>
      </c>
      <c r="B2417" t="s">
        <v>406</v>
      </c>
      <c r="C2417" t="s">
        <v>456</v>
      </c>
      <c r="D2417" t="s">
        <v>487</v>
      </c>
      <c r="E2417" t="s">
        <v>488</v>
      </c>
      <c r="F2417" t="s">
        <v>410</v>
      </c>
      <c r="G2417">
        <v>41</v>
      </c>
      <c r="I2417">
        <v>41</v>
      </c>
    </row>
    <row r="2418" spans="1:17" x14ac:dyDescent="0.2">
      <c r="A2418" s="121">
        <v>40086</v>
      </c>
      <c r="B2418" t="s">
        <v>406</v>
      </c>
      <c r="C2418" t="s">
        <v>456</v>
      </c>
      <c r="D2418" t="s">
        <v>489</v>
      </c>
      <c r="E2418" t="s">
        <v>490</v>
      </c>
      <c r="F2418" t="s">
        <v>410</v>
      </c>
      <c r="G2418">
        <v>126</v>
      </c>
      <c r="H2418">
        <v>126</v>
      </c>
      <c r="I2418">
        <v>126</v>
      </c>
      <c r="J2418">
        <v>126</v>
      </c>
      <c r="K2418">
        <v>0</v>
      </c>
      <c r="L2418">
        <v>0</v>
      </c>
      <c r="M2418">
        <v>101</v>
      </c>
      <c r="N2418">
        <v>25</v>
      </c>
      <c r="O2418">
        <v>0</v>
      </c>
      <c r="P2418">
        <v>0</v>
      </c>
      <c r="Q2418">
        <v>0</v>
      </c>
    </row>
    <row r="2419" spans="1:17" x14ac:dyDescent="0.2">
      <c r="A2419" s="121">
        <v>40086</v>
      </c>
      <c r="B2419" t="s">
        <v>406</v>
      </c>
      <c r="C2419" t="s">
        <v>491</v>
      </c>
      <c r="D2419" t="s">
        <v>492</v>
      </c>
      <c r="E2419" t="s">
        <v>493</v>
      </c>
      <c r="F2419" t="s">
        <v>410</v>
      </c>
      <c r="G2419">
        <v>1420</v>
      </c>
      <c r="H2419">
        <v>1420</v>
      </c>
      <c r="I2419">
        <v>1390</v>
      </c>
      <c r="J2419">
        <v>1390</v>
      </c>
      <c r="K2419">
        <v>320</v>
      </c>
      <c r="L2419">
        <v>0</v>
      </c>
      <c r="M2419">
        <v>0</v>
      </c>
      <c r="N2419">
        <v>70</v>
      </c>
      <c r="O2419">
        <v>1030</v>
      </c>
      <c r="P2419">
        <v>0</v>
      </c>
      <c r="Q2419">
        <v>0</v>
      </c>
    </row>
    <row r="2420" spans="1:17" x14ac:dyDescent="0.2">
      <c r="A2420" s="121">
        <v>40086</v>
      </c>
      <c r="B2420" t="s">
        <v>406</v>
      </c>
      <c r="C2420" t="s">
        <v>491</v>
      </c>
      <c r="D2420" t="s">
        <v>494</v>
      </c>
      <c r="E2420" t="s">
        <v>495</v>
      </c>
      <c r="F2420" t="s">
        <v>413</v>
      </c>
      <c r="G2420">
        <v>2749</v>
      </c>
      <c r="H2420">
        <v>2749</v>
      </c>
      <c r="I2420">
        <v>2716</v>
      </c>
      <c r="J2420">
        <v>2716</v>
      </c>
      <c r="K2420">
        <v>631</v>
      </c>
      <c r="L2420">
        <v>0</v>
      </c>
      <c r="M2420">
        <v>4</v>
      </c>
      <c r="N2420">
        <v>44</v>
      </c>
      <c r="O2420">
        <v>2070</v>
      </c>
      <c r="P2420">
        <v>0</v>
      </c>
      <c r="Q2420">
        <v>0</v>
      </c>
    </row>
    <row r="2421" spans="1:17" x14ac:dyDescent="0.2">
      <c r="A2421" s="121">
        <v>40086</v>
      </c>
      <c r="B2421" t="s">
        <v>406</v>
      </c>
      <c r="C2421" t="s">
        <v>491</v>
      </c>
      <c r="D2421" t="s">
        <v>496</v>
      </c>
      <c r="E2421" t="s">
        <v>497</v>
      </c>
      <c r="F2421" t="s">
        <v>413</v>
      </c>
      <c r="G2421">
        <v>5991</v>
      </c>
      <c r="H2421">
        <v>5991</v>
      </c>
      <c r="I2421">
        <v>5832</v>
      </c>
      <c r="J2421">
        <v>5832</v>
      </c>
      <c r="K2421">
        <v>1677</v>
      </c>
      <c r="L2421">
        <v>0</v>
      </c>
      <c r="M2421">
        <v>9</v>
      </c>
      <c r="N2421">
        <v>67</v>
      </c>
      <c r="O2421">
        <v>4238</v>
      </c>
      <c r="P2421">
        <v>1</v>
      </c>
      <c r="Q2421">
        <v>0</v>
      </c>
    </row>
    <row r="2422" spans="1:17" x14ac:dyDescent="0.2">
      <c r="A2422" s="121">
        <v>40086</v>
      </c>
      <c r="B2422" t="s">
        <v>406</v>
      </c>
      <c r="C2422" t="s">
        <v>491</v>
      </c>
      <c r="D2422" t="s">
        <v>498</v>
      </c>
      <c r="E2422" t="s">
        <v>499</v>
      </c>
      <c r="F2422" t="s">
        <v>413</v>
      </c>
      <c r="G2422">
        <v>6290</v>
      </c>
      <c r="H2422">
        <v>6290</v>
      </c>
      <c r="I2422">
        <v>6045</v>
      </c>
      <c r="J2422">
        <v>6045</v>
      </c>
      <c r="K2422">
        <v>1967</v>
      </c>
      <c r="L2422">
        <v>6</v>
      </c>
      <c r="M2422">
        <v>3953</v>
      </c>
      <c r="N2422">
        <v>99</v>
      </c>
      <c r="O2422">
        <v>265</v>
      </c>
      <c r="P2422">
        <v>2</v>
      </c>
      <c r="Q2422">
        <v>0</v>
      </c>
    </row>
    <row r="2423" spans="1:17" x14ac:dyDescent="0.2">
      <c r="A2423" s="121">
        <v>40086</v>
      </c>
      <c r="B2423" t="s">
        <v>406</v>
      </c>
      <c r="C2423" t="s">
        <v>491</v>
      </c>
      <c r="D2423" t="s">
        <v>500</v>
      </c>
      <c r="E2423" t="s">
        <v>501</v>
      </c>
      <c r="F2423" t="s">
        <v>413</v>
      </c>
      <c r="G2423">
        <v>3803</v>
      </c>
      <c r="H2423">
        <v>3803</v>
      </c>
      <c r="I2423">
        <v>3766</v>
      </c>
      <c r="J2423">
        <v>3766</v>
      </c>
      <c r="K2423">
        <v>950</v>
      </c>
      <c r="L2423">
        <v>0</v>
      </c>
      <c r="M2423">
        <v>2610</v>
      </c>
      <c r="N2423">
        <v>49</v>
      </c>
      <c r="O2423">
        <v>194</v>
      </c>
      <c r="P2423">
        <v>0</v>
      </c>
      <c r="Q2423">
        <v>0</v>
      </c>
    </row>
    <row r="2424" spans="1:17" x14ac:dyDescent="0.2">
      <c r="A2424" s="121">
        <v>40086</v>
      </c>
      <c r="B2424" t="s">
        <v>406</v>
      </c>
      <c r="C2424" t="s">
        <v>491</v>
      </c>
      <c r="D2424" t="s">
        <v>502</v>
      </c>
      <c r="E2424" t="s">
        <v>615</v>
      </c>
      <c r="F2424" t="s">
        <v>410</v>
      </c>
      <c r="G2424">
        <v>1328</v>
      </c>
      <c r="H2424">
        <v>1328</v>
      </c>
      <c r="I2424">
        <v>1327</v>
      </c>
      <c r="J2424">
        <v>1327</v>
      </c>
      <c r="K2424">
        <v>17</v>
      </c>
      <c r="L2424">
        <v>2</v>
      </c>
      <c r="M2424">
        <v>1264</v>
      </c>
      <c r="N2424">
        <v>1</v>
      </c>
      <c r="O2424">
        <v>44</v>
      </c>
      <c r="P2424">
        <v>0</v>
      </c>
      <c r="Q2424">
        <v>0</v>
      </c>
    </row>
    <row r="2425" spans="1:17" x14ac:dyDescent="0.2">
      <c r="A2425" s="121">
        <v>40086</v>
      </c>
      <c r="B2425" t="s">
        <v>406</v>
      </c>
      <c r="C2425" t="s">
        <v>491</v>
      </c>
      <c r="D2425" t="s">
        <v>502</v>
      </c>
      <c r="E2425" t="s">
        <v>503</v>
      </c>
      <c r="F2425" t="s">
        <v>413</v>
      </c>
      <c r="G2425">
        <v>4750</v>
      </c>
      <c r="H2425">
        <v>4750</v>
      </c>
      <c r="I2425">
        <v>4678</v>
      </c>
      <c r="J2425">
        <v>4678</v>
      </c>
      <c r="K2425">
        <v>1452</v>
      </c>
      <c r="L2425">
        <v>11</v>
      </c>
      <c r="M2425">
        <v>3087</v>
      </c>
      <c r="N2425">
        <v>116</v>
      </c>
      <c r="O2425">
        <v>84</v>
      </c>
      <c r="P2425">
        <v>0</v>
      </c>
      <c r="Q2425">
        <v>0</v>
      </c>
    </row>
    <row r="2426" spans="1:17" x14ac:dyDescent="0.2">
      <c r="A2426" s="121">
        <v>40086</v>
      </c>
      <c r="B2426" t="s">
        <v>406</v>
      </c>
      <c r="C2426" t="s">
        <v>491</v>
      </c>
      <c r="D2426" t="s">
        <v>504</v>
      </c>
      <c r="E2426" t="s">
        <v>505</v>
      </c>
      <c r="F2426" t="s">
        <v>413</v>
      </c>
      <c r="G2426">
        <v>4032</v>
      </c>
      <c r="H2426">
        <v>4032</v>
      </c>
      <c r="I2426">
        <v>3925</v>
      </c>
      <c r="J2426">
        <v>3925</v>
      </c>
      <c r="K2426">
        <v>1172</v>
      </c>
      <c r="L2426">
        <v>3</v>
      </c>
      <c r="M2426">
        <v>2703</v>
      </c>
      <c r="N2426">
        <v>67</v>
      </c>
      <c r="O2426">
        <v>87</v>
      </c>
      <c r="P2426">
        <v>1</v>
      </c>
      <c r="Q2426">
        <v>0</v>
      </c>
    </row>
    <row r="2427" spans="1:17" x14ac:dyDescent="0.2">
      <c r="A2427" s="121">
        <v>40086</v>
      </c>
      <c r="B2427" t="s">
        <v>406</v>
      </c>
      <c r="C2427" t="s">
        <v>491</v>
      </c>
      <c r="D2427" t="s">
        <v>506</v>
      </c>
      <c r="E2427" t="s">
        <v>507</v>
      </c>
      <c r="F2427" t="s">
        <v>413</v>
      </c>
      <c r="G2427">
        <v>3926</v>
      </c>
      <c r="H2427">
        <v>3926</v>
      </c>
      <c r="I2427">
        <v>3866</v>
      </c>
      <c r="J2427">
        <v>3866</v>
      </c>
      <c r="K2427">
        <v>539</v>
      </c>
      <c r="L2427">
        <v>0</v>
      </c>
      <c r="M2427">
        <v>3381</v>
      </c>
      <c r="N2427">
        <v>3</v>
      </c>
      <c r="O2427">
        <v>3</v>
      </c>
      <c r="P2427">
        <v>0</v>
      </c>
      <c r="Q2427">
        <v>0</v>
      </c>
    </row>
    <row r="2428" spans="1:17" x14ac:dyDescent="0.2">
      <c r="A2428" s="121">
        <v>40086</v>
      </c>
      <c r="B2428" t="s">
        <v>406</v>
      </c>
      <c r="C2428" t="s">
        <v>491</v>
      </c>
      <c r="D2428" t="s">
        <v>508</v>
      </c>
      <c r="E2428" t="s">
        <v>509</v>
      </c>
      <c r="F2428" t="s">
        <v>413</v>
      </c>
      <c r="G2428">
        <v>5170</v>
      </c>
      <c r="H2428">
        <v>5170</v>
      </c>
      <c r="I2428">
        <v>5106</v>
      </c>
      <c r="J2428">
        <v>5106</v>
      </c>
      <c r="K2428">
        <v>1663</v>
      </c>
      <c r="L2428">
        <v>6</v>
      </c>
      <c r="M2428">
        <v>3035</v>
      </c>
      <c r="N2428">
        <v>137</v>
      </c>
      <c r="O2428">
        <v>329</v>
      </c>
      <c r="P2428">
        <v>0</v>
      </c>
      <c r="Q2428">
        <v>0</v>
      </c>
    </row>
    <row r="2429" spans="1:17" x14ac:dyDescent="0.2">
      <c r="A2429" s="121">
        <v>40086</v>
      </c>
      <c r="B2429" t="s">
        <v>406</v>
      </c>
      <c r="C2429" t="s">
        <v>510</v>
      </c>
      <c r="D2429" t="s">
        <v>511</v>
      </c>
      <c r="E2429" t="s">
        <v>512</v>
      </c>
      <c r="F2429" t="s">
        <v>410</v>
      </c>
      <c r="G2429">
        <v>598</v>
      </c>
      <c r="I2429">
        <v>588</v>
      </c>
    </row>
    <row r="2430" spans="1:17" x14ac:dyDescent="0.2">
      <c r="A2430" s="121">
        <v>40086</v>
      </c>
      <c r="B2430" t="s">
        <v>406</v>
      </c>
      <c r="C2430" t="s">
        <v>510</v>
      </c>
      <c r="D2430" t="s">
        <v>513</v>
      </c>
      <c r="E2430" t="s">
        <v>514</v>
      </c>
      <c r="F2430" t="s">
        <v>410</v>
      </c>
      <c r="G2430">
        <v>609</v>
      </c>
      <c r="I2430">
        <v>608</v>
      </c>
    </row>
    <row r="2431" spans="1:17" x14ac:dyDescent="0.2">
      <c r="A2431" s="121">
        <v>40086</v>
      </c>
      <c r="B2431" t="s">
        <v>406</v>
      </c>
      <c r="C2431" t="s">
        <v>510</v>
      </c>
      <c r="D2431" t="s">
        <v>515</v>
      </c>
      <c r="E2431" t="s">
        <v>516</v>
      </c>
      <c r="F2431" t="s">
        <v>410</v>
      </c>
      <c r="G2431">
        <v>72</v>
      </c>
      <c r="I2431">
        <v>71</v>
      </c>
    </row>
    <row r="2432" spans="1:17" x14ac:dyDescent="0.2">
      <c r="A2432" s="121">
        <v>40086</v>
      </c>
      <c r="B2432" t="s">
        <v>406</v>
      </c>
      <c r="C2432" t="s">
        <v>510</v>
      </c>
      <c r="D2432" t="s">
        <v>517</v>
      </c>
      <c r="E2432" t="s">
        <v>518</v>
      </c>
      <c r="F2432" t="s">
        <v>410</v>
      </c>
      <c r="G2432">
        <v>335</v>
      </c>
      <c r="I2432">
        <v>330</v>
      </c>
    </row>
    <row r="2433" spans="1:17" x14ac:dyDescent="0.2">
      <c r="A2433" s="121">
        <v>40086</v>
      </c>
      <c r="B2433" t="s">
        <v>406</v>
      </c>
      <c r="C2433" t="s">
        <v>510</v>
      </c>
      <c r="D2433" t="s">
        <v>519</v>
      </c>
      <c r="E2433" t="s">
        <v>520</v>
      </c>
      <c r="F2433" t="s">
        <v>410</v>
      </c>
      <c r="G2433">
        <v>362</v>
      </c>
      <c r="I2433">
        <v>360</v>
      </c>
    </row>
    <row r="2434" spans="1:17" x14ac:dyDescent="0.2">
      <c r="A2434" s="121">
        <v>40086</v>
      </c>
      <c r="B2434" t="s">
        <v>406</v>
      </c>
      <c r="C2434" t="s">
        <v>510</v>
      </c>
      <c r="D2434" t="s">
        <v>521</v>
      </c>
      <c r="E2434" t="s">
        <v>522</v>
      </c>
      <c r="F2434" t="s">
        <v>410</v>
      </c>
      <c r="G2434">
        <v>68</v>
      </c>
      <c r="I2434">
        <v>68</v>
      </c>
    </row>
    <row r="2435" spans="1:17" x14ac:dyDescent="0.2">
      <c r="A2435" s="121">
        <v>40086</v>
      </c>
      <c r="B2435" t="s">
        <v>406</v>
      </c>
      <c r="C2435" t="s">
        <v>510</v>
      </c>
      <c r="D2435" t="s">
        <v>523</v>
      </c>
      <c r="E2435" t="s">
        <v>524</v>
      </c>
      <c r="F2435" t="s">
        <v>413</v>
      </c>
      <c r="G2435">
        <v>502</v>
      </c>
      <c r="I2435">
        <v>495</v>
      </c>
    </row>
    <row r="2436" spans="1:17" x14ac:dyDescent="0.2">
      <c r="A2436" s="121">
        <v>40086</v>
      </c>
      <c r="B2436" t="s">
        <v>406</v>
      </c>
      <c r="C2436" t="s">
        <v>510</v>
      </c>
      <c r="D2436" t="s">
        <v>527</v>
      </c>
      <c r="E2436" t="s">
        <v>528</v>
      </c>
      <c r="F2436" t="s">
        <v>410</v>
      </c>
      <c r="G2436">
        <v>199</v>
      </c>
      <c r="I2436">
        <v>198</v>
      </c>
    </row>
    <row r="2437" spans="1:17" x14ac:dyDescent="0.2">
      <c r="A2437" s="121">
        <v>40086</v>
      </c>
      <c r="B2437" t="s">
        <v>406</v>
      </c>
      <c r="C2437" t="s">
        <v>510</v>
      </c>
      <c r="D2437" t="s">
        <v>529</v>
      </c>
      <c r="E2437" t="s">
        <v>530</v>
      </c>
      <c r="F2437" t="s">
        <v>413</v>
      </c>
      <c r="G2437">
        <v>469</v>
      </c>
      <c r="I2437">
        <v>465</v>
      </c>
    </row>
    <row r="2438" spans="1:17" x14ac:dyDescent="0.2">
      <c r="A2438" s="121">
        <v>40086</v>
      </c>
      <c r="B2438" t="s">
        <v>406</v>
      </c>
      <c r="C2438" t="s">
        <v>510</v>
      </c>
      <c r="D2438" t="s">
        <v>531</v>
      </c>
      <c r="E2438" t="s">
        <v>532</v>
      </c>
      <c r="F2438" t="s">
        <v>410</v>
      </c>
      <c r="G2438">
        <v>56</v>
      </c>
      <c r="I2438">
        <v>55</v>
      </c>
    </row>
    <row r="2439" spans="1:17" x14ac:dyDescent="0.2">
      <c r="A2439" s="121">
        <v>40086</v>
      </c>
      <c r="B2439" t="s">
        <v>406</v>
      </c>
      <c r="C2439" t="s">
        <v>510</v>
      </c>
      <c r="D2439" t="s">
        <v>533</v>
      </c>
      <c r="E2439" t="s">
        <v>534</v>
      </c>
      <c r="F2439" t="s">
        <v>413</v>
      </c>
      <c r="G2439">
        <v>2488</v>
      </c>
      <c r="H2439">
        <v>2488</v>
      </c>
      <c r="I2439">
        <v>2431</v>
      </c>
      <c r="J2439">
        <v>2431</v>
      </c>
      <c r="K2439">
        <v>525</v>
      </c>
      <c r="L2439">
        <v>27</v>
      </c>
      <c r="M2439">
        <v>1935</v>
      </c>
      <c r="N2439">
        <v>1</v>
      </c>
      <c r="O2439">
        <v>0</v>
      </c>
      <c r="P2439">
        <v>3</v>
      </c>
      <c r="Q2439">
        <v>0</v>
      </c>
    </row>
    <row r="2440" spans="1:17" x14ac:dyDescent="0.2">
      <c r="A2440" s="121">
        <v>40086</v>
      </c>
      <c r="B2440" t="s">
        <v>406</v>
      </c>
      <c r="C2440" t="s">
        <v>510</v>
      </c>
      <c r="D2440" t="s">
        <v>535</v>
      </c>
      <c r="E2440" t="s">
        <v>536</v>
      </c>
      <c r="F2440" t="s">
        <v>410</v>
      </c>
      <c r="G2440">
        <v>265</v>
      </c>
      <c r="I2440">
        <v>265</v>
      </c>
    </row>
    <row r="2441" spans="1:17" x14ac:dyDescent="0.2">
      <c r="A2441" s="121">
        <v>40086</v>
      </c>
      <c r="B2441" t="s">
        <v>406</v>
      </c>
      <c r="C2441" t="s">
        <v>510</v>
      </c>
      <c r="D2441" t="s">
        <v>537</v>
      </c>
      <c r="E2441" t="s">
        <v>538</v>
      </c>
      <c r="F2441" t="s">
        <v>410</v>
      </c>
      <c r="G2441">
        <v>94</v>
      </c>
      <c r="I2441">
        <v>94</v>
      </c>
    </row>
    <row r="2442" spans="1:17" x14ac:dyDescent="0.2">
      <c r="A2442" s="121">
        <v>40086</v>
      </c>
      <c r="B2442" t="s">
        <v>406</v>
      </c>
      <c r="C2442" t="s">
        <v>510</v>
      </c>
      <c r="D2442" t="s">
        <v>539</v>
      </c>
      <c r="E2442" t="s">
        <v>540</v>
      </c>
      <c r="F2442" t="s">
        <v>413</v>
      </c>
      <c r="G2442">
        <v>816</v>
      </c>
      <c r="I2442">
        <v>811</v>
      </c>
    </row>
    <row r="2443" spans="1:17" x14ac:dyDescent="0.2">
      <c r="A2443" s="121">
        <v>40086</v>
      </c>
      <c r="B2443" t="s">
        <v>406</v>
      </c>
      <c r="C2443" t="s">
        <v>510</v>
      </c>
      <c r="D2443" t="s">
        <v>541</v>
      </c>
      <c r="E2443" t="s">
        <v>542</v>
      </c>
      <c r="F2443" t="s">
        <v>410</v>
      </c>
      <c r="G2443">
        <v>255</v>
      </c>
      <c r="I2443">
        <v>242</v>
      </c>
    </row>
    <row r="2444" spans="1:17" x14ac:dyDescent="0.2">
      <c r="A2444" s="121">
        <v>40086</v>
      </c>
      <c r="B2444" t="s">
        <v>406</v>
      </c>
      <c r="C2444" t="s">
        <v>510</v>
      </c>
      <c r="D2444" t="s">
        <v>543</v>
      </c>
      <c r="E2444" t="s">
        <v>544</v>
      </c>
      <c r="F2444" t="s">
        <v>410</v>
      </c>
      <c r="G2444">
        <v>241</v>
      </c>
      <c r="I2444">
        <v>238</v>
      </c>
    </row>
    <row r="2445" spans="1:17" x14ac:dyDescent="0.2">
      <c r="A2445" s="121">
        <v>40086</v>
      </c>
      <c r="B2445" t="s">
        <v>406</v>
      </c>
      <c r="C2445" t="s">
        <v>510</v>
      </c>
      <c r="D2445" t="s">
        <v>545</v>
      </c>
      <c r="E2445" t="s">
        <v>546</v>
      </c>
      <c r="F2445" t="s">
        <v>410</v>
      </c>
      <c r="G2445">
        <v>175</v>
      </c>
      <c r="I2445">
        <v>175</v>
      </c>
    </row>
    <row r="2446" spans="1:17" x14ac:dyDescent="0.2">
      <c r="A2446" s="121">
        <v>40086</v>
      </c>
      <c r="B2446" t="s">
        <v>406</v>
      </c>
      <c r="C2446" t="s">
        <v>510</v>
      </c>
      <c r="D2446" t="s">
        <v>547</v>
      </c>
      <c r="E2446" t="s">
        <v>548</v>
      </c>
      <c r="F2446" t="s">
        <v>410</v>
      </c>
      <c r="G2446">
        <v>138</v>
      </c>
      <c r="I2446">
        <v>138</v>
      </c>
    </row>
    <row r="2447" spans="1:17" x14ac:dyDescent="0.2">
      <c r="A2447" s="121">
        <v>40086</v>
      </c>
      <c r="B2447" t="s">
        <v>406</v>
      </c>
      <c r="C2447" t="s">
        <v>510</v>
      </c>
      <c r="D2447" t="s">
        <v>549</v>
      </c>
      <c r="E2447" t="s">
        <v>550</v>
      </c>
      <c r="F2447" t="s">
        <v>410</v>
      </c>
      <c r="G2447">
        <v>169</v>
      </c>
      <c r="I2447">
        <v>168</v>
      </c>
    </row>
    <row r="2448" spans="1:17" x14ac:dyDescent="0.2">
      <c r="A2448" s="121">
        <v>40086</v>
      </c>
      <c r="B2448" t="s">
        <v>406</v>
      </c>
      <c r="C2448" t="s">
        <v>551</v>
      </c>
      <c r="D2448" t="s">
        <v>552</v>
      </c>
      <c r="E2448" t="s">
        <v>553</v>
      </c>
      <c r="F2448" t="s">
        <v>413</v>
      </c>
      <c r="G2448">
        <v>5802</v>
      </c>
      <c r="H2448">
        <v>5802</v>
      </c>
      <c r="I2448">
        <v>5683</v>
      </c>
      <c r="J2448">
        <v>5683</v>
      </c>
      <c r="K2448">
        <v>1702</v>
      </c>
      <c r="L2448">
        <v>9</v>
      </c>
      <c r="M2448">
        <v>3857</v>
      </c>
      <c r="N2448">
        <v>208</v>
      </c>
      <c r="O2448">
        <v>26</v>
      </c>
      <c r="P2448">
        <v>2</v>
      </c>
      <c r="Q2448">
        <v>0</v>
      </c>
    </row>
    <row r="2449" spans="1:17" x14ac:dyDescent="0.2">
      <c r="A2449" s="121">
        <v>40086</v>
      </c>
      <c r="B2449" t="s">
        <v>406</v>
      </c>
      <c r="C2449" t="s">
        <v>551</v>
      </c>
      <c r="D2449" t="s">
        <v>554</v>
      </c>
      <c r="E2449" t="s">
        <v>555</v>
      </c>
      <c r="F2449" t="s">
        <v>410</v>
      </c>
      <c r="G2449">
        <v>125</v>
      </c>
      <c r="I2449">
        <v>125</v>
      </c>
    </row>
    <row r="2450" spans="1:17" x14ac:dyDescent="0.2">
      <c r="A2450" s="121">
        <v>40086</v>
      </c>
      <c r="B2450" t="s">
        <v>406</v>
      </c>
      <c r="C2450" t="s">
        <v>551</v>
      </c>
      <c r="D2450" t="s">
        <v>556</v>
      </c>
      <c r="E2450" t="s">
        <v>557</v>
      </c>
      <c r="F2450" t="s">
        <v>410</v>
      </c>
      <c r="G2450">
        <v>127</v>
      </c>
      <c r="I2450">
        <v>127</v>
      </c>
    </row>
    <row r="2451" spans="1:17" x14ac:dyDescent="0.2">
      <c r="A2451" s="121">
        <v>40086</v>
      </c>
      <c r="B2451" t="s">
        <v>406</v>
      </c>
      <c r="C2451" t="s">
        <v>551</v>
      </c>
      <c r="D2451" t="s">
        <v>558</v>
      </c>
      <c r="E2451" t="s">
        <v>559</v>
      </c>
      <c r="F2451" t="s">
        <v>413</v>
      </c>
      <c r="G2451">
        <v>4838</v>
      </c>
      <c r="H2451">
        <v>4838</v>
      </c>
      <c r="I2451">
        <v>4775</v>
      </c>
      <c r="J2451">
        <v>4775</v>
      </c>
      <c r="K2451">
        <v>1149</v>
      </c>
      <c r="L2451">
        <v>6</v>
      </c>
      <c r="M2451">
        <v>3571</v>
      </c>
      <c r="N2451">
        <v>93</v>
      </c>
      <c r="O2451">
        <v>19</v>
      </c>
      <c r="P2451">
        <v>2</v>
      </c>
      <c r="Q2451">
        <v>0</v>
      </c>
    </row>
    <row r="2452" spans="1:17" x14ac:dyDescent="0.2">
      <c r="A2452" s="121">
        <v>40086</v>
      </c>
      <c r="B2452" t="s">
        <v>406</v>
      </c>
      <c r="C2452" t="s">
        <v>551</v>
      </c>
      <c r="D2452" t="s">
        <v>560</v>
      </c>
      <c r="E2452" t="s">
        <v>561</v>
      </c>
      <c r="F2452" t="s">
        <v>413</v>
      </c>
      <c r="G2452">
        <v>5808</v>
      </c>
      <c r="H2452">
        <v>5808</v>
      </c>
      <c r="I2452">
        <v>5737</v>
      </c>
      <c r="J2452">
        <v>5737</v>
      </c>
      <c r="K2452">
        <v>1308</v>
      </c>
      <c r="L2452">
        <v>6</v>
      </c>
      <c r="M2452">
        <v>4211</v>
      </c>
      <c r="N2452">
        <v>270</v>
      </c>
      <c r="O2452">
        <v>13</v>
      </c>
      <c r="P2452">
        <v>12</v>
      </c>
      <c r="Q2452">
        <v>0</v>
      </c>
    </row>
    <row r="2453" spans="1:17" x14ac:dyDescent="0.2">
      <c r="A2453" s="121">
        <v>40086</v>
      </c>
      <c r="B2453" t="s">
        <v>406</v>
      </c>
      <c r="C2453" t="s">
        <v>562</v>
      </c>
      <c r="D2453" t="s">
        <v>603</v>
      </c>
      <c r="E2453" t="s">
        <v>604</v>
      </c>
      <c r="F2453" t="s">
        <v>410</v>
      </c>
      <c r="G2453">
        <v>22</v>
      </c>
      <c r="I2453">
        <v>22</v>
      </c>
    </row>
    <row r="2454" spans="1:17" x14ac:dyDescent="0.2">
      <c r="A2454" s="121">
        <v>40086</v>
      </c>
      <c r="B2454" t="s">
        <v>406</v>
      </c>
      <c r="C2454" t="s">
        <v>562</v>
      </c>
      <c r="D2454" t="s">
        <v>605</v>
      </c>
      <c r="E2454" t="s">
        <v>606</v>
      </c>
      <c r="F2454" t="s">
        <v>410</v>
      </c>
      <c r="G2454">
        <v>171</v>
      </c>
      <c r="I2454">
        <v>171</v>
      </c>
    </row>
    <row r="2455" spans="1:17" x14ac:dyDescent="0.2">
      <c r="A2455" s="121">
        <v>40086</v>
      </c>
      <c r="B2455" t="s">
        <v>406</v>
      </c>
      <c r="C2455" t="s">
        <v>562</v>
      </c>
      <c r="D2455" t="s">
        <v>563</v>
      </c>
      <c r="E2455" t="s">
        <v>564</v>
      </c>
      <c r="F2455" t="s">
        <v>410</v>
      </c>
      <c r="G2455">
        <v>3030</v>
      </c>
      <c r="H2455">
        <v>3030</v>
      </c>
      <c r="I2455">
        <v>2987</v>
      </c>
      <c r="J2455">
        <v>2987</v>
      </c>
      <c r="K2455">
        <v>959</v>
      </c>
      <c r="L2455">
        <v>2</v>
      </c>
      <c r="M2455">
        <v>2027</v>
      </c>
      <c r="N2455">
        <v>42</v>
      </c>
      <c r="O2455">
        <v>0</v>
      </c>
      <c r="P2455">
        <v>3</v>
      </c>
      <c r="Q2455">
        <v>0</v>
      </c>
    </row>
    <row r="2456" spans="1:17" x14ac:dyDescent="0.2">
      <c r="A2456" s="121">
        <v>40086</v>
      </c>
      <c r="B2456" t="s">
        <v>406</v>
      </c>
      <c r="C2456" t="s">
        <v>562</v>
      </c>
      <c r="D2456" t="s">
        <v>565</v>
      </c>
      <c r="E2456" t="s">
        <v>566</v>
      </c>
      <c r="F2456" t="s">
        <v>413</v>
      </c>
      <c r="G2456">
        <v>4160</v>
      </c>
      <c r="H2456">
        <v>4160</v>
      </c>
      <c r="I2456">
        <v>4043</v>
      </c>
      <c r="J2456">
        <v>4043</v>
      </c>
      <c r="K2456">
        <v>904</v>
      </c>
      <c r="L2456">
        <v>3</v>
      </c>
      <c r="M2456">
        <v>3127</v>
      </c>
      <c r="N2456">
        <v>126</v>
      </c>
      <c r="O2456">
        <v>0</v>
      </c>
      <c r="P2456">
        <v>2</v>
      </c>
      <c r="Q2456">
        <v>0</v>
      </c>
    </row>
    <row r="2457" spans="1:17" x14ac:dyDescent="0.2">
      <c r="A2457" s="121">
        <v>40086</v>
      </c>
      <c r="B2457" t="s">
        <v>406</v>
      </c>
      <c r="C2457" t="s">
        <v>562</v>
      </c>
      <c r="D2457" t="s">
        <v>567</v>
      </c>
      <c r="E2457" t="s">
        <v>568</v>
      </c>
      <c r="F2457" t="s">
        <v>413</v>
      </c>
      <c r="G2457">
        <v>9101</v>
      </c>
      <c r="H2457">
        <v>9101</v>
      </c>
      <c r="I2457">
        <v>8630</v>
      </c>
      <c r="J2457">
        <v>8630</v>
      </c>
      <c r="K2457">
        <v>2530</v>
      </c>
      <c r="L2457">
        <v>16</v>
      </c>
      <c r="M2457">
        <v>6219</v>
      </c>
      <c r="N2457">
        <v>336</v>
      </c>
      <c r="O2457">
        <v>0</v>
      </c>
      <c r="P2457">
        <v>29</v>
      </c>
      <c r="Q2457">
        <v>0</v>
      </c>
    </row>
    <row r="2458" spans="1:17" x14ac:dyDescent="0.2">
      <c r="A2458" s="121">
        <v>40086</v>
      </c>
      <c r="B2458" t="s">
        <v>406</v>
      </c>
      <c r="C2458" t="s">
        <v>562</v>
      </c>
      <c r="D2458" t="s">
        <v>569</v>
      </c>
      <c r="E2458" t="s">
        <v>570</v>
      </c>
      <c r="F2458" t="s">
        <v>413</v>
      </c>
      <c r="G2458">
        <v>3064</v>
      </c>
      <c r="H2458">
        <v>3064</v>
      </c>
      <c r="I2458">
        <v>3043</v>
      </c>
      <c r="J2458">
        <v>3043</v>
      </c>
      <c r="K2458">
        <v>496</v>
      </c>
      <c r="L2458">
        <v>1</v>
      </c>
      <c r="M2458">
        <v>2567</v>
      </c>
      <c r="N2458">
        <v>0</v>
      </c>
      <c r="O2458">
        <v>0</v>
      </c>
      <c r="P2458">
        <v>0</v>
      </c>
      <c r="Q2458">
        <v>0</v>
      </c>
    </row>
    <row r="2459" spans="1:17" x14ac:dyDescent="0.2">
      <c r="A2459" s="121">
        <v>40086</v>
      </c>
      <c r="B2459" t="s">
        <v>406</v>
      </c>
      <c r="C2459" t="s">
        <v>571</v>
      </c>
      <c r="D2459" t="s">
        <v>572</v>
      </c>
      <c r="E2459" t="s">
        <v>573</v>
      </c>
      <c r="F2459" t="s">
        <v>410</v>
      </c>
      <c r="G2459">
        <v>306</v>
      </c>
      <c r="I2459">
        <v>306</v>
      </c>
    </row>
    <row r="2460" spans="1:17" x14ac:dyDescent="0.2">
      <c r="A2460" s="121">
        <v>40086</v>
      </c>
      <c r="B2460" t="s">
        <v>406</v>
      </c>
      <c r="C2460" t="s">
        <v>574</v>
      </c>
      <c r="D2460" t="s">
        <v>575</v>
      </c>
      <c r="E2460" t="s">
        <v>576</v>
      </c>
      <c r="F2460" t="s">
        <v>413</v>
      </c>
      <c r="G2460">
        <v>679</v>
      </c>
      <c r="H2460">
        <v>679</v>
      </c>
      <c r="I2460">
        <v>674</v>
      </c>
      <c r="J2460">
        <v>674</v>
      </c>
      <c r="K2460">
        <v>126</v>
      </c>
      <c r="L2460">
        <v>2</v>
      </c>
      <c r="M2460">
        <v>521</v>
      </c>
      <c r="N2460">
        <v>3</v>
      </c>
      <c r="O2460">
        <v>27</v>
      </c>
      <c r="P2460">
        <v>0</v>
      </c>
      <c r="Q2460">
        <v>0</v>
      </c>
    </row>
    <row r="2461" spans="1:17" x14ac:dyDescent="0.2">
      <c r="A2461" s="121">
        <v>40086</v>
      </c>
      <c r="B2461" t="s">
        <v>406</v>
      </c>
      <c r="C2461" t="s">
        <v>577</v>
      </c>
      <c r="D2461" t="s">
        <v>578</v>
      </c>
      <c r="E2461" t="s">
        <v>579</v>
      </c>
      <c r="F2461" t="s">
        <v>413</v>
      </c>
      <c r="G2461">
        <v>4058</v>
      </c>
      <c r="H2461">
        <v>4058</v>
      </c>
      <c r="I2461">
        <v>4024</v>
      </c>
      <c r="J2461">
        <v>4024</v>
      </c>
      <c r="K2461">
        <v>888</v>
      </c>
      <c r="L2461">
        <v>14</v>
      </c>
      <c r="M2461">
        <v>3118</v>
      </c>
      <c r="N2461">
        <v>38</v>
      </c>
      <c r="O2461">
        <v>0</v>
      </c>
      <c r="P2461">
        <v>0</v>
      </c>
      <c r="Q2461">
        <v>0</v>
      </c>
    </row>
    <row r="2462" spans="1:17" x14ac:dyDescent="0.2">
      <c r="A2462" s="121">
        <v>40086</v>
      </c>
      <c r="B2462" t="s">
        <v>406</v>
      </c>
      <c r="C2462" t="s">
        <v>577</v>
      </c>
      <c r="D2462" t="s">
        <v>580</v>
      </c>
      <c r="E2462" t="s">
        <v>581</v>
      </c>
      <c r="F2462" t="s">
        <v>413</v>
      </c>
      <c r="G2462">
        <v>2195</v>
      </c>
      <c r="H2462">
        <v>2195</v>
      </c>
      <c r="I2462">
        <v>2188</v>
      </c>
      <c r="J2462">
        <v>2188</v>
      </c>
      <c r="K2462">
        <v>362</v>
      </c>
      <c r="L2462">
        <v>1</v>
      </c>
      <c r="M2462">
        <v>1611</v>
      </c>
      <c r="N2462">
        <v>53</v>
      </c>
      <c r="O2462">
        <v>168</v>
      </c>
      <c r="P2462">
        <v>0</v>
      </c>
      <c r="Q2462">
        <v>0</v>
      </c>
    </row>
    <row r="2463" spans="1:17" x14ac:dyDescent="0.2">
      <c r="A2463" s="121">
        <v>40086</v>
      </c>
      <c r="B2463" t="s">
        <v>406</v>
      </c>
      <c r="C2463" t="s">
        <v>577</v>
      </c>
      <c r="D2463" t="s">
        <v>609</v>
      </c>
      <c r="E2463" t="s">
        <v>610</v>
      </c>
      <c r="F2463" t="s">
        <v>410</v>
      </c>
      <c r="G2463">
        <v>30</v>
      </c>
      <c r="H2463">
        <v>30</v>
      </c>
      <c r="I2463">
        <v>30</v>
      </c>
      <c r="J2463">
        <v>30</v>
      </c>
      <c r="K2463">
        <v>3</v>
      </c>
      <c r="L2463">
        <v>0</v>
      </c>
      <c r="M2463">
        <v>20</v>
      </c>
      <c r="N2463">
        <v>0</v>
      </c>
      <c r="O2463">
        <v>7</v>
      </c>
      <c r="P2463">
        <v>0</v>
      </c>
      <c r="Q2463">
        <v>0</v>
      </c>
    </row>
    <row r="2464" spans="1:17" x14ac:dyDescent="0.2">
      <c r="A2464" s="121">
        <v>40086</v>
      </c>
      <c r="B2464" t="s">
        <v>406</v>
      </c>
      <c r="C2464" t="s">
        <v>577</v>
      </c>
      <c r="D2464" t="s">
        <v>611</v>
      </c>
      <c r="E2464" t="s">
        <v>612</v>
      </c>
      <c r="F2464" t="s">
        <v>410</v>
      </c>
      <c r="G2464">
        <v>24</v>
      </c>
      <c r="H2464">
        <v>24</v>
      </c>
      <c r="I2464">
        <v>24</v>
      </c>
      <c r="J2464">
        <v>24</v>
      </c>
      <c r="K2464">
        <v>2</v>
      </c>
      <c r="L2464">
        <v>0</v>
      </c>
      <c r="M2464">
        <v>5</v>
      </c>
      <c r="N2464">
        <v>0</v>
      </c>
      <c r="O2464">
        <v>17</v>
      </c>
      <c r="P2464">
        <v>0</v>
      </c>
      <c r="Q2464">
        <v>0</v>
      </c>
    </row>
    <row r="2465" spans="1:17" x14ac:dyDescent="0.2">
      <c r="A2465" s="121">
        <v>40086</v>
      </c>
      <c r="B2465" t="s">
        <v>406</v>
      </c>
      <c r="C2465" t="s">
        <v>577</v>
      </c>
      <c r="D2465" t="s">
        <v>584</v>
      </c>
      <c r="E2465" t="s">
        <v>585</v>
      </c>
      <c r="F2465" t="s">
        <v>410</v>
      </c>
      <c r="G2465">
        <v>246</v>
      </c>
      <c r="H2465">
        <v>246</v>
      </c>
      <c r="I2465">
        <v>246</v>
      </c>
      <c r="J2465">
        <v>246</v>
      </c>
      <c r="K2465">
        <v>15</v>
      </c>
      <c r="L2465">
        <v>0</v>
      </c>
      <c r="M2465">
        <v>206</v>
      </c>
      <c r="N2465">
        <v>0</v>
      </c>
      <c r="O2465">
        <v>25</v>
      </c>
      <c r="P2465">
        <v>0</v>
      </c>
      <c r="Q2465">
        <v>0</v>
      </c>
    </row>
    <row r="2466" spans="1:17" x14ac:dyDescent="0.2">
      <c r="A2466" s="121">
        <v>40086</v>
      </c>
      <c r="B2466" t="s">
        <v>406</v>
      </c>
      <c r="C2466" t="s">
        <v>577</v>
      </c>
      <c r="D2466" t="s">
        <v>586</v>
      </c>
      <c r="E2466" t="s">
        <v>587</v>
      </c>
      <c r="F2466" t="s">
        <v>410</v>
      </c>
      <c r="G2466">
        <v>1124</v>
      </c>
      <c r="H2466">
        <v>1124</v>
      </c>
      <c r="I2466">
        <v>1124</v>
      </c>
      <c r="J2466">
        <v>1124</v>
      </c>
      <c r="K2466">
        <v>40</v>
      </c>
      <c r="L2466">
        <v>0</v>
      </c>
      <c r="M2466">
        <v>772</v>
      </c>
      <c r="N2466">
        <v>0</v>
      </c>
      <c r="O2466">
        <v>312</v>
      </c>
      <c r="P2466">
        <v>0</v>
      </c>
      <c r="Q2466">
        <v>0</v>
      </c>
    </row>
    <row r="2467" spans="1:17" x14ac:dyDescent="0.2">
      <c r="A2467" s="121">
        <v>40086</v>
      </c>
      <c r="B2467" t="s">
        <v>406</v>
      </c>
      <c r="C2467" t="s">
        <v>577</v>
      </c>
      <c r="D2467" t="s">
        <v>588</v>
      </c>
      <c r="E2467" t="s">
        <v>589</v>
      </c>
      <c r="F2467" t="s">
        <v>410</v>
      </c>
      <c r="G2467">
        <v>317</v>
      </c>
      <c r="H2467">
        <v>317</v>
      </c>
      <c r="I2467">
        <v>317</v>
      </c>
      <c r="J2467">
        <v>317</v>
      </c>
      <c r="K2467">
        <v>5</v>
      </c>
      <c r="L2467">
        <v>0</v>
      </c>
      <c r="M2467">
        <v>262</v>
      </c>
      <c r="N2467">
        <v>0</v>
      </c>
      <c r="O2467">
        <v>50</v>
      </c>
      <c r="P2467">
        <v>0</v>
      </c>
      <c r="Q2467">
        <v>0</v>
      </c>
    </row>
    <row r="2468" spans="1:17" x14ac:dyDescent="0.2">
      <c r="A2468" s="121">
        <v>40086</v>
      </c>
      <c r="B2468" t="s">
        <v>406</v>
      </c>
      <c r="C2468" t="s">
        <v>577</v>
      </c>
      <c r="D2468" t="s">
        <v>613</v>
      </c>
      <c r="E2468" t="s">
        <v>614</v>
      </c>
      <c r="F2468" t="s">
        <v>410</v>
      </c>
      <c r="G2468">
        <v>227</v>
      </c>
      <c r="H2468">
        <v>227</v>
      </c>
      <c r="I2468">
        <v>227</v>
      </c>
      <c r="J2468">
        <v>227</v>
      </c>
      <c r="K2468">
        <v>12</v>
      </c>
      <c r="L2468">
        <v>0</v>
      </c>
      <c r="M2468">
        <v>171</v>
      </c>
      <c r="N2468">
        <v>0</v>
      </c>
      <c r="O2468">
        <v>44</v>
      </c>
      <c r="P2468">
        <v>0</v>
      </c>
      <c r="Q2468">
        <v>0</v>
      </c>
    </row>
    <row r="2469" spans="1:17" x14ac:dyDescent="0.2">
      <c r="A2469" s="121">
        <v>40086</v>
      </c>
      <c r="B2469" t="s">
        <v>406</v>
      </c>
      <c r="C2469" t="s">
        <v>577</v>
      </c>
      <c r="D2469" t="s">
        <v>590</v>
      </c>
      <c r="E2469" t="s">
        <v>591</v>
      </c>
      <c r="F2469" t="s">
        <v>410</v>
      </c>
      <c r="G2469">
        <v>555</v>
      </c>
      <c r="H2469">
        <v>555</v>
      </c>
      <c r="I2469">
        <v>555</v>
      </c>
      <c r="J2469">
        <v>555</v>
      </c>
      <c r="K2469">
        <v>8</v>
      </c>
      <c r="L2469">
        <v>0</v>
      </c>
      <c r="M2469">
        <v>479</v>
      </c>
      <c r="N2469">
        <v>0</v>
      </c>
      <c r="O2469">
        <v>68</v>
      </c>
      <c r="P2469">
        <v>0</v>
      </c>
      <c r="Q2469">
        <v>0</v>
      </c>
    </row>
    <row r="2470" spans="1:17" x14ac:dyDescent="0.2">
      <c r="A2470" s="121">
        <v>40086</v>
      </c>
      <c r="B2470" t="s">
        <v>406</v>
      </c>
      <c r="C2470" t="s">
        <v>577</v>
      </c>
      <c r="D2470" t="s">
        <v>607</v>
      </c>
      <c r="E2470" t="s">
        <v>608</v>
      </c>
      <c r="F2470" t="s">
        <v>410</v>
      </c>
      <c r="G2470">
        <v>120</v>
      </c>
      <c r="H2470">
        <v>120</v>
      </c>
      <c r="I2470">
        <v>120</v>
      </c>
      <c r="J2470">
        <v>120</v>
      </c>
      <c r="K2470">
        <v>2</v>
      </c>
      <c r="L2470">
        <v>0</v>
      </c>
      <c r="M2470">
        <v>101</v>
      </c>
      <c r="N2470">
        <v>0</v>
      </c>
      <c r="O2470">
        <v>17</v>
      </c>
      <c r="P2470">
        <v>0</v>
      </c>
      <c r="Q2470">
        <v>0</v>
      </c>
    </row>
    <row r="2471" spans="1:17" x14ac:dyDescent="0.2">
      <c r="A2471" s="121">
        <v>40086</v>
      </c>
      <c r="B2471" t="s">
        <v>406</v>
      </c>
      <c r="C2471" t="s">
        <v>577</v>
      </c>
      <c r="D2471" t="s">
        <v>592</v>
      </c>
      <c r="E2471" t="s">
        <v>593</v>
      </c>
      <c r="F2471" t="s">
        <v>410</v>
      </c>
      <c r="G2471">
        <v>735</v>
      </c>
      <c r="H2471">
        <v>735</v>
      </c>
      <c r="I2471">
        <v>735</v>
      </c>
      <c r="J2471">
        <v>735</v>
      </c>
      <c r="K2471">
        <v>27</v>
      </c>
      <c r="L2471">
        <v>0</v>
      </c>
      <c r="M2471">
        <v>583</v>
      </c>
      <c r="N2471">
        <v>0</v>
      </c>
      <c r="O2471">
        <v>125</v>
      </c>
      <c r="P2471">
        <v>0</v>
      </c>
      <c r="Q2471">
        <v>0</v>
      </c>
    </row>
    <row r="2472" spans="1:17" x14ac:dyDescent="0.2">
      <c r="A2472" s="121">
        <v>40086</v>
      </c>
      <c r="B2472" t="s">
        <v>406</v>
      </c>
      <c r="C2472" t="s">
        <v>594</v>
      </c>
      <c r="D2472" t="s">
        <v>595</v>
      </c>
      <c r="E2472" t="s">
        <v>596</v>
      </c>
      <c r="F2472" t="s">
        <v>410</v>
      </c>
      <c r="G2472">
        <v>41</v>
      </c>
      <c r="I2472">
        <v>38</v>
      </c>
    </row>
    <row r="2473" spans="1:17" x14ac:dyDescent="0.2">
      <c r="A2473" s="121">
        <v>40086</v>
      </c>
      <c r="B2473" t="s">
        <v>406</v>
      </c>
      <c r="C2473" t="s">
        <v>594</v>
      </c>
      <c r="D2473" t="s">
        <v>597</v>
      </c>
      <c r="E2473" t="s">
        <v>598</v>
      </c>
      <c r="F2473" t="s">
        <v>413</v>
      </c>
      <c r="G2473">
        <v>571</v>
      </c>
      <c r="H2473">
        <v>571</v>
      </c>
      <c r="I2473">
        <v>566</v>
      </c>
      <c r="J2473">
        <v>566</v>
      </c>
      <c r="K2473">
        <v>126</v>
      </c>
      <c r="L2473">
        <v>0</v>
      </c>
      <c r="M2473">
        <v>435</v>
      </c>
      <c r="N2473">
        <v>3</v>
      </c>
      <c r="O2473">
        <v>7</v>
      </c>
      <c r="P2473">
        <v>0</v>
      </c>
      <c r="Q2473">
        <v>0</v>
      </c>
    </row>
    <row r="2474" spans="1:17" x14ac:dyDescent="0.2">
      <c r="A2474" s="121">
        <v>40086</v>
      </c>
      <c r="B2474" t="s">
        <v>406</v>
      </c>
      <c r="C2474" t="s">
        <v>594</v>
      </c>
      <c r="D2474" t="s">
        <v>599</v>
      </c>
      <c r="E2474" t="s">
        <v>600</v>
      </c>
      <c r="F2474" t="s">
        <v>410</v>
      </c>
      <c r="G2474">
        <v>96</v>
      </c>
      <c r="I2474">
        <v>96</v>
      </c>
    </row>
    <row r="2475" spans="1:17" x14ac:dyDescent="0.2">
      <c r="A2475" s="121">
        <v>40117</v>
      </c>
      <c r="B2475" t="s">
        <v>406</v>
      </c>
      <c r="C2475" t="s">
        <v>407</v>
      </c>
      <c r="D2475" t="s">
        <v>408</v>
      </c>
      <c r="E2475" t="s">
        <v>409</v>
      </c>
      <c r="F2475" t="s">
        <v>410</v>
      </c>
      <c r="G2475">
        <v>183</v>
      </c>
      <c r="I2475">
        <v>183</v>
      </c>
    </row>
    <row r="2476" spans="1:17" x14ac:dyDescent="0.2">
      <c r="A2476" s="121">
        <v>40117</v>
      </c>
      <c r="B2476" t="s">
        <v>406</v>
      </c>
      <c r="C2476" t="s">
        <v>407</v>
      </c>
      <c r="D2476" t="s">
        <v>601</v>
      </c>
      <c r="E2476" t="s">
        <v>602</v>
      </c>
      <c r="F2476" t="s">
        <v>410</v>
      </c>
      <c r="G2476">
        <v>51</v>
      </c>
      <c r="I2476">
        <v>51</v>
      </c>
    </row>
    <row r="2477" spans="1:17" x14ac:dyDescent="0.2">
      <c r="A2477" s="121">
        <v>40117</v>
      </c>
      <c r="B2477" t="s">
        <v>406</v>
      </c>
      <c r="C2477" t="s">
        <v>407</v>
      </c>
      <c r="D2477" t="s">
        <v>411</v>
      </c>
      <c r="E2477" t="s">
        <v>412</v>
      </c>
      <c r="F2477" t="s">
        <v>413</v>
      </c>
      <c r="G2477">
        <v>5478</v>
      </c>
      <c r="H2477">
        <v>5478</v>
      </c>
      <c r="I2477">
        <v>5328</v>
      </c>
      <c r="J2477">
        <v>5328</v>
      </c>
      <c r="K2477">
        <v>2239</v>
      </c>
      <c r="L2477">
        <v>8</v>
      </c>
      <c r="M2477">
        <v>3027</v>
      </c>
      <c r="N2477">
        <v>35</v>
      </c>
      <c r="O2477">
        <v>169</v>
      </c>
      <c r="P2477">
        <v>1</v>
      </c>
      <c r="Q2477">
        <v>0</v>
      </c>
    </row>
    <row r="2478" spans="1:17" x14ac:dyDescent="0.2">
      <c r="A2478" s="121">
        <v>40117</v>
      </c>
      <c r="B2478" t="s">
        <v>406</v>
      </c>
      <c r="C2478" t="s">
        <v>407</v>
      </c>
      <c r="D2478" t="s">
        <v>414</v>
      </c>
      <c r="E2478" t="s">
        <v>415</v>
      </c>
      <c r="F2478" t="s">
        <v>410</v>
      </c>
      <c r="G2478">
        <v>91</v>
      </c>
      <c r="I2478">
        <v>91</v>
      </c>
    </row>
    <row r="2479" spans="1:17" x14ac:dyDescent="0.2">
      <c r="A2479" s="121">
        <v>40117</v>
      </c>
      <c r="B2479" t="s">
        <v>406</v>
      </c>
      <c r="C2479" t="s">
        <v>407</v>
      </c>
      <c r="D2479" t="s">
        <v>416</v>
      </c>
      <c r="E2479" t="s">
        <v>417</v>
      </c>
      <c r="F2479" t="s">
        <v>413</v>
      </c>
      <c r="G2479">
        <v>3592</v>
      </c>
      <c r="H2479">
        <v>3592</v>
      </c>
      <c r="I2479">
        <v>3521</v>
      </c>
      <c r="J2479">
        <v>3521</v>
      </c>
      <c r="K2479">
        <v>1286</v>
      </c>
      <c r="L2479">
        <v>11</v>
      </c>
      <c r="M2479">
        <v>2190</v>
      </c>
      <c r="N2479">
        <v>62</v>
      </c>
      <c r="O2479">
        <v>43</v>
      </c>
      <c r="P2479">
        <v>12</v>
      </c>
      <c r="Q2479">
        <v>1</v>
      </c>
    </row>
    <row r="2480" spans="1:17" x14ac:dyDescent="0.2">
      <c r="A2480" s="121">
        <v>40117</v>
      </c>
      <c r="B2480" t="s">
        <v>406</v>
      </c>
      <c r="C2480" t="s">
        <v>418</v>
      </c>
      <c r="D2480" t="s">
        <v>419</v>
      </c>
      <c r="E2480" t="s">
        <v>420</v>
      </c>
      <c r="F2480" t="s">
        <v>410</v>
      </c>
      <c r="G2480">
        <v>16</v>
      </c>
      <c r="I2480">
        <v>16</v>
      </c>
    </row>
    <row r="2481" spans="1:17" x14ac:dyDescent="0.2">
      <c r="A2481" s="121">
        <v>40117</v>
      </c>
      <c r="B2481" t="s">
        <v>406</v>
      </c>
      <c r="C2481" t="s">
        <v>418</v>
      </c>
      <c r="D2481" t="s">
        <v>421</v>
      </c>
      <c r="E2481" t="s">
        <v>422</v>
      </c>
      <c r="F2481" t="s">
        <v>410</v>
      </c>
      <c r="G2481">
        <v>116</v>
      </c>
      <c r="I2481">
        <v>116</v>
      </c>
    </row>
    <row r="2482" spans="1:17" x14ac:dyDescent="0.2">
      <c r="A2482" s="121">
        <v>40117</v>
      </c>
      <c r="B2482" t="s">
        <v>406</v>
      </c>
      <c r="C2482" t="s">
        <v>418</v>
      </c>
      <c r="D2482" t="s">
        <v>423</v>
      </c>
      <c r="E2482" t="s">
        <v>424</v>
      </c>
      <c r="F2482" t="s">
        <v>410</v>
      </c>
      <c r="G2482">
        <v>37</v>
      </c>
      <c r="I2482">
        <v>37</v>
      </c>
    </row>
    <row r="2483" spans="1:17" x14ac:dyDescent="0.2">
      <c r="A2483" s="121">
        <v>40117</v>
      </c>
      <c r="B2483" t="s">
        <v>406</v>
      </c>
      <c r="C2483" t="s">
        <v>418</v>
      </c>
      <c r="D2483" t="s">
        <v>425</v>
      </c>
      <c r="E2483" t="s">
        <v>426</v>
      </c>
      <c r="F2483" t="s">
        <v>410</v>
      </c>
      <c r="G2483">
        <v>74</v>
      </c>
      <c r="I2483">
        <v>74</v>
      </c>
    </row>
    <row r="2484" spans="1:17" x14ac:dyDescent="0.2">
      <c r="A2484" s="121">
        <v>40117</v>
      </c>
      <c r="B2484" t="s">
        <v>406</v>
      </c>
      <c r="C2484" t="s">
        <v>418</v>
      </c>
      <c r="D2484" t="s">
        <v>427</v>
      </c>
      <c r="E2484" t="s">
        <v>428</v>
      </c>
      <c r="F2484" t="s">
        <v>413</v>
      </c>
      <c r="G2484">
        <v>1797</v>
      </c>
      <c r="H2484">
        <v>1797</v>
      </c>
      <c r="I2484">
        <v>1752</v>
      </c>
      <c r="J2484">
        <v>1752</v>
      </c>
      <c r="K2484">
        <v>604</v>
      </c>
      <c r="L2484">
        <v>5</v>
      </c>
      <c r="M2484">
        <v>988</v>
      </c>
      <c r="N2484">
        <v>23</v>
      </c>
      <c r="O2484">
        <v>177</v>
      </c>
      <c r="P2484">
        <v>0</v>
      </c>
      <c r="Q2484">
        <v>0</v>
      </c>
    </row>
    <row r="2485" spans="1:17" x14ac:dyDescent="0.2">
      <c r="A2485" s="121">
        <v>40117</v>
      </c>
      <c r="B2485" t="s">
        <v>406</v>
      </c>
      <c r="C2485" t="s">
        <v>429</v>
      </c>
      <c r="D2485" t="s">
        <v>430</v>
      </c>
      <c r="E2485" t="s">
        <v>431</v>
      </c>
      <c r="F2485" t="s">
        <v>410</v>
      </c>
      <c r="G2485">
        <v>58</v>
      </c>
      <c r="I2485">
        <v>58</v>
      </c>
    </row>
    <row r="2486" spans="1:17" x14ac:dyDescent="0.2">
      <c r="A2486" s="121">
        <v>40117</v>
      </c>
      <c r="B2486" t="s">
        <v>406</v>
      </c>
      <c r="C2486" t="s">
        <v>429</v>
      </c>
      <c r="D2486" t="s">
        <v>432</v>
      </c>
      <c r="E2486" t="s">
        <v>433</v>
      </c>
      <c r="F2486" t="s">
        <v>410</v>
      </c>
      <c r="G2486">
        <v>76</v>
      </c>
      <c r="I2486">
        <v>76</v>
      </c>
    </row>
    <row r="2487" spans="1:17" x14ac:dyDescent="0.2">
      <c r="A2487" s="121">
        <v>40117</v>
      </c>
      <c r="B2487" t="s">
        <v>406</v>
      </c>
      <c r="C2487" t="s">
        <v>429</v>
      </c>
      <c r="D2487" t="s">
        <v>434</v>
      </c>
      <c r="E2487" t="s">
        <v>435</v>
      </c>
      <c r="F2487" t="s">
        <v>410</v>
      </c>
      <c r="G2487">
        <v>29</v>
      </c>
      <c r="I2487">
        <v>29</v>
      </c>
    </row>
    <row r="2488" spans="1:17" x14ac:dyDescent="0.2">
      <c r="A2488" s="121">
        <v>40117</v>
      </c>
      <c r="B2488" t="s">
        <v>406</v>
      </c>
      <c r="C2488" t="s">
        <v>429</v>
      </c>
      <c r="D2488" t="s">
        <v>436</v>
      </c>
      <c r="E2488" t="s">
        <v>437</v>
      </c>
      <c r="F2488" t="s">
        <v>410</v>
      </c>
      <c r="G2488">
        <v>48</v>
      </c>
      <c r="I2488">
        <v>48</v>
      </c>
    </row>
    <row r="2489" spans="1:17" x14ac:dyDescent="0.2">
      <c r="A2489" s="121">
        <v>40117</v>
      </c>
      <c r="B2489" t="s">
        <v>406</v>
      </c>
      <c r="C2489" t="s">
        <v>429</v>
      </c>
      <c r="D2489" t="s">
        <v>438</v>
      </c>
      <c r="E2489" t="s">
        <v>439</v>
      </c>
      <c r="F2489" t="s">
        <v>413</v>
      </c>
      <c r="G2489">
        <v>1051</v>
      </c>
      <c r="H2489">
        <v>1051</v>
      </c>
      <c r="I2489">
        <v>1026</v>
      </c>
      <c r="J2489">
        <v>1026</v>
      </c>
      <c r="K2489">
        <v>103</v>
      </c>
      <c r="L2489">
        <v>0</v>
      </c>
      <c r="M2489">
        <v>939</v>
      </c>
      <c r="N2489">
        <v>9</v>
      </c>
      <c r="O2489">
        <v>0</v>
      </c>
      <c r="P2489">
        <v>0</v>
      </c>
      <c r="Q2489">
        <v>0</v>
      </c>
    </row>
    <row r="2490" spans="1:17" x14ac:dyDescent="0.2">
      <c r="A2490" s="121">
        <v>40117</v>
      </c>
      <c r="B2490" t="s">
        <v>406</v>
      </c>
      <c r="C2490" t="s">
        <v>429</v>
      </c>
      <c r="D2490" t="s">
        <v>440</v>
      </c>
      <c r="E2490" t="s">
        <v>441</v>
      </c>
      <c r="F2490" t="s">
        <v>413</v>
      </c>
      <c r="G2490">
        <v>2823</v>
      </c>
      <c r="H2490">
        <v>2823</v>
      </c>
      <c r="I2490">
        <v>2728</v>
      </c>
      <c r="J2490">
        <v>2728</v>
      </c>
      <c r="K2490">
        <v>978</v>
      </c>
      <c r="L2490">
        <v>3</v>
      </c>
      <c r="M2490">
        <v>1771</v>
      </c>
      <c r="N2490">
        <v>15</v>
      </c>
      <c r="O2490">
        <v>56</v>
      </c>
      <c r="P2490">
        <v>0</v>
      </c>
      <c r="Q2490">
        <v>0</v>
      </c>
    </row>
    <row r="2491" spans="1:17" x14ac:dyDescent="0.2">
      <c r="A2491" s="121">
        <v>40117</v>
      </c>
      <c r="B2491" t="s">
        <v>406</v>
      </c>
      <c r="C2491" t="s">
        <v>442</v>
      </c>
      <c r="D2491" t="s">
        <v>443</v>
      </c>
      <c r="E2491" t="s">
        <v>444</v>
      </c>
      <c r="F2491" t="s">
        <v>413</v>
      </c>
      <c r="G2491">
        <v>3526</v>
      </c>
      <c r="H2491">
        <v>3526</v>
      </c>
      <c r="I2491">
        <v>3389</v>
      </c>
      <c r="J2491">
        <v>3389</v>
      </c>
      <c r="K2491">
        <v>499</v>
      </c>
      <c r="L2491">
        <v>5</v>
      </c>
      <c r="M2491">
        <v>2852</v>
      </c>
      <c r="N2491">
        <v>41</v>
      </c>
      <c r="O2491">
        <v>129</v>
      </c>
      <c r="P2491">
        <v>7</v>
      </c>
      <c r="Q2491">
        <v>1</v>
      </c>
    </row>
    <row r="2492" spans="1:17" x14ac:dyDescent="0.2">
      <c r="A2492" s="121">
        <v>40117</v>
      </c>
      <c r="B2492" t="s">
        <v>406</v>
      </c>
      <c r="C2492" t="s">
        <v>442</v>
      </c>
      <c r="D2492" t="s">
        <v>445</v>
      </c>
      <c r="E2492" t="s">
        <v>446</v>
      </c>
      <c r="F2492" t="s">
        <v>410</v>
      </c>
      <c r="G2492">
        <v>140</v>
      </c>
      <c r="I2492">
        <v>140</v>
      </c>
    </row>
    <row r="2493" spans="1:17" x14ac:dyDescent="0.2">
      <c r="A2493" s="121">
        <v>40117</v>
      </c>
      <c r="B2493" t="s">
        <v>406</v>
      </c>
      <c r="C2493" t="s">
        <v>442</v>
      </c>
      <c r="D2493" t="s">
        <v>447</v>
      </c>
      <c r="E2493" t="s">
        <v>448</v>
      </c>
      <c r="F2493" t="s">
        <v>410</v>
      </c>
      <c r="G2493">
        <v>348</v>
      </c>
      <c r="I2493">
        <v>348</v>
      </c>
    </row>
    <row r="2494" spans="1:17" x14ac:dyDescent="0.2">
      <c r="A2494" s="121">
        <v>40117</v>
      </c>
      <c r="B2494" t="s">
        <v>406</v>
      </c>
      <c r="C2494" t="s">
        <v>442</v>
      </c>
      <c r="D2494" t="s">
        <v>449</v>
      </c>
      <c r="E2494" t="s">
        <v>450</v>
      </c>
      <c r="F2494" t="s">
        <v>413</v>
      </c>
      <c r="G2494">
        <v>3143</v>
      </c>
      <c r="H2494">
        <v>3143</v>
      </c>
      <c r="I2494">
        <v>3070</v>
      </c>
      <c r="J2494">
        <v>3070</v>
      </c>
      <c r="K2494">
        <v>729</v>
      </c>
      <c r="L2494">
        <v>3</v>
      </c>
      <c r="M2494">
        <v>2347</v>
      </c>
      <c r="N2494">
        <v>27</v>
      </c>
      <c r="O2494">
        <v>37</v>
      </c>
      <c r="P2494">
        <v>4</v>
      </c>
      <c r="Q2494">
        <v>0</v>
      </c>
    </row>
    <row r="2495" spans="1:17" x14ac:dyDescent="0.2">
      <c r="A2495" s="121">
        <v>40117</v>
      </c>
      <c r="B2495" t="s">
        <v>406</v>
      </c>
      <c r="C2495" t="s">
        <v>451</v>
      </c>
      <c r="D2495" t="s">
        <v>452</v>
      </c>
      <c r="E2495" t="s">
        <v>453</v>
      </c>
      <c r="F2495" t="s">
        <v>410</v>
      </c>
      <c r="G2495">
        <v>1691</v>
      </c>
      <c r="H2495">
        <v>1691</v>
      </c>
      <c r="I2495">
        <v>1690</v>
      </c>
      <c r="J2495">
        <v>1690</v>
      </c>
      <c r="K2495">
        <v>0</v>
      </c>
      <c r="L2495">
        <v>0</v>
      </c>
      <c r="M2495">
        <v>1315</v>
      </c>
      <c r="N2495">
        <v>143</v>
      </c>
      <c r="O2495">
        <v>233</v>
      </c>
      <c r="P2495">
        <v>0</v>
      </c>
      <c r="Q2495">
        <v>0</v>
      </c>
    </row>
    <row r="2496" spans="1:17" x14ac:dyDescent="0.2">
      <c r="A2496" s="121">
        <v>40117</v>
      </c>
      <c r="B2496" t="s">
        <v>406</v>
      </c>
      <c r="C2496" t="s">
        <v>451</v>
      </c>
      <c r="D2496" t="s">
        <v>454</v>
      </c>
      <c r="E2496" t="s">
        <v>455</v>
      </c>
      <c r="F2496" t="s">
        <v>413</v>
      </c>
      <c r="G2496">
        <v>4532</v>
      </c>
      <c r="H2496">
        <v>4532</v>
      </c>
      <c r="I2496">
        <v>4372</v>
      </c>
      <c r="J2496">
        <v>4372</v>
      </c>
      <c r="K2496">
        <v>1276</v>
      </c>
      <c r="L2496">
        <v>8</v>
      </c>
      <c r="M2496">
        <v>2503</v>
      </c>
      <c r="N2496">
        <v>49</v>
      </c>
      <c r="O2496">
        <v>696</v>
      </c>
      <c r="P2496">
        <v>5</v>
      </c>
      <c r="Q2496">
        <v>0</v>
      </c>
    </row>
    <row r="2497" spans="1:17" x14ac:dyDescent="0.2">
      <c r="A2497" s="121">
        <v>40117</v>
      </c>
      <c r="B2497" t="s">
        <v>406</v>
      </c>
      <c r="C2497" t="s">
        <v>456</v>
      </c>
      <c r="D2497" t="s">
        <v>457</v>
      </c>
      <c r="E2497" t="s">
        <v>458</v>
      </c>
      <c r="F2497" t="s">
        <v>413</v>
      </c>
      <c r="G2497">
        <v>5036</v>
      </c>
      <c r="H2497">
        <v>5036</v>
      </c>
      <c r="I2497">
        <v>4810</v>
      </c>
      <c r="J2497">
        <v>4810</v>
      </c>
      <c r="K2497">
        <v>1362</v>
      </c>
      <c r="L2497">
        <v>19</v>
      </c>
      <c r="M2497">
        <v>3546</v>
      </c>
      <c r="N2497">
        <v>78</v>
      </c>
      <c r="O2497">
        <v>31</v>
      </c>
      <c r="P2497">
        <v>6</v>
      </c>
      <c r="Q2497">
        <v>0</v>
      </c>
    </row>
    <row r="2498" spans="1:17" x14ac:dyDescent="0.2">
      <c r="A2498" s="121">
        <v>40117</v>
      </c>
      <c r="B2498" t="s">
        <v>406</v>
      </c>
      <c r="C2498" t="s">
        <v>456</v>
      </c>
      <c r="D2498" t="s">
        <v>459</v>
      </c>
      <c r="E2498" t="s">
        <v>460</v>
      </c>
      <c r="F2498" t="s">
        <v>413</v>
      </c>
      <c r="G2498">
        <v>1297</v>
      </c>
      <c r="H2498">
        <v>1297</v>
      </c>
      <c r="I2498">
        <v>1291</v>
      </c>
      <c r="J2498">
        <v>1291</v>
      </c>
      <c r="K2498">
        <v>391</v>
      </c>
      <c r="L2498">
        <v>0</v>
      </c>
      <c r="M2498">
        <v>905</v>
      </c>
      <c r="N2498">
        <v>1</v>
      </c>
      <c r="O2498">
        <v>0</v>
      </c>
      <c r="P2498">
        <v>1</v>
      </c>
      <c r="Q2498">
        <v>1</v>
      </c>
    </row>
    <row r="2499" spans="1:17" x14ac:dyDescent="0.2">
      <c r="A2499" s="121">
        <v>40117</v>
      </c>
      <c r="B2499" t="s">
        <v>406</v>
      </c>
      <c r="C2499" t="s">
        <v>456</v>
      </c>
      <c r="D2499" t="s">
        <v>461</v>
      </c>
      <c r="E2499" t="s">
        <v>462</v>
      </c>
      <c r="F2499" t="s">
        <v>410</v>
      </c>
      <c r="G2499">
        <v>78</v>
      </c>
      <c r="I2499">
        <v>78</v>
      </c>
    </row>
    <row r="2500" spans="1:17" x14ac:dyDescent="0.2">
      <c r="A2500" s="121">
        <v>40117</v>
      </c>
      <c r="B2500" t="s">
        <v>406</v>
      </c>
      <c r="C2500" t="s">
        <v>456</v>
      </c>
      <c r="D2500" t="s">
        <v>463</v>
      </c>
      <c r="E2500" t="s">
        <v>464</v>
      </c>
      <c r="F2500" t="s">
        <v>410</v>
      </c>
      <c r="G2500">
        <v>32</v>
      </c>
      <c r="I2500">
        <v>32</v>
      </c>
    </row>
    <row r="2501" spans="1:17" x14ac:dyDescent="0.2">
      <c r="A2501" s="121">
        <v>40117</v>
      </c>
      <c r="B2501" t="s">
        <v>406</v>
      </c>
      <c r="C2501" t="s">
        <v>456</v>
      </c>
      <c r="D2501" t="s">
        <v>465</v>
      </c>
      <c r="E2501" t="s">
        <v>466</v>
      </c>
      <c r="F2501" t="s">
        <v>410</v>
      </c>
      <c r="G2501">
        <v>47</v>
      </c>
      <c r="I2501">
        <v>47</v>
      </c>
    </row>
    <row r="2502" spans="1:17" x14ac:dyDescent="0.2">
      <c r="A2502" s="121">
        <v>40117</v>
      </c>
      <c r="B2502" t="s">
        <v>406</v>
      </c>
      <c r="C2502" t="s">
        <v>456</v>
      </c>
      <c r="D2502" t="s">
        <v>467</v>
      </c>
      <c r="E2502" t="s">
        <v>468</v>
      </c>
      <c r="F2502" t="s">
        <v>410</v>
      </c>
      <c r="G2502">
        <v>1058</v>
      </c>
      <c r="I2502">
        <v>1057</v>
      </c>
    </row>
    <row r="2503" spans="1:17" x14ac:dyDescent="0.2">
      <c r="A2503" s="121">
        <v>40117</v>
      </c>
      <c r="B2503" t="s">
        <v>406</v>
      </c>
      <c r="C2503" t="s">
        <v>456</v>
      </c>
      <c r="D2503" t="s">
        <v>469</v>
      </c>
      <c r="E2503" t="s">
        <v>470</v>
      </c>
      <c r="F2503" t="s">
        <v>410</v>
      </c>
      <c r="G2503">
        <v>749</v>
      </c>
      <c r="I2503">
        <v>746</v>
      </c>
    </row>
    <row r="2504" spans="1:17" x14ac:dyDescent="0.2">
      <c r="A2504" s="121">
        <v>40117</v>
      </c>
      <c r="B2504" t="s">
        <v>406</v>
      </c>
      <c r="C2504" t="s">
        <v>456</v>
      </c>
      <c r="D2504" t="s">
        <v>471</v>
      </c>
      <c r="E2504" t="s">
        <v>472</v>
      </c>
      <c r="F2504" t="s">
        <v>410</v>
      </c>
      <c r="G2504">
        <v>237</v>
      </c>
      <c r="I2504">
        <v>236</v>
      </c>
    </row>
    <row r="2505" spans="1:17" x14ac:dyDescent="0.2">
      <c r="A2505" s="121">
        <v>40117</v>
      </c>
      <c r="B2505" t="s">
        <v>406</v>
      </c>
      <c r="C2505" t="s">
        <v>456</v>
      </c>
      <c r="D2505" t="s">
        <v>473</v>
      </c>
      <c r="E2505" t="s">
        <v>474</v>
      </c>
      <c r="F2505" t="s">
        <v>410</v>
      </c>
      <c r="G2505">
        <v>203</v>
      </c>
      <c r="I2505">
        <v>203</v>
      </c>
    </row>
    <row r="2506" spans="1:17" x14ac:dyDescent="0.2">
      <c r="A2506" s="121">
        <v>40117</v>
      </c>
      <c r="B2506" t="s">
        <v>406</v>
      </c>
      <c r="C2506" t="s">
        <v>456</v>
      </c>
      <c r="D2506" t="s">
        <v>475</v>
      </c>
      <c r="E2506" t="s">
        <v>476</v>
      </c>
      <c r="F2506" t="s">
        <v>410</v>
      </c>
      <c r="G2506">
        <v>353</v>
      </c>
      <c r="I2506">
        <v>353</v>
      </c>
    </row>
    <row r="2507" spans="1:17" x14ac:dyDescent="0.2">
      <c r="A2507" s="121">
        <v>40117</v>
      </c>
      <c r="B2507" t="s">
        <v>406</v>
      </c>
      <c r="C2507" t="s">
        <v>456</v>
      </c>
      <c r="D2507" t="s">
        <v>477</v>
      </c>
      <c r="E2507" t="s">
        <v>478</v>
      </c>
      <c r="F2507" t="s">
        <v>413</v>
      </c>
      <c r="G2507">
        <v>1727</v>
      </c>
      <c r="H2507">
        <v>1727</v>
      </c>
      <c r="I2507">
        <v>1658</v>
      </c>
      <c r="J2507">
        <v>1658</v>
      </c>
      <c r="K2507">
        <v>419</v>
      </c>
      <c r="L2507">
        <v>4</v>
      </c>
      <c r="M2507">
        <v>1248</v>
      </c>
      <c r="N2507">
        <v>24</v>
      </c>
      <c r="O2507">
        <v>32</v>
      </c>
      <c r="P2507">
        <v>7</v>
      </c>
      <c r="Q2507">
        <v>1</v>
      </c>
    </row>
    <row r="2508" spans="1:17" x14ac:dyDescent="0.2">
      <c r="A2508" s="121">
        <v>40117</v>
      </c>
      <c r="B2508" t="s">
        <v>406</v>
      </c>
      <c r="C2508" t="s">
        <v>456</v>
      </c>
      <c r="D2508" t="s">
        <v>479</v>
      </c>
      <c r="E2508" t="s">
        <v>480</v>
      </c>
      <c r="F2508" t="s">
        <v>410</v>
      </c>
      <c r="G2508">
        <v>73</v>
      </c>
      <c r="I2508">
        <v>73</v>
      </c>
    </row>
    <row r="2509" spans="1:17" x14ac:dyDescent="0.2">
      <c r="A2509" s="121">
        <v>40117</v>
      </c>
      <c r="B2509" t="s">
        <v>406</v>
      </c>
      <c r="C2509" t="s">
        <v>456</v>
      </c>
      <c r="D2509" t="s">
        <v>481</v>
      </c>
      <c r="E2509" t="s">
        <v>482</v>
      </c>
      <c r="F2509" t="s">
        <v>410</v>
      </c>
      <c r="G2509">
        <v>36</v>
      </c>
      <c r="I2509">
        <v>36</v>
      </c>
    </row>
    <row r="2510" spans="1:17" x14ac:dyDescent="0.2">
      <c r="A2510" s="121">
        <v>40117</v>
      </c>
      <c r="B2510" t="s">
        <v>406</v>
      </c>
      <c r="C2510" t="s">
        <v>456</v>
      </c>
      <c r="D2510" t="s">
        <v>483</v>
      </c>
      <c r="E2510" t="s">
        <v>484</v>
      </c>
      <c r="F2510" t="s">
        <v>410</v>
      </c>
      <c r="G2510">
        <v>117</v>
      </c>
      <c r="I2510">
        <v>117</v>
      </c>
    </row>
    <row r="2511" spans="1:17" x14ac:dyDescent="0.2">
      <c r="A2511" s="121">
        <v>40117</v>
      </c>
      <c r="B2511" t="s">
        <v>406</v>
      </c>
      <c r="C2511" t="s">
        <v>456</v>
      </c>
      <c r="D2511" t="s">
        <v>485</v>
      </c>
      <c r="E2511" t="s">
        <v>486</v>
      </c>
      <c r="F2511" t="s">
        <v>410</v>
      </c>
      <c r="G2511">
        <v>42</v>
      </c>
      <c r="I2511">
        <v>42</v>
      </c>
    </row>
    <row r="2512" spans="1:17" x14ac:dyDescent="0.2">
      <c r="A2512" s="121">
        <v>40117</v>
      </c>
      <c r="B2512" t="s">
        <v>406</v>
      </c>
      <c r="C2512" t="s">
        <v>456</v>
      </c>
      <c r="D2512" t="s">
        <v>487</v>
      </c>
      <c r="E2512" t="s">
        <v>488</v>
      </c>
      <c r="F2512" t="s">
        <v>410</v>
      </c>
      <c r="G2512">
        <v>28</v>
      </c>
      <c r="I2512">
        <v>28</v>
      </c>
    </row>
    <row r="2513" spans="1:17" x14ac:dyDescent="0.2">
      <c r="A2513" s="121">
        <v>40117</v>
      </c>
      <c r="B2513" t="s">
        <v>406</v>
      </c>
      <c r="C2513" t="s">
        <v>456</v>
      </c>
      <c r="D2513" t="s">
        <v>489</v>
      </c>
      <c r="E2513" t="s">
        <v>490</v>
      </c>
      <c r="F2513" t="s">
        <v>410</v>
      </c>
      <c r="G2513">
        <v>96</v>
      </c>
      <c r="H2513">
        <v>96</v>
      </c>
      <c r="I2513">
        <v>96</v>
      </c>
      <c r="J2513">
        <v>96</v>
      </c>
      <c r="K2513">
        <v>0</v>
      </c>
      <c r="L2513">
        <v>0</v>
      </c>
      <c r="M2513">
        <v>77</v>
      </c>
      <c r="N2513">
        <v>19</v>
      </c>
      <c r="O2513">
        <v>0</v>
      </c>
      <c r="P2513">
        <v>0</v>
      </c>
      <c r="Q2513">
        <v>0</v>
      </c>
    </row>
    <row r="2514" spans="1:17" x14ac:dyDescent="0.2">
      <c r="A2514" s="121">
        <v>40117</v>
      </c>
      <c r="B2514" t="s">
        <v>406</v>
      </c>
      <c r="C2514" t="s">
        <v>491</v>
      </c>
      <c r="D2514" t="s">
        <v>492</v>
      </c>
      <c r="E2514" t="s">
        <v>493</v>
      </c>
      <c r="F2514" t="s">
        <v>410</v>
      </c>
      <c r="G2514">
        <v>1371</v>
      </c>
      <c r="H2514">
        <v>1371</v>
      </c>
      <c r="I2514">
        <v>1346</v>
      </c>
      <c r="J2514">
        <v>1346</v>
      </c>
      <c r="K2514">
        <v>0</v>
      </c>
      <c r="L2514">
        <v>0</v>
      </c>
      <c r="M2514">
        <v>0</v>
      </c>
      <c r="N2514">
        <v>8</v>
      </c>
      <c r="O2514">
        <v>1363</v>
      </c>
      <c r="P2514">
        <v>1</v>
      </c>
      <c r="Q2514">
        <v>0</v>
      </c>
    </row>
    <row r="2515" spans="1:17" x14ac:dyDescent="0.2">
      <c r="A2515" s="121">
        <v>40117</v>
      </c>
      <c r="B2515" t="s">
        <v>406</v>
      </c>
      <c r="C2515" t="s">
        <v>491</v>
      </c>
      <c r="D2515" t="s">
        <v>494</v>
      </c>
      <c r="E2515" t="s">
        <v>495</v>
      </c>
      <c r="F2515" t="s">
        <v>413</v>
      </c>
      <c r="G2515">
        <v>2822</v>
      </c>
      <c r="H2515">
        <v>2822</v>
      </c>
      <c r="I2515">
        <v>2783</v>
      </c>
      <c r="J2515">
        <v>2783</v>
      </c>
      <c r="K2515">
        <v>0</v>
      </c>
      <c r="L2515">
        <v>0</v>
      </c>
      <c r="M2515">
        <v>11</v>
      </c>
      <c r="N2515">
        <v>22</v>
      </c>
      <c r="O2515">
        <v>2789</v>
      </c>
      <c r="P2515">
        <v>2</v>
      </c>
      <c r="Q2515">
        <v>0</v>
      </c>
    </row>
    <row r="2516" spans="1:17" x14ac:dyDescent="0.2">
      <c r="A2516" s="121">
        <v>40117</v>
      </c>
      <c r="B2516" t="s">
        <v>406</v>
      </c>
      <c r="C2516" t="s">
        <v>491</v>
      </c>
      <c r="D2516" t="s">
        <v>496</v>
      </c>
      <c r="E2516" t="s">
        <v>497</v>
      </c>
      <c r="F2516" t="s">
        <v>413</v>
      </c>
      <c r="G2516">
        <v>5946</v>
      </c>
      <c r="H2516">
        <v>5946</v>
      </c>
      <c r="I2516">
        <v>5759</v>
      </c>
      <c r="J2516">
        <v>5759</v>
      </c>
      <c r="K2516">
        <v>1441</v>
      </c>
      <c r="L2516">
        <v>0</v>
      </c>
      <c r="M2516">
        <v>19</v>
      </c>
      <c r="N2516">
        <v>64</v>
      </c>
      <c r="O2516">
        <v>4422</v>
      </c>
      <c r="P2516">
        <v>1</v>
      </c>
      <c r="Q2516">
        <v>0</v>
      </c>
    </row>
    <row r="2517" spans="1:17" x14ac:dyDescent="0.2">
      <c r="A2517" s="121">
        <v>40117</v>
      </c>
      <c r="B2517" t="s">
        <v>406</v>
      </c>
      <c r="C2517" t="s">
        <v>491</v>
      </c>
      <c r="D2517" t="s">
        <v>498</v>
      </c>
      <c r="E2517" t="s">
        <v>499</v>
      </c>
      <c r="F2517" t="s">
        <v>413</v>
      </c>
      <c r="G2517">
        <v>6333</v>
      </c>
      <c r="H2517">
        <v>6333</v>
      </c>
      <c r="I2517">
        <v>6026</v>
      </c>
      <c r="J2517">
        <v>6026</v>
      </c>
      <c r="K2517">
        <v>2001</v>
      </c>
      <c r="L2517">
        <v>18</v>
      </c>
      <c r="M2517">
        <v>3884</v>
      </c>
      <c r="N2517">
        <v>114</v>
      </c>
      <c r="O2517">
        <v>316</v>
      </c>
      <c r="P2517">
        <v>4</v>
      </c>
      <c r="Q2517">
        <v>0</v>
      </c>
    </row>
    <row r="2518" spans="1:17" x14ac:dyDescent="0.2">
      <c r="A2518" s="121">
        <v>40117</v>
      </c>
      <c r="B2518" t="s">
        <v>406</v>
      </c>
      <c r="C2518" t="s">
        <v>491</v>
      </c>
      <c r="D2518" t="s">
        <v>500</v>
      </c>
      <c r="E2518" t="s">
        <v>501</v>
      </c>
      <c r="F2518" t="s">
        <v>413</v>
      </c>
      <c r="G2518">
        <v>3651</v>
      </c>
      <c r="H2518">
        <v>3651</v>
      </c>
      <c r="I2518">
        <v>3614</v>
      </c>
      <c r="J2518">
        <v>3614</v>
      </c>
      <c r="K2518">
        <v>1072</v>
      </c>
      <c r="L2518">
        <v>3</v>
      </c>
      <c r="M2518">
        <v>2328</v>
      </c>
      <c r="N2518">
        <v>50</v>
      </c>
      <c r="O2518">
        <v>198</v>
      </c>
      <c r="P2518">
        <v>1</v>
      </c>
      <c r="Q2518">
        <v>0</v>
      </c>
    </row>
    <row r="2519" spans="1:17" x14ac:dyDescent="0.2">
      <c r="A2519" s="121">
        <v>40117</v>
      </c>
      <c r="B2519" t="s">
        <v>406</v>
      </c>
      <c r="C2519" t="s">
        <v>491</v>
      </c>
      <c r="D2519" t="s">
        <v>502</v>
      </c>
      <c r="E2519" t="s">
        <v>615</v>
      </c>
      <c r="F2519" t="s">
        <v>410</v>
      </c>
      <c r="G2519">
        <v>1246</v>
      </c>
      <c r="H2519">
        <v>1246</v>
      </c>
      <c r="I2519">
        <v>1245</v>
      </c>
      <c r="J2519">
        <v>1245</v>
      </c>
      <c r="K2519">
        <v>7</v>
      </c>
      <c r="L2519">
        <v>1</v>
      </c>
      <c r="M2519">
        <v>1231</v>
      </c>
      <c r="N2519">
        <v>0</v>
      </c>
      <c r="O2519">
        <v>7</v>
      </c>
      <c r="P2519">
        <v>0</v>
      </c>
      <c r="Q2519">
        <v>0</v>
      </c>
    </row>
    <row r="2520" spans="1:17" x14ac:dyDescent="0.2">
      <c r="A2520" s="121">
        <v>40117</v>
      </c>
      <c r="B2520" t="s">
        <v>406</v>
      </c>
      <c r="C2520" t="s">
        <v>491</v>
      </c>
      <c r="D2520" t="s">
        <v>502</v>
      </c>
      <c r="E2520" t="s">
        <v>503</v>
      </c>
      <c r="F2520" t="s">
        <v>413</v>
      </c>
      <c r="G2520">
        <v>4804</v>
      </c>
      <c r="H2520">
        <v>4804</v>
      </c>
      <c r="I2520">
        <v>4677</v>
      </c>
      <c r="J2520">
        <v>4677</v>
      </c>
      <c r="K2520">
        <v>1451</v>
      </c>
      <c r="L2520">
        <v>14</v>
      </c>
      <c r="M2520">
        <v>3099</v>
      </c>
      <c r="N2520">
        <v>169</v>
      </c>
      <c r="O2520">
        <v>71</v>
      </c>
      <c r="P2520">
        <v>10</v>
      </c>
      <c r="Q2520">
        <v>0</v>
      </c>
    </row>
    <row r="2521" spans="1:17" x14ac:dyDescent="0.2">
      <c r="A2521" s="121">
        <v>40117</v>
      </c>
      <c r="B2521" t="s">
        <v>406</v>
      </c>
      <c r="C2521" t="s">
        <v>491</v>
      </c>
      <c r="D2521" t="s">
        <v>504</v>
      </c>
      <c r="E2521" t="s">
        <v>505</v>
      </c>
      <c r="F2521" t="s">
        <v>413</v>
      </c>
      <c r="G2521">
        <v>3888</v>
      </c>
      <c r="H2521">
        <v>3888</v>
      </c>
      <c r="I2521">
        <v>3812</v>
      </c>
      <c r="J2521">
        <v>3812</v>
      </c>
      <c r="K2521">
        <v>1147</v>
      </c>
      <c r="L2521">
        <v>7</v>
      </c>
      <c r="M2521">
        <v>2635</v>
      </c>
      <c r="N2521">
        <v>63</v>
      </c>
      <c r="O2521">
        <v>36</v>
      </c>
      <c r="P2521">
        <v>3</v>
      </c>
      <c r="Q2521">
        <v>0</v>
      </c>
    </row>
    <row r="2522" spans="1:17" x14ac:dyDescent="0.2">
      <c r="A2522" s="121">
        <v>40117</v>
      </c>
      <c r="B2522" t="s">
        <v>406</v>
      </c>
      <c r="C2522" t="s">
        <v>491</v>
      </c>
      <c r="D2522" t="s">
        <v>506</v>
      </c>
      <c r="E2522" t="s">
        <v>507</v>
      </c>
      <c r="F2522" t="s">
        <v>413</v>
      </c>
      <c r="G2522">
        <v>4109</v>
      </c>
      <c r="H2522">
        <v>4109</v>
      </c>
      <c r="I2522">
        <v>4028</v>
      </c>
      <c r="J2522">
        <v>4028</v>
      </c>
      <c r="K2522">
        <v>574</v>
      </c>
      <c r="L2522">
        <v>1</v>
      </c>
      <c r="M2522">
        <v>3521</v>
      </c>
      <c r="N2522">
        <v>2</v>
      </c>
      <c r="O2522">
        <v>11</v>
      </c>
      <c r="P2522">
        <v>0</v>
      </c>
      <c r="Q2522">
        <v>0</v>
      </c>
    </row>
    <row r="2523" spans="1:17" x14ac:dyDescent="0.2">
      <c r="A2523" s="121">
        <v>40117</v>
      </c>
      <c r="B2523" t="s">
        <v>406</v>
      </c>
      <c r="C2523" t="s">
        <v>491</v>
      </c>
      <c r="D2523" t="s">
        <v>508</v>
      </c>
      <c r="E2523" t="s">
        <v>509</v>
      </c>
      <c r="F2523" t="s">
        <v>413</v>
      </c>
      <c r="G2523">
        <v>5325</v>
      </c>
      <c r="H2523">
        <v>5325</v>
      </c>
      <c r="I2523">
        <v>5255</v>
      </c>
      <c r="J2523">
        <v>5255</v>
      </c>
      <c r="K2523">
        <v>1740</v>
      </c>
      <c r="L2523">
        <v>9</v>
      </c>
      <c r="M2523">
        <v>3145</v>
      </c>
      <c r="N2523">
        <v>158</v>
      </c>
      <c r="O2523">
        <v>273</v>
      </c>
      <c r="P2523">
        <v>0</v>
      </c>
      <c r="Q2523">
        <v>0</v>
      </c>
    </row>
    <row r="2524" spans="1:17" x14ac:dyDescent="0.2">
      <c r="A2524" s="121">
        <v>40117</v>
      </c>
      <c r="B2524" t="s">
        <v>406</v>
      </c>
      <c r="C2524" t="s">
        <v>510</v>
      </c>
      <c r="D2524" t="s">
        <v>511</v>
      </c>
      <c r="E2524" t="s">
        <v>512</v>
      </c>
      <c r="F2524" t="s">
        <v>410</v>
      </c>
      <c r="G2524">
        <v>514</v>
      </c>
      <c r="I2524">
        <v>509</v>
      </c>
    </row>
    <row r="2525" spans="1:17" x14ac:dyDescent="0.2">
      <c r="A2525" s="121">
        <v>40117</v>
      </c>
      <c r="B2525" t="s">
        <v>406</v>
      </c>
      <c r="C2525" t="s">
        <v>510</v>
      </c>
      <c r="D2525" t="s">
        <v>513</v>
      </c>
      <c r="E2525" t="s">
        <v>514</v>
      </c>
      <c r="F2525" t="s">
        <v>410</v>
      </c>
      <c r="G2525">
        <v>559</v>
      </c>
      <c r="I2525">
        <v>558</v>
      </c>
    </row>
    <row r="2526" spans="1:17" x14ac:dyDescent="0.2">
      <c r="A2526" s="121">
        <v>40117</v>
      </c>
      <c r="B2526" t="s">
        <v>406</v>
      </c>
      <c r="C2526" t="s">
        <v>510</v>
      </c>
      <c r="D2526" t="s">
        <v>515</v>
      </c>
      <c r="E2526" t="s">
        <v>516</v>
      </c>
      <c r="F2526" t="s">
        <v>410</v>
      </c>
      <c r="G2526">
        <v>64</v>
      </c>
      <c r="I2526">
        <v>62</v>
      </c>
    </row>
    <row r="2527" spans="1:17" x14ac:dyDescent="0.2">
      <c r="A2527" s="121">
        <v>40117</v>
      </c>
      <c r="B2527" t="s">
        <v>406</v>
      </c>
      <c r="C2527" t="s">
        <v>510</v>
      </c>
      <c r="D2527" t="s">
        <v>517</v>
      </c>
      <c r="E2527" t="s">
        <v>518</v>
      </c>
      <c r="F2527" t="s">
        <v>410</v>
      </c>
      <c r="G2527">
        <v>326</v>
      </c>
      <c r="I2527">
        <v>323</v>
      </c>
    </row>
    <row r="2528" spans="1:17" x14ac:dyDescent="0.2">
      <c r="A2528" s="121">
        <v>40117</v>
      </c>
      <c r="B2528" t="s">
        <v>406</v>
      </c>
      <c r="C2528" t="s">
        <v>510</v>
      </c>
      <c r="D2528" t="s">
        <v>519</v>
      </c>
      <c r="E2528" t="s">
        <v>520</v>
      </c>
      <c r="F2528" t="s">
        <v>410</v>
      </c>
      <c r="G2528">
        <v>285</v>
      </c>
      <c r="I2528">
        <v>280</v>
      </c>
    </row>
    <row r="2529" spans="1:17" x14ac:dyDescent="0.2">
      <c r="A2529" s="121">
        <v>40117</v>
      </c>
      <c r="B2529" t="s">
        <v>406</v>
      </c>
      <c r="C2529" t="s">
        <v>510</v>
      </c>
      <c r="D2529" t="s">
        <v>521</v>
      </c>
      <c r="E2529" t="s">
        <v>522</v>
      </c>
      <c r="F2529" t="s">
        <v>410</v>
      </c>
      <c r="G2529">
        <v>50</v>
      </c>
      <c r="I2529">
        <v>49</v>
      </c>
    </row>
    <row r="2530" spans="1:17" x14ac:dyDescent="0.2">
      <c r="A2530" s="121">
        <v>40117</v>
      </c>
      <c r="B2530" t="s">
        <v>406</v>
      </c>
      <c r="C2530" t="s">
        <v>510</v>
      </c>
      <c r="D2530" t="s">
        <v>523</v>
      </c>
      <c r="E2530" t="s">
        <v>524</v>
      </c>
      <c r="F2530" t="s">
        <v>413</v>
      </c>
      <c r="G2530">
        <v>528</v>
      </c>
      <c r="I2530">
        <v>520</v>
      </c>
    </row>
    <row r="2531" spans="1:17" x14ac:dyDescent="0.2">
      <c r="A2531" s="121">
        <v>40117</v>
      </c>
      <c r="B2531" t="s">
        <v>406</v>
      </c>
      <c r="C2531" t="s">
        <v>510</v>
      </c>
      <c r="D2531" t="s">
        <v>527</v>
      </c>
      <c r="E2531" t="s">
        <v>528</v>
      </c>
      <c r="F2531" t="s">
        <v>410</v>
      </c>
      <c r="G2531">
        <v>195</v>
      </c>
      <c r="I2531">
        <v>193</v>
      </c>
    </row>
    <row r="2532" spans="1:17" x14ac:dyDescent="0.2">
      <c r="A2532" s="121">
        <v>40117</v>
      </c>
      <c r="B2532" t="s">
        <v>406</v>
      </c>
      <c r="C2532" t="s">
        <v>510</v>
      </c>
      <c r="D2532" t="s">
        <v>529</v>
      </c>
      <c r="E2532" t="s">
        <v>530</v>
      </c>
      <c r="F2532" t="s">
        <v>413</v>
      </c>
      <c r="G2532">
        <v>470</v>
      </c>
      <c r="I2532">
        <v>468</v>
      </c>
    </row>
    <row r="2533" spans="1:17" x14ac:dyDescent="0.2">
      <c r="A2533" s="121">
        <v>40117</v>
      </c>
      <c r="B2533" t="s">
        <v>406</v>
      </c>
      <c r="C2533" t="s">
        <v>510</v>
      </c>
      <c r="D2533" t="s">
        <v>531</v>
      </c>
      <c r="E2533" t="s">
        <v>532</v>
      </c>
      <c r="F2533" t="s">
        <v>410</v>
      </c>
      <c r="G2533">
        <v>79</v>
      </c>
      <c r="I2533">
        <v>78</v>
      </c>
    </row>
    <row r="2534" spans="1:17" x14ac:dyDescent="0.2">
      <c r="A2534" s="121">
        <v>40117</v>
      </c>
      <c r="B2534" t="s">
        <v>406</v>
      </c>
      <c r="C2534" t="s">
        <v>510</v>
      </c>
      <c r="D2534" t="s">
        <v>533</v>
      </c>
      <c r="E2534" t="s">
        <v>534</v>
      </c>
      <c r="F2534" t="s">
        <v>413</v>
      </c>
      <c r="G2534">
        <v>2295</v>
      </c>
      <c r="H2534">
        <v>2295</v>
      </c>
      <c r="I2534">
        <v>2246</v>
      </c>
      <c r="J2534">
        <v>2246</v>
      </c>
      <c r="K2534">
        <v>446</v>
      </c>
      <c r="L2534">
        <v>26</v>
      </c>
      <c r="M2534">
        <v>1822</v>
      </c>
      <c r="N2534">
        <v>1</v>
      </c>
      <c r="O2534">
        <v>0</v>
      </c>
      <c r="P2534">
        <v>2</v>
      </c>
      <c r="Q2534">
        <v>0</v>
      </c>
    </row>
    <row r="2535" spans="1:17" x14ac:dyDescent="0.2">
      <c r="A2535" s="121">
        <v>40117</v>
      </c>
      <c r="B2535" t="s">
        <v>406</v>
      </c>
      <c r="C2535" t="s">
        <v>510</v>
      </c>
      <c r="D2535" t="s">
        <v>535</v>
      </c>
      <c r="E2535" t="s">
        <v>536</v>
      </c>
      <c r="F2535" t="s">
        <v>410</v>
      </c>
      <c r="G2535">
        <v>224</v>
      </c>
      <c r="I2535">
        <v>224</v>
      </c>
    </row>
    <row r="2536" spans="1:17" x14ac:dyDescent="0.2">
      <c r="A2536" s="121">
        <v>40117</v>
      </c>
      <c r="B2536" t="s">
        <v>406</v>
      </c>
      <c r="C2536" t="s">
        <v>510</v>
      </c>
      <c r="D2536" t="s">
        <v>537</v>
      </c>
      <c r="E2536" t="s">
        <v>538</v>
      </c>
      <c r="F2536" t="s">
        <v>410</v>
      </c>
      <c r="G2536">
        <v>85</v>
      </c>
      <c r="I2536">
        <v>85</v>
      </c>
    </row>
    <row r="2537" spans="1:17" x14ac:dyDescent="0.2">
      <c r="A2537" s="121">
        <v>40117</v>
      </c>
      <c r="B2537" t="s">
        <v>406</v>
      </c>
      <c r="C2537" t="s">
        <v>510</v>
      </c>
      <c r="D2537" t="s">
        <v>539</v>
      </c>
      <c r="E2537" t="s">
        <v>540</v>
      </c>
      <c r="F2537" t="s">
        <v>413</v>
      </c>
      <c r="G2537">
        <v>685</v>
      </c>
      <c r="I2537">
        <v>676</v>
      </c>
    </row>
    <row r="2538" spans="1:17" x14ac:dyDescent="0.2">
      <c r="A2538" s="121">
        <v>40117</v>
      </c>
      <c r="B2538" t="s">
        <v>406</v>
      </c>
      <c r="C2538" t="s">
        <v>510</v>
      </c>
      <c r="D2538" t="s">
        <v>541</v>
      </c>
      <c r="E2538" t="s">
        <v>542</v>
      </c>
      <c r="F2538" t="s">
        <v>410</v>
      </c>
      <c r="G2538">
        <v>233</v>
      </c>
      <c r="I2538">
        <v>229</v>
      </c>
    </row>
    <row r="2539" spans="1:17" x14ac:dyDescent="0.2">
      <c r="A2539" s="121">
        <v>40117</v>
      </c>
      <c r="B2539" t="s">
        <v>406</v>
      </c>
      <c r="C2539" t="s">
        <v>510</v>
      </c>
      <c r="D2539" t="s">
        <v>543</v>
      </c>
      <c r="E2539" t="s">
        <v>544</v>
      </c>
      <c r="F2539" t="s">
        <v>410</v>
      </c>
      <c r="G2539">
        <v>243</v>
      </c>
      <c r="I2539">
        <v>238</v>
      </c>
    </row>
    <row r="2540" spans="1:17" x14ac:dyDescent="0.2">
      <c r="A2540" s="121">
        <v>40117</v>
      </c>
      <c r="B2540" t="s">
        <v>406</v>
      </c>
      <c r="C2540" t="s">
        <v>510</v>
      </c>
      <c r="D2540" t="s">
        <v>545</v>
      </c>
      <c r="E2540" t="s">
        <v>546</v>
      </c>
      <c r="F2540" t="s">
        <v>410</v>
      </c>
      <c r="G2540">
        <v>154</v>
      </c>
      <c r="I2540">
        <v>154</v>
      </c>
    </row>
    <row r="2541" spans="1:17" x14ac:dyDescent="0.2">
      <c r="A2541" s="121">
        <v>40117</v>
      </c>
      <c r="B2541" t="s">
        <v>406</v>
      </c>
      <c r="C2541" t="s">
        <v>510</v>
      </c>
      <c r="D2541" t="s">
        <v>547</v>
      </c>
      <c r="E2541" t="s">
        <v>548</v>
      </c>
      <c r="F2541" t="s">
        <v>410</v>
      </c>
      <c r="G2541">
        <v>129</v>
      </c>
      <c r="I2541">
        <v>128</v>
      </c>
    </row>
    <row r="2542" spans="1:17" x14ac:dyDescent="0.2">
      <c r="A2542" s="121">
        <v>40117</v>
      </c>
      <c r="B2542" t="s">
        <v>406</v>
      </c>
      <c r="C2542" t="s">
        <v>510</v>
      </c>
      <c r="D2542" t="s">
        <v>549</v>
      </c>
      <c r="E2542" t="s">
        <v>550</v>
      </c>
      <c r="F2542" t="s">
        <v>410</v>
      </c>
      <c r="G2542">
        <v>170</v>
      </c>
      <c r="I2542">
        <v>169</v>
      </c>
    </row>
    <row r="2543" spans="1:17" x14ac:dyDescent="0.2">
      <c r="A2543" s="121">
        <v>40117</v>
      </c>
      <c r="B2543" t="s">
        <v>406</v>
      </c>
      <c r="C2543" t="s">
        <v>551</v>
      </c>
      <c r="D2543" t="s">
        <v>552</v>
      </c>
      <c r="E2543" t="s">
        <v>553</v>
      </c>
      <c r="F2543" t="s">
        <v>413</v>
      </c>
      <c r="G2543">
        <v>5880</v>
      </c>
      <c r="H2543">
        <v>5880</v>
      </c>
      <c r="I2543">
        <v>5764</v>
      </c>
      <c r="J2543">
        <v>5764</v>
      </c>
      <c r="K2543">
        <v>1702</v>
      </c>
      <c r="L2543">
        <v>5</v>
      </c>
      <c r="M2543">
        <v>3907</v>
      </c>
      <c r="N2543">
        <v>236</v>
      </c>
      <c r="O2543">
        <v>30</v>
      </c>
      <c r="P2543">
        <v>1</v>
      </c>
      <c r="Q2543">
        <v>0</v>
      </c>
    </row>
    <row r="2544" spans="1:17" x14ac:dyDescent="0.2">
      <c r="A2544" s="121">
        <v>40117</v>
      </c>
      <c r="B2544" t="s">
        <v>406</v>
      </c>
      <c r="C2544" t="s">
        <v>551</v>
      </c>
      <c r="D2544" t="s">
        <v>554</v>
      </c>
      <c r="E2544" t="s">
        <v>555</v>
      </c>
      <c r="F2544" t="s">
        <v>410</v>
      </c>
      <c r="G2544">
        <v>115</v>
      </c>
      <c r="I2544">
        <v>115</v>
      </c>
    </row>
    <row r="2545" spans="1:17" x14ac:dyDescent="0.2">
      <c r="A2545" s="121">
        <v>40117</v>
      </c>
      <c r="B2545" t="s">
        <v>406</v>
      </c>
      <c r="C2545" t="s">
        <v>551</v>
      </c>
      <c r="D2545" t="s">
        <v>556</v>
      </c>
      <c r="E2545" t="s">
        <v>557</v>
      </c>
      <c r="F2545" t="s">
        <v>410</v>
      </c>
      <c r="G2545">
        <v>163</v>
      </c>
      <c r="I2545">
        <v>163</v>
      </c>
    </row>
    <row r="2546" spans="1:17" x14ac:dyDescent="0.2">
      <c r="A2546" s="121">
        <v>40117</v>
      </c>
      <c r="B2546" t="s">
        <v>406</v>
      </c>
      <c r="C2546" t="s">
        <v>551</v>
      </c>
      <c r="D2546" t="s">
        <v>558</v>
      </c>
      <c r="E2546" t="s">
        <v>559</v>
      </c>
      <c r="F2546" t="s">
        <v>413</v>
      </c>
      <c r="G2546">
        <v>4631</v>
      </c>
      <c r="H2546">
        <v>4631</v>
      </c>
      <c r="I2546">
        <v>4407</v>
      </c>
      <c r="J2546">
        <v>4407</v>
      </c>
      <c r="K2546">
        <v>1185</v>
      </c>
      <c r="L2546">
        <v>8</v>
      </c>
      <c r="M2546">
        <v>3311</v>
      </c>
      <c r="N2546">
        <v>110</v>
      </c>
      <c r="O2546">
        <v>17</v>
      </c>
      <c r="P2546">
        <v>34</v>
      </c>
      <c r="Q2546">
        <v>25</v>
      </c>
    </row>
    <row r="2547" spans="1:17" x14ac:dyDescent="0.2">
      <c r="A2547" s="121">
        <v>40117</v>
      </c>
      <c r="B2547" t="s">
        <v>406</v>
      </c>
      <c r="C2547" t="s">
        <v>551</v>
      </c>
      <c r="D2547" t="s">
        <v>560</v>
      </c>
      <c r="E2547" t="s">
        <v>561</v>
      </c>
      <c r="F2547" t="s">
        <v>413</v>
      </c>
      <c r="G2547">
        <v>5506</v>
      </c>
      <c r="H2547">
        <v>5506</v>
      </c>
      <c r="I2547">
        <v>5395</v>
      </c>
      <c r="J2547">
        <v>5395</v>
      </c>
      <c r="K2547">
        <v>1400</v>
      </c>
      <c r="L2547">
        <v>4</v>
      </c>
      <c r="M2547">
        <v>3829</v>
      </c>
      <c r="N2547">
        <v>252</v>
      </c>
      <c r="O2547">
        <v>21</v>
      </c>
      <c r="P2547">
        <v>13</v>
      </c>
      <c r="Q2547">
        <v>1</v>
      </c>
    </row>
    <row r="2548" spans="1:17" x14ac:dyDescent="0.2">
      <c r="A2548" s="121">
        <v>40117</v>
      </c>
      <c r="B2548" t="s">
        <v>406</v>
      </c>
      <c r="C2548" t="s">
        <v>562</v>
      </c>
      <c r="D2548" t="s">
        <v>603</v>
      </c>
      <c r="E2548" t="s">
        <v>604</v>
      </c>
      <c r="F2548" t="s">
        <v>410</v>
      </c>
      <c r="G2548">
        <v>29</v>
      </c>
      <c r="I2548">
        <v>29</v>
      </c>
    </row>
    <row r="2549" spans="1:17" x14ac:dyDescent="0.2">
      <c r="A2549" s="121">
        <v>40117</v>
      </c>
      <c r="B2549" t="s">
        <v>406</v>
      </c>
      <c r="C2549" t="s">
        <v>562</v>
      </c>
      <c r="D2549" t="s">
        <v>605</v>
      </c>
      <c r="E2549" t="s">
        <v>606</v>
      </c>
      <c r="F2549" t="s">
        <v>410</v>
      </c>
      <c r="G2549">
        <v>128</v>
      </c>
      <c r="I2549">
        <v>128</v>
      </c>
    </row>
    <row r="2550" spans="1:17" x14ac:dyDescent="0.2">
      <c r="A2550" s="121">
        <v>40117</v>
      </c>
      <c r="B2550" t="s">
        <v>406</v>
      </c>
      <c r="C2550" t="s">
        <v>562</v>
      </c>
      <c r="D2550" t="s">
        <v>563</v>
      </c>
      <c r="E2550" t="s">
        <v>564</v>
      </c>
      <c r="F2550" t="s">
        <v>410</v>
      </c>
      <c r="G2550">
        <v>3100</v>
      </c>
      <c r="H2550">
        <v>3100</v>
      </c>
      <c r="I2550">
        <v>3011</v>
      </c>
      <c r="J2550">
        <v>3011</v>
      </c>
      <c r="K2550">
        <v>1090</v>
      </c>
      <c r="L2550">
        <v>3</v>
      </c>
      <c r="M2550">
        <v>1952</v>
      </c>
      <c r="N2550">
        <v>55</v>
      </c>
      <c r="O2550">
        <v>0</v>
      </c>
      <c r="P2550">
        <v>2</v>
      </c>
      <c r="Q2550">
        <v>0</v>
      </c>
    </row>
    <row r="2551" spans="1:17" x14ac:dyDescent="0.2">
      <c r="A2551" s="121">
        <v>40117</v>
      </c>
      <c r="B2551" t="s">
        <v>406</v>
      </c>
      <c r="C2551" t="s">
        <v>562</v>
      </c>
      <c r="D2551" t="s">
        <v>565</v>
      </c>
      <c r="E2551" t="s">
        <v>566</v>
      </c>
      <c r="F2551" t="s">
        <v>413</v>
      </c>
      <c r="G2551">
        <v>4144</v>
      </c>
      <c r="H2551">
        <v>4144</v>
      </c>
      <c r="I2551">
        <v>3948</v>
      </c>
      <c r="J2551">
        <v>3948</v>
      </c>
      <c r="K2551">
        <v>976</v>
      </c>
      <c r="L2551">
        <v>9</v>
      </c>
      <c r="M2551">
        <v>2983</v>
      </c>
      <c r="N2551">
        <v>176</v>
      </c>
      <c r="O2551">
        <v>0</v>
      </c>
      <c r="P2551">
        <v>14</v>
      </c>
      <c r="Q2551">
        <v>1</v>
      </c>
    </row>
    <row r="2552" spans="1:17" x14ac:dyDescent="0.2">
      <c r="A2552" s="121">
        <v>40117</v>
      </c>
      <c r="B2552" t="s">
        <v>406</v>
      </c>
      <c r="C2552" t="s">
        <v>562</v>
      </c>
      <c r="D2552" t="s">
        <v>567</v>
      </c>
      <c r="E2552" t="s">
        <v>568</v>
      </c>
      <c r="F2552" t="s">
        <v>413</v>
      </c>
      <c r="G2552">
        <v>9391</v>
      </c>
      <c r="H2552">
        <v>9391</v>
      </c>
      <c r="I2552">
        <v>8888</v>
      </c>
      <c r="J2552">
        <v>8888</v>
      </c>
      <c r="K2552">
        <v>2631</v>
      </c>
      <c r="L2552">
        <v>23</v>
      </c>
      <c r="M2552">
        <v>6392</v>
      </c>
      <c r="N2552">
        <v>345</v>
      </c>
      <c r="O2552">
        <v>0</v>
      </c>
      <c r="P2552">
        <v>39</v>
      </c>
      <c r="Q2552">
        <v>3</v>
      </c>
    </row>
    <row r="2553" spans="1:17" x14ac:dyDescent="0.2">
      <c r="A2553" s="121">
        <v>40117</v>
      </c>
      <c r="B2553" t="s">
        <v>406</v>
      </c>
      <c r="C2553" t="s">
        <v>562</v>
      </c>
      <c r="D2553" t="s">
        <v>569</v>
      </c>
      <c r="E2553" t="s">
        <v>570</v>
      </c>
      <c r="F2553" t="s">
        <v>413</v>
      </c>
      <c r="G2553">
        <v>3261</v>
      </c>
      <c r="H2553">
        <v>3261</v>
      </c>
      <c r="I2553">
        <v>3215</v>
      </c>
      <c r="J2553">
        <v>3215</v>
      </c>
      <c r="K2553">
        <v>483</v>
      </c>
      <c r="L2553">
        <v>0</v>
      </c>
      <c r="M2553">
        <v>2778</v>
      </c>
      <c r="N2553">
        <v>0</v>
      </c>
      <c r="O2553">
        <v>0</v>
      </c>
      <c r="P2553">
        <v>0</v>
      </c>
      <c r="Q2553">
        <v>0</v>
      </c>
    </row>
    <row r="2554" spans="1:17" x14ac:dyDescent="0.2">
      <c r="A2554" s="121">
        <v>40117</v>
      </c>
      <c r="B2554" t="s">
        <v>406</v>
      </c>
      <c r="C2554" t="s">
        <v>571</v>
      </c>
      <c r="D2554" t="s">
        <v>572</v>
      </c>
      <c r="E2554" t="s">
        <v>573</v>
      </c>
      <c r="F2554" t="s">
        <v>410</v>
      </c>
      <c r="G2554">
        <v>196</v>
      </c>
      <c r="I2554">
        <v>196</v>
      </c>
    </row>
    <row r="2555" spans="1:17" x14ac:dyDescent="0.2">
      <c r="A2555" s="121">
        <v>40117</v>
      </c>
      <c r="B2555" t="s">
        <v>406</v>
      </c>
      <c r="C2555" t="s">
        <v>574</v>
      </c>
      <c r="D2555" t="s">
        <v>575</v>
      </c>
      <c r="E2555" t="s">
        <v>576</v>
      </c>
      <c r="F2555" t="s">
        <v>413</v>
      </c>
      <c r="G2555">
        <v>660</v>
      </c>
      <c r="H2555">
        <v>660</v>
      </c>
      <c r="I2555">
        <v>652</v>
      </c>
      <c r="J2555">
        <v>652</v>
      </c>
      <c r="K2555">
        <v>113</v>
      </c>
      <c r="L2555">
        <v>0</v>
      </c>
      <c r="M2555">
        <v>511</v>
      </c>
      <c r="N2555">
        <v>3</v>
      </c>
      <c r="O2555">
        <v>33</v>
      </c>
      <c r="P2555">
        <v>1</v>
      </c>
      <c r="Q2555">
        <v>0</v>
      </c>
    </row>
    <row r="2556" spans="1:17" x14ac:dyDescent="0.2">
      <c r="A2556" s="121">
        <v>40117</v>
      </c>
      <c r="B2556" t="s">
        <v>406</v>
      </c>
      <c r="C2556" t="s">
        <v>577</v>
      </c>
      <c r="D2556" t="s">
        <v>578</v>
      </c>
      <c r="E2556" t="s">
        <v>579</v>
      </c>
      <c r="F2556" t="s">
        <v>413</v>
      </c>
      <c r="G2556">
        <v>3946</v>
      </c>
      <c r="H2556">
        <v>3946</v>
      </c>
      <c r="I2556">
        <v>3913</v>
      </c>
      <c r="J2556">
        <v>3913</v>
      </c>
      <c r="K2556">
        <v>926</v>
      </c>
      <c r="L2556">
        <v>12</v>
      </c>
      <c r="M2556">
        <v>2971</v>
      </c>
      <c r="N2556">
        <v>37</v>
      </c>
      <c r="O2556">
        <v>0</v>
      </c>
      <c r="P2556">
        <v>1</v>
      </c>
      <c r="Q2556">
        <v>0</v>
      </c>
    </row>
    <row r="2557" spans="1:17" x14ac:dyDescent="0.2">
      <c r="A2557" s="121">
        <v>40117</v>
      </c>
      <c r="B2557" t="s">
        <v>406</v>
      </c>
      <c r="C2557" t="s">
        <v>577</v>
      </c>
      <c r="D2557" t="s">
        <v>580</v>
      </c>
      <c r="E2557" t="s">
        <v>581</v>
      </c>
      <c r="F2557" t="s">
        <v>413</v>
      </c>
      <c r="G2557">
        <v>2055</v>
      </c>
      <c r="H2557">
        <v>2055</v>
      </c>
      <c r="I2557">
        <v>2038</v>
      </c>
      <c r="J2557">
        <v>2038</v>
      </c>
      <c r="K2557">
        <v>383</v>
      </c>
      <c r="L2557">
        <v>4</v>
      </c>
      <c r="M2557">
        <v>1423</v>
      </c>
      <c r="N2557">
        <v>50</v>
      </c>
      <c r="O2557">
        <v>195</v>
      </c>
      <c r="P2557">
        <v>0</v>
      </c>
      <c r="Q2557">
        <v>0</v>
      </c>
    </row>
    <row r="2558" spans="1:17" x14ac:dyDescent="0.2">
      <c r="A2558" s="121">
        <v>40117</v>
      </c>
      <c r="B2558" t="s">
        <v>406</v>
      </c>
      <c r="C2558" t="s">
        <v>577</v>
      </c>
      <c r="D2558" t="s">
        <v>609</v>
      </c>
      <c r="E2558" t="s">
        <v>610</v>
      </c>
      <c r="F2558" t="s">
        <v>410</v>
      </c>
      <c r="G2558">
        <v>26</v>
      </c>
      <c r="H2558">
        <v>26</v>
      </c>
      <c r="I2558">
        <v>26</v>
      </c>
      <c r="J2558">
        <v>26</v>
      </c>
      <c r="K2558">
        <v>1</v>
      </c>
      <c r="L2558">
        <v>0</v>
      </c>
      <c r="M2558">
        <v>19</v>
      </c>
      <c r="N2558">
        <v>0</v>
      </c>
      <c r="O2558">
        <v>6</v>
      </c>
      <c r="P2558">
        <v>0</v>
      </c>
      <c r="Q2558">
        <v>0</v>
      </c>
    </row>
    <row r="2559" spans="1:17" x14ac:dyDescent="0.2">
      <c r="A2559" s="121">
        <v>40117</v>
      </c>
      <c r="B2559" t="s">
        <v>406</v>
      </c>
      <c r="C2559" t="s">
        <v>577</v>
      </c>
      <c r="D2559" t="s">
        <v>611</v>
      </c>
      <c r="E2559" t="s">
        <v>612</v>
      </c>
      <c r="F2559" t="s">
        <v>410</v>
      </c>
      <c r="G2559">
        <v>9</v>
      </c>
      <c r="H2559">
        <v>9</v>
      </c>
      <c r="I2559">
        <v>9</v>
      </c>
      <c r="J2559">
        <v>9</v>
      </c>
      <c r="K2559">
        <v>0</v>
      </c>
      <c r="L2559">
        <v>0</v>
      </c>
      <c r="M2559">
        <v>4</v>
      </c>
      <c r="N2559">
        <v>0</v>
      </c>
      <c r="O2559">
        <v>5</v>
      </c>
      <c r="P2559">
        <v>0</v>
      </c>
      <c r="Q2559">
        <v>0</v>
      </c>
    </row>
    <row r="2560" spans="1:17" x14ac:dyDescent="0.2">
      <c r="A2560" s="121">
        <v>40117</v>
      </c>
      <c r="B2560" t="s">
        <v>406</v>
      </c>
      <c r="C2560" t="s">
        <v>577</v>
      </c>
      <c r="D2560" t="s">
        <v>584</v>
      </c>
      <c r="E2560" t="s">
        <v>585</v>
      </c>
      <c r="F2560" t="s">
        <v>410</v>
      </c>
      <c r="G2560">
        <v>223</v>
      </c>
      <c r="H2560">
        <v>223</v>
      </c>
      <c r="I2560">
        <v>223</v>
      </c>
      <c r="J2560">
        <v>223</v>
      </c>
      <c r="K2560">
        <v>11</v>
      </c>
      <c r="L2560">
        <v>0</v>
      </c>
      <c r="M2560">
        <v>186</v>
      </c>
      <c r="N2560">
        <v>0</v>
      </c>
      <c r="O2560">
        <v>26</v>
      </c>
      <c r="P2560">
        <v>0</v>
      </c>
      <c r="Q2560">
        <v>0</v>
      </c>
    </row>
    <row r="2561" spans="1:17" x14ac:dyDescent="0.2">
      <c r="A2561" s="121">
        <v>40117</v>
      </c>
      <c r="B2561" t="s">
        <v>406</v>
      </c>
      <c r="C2561" t="s">
        <v>577</v>
      </c>
      <c r="D2561" t="s">
        <v>586</v>
      </c>
      <c r="E2561" t="s">
        <v>587</v>
      </c>
      <c r="F2561" t="s">
        <v>410</v>
      </c>
      <c r="G2561">
        <v>1174</v>
      </c>
      <c r="H2561">
        <v>1174</v>
      </c>
      <c r="I2561">
        <v>1174</v>
      </c>
      <c r="J2561">
        <v>1174</v>
      </c>
      <c r="K2561">
        <v>30</v>
      </c>
      <c r="L2561">
        <v>0</v>
      </c>
      <c r="M2561">
        <v>849</v>
      </c>
      <c r="N2561">
        <v>0</v>
      </c>
      <c r="O2561">
        <v>295</v>
      </c>
      <c r="P2561">
        <v>0</v>
      </c>
      <c r="Q2561">
        <v>0</v>
      </c>
    </row>
    <row r="2562" spans="1:17" x14ac:dyDescent="0.2">
      <c r="A2562" s="121">
        <v>40117</v>
      </c>
      <c r="B2562" t="s">
        <v>406</v>
      </c>
      <c r="C2562" t="s">
        <v>577</v>
      </c>
      <c r="D2562" t="s">
        <v>588</v>
      </c>
      <c r="E2562" t="s">
        <v>589</v>
      </c>
      <c r="F2562" t="s">
        <v>410</v>
      </c>
      <c r="G2562">
        <v>241</v>
      </c>
      <c r="H2562">
        <v>241</v>
      </c>
      <c r="I2562">
        <v>241</v>
      </c>
      <c r="J2562">
        <v>241</v>
      </c>
      <c r="K2562">
        <v>8</v>
      </c>
      <c r="L2562">
        <v>0</v>
      </c>
      <c r="M2562">
        <v>190</v>
      </c>
      <c r="N2562">
        <v>0</v>
      </c>
      <c r="O2562">
        <v>43</v>
      </c>
      <c r="P2562">
        <v>0</v>
      </c>
      <c r="Q2562">
        <v>0</v>
      </c>
    </row>
    <row r="2563" spans="1:17" x14ac:dyDescent="0.2">
      <c r="A2563" s="121">
        <v>40117</v>
      </c>
      <c r="B2563" t="s">
        <v>406</v>
      </c>
      <c r="C2563" t="s">
        <v>577</v>
      </c>
      <c r="D2563" t="s">
        <v>613</v>
      </c>
      <c r="E2563" t="s">
        <v>614</v>
      </c>
      <c r="F2563" t="s">
        <v>410</v>
      </c>
      <c r="G2563">
        <v>207</v>
      </c>
      <c r="H2563">
        <v>207</v>
      </c>
      <c r="I2563">
        <v>207</v>
      </c>
      <c r="J2563">
        <v>207</v>
      </c>
      <c r="K2563">
        <v>9</v>
      </c>
      <c r="L2563">
        <v>0</v>
      </c>
      <c r="M2563">
        <v>146</v>
      </c>
      <c r="N2563">
        <v>0</v>
      </c>
      <c r="O2563">
        <v>52</v>
      </c>
      <c r="P2563">
        <v>0</v>
      </c>
      <c r="Q2563">
        <v>0</v>
      </c>
    </row>
    <row r="2564" spans="1:17" x14ac:dyDescent="0.2">
      <c r="A2564" s="121">
        <v>40117</v>
      </c>
      <c r="B2564" t="s">
        <v>406</v>
      </c>
      <c r="C2564" t="s">
        <v>577</v>
      </c>
      <c r="D2564" t="s">
        <v>590</v>
      </c>
      <c r="E2564" t="s">
        <v>591</v>
      </c>
      <c r="F2564" t="s">
        <v>410</v>
      </c>
      <c r="G2564">
        <v>584</v>
      </c>
      <c r="H2564">
        <v>584</v>
      </c>
      <c r="I2564">
        <v>584</v>
      </c>
      <c r="J2564">
        <v>584</v>
      </c>
      <c r="K2564">
        <v>18</v>
      </c>
      <c r="L2564">
        <v>0</v>
      </c>
      <c r="M2564">
        <v>499</v>
      </c>
      <c r="N2564">
        <v>0</v>
      </c>
      <c r="O2564">
        <v>67</v>
      </c>
      <c r="P2564">
        <v>0</v>
      </c>
      <c r="Q2564">
        <v>0</v>
      </c>
    </row>
    <row r="2565" spans="1:17" x14ac:dyDescent="0.2">
      <c r="A2565" s="121">
        <v>40117</v>
      </c>
      <c r="B2565" t="s">
        <v>406</v>
      </c>
      <c r="C2565" t="s">
        <v>577</v>
      </c>
      <c r="D2565" t="s">
        <v>607</v>
      </c>
      <c r="E2565" t="s">
        <v>608</v>
      </c>
      <c r="F2565" t="s">
        <v>410</v>
      </c>
      <c r="G2565">
        <v>102</v>
      </c>
      <c r="H2565">
        <v>102</v>
      </c>
      <c r="I2565">
        <v>102</v>
      </c>
      <c r="J2565">
        <v>102</v>
      </c>
      <c r="K2565">
        <v>8</v>
      </c>
      <c r="L2565">
        <v>0</v>
      </c>
      <c r="M2565">
        <v>78</v>
      </c>
      <c r="N2565">
        <v>0</v>
      </c>
      <c r="O2565">
        <v>16</v>
      </c>
      <c r="P2565">
        <v>0</v>
      </c>
      <c r="Q2565">
        <v>0</v>
      </c>
    </row>
    <row r="2566" spans="1:17" x14ac:dyDescent="0.2">
      <c r="A2566" s="121">
        <v>40117</v>
      </c>
      <c r="B2566" t="s">
        <v>406</v>
      </c>
      <c r="C2566" t="s">
        <v>577</v>
      </c>
      <c r="D2566" t="s">
        <v>592</v>
      </c>
      <c r="E2566" t="s">
        <v>593</v>
      </c>
      <c r="F2566" t="s">
        <v>410</v>
      </c>
      <c r="G2566">
        <v>690</v>
      </c>
      <c r="H2566">
        <v>690</v>
      </c>
      <c r="I2566">
        <v>690</v>
      </c>
      <c r="J2566">
        <v>690</v>
      </c>
      <c r="K2566">
        <v>16</v>
      </c>
      <c r="L2566">
        <v>0</v>
      </c>
      <c r="M2566">
        <v>578</v>
      </c>
      <c r="N2566">
        <v>0</v>
      </c>
      <c r="O2566">
        <v>96</v>
      </c>
      <c r="P2566">
        <v>0</v>
      </c>
      <c r="Q2566">
        <v>0</v>
      </c>
    </row>
    <row r="2567" spans="1:17" x14ac:dyDescent="0.2">
      <c r="A2567" s="121">
        <v>40117</v>
      </c>
      <c r="B2567" t="s">
        <v>406</v>
      </c>
      <c r="C2567" t="s">
        <v>594</v>
      </c>
      <c r="D2567" t="s">
        <v>595</v>
      </c>
      <c r="E2567" t="s">
        <v>596</v>
      </c>
      <c r="F2567" t="s">
        <v>410</v>
      </c>
      <c r="G2567">
        <v>16</v>
      </c>
      <c r="I2567">
        <v>16</v>
      </c>
    </row>
    <row r="2568" spans="1:17" x14ac:dyDescent="0.2">
      <c r="A2568" s="121">
        <v>40117</v>
      </c>
      <c r="B2568" t="s">
        <v>406</v>
      </c>
      <c r="C2568" t="s">
        <v>594</v>
      </c>
      <c r="D2568" t="s">
        <v>597</v>
      </c>
      <c r="E2568" t="s">
        <v>598</v>
      </c>
      <c r="F2568" t="s">
        <v>413</v>
      </c>
      <c r="G2568">
        <v>534</v>
      </c>
      <c r="H2568">
        <v>534</v>
      </c>
      <c r="I2568">
        <v>526</v>
      </c>
      <c r="J2568">
        <v>526</v>
      </c>
      <c r="K2568">
        <v>150</v>
      </c>
      <c r="L2568">
        <v>0</v>
      </c>
      <c r="M2568">
        <v>374</v>
      </c>
      <c r="N2568">
        <v>2</v>
      </c>
      <c r="O2568">
        <v>8</v>
      </c>
      <c r="P2568">
        <v>0</v>
      </c>
      <c r="Q2568">
        <v>0</v>
      </c>
    </row>
    <row r="2569" spans="1:17" x14ac:dyDescent="0.2">
      <c r="A2569" s="121">
        <v>40117</v>
      </c>
      <c r="B2569" t="s">
        <v>406</v>
      </c>
      <c r="C2569" t="s">
        <v>594</v>
      </c>
      <c r="D2569" t="s">
        <v>599</v>
      </c>
      <c r="E2569" t="s">
        <v>600</v>
      </c>
      <c r="F2569" t="s">
        <v>410</v>
      </c>
      <c r="G2569">
        <v>95</v>
      </c>
      <c r="I2569">
        <v>95</v>
      </c>
    </row>
    <row r="2570" spans="1:17" x14ac:dyDescent="0.2">
      <c r="A2570" s="121">
        <v>40147</v>
      </c>
      <c r="B2570" t="s">
        <v>406</v>
      </c>
      <c r="C2570" t="s">
        <v>407</v>
      </c>
      <c r="D2570" t="s">
        <v>408</v>
      </c>
      <c r="E2570" t="s">
        <v>409</v>
      </c>
      <c r="F2570" t="s">
        <v>410</v>
      </c>
      <c r="G2570">
        <v>153</v>
      </c>
      <c r="I2570">
        <v>153</v>
      </c>
    </row>
    <row r="2571" spans="1:17" x14ac:dyDescent="0.2">
      <c r="A2571" s="121">
        <v>40147</v>
      </c>
      <c r="B2571" t="s">
        <v>406</v>
      </c>
      <c r="C2571" t="s">
        <v>407</v>
      </c>
      <c r="D2571" t="s">
        <v>601</v>
      </c>
      <c r="E2571" t="s">
        <v>602</v>
      </c>
      <c r="F2571" t="s">
        <v>410</v>
      </c>
      <c r="G2571">
        <v>35</v>
      </c>
      <c r="I2571">
        <v>35</v>
      </c>
    </row>
    <row r="2572" spans="1:17" x14ac:dyDescent="0.2">
      <c r="A2572" s="121">
        <v>40147</v>
      </c>
      <c r="B2572" t="s">
        <v>406</v>
      </c>
      <c r="C2572" t="s">
        <v>407</v>
      </c>
      <c r="D2572" t="s">
        <v>411</v>
      </c>
      <c r="E2572" t="s">
        <v>412</v>
      </c>
      <c r="F2572" t="s">
        <v>413</v>
      </c>
      <c r="G2572">
        <v>5255</v>
      </c>
      <c r="H2572">
        <v>5255</v>
      </c>
      <c r="I2572">
        <v>5188</v>
      </c>
      <c r="J2572">
        <v>5188</v>
      </c>
      <c r="K2572">
        <v>2168</v>
      </c>
      <c r="L2572">
        <v>5</v>
      </c>
      <c r="M2572">
        <v>2913</v>
      </c>
      <c r="N2572">
        <v>32</v>
      </c>
      <c r="O2572">
        <v>137</v>
      </c>
      <c r="P2572">
        <v>0</v>
      </c>
      <c r="Q2572">
        <v>0</v>
      </c>
    </row>
    <row r="2573" spans="1:17" x14ac:dyDescent="0.2">
      <c r="A2573" s="121">
        <v>40147</v>
      </c>
      <c r="B2573" t="s">
        <v>406</v>
      </c>
      <c r="C2573" t="s">
        <v>407</v>
      </c>
      <c r="D2573" t="s">
        <v>414</v>
      </c>
      <c r="E2573" t="s">
        <v>415</v>
      </c>
      <c r="F2573" t="s">
        <v>410</v>
      </c>
      <c r="G2573">
        <v>85</v>
      </c>
      <c r="I2573">
        <v>85</v>
      </c>
    </row>
    <row r="2574" spans="1:17" x14ac:dyDescent="0.2">
      <c r="A2574" s="121">
        <v>40147</v>
      </c>
      <c r="B2574" t="s">
        <v>406</v>
      </c>
      <c r="C2574" t="s">
        <v>407</v>
      </c>
      <c r="D2574" t="s">
        <v>416</v>
      </c>
      <c r="E2574" t="s">
        <v>417</v>
      </c>
      <c r="F2574" t="s">
        <v>413</v>
      </c>
      <c r="G2574">
        <v>3355</v>
      </c>
      <c r="H2574">
        <v>3355</v>
      </c>
      <c r="I2574">
        <v>3264</v>
      </c>
      <c r="J2574">
        <v>3264</v>
      </c>
      <c r="K2574">
        <v>1156</v>
      </c>
      <c r="L2574">
        <v>9</v>
      </c>
      <c r="M2574">
        <v>2075</v>
      </c>
      <c r="N2574">
        <v>80</v>
      </c>
      <c r="O2574">
        <v>35</v>
      </c>
      <c r="P2574">
        <v>2</v>
      </c>
      <c r="Q2574">
        <v>0</v>
      </c>
    </row>
    <row r="2575" spans="1:17" x14ac:dyDescent="0.2">
      <c r="A2575" s="121">
        <v>40147</v>
      </c>
      <c r="B2575" t="s">
        <v>406</v>
      </c>
      <c r="C2575" t="s">
        <v>418</v>
      </c>
      <c r="D2575" t="s">
        <v>419</v>
      </c>
      <c r="E2575" t="s">
        <v>420</v>
      </c>
      <c r="F2575" t="s">
        <v>410</v>
      </c>
      <c r="G2575">
        <v>19</v>
      </c>
      <c r="I2575">
        <v>19</v>
      </c>
    </row>
    <row r="2576" spans="1:17" x14ac:dyDescent="0.2">
      <c r="A2576" s="121">
        <v>40147</v>
      </c>
      <c r="B2576" t="s">
        <v>406</v>
      </c>
      <c r="C2576" t="s">
        <v>418</v>
      </c>
      <c r="D2576" t="s">
        <v>421</v>
      </c>
      <c r="E2576" t="s">
        <v>422</v>
      </c>
      <c r="F2576" t="s">
        <v>410</v>
      </c>
      <c r="G2576">
        <v>130</v>
      </c>
      <c r="I2576">
        <v>130</v>
      </c>
    </row>
    <row r="2577" spans="1:17" x14ac:dyDescent="0.2">
      <c r="A2577" s="121">
        <v>40147</v>
      </c>
      <c r="B2577" t="s">
        <v>406</v>
      </c>
      <c r="C2577" t="s">
        <v>418</v>
      </c>
      <c r="D2577" t="s">
        <v>423</v>
      </c>
      <c r="E2577" t="s">
        <v>424</v>
      </c>
      <c r="F2577" t="s">
        <v>410</v>
      </c>
      <c r="G2577">
        <v>35</v>
      </c>
      <c r="I2577">
        <v>35</v>
      </c>
    </row>
    <row r="2578" spans="1:17" x14ac:dyDescent="0.2">
      <c r="A2578" s="121">
        <v>40147</v>
      </c>
      <c r="B2578" t="s">
        <v>406</v>
      </c>
      <c r="C2578" t="s">
        <v>418</v>
      </c>
      <c r="D2578" t="s">
        <v>425</v>
      </c>
      <c r="E2578" t="s">
        <v>426</v>
      </c>
      <c r="F2578" t="s">
        <v>410</v>
      </c>
      <c r="G2578">
        <v>70</v>
      </c>
      <c r="I2578">
        <v>70</v>
      </c>
    </row>
    <row r="2579" spans="1:17" x14ac:dyDescent="0.2">
      <c r="A2579" s="121">
        <v>40147</v>
      </c>
      <c r="B2579" t="s">
        <v>406</v>
      </c>
      <c r="C2579" t="s">
        <v>418</v>
      </c>
      <c r="D2579" t="s">
        <v>427</v>
      </c>
      <c r="E2579" t="s">
        <v>428</v>
      </c>
      <c r="F2579" t="s">
        <v>413</v>
      </c>
      <c r="G2579">
        <v>1740</v>
      </c>
      <c r="H2579">
        <v>1740</v>
      </c>
      <c r="I2579">
        <v>1705</v>
      </c>
      <c r="J2579">
        <v>1705</v>
      </c>
      <c r="K2579">
        <v>603</v>
      </c>
      <c r="L2579">
        <v>4</v>
      </c>
      <c r="M2579">
        <v>918</v>
      </c>
      <c r="N2579">
        <v>16</v>
      </c>
      <c r="O2579">
        <v>199</v>
      </c>
      <c r="P2579">
        <v>0</v>
      </c>
      <c r="Q2579">
        <v>0</v>
      </c>
    </row>
    <row r="2580" spans="1:17" x14ac:dyDescent="0.2">
      <c r="A2580" s="121">
        <v>40147</v>
      </c>
      <c r="B2580" t="s">
        <v>406</v>
      </c>
      <c r="C2580" t="s">
        <v>429</v>
      </c>
      <c r="D2580" t="s">
        <v>430</v>
      </c>
      <c r="E2580" t="s">
        <v>431</v>
      </c>
      <c r="F2580" t="s">
        <v>410</v>
      </c>
      <c r="G2580">
        <v>31</v>
      </c>
      <c r="I2580">
        <v>31</v>
      </c>
    </row>
    <row r="2581" spans="1:17" x14ac:dyDescent="0.2">
      <c r="A2581" s="121">
        <v>40147</v>
      </c>
      <c r="B2581" t="s">
        <v>406</v>
      </c>
      <c r="C2581" t="s">
        <v>429</v>
      </c>
      <c r="D2581" t="s">
        <v>432</v>
      </c>
      <c r="E2581" t="s">
        <v>433</v>
      </c>
      <c r="F2581" t="s">
        <v>410</v>
      </c>
      <c r="G2581">
        <v>67</v>
      </c>
      <c r="I2581">
        <v>67</v>
      </c>
    </row>
    <row r="2582" spans="1:17" x14ac:dyDescent="0.2">
      <c r="A2582" s="121">
        <v>40147</v>
      </c>
      <c r="B2582" t="s">
        <v>406</v>
      </c>
      <c r="C2582" t="s">
        <v>429</v>
      </c>
      <c r="D2582" t="s">
        <v>436</v>
      </c>
      <c r="E2582" t="s">
        <v>437</v>
      </c>
      <c r="F2582" t="s">
        <v>410</v>
      </c>
      <c r="G2582">
        <v>49</v>
      </c>
      <c r="I2582">
        <v>49</v>
      </c>
    </row>
    <row r="2583" spans="1:17" x14ac:dyDescent="0.2">
      <c r="A2583" s="121">
        <v>40147</v>
      </c>
      <c r="B2583" t="s">
        <v>406</v>
      </c>
      <c r="C2583" t="s">
        <v>429</v>
      </c>
      <c r="D2583" t="s">
        <v>438</v>
      </c>
      <c r="E2583" t="s">
        <v>439</v>
      </c>
      <c r="F2583" t="s">
        <v>413</v>
      </c>
      <c r="G2583">
        <v>1002</v>
      </c>
      <c r="H2583">
        <v>1002</v>
      </c>
      <c r="I2583">
        <v>988</v>
      </c>
      <c r="J2583">
        <v>988</v>
      </c>
      <c r="K2583">
        <v>100</v>
      </c>
      <c r="L2583">
        <v>0</v>
      </c>
      <c r="M2583">
        <v>888</v>
      </c>
      <c r="N2583">
        <v>14</v>
      </c>
      <c r="O2583">
        <v>0</v>
      </c>
      <c r="P2583">
        <v>4</v>
      </c>
      <c r="Q2583">
        <v>2</v>
      </c>
    </row>
    <row r="2584" spans="1:17" x14ac:dyDescent="0.2">
      <c r="A2584" s="121">
        <v>40147</v>
      </c>
      <c r="B2584" t="s">
        <v>406</v>
      </c>
      <c r="C2584" t="s">
        <v>429</v>
      </c>
      <c r="D2584" t="s">
        <v>440</v>
      </c>
      <c r="E2584" t="s">
        <v>441</v>
      </c>
      <c r="F2584" t="s">
        <v>413</v>
      </c>
      <c r="G2584">
        <v>2749</v>
      </c>
      <c r="H2584">
        <v>2749</v>
      </c>
      <c r="I2584">
        <v>2648</v>
      </c>
      <c r="J2584">
        <v>2648</v>
      </c>
      <c r="K2584">
        <v>998</v>
      </c>
      <c r="L2584">
        <v>1</v>
      </c>
      <c r="M2584">
        <v>1696</v>
      </c>
      <c r="N2584">
        <v>15</v>
      </c>
      <c r="O2584">
        <v>39</v>
      </c>
      <c r="P2584">
        <v>3</v>
      </c>
      <c r="Q2584">
        <v>0</v>
      </c>
    </row>
    <row r="2585" spans="1:17" x14ac:dyDescent="0.2">
      <c r="A2585" s="121">
        <v>40147</v>
      </c>
      <c r="B2585" t="s">
        <v>406</v>
      </c>
      <c r="C2585" t="s">
        <v>442</v>
      </c>
      <c r="D2585" t="s">
        <v>443</v>
      </c>
      <c r="E2585" t="s">
        <v>444</v>
      </c>
      <c r="F2585" t="s">
        <v>413</v>
      </c>
      <c r="G2585">
        <v>3267</v>
      </c>
      <c r="H2585">
        <v>3267</v>
      </c>
      <c r="I2585">
        <v>3168</v>
      </c>
      <c r="J2585">
        <v>3168</v>
      </c>
      <c r="K2585">
        <v>506</v>
      </c>
      <c r="L2585">
        <v>3</v>
      </c>
      <c r="M2585">
        <v>2621</v>
      </c>
      <c r="N2585">
        <v>42</v>
      </c>
      <c r="O2585">
        <v>95</v>
      </c>
      <c r="P2585">
        <v>7</v>
      </c>
      <c r="Q2585">
        <v>1</v>
      </c>
    </row>
    <row r="2586" spans="1:17" x14ac:dyDescent="0.2">
      <c r="A2586" s="121">
        <v>40147</v>
      </c>
      <c r="B2586" t="s">
        <v>406</v>
      </c>
      <c r="C2586" t="s">
        <v>442</v>
      </c>
      <c r="D2586" t="s">
        <v>445</v>
      </c>
      <c r="E2586" t="s">
        <v>446</v>
      </c>
      <c r="F2586" t="s">
        <v>410</v>
      </c>
      <c r="G2586">
        <v>121</v>
      </c>
      <c r="I2586">
        <v>121</v>
      </c>
    </row>
    <row r="2587" spans="1:17" x14ac:dyDescent="0.2">
      <c r="A2587" s="121">
        <v>40147</v>
      </c>
      <c r="B2587" t="s">
        <v>406</v>
      </c>
      <c r="C2587" t="s">
        <v>442</v>
      </c>
      <c r="D2587" t="s">
        <v>447</v>
      </c>
      <c r="E2587" t="s">
        <v>448</v>
      </c>
      <c r="F2587" t="s">
        <v>410</v>
      </c>
      <c r="G2587">
        <v>296</v>
      </c>
      <c r="I2587">
        <v>296</v>
      </c>
    </row>
    <row r="2588" spans="1:17" x14ac:dyDescent="0.2">
      <c r="A2588" s="121">
        <v>40147</v>
      </c>
      <c r="B2588" t="s">
        <v>406</v>
      </c>
      <c r="C2588" t="s">
        <v>442</v>
      </c>
      <c r="D2588" t="s">
        <v>449</v>
      </c>
      <c r="E2588" t="s">
        <v>450</v>
      </c>
      <c r="F2588" t="s">
        <v>413</v>
      </c>
      <c r="G2588">
        <v>3114</v>
      </c>
      <c r="H2588">
        <v>3114</v>
      </c>
      <c r="I2588">
        <v>3027</v>
      </c>
      <c r="J2588">
        <v>3027</v>
      </c>
      <c r="K2588">
        <v>732</v>
      </c>
      <c r="L2588">
        <v>8</v>
      </c>
      <c r="M2588">
        <v>2325</v>
      </c>
      <c r="N2588">
        <v>16</v>
      </c>
      <c r="O2588">
        <v>33</v>
      </c>
      <c r="P2588">
        <v>2</v>
      </c>
      <c r="Q2588">
        <v>0</v>
      </c>
    </row>
    <row r="2589" spans="1:17" x14ac:dyDescent="0.2">
      <c r="A2589" s="121">
        <v>40147</v>
      </c>
      <c r="B2589" t="s">
        <v>406</v>
      </c>
      <c r="C2589" t="s">
        <v>451</v>
      </c>
      <c r="D2589" t="s">
        <v>452</v>
      </c>
      <c r="E2589" t="s">
        <v>453</v>
      </c>
      <c r="F2589" t="s">
        <v>410</v>
      </c>
      <c r="G2589">
        <v>1473</v>
      </c>
      <c r="H2589">
        <v>1473</v>
      </c>
      <c r="I2589">
        <v>1473</v>
      </c>
      <c r="J2589">
        <v>1473</v>
      </c>
      <c r="K2589">
        <v>0</v>
      </c>
      <c r="L2589">
        <v>0</v>
      </c>
      <c r="M2589">
        <v>1085</v>
      </c>
      <c r="N2589">
        <v>127</v>
      </c>
      <c r="O2589">
        <v>261</v>
      </c>
      <c r="P2589">
        <v>0</v>
      </c>
      <c r="Q2589">
        <v>0</v>
      </c>
    </row>
    <row r="2590" spans="1:17" x14ac:dyDescent="0.2">
      <c r="A2590" s="121">
        <v>40147</v>
      </c>
      <c r="B2590" t="s">
        <v>406</v>
      </c>
      <c r="C2590" t="s">
        <v>451</v>
      </c>
      <c r="D2590" t="s">
        <v>454</v>
      </c>
      <c r="E2590" t="s">
        <v>455</v>
      </c>
      <c r="F2590" t="s">
        <v>413</v>
      </c>
      <c r="G2590">
        <v>4368</v>
      </c>
      <c r="H2590">
        <v>4368</v>
      </c>
      <c r="I2590">
        <v>4180</v>
      </c>
      <c r="J2590">
        <v>4180</v>
      </c>
      <c r="K2590">
        <v>1289</v>
      </c>
      <c r="L2590">
        <v>11</v>
      </c>
      <c r="M2590">
        <v>2383</v>
      </c>
      <c r="N2590">
        <v>35</v>
      </c>
      <c r="O2590">
        <v>650</v>
      </c>
      <c r="P2590">
        <v>8</v>
      </c>
      <c r="Q2590">
        <v>0</v>
      </c>
    </row>
    <row r="2591" spans="1:17" x14ac:dyDescent="0.2">
      <c r="A2591" s="121">
        <v>40147</v>
      </c>
      <c r="B2591" t="s">
        <v>406</v>
      </c>
      <c r="C2591" t="s">
        <v>456</v>
      </c>
      <c r="D2591" t="s">
        <v>457</v>
      </c>
      <c r="E2591" t="s">
        <v>458</v>
      </c>
      <c r="F2591" t="s">
        <v>413</v>
      </c>
      <c r="G2591">
        <v>5060</v>
      </c>
      <c r="H2591">
        <v>5060</v>
      </c>
      <c r="I2591">
        <v>4903</v>
      </c>
      <c r="J2591">
        <v>4903</v>
      </c>
      <c r="K2591">
        <v>1337</v>
      </c>
      <c r="L2591">
        <v>22</v>
      </c>
      <c r="M2591">
        <v>3591</v>
      </c>
      <c r="N2591">
        <v>62</v>
      </c>
      <c r="O2591">
        <v>48</v>
      </c>
      <c r="P2591">
        <v>6</v>
      </c>
      <c r="Q2591">
        <v>0</v>
      </c>
    </row>
    <row r="2592" spans="1:17" x14ac:dyDescent="0.2">
      <c r="A2592" s="121">
        <v>40147</v>
      </c>
      <c r="B2592" t="s">
        <v>406</v>
      </c>
      <c r="C2592" t="s">
        <v>456</v>
      </c>
      <c r="D2592" t="s">
        <v>459</v>
      </c>
      <c r="E2592" t="s">
        <v>460</v>
      </c>
      <c r="F2592" t="s">
        <v>413</v>
      </c>
      <c r="G2592">
        <v>1330</v>
      </c>
      <c r="H2592">
        <v>1330</v>
      </c>
      <c r="I2592">
        <v>1327</v>
      </c>
      <c r="J2592">
        <v>1327</v>
      </c>
      <c r="K2592">
        <v>423</v>
      </c>
      <c r="L2592">
        <v>1</v>
      </c>
      <c r="M2592">
        <v>905</v>
      </c>
      <c r="N2592">
        <v>0</v>
      </c>
      <c r="O2592">
        <v>1</v>
      </c>
      <c r="P2592">
        <v>0</v>
      </c>
      <c r="Q2592">
        <v>0</v>
      </c>
    </row>
    <row r="2593" spans="1:17" x14ac:dyDescent="0.2">
      <c r="A2593" s="121">
        <v>40147</v>
      </c>
      <c r="B2593" t="s">
        <v>406</v>
      </c>
      <c r="C2593" t="s">
        <v>456</v>
      </c>
      <c r="D2593" t="s">
        <v>461</v>
      </c>
      <c r="E2593" t="s">
        <v>462</v>
      </c>
      <c r="F2593" t="s">
        <v>410</v>
      </c>
      <c r="G2593">
        <v>74</v>
      </c>
      <c r="I2593">
        <v>74</v>
      </c>
    </row>
    <row r="2594" spans="1:17" x14ac:dyDescent="0.2">
      <c r="A2594" s="121">
        <v>40147</v>
      </c>
      <c r="B2594" t="s">
        <v>406</v>
      </c>
      <c r="C2594" t="s">
        <v>456</v>
      </c>
      <c r="D2594" t="s">
        <v>463</v>
      </c>
      <c r="E2594" t="s">
        <v>464</v>
      </c>
      <c r="F2594" t="s">
        <v>410</v>
      </c>
      <c r="G2594">
        <v>30</v>
      </c>
      <c r="I2594">
        <v>30</v>
      </c>
    </row>
    <row r="2595" spans="1:17" x14ac:dyDescent="0.2">
      <c r="A2595" s="121">
        <v>40147</v>
      </c>
      <c r="B2595" t="s">
        <v>406</v>
      </c>
      <c r="C2595" t="s">
        <v>456</v>
      </c>
      <c r="D2595" t="s">
        <v>465</v>
      </c>
      <c r="E2595" t="s">
        <v>466</v>
      </c>
      <c r="F2595" t="s">
        <v>410</v>
      </c>
      <c r="G2595">
        <v>46</v>
      </c>
      <c r="I2595">
        <v>46</v>
      </c>
    </row>
    <row r="2596" spans="1:17" x14ac:dyDescent="0.2">
      <c r="A2596" s="121">
        <v>40147</v>
      </c>
      <c r="B2596" t="s">
        <v>406</v>
      </c>
      <c r="C2596" t="s">
        <v>456</v>
      </c>
      <c r="D2596" t="s">
        <v>467</v>
      </c>
      <c r="E2596" t="s">
        <v>468</v>
      </c>
      <c r="F2596" t="s">
        <v>410</v>
      </c>
      <c r="G2596">
        <v>1201</v>
      </c>
      <c r="I2596">
        <v>1201</v>
      </c>
    </row>
    <row r="2597" spans="1:17" x14ac:dyDescent="0.2">
      <c r="A2597" s="121">
        <v>40147</v>
      </c>
      <c r="B2597" t="s">
        <v>406</v>
      </c>
      <c r="C2597" t="s">
        <v>456</v>
      </c>
      <c r="D2597" t="s">
        <v>469</v>
      </c>
      <c r="E2597" t="s">
        <v>470</v>
      </c>
      <c r="F2597" t="s">
        <v>410</v>
      </c>
      <c r="G2597">
        <v>822</v>
      </c>
      <c r="I2597">
        <v>817</v>
      </c>
    </row>
    <row r="2598" spans="1:17" x14ac:dyDescent="0.2">
      <c r="A2598" s="121">
        <v>40147</v>
      </c>
      <c r="B2598" t="s">
        <v>406</v>
      </c>
      <c r="C2598" t="s">
        <v>456</v>
      </c>
      <c r="D2598" t="s">
        <v>471</v>
      </c>
      <c r="E2598" t="s">
        <v>472</v>
      </c>
      <c r="F2598" t="s">
        <v>410</v>
      </c>
      <c r="G2598">
        <v>192</v>
      </c>
      <c r="I2598">
        <v>192</v>
      </c>
    </row>
    <row r="2599" spans="1:17" x14ac:dyDescent="0.2">
      <c r="A2599" s="121">
        <v>40147</v>
      </c>
      <c r="B2599" t="s">
        <v>406</v>
      </c>
      <c r="C2599" t="s">
        <v>456</v>
      </c>
      <c r="D2599" t="s">
        <v>473</v>
      </c>
      <c r="E2599" t="s">
        <v>474</v>
      </c>
      <c r="F2599" t="s">
        <v>410</v>
      </c>
      <c r="G2599">
        <v>187</v>
      </c>
      <c r="I2599">
        <v>187</v>
      </c>
    </row>
    <row r="2600" spans="1:17" x14ac:dyDescent="0.2">
      <c r="A2600" s="121">
        <v>40147</v>
      </c>
      <c r="B2600" t="s">
        <v>406</v>
      </c>
      <c r="C2600" t="s">
        <v>456</v>
      </c>
      <c r="D2600" t="s">
        <v>475</v>
      </c>
      <c r="E2600" t="s">
        <v>476</v>
      </c>
      <c r="F2600" t="s">
        <v>410</v>
      </c>
      <c r="G2600">
        <v>331</v>
      </c>
      <c r="I2600">
        <v>331</v>
      </c>
    </row>
    <row r="2601" spans="1:17" x14ac:dyDescent="0.2">
      <c r="A2601" s="121">
        <v>40147</v>
      </c>
      <c r="B2601" t="s">
        <v>406</v>
      </c>
      <c r="C2601" t="s">
        <v>456</v>
      </c>
      <c r="D2601" t="s">
        <v>477</v>
      </c>
      <c r="E2601" t="s">
        <v>478</v>
      </c>
      <c r="F2601" t="s">
        <v>413</v>
      </c>
      <c r="G2601">
        <v>1768</v>
      </c>
      <c r="H2601">
        <v>1768</v>
      </c>
      <c r="I2601">
        <v>1673</v>
      </c>
      <c r="J2601">
        <v>1673</v>
      </c>
      <c r="K2601">
        <v>407</v>
      </c>
      <c r="L2601">
        <v>9</v>
      </c>
      <c r="M2601">
        <v>1304</v>
      </c>
      <c r="N2601">
        <v>27</v>
      </c>
      <c r="O2601">
        <v>21</v>
      </c>
      <c r="P2601">
        <v>9</v>
      </c>
      <c r="Q2601">
        <v>2</v>
      </c>
    </row>
    <row r="2602" spans="1:17" x14ac:dyDescent="0.2">
      <c r="A2602" s="121">
        <v>40147</v>
      </c>
      <c r="B2602" t="s">
        <v>406</v>
      </c>
      <c r="C2602" t="s">
        <v>456</v>
      </c>
      <c r="D2602" t="s">
        <v>479</v>
      </c>
      <c r="E2602" t="s">
        <v>480</v>
      </c>
      <c r="F2602" t="s">
        <v>410</v>
      </c>
      <c r="G2602">
        <v>68</v>
      </c>
      <c r="I2602">
        <v>68</v>
      </c>
    </row>
    <row r="2603" spans="1:17" x14ac:dyDescent="0.2">
      <c r="A2603" s="121">
        <v>40147</v>
      </c>
      <c r="B2603" t="s">
        <v>406</v>
      </c>
      <c r="C2603" t="s">
        <v>456</v>
      </c>
      <c r="D2603" t="s">
        <v>481</v>
      </c>
      <c r="E2603" t="s">
        <v>482</v>
      </c>
      <c r="F2603" t="s">
        <v>410</v>
      </c>
      <c r="G2603">
        <v>28</v>
      </c>
      <c r="I2603">
        <v>28</v>
      </c>
    </row>
    <row r="2604" spans="1:17" x14ac:dyDescent="0.2">
      <c r="A2604" s="121">
        <v>40147</v>
      </c>
      <c r="B2604" t="s">
        <v>406</v>
      </c>
      <c r="C2604" t="s">
        <v>456</v>
      </c>
      <c r="D2604" t="s">
        <v>483</v>
      </c>
      <c r="E2604" t="s">
        <v>484</v>
      </c>
      <c r="F2604" t="s">
        <v>410</v>
      </c>
      <c r="G2604">
        <v>67</v>
      </c>
      <c r="I2604">
        <v>67</v>
      </c>
    </row>
    <row r="2605" spans="1:17" x14ac:dyDescent="0.2">
      <c r="A2605" s="121">
        <v>40147</v>
      </c>
      <c r="B2605" t="s">
        <v>406</v>
      </c>
      <c r="C2605" t="s">
        <v>456</v>
      </c>
      <c r="D2605" t="s">
        <v>485</v>
      </c>
      <c r="E2605" t="s">
        <v>486</v>
      </c>
      <c r="F2605" t="s">
        <v>410</v>
      </c>
      <c r="G2605">
        <v>73</v>
      </c>
      <c r="I2605">
        <v>73</v>
      </c>
    </row>
    <row r="2606" spans="1:17" x14ac:dyDescent="0.2">
      <c r="A2606" s="121">
        <v>40147</v>
      </c>
      <c r="B2606" t="s">
        <v>406</v>
      </c>
      <c r="C2606" t="s">
        <v>456</v>
      </c>
      <c r="D2606" t="s">
        <v>487</v>
      </c>
      <c r="E2606" t="s">
        <v>488</v>
      </c>
      <c r="F2606" t="s">
        <v>410</v>
      </c>
      <c r="G2606">
        <v>31</v>
      </c>
      <c r="I2606">
        <v>31</v>
      </c>
    </row>
    <row r="2607" spans="1:17" x14ac:dyDescent="0.2">
      <c r="A2607" s="121">
        <v>40147</v>
      </c>
      <c r="B2607" t="s">
        <v>406</v>
      </c>
      <c r="C2607" t="s">
        <v>456</v>
      </c>
      <c r="D2607" t="s">
        <v>489</v>
      </c>
      <c r="E2607" t="s">
        <v>490</v>
      </c>
      <c r="F2607" t="s">
        <v>410</v>
      </c>
      <c r="G2607">
        <v>90</v>
      </c>
      <c r="H2607">
        <v>90</v>
      </c>
      <c r="I2607">
        <v>90</v>
      </c>
      <c r="J2607">
        <v>90</v>
      </c>
      <c r="K2607">
        <v>0</v>
      </c>
      <c r="L2607">
        <v>0</v>
      </c>
      <c r="M2607">
        <v>66</v>
      </c>
      <c r="N2607">
        <v>24</v>
      </c>
      <c r="O2607">
        <v>0</v>
      </c>
      <c r="P2607">
        <v>0</v>
      </c>
      <c r="Q2607">
        <v>0</v>
      </c>
    </row>
    <row r="2608" spans="1:17" x14ac:dyDescent="0.2">
      <c r="A2608" s="121">
        <v>40147</v>
      </c>
      <c r="B2608" t="s">
        <v>406</v>
      </c>
      <c r="C2608" t="s">
        <v>491</v>
      </c>
      <c r="D2608" t="s">
        <v>492</v>
      </c>
      <c r="E2608" t="s">
        <v>493</v>
      </c>
      <c r="F2608" t="s">
        <v>410</v>
      </c>
      <c r="G2608">
        <v>1195</v>
      </c>
      <c r="H2608">
        <v>1195</v>
      </c>
      <c r="I2608">
        <v>1185</v>
      </c>
      <c r="J2608">
        <v>1185</v>
      </c>
      <c r="K2608">
        <v>0</v>
      </c>
      <c r="L2608">
        <v>0</v>
      </c>
      <c r="M2608">
        <v>0</v>
      </c>
      <c r="N2608">
        <v>8</v>
      </c>
      <c r="O2608">
        <v>1187</v>
      </c>
      <c r="P2608">
        <v>0</v>
      </c>
      <c r="Q2608">
        <v>0</v>
      </c>
    </row>
    <row r="2609" spans="1:17" x14ac:dyDescent="0.2">
      <c r="A2609" s="121">
        <v>40147</v>
      </c>
      <c r="B2609" t="s">
        <v>406</v>
      </c>
      <c r="C2609" t="s">
        <v>491</v>
      </c>
      <c r="D2609" t="s">
        <v>494</v>
      </c>
      <c r="E2609" t="s">
        <v>495</v>
      </c>
      <c r="F2609" t="s">
        <v>413</v>
      </c>
      <c r="G2609">
        <v>2628</v>
      </c>
      <c r="H2609">
        <v>2628</v>
      </c>
      <c r="I2609">
        <v>2576</v>
      </c>
      <c r="J2609">
        <v>2576</v>
      </c>
      <c r="K2609">
        <v>0</v>
      </c>
      <c r="L2609">
        <v>0</v>
      </c>
      <c r="M2609">
        <v>3</v>
      </c>
      <c r="N2609">
        <v>18</v>
      </c>
      <c r="O2609">
        <v>2607</v>
      </c>
      <c r="P2609">
        <v>0</v>
      </c>
      <c r="Q2609">
        <v>0</v>
      </c>
    </row>
    <row r="2610" spans="1:17" x14ac:dyDescent="0.2">
      <c r="A2610" s="121">
        <v>40147</v>
      </c>
      <c r="B2610" t="s">
        <v>406</v>
      </c>
      <c r="C2610" t="s">
        <v>491</v>
      </c>
      <c r="D2610" t="s">
        <v>496</v>
      </c>
      <c r="E2610" t="s">
        <v>497</v>
      </c>
      <c r="F2610" t="s">
        <v>413</v>
      </c>
      <c r="G2610">
        <v>5484</v>
      </c>
      <c r="H2610">
        <v>5484</v>
      </c>
      <c r="I2610">
        <v>5321</v>
      </c>
      <c r="J2610">
        <v>5321</v>
      </c>
      <c r="K2610">
        <v>1395</v>
      </c>
      <c r="L2610">
        <v>0</v>
      </c>
      <c r="M2610">
        <v>8</v>
      </c>
      <c r="N2610">
        <v>50</v>
      </c>
      <c r="O2610">
        <v>4031</v>
      </c>
      <c r="P2610">
        <v>2</v>
      </c>
      <c r="Q2610">
        <v>1</v>
      </c>
    </row>
    <row r="2611" spans="1:17" x14ac:dyDescent="0.2">
      <c r="A2611" s="121">
        <v>40147</v>
      </c>
      <c r="B2611" t="s">
        <v>406</v>
      </c>
      <c r="C2611" t="s">
        <v>491</v>
      </c>
      <c r="D2611" t="s">
        <v>498</v>
      </c>
      <c r="E2611" t="s">
        <v>499</v>
      </c>
      <c r="F2611" t="s">
        <v>413</v>
      </c>
      <c r="G2611">
        <v>6226</v>
      </c>
      <c r="H2611">
        <v>6226</v>
      </c>
      <c r="I2611">
        <v>5906</v>
      </c>
      <c r="J2611">
        <v>5906</v>
      </c>
      <c r="K2611">
        <v>1981</v>
      </c>
      <c r="L2611">
        <v>13</v>
      </c>
      <c r="M2611">
        <v>3800</v>
      </c>
      <c r="N2611">
        <v>118</v>
      </c>
      <c r="O2611">
        <v>314</v>
      </c>
      <c r="P2611">
        <v>4</v>
      </c>
      <c r="Q2611">
        <v>0</v>
      </c>
    </row>
    <row r="2612" spans="1:17" x14ac:dyDescent="0.2">
      <c r="A2612" s="121">
        <v>40147</v>
      </c>
      <c r="B2612" t="s">
        <v>406</v>
      </c>
      <c r="C2612" t="s">
        <v>491</v>
      </c>
      <c r="D2612" t="s">
        <v>500</v>
      </c>
      <c r="E2612" t="s">
        <v>501</v>
      </c>
      <c r="F2612" t="s">
        <v>413</v>
      </c>
      <c r="G2612">
        <v>3697</v>
      </c>
      <c r="H2612">
        <v>3697</v>
      </c>
      <c r="I2612">
        <v>3661</v>
      </c>
      <c r="J2612">
        <v>3661</v>
      </c>
      <c r="K2612">
        <v>1057</v>
      </c>
      <c r="L2612">
        <v>0</v>
      </c>
      <c r="M2612">
        <v>2403</v>
      </c>
      <c r="N2612">
        <v>36</v>
      </c>
      <c r="O2612">
        <v>201</v>
      </c>
      <c r="P2612">
        <v>0</v>
      </c>
      <c r="Q2612">
        <v>0</v>
      </c>
    </row>
    <row r="2613" spans="1:17" x14ac:dyDescent="0.2">
      <c r="A2613" s="121">
        <v>40147</v>
      </c>
      <c r="B2613" t="s">
        <v>406</v>
      </c>
      <c r="C2613" t="s">
        <v>491</v>
      </c>
      <c r="D2613" t="s">
        <v>502</v>
      </c>
      <c r="E2613" t="s">
        <v>615</v>
      </c>
      <c r="F2613" t="s">
        <v>410</v>
      </c>
      <c r="G2613">
        <v>1272</v>
      </c>
      <c r="H2613">
        <v>1272</v>
      </c>
      <c r="I2613">
        <v>1272</v>
      </c>
      <c r="J2613">
        <v>1272</v>
      </c>
      <c r="K2613">
        <v>0</v>
      </c>
      <c r="L2613">
        <v>0</v>
      </c>
      <c r="M2613">
        <v>1242</v>
      </c>
      <c r="N2613">
        <v>0</v>
      </c>
      <c r="O2613">
        <v>30</v>
      </c>
      <c r="P2613">
        <v>0</v>
      </c>
      <c r="Q2613">
        <v>0</v>
      </c>
    </row>
    <row r="2614" spans="1:17" x14ac:dyDescent="0.2">
      <c r="A2614" s="121">
        <v>40147</v>
      </c>
      <c r="B2614" t="s">
        <v>406</v>
      </c>
      <c r="C2614" t="s">
        <v>491</v>
      </c>
      <c r="D2614" t="s">
        <v>502</v>
      </c>
      <c r="E2614" t="s">
        <v>503</v>
      </c>
      <c r="F2614" t="s">
        <v>413</v>
      </c>
      <c r="G2614">
        <v>5092</v>
      </c>
      <c r="H2614">
        <v>5092</v>
      </c>
      <c r="I2614">
        <v>4833</v>
      </c>
      <c r="J2614">
        <v>4833</v>
      </c>
      <c r="K2614">
        <v>1415</v>
      </c>
      <c r="L2614">
        <v>0</v>
      </c>
      <c r="M2614">
        <v>3322</v>
      </c>
      <c r="N2614">
        <v>178</v>
      </c>
      <c r="O2614">
        <v>177</v>
      </c>
      <c r="P2614">
        <v>16</v>
      </c>
      <c r="Q2614">
        <v>0</v>
      </c>
    </row>
    <row r="2615" spans="1:17" x14ac:dyDescent="0.2">
      <c r="A2615" s="121">
        <v>40147</v>
      </c>
      <c r="B2615" t="s">
        <v>406</v>
      </c>
      <c r="C2615" t="s">
        <v>491</v>
      </c>
      <c r="D2615" t="s">
        <v>504</v>
      </c>
      <c r="E2615" t="s">
        <v>505</v>
      </c>
      <c r="F2615" t="s">
        <v>413</v>
      </c>
      <c r="G2615">
        <v>3900</v>
      </c>
      <c r="H2615">
        <v>3900</v>
      </c>
      <c r="I2615">
        <v>3755</v>
      </c>
      <c r="J2615">
        <v>3755</v>
      </c>
      <c r="K2615">
        <v>1205</v>
      </c>
      <c r="L2615">
        <v>0</v>
      </c>
      <c r="M2615">
        <v>2577</v>
      </c>
      <c r="N2615">
        <v>69</v>
      </c>
      <c r="O2615">
        <v>49</v>
      </c>
      <c r="P2615">
        <v>11</v>
      </c>
      <c r="Q2615">
        <v>0</v>
      </c>
    </row>
    <row r="2616" spans="1:17" x14ac:dyDescent="0.2">
      <c r="A2616" s="121">
        <v>40147</v>
      </c>
      <c r="B2616" t="s">
        <v>406</v>
      </c>
      <c r="C2616" t="s">
        <v>491</v>
      </c>
      <c r="D2616" t="s">
        <v>506</v>
      </c>
      <c r="E2616" t="s">
        <v>507</v>
      </c>
      <c r="F2616" t="s">
        <v>413</v>
      </c>
      <c r="G2616">
        <v>4274</v>
      </c>
      <c r="H2616">
        <v>4274</v>
      </c>
      <c r="I2616">
        <v>4181</v>
      </c>
      <c r="J2616">
        <v>4181</v>
      </c>
      <c r="K2616">
        <v>626</v>
      </c>
      <c r="L2616">
        <v>0</v>
      </c>
      <c r="M2616">
        <v>3639</v>
      </c>
      <c r="N2616">
        <v>1</v>
      </c>
      <c r="O2616">
        <v>8</v>
      </c>
      <c r="P2616">
        <v>0</v>
      </c>
      <c r="Q2616">
        <v>0</v>
      </c>
    </row>
    <row r="2617" spans="1:17" x14ac:dyDescent="0.2">
      <c r="A2617" s="121">
        <v>40147</v>
      </c>
      <c r="B2617" t="s">
        <v>406</v>
      </c>
      <c r="C2617" t="s">
        <v>491</v>
      </c>
      <c r="D2617" t="s">
        <v>508</v>
      </c>
      <c r="E2617" t="s">
        <v>509</v>
      </c>
      <c r="F2617" t="s">
        <v>413</v>
      </c>
      <c r="G2617">
        <v>5185</v>
      </c>
      <c r="H2617">
        <v>5185</v>
      </c>
      <c r="I2617">
        <v>5100</v>
      </c>
      <c r="J2617">
        <v>5100</v>
      </c>
      <c r="K2617">
        <v>1743</v>
      </c>
      <c r="L2617">
        <v>10</v>
      </c>
      <c r="M2617">
        <v>3040</v>
      </c>
      <c r="N2617">
        <v>137</v>
      </c>
      <c r="O2617">
        <v>255</v>
      </c>
      <c r="P2617">
        <v>1</v>
      </c>
      <c r="Q2617">
        <v>0</v>
      </c>
    </row>
    <row r="2618" spans="1:17" x14ac:dyDescent="0.2">
      <c r="A2618" s="121">
        <v>40147</v>
      </c>
      <c r="B2618" t="s">
        <v>406</v>
      </c>
      <c r="C2618" t="s">
        <v>510</v>
      </c>
      <c r="D2618" t="s">
        <v>511</v>
      </c>
      <c r="E2618" t="s">
        <v>512</v>
      </c>
      <c r="F2618" t="s">
        <v>410</v>
      </c>
      <c r="G2618">
        <v>480</v>
      </c>
      <c r="I2618">
        <v>479</v>
      </c>
    </row>
    <row r="2619" spans="1:17" x14ac:dyDescent="0.2">
      <c r="A2619" s="121">
        <v>40147</v>
      </c>
      <c r="B2619" t="s">
        <v>406</v>
      </c>
      <c r="C2619" t="s">
        <v>510</v>
      </c>
      <c r="D2619" t="s">
        <v>513</v>
      </c>
      <c r="E2619" t="s">
        <v>514</v>
      </c>
      <c r="F2619" t="s">
        <v>410</v>
      </c>
      <c r="G2619">
        <v>690</v>
      </c>
      <c r="I2619">
        <v>677</v>
      </c>
    </row>
    <row r="2620" spans="1:17" x14ac:dyDescent="0.2">
      <c r="A2620" s="121">
        <v>40147</v>
      </c>
      <c r="B2620" t="s">
        <v>406</v>
      </c>
      <c r="C2620" t="s">
        <v>510</v>
      </c>
      <c r="D2620" t="s">
        <v>515</v>
      </c>
      <c r="E2620" t="s">
        <v>516</v>
      </c>
      <c r="F2620" t="s">
        <v>410</v>
      </c>
      <c r="G2620">
        <v>62</v>
      </c>
      <c r="I2620">
        <v>62</v>
      </c>
    </row>
    <row r="2621" spans="1:17" x14ac:dyDescent="0.2">
      <c r="A2621" s="121">
        <v>40147</v>
      </c>
      <c r="B2621" t="s">
        <v>406</v>
      </c>
      <c r="C2621" t="s">
        <v>510</v>
      </c>
      <c r="D2621" t="s">
        <v>517</v>
      </c>
      <c r="E2621" t="s">
        <v>518</v>
      </c>
      <c r="F2621" t="s">
        <v>410</v>
      </c>
      <c r="G2621">
        <v>281</v>
      </c>
      <c r="I2621">
        <v>280</v>
      </c>
    </row>
    <row r="2622" spans="1:17" x14ac:dyDescent="0.2">
      <c r="A2622" s="121">
        <v>40147</v>
      </c>
      <c r="B2622" t="s">
        <v>406</v>
      </c>
      <c r="C2622" t="s">
        <v>510</v>
      </c>
      <c r="D2622" t="s">
        <v>519</v>
      </c>
      <c r="E2622" t="s">
        <v>520</v>
      </c>
      <c r="F2622" t="s">
        <v>410</v>
      </c>
      <c r="G2622">
        <v>306</v>
      </c>
      <c r="I2622">
        <v>302</v>
      </c>
    </row>
    <row r="2623" spans="1:17" x14ac:dyDescent="0.2">
      <c r="A2623" s="121">
        <v>40147</v>
      </c>
      <c r="B2623" t="s">
        <v>406</v>
      </c>
      <c r="C2623" t="s">
        <v>510</v>
      </c>
      <c r="D2623" t="s">
        <v>521</v>
      </c>
      <c r="E2623" t="s">
        <v>522</v>
      </c>
      <c r="F2623" t="s">
        <v>410</v>
      </c>
      <c r="G2623">
        <v>23</v>
      </c>
      <c r="I2623">
        <v>23</v>
      </c>
    </row>
    <row r="2624" spans="1:17" x14ac:dyDescent="0.2">
      <c r="A2624" s="121">
        <v>40147</v>
      </c>
      <c r="B2624" t="s">
        <v>406</v>
      </c>
      <c r="C2624" t="s">
        <v>510</v>
      </c>
      <c r="D2624" t="s">
        <v>523</v>
      </c>
      <c r="E2624" t="s">
        <v>524</v>
      </c>
      <c r="F2624" t="s">
        <v>413</v>
      </c>
      <c r="G2624">
        <v>380</v>
      </c>
      <c r="I2624">
        <v>378</v>
      </c>
    </row>
    <row r="2625" spans="1:17" x14ac:dyDescent="0.2">
      <c r="A2625" s="121">
        <v>40147</v>
      </c>
      <c r="B2625" t="s">
        <v>406</v>
      </c>
      <c r="C2625" t="s">
        <v>510</v>
      </c>
      <c r="D2625" t="s">
        <v>527</v>
      </c>
      <c r="E2625" t="s">
        <v>528</v>
      </c>
      <c r="F2625" t="s">
        <v>410</v>
      </c>
      <c r="G2625">
        <v>207</v>
      </c>
      <c r="I2625">
        <v>207</v>
      </c>
    </row>
    <row r="2626" spans="1:17" x14ac:dyDescent="0.2">
      <c r="A2626" s="121">
        <v>40147</v>
      </c>
      <c r="B2626" t="s">
        <v>406</v>
      </c>
      <c r="C2626" t="s">
        <v>510</v>
      </c>
      <c r="D2626" t="s">
        <v>529</v>
      </c>
      <c r="E2626" t="s">
        <v>530</v>
      </c>
      <c r="F2626" t="s">
        <v>413</v>
      </c>
      <c r="G2626">
        <v>495</v>
      </c>
      <c r="I2626">
        <v>491</v>
      </c>
    </row>
    <row r="2627" spans="1:17" x14ac:dyDescent="0.2">
      <c r="A2627" s="121">
        <v>40147</v>
      </c>
      <c r="B2627" t="s">
        <v>406</v>
      </c>
      <c r="C2627" t="s">
        <v>510</v>
      </c>
      <c r="D2627" t="s">
        <v>531</v>
      </c>
      <c r="E2627" t="s">
        <v>532</v>
      </c>
      <c r="F2627" t="s">
        <v>410</v>
      </c>
      <c r="G2627">
        <v>40</v>
      </c>
      <c r="I2627">
        <v>40</v>
      </c>
    </row>
    <row r="2628" spans="1:17" x14ac:dyDescent="0.2">
      <c r="A2628" s="121">
        <v>40147</v>
      </c>
      <c r="B2628" t="s">
        <v>406</v>
      </c>
      <c r="C2628" t="s">
        <v>510</v>
      </c>
      <c r="D2628" t="s">
        <v>533</v>
      </c>
      <c r="E2628" t="s">
        <v>534</v>
      </c>
      <c r="F2628" t="s">
        <v>413</v>
      </c>
      <c r="G2628">
        <v>2293</v>
      </c>
      <c r="H2628">
        <v>2293</v>
      </c>
      <c r="I2628">
        <v>2247</v>
      </c>
      <c r="J2628">
        <v>2247</v>
      </c>
      <c r="K2628">
        <v>495</v>
      </c>
      <c r="L2628">
        <v>31</v>
      </c>
      <c r="M2628">
        <v>1766</v>
      </c>
      <c r="N2628">
        <v>1</v>
      </c>
      <c r="O2628">
        <v>0</v>
      </c>
      <c r="P2628">
        <v>0</v>
      </c>
      <c r="Q2628">
        <v>0</v>
      </c>
    </row>
    <row r="2629" spans="1:17" x14ac:dyDescent="0.2">
      <c r="A2629" s="121">
        <v>40147</v>
      </c>
      <c r="B2629" t="s">
        <v>406</v>
      </c>
      <c r="C2629" t="s">
        <v>510</v>
      </c>
      <c r="D2629" t="s">
        <v>535</v>
      </c>
      <c r="E2629" t="s">
        <v>536</v>
      </c>
      <c r="F2629" t="s">
        <v>410</v>
      </c>
      <c r="G2629">
        <v>208</v>
      </c>
      <c r="I2629">
        <v>208</v>
      </c>
    </row>
    <row r="2630" spans="1:17" x14ac:dyDescent="0.2">
      <c r="A2630" s="121">
        <v>40147</v>
      </c>
      <c r="B2630" t="s">
        <v>406</v>
      </c>
      <c r="C2630" t="s">
        <v>510</v>
      </c>
      <c r="D2630" t="s">
        <v>537</v>
      </c>
      <c r="E2630" t="s">
        <v>538</v>
      </c>
      <c r="F2630" t="s">
        <v>410</v>
      </c>
      <c r="G2630">
        <v>93</v>
      </c>
      <c r="I2630">
        <v>93</v>
      </c>
    </row>
    <row r="2631" spans="1:17" x14ac:dyDescent="0.2">
      <c r="A2631" s="121">
        <v>40147</v>
      </c>
      <c r="B2631" t="s">
        <v>406</v>
      </c>
      <c r="C2631" t="s">
        <v>510</v>
      </c>
      <c r="D2631" t="s">
        <v>539</v>
      </c>
      <c r="E2631" t="s">
        <v>540</v>
      </c>
      <c r="F2631" t="s">
        <v>413</v>
      </c>
      <c r="G2631">
        <v>535</v>
      </c>
      <c r="I2631">
        <v>531</v>
      </c>
    </row>
    <row r="2632" spans="1:17" x14ac:dyDescent="0.2">
      <c r="A2632" s="121">
        <v>40147</v>
      </c>
      <c r="B2632" t="s">
        <v>406</v>
      </c>
      <c r="C2632" t="s">
        <v>510</v>
      </c>
      <c r="D2632" t="s">
        <v>541</v>
      </c>
      <c r="E2632" t="s">
        <v>542</v>
      </c>
      <c r="F2632" t="s">
        <v>410</v>
      </c>
      <c r="G2632">
        <v>183</v>
      </c>
      <c r="I2632">
        <v>177</v>
      </c>
    </row>
    <row r="2633" spans="1:17" x14ac:dyDescent="0.2">
      <c r="A2633" s="121">
        <v>40147</v>
      </c>
      <c r="B2633" t="s">
        <v>406</v>
      </c>
      <c r="C2633" t="s">
        <v>510</v>
      </c>
      <c r="D2633" t="s">
        <v>543</v>
      </c>
      <c r="E2633" t="s">
        <v>544</v>
      </c>
      <c r="F2633" t="s">
        <v>410</v>
      </c>
      <c r="G2633">
        <v>150</v>
      </c>
      <c r="I2633">
        <v>145</v>
      </c>
    </row>
    <row r="2634" spans="1:17" x14ac:dyDescent="0.2">
      <c r="A2634" s="121">
        <v>40147</v>
      </c>
      <c r="B2634" t="s">
        <v>406</v>
      </c>
      <c r="C2634" t="s">
        <v>510</v>
      </c>
      <c r="D2634" t="s">
        <v>545</v>
      </c>
      <c r="E2634" t="s">
        <v>546</v>
      </c>
      <c r="F2634" t="s">
        <v>410</v>
      </c>
      <c r="G2634">
        <v>148</v>
      </c>
      <c r="I2634">
        <v>148</v>
      </c>
    </row>
    <row r="2635" spans="1:17" x14ac:dyDescent="0.2">
      <c r="A2635" s="121">
        <v>40147</v>
      </c>
      <c r="B2635" t="s">
        <v>406</v>
      </c>
      <c r="C2635" t="s">
        <v>510</v>
      </c>
      <c r="D2635" t="s">
        <v>547</v>
      </c>
      <c r="E2635" t="s">
        <v>548</v>
      </c>
      <c r="F2635" t="s">
        <v>410</v>
      </c>
      <c r="G2635">
        <v>107</v>
      </c>
      <c r="I2635">
        <v>107</v>
      </c>
    </row>
    <row r="2636" spans="1:17" x14ac:dyDescent="0.2">
      <c r="A2636" s="121">
        <v>40147</v>
      </c>
      <c r="B2636" t="s">
        <v>406</v>
      </c>
      <c r="C2636" t="s">
        <v>510</v>
      </c>
      <c r="D2636" t="s">
        <v>549</v>
      </c>
      <c r="E2636" t="s">
        <v>550</v>
      </c>
      <c r="F2636" t="s">
        <v>410</v>
      </c>
      <c r="G2636">
        <v>146</v>
      </c>
      <c r="I2636">
        <v>145</v>
      </c>
    </row>
    <row r="2637" spans="1:17" x14ac:dyDescent="0.2">
      <c r="A2637" s="121">
        <v>40147</v>
      </c>
      <c r="B2637" t="s">
        <v>406</v>
      </c>
      <c r="C2637" t="s">
        <v>551</v>
      </c>
      <c r="D2637" t="s">
        <v>552</v>
      </c>
      <c r="E2637" t="s">
        <v>553</v>
      </c>
      <c r="F2637" t="s">
        <v>413</v>
      </c>
      <c r="G2637">
        <v>5424</v>
      </c>
      <c r="H2637">
        <v>5424</v>
      </c>
      <c r="I2637">
        <v>5319</v>
      </c>
      <c r="J2637">
        <v>5319</v>
      </c>
      <c r="K2637">
        <v>1628</v>
      </c>
      <c r="L2637">
        <v>6</v>
      </c>
      <c r="M2637">
        <v>3562</v>
      </c>
      <c r="N2637">
        <v>204</v>
      </c>
      <c r="O2637">
        <v>24</v>
      </c>
      <c r="P2637">
        <v>0</v>
      </c>
      <c r="Q2637">
        <v>0</v>
      </c>
    </row>
    <row r="2638" spans="1:17" x14ac:dyDescent="0.2">
      <c r="A2638" s="121">
        <v>40147</v>
      </c>
      <c r="B2638" t="s">
        <v>406</v>
      </c>
      <c r="C2638" t="s">
        <v>551</v>
      </c>
      <c r="D2638" t="s">
        <v>554</v>
      </c>
      <c r="E2638" t="s">
        <v>555</v>
      </c>
      <c r="F2638" t="s">
        <v>410</v>
      </c>
      <c r="G2638">
        <v>94</v>
      </c>
      <c r="I2638">
        <v>94</v>
      </c>
    </row>
    <row r="2639" spans="1:17" x14ac:dyDescent="0.2">
      <c r="A2639" s="121">
        <v>40147</v>
      </c>
      <c r="B2639" t="s">
        <v>406</v>
      </c>
      <c r="C2639" t="s">
        <v>551</v>
      </c>
      <c r="D2639" t="s">
        <v>556</v>
      </c>
      <c r="E2639" t="s">
        <v>557</v>
      </c>
      <c r="F2639" t="s">
        <v>410</v>
      </c>
      <c r="G2639">
        <v>157</v>
      </c>
      <c r="I2639">
        <v>157</v>
      </c>
    </row>
    <row r="2640" spans="1:17" x14ac:dyDescent="0.2">
      <c r="A2640" s="121">
        <v>40147</v>
      </c>
      <c r="B2640" t="s">
        <v>406</v>
      </c>
      <c r="C2640" t="s">
        <v>551</v>
      </c>
      <c r="D2640" t="s">
        <v>558</v>
      </c>
      <c r="E2640" t="s">
        <v>559</v>
      </c>
      <c r="F2640" t="s">
        <v>413</v>
      </c>
      <c r="G2640">
        <v>4584</v>
      </c>
      <c r="H2640">
        <v>4584</v>
      </c>
      <c r="I2640">
        <v>4413</v>
      </c>
      <c r="J2640">
        <v>4413</v>
      </c>
      <c r="K2640">
        <v>1257</v>
      </c>
      <c r="L2640">
        <v>7</v>
      </c>
      <c r="M2640">
        <v>3196</v>
      </c>
      <c r="N2640">
        <v>91</v>
      </c>
      <c r="O2640">
        <v>33</v>
      </c>
      <c r="P2640">
        <v>18</v>
      </c>
      <c r="Q2640">
        <v>3</v>
      </c>
    </row>
    <row r="2641" spans="1:17" x14ac:dyDescent="0.2">
      <c r="A2641" s="121">
        <v>40147</v>
      </c>
      <c r="B2641" t="s">
        <v>406</v>
      </c>
      <c r="C2641" t="s">
        <v>551</v>
      </c>
      <c r="D2641" t="s">
        <v>560</v>
      </c>
      <c r="E2641" t="s">
        <v>561</v>
      </c>
      <c r="F2641" t="s">
        <v>413</v>
      </c>
      <c r="G2641">
        <v>5330</v>
      </c>
      <c r="H2641">
        <v>5330</v>
      </c>
      <c r="I2641">
        <v>5279</v>
      </c>
      <c r="J2641">
        <v>5279</v>
      </c>
      <c r="K2641">
        <v>1385</v>
      </c>
      <c r="L2641">
        <v>10</v>
      </c>
      <c r="M2641">
        <v>3678</v>
      </c>
      <c r="N2641">
        <v>241</v>
      </c>
      <c r="O2641">
        <v>16</v>
      </c>
      <c r="P2641">
        <v>7</v>
      </c>
      <c r="Q2641">
        <v>0</v>
      </c>
    </row>
    <row r="2642" spans="1:17" x14ac:dyDescent="0.2">
      <c r="A2642" s="121">
        <v>40147</v>
      </c>
      <c r="B2642" t="s">
        <v>406</v>
      </c>
      <c r="C2642" t="s">
        <v>562</v>
      </c>
      <c r="D2642" t="s">
        <v>603</v>
      </c>
      <c r="E2642" t="s">
        <v>604</v>
      </c>
      <c r="F2642" t="s">
        <v>410</v>
      </c>
      <c r="G2642">
        <v>9</v>
      </c>
      <c r="I2642">
        <v>9</v>
      </c>
    </row>
    <row r="2643" spans="1:17" x14ac:dyDescent="0.2">
      <c r="A2643" s="121">
        <v>40147</v>
      </c>
      <c r="B2643" t="s">
        <v>406</v>
      </c>
      <c r="C2643" t="s">
        <v>562</v>
      </c>
      <c r="D2643" t="s">
        <v>605</v>
      </c>
      <c r="E2643" t="s">
        <v>606</v>
      </c>
      <c r="F2643" t="s">
        <v>410</v>
      </c>
      <c r="G2643">
        <v>133</v>
      </c>
      <c r="I2643">
        <v>133</v>
      </c>
    </row>
    <row r="2644" spans="1:17" x14ac:dyDescent="0.2">
      <c r="A2644" s="121">
        <v>40147</v>
      </c>
      <c r="B2644" t="s">
        <v>406</v>
      </c>
      <c r="C2644" t="s">
        <v>562</v>
      </c>
      <c r="D2644" t="s">
        <v>563</v>
      </c>
      <c r="E2644" t="s">
        <v>564</v>
      </c>
      <c r="F2644" t="s">
        <v>410</v>
      </c>
      <c r="G2644">
        <v>2904</v>
      </c>
      <c r="H2644">
        <v>2904</v>
      </c>
      <c r="I2644">
        <v>2789</v>
      </c>
      <c r="J2644">
        <v>2789</v>
      </c>
      <c r="K2644">
        <v>1009</v>
      </c>
      <c r="L2644">
        <v>3</v>
      </c>
      <c r="M2644">
        <v>1842</v>
      </c>
      <c r="N2644">
        <v>50</v>
      </c>
      <c r="O2644">
        <v>0</v>
      </c>
      <c r="P2644">
        <v>6</v>
      </c>
      <c r="Q2644">
        <v>0</v>
      </c>
    </row>
    <row r="2645" spans="1:17" x14ac:dyDescent="0.2">
      <c r="A2645" s="121">
        <v>40147</v>
      </c>
      <c r="B2645" t="s">
        <v>406</v>
      </c>
      <c r="C2645" t="s">
        <v>562</v>
      </c>
      <c r="D2645" t="s">
        <v>565</v>
      </c>
      <c r="E2645" t="s">
        <v>566</v>
      </c>
      <c r="F2645" t="s">
        <v>413</v>
      </c>
      <c r="G2645">
        <v>4015</v>
      </c>
      <c r="H2645">
        <v>4015</v>
      </c>
      <c r="I2645">
        <v>3863</v>
      </c>
      <c r="J2645">
        <v>3863</v>
      </c>
      <c r="K2645">
        <v>934</v>
      </c>
      <c r="L2645">
        <v>4</v>
      </c>
      <c r="M2645">
        <v>2934</v>
      </c>
      <c r="N2645">
        <v>143</v>
      </c>
      <c r="O2645">
        <v>0</v>
      </c>
      <c r="P2645">
        <v>13</v>
      </c>
      <c r="Q2645">
        <v>0</v>
      </c>
    </row>
    <row r="2646" spans="1:17" x14ac:dyDescent="0.2">
      <c r="A2646" s="121">
        <v>40147</v>
      </c>
      <c r="B2646" t="s">
        <v>406</v>
      </c>
      <c r="C2646" t="s">
        <v>562</v>
      </c>
      <c r="D2646" t="s">
        <v>567</v>
      </c>
      <c r="E2646" t="s">
        <v>568</v>
      </c>
      <c r="F2646" t="s">
        <v>413</v>
      </c>
      <c r="G2646">
        <v>8793</v>
      </c>
      <c r="H2646">
        <v>8793</v>
      </c>
      <c r="I2646">
        <v>8359</v>
      </c>
      <c r="J2646">
        <v>8359</v>
      </c>
      <c r="K2646">
        <v>2410</v>
      </c>
      <c r="L2646">
        <v>20</v>
      </c>
      <c r="M2646">
        <v>6040</v>
      </c>
      <c r="N2646">
        <v>323</v>
      </c>
      <c r="O2646">
        <v>0</v>
      </c>
      <c r="P2646">
        <v>25</v>
      </c>
      <c r="Q2646">
        <v>1</v>
      </c>
    </row>
    <row r="2647" spans="1:17" x14ac:dyDescent="0.2">
      <c r="A2647" s="121">
        <v>40147</v>
      </c>
      <c r="B2647" t="s">
        <v>406</v>
      </c>
      <c r="C2647" t="s">
        <v>562</v>
      </c>
      <c r="D2647" t="s">
        <v>569</v>
      </c>
      <c r="E2647" t="s">
        <v>570</v>
      </c>
      <c r="F2647" t="s">
        <v>413</v>
      </c>
      <c r="G2647">
        <v>3367</v>
      </c>
      <c r="H2647">
        <v>3367</v>
      </c>
      <c r="I2647">
        <v>3304</v>
      </c>
      <c r="J2647">
        <v>3304</v>
      </c>
      <c r="K2647">
        <v>551</v>
      </c>
      <c r="L2647">
        <v>1</v>
      </c>
      <c r="M2647">
        <v>2814</v>
      </c>
      <c r="N2647">
        <v>1</v>
      </c>
      <c r="O2647">
        <v>0</v>
      </c>
      <c r="P2647">
        <v>1</v>
      </c>
      <c r="Q2647">
        <v>0</v>
      </c>
    </row>
    <row r="2648" spans="1:17" x14ac:dyDescent="0.2">
      <c r="A2648" s="121">
        <v>40147</v>
      </c>
      <c r="B2648" t="s">
        <v>406</v>
      </c>
      <c r="C2648" t="s">
        <v>571</v>
      </c>
      <c r="D2648" t="s">
        <v>572</v>
      </c>
      <c r="E2648" t="s">
        <v>573</v>
      </c>
      <c r="F2648" t="s">
        <v>410</v>
      </c>
      <c r="G2648">
        <v>222</v>
      </c>
      <c r="I2648">
        <v>221</v>
      </c>
    </row>
    <row r="2649" spans="1:17" x14ac:dyDescent="0.2">
      <c r="A2649" s="121">
        <v>40147</v>
      </c>
      <c r="B2649" t="s">
        <v>406</v>
      </c>
      <c r="C2649" t="s">
        <v>574</v>
      </c>
      <c r="D2649" t="s">
        <v>575</v>
      </c>
      <c r="E2649" t="s">
        <v>576</v>
      </c>
      <c r="F2649" t="s">
        <v>413</v>
      </c>
      <c r="G2649">
        <v>684</v>
      </c>
      <c r="H2649">
        <v>684</v>
      </c>
      <c r="I2649">
        <v>681</v>
      </c>
      <c r="J2649">
        <v>681</v>
      </c>
      <c r="K2649">
        <v>142</v>
      </c>
      <c r="L2649">
        <v>0</v>
      </c>
      <c r="M2649">
        <v>509</v>
      </c>
      <c r="N2649">
        <v>2</v>
      </c>
      <c r="O2649">
        <v>31</v>
      </c>
      <c r="P2649">
        <v>0</v>
      </c>
      <c r="Q2649">
        <v>0</v>
      </c>
    </row>
    <row r="2650" spans="1:17" x14ac:dyDescent="0.2">
      <c r="A2650" s="121">
        <v>40147</v>
      </c>
      <c r="B2650" t="s">
        <v>406</v>
      </c>
      <c r="C2650" t="s">
        <v>577</v>
      </c>
      <c r="D2650" t="s">
        <v>578</v>
      </c>
      <c r="E2650" t="s">
        <v>579</v>
      </c>
      <c r="F2650" t="s">
        <v>413</v>
      </c>
      <c r="G2650">
        <v>3873</v>
      </c>
      <c r="H2650">
        <v>3873</v>
      </c>
      <c r="I2650">
        <v>3822</v>
      </c>
      <c r="J2650">
        <v>3822</v>
      </c>
      <c r="K2650">
        <v>923</v>
      </c>
      <c r="L2650">
        <v>14</v>
      </c>
      <c r="M2650">
        <v>2884</v>
      </c>
      <c r="N2650">
        <v>52</v>
      </c>
      <c r="O2650">
        <v>0</v>
      </c>
      <c r="P2650">
        <v>1</v>
      </c>
      <c r="Q2650">
        <v>0</v>
      </c>
    </row>
    <row r="2651" spans="1:17" x14ac:dyDescent="0.2">
      <c r="A2651" s="121">
        <v>40147</v>
      </c>
      <c r="B2651" t="s">
        <v>406</v>
      </c>
      <c r="C2651" t="s">
        <v>577</v>
      </c>
      <c r="D2651" t="s">
        <v>580</v>
      </c>
      <c r="E2651" t="s">
        <v>581</v>
      </c>
      <c r="F2651" t="s">
        <v>413</v>
      </c>
      <c r="G2651">
        <v>1982</v>
      </c>
      <c r="H2651">
        <v>1982</v>
      </c>
      <c r="I2651">
        <v>1972</v>
      </c>
      <c r="J2651">
        <v>1972</v>
      </c>
      <c r="K2651">
        <v>359</v>
      </c>
      <c r="L2651">
        <v>5</v>
      </c>
      <c r="M2651">
        <v>1368</v>
      </c>
      <c r="N2651">
        <v>45</v>
      </c>
      <c r="O2651">
        <v>205</v>
      </c>
      <c r="P2651">
        <v>0</v>
      </c>
      <c r="Q2651">
        <v>0</v>
      </c>
    </row>
    <row r="2652" spans="1:17" x14ac:dyDescent="0.2">
      <c r="A2652" s="121">
        <v>40147</v>
      </c>
      <c r="B2652" t="s">
        <v>406</v>
      </c>
      <c r="C2652" t="s">
        <v>577</v>
      </c>
      <c r="D2652" t="s">
        <v>609</v>
      </c>
      <c r="E2652" t="s">
        <v>610</v>
      </c>
      <c r="F2652" t="s">
        <v>410</v>
      </c>
      <c r="G2652">
        <v>30</v>
      </c>
      <c r="H2652">
        <v>30</v>
      </c>
      <c r="I2652">
        <v>30</v>
      </c>
      <c r="J2652">
        <v>30</v>
      </c>
      <c r="K2652">
        <v>1</v>
      </c>
      <c r="L2652">
        <v>0</v>
      </c>
      <c r="M2652">
        <v>23</v>
      </c>
      <c r="N2652">
        <v>0</v>
      </c>
      <c r="O2652">
        <v>6</v>
      </c>
      <c r="P2652">
        <v>0</v>
      </c>
      <c r="Q2652">
        <v>0</v>
      </c>
    </row>
    <row r="2653" spans="1:17" x14ac:dyDescent="0.2">
      <c r="A2653" s="121">
        <v>40147</v>
      </c>
      <c r="B2653" t="s">
        <v>406</v>
      </c>
      <c r="C2653" t="s">
        <v>577</v>
      </c>
      <c r="D2653" t="s">
        <v>611</v>
      </c>
      <c r="E2653" t="s">
        <v>612</v>
      </c>
      <c r="F2653" t="s">
        <v>410</v>
      </c>
      <c r="G2653">
        <v>20</v>
      </c>
      <c r="H2653">
        <v>20</v>
      </c>
      <c r="I2653">
        <v>20</v>
      </c>
      <c r="J2653">
        <v>20</v>
      </c>
      <c r="K2653">
        <v>2</v>
      </c>
      <c r="L2653">
        <v>0</v>
      </c>
      <c r="M2653">
        <v>4</v>
      </c>
      <c r="N2653">
        <v>0</v>
      </c>
      <c r="O2653">
        <v>14</v>
      </c>
      <c r="P2653">
        <v>0</v>
      </c>
      <c r="Q2653">
        <v>0</v>
      </c>
    </row>
    <row r="2654" spans="1:17" x14ac:dyDescent="0.2">
      <c r="A2654" s="121">
        <v>40147</v>
      </c>
      <c r="B2654" t="s">
        <v>406</v>
      </c>
      <c r="C2654" t="s">
        <v>577</v>
      </c>
      <c r="D2654" t="s">
        <v>584</v>
      </c>
      <c r="E2654" t="s">
        <v>585</v>
      </c>
      <c r="F2654" t="s">
        <v>410</v>
      </c>
      <c r="G2654">
        <v>244</v>
      </c>
      <c r="H2654">
        <v>244</v>
      </c>
      <c r="I2654">
        <v>244</v>
      </c>
      <c r="J2654">
        <v>244</v>
      </c>
      <c r="K2654">
        <v>7</v>
      </c>
      <c r="L2654">
        <v>0</v>
      </c>
      <c r="M2654">
        <v>218</v>
      </c>
      <c r="N2654">
        <v>0</v>
      </c>
      <c r="O2654">
        <v>19</v>
      </c>
      <c r="P2654">
        <v>0</v>
      </c>
      <c r="Q2654">
        <v>0</v>
      </c>
    </row>
    <row r="2655" spans="1:17" x14ac:dyDescent="0.2">
      <c r="A2655" s="121">
        <v>40147</v>
      </c>
      <c r="B2655" t="s">
        <v>406</v>
      </c>
      <c r="C2655" t="s">
        <v>577</v>
      </c>
      <c r="D2655" t="s">
        <v>586</v>
      </c>
      <c r="E2655" t="s">
        <v>587</v>
      </c>
      <c r="F2655" t="s">
        <v>410</v>
      </c>
      <c r="G2655">
        <v>1083</v>
      </c>
      <c r="H2655">
        <v>1083</v>
      </c>
      <c r="I2655">
        <v>1083</v>
      </c>
      <c r="J2655">
        <v>1083</v>
      </c>
      <c r="K2655">
        <v>30</v>
      </c>
      <c r="L2655">
        <v>0</v>
      </c>
      <c r="M2655">
        <v>743</v>
      </c>
      <c r="N2655">
        <v>0</v>
      </c>
      <c r="O2655">
        <v>310</v>
      </c>
      <c r="P2655">
        <v>0</v>
      </c>
      <c r="Q2655">
        <v>0</v>
      </c>
    </row>
    <row r="2656" spans="1:17" x14ac:dyDescent="0.2">
      <c r="A2656" s="121">
        <v>40147</v>
      </c>
      <c r="B2656" t="s">
        <v>406</v>
      </c>
      <c r="C2656" t="s">
        <v>577</v>
      </c>
      <c r="D2656" t="s">
        <v>588</v>
      </c>
      <c r="E2656" t="s">
        <v>589</v>
      </c>
      <c r="F2656" t="s">
        <v>410</v>
      </c>
      <c r="G2656">
        <v>257</v>
      </c>
      <c r="H2656">
        <v>257</v>
      </c>
      <c r="I2656">
        <v>257</v>
      </c>
      <c r="J2656">
        <v>257</v>
      </c>
      <c r="K2656">
        <v>10</v>
      </c>
      <c r="L2656">
        <v>0</v>
      </c>
      <c r="M2656">
        <v>207</v>
      </c>
      <c r="N2656">
        <v>0</v>
      </c>
      <c r="O2656">
        <v>40</v>
      </c>
      <c r="P2656">
        <v>0</v>
      </c>
      <c r="Q2656">
        <v>0</v>
      </c>
    </row>
    <row r="2657" spans="1:17" x14ac:dyDescent="0.2">
      <c r="A2657" s="121">
        <v>40147</v>
      </c>
      <c r="B2657" t="s">
        <v>406</v>
      </c>
      <c r="C2657" t="s">
        <v>577</v>
      </c>
      <c r="D2657" t="s">
        <v>613</v>
      </c>
      <c r="E2657" t="s">
        <v>614</v>
      </c>
      <c r="F2657" t="s">
        <v>410</v>
      </c>
      <c r="G2657">
        <v>174</v>
      </c>
      <c r="H2657">
        <v>174</v>
      </c>
      <c r="I2657">
        <v>174</v>
      </c>
      <c r="J2657">
        <v>174</v>
      </c>
      <c r="K2657">
        <v>11</v>
      </c>
      <c r="L2657">
        <v>0</v>
      </c>
      <c r="M2657">
        <v>125</v>
      </c>
      <c r="N2657">
        <v>0</v>
      </c>
      <c r="O2657">
        <v>38</v>
      </c>
      <c r="P2657">
        <v>0</v>
      </c>
      <c r="Q2657">
        <v>0</v>
      </c>
    </row>
    <row r="2658" spans="1:17" x14ac:dyDescent="0.2">
      <c r="A2658" s="121">
        <v>40147</v>
      </c>
      <c r="B2658" t="s">
        <v>406</v>
      </c>
      <c r="C2658" t="s">
        <v>577</v>
      </c>
      <c r="D2658" t="s">
        <v>590</v>
      </c>
      <c r="E2658" t="s">
        <v>591</v>
      </c>
      <c r="F2658" t="s">
        <v>410</v>
      </c>
      <c r="G2658">
        <v>597</v>
      </c>
      <c r="H2658">
        <v>597</v>
      </c>
      <c r="I2658">
        <v>595</v>
      </c>
      <c r="J2658">
        <v>595</v>
      </c>
      <c r="K2658">
        <v>13</v>
      </c>
      <c r="L2658">
        <v>0</v>
      </c>
      <c r="M2658">
        <v>538</v>
      </c>
      <c r="N2658">
        <v>0</v>
      </c>
      <c r="O2658">
        <v>46</v>
      </c>
      <c r="P2658">
        <v>0</v>
      </c>
      <c r="Q2658">
        <v>0</v>
      </c>
    </row>
    <row r="2659" spans="1:17" x14ac:dyDescent="0.2">
      <c r="A2659" s="121">
        <v>40147</v>
      </c>
      <c r="B2659" t="s">
        <v>406</v>
      </c>
      <c r="C2659" t="s">
        <v>577</v>
      </c>
      <c r="D2659" t="s">
        <v>607</v>
      </c>
      <c r="E2659" t="s">
        <v>608</v>
      </c>
      <c r="F2659" t="s">
        <v>410</v>
      </c>
      <c r="G2659">
        <v>89</v>
      </c>
      <c r="H2659">
        <v>89</v>
      </c>
      <c r="I2659">
        <v>88</v>
      </c>
      <c r="J2659">
        <v>88</v>
      </c>
      <c r="K2659">
        <v>4</v>
      </c>
      <c r="L2659">
        <v>0</v>
      </c>
      <c r="M2659">
        <v>69</v>
      </c>
      <c r="N2659">
        <v>0</v>
      </c>
      <c r="O2659">
        <v>16</v>
      </c>
      <c r="P2659">
        <v>0</v>
      </c>
      <c r="Q2659">
        <v>0</v>
      </c>
    </row>
    <row r="2660" spans="1:17" x14ac:dyDescent="0.2">
      <c r="A2660" s="121">
        <v>40147</v>
      </c>
      <c r="B2660" t="s">
        <v>406</v>
      </c>
      <c r="C2660" t="s">
        <v>577</v>
      </c>
      <c r="D2660" t="s">
        <v>592</v>
      </c>
      <c r="E2660" t="s">
        <v>593</v>
      </c>
      <c r="F2660" t="s">
        <v>410</v>
      </c>
      <c r="G2660">
        <v>650</v>
      </c>
      <c r="H2660">
        <v>650</v>
      </c>
      <c r="I2660">
        <v>649</v>
      </c>
      <c r="J2660">
        <v>649</v>
      </c>
      <c r="K2660">
        <v>8</v>
      </c>
      <c r="L2660">
        <v>0</v>
      </c>
      <c r="M2660">
        <v>501</v>
      </c>
      <c r="N2660">
        <v>0</v>
      </c>
      <c r="O2660">
        <v>141</v>
      </c>
      <c r="P2660">
        <v>0</v>
      </c>
      <c r="Q2660">
        <v>0</v>
      </c>
    </row>
    <row r="2661" spans="1:17" x14ac:dyDescent="0.2">
      <c r="A2661" s="121">
        <v>40147</v>
      </c>
      <c r="B2661" t="s">
        <v>406</v>
      </c>
      <c r="C2661" t="s">
        <v>594</v>
      </c>
      <c r="D2661" t="s">
        <v>595</v>
      </c>
      <c r="E2661" t="s">
        <v>596</v>
      </c>
      <c r="F2661" t="s">
        <v>410</v>
      </c>
      <c r="G2661">
        <v>14</v>
      </c>
      <c r="I2661">
        <v>13</v>
      </c>
    </row>
    <row r="2662" spans="1:17" x14ac:dyDescent="0.2">
      <c r="A2662" s="121">
        <v>40147</v>
      </c>
      <c r="B2662" t="s">
        <v>406</v>
      </c>
      <c r="C2662" t="s">
        <v>594</v>
      </c>
      <c r="D2662" t="s">
        <v>597</v>
      </c>
      <c r="E2662" t="s">
        <v>598</v>
      </c>
      <c r="F2662" t="s">
        <v>413</v>
      </c>
      <c r="G2662">
        <v>559</v>
      </c>
      <c r="H2662">
        <v>559</v>
      </c>
      <c r="I2662">
        <v>538</v>
      </c>
      <c r="J2662">
        <v>538</v>
      </c>
      <c r="K2662">
        <v>168</v>
      </c>
      <c r="L2662">
        <v>0</v>
      </c>
      <c r="M2662">
        <v>384</v>
      </c>
      <c r="N2662">
        <v>0</v>
      </c>
      <c r="O2662">
        <v>7</v>
      </c>
      <c r="P2662">
        <v>0</v>
      </c>
      <c r="Q2662">
        <v>0</v>
      </c>
    </row>
    <row r="2663" spans="1:17" x14ac:dyDescent="0.2">
      <c r="A2663" s="121">
        <v>40147</v>
      </c>
      <c r="B2663" t="s">
        <v>406</v>
      </c>
      <c r="C2663" t="s">
        <v>594</v>
      </c>
      <c r="D2663" t="s">
        <v>599</v>
      </c>
      <c r="E2663" t="s">
        <v>600</v>
      </c>
      <c r="F2663" t="s">
        <v>410</v>
      </c>
      <c r="G2663">
        <v>80</v>
      </c>
      <c r="I2663">
        <v>80</v>
      </c>
    </row>
    <row r="2664" spans="1:17" x14ac:dyDescent="0.2">
      <c r="A2664" s="121">
        <v>40178</v>
      </c>
      <c r="B2664" t="s">
        <v>406</v>
      </c>
      <c r="C2664" t="s">
        <v>407</v>
      </c>
      <c r="D2664" t="s">
        <v>408</v>
      </c>
      <c r="E2664" t="s">
        <v>409</v>
      </c>
      <c r="F2664" t="s">
        <v>410</v>
      </c>
      <c r="G2664">
        <v>166</v>
      </c>
      <c r="I2664">
        <v>166</v>
      </c>
    </row>
    <row r="2665" spans="1:17" x14ac:dyDescent="0.2">
      <c r="A2665" s="121">
        <v>40178</v>
      </c>
      <c r="B2665" t="s">
        <v>406</v>
      </c>
      <c r="C2665" t="s">
        <v>407</v>
      </c>
      <c r="D2665" t="s">
        <v>601</v>
      </c>
      <c r="E2665" t="s">
        <v>602</v>
      </c>
      <c r="F2665" t="s">
        <v>410</v>
      </c>
      <c r="G2665">
        <v>36</v>
      </c>
      <c r="I2665">
        <v>36</v>
      </c>
    </row>
    <row r="2666" spans="1:17" x14ac:dyDescent="0.2">
      <c r="A2666" s="121">
        <v>40178</v>
      </c>
      <c r="B2666" t="s">
        <v>406</v>
      </c>
      <c r="C2666" t="s">
        <v>407</v>
      </c>
      <c r="D2666" t="s">
        <v>411</v>
      </c>
      <c r="E2666" t="s">
        <v>412</v>
      </c>
      <c r="F2666" t="s">
        <v>413</v>
      </c>
      <c r="G2666">
        <v>5535</v>
      </c>
      <c r="H2666">
        <v>5535</v>
      </c>
      <c r="I2666">
        <v>5438</v>
      </c>
      <c r="J2666">
        <v>5438</v>
      </c>
      <c r="K2666">
        <v>2214</v>
      </c>
      <c r="L2666">
        <v>7</v>
      </c>
      <c r="M2666">
        <v>3149</v>
      </c>
      <c r="N2666">
        <v>31</v>
      </c>
      <c r="O2666">
        <v>134</v>
      </c>
      <c r="P2666">
        <v>0</v>
      </c>
      <c r="Q2666">
        <v>0</v>
      </c>
    </row>
    <row r="2667" spans="1:17" x14ac:dyDescent="0.2">
      <c r="A2667" s="121">
        <v>40178</v>
      </c>
      <c r="B2667" t="s">
        <v>406</v>
      </c>
      <c r="C2667" t="s">
        <v>407</v>
      </c>
      <c r="D2667" t="s">
        <v>414</v>
      </c>
      <c r="E2667" t="s">
        <v>415</v>
      </c>
      <c r="F2667" t="s">
        <v>410</v>
      </c>
      <c r="G2667">
        <v>59</v>
      </c>
      <c r="I2667">
        <v>59</v>
      </c>
    </row>
    <row r="2668" spans="1:17" x14ac:dyDescent="0.2">
      <c r="A2668" s="121">
        <v>40178</v>
      </c>
      <c r="B2668" t="s">
        <v>406</v>
      </c>
      <c r="C2668" t="s">
        <v>407</v>
      </c>
      <c r="D2668" t="s">
        <v>416</v>
      </c>
      <c r="E2668" t="s">
        <v>417</v>
      </c>
      <c r="F2668" t="s">
        <v>413</v>
      </c>
      <c r="G2668">
        <v>3407</v>
      </c>
      <c r="H2668">
        <v>3407</v>
      </c>
      <c r="I2668">
        <v>3367</v>
      </c>
      <c r="J2668">
        <v>3367</v>
      </c>
      <c r="K2668">
        <v>1192</v>
      </c>
      <c r="L2668">
        <v>7</v>
      </c>
      <c r="M2668">
        <v>2098</v>
      </c>
      <c r="N2668">
        <v>78</v>
      </c>
      <c r="O2668">
        <v>32</v>
      </c>
      <c r="P2668">
        <v>0</v>
      </c>
      <c r="Q2668">
        <v>0</v>
      </c>
    </row>
    <row r="2669" spans="1:17" x14ac:dyDescent="0.2">
      <c r="A2669" s="121">
        <v>40178</v>
      </c>
      <c r="B2669" t="s">
        <v>406</v>
      </c>
      <c r="C2669" t="s">
        <v>418</v>
      </c>
      <c r="D2669" t="s">
        <v>419</v>
      </c>
      <c r="E2669" t="s">
        <v>420</v>
      </c>
      <c r="F2669" t="s">
        <v>410</v>
      </c>
      <c r="G2669">
        <v>15</v>
      </c>
      <c r="I2669">
        <v>15</v>
      </c>
    </row>
    <row r="2670" spans="1:17" x14ac:dyDescent="0.2">
      <c r="A2670" s="121">
        <v>40178</v>
      </c>
      <c r="B2670" t="s">
        <v>406</v>
      </c>
      <c r="C2670" t="s">
        <v>418</v>
      </c>
      <c r="D2670" t="s">
        <v>421</v>
      </c>
      <c r="E2670" t="s">
        <v>422</v>
      </c>
      <c r="F2670" t="s">
        <v>410</v>
      </c>
      <c r="G2670">
        <v>90</v>
      </c>
      <c r="I2670">
        <v>90</v>
      </c>
    </row>
    <row r="2671" spans="1:17" x14ac:dyDescent="0.2">
      <c r="A2671" s="121">
        <v>40178</v>
      </c>
      <c r="B2671" t="s">
        <v>406</v>
      </c>
      <c r="C2671" t="s">
        <v>418</v>
      </c>
      <c r="D2671" t="s">
        <v>423</v>
      </c>
      <c r="E2671" t="s">
        <v>424</v>
      </c>
      <c r="F2671" t="s">
        <v>410</v>
      </c>
      <c r="G2671">
        <v>45</v>
      </c>
      <c r="I2671">
        <v>45</v>
      </c>
    </row>
    <row r="2672" spans="1:17" x14ac:dyDescent="0.2">
      <c r="A2672" s="121">
        <v>40178</v>
      </c>
      <c r="B2672" t="s">
        <v>406</v>
      </c>
      <c r="C2672" t="s">
        <v>418</v>
      </c>
      <c r="D2672" t="s">
        <v>425</v>
      </c>
      <c r="E2672" t="s">
        <v>426</v>
      </c>
      <c r="F2672" t="s">
        <v>410</v>
      </c>
      <c r="G2672">
        <v>74</v>
      </c>
      <c r="I2672">
        <v>74</v>
      </c>
    </row>
    <row r="2673" spans="1:17" x14ac:dyDescent="0.2">
      <c r="A2673" s="121">
        <v>40178</v>
      </c>
      <c r="B2673" t="s">
        <v>406</v>
      </c>
      <c r="C2673" t="s">
        <v>418</v>
      </c>
      <c r="D2673" t="s">
        <v>427</v>
      </c>
      <c r="E2673" t="s">
        <v>428</v>
      </c>
      <c r="F2673" t="s">
        <v>413</v>
      </c>
      <c r="G2673">
        <v>1800</v>
      </c>
      <c r="H2673">
        <v>1800</v>
      </c>
      <c r="I2673">
        <v>1728</v>
      </c>
      <c r="J2673">
        <v>1728</v>
      </c>
      <c r="K2673">
        <v>678</v>
      </c>
      <c r="L2673">
        <v>2</v>
      </c>
      <c r="M2673">
        <v>901</v>
      </c>
      <c r="N2673">
        <v>22</v>
      </c>
      <c r="O2673">
        <v>197</v>
      </c>
      <c r="P2673">
        <v>0</v>
      </c>
      <c r="Q2673">
        <v>0</v>
      </c>
    </row>
    <row r="2674" spans="1:17" x14ac:dyDescent="0.2">
      <c r="A2674" s="121">
        <v>40178</v>
      </c>
      <c r="B2674" t="s">
        <v>406</v>
      </c>
      <c r="C2674" t="s">
        <v>429</v>
      </c>
      <c r="D2674" t="s">
        <v>430</v>
      </c>
      <c r="E2674" t="s">
        <v>431</v>
      </c>
      <c r="F2674" t="s">
        <v>410</v>
      </c>
      <c r="G2674">
        <v>31</v>
      </c>
      <c r="I2674">
        <v>31</v>
      </c>
    </row>
    <row r="2675" spans="1:17" x14ac:dyDescent="0.2">
      <c r="A2675" s="121">
        <v>40178</v>
      </c>
      <c r="B2675" t="s">
        <v>406</v>
      </c>
      <c r="C2675" t="s">
        <v>429</v>
      </c>
      <c r="D2675" t="s">
        <v>432</v>
      </c>
      <c r="E2675" t="s">
        <v>433</v>
      </c>
      <c r="F2675" t="s">
        <v>410</v>
      </c>
      <c r="G2675">
        <v>67</v>
      </c>
      <c r="I2675">
        <v>67</v>
      </c>
    </row>
    <row r="2676" spans="1:17" x14ac:dyDescent="0.2">
      <c r="A2676" s="121">
        <v>40178</v>
      </c>
      <c r="B2676" t="s">
        <v>406</v>
      </c>
      <c r="C2676" t="s">
        <v>429</v>
      </c>
      <c r="D2676" t="s">
        <v>434</v>
      </c>
      <c r="E2676" t="s">
        <v>435</v>
      </c>
      <c r="F2676" t="s">
        <v>410</v>
      </c>
      <c r="G2676">
        <v>39</v>
      </c>
      <c r="I2676">
        <v>39</v>
      </c>
    </row>
    <row r="2677" spans="1:17" x14ac:dyDescent="0.2">
      <c r="A2677" s="121">
        <v>40178</v>
      </c>
      <c r="B2677" t="s">
        <v>406</v>
      </c>
      <c r="C2677" t="s">
        <v>429</v>
      </c>
      <c r="D2677" t="s">
        <v>436</v>
      </c>
      <c r="E2677" t="s">
        <v>437</v>
      </c>
      <c r="F2677" t="s">
        <v>410</v>
      </c>
      <c r="G2677">
        <v>49</v>
      </c>
      <c r="I2677">
        <v>49</v>
      </c>
    </row>
    <row r="2678" spans="1:17" x14ac:dyDescent="0.2">
      <c r="A2678" s="121">
        <v>40178</v>
      </c>
      <c r="B2678" t="s">
        <v>406</v>
      </c>
      <c r="C2678" t="s">
        <v>429</v>
      </c>
      <c r="D2678" t="s">
        <v>438</v>
      </c>
      <c r="E2678" t="s">
        <v>439</v>
      </c>
      <c r="F2678" t="s">
        <v>413</v>
      </c>
      <c r="G2678">
        <v>1010</v>
      </c>
      <c r="H2678">
        <v>1010</v>
      </c>
      <c r="I2678">
        <v>987</v>
      </c>
      <c r="J2678">
        <v>987</v>
      </c>
      <c r="K2678">
        <v>130</v>
      </c>
      <c r="L2678">
        <v>1</v>
      </c>
      <c r="M2678">
        <v>870</v>
      </c>
      <c r="N2678">
        <v>8</v>
      </c>
      <c r="O2678">
        <v>1</v>
      </c>
      <c r="P2678">
        <v>3</v>
      </c>
      <c r="Q2678">
        <v>0</v>
      </c>
    </row>
    <row r="2679" spans="1:17" x14ac:dyDescent="0.2">
      <c r="A2679" s="121">
        <v>40178</v>
      </c>
      <c r="B2679" t="s">
        <v>406</v>
      </c>
      <c r="C2679" t="s">
        <v>429</v>
      </c>
      <c r="D2679" t="s">
        <v>440</v>
      </c>
      <c r="E2679" t="s">
        <v>441</v>
      </c>
      <c r="F2679" t="s">
        <v>413</v>
      </c>
      <c r="G2679">
        <v>2914</v>
      </c>
      <c r="H2679">
        <v>2914</v>
      </c>
      <c r="I2679">
        <v>2732</v>
      </c>
      <c r="J2679">
        <v>2732</v>
      </c>
      <c r="K2679">
        <v>1125</v>
      </c>
      <c r="L2679">
        <v>4</v>
      </c>
      <c r="M2679">
        <v>1716</v>
      </c>
      <c r="N2679">
        <v>5</v>
      </c>
      <c r="O2679">
        <v>64</v>
      </c>
      <c r="P2679">
        <v>3</v>
      </c>
      <c r="Q2679">
        <v>0</v>
      </c>
    </row>
    <row r="2680" spans="1:17" x14ac:dyDescent="0.2">
      <c r="A2680" s="121">
        <v>40178</v>
      </c>
      <c r="B2680" t="s">
        <v>406</v>
      </c>
      <c r="C2680" t="s">
        <v>442</v>
      </c>
      <c r="D2680" t="s">
        <v>443</v>
      </c>
      <c r="E2680" t="s">
        <v>444</v>
      </c>
      <c r="F2680" t="s">
        <v>413</v>
      </c>
      <c r="G2680">
        <v>3272</v>
      </c>
      <c r="H2680">
        <v>3272</v>
      </c>
      <c r="I2680">
        <v>3145</v>
      </c>
      <c r="J2680">
        <v>3145</v>
      </c>
      <c r="K2680">
        <v>459</v>
      </c>
      <c r="L2680">
        <v>5</v>
      </c>
      <c r="M2680">
        <v>2665</v>
      </c>
      <c r="N2680">
        <v>47</v>
      </c>
      <c r="O2680">
        <v>96</v>
      </c>
      <c r="P2680">
        <v>8</v>
      </c>
      <c r="Q2680">
        <v>1</v>
      </c>
    </row>
    <row r="2681" spans="1:17" x14ac:dyDescent="0.2">
      <c r="A2681" s="121">
        <v>40178</v>
      </c>
      <c r="B2681" t="s">
        <v>406</v>
      </c>
      <c r="C2681" t="s">
        <v>442</v>
      </c>
      <c r="D2681" t="s">
        <v>445</v>
      </c>
      <c r="E2681" t="s">
        <v>446</v>
      </c>
      <c r="F2681" t="s">
        <v>410</v>
      </c>
      <c r="G2681">
        <v>104</v>
      </c>
      <c r="I2681">
        <v>104</v>
      </c>
    </row>
    <row r="2682" spans="1:17" x14ac:dyDescent="0.2">
      <c r="A2682" s="121">
        <v>40178</v>
      </c>
      <c r="B2682" t="s">
        <v>406</v>
      </c>
      <c r="C2682" t="s">
        <v>442</v>
      </c>
      <c r="D2682" t="s">
        <v>447</v>
      </c>
      <c r="E2682" t="s">
        <v>448</v>
      </c>
      <c r="F2682" t="s">
        <v>410</v>
      </c>
      <c r="G2682">
        <v>289</v>
      </c>
      <c r="I2682">
        <v>289</v>
      </c>
    </row>
    <row r="2683" spans="1:17" x14ac:dyDescent="0.2">
      <c r="A2683" s="121">
        <v>40178</v>
      </c>
      <c r="B2683" t="s">
        <v>406</v>
      </c>
      <c r="C2683" t="s">
        <v>442</v>
      </c>
      <c r="D2683" t="s">
        <v>449</v>
      </c>
      <c r="E2683" t="s">
        <v>450</v>
      </c>
      <c r="F2683" t="s">
        <v>413</v>
      </c>
      <c r="G2683">
        <v>3166</v>
      </c>
      <c r="H2683">
        <v>3166</v>
      </c>
      <c r="I2683">
        <v>3076</v>
      </c>
      <c r="J2683">
        <v>3076</v>
      </c>
      <c r="K2683">
        <v>711</v>
      </c>
      <c r="L2683">
        <v>3</v>
      </c>
      <c r="M2683">
        <v>2410</v>
      </c>
      <c r="N2683">
        <v>15</v>
      </c>
      <c r="O2683">
        <v>27</v>
      </c>
      <c r="P2683">
        <v>3</v>
      </c>
      <c r="Q2683">
        <v>0</v>
      </c>
    </row>
    <row r="2684" spans="1:17" x14ac:dyDescent="0.2">
      <c r="A2684" s="121">
        <v>40178</v>
      </c>
      <c r="B2684" t="s">
        <v>406</v>
      </c>
      <c r="C2684" t="s">
        <v>451</v>
      </c>
      <c r="D2684" t="s">
        <v>452</v>
      </c>
      <c r="E2684" t="s">
        <v>453</v>
      </c>
      <c r="F2684" t="s">
        <v>410</v>
      </c>
      <c r="G2684">
        <v>1449</v>
      </c>
      <c r="H2684">
        <v>1449</v>
      </c>
      <c r="I2684">
        <v>1448</v>
      </c>
      <c r="J2684">
        <v>1448</v>
      </c>
      <c r="K2684">
        <v>0</v>
      </c>
      <c r="L2684">
        <v>0</v>
      </c>
      <c r="M2684">
        <v>1014</v>
      </c>
      <c r="N2684">
        <v>144</v>
      </c>
      <c r="O2684">
        <v>291</v>
      </c>
      <c r="P2684">
        <v>0</v>
      </c>
      <c r="Q2684">
        <v>0</v>
      </c>
    </row>
    <row r="2685" spans="1:17" x14ac:dyDescent="0.2">
      <c r="A2685" s="121">
        <v>40178</v>
      </c>
      <c r="B2685" t="s">
        <v>406</v>
      </c>
      <c r="C2685" t="s">
        <v>451</v>
      </c>
      <c r="D2685" t="s">
        <v>454</v>
      </c>
      <c r="E2685" t="s">
        <v>455</v>
      </c>
      <c r="F2685" t="s">
        <v>413</v>
      </c>
      <c r="G2685">
        <v>4392</v>
      </c>
      <c r="H2685">
        <v>4392</v>
      </c>
      <c r="I2685">
        <v>4198</v>
      </c>
      <c r="J2685">
        <v>4198</v>
      </c>
      <c r="K2685">
        <v>1335</v>
      </c>
      <c r="L2685">
        <v>11</v>
      </c>
      <c r="M2685">
        <v>2321</v>
      </c>
      <c r="N2685">
        <v>37</v>
      </c>
      <c r="O2685">
        <v>688</v>
      </c>
      <c r="P2685">
        <v>4</v>
      </c>
      <c r="Q2685">
        <v>0</v>
      </c>
    </row>
    <row r="2686" spans="1:17" x14ac:dyDescent="0.2">
      <c r="A2686" s="121">
        <v>40178</v>
      </c>
      <c r="B2686" t="s">
        <v>406</v>
      </c>
      <c r="C2686" t="s">
        <v>456</v>
      </c>
      <c r="D2686" t="s">
        <v>457</v>
      </c>
      <c r="E2686" t="s">
        <v>458</v>
      </c>
      <c r="F2686" t="s">
        <v>413</v>
      </c>
      <c r="G2686">
        <v>5178</v>
      </c>
      <c r="H2686">
        <v>5178</v>
      </c>
      <c r="I2686">
        <v>5030</v>
      </c>
      <c r="J2686">
        <v>5030</v>
      </c>
      <c r="K2686">
        <v>1396</v>
      </c>
      <c r="L2686">
        <v>15</v>
      </c>
      <c r="M2686">
        <v>3668</v>
      </c>
      <c r="N2686">
        <v>70</v>
      </c>
      <c r="O2686">
        <v>29</v>
      </c>
      <c r="P2686">
        <v>7</v>
      </c>
      <c r="Q2686">
        <v>1</v>
      </c>
    </row>
    <row r="2687" spans="1:17" x14ac:dyDescent="0.2">
      <c r="A2687" s="121">
        <v>40178</v>
      </c>
      <c r="B2687" t="s">
        <v>406</v>
      </c>
      <c r="C2687" t="s">
        <v>456</v>
      </c>
      <c r="D2687" t="s">
        <v>459</v>
      </c>
      <c r="E2687" t="s">
        <v>460</v>
      </c>
      <c r="F2687" t="s">
        <v>413</v>
      </c>
      <c r="G2687">
        <v>1260</v>
      </c>
      <c r="H2687">
        <v>1260</v>
      </c>
      <c r="I2687">
        <v>1253</v>
      </c>
      <c r="J2687">
        <v>1253</v>
      </c>
      <c r="K2687">
        <v>405</v>
      </c>
      <c r="L2687">
        <v>0</v>
      </c>
      <c r="M2687">
        <v>855</v>
      </c>
      <c r="N2687">
        <v>0</v>
      </c>
      <c r="O2687">
        <v>0</v>
      </c>
      <c r="P2687">
        <v>0</v>
      </c>
      <c r="Q2687">
        <v>0</v>
      </c>
    </row>
    <row r="2688" spans="1:17" x14ac:dyDescent="0.2">
      <c r="A2688" s="121">
        <v>40178</v>
      </c>
      <c r="B2688" t="s">
        <v>406</v>
      </c>
      <c r="C2688" t="s">
        <v>456</v>
      </c>
      <c r="D2688" t="s">
        <v>461</v>
      </c>
      <c r="E2688" t="s">
        <v>462</v>
      </c>
      <c r="F2688" t="s">
        <v>410</v>
      </c>
      <c r="G2688">
        <v>54</v>
      </c>
      <c r="I2688">
        <v>54</v>
      </c>
    </row>
    <row r="2689" spans="1:17" x14ac:dyDescent="0.2">
      <c r="A2689" s="121">
        <v>40178</v>
      </c>
      <c r="B2689" t="s">
        <v>406</v>
      </c>
      <c r="C2689" t="s">
        <v>456</v>
      </c>
      <c r="D2689" t="s">
        <v>463</v>
      </c>
      <c r="E2689" t="s">
        <v>464</v>
      </c>
      <c r="F2689" t="s">
        <v>410</v>
      </c>
      <c r="G2689">
        <v>34</v>
      </c>
      <c r="I2689">
        <v>34</v>
      </c>
    </row>
    <row r="2690" spans="1:17" x14ac:dyDescent="0.2">
      <c r="A2690" s="121">
        <v>40178</v>
      </c>
      <c r="B2690" t="s">
        <v>406</v>
      </c>
      <c r="C2690" t="s">
        <v>456</v>
      </c>
      <c r="D2690" t="s">
        <v>465</v>
      </c>
      <c r="E2690" t="s">
        <v>466</v>
      </c>
      <c r="F2690" t="s">
        <v>410</v>
      </c>
      <c r="G2690">
        <v>55</v>
      </c>
      <c r="I2690">
        <v>55</v>
      </c>
    </row>
    <row r="2691" spans="1:17" x14ac:dyDescent="0.2">
      <c r="A2691" s="121">
        <v>40178</v>
      </c>
      <c r="B2691" t="s">
        <v>406</v>
      </c>
      <c r="C2691" t="s">
        <v>456</v>
      </c>
      <c r="D2691" t="s">
        <v>467</v>
      </c>
      <c r="E2691" t="s">
        <v>468</v>
      </c>
      <c r="F2691" t="s">
        <v>410</v>
      </c>
      <c r="G2691">
        <v>1114</v>
      </c>
      <c r="I2691">
        <v>1112</v>
      </c>
    </row>
    <row r="2692" spans="1:17" x14ac:dyDescent="0.2">
      <c r="A2692" s="121">
        <v>40178</v>
      </c>
      <c r="B2692" t="s">
        <v>406</v>
      </c>
      <c r="C2692" t="s">
        <v>456</v>
      </c>
      <c r="D2692" t="s">
        <v>469</v>
      </c>
      <c r="E2692" t="s">
        <v>470</v>
      </c>
      <c r="F2692" t="s">
        <v>410</v>
      </c>
      <c r="G2692">
        <v>922</v>
      </c>
      <c r="I2692">
        <v>917</v>
      </c>
    </row>
    <row r="2693" spans="1:17" x14ac:dyDescent="0.2">
      <c r="A2693" s="121">
        <v>40178</v>
      </c>
      <c r="B2693" t="s">
        <v>406</v>
      </c>
      <c r="C2693" t="s">
        <v>456</v>
      </c>
      <c r="D2693" t="s">
        <v>471</v>
      </c>
      <c r="E2693" t="s">
        <v>472</v>
      </c>
      <c r="F2693" t="s">
        <v>410</v>
      </c>
      <c r="G2693">
        <v>204</v>
      </c>
      <c r="I2693">
        <v>203</v>
      </c>
    </row>
    <row r="2694" spans="1:17" x14ac:dyDescent="0.2">
      <c r="A2694" s="121">
        <v>40178</v>
      </c>
      <c r="B2694" t="s">
        <v>406</v>
      </c>
      <c r="C2694" t="s">
        <v>456</v>
      </c>
      <c r="D2694" t="s">
        <v>473</v>
      </c>
      <c r="E2694" t="s">
        <v>474</v>
      </c>
      <c r="F2694" t="s">
        <v>410</v>
      </c>
      <c r="G2694">
        <v>171</v>
      </c>
      <c r="I2694">
        <v>171</v>
      </c>
    </row>
    <row r="2695" spans="1:17" x14ac:dyDescent="0.2">
      <c r="A2695" s="121">
        <v>40178</v>
      </c>
      <c r="B2695" t="s">
        <v>406</v>
      </c>
      <c r="C2695" t="s">
        <v>456</v>
      </c>
      <c r="D2695" t="s">
        <v>475</v>
      </c>
      <c r="E2695" t="s">
        <v>476</v>
      </c>
      <c r="F2695" t="s">
        <v>410</v>
      </c>
      <c r="G2695">
        <v>273</v>
      </c>
      <c r="I2695">
        <v>273</v>
      </c>
    </row>
    <row r="2696" spans="1:17" x14ac:dyDescent="0.2">
      <c r="A2696" s="121">
        <v>40178</v>
      </c>
      <c r="B2696" t="s">
        <v>406</v>
      </c>
      <c r="C2696" t="s">
        <v>456</v>
      </c>
      <c r="D2696" t="s">
        <v>477</v>
      </c>
      <c r="E2696" t="s">
        <v>478</v>
      </c>
      <c r="F2696" t="s">
        <v>413</v>
      </c>
      <c r="G2696">
        <v>1841</v>
      </c>
      <c r="H2696">
        <v>1841</v>
      </c>
      <c r="I2696">
        <v>1699</v>
      </c>
      <c r="J2696">
        <v>1699</v>
      </c>
      <c r="K2696">
        <v>474</v>
      </c>
      <c r="L2696">
        <v>8</v>
      </c>
      <c r="M2696">
        <v>1315</v>
      </c>
      <c r="N2696">
        <v>20</v>
      </c>
      <c r="O2696">
        <v>24</v>
      </c>
      <c r="P2696">
        <v>18</v>
      </c>
      <c r="Q2696">
        <v>4</v>
      </c>
    </row>
    <row r="2697" spans="1:17" x14ac:dyDescent="0.2">
      <c r="A2697" s="121">
        <v>40178</v>
      </c>
      <c r="B2697" t="s">
        <v>406</v>
      </c>
      <c r="C2697" t="s">
        <v>456</v>
      </c>
      <c r="D2697" t="s">
        <v>479</v>
      </c>
      <c r="E2697" t="s">
        <v>480</v>
      </c>
      <c r="F2697" t="s">
        <v>410</v>
      </c>
      <c r="G2697">
        <v>85</v>
      </c>
      <c r="I2697">
        <v>85</v>
      </c>
    </row>
    <row r="2698" spans="1:17" x14ac:dyDescent="0.2">
      <c r="A2698" s="121">
        <v>40178</v>
      </c>
      <c r="B2698" t="s">
        <v>406</v>
      </c>
      <c r="C2698" t="s">
        <v>456</v>
      </c>
      <c r="D2698" t="s">
        <v>481</v>
      </c>
      <c r="E2698" t="s">
        <v>482</v>
      </c>
      <c r="F2698" t="s">
        <v>410</v>
      </c>
      <c r="G2698">
        <v>37</v>
      </c>
      <c r="I2698">
        <v>37</v>
      </c>
    </row>
    <row r="2699" spans="1:17" x14ac:dyDescent="0.2">
      <c r="A2699" s="121">
        <v>40178</v>
      </c>
      <c r="B2699" t="s">
        <v>406</v>
      </c>
      <c r="C2699" t="s">
        <v>456</v>
      </c>
      <c r="D2699" t="s">
        <v>483</v>
      </c>
      <c r="E2699" t="s">
        <v>484</v>
      </c>
      <c r="F2699" t="s">
        <v>410</v>
      </c>
      <c r="G2699">
        <v>85</v>
      </c>
      <c r="I2699">
        <v>85</v>
      </c>
    </row>
    <row r="2700" spans="1:17" x14ac:dyDescent="0.2">
      <c r="A2700" s="121">
        <v>40178</v>
      </c>
      <c r="B2700" t="s">
        <v>406</v>
      </c>
      <c r="C2700" t="s">
        <v>456</v>
      </c>
      <c r="D2700" t="s">
        <v>485</v>
      </c>
      <c r="E2700" t="s">
        <v>486</v>
      </c>
      <c r="F2700" t="s">
        <v>410</v>
      </c>
      <c r="G2700">
        <v>56</v>
      </c>
      <c r="I2700">
        <v>56</v>
      </c>
    </row>
    <row r="2701" spans="1:17" x14ac:dyDescent="0.2">
      <c r="A2701" s="121">
        <v>40178</v>
      </c>
      <c r="B2701" t="s">
        <v>406</v>
      </c>
      <c r="C2701" t="s">
        <v>456</v>
      </c>
      <c r="D2701" t="s">
        <v>487</v>
      </c>
      <c r="E2701" t="s">
        <v>488</v>
      </c>
      <c r="F2701" t="s">
        <v>410</v>
      </c>
      <c r="G2701">
        <v>35</v>
      </c>
      <c r="I2701">
        <v>35</v>
      </c>
    </row>
    <row r="2702" spans="1:17" x14ac:dyDescent="0.2">
      <c r="A2702" s="121">
        <v>40178</v>
      </c>
      <c r="B2702" t="s">
        <v>406</v>
      </c>
      <c r="C2702" t="s">
        <v>456</v>
      </c>
      <c r="D2702" t="s">
        <v>489</v>
      </c>
      <c r="E2702" t="s">
        <v>490</v>
      </c>
      <c r="F2702" t="s">
        <v>410</v>
      </c>
      <c r="G2702">
        <v>104</v>
      </c>
      <c r="H2702">
        <v>104</v>
      </c>
      <c r="I2702">
        <v>104</v>
      </c>
      <c r="J2702">
        <v>104</v>
      </c>
      <c r="K2702">
        <v>0</v>
      </c>
      <c r="L2702">
        <v>1</v>
      </c>
      <c r="M2702">
        <v>77</v>
      </c>
      <c r="N2702">
        <v>26</v>
      </c>
      <c r="O2702">
        <v>0</v>
      </c>
      <c r="P2702">
        <v>0</v>
      </c>
      <c r="Q2702">
        <v>0</v>
      </c>
    </row>
    <row r="2703" spans="1:17" x14ac:dyDescent="0.2">
      <c r="A2703" s="121">
        <v>40178</v>
      </c>
      <c r="B2703" t="s">
        <v>406</v>
      </c>
      <c r="C2703" t="s">
        <v>491</v>
      </c>
      <c r="D2703" t="s">
        <v>492</v>
      </c>
      <c r="E2703" t="s">
        <v>493</v>
      </c>
      <c r="F2703" t="s">
        <v>410</v>
      </c>
      <c r="G2703">
        <v>1116</v>
      </c>
      <c r="H2703">
        <v>1116</v>
      </c>
      <c r="I2703">
        <v>1100</v>
      </c>
      <c r="J2703">
        <v>1100</v>
      </c>
      <c r="K2703">
        <v>0</v>
      </c>
      <c r="L2703">
        <v>0</v>
      </c>
      <c r="M2703">
        <v>2</v>
      </c>
      <c r="N2703">
        <v>7</v>
      </c>
      <c r="O2703">
        <v>1107</v>
      </c>
      <c r="P2703">
        <v>0</v>
      </c>
      <c r="Q2703">
        <v>0</v>
      </c>
    </row>
    <row r="2704" spans="1:17" x14ac:dyDescent="0.2">
      <c r="A2704" s="121">
        <v>40178</v>
      </c>
      <c r="B2704" t="s">
        <v>406</v>
      </c>
      <c r="C2704" t="s">
        <v>491</v>
      </c>
      <c r="D2704" t="s">
        <v>494</v>
      </c>
      <c r="E2704" t="s">
        <v>495</v>
      </c>
      <c r="F2704" t="s">
        <v>413</v>
      </c>
      <c r="G2704">
        <v>2562</v>
      </c>
      <c r="H2704">
        <v>2562</v>
      </c>
      <c r="I2704">
        <v>2463</v>
      </c>
      <c r="J2704">
        <v>2463</v>
      </c>
      <c r="K2704">
        <v>0</v>
      </c>
      <c r="L2704">
        <v>0</v>
      </c>
      <c r="M2704">
        <v>11</v>
      </c>
      <c r="N2704">
        <v>20</v>
      </c>
      <c r="O2704">
        <v>2531</v>
      </c>
      <c r="P2704">
        <v>0</v>
      </c>
      <c r="Q2704">
        <v>0</v>
      </c>
    </row>
    <row r="2705" spans="1:17" x14ac:dyDescent="0.2">
      <c r="A2705" s="121">
        <v>40178</v>
      </c>
      <c r="B2705" t="s">
        <v>406</v>
      </c>
      <c r="C2705" t="s">
        <v>491</v>
      </c>
      <c r="D2705" t="s">
        <v>496</v>
      </c>
      <c r="E2705" t="s">
        <v>497</v>
      </c>
      <c r="F2705" t="s">
        <v>413</v>
      </c>
      <c r="G2705">
        <v>5419</v>
      </c>
      <c r="H2705">
        <v>5419</v>
      </c>
      <c r="I2705">
        <v>5217</v>
      </c>
      <c r="J2705">
        <v>5217</v>
      </c>
      <c r="K2705">
        <v>1483</v>
      </c>
      <c r="L2705">
        <v>0</v>
      </c>
      <c r="M2705">
        <v>13</v>
      </c>
      <c r="N2705">
        <v>55</v>
      </c>
      <c r="O2705">
        <v>3868</v>
      </c>
      <c r="P2705">
        <v>3</v>
      </c>
      <c r="Q2705">
        <v>1</v>
      </c>
    </row>
    <row r="2706" spans="1:17" x14ac:dyDescent="0.2">
      <c r="A2706" s="121">
        <v>40178</v>
      </c>
      <c r="B2706" t="s">
        <v>406</v>
      </c>
      <c r="C2706" t="s">
        <v>491</v>
      </c>
      <c r="D2706" t="s">
        <v>498</v>
      </c>
      <c r="E2706" t="s">
        <v>499</v>
      </c>
      <c r="F2706" t="s">
        <v>413</v>
      </c>
      <c r="G2706">
        <v>6027</v>
      </c>
      <c r="H2706">
        <v>6027</v>
      </c>
      <c r="I2706">
        <v>5741</v>
      </c>
      <c r="J2706">
        <v>5741</v>
      </c>
      <c r="K2706">
        <v>1937</v>
      </c>
      <c r="L2706">
        <v>19</v>
      </c>
      <c r="M2706">
        <v>3667</v>
      </c>
      <c r="N2706">
        <v>109</v>
      </c>
      <c r="O2706">
        <v>295</v>
      </c>
      <c r="P2706">
        <v>4</v>
      </c>
      <c r="Q2706">
        <v>0</v>
      </c>
    </row>
    <row r="2707" spans="1:17" x14ac:dyDescent="0.2">
      <c r="A2707" s="121">
        <v>40178</v>
      </c>
      <c r="B2707" t="s">
        <v>406</v>
      </c>
      <c r="C2707" t="s">
        <v>491</v>
      </c>
      <c r="D2707" t="s">
        <v>500</v>
      </c>
      <c r="E2707" t="s">
        <v>501</v>
      </c>
      <c r="F2707" t="s">
        <v>413</v>
      </c>
      <c r="G2707">
        <v>3338</v>
      </c>
      <c r="H2707">
        <v>3338</v>
      </c>
      <c r="I2707">
        <v>3308</v>
      </c>
      <c r="J2707">
        <v>3308</v>
      </c>
      <c r="K2707">
        <v>960</v>
      </c>
      <c r="L2707">
        <v>0</v>
      </c>
      <c r="M2707">
        <v>2162</v>
      </c>
      <c r="N2707">
        <v>36</v>
      </c>
      <c r="O2707">
        <v>180</v>
      </c>
      <c r="P2707">
        <v>0</v>
      </c>
      <c r="Q2707">
        <v>0</v>
      </c>
    </row>
    <row r="2708" spans="1:17" x14ac:dyDescent="0.2">
      <c r="A2708" s="121">
        <v>40178</v>
      </c>
      <c r="B2708" t="s">
        <v>406</v>
      </c>
      <c r="C2708" t="s">
        <v>491</v>
      </c>
      <c r="D2708" t="s">
        <v>502</v>
      </c>
      <c r="E2708" t="s">
        <v>615</v>
      </c>
      <c r="F2708" t="s">
        <v>410</v>
      </c>
      <c r="G2708">
        <v>1224</v>
      </c>
      <c r="H2708">
        <v>1224</v>
      </c>
      <c r="I2708">
        <v>1224</v>
      </c>
      <c r="J2708">
        <v>1224</v>
      </c>
      <c r="K2708">
        <v>0</v>
      </c>
      <c r="L2708">
        <v>0</v>
      </c>
      <c r="M2708">
        <v>1193</v>
      </c>
      <c r="N2708">
        <v>2</v>
      </c>
      <c r="O2708">
        <v>29</v>
      </c>
      <c r="P2708">
        <v>0</v>
      </c>
      <c r="Q2708">
        <v>0</v>
      </c>
    </row>
    <row r="2709" spans="1:17" x14ac:dyDescent="0.2">
      <c r="A2709" s="121">
        <v>40178</v>
      </c>
      <c r="B2709" t="s">
        <v>406</v>
      </c>
      <c r="C2709" t="s">
        <v>491</v>
      </c>
      <c r="D2709" t="s">
        <v>502</v>
      </c>
      <c r="E2709" t="s">
        <v>503</v>
      </c>
      <c r="F2709" t="s">
        <v>413</v>
      </c>
      <c r="G2709">
        <v>4985</v>
      </c>
      <c r="H2709">
        <v>4985</v>
      </c>
      <c r="I2709">
        <v>4825</v>
      </c>
      <c r="J2709">
        <v>4825</v>
      </c>
      <c r="K2709">
        <v>1407</v>
      </c>
      <c r="L2709">
        <v>0</v>
      </c>
      <c r="M2709">
        <v>3258</v>
      </c>
      <c r="N2709">
        <v>177</v>
      </c>
      <c r="O2709">
        <v>143</v>
      </c>
      <c r="P2709">
        <v>13</v>
      </c>
      <c r="Q2709">
        <v>0</v>
      </c>
    </row>
    <row r="2710" spans="1:17" x14ac:dyDescent="0.2">
      <c r="A2710" s="121">
        <v>40178</v>
      </c>
      <c r="B2710" t="s">
        <v>406</v>
      </c>
      <c r="C2710" t="s">
        <v>491</v>
      </c>
      <c r="D2710" t="s">
        <v>504</v>
      </c>
      <c r="E2710" t="s">
        <v>505</v>
      </c>
      <c r="F2710" t="s">
        <v>413</v>
      </c>
      <c r="G2710">
        <v>3617</v>
      </c>
      <c r="H2710">
        <v>3617</v>
      </c>
      <c r="I2710">
        <v>3547</v>
      </c>
      <c r="J2710">
        <v>3547</v>
      </c>
      <c r="K2710">
        <v>1134</v>
      </c>
      <c r="L2710">
        <v>0</v>
      </c>
      <c r="M2710">
        <v>2409</v>
      </c>
      <c r="N2710">
        <v>47</v>
      </c>
      <c r="O2710">
        <v>27</v>
      </c>
      <c r="P2710">
        <v>1</v>
      </c>
      <c r="Q2710">
        <v>0</v>
      </c>
    </row>
    <row r="2711" spans="1:17" x14ac:dyDescent="0.2">
      <c r="A2711" s="121">
        <v>40178</v>
      </c>
      <c r="B2711" t="s">
        <v>406</v>
      </c>
      <c r="C2711" t="s">
        <v>491</v>
      </c>
      <c r="D2711" t="s">
        <v>506</v>
      </c>
      <c r="E2711" t="s">
        <v>507</v>
      </c>
      <c r="F2711" t="s">
        <v>413</v>
      </c>
      <c r="G2711">
        <v>4140</v>
      </c>
      <c r="H2711">
        <v>4140</v>
      </c>
      <c r="I2711">
        <v>4070</v>
      </c>
      <c r="J2711">
        <v>4070</v>
      </c>
      <c r="K2711">
        <v>587</v>
      </c>
      <c r="L2711">
        <v>0</v>
      </c>
      <c r="M2711">
        <v>3548</v>
      </c>
      <c r="N2711">
        <v>1</v>
      </c>
      <c r="O2711">
        <v>4</v>
      </c>
      <c r="P2711">
        <v>0</v>
      </c>
      <c r="Q2711">
        <v>0</v>
      </c>
    </row>
    <row r="2712" spans="1:17" x14ac:dyDescent="0.2">
      <c r="A2712" s="121">
        <v>40178</v>
      </c>
      <c r="B2712" t="s">
        <v>406</v>
      </c>
      <c r="C2712" t="s">
        <v>491</v>
      </c>
      <c r="D2712" t="s">
        <v>508</v>
      </c>
      <c r="E2712" t="s">
        <v>509</v>
      </c>
      <c r="F2712" t="s">
        <v>413</v>
      </c>
      <c r="G2712">
        <v>5098</v>
      </c>
      <c r="H2712">
        <v>5098</v>
      </c>
      <c r="I2712">
        <v>4994</v>
      </c>
      <c r="J2712">
        <v>4994</v>
      </c>
      <c r="K2712">
        <v>1743</v>
      </c>
      <c r="L2712">
        <v>8</v>
      </c>
      <c r="M2712">
        <v>2954</v>
      </c>
      <c r="N2712">
        <v>93</v>
      </c>
      <c r="O2712">
        <v>300</v>
      </c>
      <c r="P2712">
        <v>1</v>
      </c>
      <c r="Q2712">
        <v>0</v>
      </c>
    </row>
    <row r="2713" spans="1:17" x14ac:dyDescent="0.2">
      <c r="A2713" s="121">
        <v>40178</v>
      </c>
      <c r="B2713" t="s">
        <v>406</v>
      </c>
      <c r="C2713" t="s">
        <v>510</v>
      </c>
      <c r="D2713" t="s">
        <v>511</v>
      </c>
      <c r="E2713" t="s">
        <v>512</v>
      </c>
      <c r="F2713" t="s">
        <v>410</v>
      </c>
      <c r="G2713">
        <v>488</v>
      </c>
      <c r="I2713">
        <v>482</v>
      </c>
    </row>
    <row r="2714" spans="1:17" x14ac:dyDescent="0.2">
      <c r="A2714" s="121">
        <v>40178</v>
      </c>
      <c r="B2714" t="s">
        <v>406</v>
      </c>
      <c r="C2714" t="s">
        <v>510</v>
      </c>
      <c r="D2714" t="s">
        <v>513</v>
      </c>
      <c r="E2714" t="s">
        <v>514</v>
      </c>
      <c r="F2714" t="s">
        <v>410</v>
      </c>
      <c r="G2714">
        <v>477</v>
      </c>
      <c r="I2714">
        <v>465</v>
      </c>
    </row>
    <row r="2715" spans="1:17" x14ac:dyDescent="0.2">
      <c r="A2715" s="121">
        <v>40178</v>
      </c>
      <c r="B2715" t="s">
        <v>406</v>
      </c>
      <c r="C2715" t="s">
        <v>510</v>
      </c>
      <c r="D2715" t="s">
        <v>515</v>
      </c>
      <c r="E2715" t="s">
        <v>516</v>
      </c>
      <c r="F2715" t="s">
        <v>410</v>
      </c>
      <c r="G2715">
        <v>69</v>
      </c>
      <c r="I2715">
        <v>67</v>
      </c>
    </row>
    <row r="2716" spans="1:17" x14ac:dyDescent="0.2">
      <c r="A2716" s="121">
        <v>40178</v>
      </c>
      <c r="B2716" t="s">
        <v>406</v>
      </c>
      <c r="C2716" t="s">
        <v>510</v>
      </c>
      <c r="D2716" t="s">
        <v>517</v>
      </c>
      <c r="E2716" t="s">
        <v>518</v>
      </c>
      <c r="F2716" t="s">
        <v>410</v>
      </c>
      <c r="G2716">
        <v>294</v>
      </c>
      <c r="I2716">
        <v>291</v>
      </c>
    </row>
    <row r="2717" spans="1:17" x14ac:dyDescent="0.2">
      <c r="A2717" s="121">
        <v>40178</v>
      </c>
      <c r="B2717" t="s">
        <v>406</v>
      </c>
      <c r="C2717" t="s">
        <v>510</v>
      </c>
      <c r="D2717" t="s">
        <v>519</v>
      </c>
      <c r="E2717" t="s">
        <v>520</v>
      </c>
      <c r="F2717" t="s">
        <v>410</v>
      </c>
      <c r="G2717">
        <v>306</v>
      </c>
      <c r="I2717">
        <v>303</v>
      </c>
    </row>
    <row r="2718" spans="1:17" x14ac:dyDescent="0.2">
      <c r="A2718" s="121">
        <v>40178</v>
      </c>
      <c r="B2718" t="s">
        <v>406</v>
      </c>
      <c r="C2718" t="s">
        <v>510</v>
      </c>
      <c r="D2718" t="s">
        <v>521</v>
      </c>
      <c r="E2718" t="s">
        <v>522</v>
      </c>
      <c r="F2718" t="s">
        <v>410</v>
      </c>
      <c r="G2718">
        <v>45</v>
      </c>
      <c r="I2718">
        <v>45</v>
      </c>
    </row>
    <row r="2719" spans="1:17" x14ac:dyDescent="0.2">
      <c r="A2719" s="121">
        <v>40178</v>
      </c>
      <c r="B2719" t="s">
        <v>406</v>
      </c>
      <c r="C2719" t="s">
        <v>510</v>
      </c>
      <c r="D2719" t="s">
        <v>523</v>
      </c>
      <c r="E2719" t="s">
        <v>524</v>
      </c>
      <c r="F2719" t="s">
        <v>413</v>
      </c>
      <c r="G2719">
        <v>428</v>
      </c>
      <c r="I2719">
        <v>427</v>
      </c>
    </row>
    <row r="2720" spans="1:17" x14ac:dyDescent="0.2">
      <c r="A2720" s="121">
        <v>40178</v>
      </c>
      <c r="B2720" t="s">
        <v>406</v>
      </c>
      <c r="C2720" t="s">
        <v>510</v>
      </c>
      <c r="D2720" t="s">
        <v>527</v>
      </c>
      <c r="E2720" t="s">
        <v>528</v>
      </c>
      <c r="F2720" t="s">
        <v>410</v>
      </c>
      <c r="G2720">
        <v>191</v>
      </c>
      <c r="I2720">
        <v>190</v>
      </c>
    </row>
    <row r="2721" spans="1:17" x14ac:dyDescent="0.2">
      <c r="A2721" s="121">
        <v>40178</v>
      </c>
      <c r="B2721" t="s">
        <v>406</v>
      </c>
      <c r="C2721" t="s">
        <v>510</v>
      </c>
      <c r="D2721" t="s">
        <v>529</v>
      </c>
      <c r="E2721" t="s">
        <v>530</v>
      </c>
      <c r="F2721" t="s">
        <v>413</v>
      </c>
      <c r="G2721">
        <v>481</v>
      </c>
      <c r="I2721">
        <v>472</v>
      </c>
    </row>
    <row r="2722" spans="1:17" x14ac:dyDescent="0.2">
      <c r="A2722" s="121">
        <v>40178</v>
      </c>
      <c r="B2722" t="s">
        <v>406</v>
      </c>
      <c r="C2722" t="s">
        <v>510</v>
      </c>
      <c r="D2722" t="s">
        <v>531</v>
      </c>
      <c r="E2722" t="s">
        <v>532</v>
      </c>
      <c r="F2722" t="s">
        <v>410</v>
      </c>
      <c r="G2722">
        <v>62</v>
      </c>
      <c r="I2722">
        <v>62</v>
      </c>
    </row>
    <row r="2723" spans="1:17" x14ac:dyDescent="0.2">
      <c r="A2723" s="121">
        <v>40178</v>
      </c>
      <c r="B2723" t="s">
        <v>406</v>
      </c>
      <c r="C2723" t="s">
        <v>510</v>
      </c>
      <c r="D2723" t="s">
        <v>533</v>
      </c>
      <c r="E2723" t="s">
        <v>534</v>
      </c>
      <c r="F2723" t="s">
        <v>413</v>
      </c>
      <c r="G2723">
        <v>2291</v>
      </c>
      <c r="H2723">
        <v>2291</v>
      </c>
      <c r="I2723">
        <v>2241</v>
      </c>
      <c r="J2723">
        <v>2241</v>
      </c>
      <c r="K2723">
        <v>560</v>
      </c>
      <c r="L2723">
        <v>41</v>
      </c>
      <c r="M2723">
        <v>1687</v>
      </c>
      <c r="N2723">
        <v>3</v>
      </c>
      <c r="O2723">
        <v>0</v>
      </c>
      <c r="P2723">
        <v>1</v>
      </c>
      <c r="Q2723">
        <v>0</v>
      </c>
    </row>
    <row r="2724" spans="1:17" x14ac:dyDescent="0.2">
      <c r="A2724" s="121">
        <v>40178</v>
      </c>
      <c r="B2724" t="s">
        <v>406</v>
      </c>
      <c r="C2724" t="s">
        <v>510</v>
      </c>
      <c r="D2724" t="s">
        <v>535</v>
      </c>
      <c r="E2724" t="s">
        <v>536</v>
      </c>
      <c r="F2724" t="s">
        <v>410</v>
      </c>
      <c r="G2724">
        <v>171</v>
      </c>
      <c r="I2724">
        <v>171</v>
      </c>
    </row>
    <row r="2725" spans="1:17" x14ac:dyDescent="0.2">
      <c r="A2725" s="121">
        <v>40178</v>
      </c>
      <c r="B2725" t="s">
        <v>406</v>
      </c>
      <c r="C2725" t="s">
        <v>510</v>
      </c>
      <c r="D2725" t="s">
        <v>537</v>
      </c>
      <c r="E2725" t="s">
        <v>538</v>
      </c>
      <c r="F2725" t="s">
        <v>410</v>
      </c>
      <c r="G2725">
        <v>77</v>
      </c>
      <c r="I2725">
        <v>77</v>
      </c>
    </row>
    <row r="2726" spans="1:17" x14ac:dyDescent="0.2">
      <c r="A2726" s="121">
        <v>40178</v>
      </c>
      <c r="B2726" t="s">
        <v>406</v>
      </c>
      <c r="C2726" t="s">
        <v>510</v>
      </c>
      <c r="D2726" t="s">
        <v>539</v>
      </c>
      <c r="E2726" t="s">
        <v>540</v>
      </c>
      <c r="F2726" t="s">
        <v>413</v>
      </c>
      <c r="G2726">
        <v>584</v>
      </c>
      <c r="I2726">
        <v>577</v>
      </c>
    </row>
    <row r="2727" spans="1:17" x14ac:dyDescent="0.2">
      <c r="A2727" s="121">
        <v>40178</v>
      </c>
      <c r="B2727" t="s">
        <v>406</v>
      </c>
      <c r="C2727" t="s">
        <v>510</v>
      </c>
      <c r="D2727" t="s">
        <v>541</v>
      </c>
      <c r="E2727" t="s">
        <v>542</v>
      </c>
      <c r="F2727" t="s">
        <v>410</v>
      </c>
      <c r="G2727">
        <v>268</v>
      </c>
      <c r="I2727">
        <v>266</v>
      </c>
    </row>
    <row r="2728" spans="1:17" x14ac:dyDescent="0.2">
      <c r="A2728" s="121">
        <v>40178</v>
      </c>
      <c r="B2728" t="s">
        <v>406</v>
      </c>
      <c r="C2728" t="s">
        <v>510</v>
      </c>
      <c r="D2728" t="s">
        <v>543</v>
      </c>
      <c r="E2728" t="s">
        <v>544</v>
      </c>
      <c r="F2728" t="s">
        <v>410</v>
      </c>
      <c r="G2728">
        <v>228</v>
      </c>
      <c r="I2728">
        <v>225</v>
      </c>
    </row>
    <row r="2729" spans="1:17" x14ac:dyDescent="0.2">
      <c r="A2729" s="121">
        <v>40178</v>
      </c>
      <c r="B2729" t="s">
        <v>406</v>
      </c>
      <c r="C2729" t="s">
        <v>510</v>
      </c>
      <c r="D2729" t="s">
        <v>545</v>
      </c>
      <c r="E2729" t="s">
        <v>546</v>
      </c>
      <c r="F2729" t="s">
        <v>410</v>
      </c>
      <c r="G2729">
        <v>156</v>
      </c>
      <c r="I2729">
        <v>156</v>
      </c>
    </row>
    <row r="2730" spans="1:17" x14ac:dyDescent="0.2">
      <c r="A2730" s="121">
        <v>40178</v>
      </c>
      <c r="B2730" t="s">
        <v>406</v>
      </c>
      <c r="C2730" t="s">
        <v>510</v>
      </c>
      <c r="D2730" t="s">
        <v>547</v>
      </c>
      <c r="E2730" t="s">
        <v>548</v>
      </c>
      <c r="F2730" t="s">
        <v>410</v>
      </c>
      <c r="G2730">
        <v>116</v>
      </c>
      <c r="I2730">
        <v>115</v>
      </c>
    </row>
    <row r="2731" spans="1:17" x14ac:dyDescent="0.2">
      <c r="A2731" s="121">
        <v>40178</v>
      </c>
      <c r="B2731" t="s">
        <v>406</v>
      </c>
      <c r="C2731" t="s">
        <v>510</v>
      </c>
      <c r="D2731" t="s">
        <v>549</v>
      </c>
      <c r="E2731" t="s">
        <v>550</v>
      </c>
      <c r="F2731" t="s">
        <v>410</v>
      </c>
      <c r="G2731">
        <v>149</v>
      </c>
      <c r="I2731">
        <v>149</v>
      </c>
    </row>
    <row r="2732" spans="1:17" x14ac:dyDescent="0.2">
      <c r="A2732" s="121">
        <v>40178</v>
      </c>
      <c r="B2732" t="s">
        <v>406</v>
      </c>
      <c r="C2732" t="s">
        <v>551</v>
      </c>
      <c r="D2732" t="s">
        <v>552</v>
      </c>
      <c r="E2732" t="s">
        <v>553</v>
      </c>
      <c r="F2732" t="s">
        <v>413</v>
      </c>
      <c r="G2732">
        <v>5536</v>
      </c>
      <c r="H2732">
        <v>5536</v>
      </c>
      <c r="I2732">
        <v>5365</v>
      </c>
      <c r="J2732">
        <v>5365</v>
      </c>
      <c r="K2732">
        <v>1592</v>
      </c>
      <c r="L2732">
        <v>8</v>
      </c>
      <c r="M2732">
        <v>3671</v>
      </c>
      <c r="N2732">
        <v>241</v>
      </c>
      <c r="O2732">
        <v>24</v>
      </c>
      <c r="P2732">
        <v>1</v>
      </c>
      <c r="Q2732">
        <v>0</v>
      </c>
    </row>
    <row r="2733" spans="1:17" x14ac:dyDescent="0.2">
      <c r="A2733" s="121">
        <v>40178</v>
      </c>
      <c r="B2733" t="s">
        <v>406</v>
      </c>
      <c r="C2733" t="s">
        <v>551</v>
      </c>
      <c r="D2733" t="s">
        <v>554</v>
      </c>
      <c r="E2733" t="s">
        <v>555</v>
      </c>
      <c r="F2733" t="s">
        <v>410</v>
      </c>
      <c r="G2733">
        <v>98</v>
      </c>
      <c r="I2733">
        <v>98</v>
      </c>
    </row>
    <row r="2734" spans="1:17" x14ac:dyDescent="0.2">
      <c r="A2734" s="121">
        <v>40178</v>
      </c>
      <c r="B2734" t="s">
        <v>406</v>
      </c>
      <c r="C2734" t="s">
        <v>551</v>
      </c>
      <c r="D2734" t="s">
        <v>556</v>
      </c>
      <c r="E2734" t="s">
        <v>557</v>
      </c>
      <c r="F2734" t="s">
        <v>410</v>
      </c>
      <c r="G2734">
        <v>174</v>
      </c>
      <c r="I2734">
        <v>174</v>
      </c>
    </row>
    <row r="2735" spans="1:17" x14ac:dyDescent="0.2">
      <c r="A2735" s="121">
        <v>40178</v>
      </c>
      <c r="B2735" t="s">
        <v>406</v>
      </c>
      <c r="C2735" t="s">
        <v>551</v>
      </c>
      <c r="D2735" t="s">
        <v>558</v>
      </c>
      <c r="E2735" t="s">
        <v>559</v>
      </c>
      <c r="F2735" t="s">
        <v>413</v>
      </c>
      <c r="G2735">
        <v>4629</v>
      </c>
      <c r="H2735">
        <v>4629</v>
      </c>
      <c r="I2735">
        <v>4563</v>
      </c>
      <c r="J2735">
        <v>4563</v>
      </c>
      <c r="K2735">
        <v>1201</v>
      </c>
      <c r="L2735">
        <v>6</v>
      </c>
      <c r="M2735">
        <v>3285</v>
      </c>
      <c r="N2735">
        <v>114</v>
      </c>
      <c r="O2735">
        <v>23</v>
      </c>
      <c r="P2735">
        <v>0</v>
      </c>
      <c r="Q2735">
        <v>0</v>
      </c>
    </row>
    <row r="2736" spans="1:17" x14ac:dyDescent="0.2">
      <c r="A2736" s="121">
        <v>40178</v>
      </c>
      <c r="B2736" t="s">
        <v>406</v>
      </c>
      <c r="C2736" t="s">
        <v>551</v>
      </c>
      <c r="D2736" t="s">
        <v>560</v>
      </c>
      <c r="E2736" t="s">
        <v>561</v>
      </c>
      <c r="F2736" t="s">
        <v>413</v>
      </c>
      <c r="G2736">
        <v>5254</v>
      </c>
      <c r="H2736">
        <v>5254</v>
      </c>
      <c r="I2736">
        <v>5205</v>
      </c>
      <c r="J2736">
        <v>5205</v>
      </c>
      <c r="K2736">
        <v>1276</v>
      </c>
      <c r="L2736">
        <v>4</v>
      </c>
      <c r="M2736">
        <v>3707</v>
      </c>
      <c r="N2736">
        <v>249</v>
      </c>
      <c r="O2736">
        <v>18</v>
      </c>
      <c r="P2736">
        <v>1</v>
      </c>
      <c r="Q2736">
        <v>0</v>
      </c>
    </row>
    <row r="2737" spans="1:17" x14ac:dyDescent="0.2">
      <c r="A2737" s="121">
        <v>40178</v>
      </c>
      <c r="B2737" t="s">
        <v>406</v>
      </c>
      <c r="C2737" t="s">
        <v>562</v>
      </c>
      <c r="D2737" t="s">
        <v>603</v>
      </c>
      <c r="E2737" t="s">
        <v>604</v>
      </c>
      <c r="F2737" t="s">
        <v>410</v>
      </c>
      <c r="G2737">
        <v>13</v>
      </c>
      <c r="I2737">
        <v>13</v>
      </c>
    </row>
    <row r="2738" spans="1:17" x14ac:dyDescent="0.2">
      <c r="A2738" s="121">
        <v>40178</v>
      </c>
      <c r="B2738" t="s">
        <v>406</v>
      </c>
      <c r="C2738" t="s">
        <v>562</v>
      </c>
      <c r="D2738" t="s">
        <v>605</v>
      </c>
      <c r="E2738" t="s">
        <v>606</v>
      </c>
      <c r="F2738" t="s">
        <v>410</v>
      </c>
      <c r="G2738">
        <v>206</v>
      </c>
      <c r="I2738">
        <v>206</v>
      </c>
    </row>
    <row r="2739" spans="1:17" x14ac:dyDescent="0.2">
      <c r="A2739" s="121">
        <v>40178</v>
      </c>
      <c r="B2739" t="s">
        <v>406</v>
      </c>
      <c r="C2739" t="s">
        <v>562</v>
      </c>
      <c r="D2739" t="s">
        <v>563</v>
      </c>
      <c r="E2739" t="s">
        <v>564</v>
      </c>
      <c r="F2739" t="s">
        <v>410</v>
      </c>
      <c r="G2739">
        <v>3011</v>
      </c>
      <c r="H2739">
        <v>3011</v>
      </c>
      <c r="I2739">
        <v>2893</v>
      </c>
      <c r="J2739">
        <v>2893</v>
      </c>
      <c r="K2739">
        <v>1055</v>
      </c>
      <c r="L2739">
        <v>2</v>
      </c>
      <c r="M2739">
        <v>1919</v>
      </c>
      <c r="N2739">
        <v>35</v>
      </c>
      <c r="O2739">
        <v>0</v>
      </c>
      <c r="P2739">
        <v>13</v>
      </c>
      <c r="Q2739">
        <v>0</v>
      </c>
    </row>
    <row r="2740" spans="1:17" x14ac:dyDescent="0.2">
      <c r="A2740" s="121">
        <v>40178</v>
      </c>
      <c r="B2740" t="s">
        <v>406</v>
      </c>
      <c r="C2740" t="s">
        <v>562</v>
      </c>
      <c r="D2740" t="s">
        <v>565</v>
      </c>
      <c r="E2740" t="s">
        <v>566</v>
      </c>
      <c r="F2740" t="s">
        <v>413</v>
      </c>
      <c r="G2740">
        <v>3823</v>
      </c>
      <c r="H2740">
        <v>3823</v>
      </c>
      <c r="I2740">
        <v>3588</v>
      </c>
      <c r="J2740">
        <v>3588</v>
      </c>
      <c r="K2740">
        <v>995</v>
      </c>
      <c r="L2740">
        <v>6</v>
      </c>
      <c r="M2740">
        <v>2664</v>
      </c>
      <c r="N2740">
        <v>158</v>
      </c>
      <c r="O2740">
        <v>0</v>
      </c>
      <c r="P2740">
        <v>7</v>
      </c>
      <c r="Q2740">
        <v>0</v>
      </c>
    </row>
    <row r="2741" spans="1:17" x14ac:dyDescent="0.2">
      <c r="A2741" s="121">
        <v>40178</v>
      </c>
      <c r="B2741" t="s">
        <v>406</v>
      </c>
      <c r="C2741" t="s">
        <v>562</v>
      </c>
      <c r="D2741" t="s">
        <v>567</v>
      </c>
      <c r="E2741" t="s">
        <v>568</v>
      </c>
      <c r="F2741" t="s">
        <v>413</v>
      </c>
      <c r="G2741">
        <v>9168</v>
      </c>
      <c r="H2741">
        <v>9168</v>
      </c>
      <c r="I2741">
        <v>8553</v>
      </c>
      <c r="J2741">
        <v>8553</v>
      </c>
      <c r="K2741">
        <v>2629</v>
      </c>
      <c r="L2741">
        <v>21</v>
      </c>
      <c r="M2741">
        <v>6112</v>
      </c>
      <c r="N2741">
        <v>406</v>
      </c>
      <c r="O2741">
        <v>0</v>
      </c>
      <c r="P2741">
        <v>92</v>
      </c>
      <c r="Q2741">
        <v>15</v>
      </c>
    </row>
    <row r="2742" spans="1:17" x14ac:dyDescent="0.2">
      <c r="A2742" s="121">
        <v>40178</v>
      </c>
      <c r="B2742" t="s">
        <v>406</v>
      </c>
      <c r="C2742" t="s">
        <v>562</v>
      </c>
      <c r="D2742" t="s">
        <v>569</v>
      </c>
      <c r="E2742" t="s">
        <v>570</v>
      </c>
      <c r="F2742" t="s">
        <v>413</v>
      </c>
      <c r="G2742">
        <v>3126</v>
      </c>
      <c r="H2742">
        <v>3126</v>
      </c>
      <c r="I2742">
        <v>3071</v>
      </c>
      <c r="J2742">
        <v>3071</v>
      </c>
      <c r="K2742">
        <v>524</v>
      </c>
      <c r="L2742">
        <v>1</v>
      </c>
      <c r="M2742">
        <v>2601</v>
      </c>
      <c r="N2742">
        <v>0</v>
      </c>
      <c r="O2742">
        <v>0</v>
      </c>
      <c r="P2742">
        <v>1</v>
      </c>
      <c r="Q2742">
        <v>0</v>
      </c>
    </row>
    <row r="2743" spans="1:17" x14ac:dyDescent="0.2">
      <c r="A2743" s="121">
        <v>40178</v>
      </c>
      <c r="B2743" t="s">
        <v>406</v>
      </c>
      <c r="C2743" t="s">
        <v>571</v>
      </c>
      <c r="D2743" t="s">
        <v>572</v>
      </c>
      <c r="E2743" t="s">
        <v>573</v>
      </c>
      <c r="F2743" t="s">
        <v>410</v>
      </c>
      <c r="G2743">
        <v>274</v>
      </c>
      <c r="I2743">
        <v>273</v>
      </c>
    </row>
    <row r="2744" spans="1:17" x14ac:dyDescent="0.2">
      <c r="A2744" s="121">
        <v>40178</v>
      </c>
      <c r="B2744" t="s">
        <v>406</v>
      </c>
      <c r="C2744" t="s">
        <v>574</v>
      </c>
      <c r="D2744" t="s">
        <v>575</v>
      </c>
      <c r="E2744" t="s">
        <v>576</v>
      </c>
      <c r="F2744" t="s">
        <v>413</v>
      </c>
      <c r="G2744">
        <v>680</v>
      </c>
      <c r="H2744">
        <v>680</v>
      </c>
      <c r="I2744">
        <v>677</v>
      </c>
      <c r="J2744">
        <v>677</v>
      </c>
      <c r="K2744">
        <v>142</v>
      </c>
      <c r="L2744">
        <v>0</v>
      </c>
      <c r="M2744">
        <v>496</v>
      </c>
      <c r="N2744">
        <v>0</v>
      </c>
      <c r="O2744">
        <v>42</v>
      </c>
      <c r="P2744">
        <v>0</v>
      </c>
      <c r="Q2744">
        <v>0</v>
      </c>
    </row>
    <row r="2745" spans="1:17" x14ac:dyDescent="0.2">
      <c r="A2745" s="121">
        <v>40178</v>
      </c>
      <c r="B2745" t="s">
        <v>406</v>
      </c>
      <c r="C2745" t="s">
        <v>577</v>
      </c>
      <c r="D2745" t="s">
        <v>578</v>
      </c>
      <c r="E2745" t="s">
        <v>579</v>
      </c>
      <c r="F2745" t="s">
        <v>413</v>
      </c>
      <c r="G2745">
        <v>3974</v>
      </c>
      <c r="H2745">
        <v>3974</v>
      </c>
      <c r="I2745">
        <v>3914</v>
      </c>
      <c r="J2745">
        <v>3914</v>
      </c>
      <c r="K2745">
        <v>1059</v>
      </c>
      <c r="L2745">
        <v>21</v>
      </c>
      <c r="M2745">
        <v>2857</v>
      </c>
      <c r="N2745">
        <v>37</v>
      </c>
      <c r="O2745">
        <v>0</v>
      </c>
      <c r="P2745">
        <v>1</v>
      </c>
      <c r="Q2745">
        <v>0</v>
      </c>
    </row>
    <row r="2746" spans="1:17" x14ac:dyDescent="0.2">
      <c r="A2746" s="121">
        <v>40178</v>
      </c>
      <c r="B2746" t="s">
        <v>406</v>
      </c>
      <c r="C2746" t="s">
        <v>577</v>
      </c>
      <c r="D2746" t="s">
        <v>580</v>
      </c>
      <c r="E2746" t="s">
        <v>581</v>
      </c>
      <c r="F2746" t="s">
        <v>413</v>
      </c>
      <c r="G2746">
        <v>1936</v>
      </c>
      <c r="H2746">
        <v>1936</v>
      </c>
      <c r="I2746">
        <v>1927</v>
      </c>
      <c r="J2746">
        <v>1927</v>
      </c>
      <c r="K2746">
        <v>415</v>
      </c>
      <c r="L2746">
        <v>3</v>
      </c>
      <c r="M2746">
        <v>1261</v>
      </c>
      <c r="N2746">
        <v>213</v>
      </c>
      <c r="O2746">
        <v>44</v>
      </c>
      <c r="P2746">
        <v>0</v>
      </c>
      <c r="Q2746">
        <v>0</v>
      </c>
    </row>
    <row r="2747" spans="1:17" x14ac:dyDescent="0.2">
      <c r="A2747" s="121">
        <v>40178</v>
      </c>
      <c r="B2747" t="s">
        <v>406</v>
      </c>
      <c r="C2747" t="s">
        <v>577</v>
      </c>
      <c r="D2747" t="s">
        <v>609</v>
      </c>
      <c r="E2747" t="s">
        <v>610</v>
      </c>
      <c r="F2747" t="s">
        <v>410</v>
      </c>
      <c r="G2747">
        <v>18</v>
      </c>
      <c r="H2747">
        <v>18</v>
      </c>
      <c r="I2747">
        <v>18</v>
      </c>
      <c r="J2747">
        <v>18</v>
      </c>
      <c r="K2747">
        <v>1</v>
      </c>
      <c r="L2747">
        <v>0</v>
      </c>
      <c r="M2747">
        <v>15</v>
      </c>
      <c r="N2747">
        <v>0</v>
      </c>
      <c r="O2747">
        <v>2</v>
      </c>
      <c r="P2747">
        <v>0</v>
      </c>
      <c r="Q2747">
        <v>0</v>
      </c>
    </row>
    <row r="2748" spans="1:17" x14ac:dyDescent="0.2">
      <c r="A2748" s="121">
        <v>40178</v>
      </c>
      <c r="B2748" t="s">
        <v>406</v>
      </c>
      <c r="C2748" t="s">
        <v>577</v>
      </c>
      <c r="D2748" t="s">
        <v>611</v>
      </c>
      <c r="E2748" t="s">
        <v>612</v>
      </c>
      <c r="F2748" t="s">
        <v>410</v>
      </c>
      <c r="G2748">
        <v>9</v>
      </c>
      <c r="H2748">
        <v>9</v>
      </c>
      <c r="I2748">
        <v>9</v>
      </c>
      <c r="J2748">
        <v>9</v>
      </c>
      <c r="K2748">
        <v>0</v>
      </c>
      <c r="L2748">
        <v>0</v>
      </c>
      <c r="M2748">
        <v>5</v>
      </c>
      <c r="N2748">
        <v>0</v>
      </c>
      <c r="O2748">
        <v>4</v>
      </c>
      <c r="P2748">
        <v>0</v>
      </c>
      <c r="Q2748">
        <v>0</v>
      </c>
    </row>
    <row r="2749" spans="1:17" x14ac:dyDescent="0.2">
      <c r="A2749" s="121">
        <v>40178</v>
      </c>
      <c r="B2749" t="s">
        <v>406</v>
      </c>
      <c r="C2749" t="s">
        <v>577</v>
      </c>
      <c r="D2749" t="s">
        <v>584</v>
      </c>
      <c r="E2749" t="s">
        <v>585</v>
      </c>
      <c r="F2749" t="s">
        <v>410</v>
      </c>
      <c r="G2749">
        <v>248</v>
      </c>
      <c r="H2749">
        <v>248</v>
      </c>
      <c r="I2749">
        <v>247</v>
      </c>
      <c r="J2749">
        <v>247</v>
      </c>
      <c r="K2749">
        <v>9</v>
      </c>
      <c r="L2749">
        <v>0</v>
      </c>
      <c r="M2749">
        <v>205</v>
      </c>
      <c r="N2749">
        <v>0</v>
      </c>
      <c r="O2749">
        <v>34</v>
      </c>
      <c r="P2749">
        <v>0</v>
      </c>
      <c r="Q2749">
        <v>0</v>
      </c>
    </row>
    <row r="2750" spans="1:17" x14ac:dyDescent="0.2">
      <c r="A2750" s="121">
        <v>40178</v>
      </c>
      <c r="B2750" t="s">
        <v>406</v>
      </c>
      <c r="C2750" t="s">
        <v>577</v>
      </c>
      <c r="D2750" t="s">
        <v>586</v>
      </c>
      <c r="E2750" t="s">
        <v>587</v>
      </c>
      <c r="F2750" t="s">
        <v>410</v>
      </c>
      <c r="G2750">
        <v>1085</v>
      </c>
      <c r="H2750">
        <v>1085</v>
      </c>
      <c r="I2750">
        <v>1085</v>
      </c>
      <c r="J2750">
        <v>1085</v>
      </c>
      <c r="K2750">
        <v>35</v>
      </c>
      <c r="L2750">
        <v>0</v>
      </c>
      <c r="M2750">
        <v>779</v>
      </c>
      <c r="N2750">
        <v>0</v>
      </c>
      <c r="O2750">
        <v>271</v>
      </c>
      <c r="P2750">
        <v>0</v>
      </c>
      <c r="Q2750">
        <v>0</v>
      </c>
    </row>
    <row r="2751" spans="1:17" x14ac:dyDescent="0.2">
      <c r="A2751" s="121">
        <v>40178</v>
      </c>
      <c r="B2751" t="s">
        <v>406</v>
      </c>
      <c r="C2751" t="s">
        <v>577</v>
      </c>
      <c r="D2751" t="s">
        <v>588</v>
      </c>
      <c r="E2751" t="s">
        <v>589</v>
      </c>
      <c r="F2751" t="s">
        <v>410</v>
      </c>
      <c r="G2751">
        <v>284</v>
      </c>
      <c r="H2751">
        <v>284</v>
      </c>
      <c r="I2751">
        <v>284</v>
      </c>
      <c r="J2751">
        <v>284</v>
      </c>
      <c r="K2751">
        <v>5</v>
      </c>
      <c r="L2751">
        <v>0</v>
      </c>
      <c r="M2751">
        <v>233</v>
      </c>
      <c r="N2751">
        <v>0</v>
      </c>
      <c r="O2751">
        <v>46</v>
      </c>
      <c r="P2751">
        <v>0</v>
      </c>
      <c r="Q2751">
        <v>0</v>
      </c>
    </row>
    <row r="2752" spans="1:17" x14ac:dyDescent="0.2">
      <c r="A2752" s="121">
        <v>40178</v>
      </c>
      <c r="B2752" t="s">
        <v>406</v>
      </c>
      <c r="C2752" t="s">
        <v>577</v>
      </c>
      <c r="D2752" t="s">
        <v>613</v>
      </c>
      <c r="E2752" t="s">
        <v>614</v>
      </c>
      <c r="F2752" t="s">
        <v>410</v>
      </c>
      <c r="G2752">
        <v>159</v>
      </c>
      <c r="H2752">
        <v>159</v>
      </c>
      <c r="I2752">
        <v>159</v>
      </c>
      <c r="J2752">
        <v>159</v>
      </c>
      <c r="K2752">
        <v>11</v>
      </c>
      <c r="L2752">
        <v>0</v>
      </c>
      <c r="M2752">
        <v>129</v>
      </c>
      <c r="N2752">
        <v>0</v>
      </c>
      <c r="O2752">
        <v>19</v>
      </c>
      <c r="P2752">
        <v>0</v>
      </c>
      <c r="Q2752">
        <v>0</v>
      </c>
    </row>
    <row r="2753" spans="1:17" x14ac:dyDescent="0.2">
      <c r="A2753" s="121">
        <v>40178</v>
      </c>
      <c r="B2753" t="s">
        <v>406</v>
      </c>
      <c r="C2753" t="s">
        <v>577</v>
      </c>
      <c r="D2753" t="s">
        <v>590</v>
      </c>
      <c r="E2753" t="s">
        <v>591</v>
      </c>
      <c r="F2753" t="s">
        <v>410</v>
      </c>
      <c r="G2753">
        <v>594</v>
      </c>
      <c r="H2753">
        <v>594</v>
      </c>
      <c r="I2753">
        <v>594</v>
      </c>
      <c r="J2753">
        <v>594</v>
      </c>
      <c r="K2753">
        <v>9</v>
      </c>
      <c r="L2753">
        <v>0</v>
      </c>
      <c r="M2753">
        <v>530</v>
      </c>
      <c r="N2753">
        <v>0</v>
      </c>
      <c r="O2753">
        <v>55</v>
      </c>
      <c r="P2753">
        <v>0</v>
      </c>
      <c r="Q2753">
        <v>0</v>
      </c>
    </row>
    <row r="2754" spans="1:17" x14ac:dyDescent="0.2">
      <c r="A2754" s="121">
        <v>40178</v>
      </c>
      <c r="B2754" t="s">
        <v>406</v>
      </c>
      <c r="C2754" t="s">
        <v>577</v>
      </c>
      <c r="D2754" t="s">
        <v>607</v>
      </c>
      <c r="E2754" t="s">
        <v>608</v>
      </c>
      <c r="F2754" t="s">
        <v>410</v>
      </c>
      <c r="G2754">
        <v>80</v>
      </c>
      <c r="H2754">
        <v>80</v>
      </c>
      <c r="I2754">
        <v>80</v>
      </c>
      <c r="J2754">
        <v>80</v>
      </c>
      <c r="K2754">
        <v>2</v>
      </c>
      <c r="L2754">
        <v>0</v>
      </c>
      <c r="M2754">
        <v>67</v>
      </c>
      <c r="N2754">
        <v>0</v>
      </c>
      <c r="O2754">
        <v>11</v>
      </c>
      <c r="P2754">
        <v>0</v>
      </c>
      <c r="Q2754">
        <v>0</v>
      </c>
    </row>
    <row r="2755" spans="1:17" x14ac:dyDescent="0.2">
      <c r="A2755" s="121">
        <v>40178</v>
      </c>
      <c r="B2755" t="s">
        <v>406</v>
      </c>
      <c r="C2755" t="s">
        <v>577</v>
      </c>
      <c r="D2755" t="s">
        <v>592</v>
      </c>
      <c r="E2755" t="s">
        <v>593</v>
      </c>
      <c r="F2755" t="s">
        <v>410</v>
      </c>
      <c r="G2755">
        <v>655</v>
      </c>
      <c r="H2755">
        <v>655</v>
      </c>
      <c r="I2755">
        <v>654</v>
      </c>
      <c r="J2755">
        <v>654</v>
      </c>
      <c r="K2755">
        <v>0</v>
      </c>
      <c r="L2755">
        <v>0</v>
      </c>
      <c r="M2755">
        <v>0</v>
      </c>
      <c r="N2755">
        <v>0</v>
      </c>
      <c r="O2755">
        <v>655</v>
      </c>
      <c r="P2755">
        <v>0</v>
      </c>
      <c r="Q2755">
        <v>0</v>
      </c>
    </row>
    <row r="2756" spans="1:17" x14ac:dyDescent="0.2">
      <c r="A2756" s="121">
        <v>40178</v>
      </c>
      <c r="B2756" t="s">
        <v>406</v>
      </c>
      <c r="C2756" t="s">
        <v>594</v>
      </c>
      <c r="D2756" t="s">
        <v>595</v>
      </c>
      <c r="E2756" t="s">
        <v>596</v>
      </c>
      <c r="F2756" t="s">
        <v>410</v>
      </c>
      <c r="G2756">
        <v>28</v>
      </c>
      <c r="I2756">
        <v>28</v>
      </c>
    </row>
    <row r="2757" spans="1:17" x14ac:dyDescent="0.2">
      <c r="A2757" s="121">
        <v>40178</v>
      </c>
      <c r="B2757" t="s">
        <v>406</v>
      </c>
      <c r="C2757" t="s">
        <v>594</v>
      </c>
      <c r="D2757" t="s">
        <v>597</v>
      </c>
      <c r="E2757" t="s">
        <v>598</v>
      </c>
      <c r="F2757" t="s">
        <v>413</v>
      </c>
      <c r="G2757">
        <v>529</v>
      </c>
      <c r="H2757">
        <v>529</v>
      </c>
      <c r="I2757">
        <v>521</v>
      </c>
      <c r="J2757">
        <v>521</v>
      </c>
      <c r="K2757">
        <v>135</v>
      </c>
      <c r="L2757">
        <v>0</v>
      </c>
      <c r="M2757">
        <v>384</v>
      </c>
      <c r="N2757">
        <v>1</v>
      </c>
      <c r="O2757">
        <v>9</v>
      </c>
      <c r="P2757">
        <v>0</v>
      </c>
      <c r="Q2757">
        <v>0</v>
      </c>
    </row>
    <row r="2758" spans="1:17" x14ac:dyDescent="0.2">
      <c r="A2758" s="121">
        <v>40178</v>
      </c>
      <c r="B2758" t="s">
        <v>406</v>
      </c>
      <c r="C2758" t="s">
        <v>594</v>
      </c>
      <c r="D2758" t="s">
        <v>599</v>
      </c>
      <c r="E2758" t="s">
        <v>600</v>
      </c>
      <c r="F2758" t="s">
        <v>410</v>
      </c>
      <c r="G2758">
        <v>75</v>
      </c>
      <c r="I2758">
        <v>75</v>
      </c>
    </row>
    <row r="2759" spans="1:17" x14ac:dyDescent="0.2">
      <c r="A2759" s="121">
        <v>40209</v>
      </c>
      <c r="B2759" t="s">
        <v>406</v>
      </c>
      <c r="C2759" t="s">
        <v>407</v>
      </c>
      <c r="D2759" t="s">
        <v>408</v>
      </c>
      <c r="E2759" t="s">
        <v>409</v>
      </c>
      <c r="F2759" t="s">
        <v>410</v>
      </c>
      <c r="G2759">
        <v>181</v>
      </c>
      <c r="I2759">
        <v>181</v>
      </c>
    </row>
    <row r="2760" spans="1:17" x14ac:dyDescent="0.2">
      <c r="A2760" s="121">
        <v>40209</v>
      </c>
      <c r="B2760" t="s">
        <v>406</v>
      </c>
      <c r="C2760" t="s">
        <v>407</v>
      </c>
      <c r="D2760" t="s">
        <v>601</v>
      </c>
      <c r="E2760" t="s">
        <v>602</v>
      </c>
      <c r="F2760" t="s">
        <v>410</v>
      </c>
      <c r="G2760">
        <v>32</v>
      </c>
      <c r="I2760">
        <v>32</v>
      </c>
    </row>
    <row r="2761" spans="1:17" x14ac:dyDescent="0.2">
      <c r="A2761" s="121">
        <v>40209</v>
      </c>
      <c r="B2761" t="s">
        <v>406</v>
      </c>
      <c r="C2761" t="s">
        <v>407</v>
      </c>
      <c r="D2761" t="s">
        <v>411</v>
      </c>
      <c r="E2761" t="s">
        <v>412</v>
      </c>
      <c r="F2761" t="s">
        <v>413</v>
      </c>
      <c r="G2761">
        <v>5172</v>
      </c>
      <c r="H2761">
        <v>5172</v>
      </c>
      <c r="I2761">
        <v>5027</v>
      </c>
      <c r="J2761">
        <v>5027</v>
      </c>
      <c r="K2761">
        <v>2163</v>
      </c>
      <c r="L2761">
        <v>6</v>
      </c>
      <c r="M2761">
        <v>2875</v>
      </c>
      <c r="N2761">
        <v>39</v>
      </c>
      <c r="O2761">
        <v>89</v>
      </c>
      <c r="P2761">
        <v>2</v>
      </c>
      <c r="Q2761">
        <v>0</v>
      </c>
    </row>
    <row r="2762" spans="1:17" x14ac:dyDescent="0.2">
      <c r="A2762" s="121">
        <v>40209</v>
      </c>
      <c r="B2762" t="s">
        <v>406</v>
      </c>
      <c r="C2762" t="s">
        <v>407</v>
      </c>
      <c r="D2762" t="s">
        <v>414</v>
      </c>
      <c r="E2762" t="s">
        <v>415</v>
      </c>
      <c r="F2762" t="s">
        <v>410</v>
      </c>
      <c r="G2762">
        <v>49</v>
      </c>
      <c r="I2762">
        <v>49</v>
      </c>
    </row>
    <row r="2763" spans="1:17" x14ac:dyDescent="0.2">
      <c r="A2763" s="121">
        <v>40209</v>
      </c>
      <c r="B2763" t="s">
        <v>406</v>
      </c>
      <c r="C2763" t="s">
        <v>407</v>
      </c>
      <c r="D2763" t="s">
        <v>416</v>
      </c>
      <c r="E2763" t="s">
        <v>417</v>
      </c>
      <c r="F2763" t="s">
        <v>413</v>
      </c>
      <c r="G2763">
        <v>3421</v>
      </c>
      <c r="H2763">
        <v>3421</v>
      </c>
      <c r="I2763">
        <v>3273</v>
      </c>
      <c r="J2763">
        <v>3273</v>
      </c>
      <c r="K2763">
        <v>1308</v>
      </c>
      <c r="L2763">
        <v>10</v>
      </c>
      <c r="M2763">
        <v>2015</v>
      </c>
      <c r="N2763">
        <v>68</v>
      </c>
      <c r="O2763">
        <v>20</v>
      </c>
      <c r="P2763">
        <v>8</v>
      </c>
      <c r="Q2763">
        <v>0</v>
      </c>
    </row>
    <row r="2764" spans="1:17" x14ac:dyDescent="0.2">
      <c r="A2764" s="121">
        <v>40209</v>
      </c>
      <c r="B2764" t="s">
        <v>406</v>
      </c>
      <c r="C2764" t="s">
        <v>418</v>
      </c>
      <c r="D2764" t="s">
        <v>419</v>
      </c>
      <c r="E2764" t="s">
        <v>420</v>
      </c>
      <c r="F2764" t="s">
        <v>410</v>
      </c>
      <c r="G2764">
        <v>7</v>
      </c>
      <c r="I2764">
        <v>7</v>
      </c>
    </row>
    <row r="2765" spans="1:17" x14ac:dyDescent="0.2">
      <c r="A2765" s="121">
        <v>40209</v>
      </c>
      <c r="B2765" t="s">
        <v>406</v>
      </c>
      <c r="C2765" t="s">
        <v>418</v>
      </c>
      <c r="D2765" t="s">
        <v>421</v>
      </c>
      <c r="E2765" t="s">
        <v>422</v>
      </c>
      <c r="F2765" t="s">
        <v>410</v>
      </c>
      <c r="G2765">
        <v>75</v>
      </c>
      <c r="I2765">
        <v>75</v>
      </c>
    </row>
    <row r="2766" spans="1:17" x14ac:dyDescent="0.2">
      <c r="A2766" s="121">
        <v>40209</v>
      </c>
      <c r="B2766" t="s">
        <v>406</v>
      </c>
      <c r="C2766" t="s">
        <v>418</v>
      </c>
      <c r="D2766" t="s">
        <v>423</v>
      </c>
      <c r="E2766" t="s">
        <v>424</v>
      </c>
      <c r="F2766" t="s">
        <v>410</v>
      </c>
      <c r="G2766">
        <v>17</v>
      </c>
      <c r="I2766">
        <v>17</v>
      </c>
    </row>
    <row r="2767" spans="1:17" x14ac:dyDescent="0.2">
      <c r="A2767" s="121">
        <v>40209</v>
      </c>
      <c r="B2767" t="s">
        <v>406</v>
      </c>
      <c r="C2767" t="s">
        <v>418</v>
      </c>
      <c r="D2767" t="s">
        <v>425</v>
      </c>
      <c r="E2767" t="s">
        <v>426</v>
      </c>
      <c r="F2767" t="s">
        <v>410</v>
      </c>
      <c r="G2767">
        <v>43</v>
      </c>
      <c r="I2767">
        <v>43</v>
      </c>
    </row>
    <row r="2768" spans="1:17" x14ac:dyDescent="0.2">
      <c r="A2768" s="121">
        <v>40209</v>
      </c>
      <c r="B2768" t="s">
        <v>406</v>
      </c>
      <c r="C2768" t="s">
        <v>418</v>
      </c>
      <c r="D2768" t="s">
        <v>427</v>
      </c>
      <c r="E2768" t="s">
        <v>428</v>
      </c>
      <c r="F2768" t="s">
        <v>413</v>
      </c>
      <c r="G2768">
        <v>1620</v>
      </c>
      <c r="H2768">
        <v>1620</v>
      </c>
      <c r="I2768">
        <v>1565</v>
      </c>
      <c r="J2768">
        <v>1565</v>
      </c>
      <c r="K2768">
        <v>609</v>
      </c>
      <c r="L2768">
        <v>3</v>
      </c>
      <c r="M2768">
        <v>875</v>
      </c>
      <c r="N2768">
        <v>18</v>
      </c>
      <c r="O2768">
        <v>115</v>
      </c>
      <c r="P2768">
        <v>1</v>
      </c>
      <c r="Q2768">
        <v>0</v>
      </c>
    </row>
    <row r="2769" spans="1:17" x14ac:dyDescent="0.2">
      <c r="A2769" s="121">
        <v>40209</v>
      </c>
      <c r="B2769" t="s">
        <v>406</v>
      </c>
      <c r="C2769" t="s">
        <v>429</v>
      </c>
      <c r="D2769" t="s">
        <v>430</v>
      </c>
      <c r="E2769" t="s">
        <v>431</v>
      </c>
      <c r="F2769" t="s">
        <v>410</v>
      </c>
      <c r="G2769">
        <v>64</v>
      </c>
      <c r="I2769">
        <v>64</v>
      </c>
    </row>
    <row r="2770" spans="1:17" x14ac:dyDescent="0.2">
      <c r="A2770" s="121">
        <v>40209</v>
      </c>
      <c r="B2770" t="s">
        <v>406</v>
      </c>
      <c r="C2770" t="s">
        <v>429</v>
      </c>
      <c r="D2770" t="s">
        <v>432</v>
      </c>
      <c r="E2770" t="s">
        <v>433</v>
      </c>
      <c r="F2770" t="s">
        <v>410</v>
      </c>
      <c r="G2770">
        <v>67</v>
      </c>
      <c r="I2770">
        <v>67</v>
      </c>
    </row>
    <row r="2771" spans="1:17" x14ac:dyDescent="0.2">
      <c r="A2771" s="121">
        <v>40209</v>
      </c>
      <c r="B2771" t="s">
        <v>406</v>
      </c>
      <c r="C2771" t="s">
        <v>429</v>
      </c>
      <c r="D2771" t="s">
        <v>434</v>
      </c>
      <c r="E2771" t="s">
        <v>435</v>
      </c>
      <c r="F2771" t="s">
        <v>410</v>
      </c>
      <c r="G2771">
        <v>23</v>
      </c>
      <c r="I2771">
        <v>23</v>
      </c>
    </row>
    <row r="2772" spans="1:17" x14ac:dyDescent="0.2">
      <c r="A2772" s="121">
        <v>40209</v>
      </c>
      <c r="B2772" t="s">
        <v>406</v>
      </c>
      <c r="C2772" t="s">
        <v>429</v>
      </c>
      <c r="D2772" t="s">
        <v>436</v>
      </c>
      <c r="E2772" t="s">
        <v>437</v>
      </c>
      <c r="F2772" t="s">
        <v>410</v>
      </c>
      <c r="G2772">
        <v>38</v>
      </c>
      <c r="I2772">
        <v>38</v>
      </c>
    </row>
    <row r="2773" spans="1:17" x14ac:dyDescent="0.2">
      <c r="A2773" s="121">
        <v>40209</v>
      </c>
      <c r="B2773" t="s">
        <v>406</v>
      </c>
      <c r="C2773" t="s">
        <v>429</v>
      </c>
      <c r="D2773" t="s">
        <v>438</v>
      </c>
      <c r="E2773" t="s">
        <v>439</v>
      </c>
      <c r="F2773" t="s">
        <v>413</v>
      </c>
      <c r="G2773">
        <v>1058</v>
      </c>
      <c r="H2773">
        <v>1058</v>
      </c>
      <c r="I2773">
        <v>1040</v>
      </c>
      <c r="J2773">
        <v>1040</v>
      </c>
      <c r="K2773">
        <v>97</v>
      </c>
      <c r="L2773">
        <v>2</v>
      </c>
      <c r="M2773">
        <v>943</v>
      </c>
      <c r="N2773">
        <v>16</v>
      </c>
      <c r="O2773">
        <v>0</v>
      </c>
      <c r="P2773">
        <v>3</v>
      </c>
      <c r="Q2773">
        <v>0</v>
      </c>
    </row>
    <row r="2774" spans="1:17" x14ac:dyDescent="0.2">
      <c r="A2774" s="121">
        <v>40209</v>
      </c>
      <c r="B2774" t="s">
        <v>406</v>
      </c>
      <c r="C2774" t="s">
        <v>429</v>
      </c>
      <c r="D2774" t="s">
        <v>440</v>
      </c>
      <c r="E2774" t="s">
        <v>441</v>
      </c>
      <c r="F2774" t="s">
        <v>413</v>
      </c>
      <c r="G2774">
        <v>2867</v>
      </c>
      <c r="H2774">
        <v>2867</v>
      </c>
      <c r="I2774">
        <v>2680</v>
      </c>
      <c r="J2774">
        <v>2680</v>
      </c>
      <c r="K2774">
        <v>1011</v>
      </c>
      <c r="L2774">
        <v>1</v>
      </c>
      <c r="M2774">
        <v>1772</v>
      </c>
      <c r="N2774">
        <v>26</v>
      </c>
      <c r="O2774">
        <v>57</v>
      </c>
      <c r="P2774">
        <v>8</v>
      </c>
      <c r="Q2774">
        <v>0</v>
      </c>
    </row>
    <row r="2775" spans="1:17" x14ac:dyDescent="0.2">
      <c r="A2775" s="121">
        <v>40209</v>
      </c>
      <c r="B2775" t="s">
        <v>406</v>
      </c>
      <c r="C2775" t="s">
        <v>442</v>
      </c>
      <c r="D2775" t="s">
        <v>443</v>
      </c>
      <c r="E2775" t="s">
        <v>444</v>
      </c>
      <c r="F2775" t="s">
        <v>413</v>
      </c>
      <c r="G2775">
        <v>3277</v>
      </c>
      <c r="H2775">
        <v>3277</v>
      </c>
      <c r="I2775">
        <v>3174</v>
      </c>
      <c r="J2775">
        <v>3174</v>
      </c>
      <c r="K2775">
        <v>521</v>
      </c>
      <c r="L2775">
        <v>5</v>
      </c>
      <c r="M2775">
        <v>2632</v>
      </c>
      <c r="N2775">
        <v>38</v>
      </c>
      <c r="O2775">
        <v>81</v>
      </c>
      <c r="P2775">
        <v>11</v>
      </c>
      <c r="Q2775">
        <v>0</v>
      </c>
    </row>
    <row r="2776" spans="1:17" x14ac:dyDescent="0.2">
      <c r="A2776" s="121">
        <v>40209</v>
      </c>
      <c r="B2776" t="s">
        <v>406</v>
      </c>
      <c r="C2776" t="s">
        <v>442</v>
      </c>
      <c r="D2776" t="s">
        <v>445</v>
      </c>
      <c r="E2776" t="s">
        <v>446</v>
      </c>
      <c r="F2776" t="s">
        <v>410</v>
      </c>
      <c r="G2776">
        <v>96</v>
      </c>
      <c r="I2776">
        <v>96</v>
      </c>
    </row>
    <row r="2777" spans="1:17" x14ac:dyDescent="0.2">
      <c r="A2777" s="121">
        <v>40209</v>
      </c>
      <c r="B2777" t="s">
        <v>406</v>
      </c>
      <c r="C2777" t="s">
        <v>442</v>
      </c>
      <c r="D2777" t="s">
        <v>447</v>
      </c>
      <c r="E2777" t="s">
        <v>448</v>
      </c>
      <c r="F2777" t="s">
        <v>410</v>
      </c>
      <c r="G2777">
        <v>254</v>
      </c>
      <c r="I2777">
        <v>254</v>
      </c>
    </row>
    <row r="2778" spans="1:17" x14ac:dyDescent="0.2">
      <c r="A2778" s="121">
        <v>40209</v>
      </c>
      <c r="B2778" t="s">
        <v>406</v>
      </c>
      <c r="C2778" t="s">
        <v>442</v>
      </c>
      <c r="D2778" t="s">
        <v>449</v>
      </c>
      <c r="E2778" t="s">
        <v>450</v>
      </c>
      <c r="F2778" t="s">
        <v>413</v>
      </c>
      <c r="G2778">
        <v>3160</v>
      </c>
      <c r="H2778">
        <v>3160</v>
      </c>
      <c r="I2778">
        <v>3061</v>
      </c>
      <c r="J2778">
        <v>3061</v>
      </c>
      <c r="K2778">
        <v>725</v>
      </c>
      <c r="L2778">
        <v>5</v>
      </c>
      <c r="M2778">
        <v>2378</v>
      </c>
      <c r="N2778">
        <v>28</v>
      </c>
      <c r="O2778">
        <v>24</v>
      </c>
      <c r="P2778">
        <v>14</v>
      </c>
      <c r="Q2778">
        <v>2</v>
      </c>
    </row>
    <row r="2779" spans="1:17" x14ac:dyDescent="0.2">
      <c r="A2779" s="121">
        <v>40209</v>
      </c>
      <c r="B2779" t="s">
        <v>406</v>
      </c>
      <c r="C2779" t="s">
        <v>451</v>
      </c>
      <c r="D2779" t="s">
        <v>452</v>
      </c>
      <c r="E2779" t="s">
        <v>453</v>
      </c>
      <c r="F2779" t="s">
        <v>410</v>
      </c>
      <c r="G2779">
        <v>1483</v>
      </c>
      <c r="H2779">
        <v>1483</v>
      </c>
      <c r="I2779">
        <v>1482</v>
      </c>
      <c r="J2779">
        <v>1482</v>
      </c>
      <c r="K2779">
        <v>0</v>
      </c>
      <c r="L2779">
        <v>0</v>
      </c>
      <c r="M2779">
        <v>1045</v>
      </c>
      <c r="N2779">
        <v>141</v>
      </c>
      <c r="O2779">
        <v>297</v>
      </c>
      <c r="P2779">
        <v>0</v>
      </c>
      <c r="Q2779">
        <v>0</v>
      </c>
    </row>
    <row r="2780" spans="1:17" x14ac:dyDescent="0.2">
      <c r="A2780" s="121">
        <v>40209</v>
      </c>
      <c r="B2780" t="s">
        <v>406</v>
      </c>
      <c r="C2780" t="s">
        <v>451</v>
      </c>
      <c r="D2780" t="s">
        <v>454</v>
      </c>
      <c r="E2780" t="s">
        <v>455</v>
      </c>
      <c r="F2780" t="s">
        <v>413</v>
      </c>
      <c r="G2780">
        <v>4409</v>
      </c>
      <c r="H2780">
        <v>4409</v>
      </c>
      <c r="I2780">
        <v>4135</v>
      </c>
      <c r="J2780">
        <v>4135</v>
      </c>
      <c r="K2780">
        <v>1305</v>
      </c>
      <c r="L2780">
        <v>14</v>
      </c>
      <c r="M2780">
        <v>2317</v>
      </c>
      <c r="N2780">
        <v>42</v>
      </c>
      <c r="O2780">
        <v>731</v>
      </c>
      <c r="P2780">
        <v>9</v>
      </c>
      <c r="Q2780">
        <v>0</v>
      </c>
    </row>
    <row r="2781" spans="1:17" x14ac:dyDescent="0.2">
      <c r="A2781" s="121">
        <v>40209</v>
      </c>
      <c r="B2781" t="s">
        <v>406</v>
      </c>
      <c r="C2781" t="s">
        <v>456</v>
      </c>
      <c r="D2781" t="s">
        <v>457</v>
      </c>
      <c r="E2781" t="s">
        <v>458</v>
      </c>
      <c r="F2781" t="s">
        <v>413</v>
      </c>
      <c r="G2781">
        <v>4784</v>
      </c>
      <c r="H2781">
        <v>4784</v>
      </c>
      <c r="I2781">
        <v>4670</v>
      </c>
      <c r="J2781">
        <v>4670</v>
      </c>
      <c r="K2781">
        <v>1357</v>
      </c>
      <c r="L2781">
        <v>16</v>
      </c>
      <c r="M2781">
        <v>3323</v>
      </c>
      <c r="N2781">
        <v>55</v>
      </c>
      <c r="O2781">
        <v>33</v>
      </c>
      <c r="P2781">
        <v>12</v>
      </c>
      <c r="Q2781">
        <v>4</v>
      </c>
    </row>
    <row r="2782" spans="1:17" x14ac:dyDescent="0.2">
      <c r="A2782" s="121">
        <v>40209</v>
      </c>
      <c r="B2782" t="s">
        <v>406</v>
      </c>
      <c r="C2782" t="s">
        <v>456</v>
      </c>
      <c r="D2782" t="s">
        <v>459</v>
      </c>
      <c r="E2782" t="s">
        <v>460</v>
      </c>
      <c r="F2782" t="s">
        <v>413</v>
      </c>
      <c r="G2782">
        <v>1119</v>
      </c>
      <c r="H2782">
        <v>1119</v>
      </c>
      <c r="I2782">
        <v>1112</v>
      </c>
      <c r="J2782">
        <v>1112</v>
      </c>
      <c r="K2782">
        <v>359</v>
      </c>
      <c r="L2782">
        <v>0</v>
      </c>
      <c r="M2782">
        <v>760</v>
      </c>
      <c r="N2782">
        <v>0</v>
      </c>
      <c r="O2782">
        <v>0</v>
      </c>
      <c r="P2782">
        <v>0</v>
      </c>
      <c r="Q2782">
        <v>0</v>
      </c>
    </row>
    <row r="2783" spans="1:17" x14ac:dyDescent="0.2">
      <c r="A2783" s="121">
        <v>40209</v>
      </c>
      <c r="B2783" t="s">
        <v>406</v>
      </c>
      <c r="C2783" t="s">
        <v>456</v>
      </c>
      <c r="D2783" t="s">
        <v>461</v>
      </c>
      <c r="E2783" t="s">
        <v>462</v>
      </c>
      <c r="F2783" t="s">
        <v>410</v>
      </c>
      <c r="G2783">
        <v>48</v>
      </c>
      <c r="I2783">
        <v>48</v>
      </c>
    </row>
    <row r="2784" spans="1:17" x14ac:dyDescent="0.2">
      <c r="A2784" s="121">
        <v>40209</v>
      </c>
      <c r="B2784" t="s">
        <v>406</v>
      </c>
      <c r="C2784" t="s">
        <v>456</v>
      </c>
      <c r="D2784" t="s">
        <v>463</v>
      </c>
      <c r="E2784" t="s">
        <v>464</v>
      </c>
      <c r="F2784" t="s">
        <v>410</v>
      </c>
      <c r="G2784">
        <v>23</v>
      </c>
      <c r="I2784">
        <v>23</v>
      </c>
    </row>
    <row r="2785" spans="1:17" x14ac:dyDescent="0.2">
      <c r="A2785" s="121">
        <v>40209</v>
      </c>
      <c r="B2785" t="s">
        <v>406</v>
      </c>
      <c r="C2785" t="s">
        <v>456</v>
      </c>
      <c r="D2785" t="s">
        <v>465</v>
      </c>
      <c r="E2785" t="s">
        <v>466</v>
      </c>
      <c r="F2785" t="s">
        <v>410</v>
      </c>
      <c r="G2785">
        <v>61</v>
      </c>
      <c r="I2785">
        <v>61</v>
      </c>
    </row>
    <row r="2786" spans="1:17" x14ac:dyDescent="0.2">
      <c r="A2786" s="121">
        <v>40209</v>
      </c>
      <c r="B2786" t="s">
        <v>406</v>
      </c>
      <c r="C2786" t="s">
        <v>456</v>
      </c>
      <c r="D2786" t="s">
        <v>467</v>
      </c>
      <c r="E2786" t="s">
        <v>468</v>
      </c>
      <c r="F2786" t="s">
        <v>410</v>
      </c>
      <c r="G2786">
        <v>1059</v>
      </c>
      <c r="I2786">
        <v>1058</v>
      </c>
    </row>
    <row r="2787" spans="1:17" x14ac:dyDescent="0.2">
      <c r="A2787" s="121">
        <v>40209</v>
      </c>
      <c r="B2787" t="s">
        <v>406</v>
      </c>
      <c r="C2787" t="s">
        <v>456</v>
      </c>
      <c r="D2787" t="s">
        <v>469</v>
      </c>
      <c r="E2787" t="s">
        <v>470</v>
      </c>
      <c r="F2787" t="s">
        <v>410</v>
      </c>
      <c r="G2787">
        <v>808</v>
      </c>
      <c r="I2787">
        <v>798</v>
      </c>
    </row>
    <row r="2788" spans="1:17" x14ac:dyDescent="0.2">
      <c r="A2788" s="121">
        <v>40209</v>
      </c>
      <c r="B2788" t="s">
        <v>406</v>
      </c>
      <c r="C2788" t="s">
        <v>456</v>
      </c>
      <c r="D2788" t="s">
        <v>471</v>
      </c>
      <c r="E2788" t="s">
        <v>472</v>
      </c>
      <c r="F2788" t="s">
        <v>410</v>
      </c>
      <c r="G2788">
        <v>200</v>
      </c>
      <c r="I2788">
        <v>200</v>
      </c>
    </row>
    <row r="2789" spans="1:17" x14ac:dyDescent="0.2">
      <c r="A2789" s="121">
        <v>40209</v>
      </c>
      <c r="B2789" t="s">
        <v>406</v>
      </c>
      <c r="C2789" t="s">
        <v>456</v>
      </c>
      <c r="D2789" t="s">
        <v>473</v>
      </c>
      <c r="E2789" t="s">
        <v>474</v>
      </c>
      <c r="F2789" t="s">
        <v>410</v>
      </c>
      <c r="G2789">
        <v>162</v>
      </c>
      <c r="I2789">
        <v>162</v>
      </c>
    </row>
    <row r="2790" spans="1:17" x14ac:dyDescent="0.2">
      <c r="A2790" s="121">
        <v>40209</v>
      </c>
      <c r="B2790" t="s">
        <v>406</v>
      </c>
      <c r="C2790" t="s">
        <v>456</v>
      </c>
      <c r="D2790" t="s">
        <v>475</v>
      </c>
      <c r="E2790" t="s">
        <v>476</v>
      </c>
      <c r="F2790" t="s">
        <v>410</v>
      </c>
      <c r="G2790">
        <v>280</v>
      </c>
      <c r="I2790">
        <v>280</v>
      </c>
    </row>
    <row r="2791" spans="1:17" x14ac:dyDescent="0.2">
      <c r="A2791" s="121">
        <v>40209</v>
      </c>
      <c r="B2791" t="s">
        <v>406</v>
      </c>
      <c r="C2791" t="s">
        <v>456</v>
      </c>
      <c r="D2791" t="s">
        <v>477</v>
      </c>
      <c r="E2791" t="s">
        <v>478</v>
      </c>
      <c r="F2791" t="s">
        <v>413</v>
      </c>
      <c r="G2791">
        <v>1673</v>
      </c>
      <c r="H2791">
        <v>1673</v>
      </c>
      <c r="I2791">
        <v>1464</v>
      </c>
      <c r="J2791">
        <v>1464</v>
      </c>
      <c r="K2791">
        <v>408</v>
      </c>
      <c r="L2791">
        <v>7</v>
      </c>
      <c r="M2791">
        <v>1208</v>
      </c>
      <c r="N2791">
        <v>25</v>
      </c>
      <c r="O2791">
        <v>25</v>
      </c>
      <c r="P2791">
        <v>30</v>
      </c>
      <c r="Q2791">
        <v>12</v>
      </c>
    </row>
    <row r="2792" spans="1:17" x14ac:dyDescent="0.2">
      <c r="A2792" s="121">
        <v>40209</v>
      </c>
      <c r="B2792" t="s">
        <v>406</v>
      </c>
      <c r="C2792" t="s">
        <v>456</v>
      </c>
      <c r="D2792" t="s">
        <v>479</v>
      </c>
      <c r="E2792" t="s">
        <v>480</v>
      </c>
      <c r="F2792" t="s">
        <v>410</v>
      </c>
      <c r="G2792">
        <v>63</v>
      </c>
      <c r="I2792">
        <v>63</v>
      </c>
    </row>
    <row r="2793" spans="1:17" x14ac:dyDescent="0.2">
      <c r="A2793" s="121">
        <v>40209</v>
      </c>
      <c r="B2793" t="s">
        <v>406</v>
      </c>
      <c r="C2793" t="s">
        <v>456</v>
      </c>
      <c r="D2793" t="s">
        <v>481</v>
      </c>
      <c r="E2793" t="s">
        <v>482</v>
      </c>
      <c r="F2793" t="s">
        <v>410</v>
      </c>
      <c r="G2793">
        <v>27</v>
      </c>
      <c r="I2793">
        <v>27</v>
      </c>
    </row>
    <row r="2794" spans="1:17" x14ac:dyDescent="0.2">
      <c r="A2794" s="121">
        <v>40209</v>
      </c>
      <c r="B2794" t="s">
        <v>406</v>
      </c>
      <c r="C2794" t="s">
        <v>456</v>
      </c>
      <c r="D2794" t="s">
        <v>483</v>
      </c>
      <c r="E2794" t="s">
        <v>484</v>
      </c>
      <c r="F2794" t="s">
        <v>410</v>
      </c>
      <c r="G2794">
        <v>43</v>
      </c>
      <c r="I2794">
        <v>43</v>
      </c>
    </row>
    <row r="2795" spans="1:17" x14ac:dyDescent="0.2">
      <c r="A2795" s="121">
        <v>40209</v>
      </c>
      <c r="B2795" t="s">
        <v>406</v>
      </c>
      <c r="C2795" t="s">
        <v>456</v>
      </c>
      <c r="D2795" t="s">
        <v>485</v>
      </c>
      <c r="E2795" t="s">
        <v>486</v>
      </c>
      <c r="F2795" t="s">
        <v>410</v>
      </c>
      <c r="G2795">
        <v>59</v>
      </c>
      <c r="I2795">
        <v>59</v>
      </c>
    </row>
    <row r="2796" spans="1:17" x14ac:dyDescent="0.2">
      <c r="A2796" s="121">
        <v>40209</v>
      </c>
      <c r="B2796" t="s">
        <v>406</v>
      </c>
      <c r="C2796" t="s">
        <v>456</v>
      </c>
      <c r="D2796" t="s">
        <v>487</v>
      </c>
      <c r="E2796" t="s">
        <v>488</v>
      </c>
      <c r="F2796" t="s">
        <v>410</v>
      </c>
      <c r="G2796">
        <v>22</v>
      </c>
      <c r="I2796">
        <v>22</v>
      </c>
    </row>
    <row r="2797" spans="1:17" x14ac:dyDescent="0.2">
      <c r="A2797" s="121">
        <v>40209</v>
      </c>
      <c r="B2797" t="s">
        <v>406</v>
      </c>
      <c r="C2797" t="s">
        <v>456</v>
      </c>
      <c r="D2797" t="s">
        <v>489</v>
      </c>
      <c r="E2797" t="s">
        <v>490</v>
      </c>
      <c r="F2797" t="s">
        <v>410</v>
      </c>
      <c r="G2797">
        <v>82</v>
      </c>
      <c r="H2797">
        <v>82</v>
      </c>
      <c r="I2797">
        <v>81</v>
      </c>
      <c r="J2797">
        <v>81</v>
      </c>
      <c r="K2797">
        <v>0</v>
      </c>
      <c r="L2797">
        <v>1</v>
      </c>
      <c r="M2797">
        <v>56</v>
      </c>
      <c r="N2797">
        <v>25</v>
      </c>
      <c r="O2797">
        <v>0</v>
      </c>
      <c r="P2797">
        <v>0</v>
      </c>
      <c r="Q2797">
        <v>0</v>
      </c>
    </row>
    <row r="2798" spans="1:17" x14ac:dyDescent="0.2">
      <c r="A2798" s="121">
        <v>40209</v>
      </c>
      <c r="B2798" t="s">
        <v>406</v>
      </c>
      <c r="C2798" t="s">
        <v>491</v>
      </c>
      <c r="D2798" t="s">
        <v>492</v>
      </c>
      <c r="E2798" t="s">
        <v>493</v>
      </c>
      <c r="F2798" t="s">
        <v>410</v>
      </c>
      <c r="G2798">
        <v>1227</v>
      </c>
      <c r="H2798">
        <v>1227</v>
      </c>
      <c r="I2798">
        <v>1204</v>
      </c>
      <c r="J2798">
        <v>1204</v>
      </c>
      <c r="K2798">
        <v>0</v>
      </c>
      <c r="L2798">
        <v>0</v>
      </c>
      <c r="M2798">
        <v>1</v>
      </c>
      <c r="N2798">
        <v>5</v>
      </c>
      <c r="O2798">
        <v>1221</v>
      </c>
      <c r="P2798">
        <v>0</v>
      </c>
      <c r="Q2798">
        <v>0</v>
      </c>
    </row>
    <row r="2799" spans="1:17" x14ac:dyDescent="0.2">
      <c r="A2799" s="121">
        <v>40209</v>
      </c>
      <c r="B2799" t="s">
        <v>406</v>
      </c>
      <c r="C2799" t="s">
        <v>491</v>
      </c>
      <c r="D2799" t="s">
        <v>494</v>
      </c>
      <c r="E2799" t="s">
        <v>495</v>
      </c>
      <c r="F2799" t="s">
        <v>413</v>
      </c>
      <c r="G2799">
        <v>2648</v>
      </c>
      <c r="H2799">
        <v>2648</v>
      </c>
      <c r="I2799">
        <v>2531</v>
      </c>
      <c r="J2799">
        <v>2531</v>
      </c>
      <c r="K2799">
        <v>0</v>
      </c>
      <c r="L2799">
        <v>0</v>
      </c>
      <c r="M2799">
        <v>4</v>
      </c>
      <c r="N2799">
        <v>20</v>
      </c>
      <c r="O2799">
        <v>2624</v>
      </c>
      <c r="P2799">
        <v>2</v>
      </c>
      <c r="Q2799">
        <v>0</v>
      </c>
    </row>
    <row r="2800" spans="1:17" x14ac:dyDescent="0.2">
      <c r="A2800" s="121">
        <v>40209</v>
      </c>
      <c r="B2800" t="s">
        <v>406</v>
      </c>
      <c r="C2800" t="s">
        <v>491</v>
      </c>
      <c r="D2800" t="s">
        <v>496</v>
      </c>
      <c r="E2800" t="s">
        <v>497</v>
      </c>
      <c r="F2800" t="s">
        <v>413</v>
      </c>
      <c r="G2800">
        <v>5570</v>
      </c>
      <c r="H2800">
        <v>5570</v>
      </c>
      <c r="I2800">
        <v>5170</v>
      </c>
      <c r="J2800">
        <v>5170</v>
      </c>
      <c r="K2800">
        <v>1436</v>
      </c>
      <c r="L2800">
        <v>0</v>
      </c>
      <c r="M2800">
        <v>5</v>
      </c>
      <c r="N2800">
        <v>55</v>
      </c>
      <c r="O2800">
        <v>4074</v>
      </c>
      <c r="P2800">
        <v>16</v>
      </c>
      <c r="Q2800">
        <v>1</v>
      </c>
    </row>
    <row r="2801" spans="1:17" x14ac:dyDescent="0.2">
      <c r="A2801" s="121">
        <v>40209</v>
      </c>
      <c r="B2801" t="s">
        <v>406</v>
      </c>
      <c r="C2801" t="s">
        <v>491</v>
      </c>
      <c r="D2801" t="s">
        <v>498</v>
      </c>
      <c r="E2801" t="s">
        <v>499</v>
      </c>
      <c r="F2801" t="s">
        <v>413</v>
      </c>
      <c r="G2801">
        <v>5985</v>
      </c>
      <c r="H2801">
        <v>5985</v>
      </c>
      <c r="I2801">
        <v>5713</v>
      </c>
      <c r="J2801">
        <v>5713</v>
      </c>
      <c r="K2801">
        <v>2044</v>
      </c>
      <c r="L2801">
        <v>15</v>
      </c>
      <c r="M2801">
        <v>3571</v>
      </c>
      <c r="N2801">
        <v>118</v>
      </c>
      <c r="O2801">
        <v>237</v>
      </c>
      <c r="P2801">
        <v>7</v>
      </c>
      <c r="Q2801">
        <v>0</v>
      </c>
    </row>
    <row r="2802" spans="1:17" x14ac:dyDescent="0.2">
      <c r="A2802" s="121">
        <v>40209</v>
      </c>
      <c r="B2802" t="s">
        <v>406</v>
      </c>
      <c r="C2802" t="s">
        <v>491</v>
      </c>
      <c r="D2802" t="s">
        <v>500</v>
      </c>
      <c r="E2802" t="s">
        <v>501</v>
      </c>
      <c r="F2802" t="s">
        <v>413</v>
      </c>
      <c r="G2802">
        <v>3459</v>
      </c>
      <c r="H2802">
        <v>3459</v>
      </c>
      <c r="I2802">
        <v>3415</v>
      </c>
      <c r="J2802">
        <v>3415</v>
      </c>
      <c r="K2802">
        <v>953</v>
      </c>
      <c r="L2802">
        <v>2</v>
      </c>
      <c r="M2802">
        <v>2293</v>
      </c>
      <c r="N2802">
        <v>30</v>
      </c>
      <c r="O2802">
        <v>181</v>
      </c>
      <c r="P2802">
        <v>0</v>
      </c>
      <c r="Q2802">
        <v>0</v>
      </c>
    </row>
    <row r="2803" spans="1:17" x14ac:dyDescent="0.2">
      <c r="A2803" s="121">
        <v>40209</v>
      </c>
      <c r="B2803" t="s">
        <v>406</v>
      </c>
      <c r="C2803" t="s">
        <v>491</v>
      </c>
      <c r="D2803" t="s">
        <v>502</v>
      </c>
      <c r="E2803" t="s">
        <v>615</v>
      </c>
      <c r="F2803" t="s">
        <v>410</v>
      </c>
      <c r="G2803">
        <v>996</v>
      </c>
      <c r="H2803">
        <v>996</v>
      </c>
      <c r="I2803">
        <v>951</v>
      </c>
      <c r="J2803">
        <v>951</v>
      </c>
      <c r="K2803">
        <v>148</v>
      </c>
      <c r="L2803">
        <v>1</v>
      </c>
      <c r="M2803">
        <v>768</v>
      </c>
      <c r="N2803">
        <v>37</v>
      </c>
      <c r="O2803">
        <v>42</v>
      </c>
      <c r="P2803">
        <v>8</v>
      </c>
      <c r="Q2803">
        <v>0</v>
      </c>
    </row>
    <row r="2804" spans="1:17" x14ac:dyDescent="0.2">
      <c r="A2804" s="121">
        <v>40209</v>
      </c>
      <c r="B2804" t="s">
        <v>406</v>
      </c>
      <c r="C2804" t="s">
        <v>491</v>
      </c>
      <c r="D2804" t="s">
        <v>502</v>
      </c>
      <c r="E2804" t="s">
        <v>503</v>
      </c>
      <c r="F2804" t="s">
        <v>413</v>
      </c>
      <c r="G2804">
        <v>5159</v>
      </c>
      <c r="H2804">
        <v>5159</v>
      </c>
      <c r="I2804">
        <v>4894</v>
      </c>
      <c r="J2804">
        <v>4894</v>
      </c>
      <c r="K2804">
        <v>1226</v>
      </c>
      <c r="L2804">
        <v>7</v>
      </c>
      <c r="M2804">
        <v>3575</v>
      </c>
      <c r="N2804">
        <v>161</v>
      </c>
      <c r="O2804">
        <v>190</v>
      </c>
      <c r="P2804">
        <v>51</v>
      </c>
      <c r="Q2804">
        <v>0</v>
      </c>
    </row>
    <row r="2805" spans="1:17" x14ac:dyDescent="0.2">
      <c r="A2805" s="121">
        <v>40209</v>
      </c>
      <c r="B2805" t="s">
        <v>406</v>
      </c>
      <c r="C2805" t="s">
        <v>491</v>
      </c>
      <c r="D2805" t="s">
        <v>504</v>
      </c>
      <c r="E2805" t="s">
        <v>505</v>
      </c>
      <c r="F2805" t="s">
        <v>413</v>
      </c>
      <c r="G2805">
        <v>3839</v>
      </c>
      <c r="H2805">
        <v>3839</v>
      </c>
      <c r="I2805">
        <v>3590</v>
      </c>
      <c r="J2805">
        <v>3590</v>
      </c>
      <c r="K2805">
        <v>1182</v>
      </c>
      <c r="L2805">
        <v>7</v>
      </c>
      <c r="M2805">
        <v>2521</v>
      </c>
      <c r="N2805">
        <v>92</v>
      </c>
      <c r="O2805">
        <v>37</v>
      </c>
      <c r="P2805">
        <v>27</v>
      </c>
      <c r="Q2805">
        <v>0</v>
      </c>
    </row>
    <row r="2806" spans="1:17" x14ac:dyDescent="0.2">
      <c r="A2806" s="121">
        <v>40209</v>
      </c>
      <c r="B2806" t="s">
        <v>406</v>
      </c>
      <c r="C2806" t="s">
        <v>491</v>
      </c>
      <c r="D2806" t="s">
        <v>506</v>
      </c>
      <c r="E2806" t="s">
        <v>507</v>
      </c>
      <c r="F2806" t="s">
        <v>413</v>
      </c>
      <c r="G2806">
        <v>3621</v>
      </c>
      <c r="H2806">
        <v>3621</v>
      </c>
      <c r="I2806">
        <v>3570</v>
      </c>
      <c r="J2806">
        <v>3570</v>
      </c>
      <c r="K2806">
        <v>525</v>
      </c>
      <c r="L2806">
        <v>1</v>
      </c>
      <c r="M2806">
        <v>3089</v>
      </c>
      <c r="N2806">
        <v>2</v>
      </c>
      <c r="O2806">
        <v>4</v>
      </c>
      <c r="P2806">
        <v>0</v>
      </c>
      <c r="Q2806">
        <v>0</v>
      </c>
    </row>
    <row r="2807" spans="1:17" x14ac:dyDescent="0.2">
      <c r="A2807" s="121">
        <v>40209</v>
      </c>
      <c r="B2807" t="s">
        <v>406</v>
      </c>
      <c r="C2807" t="s">
        <v>491</v>
      </c>
      <c r="D2807" t="s">
        <v>508</v>
      </c>
      <c r="E2807" t="s">
        <v>509</v>
      </c>
      <c r="F2807" t="s">
        <v>413</v>
      </c>
      <c r="G2807">
        <v>5314</v>
      </c>
      <c r="H2807">
        <v>5314</v>
      </c>
      <c r="I2807">
        <v>5067</v>
      </c>
      <c r="J2807">
        <v>5067</v>
      </c>
      <c r="K2807">
        <v>1798</v>
      </c>
      <c r="L2807">
        <v>13</v>
      </c>
      <c r="M2807">
        <v>3046</v>
      </c>
      <c r="N2807">
        <v>151</v>
      </c>
      <c r="O2807">
        <v>306</v>
      </c>
      <c r="P2807">
        <v>28</v>
      </c>
      <c r="Q2807">
        <v>0</v>
      </c>
    </row>
    <row r="2808" spans="1:17" x14ac:dyDescent="0.2">
      <c r="A2808" s="121">
        <v>40209</v>
      </c>
      <c r="B2808" t="s">
        <v>406</v>
      </c>
      <c r="C2808" t="s">
        <v>510</v>
      </c>
      <c r="D2808" t="s">
        <v>513</v>
      </c>
      <c r="E2808" t="s">
        <v>514</v>
      </c>
      <c r="F2808" t="s">
        <v>410</v>
      </c>
      <c r="G2808">
        <v>621</v>
      </c>
      <c r="I2808">
        <v>608</v>
      </c>
    </row>
    <row r="2809" spans="1:17" x14ac:dyDescent="0.2">
      <c r="A2809" s="121">
        <v>40209</v>
      </c>
      <c r="B2809" t="s">
        <v>406</v>
      </c>
      <c r="C2809" t="s">
        <v>510</v>
      </c>
      <c r="D2809" t="s">
        <v>515</v>
      </c>
      <c r="E2809" t="s">
        <v>516</v>
      </c>
      <c r="F2809" t="s">
        <v>410</v>
      </c>
      <c r="G2809">
        <v>73</v>
      </c>
      <c r="I2809">
        <v>71</v>
      </c>
    </row>
    <row r="2810" spans="1:17" x14ac:dyDescent="0.2">
      <c r="A2810" s="121">
        <v>40209</v>
      </c>
      <c r="B2810" t="s">
        <v>406</v>
      </c>
      <c r="C2810" t="s">
        <v>510</v>
      </c>
      <c r="D2810" t="s">
        <v>519</v>
      </c>
      <c r="E2810" t="s">
        <v>520</v>
      </c>
      <c r="F2810" t="s">
        <v>410</v>
      </c>
      <c r="G2810">
        <v>204</v>
      </c>
      <c r="I2810">
        <v>201</v>
      </c>
    </row>
    <row r="2811" spans="1:17" x14ac:dyDescent="0.2">
      <c r="A2811" s="121">
        <v>40209</v>
      </c>
      <c r="B2811" t="s">
        <v>406</v>
      </c>
      <c r="C2811" t="s">
        <v>510</v>
      </c>
      <c r="D2811" t="s">
        <v>521</v>
      </c>
      <c r="E2811" t="s">
        <v>522</v>
      </c>
      <c r="F2811" t="s">
        <v>410</v>
      </c>
      <c r="G2811">
        <v>25</v>
      </c>
      <c r="I2811">
        <v>25</v>
      </c>
    </row>
    <row r="2812" spans="1:17" x14ac:dyDescent="0.2">
      <c r="A2812" s="121">
        <v>40209</v>
      </c>
      <c r="B2812" t="s">
        <v>406</v>
      </c>
      <c r="C2812" t="s">
        <v>510</v>
      </c>
      <c r="D2812" t="s">
        <v>523</v>
      </c>
      <c r="E2812" t="s">
        <v>524</v>
      </c>
      <c r="F2812" t="s">
        <v>413</v>
      </c>
      <c r="G2812">
        <v>422</v>
      </c>
      <c r="I2812">
        <v>413</v>
      </c>
    </row>
    <row r="2813" spans="1:17" x14ac:dyDescent="0.2">
      <c r="A2813" s="121">
        <v>40209</v>
      </c>
      <c r="B2813" t="s">
        <v>406</v>
      </c>
      <c r="C2813" t="s">
        <v>510</v>
      </c>
      <c r="D2813" t="s">
        <v>525</v>
      </c>
      <c r="E2813" t="s">
        <v>526</v>
      </c>
      <c r="F2813" t="s">
        <v>410</v>
      </c>
      <c r="G2813">
        <v>468</v>
      </c>
      <c r="I2813">
        <v>462</v>
      </c>
    </row>
    <row r="2814" spans="1:17" x14ac:dyDescent="0.2">
      <c r="A2814" s="121">
        <v>40209</v>
      </c>
      <c r="B2814" t="s">
        <v>406</v>
      </c>
      <c r="C2814" t="s">
        <v>510</v>
      </c>
      <c r="D2814" t="s">
        <v>527</v>
      </c>
      <c r="E2814" t="s">
        <v>528</v>
      </c>
      <c r="F2814" t="s">
        <v>410</v>
      </c>
      <c r="G2814">
        <v>155</v>
      </c>
      <c r="I2814">
        <v>154</v>
      </c>
    </row>
    <row r="2815" spans="1:17" x14ac:dyDescent="0.2">
      <c r="A2815" s="121">
        <v>40209</v>
      </c>
      <c r="B2815" t="s">
        <v>406</v>
      </c>
      <c r="C2815" t="s">
        <v>510</v>
      </c>
      <c r="D2815" t="s">
        <v>529</v>
      </c>
      <c r="E2815" t="s">
        <v>530</v>
      </c>
      <c r="F2815" t="s">
        <v>413</v>
      </c>
      <c r="G2815">
        <v>474</v>
      </c>
      <c r="I2815">
        <v>470</v>
      </c>
    </row>
    <row r="2816" spans="1:17" x14ac:dyDescent="0.2">
      <c r="A2816" s="121">
        <v>40209</v>
      </c>
      <c r="B2816" t="s">
        <v>406</v>
      </c>
      <c r="C2816" t="s">
        <v>510</v>
      </c>
      <c r="D2816" t="s">
        <v>531</v>
      </c>
      <c r="E2816" t="s">
        <v>532</v>
      </c>
      <c r="F2816" t="s">
        <v>410</v>
      </c>
      <c r="G2816">
        <v>52</v>
      </c>
      <c r="I2816">
        <v>52</v>
      </c>
    </row>
    <row r="2817" spans="1:17" x14ac:dyDescent="0.2">
      <c r="A2817" s="121">
        <v>40209</v>
      </c>
      <c r="B2817" t="s">
        <v>406</v>
      </c>
      <c r="C2817" t="s">
        <v>510</v>
      </c>
      <c r="D2817" t="s">
        <v>533</v>
      </c>
      <c r="E2817" t="s">
        <v>534</v>
      </c>
      <c r="F2817" t="s">
        <v>413</v>
      </c>
      <c r="G2817">
        <v>2327</v>
      </c>
      <c r="H2817">
        <v>2327</v>
      </c>
      <c r="I2817">
        <v>2224</v>
      </c>
      <c r="J2817">
        <v>2224</v>
      </c>
      <c r="K2817">
        <v>582</v>
      </c>
      <c r="L2817">
        <v>43</v>
      </c>
      <c r="M2817">
        <v>1702</v>
      </c>
      <c r="N2817">
        <v>0</v>
      </c>
      <c r="O2817">
        <v>0</v>
      </c>
      <c r="P2817">
        <v>9</v>
      </c>
      <c r="Q2817">
        <v>1</v>
      </c>
    </row>
    <row r="2818" spans="1:17" x14ac:dyDescent="0.2">
      <c r="A2818" s="121">
        <v>40209</v>
      </c>
      <c r="B2818" t="s">
        <v>406</v>
      </c>
      <c r="C2818" t="s">
        <v>510</v>
      </c>
      <c r="D2818" t="s">
        <v>535</v>
      </c>
      <c r="E2818" t="s">
        <v>536</v>
      </c>
      <c r="F2818" t="s">
        <v>410</v>
      </c>
      <c r="G2818">
        <v>199</v>
      </c>
      <c r="I2818">
        <v>199</v>
      </c>
    </row>
    <row r="2819" spans="1:17" x14ac:dyDescent="0.2">
      <c r="A2819" s="121">
        <v>40209</v>
      </c>
      <c r="B2819" t="s">
        <v>406</v>
      </c>
      <c r="C2819" t="s">
        <v>510</v>
      </c>
      <c r="D2819" t="s">
        <v>537</v>
      </c>
      <c r="E2819" t="s">
        <v>538</v>
      </c>
      <c r="F2819" t="s">
        <v>410</v>
      </c>
      <c r="G2819">
        <v>85</v>
      </c>
      <c r="I2819">
        <v>85</v>
      </c>
    </row>
    <row r="2820" spans="1:17" x14ac:dyDescent="0.2">
      <c r="A2820" s="121">
        <v>40209</v>
      </c>
      <c r="B2820" t="s">
        <v>406</v>
      </c>
      <c r="C2820" t="s">
        <v>510</v>
      </c>
      <c r="D2820" t="s">
        <v>539</v>
      </c>
      <c r="E2820" t="s">
        <v>540</v>
      </c>
      <c r="F2820" t="s">
        <v>413</v>
      </c>
      <c r="G2820">
        <v>569</v>
      </c>
      <c r="I2820">
        <v>563</v>
      </c>
    </row>
    <row r="2821" spans="1:17" x14ac:dyDescent="0.2">
      <c r="A2821" s="121">
        <v>40209</v>
      </c>
      <c r="B2821" t="s">
        <v>406</v>
      </c>
      <c r="C2821" t="s">
        <v>510</v>
      </c>
      <c r="D2821" t="s">
        <v>541</v>
      </c>
      <c r="E2821" t="s">
        <v>542</v>
      </c>
      <c r="F2821" t="s">
        <v>410</v>
      </c>
      <c r="G2821">
        <v>276</v>
      </c>
      <c r="I2821">
        <v>276</v>
      </c>
    </row>
    <row r="2822" spans="1:17" x14ac:dyDescent="0.2">
      <c r="A2822" s="121">
        <v>40209</v>
      </c>
      <c r="B2822" t="s">
        <v>406</v>
      </c>
      <c r="C2822" t="s">
        <v>510</v>
      </c>
      <c r="D2822" t="s">
        <v>543</v>
      </c>
      <c r="E2822" t="s">
        <v>544</v>
      </c>
      <c r="F2822" t="s">
        <v>410</v>
      </c>
      <c r="G2822">
        <v>194</v>
      </c>
      <c r="I2822">
        <v>194</v>
      </c>
    </row>
    <row r="2823" spans="1:17" x14ac:dyDescent="0.2">
      <c r="A2823" s="121">
        <v>40209</v>
      </c>
      <c r="B2823" t="s">
        <v>406</v>
      </c>
      <c r="C2823" t="s">
        <v>510</v>
      </c>
      <c r="D2823" t="s">
        <v>545</v>
      </c>
      <c r="E2823" t="s">
        <v>546</v>
      </c>
      <c r="F2823" t="s">
        <v>410</v>
      </c>
      <c r="G2823">
        <v>128</v>
      </c>
      <c r="I2823">
        <v>128</v>
      </c>
    </row>
    <row r="2824" spans="1:17" x14ac:dyDescent="0.2">
      <c r="A2824" s="121">
        <v>40209</v>
      </c>
      <c r="B2824" t="s">
        <v>406</v>
      </c>
      <c r="C2824" t="s">
        <v>510</v>
      </c>
      <c r="D2824" t="s">
        <v>547</v>
      </c>
      <c r="E2824" t="s">
        <v>548</v>
      </c>
      <c r="F2824" t="s">
        <v>410</v>
      </c>
      <c r="G2824">
        <v>102</v>
      </c>
      <c r="I2824">
        <v>102</v>
      </c>
    </row>
    <row r="2825" spans="1:17" x14ac:dyDescent="0.2">
      <c r="A2825" s="121">
        <v>40209</v>
      </c>
      <c r="B2825" t="s">
        <v>406</v>
      </c>
      <c r="C2825" t="s">
        <v>510</v>
      </c>
      <c r="D2825" t="s">
        <v>616</v>
      </c>
      <c r="E2825" t="s">
        <v>617</v>
      </c>
      <c r="F2825" t="s">
        <v>410</v>
      </c>
      <c r="G2825">
        <v>290</v>
      </c>
      <c r="I2825">
        <v>287</v>
      </c>
    </row>
    <row r="2826" spans="1:17" x14ac:dyDescent="0.2">
      <c r="A2826" s="121">
        <v>40209</v>
      </c>
      <c r="B2826" t="s">
        <v>406</v>
      </c>
      <c r="C2826" t="s">
        <v>510</v>
      </c>
      <c r="D2826" t="s">
        <v>549</v>
      </c>
      <c r="E2826" t="s">
        <v>550</v>
      </c>
      <c r="F2826" t="s">
        <v>410</v>
      </c>
      <c r="G2826">
        <v>115</v>
      </c>
      <c r="I2826">
        <v>115</v>
      </c>
    </row>
    <row r="2827" spans="1:17" x14ac:dyDescent="0.2">
      <c r="A2827" s="121">
        <v>40209</v>
      </c>
      <c r="B2827" t="s">
        <v>406</v>
      </c>
      <c r="C2827" t="s">
        <v>551</v>
      </c>
      <c r="D2827" t="s">
        <v>552</v>
      </c>
      <c r="E2827" t="s">
        <v>553</v>
      </c>
      <c r="F2827" t="s">
        <v>413</v>
      </c>
      <c r="G2827">
        <v>5348</v>
      </c>
      <c r="H2827">
        <v>5348</v>
      </c>
      <c r="I2827">
        <v>5254</v>
      </c>
      <c r="J2827">
        <v>5254</v>
      </c>
      <c r="K2827">
        <v>1596</v>
      </c>
      <c r="L2827">
        <v>9</v>
      </c>
      <c r="M2827">
        <v>3512</v>
      </c>
      <c r="N2827">
        <v>218</v>
      </c>
      <c r="O2827">
        <v>13</v>
      </c>
      <c r="P2827">
        <v>2</v>
      </c>
      <c r="Q2827">
        <v>0</v>
      </c>
    </row>
    <row r="2828" spans="1:17" x14ac:dyDescent="0.2">
      <c r="A2828" s="121">
        <v>40209</v>
      </c>
      <c r="B2828" t="s">
        <v>406</v>
      </c>
      <c r="C2828" t="s">
        <v>551</v>
      </c>
      <c r="D2828" t="s">
        <v>554</v>
      </c>
      <c r="E2828" t="s">
        <v>555</v>
      </c>
      <c r="F2828" t="s">
        <v>410</v>
      </c>
      <c r="G2828">
        <v>58</v>
      </c>
      <c r="I2828">
        <v>58</v>
      </c>
    </row>
    <row r="2829" spans="1:17" x14ac:dyDescent="0.2">
      <c r="A2829" s="121">
        <v>40209</v>
      </c>
      <c r="B2829" t="s">
        <v>406</v>
      </c>
      <c r="C2829" t="s">
        <v>551</v>
      </c>
      <c r="D2829" t="s">
        <v>556</v>
      </c>
      <c r="E2829" t="s">
        <v>557</v>
      </c>
      <c r="F2829" t="s">
        <v>410</v>
      </c>
      <c r="G2829">
        <v>114</v>
      </c>
      <c r="I2829">
        <v>114</v>
      </c>
    </row>
    <row r="2830" spans="1:17" x14ac:dyDescent="0.2">
      <c r="A2830" s="121">
        <v>40209</v>
      </c>
      <c r="B2830" t="s">
        <v>406</v>
      </c>
      <c r="C2830" t="s">
        <v>551</v>
      </c>
      <c r="D2830" t="s">
        <v>558</v>
      </c>
      <c r="E2830" t="s">
        <v>559</v>
      </c>
      <c r="F2830" t="s">
        <v>413</v>
      </c>
      <c r="G2830">
        <v>4313</v>
      </c>
      <c r="H2830">
        <v>4313</v>
      </c>
      <c r="I2830">
        <v>4264</v>
      </c>
      <c r="J2830">
        <v>4264</v>
      </c>
      <c r="K2830">
        <v>1274</v>
      </c>
      <c r="L2830">
        <v>8</v>
      </c>
      <c r="M2830">
        <v>2899</v>
      </c>
      <c r="N2830">
        <v>123</v>
      </c>
      <c r="O2830">
        <v>9</v>
      </c>
      <c r="P2830">
        <v>7</v>
      </c>
      <c r="Q2830">
        <v>0</v>
      </c>
    </row>
    <row r="2831" spans="1:17" x14ac:dyDescent="0.2">
      <c r="A2831" s="121">
        <v>40209</v>
      </c>
      <c r="B2831" t="s">
        <v>406</v>
      </c>
      <c r="C2831" t="s">
        <v>551</v>
      </c>
      <c r="D2831" t="s">
        <v>560</v>
      </c>
      <c r="E2831" t="s">
        <v>561</v>
      </c>
      <c r="F2831" t="s">
        <v>413</v>
      </c>
      <c r="G2831">
        <v>4951</v>
      </c>
      <c r="H2831">
        <v>4951</v>
      </c>
      <c r="I2831">
        <v>4890</v>
      </c>
      <c r="J2831">
        <v>4890</v>
      </c>
      <c r="K2831">
        <v>1290</v>
      </c>
      <c r="L2831">
        <v>4</v>
      </c>
      <c r="M2831">
        <v>3400</v>
      </c>
      <c r="N2831">
        <v>244</v>
      </c>
      <c r="O2831">
        <v>13</v>
      </c>
      <c r="P2831">
        <v>11</v>
      </c>
      <c r="Q2831">
        <v>0</v>
      </c>
    </row>
    <row r="2832" spans="1:17" x14ac:dyDescent="0.2">
      <c r="A2832" s="121">
        <v>40209</v>
      </c>
      <c r="B2832" t="s">
        <v>406</v>
      </c>
      <c r="C2832" t="s">
        <v>562</v>
      </c>
      <c r="D2832" t="s">
        <v>603</v>
      </c>
      <c r="E2832" t="s">
        <v>604</v>
      </c>
      <c r="F2832" t="s">
        <v>410</v>
      </c>
      <c r="G2832">
        <v>9</v>
      </c>
      <c r="I2832">
        <v>9</v>
      </c>
    </row>
    <row r="2833" spans="1:17" x14ac:dyDescent="0.2">
      <c r="A2833" s="121">
        <v>40209</v>
      </c>
      <c r="B2833" t="s">
        <v>406</v>
      </c>
      <c r="C2833" t="s">
        <v>562</v>
      </c>
      <c r="D2833" t="s">
        <v>605</v>
      </c>
      <c r="E2833" t="s">
        <v>606</v>
      </c>
      <c r="F2833" t="s">
        <v>410</v>
      </c>
      <c r="G2833">
        <v>124</v>
      </c>
      <c r="I2833">
        <v>124</v>
      </c>
    </row>
    <row r="2834" spans="1:17" x14ac:dyDescent="0.2">
      <c r="A2834" s="121">
        <v>40209</v>
      </c>
      <c r="B2834" t="s">
        <v>406</v>
      </c>
      <c r="C2834" t="s">
        <v>562</v>
      </c>
      <c r="D2834" t="s">
        <v>563</v>
      </c>
      <c r="E2834" t="s">
        <v>564</v>
      </c>
      <c r="F2834" t="s">
        <v>410</v>
      </c>
      <c r="G2834">
        <v>2928</v>
      </c>
      <c r="H2834">
        <v>2928</v>
      </c>
      <c r="I2834">
        <v>2737</v>
      </c>
      <c r="J2834">
        <v>2737</v>
      </c>
      <c r="K2834">
        <v>1048</v>
      </c>
      <c r="L2834">
        <v>4</v>
      </c>
      <c r="M2834">
        <v>1843</v>
      </c>
      <c r="N2834">
        <v>33</v>
      </c>
      <c r="O2834">
        <v>0</v>
      </c>
      <c r="P2834">
        <v>14</v>
      </c>
      <c r="Q2834">
        <v>0</v>
      </c>
    </row>
    <row r="2835" spans="1:17" x14ac:dyDescent="0.2">
      <c r="A2835" s="121">
        <v>40209</v>
      </c>
      <c r="B2835" t="s">
        <v>406</v>
      </c>
      <c r="C2835" t="s">
        <v>562</v>
      </c>
      <c r="D2835" t="s">
        <v>565</v>
      </c>
      <c r="E2835" t="s">
        <v>566</v>
      </c>
      <c r="F2835" t="s">
        <v>413</v>
      </c>
      <c r="G2835">
        <v>3783</v>
      </c>
      <c r="H2835">
        <v>3783</v>
      </c>
      <c r="I2835">
        <v>3496</v>
      </c>
      <c r="J2835">
        <v>3496</v>
      </c>
      <c r="K2835">
        <v>1081</v>
      </c>
      <c r="L2835">
        <v>8</v>
      </c>
      <c r="M2835">
        <v>2574</v>
      </c>
      <c r="N2835">
        <v>120</v>
      </c>
      <c r="O2835">
        <v>0</v>
      </c>
      <c r="P2835">
        <v>48</v>
      </c>
      <c r="Q2835">
        <v>16</v>
      </c>
    </row>
    <row r="2836" spans="1:17" x14ac:dyDescent="0.2">
      <c r="A2836" s="121">
        <v>40209</v>
      </c>
      <c r="B2836" t="s">
        <v>406</v>
      </c>
      <c r="C2836" t="s">
        <v>562</v>
      </c>
      <c r="D2836" t="s">
        <v>567</v>
      </c>
      <c r="E2836" t="s">
        <v>568</v>
      </c>
      <c r="F2836" t="s">
        <v>413</v>
      </c>
      <c r="G2836">
        <v>8970</v>
      </c>
      <c r="H2836">
        <v>8970</v>
      </c>
      <c r="I2836">
        <v>7971</v>
      </c>
      <c r="J2836">
        <v>7971</v>
      </c>
      <c r="K2836">
        <v>2559</v>
      </c>
      <c r="L2836">
        <v>32</v>
      </c>
      <c r="M2836">
        <v>5945</v>
      </c>
      <c r="N2836">
        <v>434</v>
      </c>
      <c r="O2836">
        <v>0</v>
      </c>
      <c r="P2836">
        <v>145</v>
      </c>
      <c r="Q2836">
        <v>10</v>
      </c>
    </row>
    <row r="2837" spans="1:17" x14ac:dyDescent="0.2">
      <c r="A2837" s="121">
        <v>40209</v>
      </c>
      <c r="B2837" t="s">
        <v>406</v>
      </c>
      <c r="C2837" t="s">
        <v>562</v>
      </c>
      <c r="D2837" t="s">
        <v>569</v>
      </c>
      <c r="E2837" t="s">
        <v>570</v>
      </c>
      <c r="F2837" t="s">
        <v>413</v>
      </c>
      <c r="G2837">
        <v>2572</v>
      </c>
      <c r="H2837">
        <v>2572</v>
      </c>
      <c r="I2837">
        <v>2552</v>
      </c>
      <c r="J2837">
        <v>2552</v>
      </c>
      <c r="K2837">
        <v>407</v>
      </c>
      <c r="L2837">
        <v>0</v>
      </c>
      <c r="M2837">
        <v>2165</v>
      </c>
      <c r="N2837">
        <v>0</v>
      </c>
      <c r="O2837">
        <v>0</v>
      </c>
      <c r="P2837">
        <v>0</v>
      </c>
      <c r="Q2837">
        <v>0</v>
      </c>
    </row>
    <row r="2838" spans="1:17" x14ac:dyDescent="0.2">
      <c r="A2838" s="121">
        <v>40209</v>
      </c>
      <c r="B2838" t="s">
        <v>406</v>
      </c>
      <c r="C2838" t="s">
        <v>571</v>
      </c>
      <c r="D2838" t="s">
        <v>572</v>
      </c>
      <c r="E2838" t="s">
        <v>573</v>
      </c>
      <c r="F2838" t="s">
        <v>410</v>
      </c>
      <c r="G2838">
        <v>235</v>
      </c>
      <c r="I2838">
        <v>233</v>
      </c>
    </row>
    <row r="2839" spans="1:17" x14ac:dyDescent="0.2">
      <c r="A2839" s="121">
        <v>40209</v>
      </c>
      <c r="B2839" t="s">
        <v>406</v>
      </c>
      <c r="C2839" t="s">
        <v>574</v>
      </c>
      <c r="D2839" t="s">
        <v>575</v>
      </c>
      <c r="E2839" t="s">
        <v>576</v>
      </c>
      <c r="F2839" t="s">
        <v>413</v>
      </c>
      <c r="G2839">
        <v>648</v>
      </c>
      <c r="H2839">
        <v>648</v>
      </c>
      <c r="I2839">
        <v>645</v>
      </c>
      <c r="J2839">
        <v>645</v>
      </c>
      <c r="K2839">
        <v>139</v>
      </c>
      <c r="L2839">
        <v>1</v>
      </c>
      <c r="M2839">
        <v>474</v>
      </c>
      <c r="N2839">
        <v>1</v>
      </c>
      <c r="O2839">
        <v>33</v>
      </c>
      <c r="P2839">
        <v>0</v>
      </c>
      <c r="Q2839">
        <v>0</v>
      </c>
    </row>
    <row r="2840" spans="1:17" x14ac:dyDescent="0.2">
      <c r="A2840" s="121">
        <v>40209</v>
      </c>
      <c r="B2840" t="s">
        <v>406</v>
      </c>
      <c r="C2840" t="s">
        <v>577</v>
      </c>
      <c r="D2840" t="s">
        <v>578</v>
      </c>
      <c r="E2840" t="s">
        <v>579</v>
      </c>
      <c r="F2840" t="s">
        <v>413</v>
      </c>
      <c r="G2840">
        <v>3695</v>
      </c>
      <c r="H2840">
        <v>3695</v>
      </c>
      <c r="I2840">
        <v>3625</v>
      </c>
      <c r="J2840">
        <v>3625</v>
      </c>
      <c r="K2840">
        <v>958</v>
      </c>
      <c r="L2840">
        <v>16</v>
      </c>
      <c r="M2840">
        <v>2683</v>
      </c>
      <c r="N2840">
        <v>38</v>
      </c>
      <c r="O2840">
        <v>0</v>
      </c>
      <c r="P2840">
        <v>0</v>
      </c>
      <c r="Q2840">
        <v>0</v>
      </c>
    </row>
    <row r="2841" spans="1:17" x14ac:dyDescent="0.2">
      <c r="A2841" s="121">
        <v>40209</v>
      </c>
      <c r="B2841" t="s">
        <v>406</v>
      </c>
      <c r="C2841" t="s">
        <v>577</v>
      </c>
      <c r="D2841" t="s">
        <v>580</v>
      </c>
      <c r="E2841" t="s">
        <v>581</v>
      </c>
      <c r="F2841" t="s">
        <v>413</v>
      </c>
      <c r="G2841">
        <v>1802</v>
      </c>
      <c r="H2841">
        <v>1802</v>
      </c>
      <c r="I2841">
        <v>1787</v>
      </c>
      <c r="J2841">
        <v>1787</v>
      </c>
      <c r="K2841">
        <v>339</v>
      </c>
      <c r="L2841">
        <v>0</v>
      </c>
      <c r="M2841">
        <v>1259</v>
      </c>
      <c r="N2841">
        <v>169</v>
      </c>
      <c r="O2841">
        <v>35</v>
      </c>
      <c r="P2841">
        <v>0</v>
      </c>
      <c r="Q2841">
        <v>0</v>
      </c>
    </row>
    <row r="2842" spans="1:17" x14ac:dyDescent="0.2">
      <c r="A2842" s="121">
        <v>40209</v>
      </c>
      <c r="B2842" t="s">
        <v>406</v>
      </c>
      <c r="C2842" t="s">
        <v>577</v>
      </c>
      <c r="D2842" t="s">
        <v>609</v>
      </c>
      <c r="E2842" t="s">
        <v>610</v>
      </c>
      <c r="F2842" t="s">
        <v>410</v>
      </c>
      <c r="G2842">
        <v>14</v>
      </c>
      <c r="H2842">
        <v>14</v>
      </c>
      <c r="I2842">
        <v>14</v>
      </c>
      <c r="J2842">
        <v>14</v>
      </c>
      <c r="K2842">
        <v>1</v>
      </c>
      <c r="L2842">
        <v>0</v>
      </c>
      <c r="M2842">
        <v>11</v>
      </c>
      <c r="N2842">
        <v>0</v>
      </c>
      <c r="O2842">
        <v>2</v>
      </c>
      <c r="P2842">
        <v>0</v>
      </c>
      <c r="Q2842">
        <v>0</v>
      </c>
    </row>
    <row r="2843" spans="1:17" x14ac:dyDescent="0.2">
      <c r="A2843" s="121">
        <v>40209</v>
      </c>
      <c r="B2843" t="s">
        <v>406</v>
      </c>
      <c r="C2843" t="s">
        <v>577</v>
      </c>
      <c r="D2843" t="s">
        <v>611</v>
      </c>
      <c r="E2843" t="s">
        <v>612</v>
      </c>
      <c r="F2843" t="s">
        <v>410</v>
      </c>
      <c r="G2843">
        <v>5</v>
      </c>
      <c r="H2843">
        <v>5</v>
      </c>
      <c r="I2843">
        <v>5</v>
      </c>
      <c r="J2843">
        <v>5</v>
      </c>
      <c r="K2843">
        <v>1</v>
      </c>
      <c r="L2843">
        <v>0</v>
      </c>
      <c r="M2843">
        <v>3</v>
      </c>
      <c r="N2843">
        <v>0</v>
      </c>
      <c r="O2843">
        <v>1</v>
      </c>
      <c r="P2843">
        <v>0</v>
      </c>
      <c r="Q2843">
        <v>0</v>
      </c>
    </row>
    <row r="2844" spans="1:17" x14ac:dyDescent="0.2">
      <c r="A2844" s="121">
        <v>40209</v>
      </c>
      <c r="B2844" t="s">
        <v>406</v>
      </c>
      <c r="C2844" t="s">
        <v>577</v>
      </c>
      <c r="D2844" t="s">
        <v>584</v>
      </c>
      <c r="E2844" t="s">
        <v>585</v>
      </c>
      <c r="F2844" t="s">
        <v>410</v>
      </c>
      <c r="G2844">
        <v>226</v>
      </c>
      <c r="H2844">
        <v>226</v>
      </c>
      <c r="I2844">
        <v>226</v>
      </c>
      <c r="J2844">
        <v>226</v>
      </c>
      <c r="K2844">
        <v>17</v>
      </c>
      <c r="L2844">
        <v>0</v>
      </c>
      <c r="M2844">
        <v>186</v>
      </c>
      <c r="N2844">
        <v>0</v>
      </c>
      <c r="O2844">
        <v>23</v>
      </c>
      <c r="P2844">
        <v>0</v>
      </c>
      <c r="Q2844">
        <v>0</v>
      </c>
    </row>
    <row r="2845" spans="1:17" x14ac:dyDescent="0.2">
      <c r="A2845" s="121">
        <v>40209</v>
      </c>
      <c r="B2845" t="s">
        <v>406</v>
      </c>
      <c r="C2845" t="s">
        <v>577</v>
      </c>
      <c r="D2845" t="s">
        <v>586</v>
      </c>
      <c r="E2845" t="s">
        <v>587</v>
      </c>
      <c r="F2845" t="s">
        <v>410</v>
      </c>
      <c r="G2845">
        <v>1014</v>
      </c>
      <c r="H2845">
        <v>1014</v>
      </c>
      <c r="I2845">
        <v>1013</v>
      </c>
      <c r="J2845">
        <v>1013</v>
      </c>
      <c r="K2845">
        <v>23</v>
      </c>
      <c r="L2845">
        <v>0</v>
      </c>
      <c r="M2845">
        <v>707</v>
      </c>
      <c r="N2845">
        <v>0</v>
      </c>
      <c r="O2845">
        <v>284</v>
      </c>
      <c r="P2845">
        <v>1</v>
      </c>
      <c r="Q2845">
        <v>0</v>
      </c>
    </row>
    <row r="2846" spans="1:17" x14ac:dyDescent="0.2">
      <c r="A2846" s="121">
        <v>40209</v>
      </c>
      <c r="B2846" t="s">
        <v>406</v>
      </c>
      <c r="C2846" t="s">
        <v>577</v>
      </c>
      <c r="D2846" t="s">
        <v>588</v>
      </c>
      <c r="E2846" t="s">
        <v>589</v>
      </c>
      <c r="F2846" t="s">
        <v>410</v>
      </c>
      <c r="G2846">
        <v>312</v>
      </c>
      <c r="H2846">
        <v>312</v>
      </c>
      <c r="I2846">
        <v>312</v>
      </c>
      <c r="J2846">
        <v>312</v>
      </c>
      <c r="K2846">
        <v>5</v>
      </c>
      <c r="L2846">
        <v>0</v>
      </c>
      <c r="M2846">
        <v>252</v>
      </c>
      <c r="N2846">
        <v>0</v>
      </c>
      <c r="O2846">
        <v>55</v>
      </c>
      <c r="P2846">
        <v>0</v>
      </c>
      <c r="Q2846">
        <v>0</v>
      </c>
    </row>
    <row r="2847" spans="1:17" x14ac:dyDescent="0.2">
      <c r="A2847" s="121">
        <v>40209</v>
      </c>
      <c r="B2847" t="s">
        <v>406</v>
      </c>
      <c r="C2847" t="s">
        <v>577</v>
      </c>
      <c r="D2847" t="s">
        <v>613</v>
      </c>
      <c r="E2847" t="s">
        <v>614</v>
      </c>
      <c r="F2847" t="s">
        <v>410</v>
      </c>
      <c r="G2847">
        <v>204</v>
      </c>
      <c r="H2847">
        <v>204</v>
      </c>
      <c r="I2847">
        <v>204</v>
      </c>
      <c r="J2847">
        <v>204</v>
      </c>
      <c r="K2847">
        <v>16</v>
      </c>
      <c r="L2847">
        <v>0</v>
      </c>
      <c r="M2847">
        <v>152</v>
      </c>
      <c r="N2847">
        <v>0</v>
      </c>
      <c r="O2847">
        <v>36</v>
      </c>
      <c r="P2847">
        <v>0</v>
      </c>
      <c r="Q2847">
        <v>0</v>
      </c>
    </row>
    <row r="2848" spans="1:17" x14ac:dyDescent="0.2">
      <c r="A2848" s="121">
        <v>40209</v>
      </c>
      <c r="B2848" t="s">
        <v>406</v>
      </c>
      <c r="C2848" t="s">
        <v>577</v>
      </c>
      <c r="D2848" t="s">
        <v>590</v>
      </c>
      <c r="E2848" t="s">
        <v>591</v>
      </c>
      <c r="F2848" t="s">
        <v>410</v>
      </c>
      <c r="G2848">
        <v>592</v>
      </c>
      <c r="H2848">
        <v>592</v>
      </c>
      <c r="I2848">
        <v>591</v>
      </c>
      <c r="J2848">
        <v>591</v>
      </c>
      <c r="K2848">
        <v>13</v>
      </c>
      <c r="L2848">
        <v>0</v>
      </c>
      <c r="M2848">
        <v>515</v>
      </c>
      <c r="N2848">
        <v>0</v>
      </c>
      <c r="O2848">
        <v>64</v>
      </c>
      <c r="P2848">
        <v>0</v>
      </c>
      <c r="Q2848">
        <v>0</v>
      </c>
    </row>
    <row r="2849" spans="1:17" x14ac:dyDescent="0.2">
      <c r="A2849" s="121">
        <v>40209</v>
      </c>
      <c r="B2849" t="s">
        <v>406</v>
      </c>
      <c r="C2849" t="s">
        <v>577</v>
      </c>
      <c r="D2849" t="s">
        <v>607</v>
      </c>
      <c r="E2849" t="s">
        <v>608</v>
      </c>
      <c r="F2849" t="s">
        <v>410</v>
      </c>
      <c r="G2849">
        <v>80</v>
      </c>
      <c r="H2849">
        <v>80</v>
      </c>
      <c r="I2849">
        <v>80</v>
      </c>
      <c r="J2849">
        <v>80</v>
      </c>
      <c r="K2849">
        <v>1</v>
      </c>
      <c r="L2849">
        <v>0</v>
      </c>
      <c r="M2849">
        <v>64</v>
      </c>
      <c r="N2849">
        <v>0</v>
      </c>
      <c r="O2849">
        <v>15</v>
      </c>
      <c r="P2849">
        <v>0</v>
      </c>
      <c r="Q2849">
        <v>0</v>
      </c>
    </row>
    <row r="2850" spans="1:17" x14ac:dyDescent="0.2">
      <c r="A2850" s="121">
        <v>40209</v>
      </c>
      <c r="B2850" t="s">
        <v>406</v>
      </c>
      <c r="C2850" t="s">
        <v>577</v>
      </c>
      <c r="D2850" t="s">
        <v>592</v>
      </c>
      <c r="E2850" t="s">
        <v>593</v>
      </c>
      <c r="F2850" t="s">
        <v>410</v>
      </c>
      <c r="G2850">
        <v>642</v>
      </c>
      <c r="H2850">
        <v>642</v>
      </c>
      <c r="I2850">
        <v>642</v>
      </c>
      <c r="J2850">
        <v>642</v>
      </c>
      <c r="K2850">
        <v>0</v>
      </c>
      <c r="L2850">
        <v>0</v>
      </c>
      <c r="M2850">
        <v>0</v>
      </c>
      <c r="N2850">
        <v>0</v>
      </c>
      <c r="O2850">
        <v>642</v>
      </c>
      <c r="P2850">
        <v>0</v>
      </c>
      <c r="Q2850">
        <v>0</v>
      </c>
    </row>
    <row r="2851" spans="1:17" x14ac:dyDescent="0.2">
      <c r="A2851" s="121">
        <v>40209</v>
      </c>
      <c r="B2851" t="s">
        <v>406</v>
      </c>
      <c r="C2851" t="s">
        <v>594</v>
      </c>
      <c r="D2851" t="s">
        <v>595</v>
      </c>
      <c r="E2851" t="s">
        <v>596</v>
      </c>
      <c r="F2851" t="s">
        <v>410</v>
      </c>
      <c r="G2851">
        <v>22</v>
      </c>
      <c r="I2851">
        <v>21</v>
      </c>
    </row>
    <row r="2852" spans="1:17" x14ac:dyDescent="0.2">
      <c r="A2852" s="121">
        <v>40209</v>
      </c>
      <c r="B2852" t="s">
        <v>406</v>
      </c>
      <c r="C2852" t="s">
        <v>594</v>
      </c>
      <c r="D2852" t="s">
        <v>597</v>
      </c>
      <c r="E2852" t="s">
        <v>598</v>
      </c>
      <c r="F2852" t="s">
        <v>413</v>
      </c>
      <c r="G2852">
        <v>538</v>
      </c>
      <c r="H2852">
        <v>538</v>
      </c>
      <c r="I2852">
        <v>527</v>
      </c>
      <c r="J2852">
        <v>527</v>
      </c>
      <c r="K2852">
        <v>173</v>
      </c>
      <c r="L2852">
        <v>0</v>
      </c>
      <c r="M2852">
        <v>354</v>
      </c>
      <c r="N2852">
        <v>2</v>
      </c>
      <c r="O2852">
        <v>9</v>
      </c>
      <c r="P2852">
        <v>0</v>
      </c>
      <c r="Q2852">
        <v>0</v>
      </c>
    </row>
    <row r="2853" spans="1:17" x14ac:dyDescent="0.2">
      <c r="A2853" s="121">
        <v>40209</v>
      </c>
      <c r="B2853" t="s">
        <v>406</v>
      </c>
      <c r="C2853" t="s">
        <v>594</v>
      </c>
      <c r="D2853" t="s">
        <v>599</v>
      </c>
      <c r="E2853" t="s">
        <v>600</v>
      </c>
      <c r="F2853" t="s">
        <v>410</v>
      </c>
      <c r="G2853">
        <v>79</v>
      </c>
      <c r="I2853">
        <v>79</v>
      </c>
    </row>
    <row r="2854" spans="1:17" x14ac:dyDescent="0.2">
      <c r="A2854" s="121">
        <v>40237</v>
      </c>
      <c r="B2854" t="s">
        <v>406</v>
      </c>
      <c r="C2854" t="s">
        <v>407</v>
      </c>
      <c r="D2854" t="s">
        <v>408</v>
      </c>
      <c r="E2854" t="s">
        <v>409</v>
      </c>
      <c r="F2854" t="s">
        <v>410</v>
      </c>
      <c r="G2854">
        <v>170</v>
      </c>
      <c r="I2854">
        <v>170</v>
      </c>
    </row>
    <row r="2855" spans="1:17" x14ac:dyDescent="0.2">
      <c r="A2855" s="121">
        <v>40237</v>
      </c>
      <c r="B2855" t="s">
        <v>406</v>
      </c>
      <c r="C2855" t="s">
        <v>407</v>
      </c>
      <c r="D2855" t="s">
        <v>601</v>
      </c>
      <c r="E2855" t="s">
        <v>602</v>
      </c>
      <c r="F2855" t="s">
        <v>410</v>
      </c>
      <c r="G2855">
        <v>41</v>
      </c>
      <c r="I2855">
        <v>41</v>
      </c>
    </row>
    <row r="2856" spans="1:17" x14ac:dyDescent="0.2">
      <c r="A2856" s="121">
        <v>40237</v>
      </c>
      <c r="B2856" t="s">
        <v>406</v>
      </c>
      <c r="C2856" t="s">
        <v>407</v>
      </c>
      <c r="D2856" t="s">
        <v>411</v>
      </c>
      <c r="E2856" t="s">
        <v>412</v>
      </c>
      <c r="F2856" t="s">
        <v>413</v>
      </c>
      <c r="G2856">
        <v>4883</v>
      </c>
      <c r="H2856">
        <v>4883</v>
      </c>
      <c r="I2856">
        <v>4753</v>
      </c>
      <c r="J2856">
        <v>4753</v>
      </c>
      <c r="K2856">
        <v>1996</v>
      </c>
      <c r="L2856">
        <v>8</v>
      </c>
      <c r="M2856">
        <v>2694</v>
      </c>
      <c r="N2856">
        <v>33</v>
      </c>
      <c r="O2856">
        <v>152</v>
      </c>
      <c r="P2856">
        <v>6</v>
      </c>
      <c r="Q2856">
        <v>0</v>
      </c>
    </row>
    <row r="2857" spans="1:17" x14ac:dyDescent="0.2">
      <c r="A2857" s="121">
        <v>40237</v>
      </c>
      <c r="B2857" t="s">
        <v>406</v>
      </c>
      <c r="C2857" t="s">
        <v>407</v>
      </c>
      <c r="D2857" t="s">
        <v>414</v>
      </c>
      <c r="E2857" t="s">
        <v>415</v>
      </c>
      <c r="F2857" t="s">
        <v>410</v>
      </c>
      <c r="G2857">
        <v>56</v>
      </c>
      <c r="I2857">
        <v>56</v>
      </c>
    </row>
    <row r="2858" spans="1:17" x14ac:dyDescent="0.2">
      <c r="A2858" s="121">
        <v>40237</v>
      </c>
      <c r="B2858" t="s">
        <v>406</v>
      </c>
      <c r="C2858" t="s">
        <v>407</v>
      </c>
      <c r="D2858" t="s">
        <v>416</v>
      </c>
      <c r="E2858" t="s">
        <v>417</v>
      </c>
      <c r="F2858" t="s">
        <v>413</v>
      </c>
      <c r="G2858">
        <v>3081</v>
      </c>
      <c r="H2858">
        <v>3081</v>
      </c>
      <c r="I2858">
        <v>2922</v>
      </c>
      <c r="J2858">
        <v>2922</v>
      </c>
      <c r="K2858">
        <v>1171</v>
      </c>
      <c r="L2858">
        <v>7</v>
      </c>
      <c r="M2858">
        <v>1814</v>
      </c>
      <c r="N2858">
        <v>63</v>
      </c>
      <c r="O2858">
        <v>26</v>
      </c>
      <c r="P2858">
        <v>11</v>
      </c>
      <c r="Q2858">
        <v>2</v>
      </c>
    </row>
    <row r="2859" spans="1:17" x14ac:dyDescent="0.2">
      <c r="A2859" s="121">
        <v>40237</v>
      </c>
      <c r="B2859" t="s">
        <v>406</v>
      </c>
      <c r="C2859" t="s">
        <v>418</v>
      </c>
      <c r="D2859" t="s">
        <v>419</v>
      </c>
      <c r="E2859" t="s">
        <v>420</v>
      </c>
      <c r="F2859" t="s">
        <v>410</v>
      </c>
      <c r="G2859">
        <v>16</v>
      </c>
      <c r="I2859">
        <v>16</v>
      </c>
    </row>
    <row r="2860" spans="1:17" x14ac:dyDescent="0.2">
      <c r="A2860" s="121">
        <v>40237</v>
      </c>
      <c r="B2860" t="s">
        <v>406</v>
      </c>
      <c r="C2860" t="s">
        <v>418</v>
      </c>
      <c r="D2860" t="s">
        <v>421</v>
      </c>
      <c r="E2860" t="s">
        <v>422</v>
      </c>
      <c r="F2860" t="s">
        <v>410</v>
      </c>
      <c r="G2860">
        <v>81</v>
      </c>
      <c r="I2860">
        <v>81</v>
      </c>
    </row>
    <row r="2861" spans="1:17" x14ac:dyDescent="0.2">
      <c r="A2861" s="121">
        <v>40237</v>
      </c>
      <c r="B2861" t="s">
        <v>406</v>
      </c>
      <c r="C2861" t="s">
        <v>418</v>
      </c>
      <c r="D2861" t="s">
        <v>423</v>
      </c>
      <c r="E2861" t="s">
        <v>424</v>
      </c>
      <c r="F2861" t="s">
        <v>410</v>
      </c>
      <c r="G2861">
        <v>19</v>
      </c>
      <c r="I2861">
        <v>19</v>
      </c>
    </row>
    <row r="2862" spans="1:17" x14ac:dyDescent="0.2">
      <c r="A2862" s="121">
        <v>40237</v>
      </c>
      <c r="B2862" t="s">
        <v>406</v>
      </c>
      <c r="C2862" t="s">
        <v>418</v>
      </c>
      <c r="D2862" t="s">
        <v>425</v>
      </c>
      <c r="E2862" t="s">
        <v>426</v>
      </c>
      <c r="F2862" t="s">
        <v>410</v>
      </c>
      <c r="G2862">
        <v>51</v>
      </c>
      <c r="I2862">
        <v>51</v>
      </c>
    </row>
    <row r="2863" spans="1:17" x14ac:dyDescent="0.2">
      <c r="A2863" s="121">
        <v>40237</v>
      </c>
      <c r="B2863" t="s">
        <v>406</v>
      </c>
      <c r="C2863" t="s">
        <v>418</v>
      </c>
      <c r="D2863" t="s">
        <v>427</v>
      </c>
      <c r="E2863" t="s">
        <v>428</v>
      </c>
      <c r="F2863" t="s">
        <v>413</v>
      </c>
      <c r="G2863">
        <v>1638</v>
      </c>
      <c r="H2863">
        <v>1638</v>
      </c>
      <c r="I2863">
        <v>1513</v>
      </c>
      <c r="J2863">
        <v>1513</v>
      </c>
      <c r="K2863">
        <v>585</v>
      </c>
      <c r="L2863">
        <v>3</v>
      </c>
      <c r="M2863">
        <v>886</v>
      </c>
      <c r="N2863">
        <v>13</v>
      </c>
      <c r="O2863">
        <v>151</v>
      </c>
      <c r="P2863">
        <v>4</v>
      </c>
      <c r="Q2863">
        <v>1</v>
      </c>
    </row>
    <row r="2864" spans="1:17" x14ac:dyDescent="0.2">
      <c r="A2864" s="121">
        <v>40237</v>
      </c>
      <c r="B2864" t="s">
        <v>406</v>
      </c>
      <c r="C2864" t="s">
        <v>429</v>
      </c>
      <c r="D2864" t="s">
        <v>430</v>
      </c>
      <c r="E2864" t="s">
        <v>431</v>
      </c>
      <c r="F2864" t="s">
        <v>410</v>
      </c>
      <c r="G2864">
        <v>44</v>
      </c>
      <c r="I2864">
        <v>44</v>
      </c>
    </row>
    <row r="2865" spans="1:17" x14ac:dyDescent="0.2">
      <c r="A2865" s="121">
        <v>40237</v>
      </c>
      <c r="B2865" t="s">
        <v>406</v>
      </c>
      <c r="C2865" t="s">
        <v>429</v>
      </c>
      <c r="D2865" t="s">
        <v>432</v>
      </c>
      <c r="E2865" t="s">
        <v>433</v>
      </c>
      <c r="F2865" t="s">
        <v>410</v>
      </c>
      <c r="G2865">
        <v>45</v>
      </c>
      <c r="I2865">
        <v>45</v>
      </c>
    </row>
    <row r="2866" spans="1:17" x14ac:dyDescent="0.2">
      <c r="A2866" s="121">
        <v>40237</v>
      </c>
      <c r="B2866" t="s">
        <v>406</v>
      </c>
      <c r="C2866" t="s">
        <v>429</v>
      </c>
      <c r="D2866" t="s">
        <v>434</v>
      </c>
      <c r="E2866" t="s">
        <v>435</v>
      </c>
      <c r="F2866" t="s">
        <v>410</v>
      </c>
      <c r="G2866">
        <v>22</v>
      </c>
      <c r="I2866">
        <v>22</v>
      </c>
    </row>
    <row r="2867" spans="1:17" x14ac:dyDescent="0.2">
      <c r="A2867" s="121">
        <v>40237</v>
      </c>
      <c r="B2867" t="s">
        <v>406</v>
      </c>
      <c r="C2867" t="s">
        <v>429</v>
      </c>
      <c r="D2867" t="s">
        <v>436</v>
      </c>
      <c r="E2867" t="s">
        <v>437</v>
      </c>
      <c r="F2867" t="s">
        <v>410</v>
      </c>
      <c r="G2867">
        <v>42</v>
      </c>
      <c r="I2867">
        <v>42</v>
      </c>
    </row>
    <row r="2868" spans="1:17" x14ac:dyDescent="0.2">
      <c r="A2868" s="121">
        <v>40237</v>
      </c>
      <c r="B2868" t="s">
        <v>406</v>
      </c>
      <c r="C2868" t="s">
        <v>429</v>
      </c>
      <c r="D2868" t="s">
        <v>438</v>
      </c>
      <c r="E2868" t="s">
        <v>439</v>
      </c>
      <c r="F2868" t="s">
        <v>413</v>
      </c>
      <c r="G2868">
        <v>881</v>
      </c>
      <c r="H2868">
        <v>881</v>
      </c>
      <c r="I2868">
        <v>858</v>
      </c>
      <c r="J2868">
        <v>858</v>
      </c>
      <c r="K2868">
        <v>98</v>
      </c>
      <c r="L2868">
        <v>1</v>
      </c>
      <c r="M2868">
        <v>773</v>
      </c>
      <c r="N2868">
        <v>9</v>
      </c>
      <c r="O2868">
        <v>0</v>
      </c>
      <c r="P2868">
        <v>1</v>
      </c>
      <c r="Q2868">
        <v>0</v>
      </c>
    </row>
    <row r="2869" spans="1:17" x14ac:dyDescent="0.2">
      <c r="A2869" s="121">
        <v>40237</v>
      </c>
      <c r="B2869" t="s">
        <v>406</v>
      </c>
      <c r="C2869" t="s">
        <v>429</v>
      </c>
      <c r="D2869" t="s">
        <v>440</v>
      </c>
      <c r="E2869" t="s">
        <v>441</v>
      </c>
      <c r="F2869" t="s">
        <v>413</v>
      </c>
      <c r="G2869">
        <v>2551</v>
      </c>
      <c r="H2869">
        <v>2551</v>
      </c>
      <c r="I2869">
        <v>2418</v>
      </c>
      <c r="J2869">
        <v>2418</v>
      </c>
      <c r="K2869">
        <v>970</v>
      </c>
      <c r="L2869">
        <v>5</v>
      </c>
      <c r="M2869">
        <v>1518</v>
      </c>
      <c r="N2869">
        <v>16</v>
      </c>
      <c r="O2869">
        <v>42</v>
      </c>
      <c r="P2869">
        <v>3</v>
      </c>
      <c r="Q2869">
        <v>1</v>
      </c>
    </row>
    <row r="2870" spans="1:17" x14ac:dyDescent="0.2">
      <c r="A2870" s="121">
        <v>40237</v>
      </c>
      <c r="B2870" t="s">
        <v>406</v>
      </c>
      <c r="C2870" t="s">
        <v>442</v>
      </c>
      <c r="D2870" t="s">
        <v>443</v>
      </c>
      <c r="E2870" t="s">
        <v>444</v>
      </c>
      <c r="F2870" t="s">
        <v>413</v>
      </c>
      <c r="G2870">
        <v>3042</v>
      </c>
      <c r="H2870">
        <v>3042</v>
      </c>
      <c r="I2870">
        <v>2923</v>
      </c>
      <c r="J2870">
        <v>2923</v>
      </c>
      <c r="K2870">
        <v>443</v>
      </c>
      <c r="L2870">
        <v>6</v>
      </c>
      <c r="M2870">
        <v>2498</v>
      </c>
      <c r="N2870">
        <v>30</v>
      </c>
      <c r="O2870">
        <v>65</v>
      </c>
      <c r="P2870">
        <v>8</v>
      </c>
      <c r="Q2870">
        <v>1</v>
      </c>
    </row>
    <row r="2871" spans="1:17" x14ac:dyDescent="0.2">
      <c r="A2871" s="121">
        <v>40237</v>
      </c>
      <c r="B2871" t="s">
        <v>406</v>
      </c>
      <c r="C2871" t="s">
        <v>442</v>
      </c>
      <c r="D2871" t="s">
        <v>445</v>
      </c>
      <c r="E2871" t="s">
        <v>446</v>
      </c>
      <c r="F2871" t="s">
        <v>410</v>
      </c>
      <c r="G2871">
        <v>87</v>
      </c>
      <c r="I2871">
        <v>87</v>
      </c>
    </row>
    <row r="2872" spans="1:17" x14ac:dyDescent="0.2">
      <c r="A2872" s="121">
        <v>40237</v>
      </c>
      <c r="B2872" t="s">
        <v>406</v>
      </c>
      <c r="C2872" t="s">
        <v>442</v>
      </c>
      <c r="D2872" t="s">
        <v>447</v>
      </c>
      <c r="E2872" t="s">
        <v>448</v>
      </c>
      <c r="F2872" t="s">
        <v>410</v>
      </c>
      <c r="G2872">
        <v>267</v>
      </c>
      <c r="I2872">
        <v>267</v>
      </c>
    </row>
    <row r="2873" spans="1:17" x14ac:dyDescent="0.2">
      <c r="A2873" s="121">
        <v>40237</v>
      </c>
      <c r="B2873" t="s">
        <v>406</v>
      </c>
      <c r="C2873" t="s">
        <v>442</v>
      </c>
      <c r="D2873" t="s">
        <v>449</v>
      </c>
      <c r="E2873" t="s">
        <v>450</v>
      </c>
      <c r="F2873" t="s">
        <v>413</v>
      </c>
      <c r="G2873">
        <v>2824</v>
      </c>
      <c r="H2873">
        <v>2824</v>
      </c>
      <c r="I2873">
        <v>2681</v>
      </c>
      <c r="J2873">
        <v>2681</v>
      </c>
      <c r="K2873">
        <v>603</v>
      </c>
      <c r="L2873">
        <v>5</v>
      </c>
      <c r="M2873">
        <v>2144</v>
      </c>
      <c r="N2873">
        <v>31</v>
      </c>
      <c r="O2873">
        <v>41</v>
      </c>
      <c r="P2873">
        <v>9</v>
      </c>
      <c r="Q2873">
        <v>0</v>
      </c>
    </row>
    <row r="2874" spans="1:17" x14ac:dyDescent="0.2">
      <c r="A2874" s="121">
        <v>40237</v>
      </c>
      <c r="B2874" t="s">
        <v>406</v>
      </c>
      <c r="C2874" t="s">
        <v>451</v>
      </c>
      <c r="D2874" t="s">
        <v>452</v>
      </c>
      <c r="E2874" t="s">
        <v>453</v>
      </c>
      <c r="F2874" t="s">
        <v>410</v>
      </c>
      <c r="G2874">
        <v>1317</v>
      </c>
      <c r="H2874">
        <v>1317</v>
      </c>
      <c r="I2874">
        <v>1316</v>
      </c>
      <c r="J2874">
        <v>1316</v>
      </c>
      <c r="K2874">
        <v>0</v>
      </c>
      <c r="L2874">
        <v>0</v>
      </c>
      <c r="M2874">
        <v>993</v>
      </c>
      <c r="N2874">
        <v>122</v>
      </c>
      <c r="O2874">
        <v>202</v>
      </c>
      <c r="P2874">
        <v>0</v>
      </c>
      <c r="Q2874">
        <v>0</v>
      </c>
    </row>
    <row r="2875" spans="1:17" x14ac:dyDescent="0.2">
      <c r="A2875" s="121">
        <v>40237</v>
      </c>
      <c r="B2875" t="s">
        <v>406</v>
      </c>
      <c r="C2875" t="s">
        <v>451</v>
      </c>
      <c r="D2875" t="s">
        <v>454</v>
      </c>
      <c r="E2875" t="s">
        <v>455</v>
      </c>
      <c r="F2875" t="s">
        <v>413</v>
      </c>
      <c r="G2875">
        <v>3984</v>
      </c>
      <c r="H2875">
        <v>3984</v>
      </c>
      <c r="I2875">
        <v>3752</v>
      </c>
      <c r="J2875">
        <v>3752</v>
      </c>
      <c r="K2875">
        <v>1110</v>
      </c>
      <c r="L2875">
        <v>15</v>
      </c>
      <c r="M2875">
        <v>2233</v>
      </c>
      <c r="N2875">
        <v>37</v>
      </c>
      <c r="O2875">
        <v>589</v>
      </c>
      <c r="P2875">
        <v>10</v>
      </c>
      <c r="Q2875">
        <v>0</v>
      </c>
    </row>
    <row r="2876" spans="1:17" x14ac:dyDescent="0.2">
      <c r="A2876" s="121">
        <v>40237</v>
      </c>
      <c r="B2876" t="s">
        <v>406</v>
      </c>
      <c r="C2876" t="s">
        <v>456</v>
      </c>
      <c r="D2876" t="s">
        <v>457</v>
      </c>
      <c r="E2876" t="s">
        <v>458</v>
      </c>
      <c r="F2876" t="s">
        <v>413</v>
      </c>
      <c r="G2876">
        <v>4769</v>
      </c>
      <c r="H2876">
        <v>4769</v>
      </c>
      <c r="I2876">
        <v>4633</v>
      </c>
      <c r="J2876">
        <v>4633</v>
      </c>
      <c r="K2876">
        <v>1270</v>
      </c>
      <c r="L2876">
        <v>19</v>
      </c>
      <c r="M2876">
        <v>3388</v>
      </c>
      <c r="N2876">
        <v>48</v>
      </c>
      <c r="O2876">
        <v>44</v>
      </c>
      <c r="P2876">
        <v>7</v>
      </c>
      <c r="Q2876">
        <v>0</v>
      </c>
    </row>
    <row r="2877" spans="1:17" x14ac:dyDescent="0.2">
      <c r="A2877" s="121">
        <v>40237</v>
      </c>
      <c r="B2877" t="s">
        <v>406</v>
      </c>
      <c r="C2877" t="s">
        <v>456</v>
      </c>
      <c r="D2877" t="s">
        <v>459</v>
      </c>
      <c r="E2877" t="s">
        <v>460</v>
      </c>
      <c r="F2877" t="s">
        <v>413</v>
      </c>
      <c r="G2877">
        <v>1181</v>
      </c>
      <c r="H2877">
        <v>1181</v>
      </c>
      <c r="I2877">
        <v>1177</v>
      </c>
      <c r="J2877">
        <v>1177</v>
      </c>
      <c r="K2877">
        <v>374</v>
      </c>
      <c r="L2877">
        <v>0</v>
      </c>
      <c r="M2877">
        <v>807</v>
      </c>
      <c r="N2877">
        <v>0</v>
      </c>
      <c r="O2877">
        <v>0</v>
      </c>
      <c r="P2877">
        <v>0</v>
      </c>
      <c r="Q2877">
        <v>0</v>
      </c>
    </row>
    <row r="2878" spans="1:17" x14ac:dyDescent="0.2">
      <c r="A2878" s="121">
        <v>40237</v>
      </c>
      <c r="B2878" t="s">
        <v>406</v>
      </c>
      <c r="C2878" t="s">
        <v>456</v>
      </c>
      <c r="D2878" t="s">
        <v>461</v>
      </c>
      <c r="E2878" t="s">
        <v>462</v>
      </c>
      <c r="F2878" t="s">
        <v>410</v>
      </c>
      <c r="G2878">
        <v>36</v>
      </c>
      <c r="I2878">
        <v>36</v>
      </c>
    </row>
    <row r="2879" spans="1:17" x14ac:dyDescent="0.2">
      <c r="A2879" s="121">
        <v>40237</v>
      </c>
      <c r="B2879" t="s">
        <v>406</v>
      </c>
      <c r="C2879" t="s">
        <v>456</v>
      </c>
      <c r="D2879" t="s">
        <v>463</v>
      </c>
      <c r="E2879" t="s">
        <v>464</v>
      </c>
      <c r="F2879" t="s">
        <v>410</v>
      </c>
      <c r="G2879">
        <v>24</v>
      </c>
      <c r="I2879">
        <v>24</v>
      </c>
    </row>
    <row r="2880" spans="1:17" x14ac:dyDescent="0.2">
      <c r="A2880" s="121">
        <v>40237</v>
      </c>
      <c r="B2880" t="s">
        <v>406</v>
      </c>
      <c r="C2880" t="s">
        <v>456</v>
      </c>
      <c r="D2880" t="s">
        <v>465</v>
      </c>
      <c r="E2880" t="s">
        <v>466</v>
      </c>
      <c r="F2880" t="s">
        <v>410</v>
      </c>
      <c r="G2880">
        <v>33</v>
      </c>
      <c r="I2880">
        <v>33</v>
      </c>
    </row>
    <row r="2881" spans="1:17" x14ac:dyDescent="0.2">
      <c r="A2881" s="121">
        <v>40237</v>
      </c>
      <c r="B2881" t="s">
        <v>406</v>
      </c>
      <c r="C2881" t="s">
        <v>456</v>
      </c>
      <c r="D2881" t="s">
        <v>467</v>
      </c>
      <c r="E2881" t="s">
        <v>468</v>
      </c>
      <c r="F2881" t="s">
        <v>410</v>
      </c>
      <c r="G2881">
        <v>1027</v>
      </c>
      <c r="I2881">
        <v>1022</v>
      </c>
    </row>
    <row r="2882" spans="1:17" x14ac:dyDescent="0.2">
      <c r="A2882" s="121">
        <v>40237</v>
      </c>
      <c r="B2882" t="s">
        <v>406</v>
      </c>
      <c r="C2882" t="s">
        <v>456</v>
      </c>
      <c r="D2882" t="s">
        <v>469</v>
      </c>
      <c r="E2882" t="s">
        <v>470</v>
      </c>
      <c r="F2882" t="s">
        <v>410</v>
      </c>
      <c r="G2882">
        <v>676</v>
      </c>
      <c r="I2882">
        <v>668</v>
      </c>
    </row>
    <row r="2883" spans="1:17" x14ac:dyDescent="0.2">
      <c r="A2883" s="121">
        <v>40237</v>
      </c>
      <c r="B2883" t="s">
        <v>406</v>
      </c>
      <c r="C2883" t="s">
        <v>456</v>
      </c>
      <c r="D2883" t="s">
        <v>471</v>
      </c>
      <c r="E2883" t="s">
        <v>472</v>
      </c>
      <c r="F2883" t="s">
        <v>410</v>
      </c>
      <c r="G2883">
        <v>185</v>
      </c>
      <c r="I2883">
        <v>184</v>
      </c>
    </row>
    <row r="2884" spans="1:17" x14ac:dyDescent="0.2">
      <c r="A2884" s="121">
        <v>40237</v>
      </c>
      <c r="B2884" t="s">
        <v>406</v>
      </c>
      <c r="C2884" t="s">
        <v>456</v>
      </c>
      <c r="D2884" t="s">
        <v>473</v>
      </c>
      <c r="E2884" t="s">
        <v>474</v>
      </c>
      <c r="F2884" t="s">
        <v>410</v>
      </c>
      <c r="G2884">
        <v>124</v>
      </c>
      <c r="I2884">
        <v>124</v>
      </c>
    </row>
    <row r="2885" spans="1:17" x14ac:dyDescent="0.2">
      <c r="A2885" s="121">
        <v>40237</v>
      </c>
      <c r="B2885" t="s">
        <v>406</v>
      </c>
      <c r="C2885" t="s">
        <v>456</v>
      </c>
      <c r="D2885" t="s">
        <v>475</v>
      </c>
      <c r="E2885" t="s">
        <v>476</v>
      </c>
      <c r="F2885" t="s">
        <v>410</v>
      </c>
      <c r="G2885">
        <v>261</v>
      </c>
      <c r="I2885">
        <v>261</v>
      </c>
    </row>
    <row r="2886" spans="1:17" x14ac:dyDescent="0.2">
      <c r="A2886" s="121">
        <v>40237</v>
      </c>
      <c r="B2886" t="s">
        <v>406</v>
      </c>
      <c r="C2886" t="s">
        <v>456</v>
      </c>
      <c r="D2886" t="s">
        <v>477</v>
      </c>
      <c r="E2886" t="s">
        <v>478</v>
      </c>
      <c r="F2886" t="s">
        <v>413</v>
      </c>
      <c r="G2886">
        <v>1577</v>
      </c>
      <c r="H2886">
        <v>1577</v>
      </c>
      <c r="I2886">
        <v>1357</v>
      </c>
      <c r="J2886">
        <v>1357</v>
      </c>
      <c r="K2886">
        <v>347</v>
      </c>
      <c r="L2886">
        <v>4</v>
      </c>
      <c r="M2886">
        <v>1177</v>
      </c>
      <c r="N2886">
        <v>32</v>
      </c>
      <c r="O2886">
        <v>17</v>
      </c>
      <c r="P2886">
        <v>36</v>
      </c>
      <c r="Q2886">
        <v>9</v>
      </c>
    </row>
    <row r="2887" spans="1:17" x14ac:dyDescent="0.2">
      <c r="A2887" s="121">
        <v>40237</v>
      </c>
      <c r="B2887" t="s">
        <v>406</v>
      </c>
      <c r="C2887" t="s">
        <v>456</v>
      </c>
      <c r="D2887" t="s">
        <v>479</v>
      </c>
      <c r="E2887" t="s">
        <v>480</v>
      </c>
      <c r="F2887" t="s">
        <v>410</v>
      </c>
      <c r="G2887">
        <v>74</v>
      </c>
      <c r="I2887">
        <v>74</v>
      </c>
    </row>
    <row r="2888" spans="1:17" x14ac:dyDescent="0.2">
      <c r="A2888" s="121">
        <v>40237</v>
      </c>
      <c r="B2888" t="s">
        <v>406</v>
      </c>
      <c r="C2888" t="s">
        <v>456</v>
      </c>
      <c r="D2888" t="s">
        <v>481</v>
      </c>
      <c r="E2888" t="s">
        <v>482</v>
      </c>
      <c r="F2888" t="s">
        <v>410</v>
      </c>
      <c r="G2888">
        <v>37</v>
      </c>
      <c r="I2888">
        <v>37</v>
      </c>
    </row>
    <row r="2889" spans="1:17" x14ac:dyDescent="0.2">
      <c r="A2889" s="121">
        <v>40237</v>
      </c>
      <c r="B2889" t="s">
        <v>406</v>
      </c>
      <c r="C2889" t="s">
        <v>456</v>
      </c>
      <c r="D2889" t="s">
        <v>483</v>
      </c>
      <c r="E2889" t="s">
        <v>484</v>
      </c>
      <c r="F2889" t="s">
        <v>410</v>
      </c>
      <c r="G2889">
        <v>72</v>
      </c>
      <c r="I2889">
        <v>72</v>
      </c>
    </row>
    <row r="2890" spans="1:17" x14ac:dyDescent="0.2">
      <c r="A2890" s="121">
        <v>40237</v>
      </c>
      <c r="B2890" t="s">
        <v>406</v>
      </c>
      <c r="C2890" t="s">
        <v>456</v>
      </c>
      <c r="D2890" t="s">
        <v>485</v>
      </c>
      <c r="E2890" t="s">
        <v>486</v>
      </c>
      <c r="F2890" t="s">
        <v>410</v>
      </c>
      <c r="G2890">
        <v>54</v>
      </c>
      <c r="I2890">
        <v>54</v>
      </c>
    </row>
    <row r="2891" spans="1:17" x14ac:dyDescent="0.2">
      <c r="A2891" s="121">
        <v>40237</v>
      </c>
      <c r="B2891" t="s">
        <v>406</v>
      </c>
      <c r="C2891" t="s">
        <v>456</v>
      </c>
      <c r="D2891" t="s">
        <v>487</v>
      </c>
      <c r="E2891" t="s">
        <v>488</v>
      </c>
      <c r="F2891" t="s">
        <v>410</v>
      </c>
      <c r="G2891">
        <v>32</v>
      </c>
      <c r="I2891">
        <v>32</v>
      </c>
    </row>
    <row r="2892" spans="1:17" x14ac:dyDescent="0.2">
      <c r="A2892" s="121">
        <v>40237</v>
      </c>
      <c r="B2892" t="s">
        <v>406</v>
      </c>
      <c r="C2892" t="s">
        <v>456</v>
      </c>
      <c r="D2892" t="s">
        <v>489</v>
      </c>
      <c r="E2892" t="s">
        <v>490</v>
      </c>
      <c r="F2892" t="s">
        <v>410</v>
      </c>
      <c r="G2892">
        <v>106</v>
      </c>
      <c r="H2892">
        <v>106</v>
      </c>
      <c r="I2892">
        <v>106</v>
      </c>
      <c r="J2892">
        <v>106</v>
      </c>
      <c r="K2892">
        <v>0</v>
      </c>
      <c r="L2892">
        <v>0</v>
      </c>
      <c r="M2892">
        <v>87</v>
      </c>
      <c r="N2892">
        <v>19</v>
      </c>
      <c r="O2892">
        <v>0</v>
      </c>
      <c r="P2892">
        <v>0</v>
      </c>
      <c r="Q2892">
        <v>0</v>
      </c>
    </row>
    <row r="2893" spans="1:17" x14ac:dyDescent="0.2">
      <c r="A2893" s="121">
        <v>40237</v>
      </c>
      <c r="B2893" t="s">
        <v>406</v>
      </c>
      <c r="C2893" t="s">
        <v>491</v>
      </c>
      <c r="D2893" t="s">
        <v>492</v>
      </c>
      <c r="E2893" t="s">
        <v>493</v>
      </c>
      <c r="F2893" t="s">
        <v>410</v>
      </c>
      <c r="G2893">
        <v>1118</v>
      </c>
      <c r="H2893">
        <v>1118</v>
      </c>
      <c r="I2893">
        <v>1101</v>
      </c>
      <c r="J2893">
        <v>1101</v>
      </c>
      <c r="K2893">
        <v>0</v>
      </c>
      <c r="L2893">
        <v>0</v>
      </c>
      <c r="M2893">
        <v>0</v>
      </c>
      <c r="N2893">
        <v>8</v>
      </c>
      <c r="O2893">
        <v>1110</v>
      </c>
      <c r="P2893">
        <v>0</v>
      </c>
      <c r="Q2893">
        <v>0</v>
      </c>
    </row>
    <row r="2894" spans="1:17" x14ac:dyDescent="0.2">
      <c r="A2894" s="121">
        <v>40237</v>
      </c>
      <c r="B2894" t="s">
        <v>406</v>
      </c>
      <c r="C2894" t="s">
        <v>491</v>
      </c>
      <c r="D2894" t="s">
        <v>494</v>
      </c>
      <c r="E2894" t="s">
        <v>495</v>
      </c>
      <c r="F2894" t="s">
        <v>413</v>
      </c>
      <c r="G2894">
        <v>2287</v>
      </c>
      <c r="H2894">
        <v>2287</v>
      </c>
      <c r="I2894">
        <v>2219</v>
      </c>
      <c r="J2894">
        <v>2219</v>
      </c>
      <c r="K2894">
        <v>0</v>
      </c>
      <c r="L2894">
        <v>0</v>
      </c>
      <c r="M2894">
        <v>5</v>
      </c>
      <c r="N2894">
        <v>12</v>
      </c>
      <c r="O2894">
        <v>2270</v>
      </c>
      <c r="P2894">
        <v>1</v>
      </c>
      <c r="Q2894">
        <v>0</v>
      </c>
    </row>
    <row r="2895" spans="1:17" x14ac:dyDescent="0.2">
      <c r="A2895" s="121">
        <v>40237</v>
      </c>
      <c r="B2895" t="s">
        <v>406</v>
      </c>
      <c r="C2895" t="s">
        <v>491</v>
      </c>
      <c r="D2895" t="s">
        <v>496</v>
      </c>
      <c r="E2895" t="s">
        <v>497</v>
      </c>
      <c r="F2895" t="s">
        <v>413</v>
      </c>
      <c r="G2895">
        <v>5111</v>
      </c>
      <c r="H2895">
        <v>5111</v>
      </c>
      <c r="I2895">
        <v>4929</v>
      </c>
      <c r="J2895">
        <v>4929</v>
      </c>
      <c r="K2895">
        <v>1232</v>
      </c>
      <c r="L2895">
        <v>0</v>
      </c>
      <c r="M2895">
        <v>16</v>
      </c>
      <c r="N2895">
        <v>73</v>
      </c>
      <c r="O2895">
        <v>3790</v>
      </c>
      <c r="P2895">
        <v>1</v>
      </c>
      <c r="Q2895">
        <v>0</v>
      </c>
    </row>
    <row r="2896" spans="1:17" x14ac:dyDescent="0.2">
      <c r="A2896" s="121">
        <v>40237</v>
      </c>
      <c r="B2896" t="s">
        <v>406</v>
      </c>
      <c r="C2896" t="s">
        <v>491</v>
      </c>
      <c r="D2896" t="s">
        <v>498</v>
      </c>
      <c r="E2896" t="s">
        <v>499</v>
      </c>
      <c r="F2896" t="s">
        <v>413</v>
      </c>
      <c r="G2896">
        <v>5527</v>
      </c>
      <c r="H2896">
        <v>5527</v>
      </c>
      <c r="I2896">
        <v>5270</v>
      </c>
      <c r="J2896">
        <v>5270</v>
      </c>
      <c r="K2896">
        <v>1450</v>
      </c>
      <c r="L2896">
        <v>11</v>
      </c>
      <c r="M2896">
        <v>3747</v>
      </c>
      <c r="N2896">
        <v>93</v>
      </c>
      <c r="O2896">
        <v>226</v>
      </c>
      <c r="P2896">
        <v>6</v>
      </c>
      <c r="Q2896">
        <v>0</v>
      </c>
    </row>
    <row r="2897" spans="1:17" x14ac:dyDescent="0.2">
      <c r="A2897" s="121">
        <v>40237</v>
      </c>
      <c r="B2897" t="s">
        <v>406</v>
      </c>
      <c r="C2897" t="s">
        <v>491</v>
      </c>
      <c r="D2897" t="s">
        <v>500</v>
      </c>
      <c r="E2897" t="s">
        <v>501</v>
      </c>
      <c r="F2897" t="s">
        <v>413</v>
      </c>
      <c r="G2897">
        <v>3136</v>
      </c>
      <c r="H2897">
        <v>3136</v>
      </c>
      <c r="I2897">
        <v>3081</v>
      </c>
      <c r="J2897">
        <v>3081</v>
      </c>
      <c r="K2897">
        <v>891</v>
      </c>
      <c r="L2897">
        <v>0</v>
      </c>
      <c r="M2897">
        <v>2030</v>
      </c>
      <c r="N2897">
        <v>31</v>
      </c>
      <c r="O2897">
        <v>184</v>
      </c>
      <c r="P2897">
        <v>1</v>
      </c>
      <c r="Q2897">
        <v>0</v>
      </c>
    </row>
    <row r="2898" spans="1:17" x14ac:dyDescent="0.2">
      <c r="A2898" s="121">
        <v>40237</v>
      </c>
      <c r="B2898" t="s">
        <v>406</v>
      </c>
      <c r="C2898" t="s">
        <v>491</v>
      </c>
      <c r="D2898" t="s">
        <v>502</v>
      </c>
      <c r="E2898" t="s">
        <v>615</v>
      </c>
      <c r="F2898" t="s">
        <v>410</v>
      </c>
      <c r="G2898">
        <v>1118</v>
      </c>
      <c r="H2898">
        <v>1118</v>
      </c>
      <c r="I2898">
        <v>1118</v>
      </c>
      <c r="J2898">
        <v>1118</v>
      </c>
      <c r="K2898">
        <v>1</v>
      </c>
      <c r="L2898">
        <v>2</v>
      </c>
      <c r="M2898">
        <v>1086</v>
      </c>
      <c r="N2898">
        <v>5</v>
      </c>
      <c r="O2898">
        <v>24</v>
      </c>
      <c r="P2898">
        <v>0</v>
      </c>
      <c r="Q2898">
        <v>0</v>
      </c>
    </row>
    <row r="2899" spans="1:17" x14ac:dyDescent="0.2">
      <c r="A2899" s="121">
        <v>40237</v>
      </c>
      <c r="B2899" t="s">
        <v>406</v>
      </c>
      <c r="C2899" t="s">
        <v>491</v>
      </c>
      <c r="D2899" t="s">
        <v>502</v>
      </c>
      <c r="E2899" t="s">
        <v>503</v>
      </c>
      <c r="F2899" t="s">
        <v>413</v>
      </c>
      <c r="G2899">
        <v>4459</v>
      </c>
      <c r="H2899">
        <v>4459</v>
      </c>
      <c r="I2899">
        <v>4272</v>
      </c>
      <c r="J2899">
        <v>4272</v>
      </c>
      <c r="K2899">
        <v>1277</v>
      </c>
      <c r="L2899">
        <v>12</v>
      </c>
      <c r="M2899">
        <v>2805</v>
      </c>
      <c r="N2899">
        <v>141</v>
      </c>
      <c r="O2899">
        <v>224</v>
      </c>
      <c r="P2899">
        <v>20</v>
      </c>
      <c r="Q2899">
        <v>1</v>
      </c>
    </row>
    <row r="2900" spans="1:17" x14ac:dyDescent="0.2">
      <c r="A2900" s="121">
        <v>40237</v>
      </c>
      <c r="B2900" t="s">
        <v>406</v>
      </c>
      <c r="C2900" t="s">
        <v>491</v>
      </c>
      <c r="D2900" t="s">
        <v>504</v>
      </c>
      <c r="E2900" t="s">
        <v>505</v>
      </c>
      <c r="F2900" t="s">
        <v>413</v>
      </c>
      <c r="G2900">
        <v>3423</v>
      </c>
      <c r="H2900">
        <v>3423</v>
      </c>
      <c r="I2900">
        <v>3247</v>
      </c>
      <c r="J2900">
        <v>3247</v>
      </c>
      <c r="K2900">
        <v>1092</v>
      </c>
      <c r="L2900">
        <v>3</v>
      </c>
      <c r="M2900">
        <v>2240</v>
      </c>
      <c r="N2900">
        <v>64</v>
      </c>
      <c r="O2900">
        <v>24</v>
      </c>
      <c r="P2900">
        <v>4</v>
      </c>
      <c r="Q2900">
        <v>0</v>
      </c>
    </row>
    <row r="2901" spans="1:17" x14ac:dyDescent="0.2">
      <c r="A2901" s="121">
        <v>40237</v>
      </c>
      <c r="B2901" t="s">
        <v>406</v>
      </c>
      <c r="C2901" t="s">
        <v>491</v>
      </c>
      <c r="D2901" t="s">
        <v>506</v>
      </c>
      <c r="E2901" t="s">
        <v>507</v>
      </c>
      <c r="F2901" t="s">
        <v>413</v>
      </c>
      <c r="G2901">
        <v>3543</v>
      </c>
      <c r="H2901">
        <v>3543</v>
      </c>
      <c r="I2901">
        <v>3479</v>
      </c>
      <c r="J2901">
        <v>3479</v>
      </c>
      <c r="K2901">
        <v>512</v>
      </c>
      <c r="L2901">
        <v>0</v>
      </c>
      <c r="M2901">
        <v>3022</v>
      </c>
      <c r="N2901">
        <v>1</v>
      </c>
      <c r="O2901">
        <v>8</v>
      </c>
      <c r="P2901">
        <v>0</v>
      </c>
      <c r="Q2901">
        <v>0</v>
      </c>
    </row>
    <row r="2902" spans="1:17" x14ac:dyDescent="0.2">
      <c r="A2902" s="121">
        <v>40237</v>
      </c>
      <c r="B2902" t="s">
        <v>406</v>
      </c>
      <c r="C2902" t="s">
        <v>491</v>
      </c>
      <c r="D2902" t="s">
        <v>508</v>
      </c>
      <c r="E2902" t="s">
        <v>509</v>
      </c>
      <c r="F2902" t="s">
        <v>413</v>
      </c>
      <c r="G2902">
        <v>4713</v>
      </c>
      <c r="H2902">
        <v>4713</v>
      </c>
      <c r="I2902">
        <v>4477</v>
      </c>
      <c r="J2902">
        <v>4477</v>
      </c>
      <c r="K2902">
        <v>1540</v>
      </c>
      <c r="L2902">
        <v>8</v>
      </c>
      <c r="M2902">
        <v>2736</v>
      </c>
      <c r="N2902">
        <v>119</v>
      </c>
      <c r="O2902">
        <v>310</v>
      </c>
      <c r="P2902">
        <v>5</v>
      </c>
      <c r="Q2902">
        <v>0</v>
      </c>
    </row>
    <row r="2903" spans="1:17" x14ac:dyDescent="0.2">
      <c r="A2903" s="121">
        <v>40237</v>
      </c>
      <c r="B2903" t="s">
        <v>406</v>
      </c>
      <c r="C2903" t="s">
        <v>510</v>
      </c>
      <c r="D2903" t="s">
        <v>513</v>
      </c>
      <c r="E2903" t="s">
        <v>514</v>
      </c>
      <c r="F2903" t="s">
        <v>410</v>
      </c>
      <c r="G2903">
        <v>475</v>
      </c>
      <c r="I2903">
        <v>468</v>
      </c>
    </row>
    <row r="2904" spans="1:17" x14ac:dyDescent="0.2">
      <c r="A2904" s="121">
        <v>40237</v>
      </c>
      <c r="B2904" t="s">
        <v>406</v>
      </c>
      <c r="C2904" t="s">
        <v>510</v>
      </c>
      <c r="D2904" t="s">
        <v>515</v>
      </c>
      <c r="E2904" t="s">
        <v>516</v>
      </c>
      <c r="F2904" t="s">
        <v>410</v>
      </c>
      <c r="G2904">
        <v>57</v>
      </c>
      <c r="I2904">
        <v>57</v>
      </c>
    </row>
    <row r="2905" spans="1:17" x14ac:dyDescent="0.2">
      <c r="A2905" s="121">
        <v>40237</v>
      </c>
      <c r="B2905" t="s">
        <v>406</v>
      </c>
      <c r="C2905" t="s">
        <v>510</v>
      </c>
      <c r="D2905" t="s">
        <v>519</v>
      </c>
      <c r="E2905" t="s">
        <v>520</v>
      </c>
      <c r="F2905" t="s">
        <v>410</v>
      </c>
      <c r="G2905">
        <v>267</v>
      </c>
      <c r="I2905">
        <v>262</v>
      </c>
    </row>
    <row r="2906" spans="1:17" x14ac:dyDescent="0.2">
      <c r="A2906" s="121">
        <v>40237</v>
      </c>
      <c r="B2906" t="s">
        <v>406</v>
      </c>
      <c r="C2906" t="s">
        <v>510</v>
      </c>
      <c r="D2906" t="s">
        <v>521</v>
      </c>
      <c r="E2906" t="s">
        <v>522</v>
      </c>
      <c r="F2906" t="s">
        <v>410</v>
      </c>
      <c r="G2906">
        <v>31</v>
      </c>
      <c r="I2906">
        <v>31</v>
      </c>
    </row>
    <row r="2907" spans="1:17" x14ac:dyDescent="0.2">
      <c r="A2907" s="121">
        <v>40237</v>
      </c>
      <c r="B2907" t="s">
        <v>406</v>
      </c>
      <c r="C2907" t="s">
        <v>510</v>
      </c>
      <c r="D2907" t="s">
        <v>523</v>
      </c>
      <c r="E2907" t="s">
        <v>524</v>
      </c>
      <c r="F2907" t="s">
        <v>413</v>
      </c>
      <c r="G2907">
        <v>341</v>
      </c>
      <c r="I2907">
        <v>335</v>
      </c>
    </row>
    <row r="2908" spans="1:17" x14ac:dyDescent="0.2">
      <c r="A2908" s="121">
        <v>40237</v>
      </c>
      <c r="B2908" t="s">
        <v>406</v>
      </c>
      <c r="C2908" t="s">
        <v>510</v>
      </c>
      <c r="D2908" t="s">
        <v>525</v>
      </c>
      <c r="E2908" t="s">
        <v>526</v>
      </c>
      <c r="F2908" t="s">
        <v>410</v>
      </c>
      <c r="G2908">
        <v>321</v>
      </c>
      <c r="I2908">
        <v>311</v>
      </c>
    </row>
    <row r="2909" spans="1:17" x14ac:dyDescent="0.2">
      <c r="A2909" s="121">
        <v>40237</v>
      </c>
      <c r="B2909" t="s">
        <v>406</v>
      </c>
      <c r="C2909" t="s">
        <v>510</v>
      </c>
      <c r="D2909" t="s">
        <v>527</v>
      </c>
      <c r="E2909" t="s">
        <v>528</v>
      </c>
      <c r="F2909" t="s">
        <v>410</v>
      </c>
      <c r="G2909">
        <v>136</v>
      </c>
      <c r="I2909">
        <v>136</v>
      </c>
    </row>
    <row r="2910" spans="1:17" x14ac:dyDescent="0.2">
      <c r="A2910" s="121">
        <v>40237</v>
      </c>
      <c r="B2910" t="s">
        <v>406</v>
      </c>
      <c r="C2910" t="s">
        <v>510</v>
      </c>
      <c r="D2910" t="s">
        <v>529</v>
      </c>
      <c r="E2910" t="s">
        <v>530</v>
      </c>
      <c r="F2910" t="s">
        <v>413</v>
      </c>
      <c r="G2910">
        <v>419</v>
      </c>
      <c r="I2910">
        <v>415</v>
      </c>
    </row>
    <row r="2911" spans="1:17" x14ac:dyDescent="0.2">
      <c r="A2911" s="121">
        <v>40237</v>
      </c>
      <c r="B2911" t="s">
        <v>406</v>
      </c>
      <c r="C2911" t="s">
        <v>510</v>
      </c>
      <c r="D2911" t="s">
        <v>531</v>
      </c>
      <c r="E2911" t="s">
        <v>532</v>
      </c>
      <c r="F2911" t="s">
        <v>410</v>
      </c>
      <c r="G2911">
        <v>33</v>
      </c>
      <c r="I2911">
        <v>33</v>
      </c>
    </row>
    <row r="2912" spans="1:17" x14ac:dyDescent="0.2">
      <c r="A2912" s="121">
        <v>40237</v>
      </c>
      <c r="B2912" t="s">
        <v>406</v>
      </c>
      <c r="C2912" t="s">
        <v>510</v>
      </c>
      <c r="D2912" t="s">
        <v>533</v>
      </c>
      <c r="E2912" t="s">
        <v>534</v>
      </c>
      <c r="F2912" t="s">
        <v>413</v>
      </c>
      <c r="G2912">
        <v>2119</v>
      </c>
      <c r="H2912">
        <v>2119</v>
      </c>
      <c r="I2912">
        <v>2012</v>
      </c>
      <c r="J2912">
        <v>2012</v>
      </c>
      <c r="K2912">
        <v>538</v>
      </c>
      <c r="L2912">
        <v>33</v>
      </c>
      <c r="M2912">
        <v>1547</v>
      </c>
      <c r="N2912">
        <v>1</v>
      </c>
      <c r="O2912">
        <v>0</v>
      </c>
      <c r="P2912">
        <v>1</v>
      </c>
      <c r="Q2912">
        <v>0</v>
      </c>
    </row>
    <row r="2913" spans="1:17" x14ac:dyDescent="0.2">
      <c r="A2913" s="121">
        <v>40237</v>
      </c>
      <c r="B2913" t="s">
        <v>406</v>
      </c>
      <c r="C2913" t="s">
        <v>510</v>
      </c>
      <c r="D2913" t="s">
        <v>535</v>
      </c>
      <c r="E2913" t="s">
        <v>536</v>
      </c>
      <c r="F2913" t="s">
        <v>410</v>
      </c>
      <c r="G2913">
        <v>170</v>
      </c>
      <c r="I2913">
        <v>170</v>
      </c>
    </row>
    <row r="2914" spans="1:17" x14ac:dyDescent="0.2">
      <c r="A2914" s="121">
        <v>40237</v>
      </c>
      <c r="B2914" t="s">
        <v>406</v>
      </c>
      <c r="C2914" t="s">
        <v>510</v>
      </c>
      <c r="D2914" t="s">
        <v>537</v>
      </c>
      <c r="E2914" t="s">
        <v>538</v>
      </c>
      <c r="F2914" t="s">
        <v>410</v>
      </c>
      <c r="G2914">
        <v>69</v>
      </c>
      <c r="I2914">
        <v>69</v>
      </c>
    </row>
    <row r="2915" spans="1:17" x14ac:dyDescent="0.2">
      <c r="A2915" s="121">
        <v>40237</v>
      </c>
      <c r="B2915" t="s">
        <v>406</v>
      </c>
      <c r="C2915" t="s">
        <v>510</v>
      </c>
      <c r="D2915" t="s">
        <v>539</v>
      </c>
      <c r="E2915" t="s">
        <v>540</v>
      </c>
      <c r="F2915" t="s">
        <v>413</v>
      </c>
      <c r="G2915">
        <v>612</v>
      </c>
      <c r="I2915">
        <v>602</v>
      </c>
    </row>
    <row r="2916" spans="1:17" x14ac:dyDescent="0.2">
      <c r="A2916" s="121">
        <v>40237</v>
      </c>
      <c r="B2916" t="s">
        <v>406</v>
      </c>
      <c r="C2916" t="s">
        <v>510</v>
      </c>
      <c r="D2916" t="s">
        <v>541</v>
      </c>
      <c r="E2916" t="s">
        <v>542</v>
      </c>
      <c r="F2916" t="s">
        <v>410</v>
      </c>
      <c r="G2916">
        <v>237</v>
      </c>
      <c r="I2916">
        <v>237</v>
      </c>
    </row>
    <row r="2917" spans="1:17" x14ac:dyDescent="0.2">
      <c r="A2917" s="121">
        <v>40237</v>
      </c>
      <c r="B2917" t="s">
        <v>406</v>
      </c>
      <c r="C2917" t="s">
        <v>510</v>
      </c>
      <c r="D2917" t="s">
        <v>543</v>
      </c>
      <c r="E2917" t="s">
        <v>544</v>
      </c>
      <c r="F2917" t="s">
        <v>410</v>
      </c>
      <c r="G2917">
        <v>161</v>
      </c>
      <c r="I2917">
        <v>161</v>
      </c>
    </row>
    <row r="2918" spans="1:17" x14ac:dyDescent="0.2">
      <c r="A2918" s="121">
        <v>40237</v>
      </c>
      <c r="B2918" t="s">
        <v>406</v>
      </c>
      <c r="C2918" t="s">
        <v>510</v>
      </c>
      <c r="D2918" t="s">
        <v>545</v>
      </c>
      <c r="E2918" t="s">
        <v>546</v>
      </c>
      <c r="F2918" t="s">
        <v>410</v>
      </c>
      <c r="G2918">
        <v>159</v>
      </c>
      <c r="I2918">
        <v>159</v>
      </c>
    </row>
    <row r="2919" spans="1:17" x14ac:dyDescent="0.2">
      <c r="A2919" s="121">
        <v>40237</v>
      </c>
      <c r="B2919" t="s">
        <v>406</v>
      </c>
      <c r="C2919" t="s">
        <v>510</v>
      </c>
      <c r="D2919" t="s">
        <v>547</v>
      </c>
      <c r="E2919" t="s">
        <v>548</v>
      </c>
      <c r="F2919" t="s">
        <v>410</v>
      </c>
      <c r="G2919">
        <v>83</v>
      </c>
      <c r="I2919">
        <v>83</v>
      </c>
    </row>
    <row r="2920" spans="1:17" x14ac:dyDescent="0.2">
      <c r="A2920" s="121">
        <v>40237</v>
      </c>
      <c r="B2920" t="s">
        <v>406</v>
      </c>
      <c r="C2920" t="s">
        <v>510</v>
      </c>
      <c r="D2920" t="s">
        <v>616</v>
      </c>
      <c r="E2920" t="s">
        <v>617</v>
      </c>
      <c r="F2920" t="s">
        <v>410</v>
      </c>
      <c r="G2920">
        <v>302</v>
      </c>
      <c r="I2920">
        <v>295</v>
      </c>
    </row>
    <row r="2921" spans="1:17" x14ac:dyDescent="0.2">
      <c r="A2921" s="121">
        <v>40237</v>
      </c>
      <c r="B2921" t="s">
        <v>406</v>
      </c>
      <c r="C2921" t="s">
        <v>510</v>
      </c>
      <c r="D2921" t="s">
        <v>549</v>
      </c>
      <c r="E2921" t="s">
        <v>550</v>
      </c>
      <c r="F2921" t="s">
        <v>410</v>
      </c>
      <c r="G2921">
        <v>197</v>
      </c>
      <c r="I2921">
        <v>196</v>
      </c>
    </row>
    <row r="2922" spans="1:17" x14ac:dyDescent="0.2">
      <c r="A2922" s="121">
        <v>40237</v>
      </c>
      <c r="B2922" t="s">
        <v>406</v>
      </c>
      <c r="C2922" t="s">
        <v>551</v>
      </c>
      <c r="D2922" t="s">
        <v>552</v>
      </c>
      <c r="E2922" t="s">
        <v>553</v>
      </c>
      <c r="F2922" t="s">
        <v>413</v>
      </c>
      <c r="G2922">
        <v>4814</v>
      </c>
      <c r="H2922">
        <v>4814</v>
      </c>
      <c r="I2922">
        <v>4774</v>
      </c>
      <c r="J2922">
        <v>4774</v>
      </c>
      <c r="K2922">
        <v>1445</v>
      </c>
      <c r="L2922">
        <v>10</v>
      </c>
      <c r="M2922">
        <v>3162</v>
      </c>
      <c r="N2922">
        <v>185</v>
      </c>
      <c r="O2922">
        <v>12</v>
      </c>
      <c r="P2922">
        <v>0</v>
      </c>
      <c r="Q2922">
        <v>0</v>
      </c>
    </row>
    <row r="2923" spans="1:17" x14ac:dyDescent="0.2">
      <c r="A2923" s="121">
        <v>40237</v>
      </c>
      <c r="B2923" t="s">
        <v>406</v>
      </c>
      <c r="C2923" t="s">
        <v>551</v>
      </c>
      <c r="D2923" t="s">
        <v>554</v>
      </c>
      <c r="E2923" t="s">
        <v>555</v>
      </c>
      <c r="F2923" t="s">
        <v>410</v>
      </c>
      <c r="G2923">
        <v>91</v>
      </c>
      <c r="I2923">
        <v>91</v>
      </c>
    </row>
    <row r="2924" spans="1:17" x14ac:dyDescent="0.2">
      <c r="A2924" s="121">
        <v>40237</v>
      </c>
      <c r="B2924" t="s">
        <v>406</v>
      </c>
      <c r="C2924" t="s">
        <v>551</v>
      </c>
      <c r="D2924" t="s">
        <v>556</v>
      </c>
      <c r="E2924" t="s">
        <v>557</v>
      </c>
      <c r="F2924" t="s">
        <v>410</v>
      </c>
      <c r="G2924">
        <v>154</v>
      </c>
      <c r="I2924">
        <v>154</v>
      </c>
    </row>
    <row r="2925" spans="1:17" x14ac:dyDescent="0.2">
      <c r="A2925" s="121">
        <v>40237</v>
      </c>
      <c r="B2925" t="s">
        <v>406</v>
      </c>
      <c r="C2925" t="s">
        <v>551</v>
      </c>
      <c r="D2925" t="s">
        <v>558</v>
      </c>
      <c r="E2925" t="s">
        <v>559</v>
      </c>
      <c r="F2925" t="s">
        <v>413</v>
      </c>
      <c r="G2925">
        <v>4176</v>
      </c>
      <c r="H2925">
        <v>4176</v>
      </c>
      <c r="I2925">
        <v>4122</v>
      </c>
      <c r="J2925">
        <v>4122</v>
      </c>
      <c r="K2925">
        <v>1145</v>
      </c>
      <c r="L2925">
        <v>10</v>
      </c>
      <c r="M2925">
        <v>2894</v>
      </c>
      <c r="N2925">
        <v>105</v>
      </c>
      <c r="O2925">
        <v>22</v>
      </c>
      <c r="P2925">
        <v>2</v>
      </c>
      <c r="Q2925">
        <v>0</v>
      </c>
    </row>
    <row r="2926" spans="1:17" x14ac:dyDescent="0.2">
      <c r="A2926" s="121">
        <v>40237</v>
      </c>
      <c r="B2926" t="s">
        <v>406</v>
      </c>
      <c r="C2926" t="s">
        <v>551</v>
      </c>
      <c r="D2926" t="s">
        <v>560</v>
      </c>
      <c r="E2926" t="s">
        <v>561</v>
      </c>
      <c r="F2926" t="s">
        <v>413</v>
      </c>
      <c r="G2926">
        <v>4815</v>
      </c>
      <c r="H2926">
        <v>4815</v>
      </c>
      <c r="I2926">
        <v>4778</v>
      </c>
      <c r="J2926">
        <v>4778</v>
      </c>
      <c r="K2926">
        <v>1283</v>
      </c>
      <c r="L2926">
        <v>8</v>
      </c>
      <c r="M2926">
        <v>3282</v>
      </c>
      <c r="N2926">
        <v>226</v>
      </c>
      <c r="O2926">
        <v>16</v>
      </c>
      <c r="P2926">
        <v>1</v>
      </c>
      <c r="Q2926">
        <v>0</v>
      </c>
    </row>
    <row r="2927" spans="1:17" x14ac:dyDescent="0.2">
      <c r="A2927" s="121">
        <v>40237</v>
      </c>
      <c r="B2927" t="s">
        <v>406</v>
      </c>
      <c r="C2927" t="s">
        <v>562</v>
      </c>
      <c r="D2927" t="s">
        <v>603</v>
      </c>
      <c r="E2927" t="s">
        <v>604</v>
      </c>
      <c r="F2927" t="s">
        <v>410</v>
      </c>
      <c r="G2927">
        <v>6</v>
      </c>
      <c r="I2927">
        <v>6</v>
      </c>
    </row>
    <row r="2928" spans="1:17" x14ac:dyDescent="0.2">
      <c r="A2928" s="121">
        <v>40237</v>
      </c>
      <c r="B2928" t="s">
        <v>406</v>
      </c>
      <c r="C2928" t="s">
        <v>562</v>
      </c>
      <c r="D2928" t="s">
        <v>605</v>
      </c>
      <c r="E2928" t="s">
        <v>606</v>
      </c>
      <c r="F2928" t="s">
        <v>410</v>
      </c>
      <c r="G2928">
        <v>116</v>
      </c>
      <c r="I2928">
        <v>116</v>
      </c>
    </row>
    <row r="2929" spans="1:17" x14ac:dyDescent="0.2">
      <c r="A2929" s="121">
        <v>40237</v>
      </c>
      <c r="B2929" t="s">
        <v>406</v>
      </c>
      <c r="C2929" t="s">
        <v>562</v>
      </c>
      <c r="D2929" t="s">
        <v>563</v>
      </c>
      <c r="E2929" t="s">
        <v>564</v>
      </c>
      <c r="F2929" t="s">
        <v>410</v>
      </c>
      <c r="G2929">
        <v>2596</v>
      </c>
      <c r="H2929">
        <v>2596</v>
      </c>
      <c r="I2929">
        <v>2482</v>
      </c>
      <c r="J2929">
        <v>2482</v>
      </c>
      <c r="K2929">
        <v>847</v>
      </c>
      <c r="L2929">
        <v>4</v>
      </c>
      <c r="M2929">
        <v>1722</v>
      </c>
      <c r="N2929">
        <v>23</v>
      </c>
      <c r="O2929">
        <v>0</v>
      </c>
      <c r="P2929">
        <v>16</v>
      </c>
      <c r="Q2929">
        <v>11</v>
      </c>
    </row>
    <row r="2930" spans="1:17" x14ac:dyDescent="0.2">
      <c r="A2930" s="121">
        <v>40237</v>
      </c>
      <c r="B2930" t="s">
        <v>406</v>
      </c>
      <c r="C2930" t="s">
        <v>562</v>
      </c>
      <c r="D2930" t="s">
        <v>565</v>
      </c>
      <c r="E2930" t="s">
        <v>566</v>
      </c>
      <c r="F2930" t="s">
        <v>413</v>
      </c>
      <c r="G2930">
        <v>3700</v>
      </c>
      <c r="H2930">
        <v>3700</v>
      </c>
      <c r="I2930">
        <v>3394</v>
      </c>
      <c r="J2930">
        <v>3394</v>
      </c>
      <c r="K2930">
        <v>1041</v>
      </c>
      <c r="L2930">
        <v>4</v>
      </c>
      <c r="M2930">
        <v>2529</v>
      </c>
      <c r="N2930">
        <v>126</v>
      </c>
      <c r="O2930">
        <v>0</v>
      </c>
      <c r="P2930">
        <v>29</v>
      </c>
      <c r="Q2930">
        <v>10</v>
      </c>
    </row>
    <row r="2931" spans="1:17" x14ac:dyDescent="0.2">
      <c r="A2931" s="121">
        <v>40237</v>
      </c>
      <c r="B2931" t="s">
        <v>406</v>
      </c>
      <c r="C2931" t="s">
        <v>562</v>
      </c>
      <c r="D2931" t="s">
        <v>567</v>
      </c>
      <c r="E2931" t="s">
        <v>568</v>
      </c>
      <c r="F2931" t="s">
        <v>413</v>
      </c>
      <c r="G2931">
        <v>7910</v>
      </c>
      <c r="H2931">
        <v>7910</v>
      </c>
      <c r="I2931">
        <v>7264</v>
      </c>
      <c r="J2931">
        <v>7264</v>
      </c>
      <c r="K2931">
        <v>2318</v>
      </c>
      <c r="L2931">
        <v>20</v>
      </c>
      <c r="M2931">
        <v>5218</v>
      </c>
      <c r="N2931">
        <v>354</v>
      </c>
      <c r="O2931">
        <v>0</v>
      </c>
      <c r="P2931">
        <v>102</v>
      </c>
      <c r="Q2931">
        <v>13</v>
      </c>
    </row>
    <row r="2932" spans="1:17" x14ac:dyDescent="0.2">
      <c r="A2932" s="121">
        <v>40237</v>
      </c>
      <c r="B2932" t="s">
        <v>406</v>
      </c>
      <c r="C2932" t="s">
        <v>562</v>
      </c>
      <c r="D2932" t="s">
        <v>569</v>
      </c>
      <c r="E2932" t="s">
        <v>570</v>
      </c>
      <c r="F2932" t="s">
        <v>413</v>
      </c>
      <c r="G2932">
        <v>2937</v>
      </c>
      <c r="H2932">
        <v>2937</v>
      </c>
      <c r="I2932">
        <v>2847</v>
      </c>
      <c r="J2932">
        <v>2847</v>
      </c>
      <c r="K2932">
        <v>447</v>
      </c>
      <c r="L2932">
        <v>1</v>
      </c>
      <c r="M2932">
        <v>2489</v>
      </c>
      <c r="N2932">
        <v>0</v>
      </c>
      <c r="O2932">
        <v>0</v>
      </c>
      <c r="P2932">
        <v>2</v>
      </c>
      <c r="Q2932">
        <v>0</v>
      </c>
    </row>
    <row r="2933" spans="1:17" x14ac:dyDescent="0.2">
      <c r="A2933" s="121">
        <v>40237</v>
      </c>
      <c r="B2933" t="s">
        <v>406</v>
      </c>
      <c r="C2933" t="s">
        <v>571</v>
      </c>
      <c r="D2933" t="s">
        <v>572</v>
      </c>
      <c r="E2933" t="s">
        <v>573</v>
      </c>
      <c r="F2933" t="s">
        <v>410</v>
      </c>
      <c r="G2933">
        <v>208</v>
      </c>
      <c r="I2933">
        <v>205</v>
      </c>
    </row>
    <row r="2934" spans="1:17" x14ac:dyDescent="0.2">
      <c r="A2934" s="121">
        <v>40237</v>
      </c>
      <c r="B2934" t="s">
        <v>406</v>
      </c>
      <c r="C2934" t="s">
        <v>574</v>
      </c>
      <c r="D2934" t="s">
        <v>575</v>
      </c>
      <c r="E2934" t="s">
        <v>576</v>
      </c>
      <c r="F2934" t="s">
        <v>413</v>
      </c>
      <c r="G2934">
        <v>587</v>
      </c>
      <c r="H2934">
        <v>587</v>
      </c>
      <c r="I2934">
        <v>584</v>
      </c>
      <c r="J2934">
        <v>584</v>
      </c>
      <c r="K2934">
        <v>146</v>
      </c>
      <c r="L2934">
        <v>0</v>
      </c>
      <c r="M2934">
        <v>420</v>
      </c>
      <c r="N2934">
        <v>2</v>
      </c>
      <c r="O2934">
        <v>19</v>
      </c>
      <c r="P2934">
        <v>0</v>
      </c>
      <c r="Q2934">
        <v>0</v>
      </c>
    </row>
    <row r="2935" spans="1:17" x14ac:dyDescent="0.2">
      <c r="A2935" s="121">
        <v>40237</v>
      </c>
      <c r="B2935" t="s">
        <v>406</v>
      </c>
      <c r="C2935" t="s">
        <v>577</v>
      </c>
      <c r="D2935" t="s">
        <v>578</v>
      </c>
      <c r="E2935" t="s">
        <v>579</v>
      </c>
      <c r="F2935" t="s">
        <v>413</v>
      </c>
      <c r="G2935">
        <v>3512</v>
      </c>
      <c r="H2935">
        <v>3512</v>
      </c>
      <c r="I2935">
        <v>3469</v>
      </c>
      <c r="J2935">
        <v>3469</v>
      </c>
      <c r="K2935">
        <v>826</v>
      </c>
      <c r="L2935">
        <v>25</v>
      </c>
      <c r="M2935">
        <v>2610</v>
      </c>
      <c r="N2935">
        <v>50</v>
      </c>
      <c r="O2935">
        <v>1</v>
      </c>
      <c r="P2935">
        <v>0</v>
      </c>
      <c r="Q2935">
        <v>0</v>
      </c>
    </row>
    <row r="2936" spans="1:17" x14ac:dyDescent="0.2">
      <c r="A2936" s="121">
        <v>40237</v>
      </c>
      <c r="B2936" t="s">
        <v>406</v>
      </c>
      <c r="C2936" t="s">
        <v>577</v>
      </c>
      <c r="D2936" t="s">
        <v>580</v>
      </c>
      <c r="E2936" t="s">
        <v>581</v>
      </c>
      <c r="F2936" t="s">
        <v>413</v>
      </c>
      <c r="G2936">
        <v>1748</v>
      </c>
      <c r="H2936">
        <v>1748</v>
      </c>
      <c r="I2936">
        <v>1725</v>
      </c>
      <c r="J2936">
        <v>1725</v>
      </c>
      <c r="K2936">
        <v>292</v>
      </c>
      <c r="L2936">
        <v>0</v>
      </c>
      <c r="M2936">
        <v>1276</v>
      </c>
      <c r="N2936">
        <v>143</v>
      </c>
      <c r="O2936">
        <v>37</v>
      </c>
      <c r="P2936">
        <v>0</v>
      </c>
      <c r="Q2936">
        <v>0</v>
      </c>
    </row>
    <row r="2937" spans="1:17" x14ac:dyDescent="0.2">
      <c r="A2937" s="121">
        <v>40237</v>
      </c>
      <c r="B2937" t="s">
        <v>406</v>
      </c>
      <c r="C2937" t="s">
        <v>577</v>
      </c>
      <c r="D2937" t="s">
        <v>609</v>
      </c>
      <c r="E2937" t="s">
        <v>610</v>
      </c>
      <c r="F2937" t="s">
        <v>410</v>
      </c>
      <c r="G2937">
        <v>15</v>
      </c>
      <c r="H2937">
        <v>15</v>
      </c>
      <c r="I2937">
        <v>15</v>
      </c>
      <c r="J2937">
        <v>15</v>
      </c>
      <c r="K2937">
        <v>2</v>
      </c>
      <c r="L2937">
        <v>0</v>
      </c>
      <c r="M2937">
        <v>11</v>
      </c>
      <c r="N2937">
        <v>0</v>
      </c>
      <c r="O2937">
        <v>2</v>
      </c>
      <c r="P2937">
        <v>0</v>
      </c>
      <c r="Q2937">
        <v>0</v>
      </c>
    </row>
    <row r="2938" spans="1:17" x14ac:dyDescent="0.2">
      <c r="A2938" s="121">
        <v>40237</v>
      </c>
      <c r="B2938" t="s">
        <v>406</v>
      </c>
      <c r="C2938" t="s">
        <v>577</v>
      </c>
      <c r="D2938" t="s">
        <v>611</v>
      </c>
      <c r="E2938" t="s">
        <v>612</v>
      </c>
      <c r="F2938" t="s">
        <v>410</v>
      </c>
      <c r="G2938">
        <v>4</v>
      </c>
      <c r="H2938">
        <v>4</v>
      </c>
      <c r="I2938">
        <v>4</v>
      </c>
      <c r="J2938">
        <v>4</v>
      </c>
      <c r="K2938">
        <v>0</v>
      </c>
      <c r="L2938">
        <v>0</v>
      </c>
      <c r="M2938">
        <v>1</v>
      </c>
      <c r="N2938">
        <v>0</v>
      </c>
      <c r="O2938">
        <v>3</v>
      </c>
      <c r="P2938">
        <v>0</v>
      </c>
      <c r="Q2938">
        <v>0</v>
      </c>
    </row>
    <row r="2939" spans="1:17" x14ac:dyDescent="0.2">
      <c r="A2939" s="121">
        <v>40237</v>
      </c>
      <c r="B2939" t="s">
        <v>406</v>
      </c>
      <c r="C2939" t="s">
        <v>577</v>
      </c>
      <c r="D2939" t="s">
        <v>584</v>
      </c>
      <c r="E2939" t="s">
        <v>585</v>
      </c>
      <c r="F2939" t="s">
        <v>410</v>
      </c>
      <c r="G2939">
        <v>224</v>
      </c>
      <c r="H2939">
        <v>224</v>
      </c>
      <c r="I2939">
        <v>223</v>
      </c>
      <c r="J2939">
        <v>223</v>
      </c>
      <c r="K2939">
        <v>18</v>
      </c>
      <c r="L2939">
        <v>0</v>
      </c>
      <c r="M2939">
        <v>193</v>
      </c>
      <c r="N2939">
        <v>0</v>
      </c>
      <c r="O2939">
        <v>13</v>
      </c>
      <c r="P2939">
        <v>0</v>
      </c>
      <c r="Q2939">
        <v>0</v>
      </c>
    </row>
    <row r="2940" spans="1:17" x14ac:dyDescent="0.2">
      <c r="A2940" s="121">
        <v>40237</v>
      </c>
      <c r="B2940" t="s">
        <v>406</v>
      </c>
      <c r="C2940" t="s">
        <v>577</v>
      </c>
      <c r="D2940" t="s">
        <v>586</v>
      </c>
      <c r="E2940" t="s">
        <v>587</v>
      </c>
      <c r="F2940" t="s">
        <v>410</v>
      </c>
      <c r="G2940">
        <v>957</v>
      </c>
      <c r="H2940">
        <v>957</v>
      </c>
      <c r="I2940">
        <v>956</v>
      </c>
      <c r="J2940">
        <v>956</v>
      </c>
      <c r="K2940">
        <v>24</v>
      </c>
      <c r="L2940">
        <v>0</v>
      </c>
      <c r="M2940">
        <v>674</v>
      </c>
      <c r="N2940">
        <v>0</v>
      </c>
      <c r="O2940">
        <v>259</v>
      </c>
      <c r="P2940">
        <v>0</v>
      </c>
      <c r="Q2940">
        <v>0</v>
      </c>
    </row>
    <row r="2941" spans="1:17" x14ac:dyDescent="0.2">
      <c r="A2941" s="121">
        <v>40237</v>
      </c>
      <c r="B2941" t="s">
        <v>406</v>
      </c>
      <c r="C2941" t="s">
        <v>577</v>
      </c>
      <c r="D2941" t="s">
        <v>588</v>
      </c>
      <c r="E2941" t="s">
        <v>589</v>
      </c>
      <c r="F2941" t="s">
        <v>410</v>
      </c>
      <c r="G2941">
        <v>246</v>
      </c>
      <c r="H2941">
        <v>246</v>
      </c>
      <c r="I2941">
        <v>246</v>
      </c>
      <c r="J2941">
        <v>246</v>
      </c>
      <c r="K2941">
        <v>4</v>
      </c>
      <c r="L2941">
        <v>0</v>
      </c>
      <c r="M2941">
        <v>202</v>
      </c>
      <c r="N2941">
        <v>0</v>
      </c>
      <c r="O2941">
        <v>40</v>
      </c>
      <c r="P2941">
        <v>0</v>
      </c>
      <c r="Q2941">
        <v>0</v>
      </c>
    </row>
    <row r="2942" spans="1:17" x14ac:dyDescent="0.2">
      <c r="A2942" s="121">
        <v>40237</v>
      </c>
      <c r="B2942" t="s">
        <v>406</v>
      </c>
      <c r="C2942" t="s">
        <v>577</v>
      </c>
      <c r="D2942" t="s">
        <v>613</v>
      </c>
      <c r="E2942" t="s">
        <v>614</v>
      </c>
      <c r="F2942" t="s">
        <v>410</v>
      </c>
      <c r="G2942">
        <v>160</v>
      </c>
      <c r="H2942">
        <v>160</v>
      </c>
      <c r="I2942">
        <v>160</v>
      </c>
      <c r="J2942">
        <v>160</v>
      </c>
      <c r="K2942">
        <v>9</v>
      </c>
      <c r="L2942">
        <v>0</v>
      </c>
      <c r="M2942">
        <v>116</v>
      </c>
      <c r="N2942">
        <v>0</v>
      </c>
      <c r="O2942">
        <v>35</v>
      </c>
      <c r="P2942">
        <v>0</v>
      </c>
      <c r="Q2942">
        <v>0</v>
      </c>
    </row>
    <row r="2943" spans="1:17" x14ac:dyDescent="0.2">
      <c r="A2943" s="121">
        <v>40237</v>
      </c>
      <c r="B2943" t="s">
        <v>406</v>
      </c>
      <c r="C2943" t="s">
        <v>577</v>
      </c>
      <c r="D2943" t="s">
        <v>590</v>
      </c>
      <c r="E2943" t="s">
        <v>591</v>
      </c>
      <c r="F2943" t="s">
        <v>410</v>
      </c>
      <c r="G2943">
        <v>444</v>
      </c>
      <c r="H2943">
        <v>444</v>
      </c>
      <c r="I2943">
        <v>444</v>
      </c>
      <c r="J2943">
        <v>444</v>
      </c>
      <c r="K2943">
        <v>10</v>
      </c>
      <c r="L2943">
        <v>0</v>
      </c>
      <c r="M2943">
        <v>388</v>
      </c>
      <c r="N2943">
        <v>0</v>
      </c>
      <c r="O2943">
        <v>46</v>
      </c>
      <c r="P2943">
        <v>0</v>
      </c>
      <c r="Q2943">
        <v>0</v>
      </c>
    </row>
    <row r="2944" spans="1:17" x14ac:dyDescent="0.2">
      <c r="A2944" s="121">
        <v>40237</v>
      </c>
      <c r="B2944" t="s">
        <v>406</v>
      </c>
      <c r="C2944" t="s">
        <v>577</v>
      </c>
      <c r="D2944" t="s">
        <v>607</v>
      </c>
      <c r="E2944" t="s">
        <v>608</v>
      </c>
      <c r="F2944" t="s">
        <v>410</v>
      </c>
      <c r="G2944">
        <v>61</v>
      </c>
      <c r="H2944">
        <v>61</v>
      </c>
      <c r="I2944">
        <v>61</v>
      </c>
      <c r="J2944">
        <v>61</v>
      </c>
      <c r="K2944">
        <v>6</v>
      </c>
      <c r="L2944">
        <v>0</v>
      </c>
      <c r="M2944">
        <v>43</v>
      </c>
      <c r="N2944">
        <v>0</v>
      </c>
      <c r="O2944">
        <v>12</v>
      </c>
      <c r="P2944">
        <v>0</v>
      </c>
      <c r="Q2944">
        <v>0</v>
      </c>
    </row>
    <row r="2945" spans="1:17" x14ac:dyDescent="0.2">
      <c r="A2945" s="121">
        <v>40237</v>
      </c>
      <c r="B2945" t="s">
        <v>406</v>
      </c>
      <c r="C2945" t="s">
        <v>577</v>
      </c>
      <c r="D2945" t="s">
        <v>592</v>
      </c>
      <c r="E2945" t="s">
        <v>593</v>
      </c>
      <c r="F2945" t="s">
        <v>410</v>
      </c>
      <c r="G2945">
        <v>508</v>
      </c>
      <c r="H2945">
        <v>508</v>
      </c>
      <c r="I2945">
        <v>508</v>
      </c>
      <c r="J2945">
        <v>508</v>
      </c>
      <c r="K2945">
        <v>0</v>
      </c>
      <c r="L2945">
        <v>0</v>
      </c>
      <c r="M2945">
        <v>0</v>
      </c>
      <c r="N2945">
        <v>0</v>
      </c>
      <c r="O2945">
        <v>508</v>
      </c>
      <c r="P2945">
        <v>0</v>
      </c>
      <c r="Q2945">
        <v>0</v>
      </c>
    </row>
    <row r="2946" spans="1:17" x14ac:dyDescent="0.2">
      <c r="A2946" s="121">
        <v>40237</v>
      </c>
      <c r="B2946" t="s">
        <v>406</v>
      </c>
      <c r="C2946" t="s">
        <v>594</v>
      </c>
      <c r="D2946" t="s">
        <v>595</v>
      </c>
      <c r="E2946" t="s">
        <v>596</v>
      </c>
      <c r="F2946" t="s">
        <v>410</v>
      </c>
      <c r="G2946">
        <v>30</v>
      </c>
      <c r="I2946">
        <v>28</v>
      </c>
    </row>
    <row r="2947" spans="1:17" x14ac:dyDescent="0.2">
      <c r="A2947" s="121">
        <v>40237</v>
      </c>
      <c r="B2947" t="s">
        <v>406</v>
      </c>
      <c r="C2947" t="s">
        <v>594</v>
      </c>
      <c r="D2947" t="s">
        <v>597</v>
      </c>
      <c r="E2947" t="s">
        <v>598</v>
      </c>
      <c r="F2947" t="s">
        <v>413</v>
      </c>
      <c r="G2947">
        <v>428</v>
      </c>
      <c r="H2947">
        <v>428</v>
      </c>
      <c r="I2947">
        <v>424</v>
      </c>
      <c r="J2947">
        <v>424</v>
      </c>
      <c r="K2947">
        <v>111</v>
      </c>
      <c r="L2947">
        <v>0</v>
      </c>
      <c r="M2947">
        <v>313</v>
      </c>
      <c r="N2947">
        <v>0</v>
      </c>
      <c r="O2947">
        <v>4</v>
      </c>
      <c r="P2947">
        <v>0</v>
      </c>
      <c r="Q2947">
        <v>0</v>
      </c>
    </row>
    <row r="2948" spans="1:17" x14ac:dyDescent="0.2">
      <c r="A2948" s="121">
        <v>40237</v>
      </c>
      <c r="B2948" t="s">
        <v>406</v>
      </c>
      <c r="C2948" t="s">
        <v>594</v>
      </c>
      <c r="D2948" t="s">
        <v>599</v>
      </c>
      <c r="E2948" t="s">
        <v>600</v>
      </c>
      <c r="F2948" t="s">
        <v>410</v>
      </c>
      <c r="G2948">
        <v>63</v>
      </c>
      <c r="I2948">
        <v>63</v>
      </c>
    </row>
    <row r="2949" spans="1:17" x14ac:dyDescent="0.2">
      <c r="A2949" s="121">
        <v>40268</v>
      </c>
      <c r="B2949" t="s">
        <v>406</v>
      </c>
      <c r="C2949" t="s">
        <v>407</v>
      </c>
      <c r="D2949" t="s">
        <v>408</v>
      </c>
      <c r="E2949" t="s">
        <v>409</v>
      </c>
      <c r="F2949" t="s">
        <v>410</v>
      </c>
      <c r="G2949">
        <v>180</v>
      </c>
      <c r="I2949">
        <v>180</v>
      </c>
    </row>
    <row r="2950" spans="1:17" x14ac:dyDescent="0.2">
      <c r="A2950" s="121">
        <v>40268</v>
      </c>
      <c r="B2950" t="s">
        <v>406</v>
      </c>
      <c r="C2950" t="s">
        <v>407</v>
      </c>
      <c r="D2950" t="s">
        <v>601</v>
      </c>
      <c r="E2950" t="s">
        <v>602</v>
      </c>
      <c r="F2950" t="s">
        <v>410</v>
      </c>
      <c r="G2950">
        <v>56</v>
      </c>
      <c r="I2950">
        <v>56</v>
      </c>
    </row>
    <row r="2951" spans="1:17" x14ac:dyDescent="0.2">
      <c r="A2951" s="121">
        <v>40268</v>
      </c>
      <c r="B2951" t="s">
        <v>406</v>
      </c>
      <c r="C2951" t="s">
        <v>407</v>
      </c>
      <c r="D2951" t="s">
        <v>411</v>
      </c>
      <c r="E2951" t="s">
        <v>412</v>
      </c>
      <c r="F2951" t="s">
        <v>413</v>
      </c>
      <c r="G2951">
        <v>5911</v>
      </c>
      <c r="H2951">
        <v>5911</v>
      </c>
      <c r="I2951">
        <v>5709</v>
      </c>
      <c r="J2951">
        <v>5709</v>
      </c>
      <c r="K2951">
        <v>2350</v>
      </c>
      <c r="L2951">
        <v>4</v>
      </c>
      <c r="M2951">
        <v>3253</v>
      </c>
      <c r="N2951">
        <v>30</v>
      </c>
      <c r="O2951">
        <v>274</v>
      </c>
      <c r="P2951">
        <v>4</v>
      </c>
      <c r="Q2951">
        <v>0</v>
      </c>
    </row>
    <row r="2952" spans="1:17" x14ac:dyDescent="0.2">
      <c r="A2952" s="121">
        <v>40268</v>
      </c>
      <c r="B2952" t="s">
        <v>406</v>
      </c>
      <c r="C2952" t="s">
        <v>407</v>
      </c>
      <c r="D2952" t="s">
        <v>414</v>
      </c>
      <c r="E2952" t="s">
        <v>415</v>
      </c>
      <c r="F2952" t="s">
        <v>410</v>
      </c>
      <c r="G2952">
        <v>73</v>
      </c>
      <c r="I2952">
        <v>73</v>
      </c>
    </row>
    <row r="2953" spans="1:17" x14ac:dyDescent="0.2">
      <c r="A2953" s="121">
        <v>40268</v>
      </c>
      <c r="B2953" t="s">
        <v>406</v>
      </c>
      <c r="C2953" t="s">
        <v>407</v>
      </c>
      <c r="D2953" t="s">
        <v>416</v>
      </c>
      <c r="E2953" t="s">
        <v>417</v>
      </c>
      <c r="F2953" t="s">
        <v>413</v>
      </c>
      <c r="G2953">
        <v>3672</v>
      </c>
      <c r="H2953">
        <v>3672</v>
      </c>
      <c r="I2953">
        <v>3555</v>
      </c>
      <c r="J2953">
        <v>3555</v>
      </c>
      <c r="K2953">
        <v>1306</v>
      </c>
      <c r="L2953">
        <v>5</v>
      </c>
      <c r="M2953">
        <v>2210</v>
      </c>
      <c r="N2953">
        <v>95</v>
      </c>
      <c r="O2953">
        <v>56</v>
      </c>
      <c r="P2953">
        <v>2</v>
      </c>
      <c r="Q2953">
        <v>0</v>
      </c>
    </row>
    <row r="2954" spans="1:17" x14ac:dyDescent="0.2">
      <c r="A2954" s="121">
        <v>40268</v>
      </c>
      <c r="B2954" t="s">
        <v>406</v>
      </c>
      <c r="C2954" t="s">
        <v>418</v>
      </c>
      <c r="D2954" t="s">
        <v>419</v>
      </c>
      <c r="E2954" t="s">
        <v>420</v>
      </c>
      <c r="F2954" t="s">
        <v>410</v>
      </c>
      <c r="G2954">
        <v>17</v>
      </c>
      <c r="I2954">
        <v>17</v>
      </c>
    </row>
    <row r="2955" spans="1:17" x14ac:dyDescent="0.2">
      <c r="A2955" s="121">
        <v>40268</v>
      </c>
      <c r="B2955" t="s">
        <v>406</v>
      </c>
      <c r="C2955" t="s">
        <v>418</v>
      </c>
      <c r="D2955" t="s">
        <v>421</v>
      </c>
      <c r="E2955" t="s">
        <v>422</v>
      </c>
      <c r="F2955" t="s">
        <v>410</v>
      </c>
      <c r="G2955">
        <v>117</v>
      </c>
      <c r="I2955">
        <v>117</v>
      </c>
    </row>
    <row r="2956" spans="1:17" x14ac:dyDescent="0.2">
      <c r="A2956" s="121">
        <v>40268</v>
      </c>
      <c r="B2956" t="s">
        <v>406</v>
      </c>
      <c r="C2956" t="s">
        <v>418</v>
      </c>
      <c r="D2956" t="s">
        <v>423</v>
      </c>
      <c r="E2956" t="s">
        <v>424</v>
      </c>
      <c r="F2956" t="s">
        <v>410</v>
      </c>
      <c r="G2956">
        <v>21</v>
      </c>
      <c r="I2956">
        <v>21</v>
      </c>
    </row>
    <row r="2957" spans="1:17" x14ac:dyDescent="0.2">
      <c r="A2957" s="121">
        <v>40268</v>
      </c>
      <c r="B2957" t="s">
        <v>406</v>
      </c>
      <c r="C2957" t="s">
        <v>418</v>
      </c>
      <c r="D2957" t="s">
        <v>425</v>
      </c>
      <c r="E2957" t="s">
        <v>426</v>
      </c>
      <c r="F2957" t="s">
        <v>410</v>
      </c>
      <c r="G2957">
        <v>72</v>
      </c>
      <c r="I2957">
        <v>72</v>
      </c>
    </row>
    <row r="2958" spans="1:17" x14ac:dyDescent="0.2">
      <c r="A2958" s="121">
        <v>40268</v>
      </c>
      <c r="B2958" t="s">
        <v>406</v>
      </c>
      <c r="C2958" t="s">
        <v>418</v>
      </c>
      <c r="D2958" t="s">
        <v>427</v>
      </c>
      <c r="E2958" t="s">
        <v>428</v>
      </c>
      <c r="F2958" t="s">
        <v>413</v>
      </c>
      <c r="G2958">
        <v>1905</v>
      </c>
      <c r="H2958">
        <v>1905</v>
      </c>
      <c r="I2958">
        <v>1843</v>
      </c>
      <c r="J2958">
        <v>1843</v>
      </c>
      <c r="K2958">
        <v>652</v>
      </c>
      <c r="L2958">
        <v>1</v>
      </c>
      <c r="M2958">
        <v>1065</v>
      </c>
      <c r="N2958">
        <v>22</v>
      </c>
      <c r="O2958">
        <v>165</v>
      </c>
      <c r="P2958">
        <v>1</v>
      </c>
      <c r="Q2958">
        <v>0</v>
      </c>
    </row>
    <row r="2959" spans="1:17" x14ac:dyDescent="0.2">
      <c r="A2959" s="121">
        <v>40268</v>
      </c>
      <c r="B2959" t="s">
        <v>406</v>
      </c>
      <c r="C2959" t="s">
        <v>429</v>
      </c>
      <c r="D2959" t="s">
        <v>430</v>
      </c>
      <c r="E2959" t="s">
        <v>431</v>
      </c>
      <c r="F2959" t="s">
        <v>410</v>
      </c>
      <c r="G2959">
        <v>45</v>
      </c>
      <c r="I2959">
        <v>45</v>
      </c>
    </row>
    <row r="2960" spans="1:17" x14ac:dyDescent="0.2">
      <c r="A2960" s="121">
        <v>40268</v>
      </c>
      <c r="B2960" t="s">
        <v>406</v>
      </c>
      <c r="C2960" t="s">
        <v>429</v>
      </c>
      <c r="D2960" t="s">
        <v>432</v>
      </c>
      <c r="E2960" t="s">
        <v>433</v>
      </c>
      <c r="F2960" t="s">
        <v>410</v>
      </c>
      <c r="G2960">
        <v>79</v>
      </c>
      <c r="I2960">
        <v>79</v>
      </c>
    </row>
    <row r="2961" spans="1:17" x14ac:dyDescent="0.2">
      <c r="A2961" s="121">
        <v>40268</v>
      </c>
      <c r="B2961" t="s">
        <v>406</v>
      </c>
      <c r="C2961" t="s">
        <v>429</v>
      </c>
      <c r="D2961" t="s">
        <v>434</v>
      </c>
      <c r="E2961" t="s">
        <v>435</v>
      </c>
      <c r="F2961" t="s">
        <v>410</v>
      </c>
      <c r="G2961">
        <v>38</v>
      </c>
      <c r="I2961">
        <v>38</v>
      </c>
    </row>
    <row r="2962" spans="1:17" x14ac:dyDescent="0.2">
      <c r="A2962" s="121">
        <v>40268</v>
      </c>
      <c r="B2962" t="s">
        <v>406</v>
      </c>
      <c r="C2962" t="s">
        <v>429</v>
      </c>
      <c r="D2962" t="s">
        <v>436</v>
      </c>
      <c r="E2962" t="s">
        <v>437</v>
      </c>
      <c r="F2962" t="s">
        <v>410</v>
      </c>
      <c r="G2962">
        <v>54</v>
      </c>
      <c r="I2962">
        <v>54</v>
      </c>
    </row>
    <row r="2963" spans="1:17" x14ac:dyDescent="0.2">
      <c r="A2963" s="121">
        <v>40268</v>
      </c>
      <c r="B2963" t="s">
        <v>406</v>
      </c>
      <c r="C2963" t="s">
        <v>429</v>
      </c>
      <c r="D2963" t="s">
        <v>438</v>
      </c>
      <c r="E2963" t="s">
        <v>439</v>
      </c>
      <c r="F2963" t="s">
        <v>413</v>
      </c>
      <c r="G2963">
        <v>1055</v>
      </c>
      <c r="H2963">
        <v>1055</v>
      </c>
      <c r="I2963">
        <v>1025</v>
      </c>
      <c r="J2963">
        <v>1025</v>
      </c>
      <c r="K2963">
        <v>114</v>
      </c>
      <c r="L2963">
        <v>0</v>
      </c>
      <c r="M2963">
        <v>931</v>
      </c>
      <c r="N2963">
        <v>8</v>
      </c>
      <c r="O2963">
        <v>2</v>
      </c>
      <c r="P2963">
        <v>0</v>
      </c>
      <c r="Q2963">
        <v>0</v>
      </c>
    </row>
    <row r="2964" spans="1:17" x14ac:dyDescent="0.2">
      <c r="A2964" s="121">
        <v>40268</v>
      </c>
      <c r="B2964" t="s">
        <v>406</v>
      </c>
      <c r="C2964" t="s">
        <v>429</v>
      </c>
      <c r="D2964" t="s">
        <v>440</v>
      </c>
      <c r="E2964" t="s">
        <v>441</v>
      </c>
      <c r="F2964" t="s">
        <v>413</v>
      </c>
      <c r="G2964">
        <v>2940</v>
      </c>
      <c r="H2964">
        <v>2940</v>
      </c>
      <c r="I2964">
        <v>2794</v>
      </c>
      <c r="J2964">
        <v>2794</v>
      </c>
      <c r="K2964">
        <v>994</v>
      </c>
      <c r="L2964">
        <v>3</v>
      </c>
      <c r="M2964">
        <v>1899</v>
      </c>
      <c r="N2964">
        <v>11</v>
      </c>
      <c r="O2964">
        <v>33</v>
      </c>
      <c r="P2964">
        <v>5</v>
      </c>
      <c r="Q2964">
        <v>0</v>
      </c>
    </row>
    <row r="2965" spans="1:17" x14ac:dyDescent="0.2">
      <c r="A2965" s="121">
        <v>40268</v>
      </c>
      <c r="B2965" t="s">
        <v>406</v>
      </c>
      <c r="C2965" t="s">
        <v>442</v>
      </c>
      <c r="D2965" t="s">
        <v>443</v>
      </c>
      <c r="E2965" t="s">
        <v>444</v>
      </c>
      <c r="F2965" t="s">
        <v>413</v>
      </c>
      <c r="G2965">
        <v>3501</v>
      </c>
      <c r="H2965">
        <v>3501</v>
      </c>
      <c r="I2965">
        <v>3417</v>
      </c>
      <c r="J2965">
        <v>3417</v>
      </c>
      <c r="K2965">
        <v>537</v>
      </c>
      <c r="L2965">
        <v>5</v>
      </c>
      <c r="M2965">
        <v>2825</v>
      </c>
      <c r="N2965">
        <v>40</v>
      </c>
      <c r="O2965">
        <v>94</v>
      </c>
      <c r="P2965">
        <v>4</v>
      </c>
      <c r="Q2965">
        <v>0</v>
      </c>
    </row>
    <row r="2966" spans="1:17" x14ac:dyDescent="0.2">
      <c r="A2966" s="121">
        <v>40268</v>
      </c>
      <c r="B2966" t="s">
        <v>406</v>
      </c>
      <c r="C2966" t="s">
        <v>442</v>
      </c>
      <c r="D2966" t="s">
        <v>445</v>
      </c>
      <c r="E2966" t="s">
        <v>446</v>
      </c>
      <c r="F2966" t="s">
        <v>410</v>
      </c>
      <c r="G2966">
        <v>116</v>
      </c>
      <c r="I2966">
        <v>116</v>
      </c>
    </row>
    <row r="2967" spans="1:17" x14ac:dyDescent="0.2">
      <c r="A2967" s="121">
        <v>40268</v>
      </c>
      <c r="B2967" t="s">
        <v>406</v>
      </c>
      <c r="C2967" t="s">
        <v>442</v>
      </c>
      <c r="D2967" t="s">
        <v>447</v>
      </c>
      <c r="E2967" t="s">
        <v>448</v>
      </c>
      <c r="F2967" t="s">
        <v>410</v>
      </c>
      <c r="G2967">
        <v>365</v>
      </c>
      <c r="I2967">
        <v>364</v>
      </c>
    </row>
    <row r="2968" spans="1:17" x14ac:dyDescent="0.2">
      <c r="A2968" s="121">
        <v>40268</v>
      </c>
      <c r="B2968" t="s">
        <v>406</v>
      </c>
      <c r="C2968" t="s">
        <v>442</v>
      </c>
      <c r="D2968" t="s">
        <v>449</v>
      </c>
      <c r="E2968" t="s">
        <v>450</v>
      </c>
      <c r="F2968" t="s">
        <v>413</v>
      </c>
      <c r="G2968">
        <v>3368</v>
      </c>
      <c r="H2968">
        <v>3368</v>
      </c>
      <c r="I2968">
        <v>3253</v>
      </c>
      <c r="J2968">
        <v>3253</v>
      </c>
      <c r="K2968">
        <v>669</v>
      </c>
      <c r="L2968">
        <v>4</v>
      </c>
      <c r="M2968">
        <v>2625</v>
      </c>
      <c r="N2968">
        <v>33</v>
      </c>
      <c r="O2968">
        <v>37</v>
      </c>
      <c r="P2968">
        <v>6</v>
      </c>
      <c r="Q2968">
        <v>0</v>
      </c>
    </row>
    <row r="2969" spans="1:17" x14ac:dyDescent="0.2">
      <c r="A2969" s="121">
        <v>40268</v>
      </c>
      <c r="B2969" t="s">
        <v>406</v>
      </c>
      <c r="C2969" t="s">
        <v>451</v>
      </c>
      <c r="D2969" t="s">
        <v>452</v>
      </c>
      <c r="E2969" t="s">
        <v>453</v>
      </c>
      <c r="F2969" t="s">
        <v>410</v>
      </c>
      <c r="G2969">
        <v>1723</v>
      </c>
      <c r="H2969">
        <v>1723</v>
      </c>
      <c r="I2969">
        <v>1722</v>
      </c>
      <c r="J2969">
        <v>1722</v>
      </c>
      <c r="K2969">
        <v>0</v>
      </c>
      <c r="L2969">
        <v>0</v>
      </c>
      <c r="M2969">
        <v>1304</v>
      </c>
      <c r="N2969">
        <v>141</v>
      </c>
      <c r="O2969">
        <v>278</v>
      </c>
      <c r="P2969">
        <v>0</v>
      </c>
      <c r="Q2969">
        <v>0</v>
      </c>
    </row>
    <row r="2970" spans="1:17" x14ac:dyDescent="0.2">
      <c r="A2970" s="121">
        <v>40268</v>
      </c>
      <c r="B2970" t="s">
        <v>406</v>
      </c>
      <c r="C2970" t="s">
        <v>451</v>
      </c>
      <c r="D2970" t="s">
        <v>454</v>
      </c>
      <c r="E2970" t="s">
        <v>455</v>
      </c>
      <c r="F2970" t="s">
        <v>413</v>
      </c>
      <c r="G2970">
        <v>4566</v>
      </c>
      <c r="H2970">
        <v>4566</v>
      </c>
      <c r="I2970">
        <v>4351</v>
      </c>
      <c r="J2970">
        <v>4351</v>
      </c>
      <c r="K2970">
        <v>1232</v>
      </c>
      <c r="L2970">
        <v>9</v>
      </c>
      <c r="M2970">
        <v>2621</v>
      </c>
      <c r="N2970">
        <v>44</v>
      </c>
      <c r="O2970">
        <v>660</v>
      </c>
      <c r="P2970">
        <v>5</v>
      </c>
      <c r="Q2970">
        <v>0</v>
      </c>
    </row>
    <row r="2971" spans="1:17" x14ac:dyDescent="0.2">
      <c r="A2971" s="121">
        <v>40268</v>
      </c>
      <c r="B2971" t="s">
        <v>406</v>
      </c>
      <c r="C2971" t="s">
        <v>456</v>
      </c>
      <c r="D2971" t="s">
        <v>457</v>
      </c>
      <c r="E2971" t="s">
        <v>458</v>
      </c>
      <c r="F2971" t="s">
        <v>413</v>
      </c>
      <c r="G2971">
        <v>5367</v>
      </c>
      <c r="H2971">
        <v>5367</v>
      </c>
      <c r="I2971">
        <v>5151</v>
      </c>
      <c r="J2971">
        <v>5151</v>
      </c>
      <c r="K2971">
        <v>1409</v>
      </c>
      <c r="L2971">
        <v>19</v>
      </c>
      <c r="M2971">
        <v>3841</v>
      </c>
      <c r="N2971">
        <v>49</v>
      </c>
      <c r="O2971">
        <v>49</v>
      </c>
      <c r="P2971">
        <v>30</v>
      </c>
      <c r="Q2971">
        <v>3</v>
      </c>
    </row>
    <row r="2972" spans="1:17" x14ac:dyDescent="0.2">
      <c r="A2972" s="121">
        <v>40268</v>
      </c>
      <c r="B2972" t="s">
        <v>406</v>
      </c>
      <c r="C2972" t="s">
        <v>456</v>
      </c>
      <c r="D2972" t="s">
        <v>459</v>
      </c>
      <c r="E2972" t="s">
        <v>460</v>
      </c>
      <c r="F2972" t="s">
        <v>413</v>
      </c>
      <c r="G2972">
        <v>1651</v>
      </c>
      <c r="H2972">
        <v>1651</v>
      </c>
      <c r="I2972">
        <v>1641</v>
      </c>
      <c r="J2972">
        <v>1641</v>
      </c>
      <c r="K2972">
        <v>497</v>
      </c>
      <c r="L2972">
        <v>0</v>
      </c>
      <c r="M2972">
        <v>1154</v>
      </c>
      <c r="N2972">
        <v>0</v>
      </c>
      <c r="O2972">
        <v>0</v>
      </c>
      <c r="P2972">
        <v>0</v>
      </c>
      <c r="Q2972">
        <v>0</v>
      </c>
    </row>
    <row r="2973" spans="1:17" x14ac:dyDescent="0.2">
      <c r="A2973" s="121">
        <v>40268</v>
      </c>
      <c r="B2973" t="s">
        <v>406</v>
      </c>
      <c r="C2973" t="s">
        <v>456</v>
      </c>
      <c r="D2973" t="s">
        <v>461</v>
      </c>
      <c r="E2973" t="s">
        <v>462</v>
      </c>
      <c r="F2973" t="s">
        <v>410</v>
      </c>
      <c r="G2973">
        <v>86</v>
      </c>
      <c r="I2973">
        <v>86</v>
      </c>
    </row>
    <row r="2974" spans="1:17" x14ac:dyDescent="0.2">
      <c r="A2974" s="121">
        <v>40268</v>
      </c>
      <c r="B2974" t="s">
        <v>406</v>
      </c>
      <c r="C2974" t="s">
        <v>456</v>
      </c>
      <c r="D2974" t="s">
        <v>463</v>
      </c>
      <c r="E2974" t="s">
        <v>464</v>
      </c>
      <c r="F2974" t="s">
        <v>410</v>
      </c>
      <c r="G2974">
        <v>33</v>
      </c>
      <c r="I2974">
        <v>33</v>
      </c>
    </row>
    <row r="2975" spans="1:17" x14ac:dyDescent="0.2">
      <c r="A2975" s="121">
        <v>40268</v>
      </c>
      <c r="B2975" t="s">
        <v>406</v>
      </c>
      <c r="C2975" t="s">
        <v>456</v>
      </c>
      <c r="D2975" t="s">
        <v>465</v>
      </c>
      <c r="E2975" t="s">
        <v>466</v>
      </c>
      <c r="F2975" t="s">
        <v>410</v>
      </c>
      <c r="G2975">
        <v>64</v>
      </c>
      <c r="I2975">
        <v>64</v>
      </c>
    </row>
    <row r="2976" spans="1:17" x14ac:dyDescent="0.2">
      <c r="A2976" s="121">
        <v>40268</v>
      </c>
      <c r="B2976" t="s">
        <v>406</v>
      </c>
      <c r="C2976" t="s">
        <v>456</v>
      </c>
      <c r="D2976" t="s">
        <v>467</v>
      </c>
      <c r="E2976" t="s">
        <v>468</v>
      </c>
      <c r="F2976" t="s">
        <v>410</v>
      </c>
      <c r="G2976">
        <v>1028</v>
      </c>
      <c r="I2976">
        <v>1026</v>
      </c>
    </row>
    <row r="2977" spans="1:17" x14ac:dyDescent="0.2">
      <c r="A2977" s="121">
        <v>40268</v>
      </c>
      <c r="B2977" t="s">
        <v>406</v>
      </c>
      <c r="C2977" t="s">
        <v>456</v>
      </c>
      <c r="D2977" t="s">
        <v>469</v>
      </c>
      <c r="E2977" t="s">
        <v>470</v>
      </c>
      <c r="F2977" t="s">
        <v>410</v>
      </c>
      <c r="G2977">
        <v>830</v>
      </c>
      <c r="I2977">
        <v>827</v>
      </c>
    </row>
    <row r="2978" spans="1:17" x14ac:dyDescent="0.2">
      <c r="A2978" s="121">
        <v>40268</v>
      </c>
      <c r="B2978" t="s">
        <v>406</v>
      </c>
      <c r="C2978" t="s">
        <v>456</v>
      </c>
      <c r="D2978" t="s">
        <v>471</v>
      </c>
      <c r="E2978" t="s">
        <v>472</v>
      </c>
      <c r="F2978" t="s">
        <v>410</v>
      </c>
      <c r="G2978">
        <v>248</v>
      </c>
      <c r="I2978">
        <v>247</v>
      </c>
    </row>
    <row r="2979" spans="1:17" x14ac:dyDescent="0.2">
      <c r="A2979" s="121">
        <v>40268</v>
      </c>
      <c r="B2979" t="s">
        <v>406</v>
      </c>
      <c r="C2979" t="s">
        <v>456</v>
      </c>
      <c r="D2979" t="s">
        <v>473</v>
      </c>
      <c r="E2979" t="s">
        <v>474</v>
      </c>
      <c r="F2979" t="s">
        <v>410</v>
      </c>
      <c r="G2979">
        <v>202</v>
      </c>
      <c r="I2979">
        <v>202</v>
      </c>
    </row>
    <row r="2980" spans="1:17" x14ac:dyDescent="0.2">
      <c r="A2980" s="121">
        <v>40268</v>
      </c>
      <c r="B2980" t="s">
        <v>406</v>
      </c>
      <c r="C2980" t="s">
        <v>456</v>
      </c>
      <c r="D2980" t="s">
        <v>475</v>
      </c>
      <c r="E2980" t="s">
        <v>476</v>
      </c>
      <c r="F2980" t="s">
        <v>410</v>
      </c>
      <c r="G2980">
        <v>322</v>
      </c>
      <c r="I2980">
        <v>322</v>
      </c>
    </row>
    <row r="2981" spans="1:17" x14ac:dyDescent="0.2">
      <c r="A2981" s="121">
        <v>40268</v>
      </c>
      <c r="B2981" t="s">
        <v>406</v>
      </c>
      <c r="C2981" t="s">
        <v>456</v>
      </c>
      <c r="D2981" t="s">
        <v>477</v>
      </c>
      <c r="E2981" t="s">
        <v>478</v>
      </c>
      <c r="F2981" t="s">
        <v>413</v>
      </c>
      <c r="G2981">
        <v>1821</v>
      </c>
      <c r="H2981">
        <v>1821</v>
      </c>
      <c r="I2981">
        <v>1733</v>
      </c>
      <c r="J2981">
        <v>1733</v>
      </c>
      <c r="K2981">
        <v>392</v>
      </c>
      <c r="L2981">
        <v>5</v>
      </c>
      <c r="M2981">
        <v>1372</v>
      </c>
      <c r="N2981">
        <v>18</v>
      </c>
      <c r="O2981">
        <v>34</v>
      </c>
      <c r="P2981">
        <v>8</v>
      </c>
      <c r="Q2981">
        <v>3</v>
      </c>
    </row>
    <row r="2982" spans="1:17" x14ac:dyDescent="0.2">
      <c r="A2982" s="121">
        <v>40268</v>
      </c>
      <c r="B2982" t="s">
        <v>406</v>
      </c>
      <c r="C2982" t="s">
        <v>456</v>
      </c>
      <c r="D2982" t="s">
        <v>479</v>
      </c>
      <c r="E2982" t="s">
        <v>480</v>
      </c>
      <c r="F2982" t="s">
        <v>410</v>
      </c>
      <c r="G2982">
        <v>88</v>
      </c>
      <c r="I2982">
        <v>88</v>
      </c>
    </row>
    <row r="2983" spans="1:17" x14ac:dyDescent="0.2">
      <c r="A2983" s="121">
        <v>40268</v>
      </c>
      <c r="B2983" t="s">
        <v>406</v>
      </c>
      <c r="C2983" t="s">
        <v>456</v>
      </c>
      <c r="D2983" t="s">
        <v>481</v>
      </c>
      <c r="E2983" t="s">
        <v>482</v>
      </c>
      <c r="F2983" t="s">
        <v>410</v>
      </c>
      <c r="G2983">
        <v>44</v>
      </c>
      <c r="I2983">
        <v>44</v>
      </c>
    </row>
    <row r="2984" spans="1:17" x14ac:dyDescent="0.2">
      <c r="A2984" s="121">
        <v>40268</v>
      </c>
      <c r="B2984" t="s">
        <v>406</v>
      </c>
      <c r="C2984" t="s">
        <v>456</v>
      </c>
      <c r="D2984" t="s">
        <v>483</v>
      </c>
      <c r="E2984" t="s">
        <v>484</v>
      </c>
      <c r="F2984" t="s">
        <v>410</v>
      </c>
      <c r="G2984">
        <v>79</v>
      </c>
      <c r="I2984">
        <v>79</v>
      </c>
    </row>
    <row r="2985" spans="1:17" x14ac:dyDescent="0.2">
      <c r="A2985" s="121">
        <v>40268</v>
      </c>
      <c r="B2985" t="s">
        <v>406</v>
      </c>
      <c r="C2985" t="s">
        <v>456</v>
      </c>
      <c r="D2985" t="s">
        <v>485</v>
      </c>
      <c r="E2985" t="s">
        <v>486</v>
      </c>
      <c r="F2985" t="s">
        <v>410</v>
      </c>
      <c r="G2985">
        <v>67</v>
      </c>
      <c r="I2985">
        <v>67</v>
      </c>
    </row>
    <row r="2986" spans="1:17" x14ac:dyDescent="0.2">
      <c r="A2986" s="121">
        <v>40268</v>
      </c>
      <c r="B2986" t="s">
        <v>406</v>
      </c>
      <c r="C2986" t="s">
        <v>456</v>
      </c>
      <c r="D2986" t="s">
        <v>487</v>
      </c>
      <c r="E2986" t="s">
        <v>488</v>
      </c>
      <c r="F2986" t="s">
        <v>410</v>
      </c>
      <c r="G2986">
        <v>41</v>
      </c>
      <c r="I2986">
        <v>41</v>
      </c>
    </row>
    <row r="2987" spans="1:17" x14ac:dyDescent="0.2">
      <c r="A2987" s="121">
        <v>40268</v>
      </c>
      <c r="B2987" t="s">
        <v>406</v>
      </c>
      <c r="C2987" t="s">
        <v>456</v>
      </c>
      <c r="D2987" t="s">
        <v>489</v>
      </c>
      <c r="E2987" t="s">
        <v>490</v>
      </c>
      <c r="F2987" t="s">
        <v>410</v>
      </c>
      <c r="G2987">
        <v>98</v>
      </c>
      <c r="H2987">
        <v>98</v>
      </c>
      <c r="I2987">
        <v>98</v>
      </c>
      <c r="J2987">
        <v>98</v>
      </c>
      <c r="K2987">
        <v>0</v>
      </c>
      <c r="L2987">
        <v>0</v>
      </c>
      <c r="M2987">
        <v>80</v>
      </c>
      <c r="N2987">
        <v>18</v>
      </c>
      <c r="O2987">
        <v>0</v>
      </c>
      <c r="P2987">
        <v>0</v>
      </c>
      <c r="Q2987">
        <v>0</v>
      </c>
    </row>
    <row r="2988" spans="1:17" x14ac:dyDescent="0.2">
      <c r="A2988" s="121">
        <v>40268</v>
      </c>
      <c r="B2988" t="s">
        <v>406</v>
      </c>
      <c r="C2988" t="s">
        <v>491</v>
      </c>
      <c r="D2988" t="s">
        <v>492</v>
      </c>
      <c r="E2988" t="s">
        <v>493</v>
      </c>
      <c r="F2988" t="s">
        <v>410</v>
      </c>
      <c r="G2988">
        <v>1352</v>
      </c>
      <c r="H2988">
        <v>1352</v>
      </c>
      <c r="I2988">
        <v>1336</v>
      </c>
      <c r="J2988">
        <v>1336</v>
      </c>
      <c r="K2988">
        <v>0</v>
      </c>
      <c r="L2988">
        <v>0</v>
      </c>
      <c r="M2988">
        <v>1</v>
      </c>
      <c r="N2988">
        <v>5</v>
      </c>
      <c r="O2988">
        <v>1346</v>
      </c>
      <c r="P2988">
        <v>0</v>
      </c>
      <c r="Q2988">
        <v>0</v>
      </c>
    </row>
    <row r="2989" spans="1:17" x14ac:dyDescent="0.2">
      <c r="A2989" s="121">
        <v>40268</v>
      </c>
      <c r="B2989" t="s">
        <v>406</v>
      </c>
      <c r="C2989" t="s">
        <v>491</v>
      </c>
      <c r="D2989" t="s">
        <v>494</v>
      </c>
      <c r="E2989" t="s">
        <v>495</v>
      </c>
      <c r="F2989" t="s">
        <v>413</v>
      </c>
      <c r="G2989">
        <v>2897</v>
      </c>
      <c r="H2989">
        <v>2897</v>
      </c>
      <c r="I2989">
        <v>2754</v>
      </c>
      <c r="J2989">
        <v>2754</v>
      </c>
      <c r="K2989">
        <v>0</v>
      </c>
      <c r="L2989">
        <v>0</v>
      </c>
      <c r="M2989">
        <v>5</v>
      </c>
      <c r="N2989">
        <v>18</v>
      </c>
      <c r="O2989">
        <v>2874</v>
      </c>
      <c r="P2989">
        <v>3</v>
      </c>
      <c r="Q2989">
        <v>3</v>
      </c>
    </row>
    <row r="2990" spans="1:17" x14ac:dyDescent="0.2">
      <c r="A2990" s="121">
        <v>40268</v>
      </c>
      <c r="B2990" t="s">
        <v>406</v>
      </c>
      <c r="C2990" t="s">
        <v>491</v>
      </c>
      <c r="D2990" t="s">
        <v>496</v>
      </c>
      <c r="E2990" t="s">
        <v>497</v>
      </c>
      <c r="F2990" t="s">
        <v>413</v>
      </c>
      <c r="G2990">
        <v>6122</v>
      </c>
      <c r="H2990">
        <v>6122</v>
      </c>
      <c r="I2990">
        <v>5707</v>
      </c>
      <c r="J2990">
        <v>5707</v>
      </c>
      <c r="K2990">
        <v>1432</v>
      </c>
      <c r="L2990">
        <v>0</v>
      </c>
      <c r="M2990">
        <v>10</v>
      </c>
      <c r="N2990">
        <v>63</v>
      </c>
      <c r="O2990">
        <v>4617</v>
      </c>
      <c r="P2990">
        <v>10</v>
      </c>
      <c r="Q2990">
        <v>0</v>
      </c>
    </row>
    <row r="2991" spans="1:17" x14ac:dyDescent="0.2">
      <c r="A2991" s="121">
        <v>40268</v>
      </c>
      <c r="B2991" t="s">
        <v>406</v>
      </c>
      <c r="C2991" t="s">
        <v>491</v>
      </c>
      <c r="D2991" t="s">
        <v>498</v>
      </c>
      <c r="E2991" t="s">
        <v>499</v>
      </c>
      <c r="F2991" t="s">
        <v>413</v>
      </c>
      <c r="G2991">
        <v>6530</v>
      </c>
      <c r="H2991">
        <v>6530</v>
      </c>
      <c r="I2991">
        <v>6170</v>
      </c>
      <c r="J2991">
        <v>6170</v>
      </c>
      <c r="K2991">
        <v>1647</v>
      </c>
      <c r="L2991">
        <v>16</v>
      </c>
      <c r="M2991">
        <v>4443</v>
      </c>
      <c r="N2991">
        <v>115</v>
      </c>
      <c r="O2991">
        <v>309</v>
      </c>
      <c r="P2991">
        <v>9</v>
      </c>
      <c r="Q2991">
        <v>0</v>
      </c>
    </row>
    <row r="2992" spans="1:17" x14ac:dyDescent="0.2">
      <c r="A2992" s="121">
        <v>40268</v>
      </c>
      <c r="B2992" t="s">
        <v>406</v>
      </c>
      <c r="C2992" t="s">
        <v>491</v>
      </c>
      <c r="D2992" t="s">
        <v>500</v>
      </c>
      <c r="E2992" t="s">
        <v>501</v>
      </c>
      <c r="F2992" t="s">
        <v>413</v>
      </c>
      <c r="G2992">
        <v>3846</v>
      </c>
      <c r="H2992">
        <v>3846</v>
      </c>
      <c r="I2992">
        <v>3785</v>
      </c>
      <c r="J2992">
        <v>3785</v>
      </c>
      <c r="K2992">
        <v>967</v>
      </c>
      <c r="L2992">
        <v>0</v>
      </c>
      <c r="M2992">
        <v>2650</v>
      </c>
      <c r="N2992">
        <v>29</v>
      </c>
      <c r="O2992">
        <v>200</v>
      </c>
      <c r="P2992">
        <v>1</v>
      </c>
      <c r="Q2992">
        <v>0</v>
      </c>
    </row>
    <row r="2993" spans="1:17" x14ac:dyDescent="0.2">
      <c r="A2993" s="121">
        <v>40268</v>
      </c>
      <c r="B2993" t="s">
        <v>406</v>
      </c>
      <c r="C2993" t="s">
        <v>491</v>
      </c>
      <c r="D2993" t="s">
        <v>502</v>
      </c>
      <c r="E2993" t="s">
        <v>615</v>
      </c>
      <c r="F2993" t="s">
        <v>410</v>
      </c>
      <c r="G2993">
        <v>1464</v>
      </c>
      <c r="H2993">
        <v>1464</v>
      </c>
      <c r="I2993">
        <v>1464</v>
      </c>
      <c r="J2993">
        <v>1464</v>
      </c>
      <c r="K2993">
        <v>0</v>
      </c>
      <c r="L2993">
        <v>1</v>
      </c>
      <c r="M2993">
        <v>1440</v>
      </c>
      <c r="N2993">
        <v>4</v>
      </c>
      <c r="O2993">
        <v>19</v>
      </c>
      <c r="P2993">
        <v>0</v>
      </c>
      <c r="Q2993">
        <v>0</v>
      </c>
    </row>
    <row r="2994" spans="1:17" x14ac:dyDescent="0.2">
      <c r="A2994" s="121">
        <v>40268</v>
      </c>
      <c r="B2994" t="s">
        <v>406</v>
      </c>
      <c r="C2994" t="s">
        <v>491</v>
      </c>
      <c r="D2994" t="s">
        <v>502</v>
      </c>
      <c r="E2994" t="s">
        <v>503</v>
      </c>
      <c r="F2994" t="s">
        <v>413</v>
      </c>
      <c r="G2994">
        <v>5219</v>
      </c>
      <c r="H2994">
        <v>5219</v>
      </c>
      <c r="I2994">
        <v>4985</v>
      </c>
      <c r="J2994">
        <v>4985</v>
      </c>
      <c r="K2994">
        <v>1469</v>
      </c>
      <c r="L2994">
        <v>8</v>
      </c>
      <c r="M2994">
        <v>3303</v>
      </c>
      <c r="N2994">
        <v>167</v>
      </c>
      <c r="O2994">
        <v>272</v>
      </c>
      <c r="P2994">
        <v>22</v>
      </c>
      <c r="Q2994">
        <v>0</v>
      </c>
    </row>
    <row r="2995" spans="1:17" x14ac:dyDescent="0.2">
      <c r="A2995" s="121">
        <v>40268</v>
      </c>
      <c r="B2995" t="s">
        <v>406</v>
      </c>
      <c r="C2995" t="s">
        <v>491</v>
      </c>
      <c r="D2995" t="s">
        <v>504</v>
      </c>
      <c r="E2995" t="s">
        <v>505</v>
      </c>
      <c r="F2995" t="s">
        <v>413</v>
      </c>
      <c r="G2995">
        <v>4004</v>
      </c>
      <c r="H2995">
        <v>4004</v>
      </c>
      <c r="I2995">
        <v>3822</v>
      </c>
      <c r="J2995">
        <v>3822</v>
      </c>
      <c r="K2995">
        <v>1154</v>
      </c>
      <c r="L2995">
        <v>10</v>
      </c>
      <c r="M2995">
        <v>2719</v>
      </c>
      <c r="N2995">
        <v>66</v>
      </c>
      <c r="O2995">
        <v>55</v>
      </c>
      <c r="P2995">
        <v>3</v>
      </c>
      <c r="Q2995">
        <v>0</v>
      </c>
    </row>
    <row r="2996" spans="1:17" x14ac:dyDescent="0.2">
      <c r="A2996" s="121">
        <v>40268</v>
      </c>
      <c r="B2996" t="s">
        <v>406</v>
      </c>
      <c r="C2996" t="s">
        <v>491</v>
      </c>
      <c r="D2996" t="s">
        <v>506</v>
      </c>
      <c r="E2996" t="s">
        <v>507</v>
      </c>
      <c r="F2996" t="s">
        <v>413</v>
      </c>
      <c r="G2996">
        <v>4340</v>
      </c>
      <c r="H2996">
        <v>4340</v>
      </c>
      <c r="I2996">
        <v>4161</v>
      </c>
      <c r="J2996">
        <v>4161</v>
      </c>
      <c r="K2996">
        <v>574</v>
      </c>
      <c r="L2996">
        <v>0</v>
      </c>
      <c r="M2996">
        <v>3750</v>
      </c>
      <c r="N2996">
        <v>3</v>
      </c>
      <c r="O2996">
        <v>13</v>
      </c>
      <c r="P2996">
        <v>1</v>
      </c>
      <c r="Q2996">
        <v>0</v>
      </c>
    </row>
    <row r="2997" spans="1:17" x14ac:dyDescent="0.2">
      <c r="A2997" s="121">
        <v>40268</v>
      </c>
      <c r="B2997" t="s">
        <v>406</v>
      </c>
      <c r="C2997" t="s">
        <v>491</v>
      </c>
      <c r="D2997" t="s">
        <v>508</v>
      </c>
      <c r="E2997" t="s">
        <v>509</v>
      </c>
      <c r="F2997" t="s">
        <v>413</v>
      </c>
      <c r="G2997">
        <v>5345</v>
      </c>
      <c r="H2997">
        <v>5345</v>
      </c>
      <c r="I2997">
        <v>5115</v>
      </c>
      <c r="J2997">
        <v>5115</v>
      </c>
      <c r="K2997">
        <v>1706</v>
      </c>
      <c r="L2997">
        <v>3</v>
      </c>
      <c r="M2997">
        <v>3182</v>
      </c>
      <c r="N2997">
        <v>148</v>
      </c>
      <c r="O2997">
        <v>306</v>
      </c>
      <c r="P2997">
        <v>9</v>
      </c>
      <c r="Q2997">
        <v>0</v>
      </c>
    </row>
    <row r="2998" spans="1:17" x14ac:dyDescent="0.2">
      <c r="A2998" s="121">
        <v>40268</v>
      </c>
      <c r="B2998" t="s">
        <v>406</v>
      </c>
      <c r="C2998" t="s">
        <v>510</v>
      </c>
      <c r="D2998" t="s">
        <v>513</v>
      </c>
      <c r="E2998" t="s">
        <v>514</v>
      </c>
      <c r="F2998" t="s">
        <v>410</v>
      </c>
      <c r="G2998">
        <v>549</v>
      </c>
      <c r="I2998">
        <v>543</v>
      </c>
    </row>
    <row r="2999" spans="1:17" x14ac:dyDescent="0.2">
      <c r="A2999" s="121">
        <v>40268</v>
      </c>
      <c r="B2999" t="s">
        <v>406</v>
      </c>
      <c r="C2999" t="s">
        <v>510</v>
      </c>
      <c r="D2999" t="s">
        <v>515</v>
      </c>
      <c r="E2999" t="s">
        <v>516</v>
      </c>
      <c r="F2999" t="s">
        <v>410</v>
      </c>
      <c r="G2999">
        <v>71</v>
      </c>
      <c r="I2999">
        <v>70</v>
      </c>
    </row>
    <row r="3000" spans="1:17" x14ac:dyDescent="0.2">
      <c r="A3000" s="121">
        <v>40268</v>
      </c>
      <c r="B3000" t="s">
        <v>406</v>
      </c>
      <c r="C3000" t="s">
        <v>510</v>
      </c>
      <c r="D3000" t="s">
        <v>519</v>
      </c>
      <c r="E3000" t="s">
        <v>520</v>
      </c>
      <c r="F3000" t="s">
        <v>410</v>
      </c>
      <c r="G3000">
        <v>327</v>
      </c>
      <c r="I3000">
        <v>323</v>
      </c>
    </row>
    <row r="3001" spans="1:17" x14ac:dyDescent="0.2">
      <c r="A3001" s="121">
        <v>40268</v>
      </c>
      <c r="B3001" t="s">
        <v>406</v>
      </c>
      <c r="C3001" t="s">
        <v>510</v>
      </c>
      <c r="D3001" t="s">
        <v>521</v>
      </c>
      <c r="E3001" t="s">
        <v>522</v>
      </c>
      <c r="F3001" t="s">
        <v>410</v>
      </c>
      <c r="G3001">
        <v>24</v>
      </c>
      <c r="I3001">
        <v>24</v>
      </c>
    </row>
    <row r="3002" spans="1:17" x14ac:dyDescent="0.2">
      <c r="A3002" s="121">
        <v>40268</v>
      </c>
      <c r="B3002" t="s">
        <v>406</v>
      </c>
      <c r="C3002" t="s">
        <v>510</v>
      </c>
      <c r="D3002" t="s">
        <v>523</v>
      </c>
      <c r="E3002" t="s">
        <v>524</v>
      </c>
      <c r="F3002" t="s">
        <v>413</v>
      </c>
      <c r="G3002">
        <v>363</v>
      </c>
      <c r="I3002">
        <v>362</v>
      </c>
    </row>
    <row r="3003" spans="1:17" x14ac:dyDescent="0.2">
      <c r="A3003" s="121">
        <v>40268</v>
      </c>
      <c r="B3003" t="s">
        <v>406</v>
      </c>
      <c r="C3003" t="s">
        <v>510</v>
      </c>
      <c r="D3003" t="s">
        <v>525</v>
      </c>
      <c r="E3003" t="s">
        <v>526</v>
      </c>
      <c r="F3003" t="s">
        <v>410</v>
      </c>
      <c r="G3003">
        <v>348</v>
      </c>
      <c r="I3003">
        <v>341</v>
      </c>
    </row>
    <row r="3004" spans="1:17" x14ac:dyDescent="0.2">
      <c r="A3004" s="121">
        <v>40268</v>
      </c>
      <c r="B3004" t="s">
        <v>406</v>
      </c>
      <c r="C3004" t="s">
        <v>510</v>
      </c>
      <c r="D3004" t="s">
        <v>527</v>
      </c>
      <c r="E3004" t="s">
        <v>528</v>
      </c>
      <c r="F3004" t="s">
        <v>410</v>
      </c>
      <c r="G3004">
        <v>185</v>
      </c>
      <c r="I3004">
        <v>184</v>
      </c>
    </row>
    <row r="3005" spans="1:17" x14ac:dyDescent="0.2">
      <c r="A3005" s="121">
        <v>40268</v>
      </c>
      <c r="B3005" t="s">
        <v>406</v>
      </c>
      <c r="C3005" t="s">
        <v>510</v>
      </c>
      <c r="D3005" t="s">
        <v>529</v>
      </c>
      <c r="E3005" t="s">
        <v>530</v>
      </c>
      <c r="F3005" t="s">
        <v>413</v>
      </c>
      <c r="G3005">
        <v>483</v>
      </c>
      <c r="I3005">
        <v>475</v>
      </c>
    </row>
    <row r="3006" spans="1:17" x14ac:dyDescent="0.2">
      <c r="A3006" s="121">
        <v>40268</v>
      </c>
      <c r="B3006" t="s">
        <v>406</v>
      </c>
      <c r="C3006" t="s">
        <v>510</v>
      </c>
      <c r="D3006" t="s">
        <v>531</v>
      </c>
      <c r="E3006" t="s">
        <v>532</v>
      </c>
      <c r="F3006" t="s">
        <v>410</v>
      </c>
      <c r="G3006">
        <v>48</v>
      </c>
      <c r="I3006">
        <v>47</v>
      </c>
    </row>
    <row r="3007" spans="1:17" x14ac:dyDescent="0.2">
      <c r="A3007" s="121">
        <v>40268</v>
      </c>
      <c r="B3007" t="s">
        <v>406</v>
      </c>
      <c r="C3007" t="s">
        <v>510</v>
      </c>
      <c r="D3007" t="s">
        <v>533</v>
      </c>
      <c r="E3007" t="s">
        <v>534</v>
      </c>
      <c r="F3007" t="s">
        <v>413</v>
      </c>
      <c r="G3007">
        <v>2432</v>
      </c>
      <c r="H3007">
        <v>2432</v>
      </c>
      <c r="I3007">
        <v>2353</v>
      </c>
      <c r="J3007">
        <v>2353</v>
      </c>
      <c r="K3007">
        <v>526</v>
      </c>
      <c r="L3007">
        <v>26</v>
      </c>
      <c r="M3007">
        <v>1880</v>
      </c>
      <c r="N3007">
        <v>0</v>
      </c>
      <c r="O3007">
        <v>0</v>
      </c>
      <c r="P3007">
        <v>0</v>
      </c>
      <c r="Q3007">
        <v>0</v>
      </c>
    </row>
    <row r="3008" spans="1:17" x14ac:dyDescent="0.2">
      <c r="A3008" s="121">
        <v>40268</v>
      </c>
      <c r="B3008" t="s">
        <v>406</v>
      </c>
      <c r="C3008" t="s">
        <v>510</v>
      </c>
      <c r="D3008" t="s">
        <v>535</v>
      </c>
      <c r="E3008" t="s">
        <v>536</v>
      </c>
      <c r="F3008" t="s">
        <v>410</v>
      </c>
      <c r="G3008">
        <v>200</v>
      </c>
      <c r="I3008">
        <v>200</v>
      </c>
    </row>
    <row r="3009" spans="1:17" x14ac:dyDescent="0.2">
      <c r="A3009" s="121">
        <v>40268</v>
      </c>
      <c r="B3009" t="s">
        <v>406</v>
      </c>
      <c r="C3009" t="s">
        <v>510</v>
      </c>
      <c r="D3009" t="s">
        <v>537</v>
      </c>
      <c r="E3009" t="s">
        <v>538</v>
      </c>
      <c r="F3009" t="s">
        <v>410</v>
      </c>
      <c r="G3009">
        <v>92</v>
      </c>
      <c r="I3009">
        <v>92</v>
      </c>
    </row>
    <row r="3010" spans="1:17" x14ac:dyDescent="0.2">
      <c r="A3010" s="121">
        <v>40268</v>
      </c>
      <c r="B3010" t="s">
        <v>406</v>
      </c>
      <c r="C3010" t="s">
        <v>510</v>
      </c>
      <c r="D3010" t="s">
        <v>539</v>
      </c>
      <c r="E3010" t="s">
        <v>540</v>
      </c>
      <c r="F3010" t="s">
        <v>413</v>
      </c>
      <c r="G3010">
        <v>674</v>
      </c>
      <c r="I3010">
        <v>668</v>
      </c>
    </row>
    <row r="3011" spans="1:17" x14ac:dyDescent="0.2">
      <c r="A3011" s="121">
        <v>40268</v>
      </c>
      <c r="B3011" t="s">
        <v>406</v>
      </c>
      <c r="C3011" t="s">
        <v>510</v>
      </c>
      <c r="D3011" t="s">
        <v>541</v>
      </c>
      <c r="E3011" t="s">
        <v>542</v>
      </c>
      <c r="F3011" t="s">
        <v>410</v>
      </c>
      <c r="G3011">
        <v>298</v>
      </c>
      <c r="I3011">
        <v>298</v>
      </c>
    </row>
    <row r="3012" spans="1:17" x14ac:dyDescent="0.2">
      <c r="A3012" s="121">
        <v>40268</v>
      </c>
      <c r="B3012" t="s">
        <v>406</v>
      </c>
      <c r="C3012" t="s">
        <v>510</v>
      </c>
      <c r="D3012" t="s">
        <v>543</v>
      </c>
      <c r="E3012" t="s">
        <v>544</v>
      </c>
      <c r="F3012" t="s">
        <v>410</v>
      </c>
      <c r="G3012">
        <v>217</v>
      </c>
      <c r="I3012">
        <v>217</v>
      </c>
    </row>
    <row r="3013" spans="1:17" x14ac:dyDescent="0.2">
      <c r="A3013" s="121">
        <v>40268</v>
      </c>
      <c r="B3013" t="s">
        <v>406</v>
      </c>
      <c r="C3013" t="s">
        <v>510</v>
      </c>
      <c r="D3013" t="s">
        <v>545</v>
      </c>
      <c r="E3013" t="s">
        <v>546</v>
      </c>
      <c r="F3013" t="s">
        <v>410</v>
      </c>
      <c r="G3013">
        <v>174</v>
      </c>
      <c r="I3013">
        <v>174</v>
      </c>
    </row>
    <row r="3014" spans="1:17" x14ac:dyDescent="0.2">
      <c r="A3014" s="121">
        <v>40268</v>
      </c>
      <c r="B3014" t="s">
        <v>406</v>
      </c>
      <c r="C3014" t="s">
        <v>510</v>
      </c>
      <c r="D3014" t="s">
        <v>547</v>
      </c>
      <c r="E3014" t="s">
        <v>548</v>
      </c>
      <c r="F3014" t="s">
        <v>410</v>
      </c>
      <c r="G3014">
        <v>120</v>
      </c>
      <c r="I3014">
        <v>120</v>
      </c>
    </row>
    <row r="3015" spans="1:17" x14ac:dyDescent="0.2">
      <c r="A3015" s="121">
        <v>40268</v>
      </c>
      <c r="B3015" t="s">
        <v>406</v>
      </c>
      <c r="C3015" t="s">
        <v>510</v>
      </c>
      <c r="D3015" t="s">
        <v>616</v>
      </c>
      <c r="E3015" t="s">
        <v>617</v>
      </c>
      <c r="F3015" t="s">
        <v>410</v>
      </c>
      <c r="G3015">
        <v>296</v>
      </c>
      <c r="I3015">
        <v>291</v>
      </c>
    </row>
    <row r="3016" spans="1:17" x14ac:dyDescent="0.2">
      <c r="A3016" s="121">
        <v>40268</v>
      </c>
      <c r="B3016" t="s">
        <v>406</v>
      </c>
      <c r="C3016" t="s">
        <v>510</v>
      </c>
      <c r="D3016" t="s">
        <v>549</v>
      </c>
      <c r="E3016" t="s">
        <v>550</v>
      </c>
      <c r="F3016" t="s">
        <v>410</v>
      </c>
      <c r="G3016">
        <v>186</v>
      </c>
      <c r="I3016">
        <v>186</v>
      </c>
    </row>
    <row r="3017" spans="1:17" x14ac:dyDescent="0.2">
      <c r="A3017" s="121">
        <v>40268</v>
      </c>
      <c r="B3017" t="s">
        <v>406</v>
      </c>
      <c r="C3017" t="s">
        <v>551</v>
      </c>
      <c r="D3017" t="s">
        <v>552</v>
      </c>
      <c r="E3017" t="s">
        <v>553</v>
      </c>
      <c r="F3017" t="s">
        <v>413</v>
      </c>
      <c r="G3017">
        <v>5716</v>
      </c>
      <c r="H3017">
        <v>5716</v>
      </c>
      <c r="I3017">
        <v>5627</v>
      </c>
      <c r="J3017">
        <v>5627</v>
      </c>
      <c r="K3017">
        <v>1604</v>
      </c>
      <c r="L3017">
        <v>6</v>
      </c>
      <c r="M3017">
        <v>3894</v>
      </c>
      <c r="N3017">
        <v>194</v>
      </c>
      <c r="O3017">
        <v>18</v>
      </c>
      <c r="P3017">
        <v>1</v>
      </c>
      <c r="Q3017">
        <v>0</v>
      </c>
    </row>
    <row r="3018" spans="1:17" x14ac:dyDescent="0.2">
      <c r="A3018" s="121">
        <v>40268</v>
      </c>
      <c r="B3018" t="s">
        <v>406</v>
      </c>
      <c r="C3018" t="s">
        <v>551</v>
      </c>
      <c r="D3018" t="s">
        <v>554</v>
      </c>
      <c r="E3018" t="s">
        <v>555</v>
      </c>
      <c r="F3018" t="s">
        <v>410</v>
      </c>
      <c r="G3018">
        <v>108</v>
      </c>
      <c r="I3018">
        <v>108</v>
      </c>
    </row>
    <row r="3019" spans="1:17" x14ac:dyDescent="0.2">
      <c r="A3019" s="121">
        <v>40268</v>
      </c>
      <c r="B3019" t="s">
        <v>406</v>
      </c>
      <c r="C3019" t="s">
        <v>551</v>
      </c>
      <c r="D3019" t="s">
        <v>556</v>
      </c>
      <c r="E3019" t="s">
        <v>557</v>
      </c>
      <c r="F3019" t="s">
        <v>410</v>
      </c>
      <c r="G3019">
        <v>186</v>
      </c>
      <c r="I3019">
        <v>186</v>
      </c>
    </row>
    <row r="3020" spans="1:17" x14ac:dyDescent="0.2">
      <c r="A3020" s="121">
        <v>40268</v>
      </c>
      <c r="B3020" t="s">
        <v>406</v>
      </c>
      <c r="C3020" t="s">
        <v>551</v>
      </c>
      <c r="D3020" t="s">
        <v>558</v>
      </c>
      <c r="E3020" t="s">
        <v>559</v>
      </c>
      <c r="F3020" t="s">
        <v>413</v>
      </c>
      <c r="G3020">
        <v>4783</v>
      </c>
      <c r="H3020">
        <v>4783</v>
      </c>
      <c r="I3020">
        <v>4707</v>
      </c>
      <c r="J3020">
        <v>4707</v>
      </c>
      <c r="K3020">
        <v>1247</v>
      </c>
      <c r="L3020">
        <v>8</v>
      </c>
      <c r="M3020">
        <v>3389</v>
      </c>
      <c r="N3020">
        <v>121</v>
      </c>
      <c r="O3020">
        <v>18</v>
      </c>
      <c r="P3020">
        <v>3</v>
      </c>
      <c r="Q3020">
        <v>0</v>
      </c>
    </row>
    <row r="3021" spans="1:17" x14ac:dyDescent="0.2">
      <c r="A3021" s="121">
        <v>40268</v>
      </c>
      <c r="B3021" t="s">
        <v>406</v>
      </c>
      <c r="C3021" t="s">
        <v>551</v>
      </c>
      <c r="D3021" t="s">
        <v>560</v>
      </c>
      <c r="E3021" t="s">
        <v>561</v>
      </c>
      <c r="F3021" t="s">
        <v>413</v>
      </c>
      <c r="G3021">
        <v>5371</v>
      </c>
      <c r="H3021">
        <v>5371</v>
      </c>
      <c r="I3021">
        <v>5327</v>
      </c>
      <c r="J3021">
        <v>5327</v>
      </c>
      <c r="K3021">
        <v>1278</v>
      </c>
      <c r="L3021">
        <v>2</v>
      </c>
      <c r="M3021">
        <v>3857</v>
      </c>
      <c r="N3021">
        <v>226</v>
      </c>
      <c r="O3021">
        <v>8</v>
      </c>
      <c r="P3021">
        <v>0</v>
      </c>
      <c r="Q3021">
        <v>0</v>
      </c>
    </row>
    <row r="3022" spans="1:17" x14ac:dyDescent="0.2">
      <c r="A3022" s="121">
        <v>40268</v>
      </c>
      <c r="B3022" t="s">
        <v>406</v>
      </c>
      <c r="C3022" t="s">
        <v>562</v>
      </c>
      <c r="D3022" t="s">
        <v>603</v>
      </c>
      <c r="E3022" t="s">
        <v>604</v>
      </c>
      <c r="F3022" t="s">
        <v>410</v>
      </c>
      <c r="G3022">
        <v>9</v>
      </c>
      <c r="I3022">
        <v>9</v>
      </c>
    </row>
    <row r="3023" spans="1:17" x14ac:dyDescent="0.2">
      <c r="A3023" s="121">
        <v>40268</v>
      </c>
      <c r="B3023" t="s">
        <v>406</v>
      </c>
      <c r="C3023" t="s">
        <v>562</v>
      </c>
      <c r="D3023" t="s">
        <v>605</v>
      </c>
      <c r="E3023" t="s">
        <v>606</v>
      </c>
      <c r="F3023" t="s">
        <v>410</v>
      </c>
      <c r="G3023">
        <v>122</v>
      </c>
      <c r="I3023">
        <v>122</v>
      </c>
    </row>
    <row r="3024" spans="1:17" x14ac:dyDescent="0.2">
      <c r="A3024" s="121">
        <v>40268</v>
      </c>
      <c r="B3024" t="s">
        <v>406</v>
      </c>
      <c r="C3024" t="s">
        <v>562</v>
      </c>
      <c r="D3024" t="s">
        <v>563</v>
      </c>
      <c r="E3024" t="s">
        <v>564</v>
      </c>
      <c r="F3024" t="s">
        <v>410</v>
      </c>
      <c r="G3024">
        <v>3208</v>
      </c>
      <c r="H3024">
        <v>3208</v>
      </c>
      <c r="I3024">
        <v>3073</v>
      </c>
      <c r="J3024">
        <v>3073</v>
      </c>
      <c r="K3024">
        <v>1034</v>
      </c>
      <c r="L3024">
        <v>2</v>
      </c>
      <c r="M3024">
        <v>2148</v>
      </c>
      <c r="N3024">
        <v>24</v>
      </c>
      <c r="O3024">
        <v>0</v>
      </c>
      <c r="P3024">
        <v>9</v>
      </c>
      <c r="Q3024">
        <v>0</v>
      </c>
    </row>
    <row r="3025" spans="1:17" x14ac:dyDescent="0.2">
      <c r="A3025" s="121">
        <v>40268</v>
      </c>
      <c r="B3025" t="s">
        <v>406</v>
      </c>
      <c r="C3025" t="s">
        <v>562</v>
      </c>
      <c r="D3025" t="s">
        <v>565</v>
      </c>
      <c r="E3025" t="s">
        <v>566</v>
      </c>
      <c r="F3025" t="s">
        <v>413</v>
      </c>
      <c r="G3025">
        <v>4349</v>
      </c>
      <c r="H3025">
        <v>4349</v>
      </c>
      <c r="I3025">
        <v>3991</v>
      </c>
      <c r="J3025">
        <v>3991</v>
      </c>
      <c r="K3025">
        <v>1139</v>
      </c>
      <c r="L3025">
        <v>5</v>
      </c>
      <c r="M3025">
        <v>3062</v>
      </c>
      <c r="N3025">
        <v>143</v>
      </c>
      <c r="O3025">
        <v>0</v>
      </c>
      <c r="P3025">
        <v>52</v>
      </c>
      <c r="Q3025">
        <v>17</v>
      </c>
    </row>
    <row r="3026" spans="1:17" x14ac:dyDescent="0.2">
      <c r="A3026" s="121">
        <v>40268</v>
      </c>
      <c r="B3026" t="s">
        <v>406</v>
      </c>
      <c r="C3026" t="s">
        <v>562</v>
      </c>
      <c r="D3026" t="s">
        <v>567</v>
      </c>
      <c r="E3026" t="s">
        <v>568</v>
      </c>
      <c r="F3026" t="s">
        <v>413</v>
      </c>
      <c r="G3026">
        <v>9291</v>
      </c>
      <c r="H3026">
        <v>9291</v>
      </c>
      <c r="I3026">
        <v>8549</v>
      </c>
      <c r="J3026">
        <v>8549</v>
      </c>
      <c r="K3026">
        <v>2638</v>
      </c>
      <c r="L3026">
        <v>28</v>
      </c>
      <c r="M3026">
        <v>6164</v>
      </c>
      <c r="N3026">
        <v>461</v>
      </c>
      <c r="O3026">
        <v>0</v>
      </c>
      <c r="P3026">
        <v>78</v>
      </c>
      <c r="Q3026">
        <v>9</v>
      </c>
    </row>
    <row r="3027" spans="1:17" x14ac:dyDescent="0.2">
      <c r="A3027" s="121">
        <v>40268</v>
      </c>
      <c r="B3027" t="s">
        <v>406</v>
      </c>
      <c r="C3027" t="s">
        <v>562</v>
      </c>
      <c r="D3027" t="s">
        <v>569</v>
      </c>
      <c r="E3027" t="s">
        <v>570</v>
      </c>
      <c r="F3027" t="s">
        <v>413</v>
      </c>
      <c r="G3027">
        <v>3644</v>
      </c>
      <c r="H3027">
        <v>3644</v>
      </c>
      <c r="I3027">
        <v>3574</v>
      </c>
      <c r="J3027">
        <v>3574</v>
      </c>
      <c r="K3027">
        <v>533</v>
      </c>
      <c r="L3027">
        <v>1</v>
      </c>
      <c r="M3027">
        <v>3109</v>
      </c>
      <c r="N3027">
        <v>1</v>
      </c>
      <c r="O3027">
        <v>0</v>
      </c>
      <c r="P3027">
        <v>3</v>
      </c>
      <c r="Q3027">
        <v>0</v>
      </c>
    </row>
    <row r="3028" spans="1:17" x14ac:dyDescent="0.2">
      <c r="A3028" s="121">
        <v>40268</v>
      </c>
      <c r="B3028" t="s">
        <v>406</v>
      </c>
      <c r="C3028" t="s">
        <v>571</v>
      </c>
      <c r="D3028" t="s">
        <v>572</v>
      </c>
      <c r="E3028" t="s">
        <v>573</v>
      </c>
      <c r="F3028" t="s">
        <v>410</v>
      </c>
      <c r="G3028">
        <v>226</v>
      </c>
      <c r="I3028">
        <v>226</v>
      </c>
    </row>
    <row r="3029" spans="1:17" x14ac:dyDescent="0.2">
      <c r="A3029" s="121">
        <v>40268</v>
      </c>
      <c r="B3029" t="s">
        <v>406</v>
      </c>
      <c r="C3029" t="s">
        <v>574</v>
      </c>
      <c r="D3029" t="s">
        <v>575</v>
      </c>
      <c r="E3029" t="s">
        <v>576</v>
      </c>
      <c r="F3029" t="s">
        <v>413</v>
      </c>
      <c r="G3029">
        <v>681</v>
      </c>
      <c r="H3029">
        <v>681</v>
      </c>
      <c r="I3029">
        <v>679</v>
      </c>
      <c r="J3029">
        <v>679</v>
      </c>
      <c r="K3029">
        <v>138</v>
      </c>
      <c r="L3029">
        <v>0</v>
      </c>
      <c r="M3029">
        <v>517</v>
      </c>
      <c r="N3029">
        <v>1</v>
      </c>
      <c r="O3029">
        <v>25</v>
      </c>
      <c r="P3029">
        <v>0</v>
      </c>
      <c r="Q3029">
        <v>0</v>
      </c>
    </row>
    <row r="3030" spans="1:17" x14ac:dyDescent="0.2">
      <c r="A3030" s="121">
        <v>40268</v>
      </c>
      <c r="B3030" t="s">
        <v>406</v>
      </c>
      <c r="C3030" t="s">
        <v>577</v>
      </c>
      <c r="D3030" t="s">
        <v>578</v>
      </c>
      <c r="E3030" t="s">
        <v>579</v>
      </c>
      <c r="F3030" t="s">
        <v>413</v>
      </c>
      <c r="G3030">
        <v>4003</v>
      </c>
      <c r="H3030">
        <v>4003</v>
      </c>
      <c r="I3030">
        <v>3950</v>
      </c>
      <c r="J3030">
        <v>3950</v>
      </c>
      <c r="K3030">
        <v>843</v>
      </c>
      <c r="L3030">
        <v>22</v>
      </c>
      <c r="M3030">
        <v>3084</v>
      </c>
      <c r="N3030">
        <v>54</v>
      </c>
      <c r="O3030">
        <v>0</v>
      </c>
      <c r="P3030">
        <v>0</v>
      </c>
      <c r="Q3030">
        <v>0</v>
      </c>
    </row>
    <row r="3031" spans="1:17" x14ac:dyDescent="0.2">
      <c r="A3031" s="121">
        <v>40268</v>
      </c>
      <c r="B3031" t="s">
        <v>406</v>
      </c>
      <c r="C3031" t="s">
        <v>577</v>
      </c>
      <c r="D3031" t="s">
        <v>580</v>
      </c>
      <c r="E3031" t="s">
        <v>581</v>
      </c>
      <c r="F3031" t="s">
        <v>413</v>
      </c>
      <c r="G3031">
        <v>2080</v>
      </c>
      <c r="H3031">
        <v>2080</v>
      </c>
      <c r="I3031">
        <v>2066</v>
      </c>
      <c r="J3031">
        <v>2066</v>
      </c>
      <c r="K3031">
        <v>372</v>
      </c>
      <c r="L3031">
        <v>0</v>
      </c>
      <c r="M3031">
        <v>1461</v>
      </c>
      <c r="N3031">
        <v>207</v>
      </c>
      <c r="O3031">
        <v>40</v>
      </c>
      <c r="P3031">
        <v>0</v>
      </c>
      <c r="Q3031">
        <v>0</v>
      </c>
    </row>
    <row r="3032" spans="1:17" x14ac:dyDescent="0.2">
      <c r="A3032" s="121">
        <v>40268</v>
      </c>
      <c r="B3032" t="s">
        <v>406</v>
      </c>
      <c r="C3032" t="s">
        <v>577</v>
      </c>
      <c r="D3032" t="s">
        <v>609</v>
      </c>
      <c r="E3032" t="s">
        <v>610</v>
      </c>
      <c r="F3032" t="s">
        <v>410</v>
      </c>
      <c r="G3032">
        <v>28</v>
      </c>
      <c r="H3032">
        <v>28</v>
      </c>
      <c r="I3032">
        <v>28</v>
      </c>
      <c r="J3032">
        <v>28</v>
      </c>
      <c r="K3032">
        <v>2</v>
      </c>
      <c r="L3032">
        <v>0</v>
      </c>
      <c r="M3032">
        <v>23</v>
      </c>
      <c r="N3032">
        <v>0</v>
      </c>
      <c r="O3032">
        <v>3</v>
      </c>
      <c r="P3032">
        <v>0</v>
      </c>
      <c r="Q3032">
        <v>0</v>
      </c>
    </row>
    <row r="3033" spans="1:17" x14ac:dyDescent="0.2">
      <c r="A3033" s="121">
        <v>40268</v>
      </c>
      <c r="B3033" t="s">
        <v>406</v>
      </c>
      <c r="C3033" t="s">
        <v>577</v>
      </c>
      <c r="D3033" t="s">
        <v>611</v>
      </c>
      <c r="E3033" t="s">
        <v>612</v>
      </c>
      <c r="F3033" t="s">
        <v>410</v>
      </c>
      <c r="G3033">
        <v>5</v>
      </c>
      <c r="H3033">
        <v>5</v>
      </c>
      <c r="I3033">
        <v>5</v>
      </c>
      <c r="J3033">
        <v>5</v>
      </c>
      <c r="K3033">
        <v>1</v>
      </c>
      <c r="L3033">
        <v>0</v>
      </c>
      <c r="M3033">
        <v>3</v>
      </c>
      <c r="N3033">
        <v>0</v>
      </c>
      <c r="O3033">
        <v>1</v>
      </c>
      <c r="P3033">
        <v>0</v>
      </c>
      <c r="Q3033">
        <v>0</v>
      </c>
    </row>
    <row r="3034" spans="1:17" x14ac:dyDescent="0.2">
      <c r="A3034" s="121">
        <v>40268</v>
      </c>
      <c r="B3034" t="s">
        <v>406</v>
      </c>
      <c r="C3034" t="s">
        <v>577</v>
      </c>
      <c r="D3034" t="s">
        <v>584</v>
      </c>
      <c r="E3034" t="s">
        <v>585</v>
      </c>
      <c r="F3034" t="s">
        <v>410</v>
      </c>
      <c r="G3034">
        <v>233</v>
      </c>
      <c r="H3034">
        <v>233</v>
      </c>
      <c r="I3034">
        <v>233</v>
      </c>
      <c r="J3034">
        <v>233</v>
      </c>
      <c r="K3034">
        <v>13</v>
      </c>
      <c r="L3034">
        <v>0</v>
      </c>
      <c r="M3034">
        <v>202</v>
      </c>
      <c r="N3034">
        <v>0</v>
      </c>
      <c r="O3034">
        <v>18</v>
      </c>
      <c r="P3034">
        <v>0</v>
      </c>
      <c r="Q3034">
        <v>0</v>
      </c>
    </row>
    <row r="3035" spans="1:17" x14ac:dyDescent="0.2">
      <c r="A3035" s="121">
        <v>40268</v>
      </c>
      <c r="B3035" t="s">
        <v>406</v>
      </c>
      <c r="C3035" t="s">
        <v>577</v>
      </c>
      <c r="D3035" t="s">
        <v>586</v>
      </c>
      <c r="E3035" t="s">
        <v>587</v>
      </c>
      <c r="F3035" t="s">
        <v>410</v>
      </c>
      <c r="G3035">
        <v>1063</v>
      </c>
      <c r="H3035">
        <v>1063</v>
      </c>
      <c r="I3035">
        <v>1060</v>
      </c>
      <c r="J3035">
        <v>1060</v>
      </c>
      <c r="K3035">
        <v>13</v>
      </c>
      <c r="L3035">
        <v>0</v>
      </c>
      <c r="M3035">
        <v>733</v>
      </c>
      <c r="N3035">
        <v>0</v>
      </c>
      <c r="O3035">
        <v>317</v>
      </c>
      <c r="P3035">
        <v>0</v>
      </c>
      <c r="Q3035">
        <v>0</v>
      </c>
    </row>
    <row r="3036" spans="1:17" x14ac:dyDescent="0.2">
      <c r="A3036" s="121">
        <v>40268</v>
      </c>
      <c r="B3036" t="s">
        <v>406</v>
      </c>
      <c r="C3036" t="s">
        <v>577</v>
      </c>
      <c r="D3036" t="s">
        <v>588</v>
      </c>
      <c r="E3036" t="s">
        <v>589</v>
      </c>
      <c r="F3036" t="s">
        <v>410</v>
      </c>
      <c r="G3036">
        <v>296</v>
      </c>
      <c r="H3036">
        <v>296</v>
      </c>
      <c r="I3036">
        <v>296</v>
      </c>
      <c r="J3036">
        <v>296</v>
      </c>
      <c r="K3036">
        <v>4</v>
      </c>
      <c r="L3036">
        <v>0</v>
      </c>
      <c r="M3036">
        <v>235</v>
      </c>
      <c r="N3036">
        <v>0</v>
      </c>
      <c r="O3036">
        <v>57</v>
      </c>
      <c r="P3036">
        <v>0</v>
      </c>
      <c r="Q3036">
        <v>0</v>
      </c>
    </row>
    <row r="3037" spans="1:17" x14ac:dyDescent="0.2">
      <c r="A3037" s="121">
        <v>40268</v>
      </c>
      <c r="B3037" t="s">
        <v>406</v>
      </c>
      <c r="C3037" t="s">
        <v>577</v>
      </c>
      <c r="D3037" t="s">
        <v>613</v>
      </c>
      <c r="E3037" t="s">
        <v>614</v>
      </c>
      <c r="F3037" t="s">
        <v>410</v>
      </c>
      <c r="G3037">
        <v>257</v>
      </c>
      <c r="H3037">
        <v>257</v>
      </c>
      <c r="I3037">
        <v>257</v>
      </c>
      <c r="J3037">
        <v>257</v>
      </c>
      <c r="K3037">
        <v>15</v>
      </c>
      <c r="L3037">
        <v>0</v>
      </c>
      <c r="M3037">
        <v>187</v>
      </c>
      <c r="N3037">
        <v>0</v>
      </c>
      <c r="O3037">
        <v>55</v>
      </c>
      <c r="P3037">
        <v>0</v>
      </c>
      <c r="Q3037">
        <v>0</v>
      </c>
    </row>
    <row r="3038" spans="1:17" x14ac:dyDescent="0.2">
      <c r="A3038" s="121">
        <v>40268</v>
      </c>
      <c r="B3038" t="s">
        <v>406</v>
      </c>
      <c r="C3038" t="s">
        <v>577</v>
      </c>
      <c r="D3038" t="s">
        <v>590</v>
      </c>
      <c r="E3038" t="s">
        <v>591</v>
      </c>
      <c r="F3038" t="s">
        <v>410</v>
      </c>
      <c r="G3038">
        <v>563</v>
      </c>
      <c r="H3038">
        <v>563</v>
      </c>
      <c r="I3038">
        <v>562</v>
      </c>
      <c r="J3038">
        <v>562</v>
      </c>
      <c r="K3038">
        <v>8</v>
      </c>
      <c r="L3038">
        <v>0</v>
      </c>
      <c r="M3038">
        <v>493</v>
      </c>
      <c r="N3038">
        <v>0</v>
      </c>
      <c r="O3038">
        <v>62</v>
      </c>
      <c r="P3038">
        <v>0</v>
      </c>
      <c r="Q3038">
        <v>0</v>
      </c>
    </row>
    <row r="3039" spans="1:17" x14ac:dyDescent="0.2">
      <c r="A3039" s="121">
        <v>40268</v>
      </c>
      <c r="B3039" t="s">
        <v>406</v>
      </c>
      <c r="C3039" t="s">
        <v>577</v>
      </c>
      <c r="D3039" t="s">
        <v>607</v>
      </c>
      <c r="E3039" t="s">
        <v>608</v>
      </c>
      <c r="F3039" t="s">
        <v>410</v>
      </c>
      <c r="G3039">
        <v>71</v>
      </c>
      <c r="H3039">
        <v>71</v>
      </c>
      <c r="I3039">
        <v>71</v>
      </c>
      <c r="J3039">
        <v>71</v>
      </c>
      <c r="K3039">
        <v>5</v>
      </c>
      <c r="L3039">
        <v>0</v>
      </c>
      <c r="M3039">
        <v>50</v>
      </c>
      <c r="N3039">
        <v>0</v>
      </c>
      <c r="O3039">
        <v>16</v>
      </c>
      <c r="P3039">
        <v>0</v>
      </c>
      <c r="Q3039">
        <v>0</v>
      </c>
    </row>
    <row r="3040" spans="1:17" x14ac:dyDescent="0.2">
      <c r="A3040" s="121">
        <v>40268</v>
      </c>
      <c r="B3040" t="s">
        <v>406</v>
      </c>
      <c r="C3040" t="s">
        <v>577</v>
      </c>
      <c r="D3040" t="s">
        <v>592</v>
      </c>
      <c r="E3040" t="s">
        <v>593</v>
      </c>
      <c r="F3040" t="s">
        <v>410</v>
      </c>
      <c r="G3040">
        <v>621</v>
      </c>
      <c r="H3040">
        <v>621</v>
      </c>
      <c r="I3040">
        <v>621</v>
      </c>
      <c r="J3040">
        <v>621</v>
      </c>
      <c r="K3040">
        <v>0</v>
      </c>
      <c r="L3040">
        <v>0</v>
      </c>
      <c r="M3040">
        <v>0</v>
      </c>
      <c r="N3040">
        <v>0</v>
      </c>
      <c r="O3040">
        <v>621</v>
      </c>
      <c r="P3040">
        <v>0</v>
      </c>
      <c r="Q3040">
        <v>0</v>
      </c>
    </row>
    <row r="3041" spans="1:17" x14ac:dyDescent="0.2">
      <c r="A3041" s="121">
        <v>40268</v>
      </c>
      <c r="B3041" t="s">
        <v>406</v>
      </c>
      <c r="C3041" t="s">
        <v>594</v>
      </c>
      <c r="D3041" t="s">
        <v>595</v>
      </c>
      <c r="E3041" t="s">
        <v>596</v>
      </c>
      <c r="F3041" t="s">
        <v>410</v>
      </c>
      <c r="G3041">
        <v>26</v>
      </c>
      <c r="I3041">
        <v>25</v>
      </c>
    </row>
    <row r="3042" spans="1:17" x14ac:dyDescent="0.2">
      <c r="A3042" s="121">
        <v>40268</v>
      </c>
      <c r="B3042" t="s">
        <v>406</v>
      </c>
      <c r="C3042" t="s">
        <v>594</v>
      </c>
      <c r="D3042" t="s">
        <v>597</v>
      </c>
      <c r="E3042" t="s">
        <v>598</v>
      </c>
      <c r="F3042" t="s">
        <v>413</v>
      </c>
      <c r="G3042">
        <v>513</v>
      </c>
      <c r="H3042">
        <v>513</v>
      </c>
      <c r="I3042">
        <v>510</v>
      </c>
      <c r="J3042">
        <v>510</v>
      </c>
      <c r="K3042">
        <v>118</v>
      </c>
      <c r="L3042">
        <v>0</v>
      </c>
      <c r="M3042">
        <v>391</v>
      </c>
      <c r="N3042">
        <v>1</v>
      </c>
      <c r="O3042">
        <v>3</v>
      </c>
      <c r="P3042">
        <v>0</v>
      </c>
      <c r="Q3042">
        <v>0</v>
      </c>
    </row>
    <row r="3043" spans="1:17" x14ac:dyDescent="0.2">
      <c r="A3043" s="121">
        <v>40268</v>
      </c>
      <c r="B3043" t="s">
        <v>406</v>
      </c>
      <c r="C3043" t="s">
        <v>594</v>
      </c>
      <c r="D3043" t="s">
        <v>599</v>
      </c>
      <c r="E3043" t="s">
        <v>600</v>
      </c>
      <c r="F3043" t="s">
        <v>410</v>
      </c>
      <c r="G3043">
        <v>93</v>
      </c>
      <c r="I3043">
        <v>93</v>
      </c>
    </row>
    <row r="3044" spans="1:17" x14ac:dyDescent="0.2">
      <c r="A3044" s="121">
        <v>40298</v>
      </c>
      <c r="B3044" t="s">
        <v>406</v>
      </c>
      <c r="C3044" t="s">
        <v>407</v>
      </c>
      <c r="D3044" t="s">
        <v>408</v>
      </c>
      <c r="E3044" t="s">
        <v>409</v>
      </c>
      <c r="F3044" t="s">
        <v>410</v>
      </c>
      <c r="G3044">
        <v>226</v>
      </c>
      <c r="I3044">
        <v>226</v>
      </c>
    </row>
    <row r="3045" spans="1:17" x14ac:dyDescent="0.2">
      <c r="A3045" s="121">
        <v>40298</v>
      </c>
      <c r="B3045" t="s">
        <v>406</v>
      </c>
      <c r="C3045" t="s">
        <v>407</v>
      </c>
      <c r="D3045" t="s">
        <v>601</v>
      </c>
      <c r="E3045" t="s">
        <v>602</v>
      </c>
      <c r="F3045" t="s">
        <v>410</v>
      </c>
      <c r="G3045">
        <v>58</v>
      </c>
      <c r="I3045">
        <v>58</v>
      </c>
    </row>
    <row r="3046" spans="1:17" x14ac:dyDescent="0.2">
      <c r="A3046" s="121">
        <v>40298</v>
      </c>
      <c r="B3046" t="s">
        <v>406</v>
      </c>
      <c r="C3046" t="s">
        <v>407</v>
      </c>
      <c r="D3046" t="s">
        <v>411</v>
      </c>
      <c r="E3046" t="s">
        <v>412</v>
      </c>
      <c r="F3046" t="s">
        <v>413</v>
      </c>
      <c r="G3046">
        <v>5719</v>
      </c>
      <c r="H3046">
        <v>5719</v>
      </c>
      <c r="I3046">
        <v>5582</v>
      </c>
      <c r="J3046">
        <v>5582</v>
      </c>
      <c r="K3046">
        <v>2112</v>
      </c>
      <c r="L3046">
        <v>10</v>
      </c>
      <c r="M3046">
        <v>3336</v>
      </c>
      <c r="N3046">
        <v>34</v>
      </c>
      <c r="O3046">
        <v>227</v>
      </c>
      <c r="P3046">
        <v>1</v>
      </c>
      <c r="Q3046">
        <v>0</v>
      </c>
    </row>
    <row r="3047" spans="1:17" x14ac:dyDescent="0.2">
      <c r="A3047" s="121">
        <v>40298</v>
      </c>
      <c r="B3047" t="s">
        <v>406</v>
      </c>
      <c r="C3047" t="s">
        <v>407</v>
      </c>
      <c r="D3047" t="s">
        <v>414</v>
      </c>
      <c r="E3047" t="s">
        <v>415</v>
      </c>
      <c r="F3047" t="s">
        <v>410</v>
      </c>
      <c r="G3047">
        <v>53</v>
      </c>
      <c r="I3047">
        <v>53</v>
      </c>
    </row>
    <row r="3048" spans="1:17" x14ac:dyDescent="0.2">
      <c r="A3048" s="121">
        <v>40298</v>
      </c>
      <c r="B3048" t="s">
        <v>406</v>
      </c>
      <c r="C3048" t="s">
        <v>407</v>
      </c>
      <c r="D3048" t="s">
        <v>416</v>
      </c>
      <c r="E3048" t="s">
        <v>417</v>
      </c>
      <c r="F3048" t="s">
        <v>413</v>
      </c>
      <c r="G3048">
        <v>3653</v>
      </c>
      <c r="H3048">
        <v>3653</v>
      </c>
      <c r="I3048">
        <v>3587</v>
      </c>
      <c r="J3048">
        <v>3587</v>
      </c>
      <c r="K3048">
        <v>1224</v>
      </c>
      <c r="L3048">
        <v>7</v>
      </c>
      <c r="M3048">
        <v>2279</v>
      </c>
      <c r="N3048">
        <v>83</v>
      </c>
      <c r="O3048">
        <v>60</v>
      </c>
      <c r="P3048">
        <v>2</v>
      </c>
      <c r="Q3048">
        <v>0</v>
      </c>
    </row>
    <row r="3049" spans="1:17" x14ac:dyDescent="0.2">
      <c r="A3049" s="121">
        <v>40298</v>
      </c>
      <c r="B3049" t="s">
        <v>406</v>
      </c>
      <c r="C3049" t="s">
        <v>418</v>
      </c>
      <c r="D3049" t="s">
        <v>419</v>
      </c>
      <c r="E3049" t="s">
        <v>420</v>
      </c>
      <c r="F3049" t="s">
        <v>410</v>
      </c>
      <c r="G3049">
        <v>28</v>
      </c>
      <c r="I3049">
        <v>28</v>
      </c>
    </row>
    <row r="3050" spans="1:17" x14ac:dyDescent="0.2">
      <c r="A3050" s="121">
        <v>40298</v>
      </c>
      <c r="B3050" t="s">
        <v>406</v>
      </c>
      <c r="C3050" t="s">
        <v>418</v>
      </c>
      <c r="D3050" t="s">
        <v>421</v>
      </c>
      <c r="E3050" t="s">
        <v>422</v>
      </c>
      <c r="F3050" t="s">
        <v>410</v>
      </c>
      <c r="G3050">
        <v>81</v>
      </c>
      <c r="I3050">
        <v>81</v>
      </c>
    </row>
    <row r="3051" spans="1:17" x14ac:dyDescent="0.2">
      <c r="A3051" s="121">
        <v>40298</v>
      </c>
      <c r="B3051" t="s">
        <v>406</v>
      </c>
      <c r="C3051" t="s">
        <v>418</v>
      </c>
      <c r="D3051" t="s">
        <v>423</v>
      </c>
      <c r="E3051" t="s">
        <v>424</v>
      </c>
      <c r="F3051" t="s">
        <v>410</v>
      </c>
      <c r="G3051">
        <v>34</v>
      </c>
      <c r="I3051">
        <v>34</v>
      </c>
    </row>
    <row r="3052" spans="1:17" x14ac:dyDescent="0.2">
      <c r="A3052" s="121">
        <v>40298</v>
      </c>
      <c r="B3052" t="s">
        <v>406</v>
      </c>
      <c r="C3052" t="s">
        <v>418</v>
      </c>
      <c r="D3052" t="s">
        <v>425</v>
      </c>
      <c r="E3052" t="s">
        <v>426</v>
      </c>
      <c r="F3052" t="s">
        <v>410</v>
      </c>
      <c r="G3052">
        <v>62</v>
      </c>
      <c r="I3052">
        <v>62</v>
      </c>
    </row>
    <row r="3053" spans="1:17" x14ac:dyDescent="0.2">
      <c r="A3053" s="121">
        <v>40298</v>
      </c>
      <c r="B3053" t="s">
        <v>406</v>
      </c>
      <c r="C3053" t="s">
        <v>418</v>
      </c>
      <c r="D3053" t="s">
        <v>427</v>
      </c>
      <c r="E3053" t="s">
        <v>428</v>
      </c>
      <c r="F3053" t="s">
        <v>413</v>
      </c>
      <c r="G3053">
        <v>1912</v>
      </c>
      <c r="H3053">
        <v>1912</v>
      </c>
      <c r="I3053">
        <v>1894</v>
      </c>
      <c r="J3053">
        <v>1894</v>
      </c>
      <c r="K3053">
        <v>573</v>
      </c>
      <c r="L3053">
        <v>5</v>
      </c>
      <c r="M3053">
        <v>1135</v>
      </c>
      <c r="N3053">
        <v>30</v>
      </c>
      <c r="O3053">
        <v>169</v>
      </c>
      <c r="P3053">
        <v>0</v>
      </c>
      <c r="Q3053">
        <v>0</v>
      </c>
    </row>
    <row r="3054" spans="1:17" x14ac:dyDescent="0.2">
      <c r="A3054" s="121">
        <v>40298</v>
      </c>
      <c r="B3054" t="s">
        <v>406</v>
      </c>
      <c r="C3054" t="s">
        <v>429</v>
      </c>
      <c r="D3054" t="s">
        <v>430</v>
      </c>
      <c r="E3054" t="s">
        <v>431</v>
      </c>
      <c r="F3054" t="s">
        <v>410</v>
      </c>
      <c r="G3054">
        <v>45</v>
      </c>
      <c r="I3054">
        <v>45</v>
      </c>
    </row>
    <row r="3055" spans="1:17" x14ac:dyDescent="0.2">
      <c r="A3055" s="121">
        <v>40298</v>
      </c>
      <c r="B3055" t="s">
        <v>406</v>
      </c>
      <c r="C3055" t="s">
        <v>429</v>
      </c>
      <c r="D3055" t="s">
        <v>432</v>
      </c>
      <c r="E3055" t="s">
        <v>433</v>
      </c>
      <c r="F3055" t="s">
        <v>410</v>
      </c>
      <c r="G3055">
        <v>79</v>
      </c>
      <c r="I3055">
        <v>79</v>
      </c>
    </row>
    <row r="3056" spans="1:17" x14ac:dyDescent="0.2">
      <c r="A3056" s="121">
        <v>40298</v>
      </c>
      <c r="B3056" t="s">
        <v>406</v>
      </c>
      <c r="C3056" t="s">
        <v>429</v>
      </c>
      <c r="D3056" t="s">
        <v>434</v>
      </c>
      <c r="E3056" t="s">
        <v>435</v>
      </c>
      <c r="F3056" t="s">
        <v>410</v>
      </c>
      <c r="G3056">
        <v>38</v>
      </c>
      <c r="I3056">
        <v>38</v>
      </c>
    </row>
    <row r="3057" spans="1:17" x14ac:dyDescent="0.2">
      <c r="A3057" s="121">
        <v>40298</v>
      </c>
      <c r="B3057" t="s">
        <v>406</v>
      </c>
      <c r="C3057" t="s">
        <v>429</v>
      </c>
      <c r="D3057" t="s">
        <v>436</v>
      </c>
      <c r="E3057" t="s">
        <v>437</v>
      </c>
      <c r="F3057" t="s">
        <v>410</v>
      </c>
      <c r="G3057">
        <v>54</v>
      </c>
      <c r="I3057">
        <v>54</v>
      </c>
    </row>
    <row r="3058" spans="1:17" x14ac:dyDescent="0.2">
      <c r="A3058" s="121">
        <v>40298</v>
      </c>
      <c r="B3058" t="s">
        <v>406</v>
      </c>
      <c r="C3058" t="s">
        <v>429</v>
      </c>
      <c r="D3058" t="s">
        <v>438</v>
      </c>
      <c r="E3058" t="s">
        <v>439</v>
      </c>
      <c r="F3058" t="s">
        <v>413</v>
      </c>
      <c r="G3058">
        <v>1054</v>
      </c>
      <c r="H3058">
        <v>1054</v>
      </c>
      <c r="I3058">
        <v>1023</v>
      </c>
      <c r="J3058">
        <v>1023</v>
      </c>
      <c r="K3058">
        <v>93</v>
      </c>
      <c r="L3058">
        <v>0</v>
      </c>
      <c r="M3058">
        <v>953</v>
      </c>
      <c r="N3058">
        <v>8</v>
      </c>
      <c r="O3058">
        <v>0</v>
      </c>
      <c r="P3058">
        <v>3</v>
      </c>
      <c r="Q3058">
        <v>0</v>
      </c>
    </row>
    <row r="3059" spans="1:17" x14ac:dyDescent="0.2">
      <c r="A3059" s="121">
        <v>40298</v>
      </c>
      <c r="B3059" t="s">
        <v>406</v>
      </c>
      <c r="C3059" t="s">
        <v>429</v>
      </c>
      <c r="D3059" t="s">
        <v>440</v>
      </c>
      <c r="E3059" t="s">
        <v>441</v>
      </c>
      <c r="F3059" t="s">
        <v>413</v>
      </c>
      <c r="G3059">
        <v>3149</v>
      </c>
      <c r="H3059">
        <v>3149</v>
      </c>
      <c r="I3059">
        <v>2975</v>
      </c>
      <c r="J3059">
        <v>2975</v>
      </c>
      <c r="K3059">
        <v>1016</v>
      </c>
      <c r="L3059">
        <v>0</v>
      </c>
      <c r="M3059">
        <v>2074</v>
      </c>
      <c r="N3059">
        <v>20</v>
      </c>
      <c r="O3059">
        <v>39</v>
      </c>
      <c r="P3059">
        <v>2</v>
      </c>
      <c r="Q3059">
        <v>0</v>
      </c>
    </row>
    <row r="3060" spans="1:17" x14ac:dyDescent="0.2">
      <c r="A3060" s="121">
        <v>40298</v>
      </c>
      <c r="B3060" t="s">
        <v>406</v>
      </c>
      <c r="C3060" t="s">
        <v>442</v>
      </c>
      <c r="D3060" t="s">
        <v>443</v>
      </c>
      <c r="E3060" t="s">
        <v>444</v>
      </c>
      <c r="F3060" t="s">
        <v>413</v>
      </c>
      <c r="G3060">
        <v>3560</v>
      </c>
      <c r="H3060">
        <v>3560</v>
      </c>
      <c r="I3060">
        <v>3460</v>
      </c>
      <c r="J3060">
        <v>3460</v>
      </c>
      <c r="K3060">
        <v>489</v>
      </c>
      <c r="L3060">
        <v>4</v>
      </c>
      <c r="M3060">
        <v>2951</v>
      </c>
      <c r="N3060">
        <v>33</v>
      </c>
      <c r="O3060">
        <v>83</v>
      </c>
      <c r="P3060">
        <v>4</v>
      </c>
      <c r="Q3060">
        <v>0</v>
      </c>
    </row>
    <row r="3061" spans="1:17" x14ac:dyDescent="0.2">
      <c r="A3061" s="121">
        <v>40298</v>
      </c>
      <c r="B3061" t="s">
        <v>406</v>
      </c>
      <c r="C3061" t="s">
        <v>442</v>
      </c>
      <c r="D3061" t="s">
        <v>445</v>
      </c>
      <c r="E3061" t="s">
        <v>446</v>
      </c>
      <c r="F3061" t="s">
        <v>410</v>
      </c>
      <c r="G3061">
        <v>111</v>
      </c>
      <c r="I3061">
        <v>111</v>
      </c>
    </row>
    <row r="3062" spans="1:17" x14ac:dyDescent="0.2">
      <c r="A3062" s="121">
        <v>40298</v>
      </c>
      <c r="B3062" t="s">
        <v>406</v>
      </c>
      <c r="C3062" t="s">
        <v>442</v>
      </c>
      <c r="D3062" t="s">
        <v>447</v>
      </c>
      <c r="E3062" t="s">
        <v>448</v>
      </c>
      <c r="F3062" t="s">
        <v>410</v>
      </c>
      <c r="G3062">
        <v>291</v>
      </c>
      <c r="I3062">
        <v>291</v>
      </c>
    </row>
    <row r="3063" spans="1:17" x14ac:dyDescent="0.2">
      <c r="A3063" s="121">
        <v>40298</v>
      </c>
      <c r="B3063" t="s">
        <v>406</v>
      </c>
      <c r="C3063" t="s">
        <v>442</v>
      </c>
      <c r="D3063" t="s">
        <v>449</v>
      </c>
      <c r="E3063" t="s">
        <v>450</v>
      </c>
      <c r="F3063" t="s">
        <v>413</v>
      </c>
      <c r="G3063">
        <v>3396</v>
      </c>
      <c r="H3063">
        <v>3396</v>
      </c>
      <c r="I3063">
        <v>3269</v>
      </c>
      <c r="J3063">
        <v>3269</v>
      </c>
      <c r="K3063">
        <v>684</v>
      </c>
      <c r="L3063">
        <v>3</v>
      </c>
      <c r="M3063">
        <v>2636</v>
      </c>
      <c r="N3063">
        <v>28</v>
      </c>
      <c r="O3063">
        <v>45</v>
      </c>
      <c r="P3063">
        <v>5</v>
      </c>
      <c r="Q3063">
        <v>0</v>
      </c>
    </row>
    <row r="3064" spans="1:17" x14ac:dyDescent="0.2">
      <c r="A3064" s="121">
        <v>40298</v>
      </c>
      <c r="B3064" t="s">
        <v>406</v>
      </c>
      <c r="C3064" t="s">
        <v>451</v>
      </c>
      <c r="D3064" t="s">
        <v>452</v>
      </c>
      <c r="E3064" t="s">
        <v>453</v>
      </c>
      <c r="F3064" t="s">
        <v>410</v>
      </c>
      <c r="G3064">
        <v>1719</v>
      </c>
      <c r="H3064">
        <v>1719</v>
      </c>
      <c r="I3064">
        <v>1714</v>
      </c>
      <c r="J3064">
        <v>1714</v>
      </c>
      <c r="K3064">
        <v>0</v>
      </c>
      <c r="L3064">
        <v>0</v>
      </c>
      <c r="M3064">
        <v>1280</v>
      </c>
      <c r="N3064">
        <v>140</v>
      </c>
      <c r="O3064">
        <v>299</v>
      </c>
      <c r="P3064">
        <v>1</v>
      </c>
      <c r="Q3064">
        <v>1</v>
      </c>
    </row>
    <row r="3065" spans="1:17" x14ac:dyDescent="0.2">
      <c r="A3065" s="121">
        <v>40298</v>
      </c>
      <c r="B3065" t="s">
        <v>406</v>
      </c>
      <c r="C3065" t="s">
        <v>451</v>
      </c>
      <c r="D3065" t="s">
        <v>454</v>
      </c>
      <c r="E3065" t="s">
        <v>455</v>
      </c>
      <c r="F3065" t="s">
        <v>413</v>
      </c>
      <c r="G3065">
        <v>4731</v>
      </c>
      <c r="H3065">
        <v>4731</v>
      </c>
      <c r="I3065">
        <v>4436</v>
      </c>
      <c r="J3065">
        <v>4436</v>
      </c>
      <c r="K3065">
        <v>1275</v>
      </c>
      <c r="L3065">
        <v>9</v>
      </c>
      <c r="M3065">
        <v>2651</v>
      </c>
      <c r="N3065">
        <v>47</v>
      </c>
      <c r="O3065">
        <v>749</v>
      </c>
      <c r="P3065">
        <v>8</v>
      </c>
      <c r="Q3065">
        <v>0</v>
      </c>
    </row>
    <row r="3066" spans="1:17" x14ac:dyDescent="0.2">
      <c r="A3066" s="121">
        <v>40298</v>
      </c>
      <c r="B3066" t="s">
        <v>406</v>
      </c>
      <c r="C3066" t="s">
        <v>456</v>
      </c>
      <c r="D3066" t="s">
        <v>457</v>
      </c>
      <c r="E3066" t="s">
        <v>458</v>
      </c>
      <c r="F3066" t="s">
        <v>413</v>
      </c>
      <c r="G3066">
        <v>5271</v>
      </c>
      <c r="H3066">
        <v>5271</v>
      </c>
      <c r="I3066">
        <v>5069</v>
      </c>
      <c r="J3066">
        <v>5069</v>
      </c>
      <c r="K3066">
        <v>1353</v>
      </c>
      <c r="L3066">
        <v>18</v>
      </c>
      <c r="M3066">
        <v>3807</v>
      </c>
      <c r="N3066">
        <v>44</v>
      </c>
      <c r="O3066">
        <v>49</v>
      </c>
      <c r="P3066">
        <v>17</v>
      </c>
      <c r="Q3066">
        <v>0</v>
      </c>
    </row>
    <row r="3067" spans="1:17" x14ac:dyDescent="0.2">
      <c r="A3067" s="121">
        <v>40298</v>
      </c>
      <c r="B3067" t="s">
        <v>406</v>
      </c>
      <c r="C3067" t="s">
        <v>456</v>
      </c>
      <c r="D3067" t="s">
        <v>459</v>
      </c>
      <c r="E3067" t="s">
        <v>460</v>
      </c>
      <c r="F3067" t="s">
        <v>413</v>
      </c>
      <c r="G3067">
        <v>1652</v>
      </c>
      <c r="H3067">
        <v>1652</v>
      </c>
      <c r="I3067">
        <v>1643</v>
      </c>
      <c r="J3067">
        <v>1643</v>
      </c>
      <c r="K3067">
        <v>438</v>
      </c>
      <c r="L3067">
        <v>0</v>
      </c>
      <c r="M3067">
        <v>1213</v>
      </c>
      <c r="N3067">
        <v>1</v>
      </c>
      <c r="O3067">
        <v>0</v>
      </c>
      <c r="P3067">
        <v>0</v>
      </c>
      <c r="Q3067">
        <v>0</v>
      </c>
    </row>
    <row r="3068" spans="1:17" x14ac:dyDescent="0.2">
      <c r="A3068" s="121">
        <v>40298</v>
      </c>
      <c r="B3068" t="s">
        <v>406</v>
      </c>
      <c r="C3068" t="s">
        <v>456</v>
      </c>
      <c r="D3068" t="s">
        <v>461</v>
      </c>
      <c r="E3068" t="s">
        <v>462</v>
      </c>
      <c r="F3068" t="s">
        <v>410</v>
      </c>
      <c r="G3068">
        <v>102</v>
      </c>
      <c r="I3068">
        <v>102</v>
      </c>
    </row>
    <row r="3069" spans="1:17" x14ac:dyDescent="0.2">
      <c r="A3069" s="121">
        <v>40298</v>
      </c>
      <c r="B3069" t="s">
        <v>406</v>
      </c>
      <c r="C3069" t="s">
        <v>456</v>
      </c>
      <c r="D3069" t="s">
        <v>463</v>
      </c>
      <c r="E3069" t="s">
        <v>464</v>
      </c>
      <c r="F3069" t="s">
        <v>410</v>
      </c>
      <c r="G3069">
        <v>41</v>
      </c>
      <c r="I3069">
        <v>41</v>
      </c>
    </row>
    <row r="3070" spans="1:17" x14ac:dyDescent="0.2">
      <c r="A3070" s="121">
        <v>40298</v>
      </c>
      <c r="B3070" t="s">
        <v>406</v>
      </c>
      <c r="C3070" t="s">
        <v>456</v>
      </c>
      <c r="D3070" t="s">
        <v>465</v>
      </c>
      <c r="E3070" t="s">
        <v>466</v>
      </c>
      <c r="F3070" t="s">
        <v>410</v>
      </c>
      <c r="G3070">
        <v>80</v>
      </c>
      <c r="I3070">
        <v>80</v>
      </c>
    </row>
    <row r="3071" spans="1:17" x14ac:dyDescent="0.2">
      <c r="A3071" s="121">
        <v>40298</v>
      </c>
      <c r="B3071" t="s">
        <v>406</v>
      </c>
      <c r="C3071" t="s">
        <v>456</v>
      </c>
      <c r="D3071" t="s">
        <v>467</v>
      </c>
      <c r="E3071" t="s">
        <v>468</v>
      </c>
      <c r="F3071" t="s">
        <v>410</v>
      </c>
      <c r="G3071">
        <v>1090</v>
      </c>
      <c r="I3071">
        <v>1087</v>
      </c>
    </row>
    <row r="3072" spans="1:17" x14ac:dyDescent="0.2">
      <c r="A3072" s="121">
        <v>40298</v>
      </c>
      <c r="B3072" t="s">
        <v>406</v>
      </c>
      <c r="C3072" t="s">
        <v>456</v>
      </c>
      <c r="D3072" t="s">
        <v>469</v>
      </c>
      <c r="E3072" t="s">
        <v>470</v>
      </c>
      <c r="F3072" t="s">
        <v>410</v>
      </c>
      <c r="G3072">
        <v>793</v>
      </c>
      <c r="I3072">
        <v>787</v>
      </c>
    </row>
    <row r="3073" spans="1:17" x14ac:dyDescent="0.2">
      <c r="A3073" s="121">
        <v>40298</v>
      </c>
      <c r="B3073" t="s">
        <v>406</v>
      </c>
      <c r="C3073" t="s">
        <v>456</v>
      </c>
      <c r="D3073" t="s">
        <v>471</v>
      </c>
      <c r="E3073" t="s">
        <v>472</v>
      </c>
      <c r="F3073" t="s">
        <v>410</v>
      </c>
      <c r="G3073">
        <v>271</v>
      </c>
      <c r="I3073">
        <v>270</v>
      </c>
    </row>
    <row r="3074" spans="1:17" x14ac:dyDescent="0.2">
      <c r="A3074" s="121">
        <v>40298</v>
      </c>
      <c r="B3074" t="s">
        <v>406</v>
      </c>
      <c r="C3074" t="s">
        <v>456</v>
      </c>
      <c r="D3074" t="s">
        <v>473</v>
      </c>
      <c r="E3074" t="s">
        <v>474</v>
      </c>
      <c r="F3074" t="s">
        <v>410</v>
      </c>
      <c r="G3074">
        <v>199</v>
      </c>
      <c r="I3074">
        <v>199</v>
      </c>
    </row>
    <row r="3075" spans="1:17" x14ac:dyDescent="0.2">
      <c r="A3075" s="121">
        <v>40298</v>
      </c>
      <c r="B3075" t="s">
        <v>406</v>
      </c>
      <c r="C3075" t="s">
        <v>456</v>
      </c>
      <c r="D3075" t="s">
        <v>475</v>
      </c>
      <c r="E3075" t="s">
        <v>476</v>
      </c>
      <c r="F3075" t="s">
        <v>410</v>
      </c>
      <c r="G3075">
        <v>289</v>
      </c>
      <c r="I3075">
        <v>286</v>
      </c>
    </row>
    <row r="3076" spans="1:17" x14ac:dyDescent="0.2">
      <c r="A3076" s="121">
        <v>40298</v>
      </c>
      <c r="B3076" t="s">
        <v>406</v>
      </c>
      <c r="C3076" t="s">
        <v>456</v>
      </c>
      <c r="D3076" t="s">
        <v>477</v>
      </c>
      <c r="E3076" t="s">
        <v>478</v>
      </c>
      <c r="F3076" t="s">
        <v>413</v>
      </c>
      <c r="G3076">
        <v>1861</v>
      </c>
      <c r="H3076">
        <v>1861</v>
      </c>
      <c r="I3076">
        <v>1772</v>
      </c>
      <c r="J3076">
        <v>1772</v>
      </c>
      <c r="K3076">
        <v>429</v>
      </c>
      <c r="L3076">
        <v>6</v>
      </c>
      <c r="M3076">
        <v>1392</v>
      </c>
      <c r="N3076">
        <v>16</v>
      </c>
      <c r="O3076">
        <v>18</v>
      </c>
      <c r="P3076">
        <v>13</v>
      </c>
      <c r="Q3076">
        <v>4</v>
      </c>
    </row>
    <row r="3077" spans="1:17" x14ac:dyDescent="0.2">
      <c r="A3077" s="121">
        <v>40298</v>
      </c>
      <c r="B3077" t="s">
        <v>406</v>
      </c>
      <c r="C3077" t="s">
        <v>456</v>
      </c>
      <c r="D3077" t="s">
        <v>479</v>
      </c>
      <c r="E3077" t="s">
        <v>480</v>
      </c>
      <c r="F3077" t="s">
        <v>410</v>
      </c>
      <c r="G3077">
        <v>92</v>
      </c>
      <c r="I3077">
        <v>92</v>
      </c>
    </row>
    <row r="3078" spans="1:17" x14ac:dyDescent="0.2">
      <c r="A3078" s="121">
        <v>40298</v>
      </c>
      <c r="B3078" t="s">
        <v>406</v>
      </c>
      <c r="C3078" t="s">
        <v>456</v>
      </c>
      <c r="D3078" t="s">
        <v>481</v>
      </c>
      <c r="E3078" t="s">
        <v>482</v>
      </c>
      <c r="F3078" t="s">
        <v>410</v>
      </c>
      <c r="G3078">
        <v>43</v>
      </c>
      <c r="I3078">
        <v>43</v>
      </c>
    </row>
    <row r="3079" spans="1:17" x14ac:dyDescent="0.2">
      <c r="A3079" s="121">
        <v>40298</v>
      </c>
      <c r="B3079" t="s">
        <v>406</v>
      </c>
      <c r="C3079" t="s">
        <v>456</v>
      </c>
      <c r="D3079" t="s">
        <v>483</v>
      </c>
      <c r="E3079" t="s">
        <v>484</v>
      </c>
      <c r="F3079" t="s">
        <v>410</v>
      </c>
      <c r="G3079">
        <v>111</v>
      </c>
      <c r="I3079">
        <v>111</v>
      </c>
    </row>
    <row r="3080" spans="1:17" x14ac:dyDescent="0.2">
      <c r="A3080" s="121">
        <v>40298</v>
      </c>
      <c r="B3080" t="s">
        <v>406</v>
      </c>
      <c r="C3080" t="s">
        <v>456</v>
      </c>
      <c r="D3080" t="s">
        <v>485</v>
      </c>
      <c r="E3080" t="s">
        <v>486</v>
      </c>
      <c r="F3080" t="s">
        <v>410</v>
      </c>
      <c r="G3080">
        <v>52</v>
      </c>
      <c r="I3080">
        <v>52</v>
      </c>
    </row>
    <row r="3081" spans="1:17" x14ac:dyDescent="0.2">
      <c r="A3081" s="121">
        <v>40298</v>
      </c>
      <c r="B3081" t="s">
        <v>406</v>
      </c>
      <c r="C3081" t="s">
        <v>456</v>
      </c>
      <c r="D3081" t="s">
        <v>487</v>
      </c>
      <c r="E3081" t="s">
        <v>488</v>
      </c>
      <c r="F3081" t="s">
        <v>410</v>
      </c>
      <c r="G3081">
        <v>29</v>
      </c>
      <c r="I3081">
        <v>29</v>
      </c>
    </row>
    <row r="3082" spans="1:17" x14ac:dyDescent="0.2">
      <c r="A3082" s="121">
        <v>40298</v>
      </c>
      <c r="B3082" t="s">
        <v>406</v>
      </c>
      <c r="C3082" t="s">
        <v>456</v>
      </c>
      <c r="D3082" t="s">
        <v>489</v>
      </c>
      <c r="E3082" t="s">
        <v>490</v>
      </c>
      <c r="F3082" t="s">
        <v>410</v>
      </c>
      <c r="G3082">
        <v>121</v>
      </c>
      <c r="H3082">
        <v>121</v>
      </c>
      <c r="I3082">
        <v>121</v>
      </c>
      <c r="J3082">
        <v>121</v>
      </c>
      <c r="K3082">
        <v>0</v>
      </c>
      <c r="L3082">
        <v>0</v>
      </c>
      <c r="M3082">
        <v>95</v>
      </c>
      <c r="N3082">
        <v>26</v>
      </c>
      <c r="O3082">
        <v>0</v>
      </c>
      <c r="P3082">
        <v>0</v>
      </c>
      <c r="Q3082">
        <v>0</v>
      </c>
    </row>
    <row r="3083" spans="1:17" x14ac:dyDescent="0.2">
      <c r="A3083" s="121">
        <v>40298</v>
      </c>
      <c r="B3083" t="s">
        <v>406</v>
      </c>
      <c r="C3083" t="s">
        <v>491</v>
      </c>
      <c r="D3083" t="s">
        <v>492</v>
      </c>
      <c r="E3083" t="s">
        <v>493</v>
      </c>
      <c r="F3083" t="s">
        <v>410</v>
      </c>
      <c r="G3083">
        <v>1259</v>
      </c>
      <c r="H3083">
        <v>1259</v>
      </c>
      <c r="I3083">
        <v>1249</v>
      </c>
      <c r="J3083">
        <v>1249</v>
      </c>
      <c r="K3083">
        <v>0</v>
      </c>
      <c r="L3083">
        <v>0</v>
      </c>
      <c r="M3083">
        <v>2</v>
      </c>
      <c r="N3083">
        <v>4</v>
      </c>
      <c r="O3083">
        <v>1253</v>
      </c>
      <c r="P3083">
        <v>0</v>
      </c>
      <c r="Q3083">
        <v>0</v>
      </c>
    </row>
    <row r="3084" spans="1:17" x14ac:dyDescent="0.2">
      <c r="A3084" s="121">
        <v>40298</v>
      </c>
      <c r="B3084" t="s">
        <v>406</v>
      </c>
      <c r="C3084" t="s">
        <v>491</v>
      </c>
      <c r="D3084" t="s">
        <v>494</v>
      </c>
      <c r="E3084" t="s">
        <v>495</v>
      </c>
      <c r="F3084" t="s">
        <v>413</v>
      </c>
      <c r="G3084">
        <v>2854</v>
      </c>
      <c r="H3084">
        <v>2854</v>
      </c>
      <c r="I3084">
        <v>2778</v>
      </c>
      <c r="J3084">
        <v>2778</v>
      </c>
      <c r="K3084">
        <v>0</v>
      </c>
      <c r="L3084">
        <v>0</v>
      </c>
      <c r="M3084">
        <v>7</v>
      </c>
      <c r="N3084">
        <v>17</v>
      </c>
      <c r="O3084">
        <v>2830</v>
      </c>
      <c r="P3084">
        <v>1</v>
      </c>
      <c r="Q3084">
        <v>0</v>
      </c>
    </row>
    <row r="3085" spans="1:17" x14ac:dyDescent="0.2">
      <c r="A3085" s="121">
        <v>40298</v>
      </c>
      <c r="B3085" t="s">
        <v>406</v>
      </c>
      <c r="C3085" t="s">
        <v>491</v>
      </c>
      <c r="D3085" t="s">
        <v>496</v>
      </c>
      <c r="E3085" t="s">
        <v>497</v>
      </c>
      <c r="F3085" t="s">
        <v>413</v>
      </c>
      <c r="G3085">
        <v>5862</v>
      </c>
      <c r="H3085">
        <v>5862</v>
      </c>
      <c r="I3085">
        <v>5627</v>
      </c>
      <c r="J3085">
        <v>5627</v>
      </c>
      <c r="K3085">
        <v>1340</v>
      </c>
      <c r="L3085">
        <v>0</v>
      </c>
      <c r="M3085">
        <v>21</v>
      </c>
      <c r="N3085">
        <v>53</v>
      </c>
      <c r="O3085">
        <v>4448</v>
      </c>
      <c r="P3085">
        <v>1</v>
      </c>
      <c r="Q3085">
        <v>0</v>
      </c>
    </row>
    <row r="3086" spans="1:17" x14ac:dyDescent="0.2">
      <c r="A3086" s="121">
        <v>40298</v>
      </c>
      <c r="B3086" t="s">
        <v>406</v>
      </c>
      <c r="C3086" t="s">
        <v>491</v>
      </c>
      <c r="D3086" t="s">
        <v>498</v>
      </c>
      <c r="E3086" t="s">
        <v>499</v>
      </c>
      <c r="F3086" t="s">
        <v>413</v>
      </c>
      <c r="G3086">
        <v>6096</v>
      </c>
      <c r="H3086">
        <v>6096</v>
      </c>
      <c r="I3086">
        <v>5794</v>
      </c>
      <c r="J3086">
        <v>5794</v>
      </c>
      <c r="K3086">
        <v>1533</v>
      </c>
      <c r="L3086">
        <v>10</v>
      </c>
      <c r="M3086">
        <v>4124</v>
      </c>
      <c r="N3086">
        <v>121</v>
      </c>
      <c r="O3086">
        <v>308</v>
      </c>
      <c r="P3086">
        <v>3</v>
      </c>
      <c r="Q3086">
        <v>0</v>
      </c>
    </row>
    <row r="3087" spans="1:17" x14ac:dyDescent="0.2">
      <c r="A3087" s="121">
        <v>40298</v>
      </c>
      <c r="B3087" t="s">
        <v>406</v>
      </c>
      <c r="C3087" t="s">
        <v>491</v>
      </c>
      <c r="D3087" t="s">
        <v>500</v>
      </c>
      <c r="E3087" t="s">
        <v>501</v>
      </c>
      <c r="F3087" t="s">
        <v>413</v>
      </c>
      <c r="G3087">
        <v>3637</v>
      </c>
      <c r="H3087">
        <v>3637</v>
      </c>
      <c r="I3087">
        <v>3589</v>
      </c>
      <c r="J3087">
        <v>3589</v>
      </c>
      <c r="K3087">
        <v>925</v>
      </c>
      <c r="L3087">
        <v>2</v>
      </c>
      <c r="M3087">
        <v>2458</v>
      </c>
      <c r="N3087">
        <v>37</v>
      </c>
      <c r="O3087">
        <v>215</v>
      </c>
      <c r="P3087">
        <v>0</v>
      </c>
      <c r="Q3087">
        <v>0</v>
      </c>
    </row>
    <row r="3088" spans="1:17" x14ac:dyDescent="0.2">
      <c r="A3088" s="121">
        <v>40298</v>
      </c>
      <c r="B3088" t="s">
        <v>406</v>
      </c>
      <c r="C3088" t="s">
        <v>491</v>
      </c>
      <c r="D3088" t="s">
        <v>502</v>
      </c>
      <c r="E3088" t="s">
        <v>615</v>
      </c>
      <c r="F3088" t="s">
        <v>410</v>
      </c>
      <c r="G3088">
        <v>1458</v>
      </c>
      <c r="H3088">
        <v>1458</v>
      </c>
      <c r="I3088">
        <v>1458</v>
      </c>
      <c r="J3088">
        <v>1458</v>
      </c>
      <c r="K3088">
        <v>0</v>
      </c>
      <c r="L3088">
        <v>1</v>
      </c>
      <c r="M3088">
        <v>1421</v>
      </c>
      <c r="N3088">
        <v>2</v>
      </c>
      <c r="O3088">
        <v>34</v>
      </c>
      <c r="P3088">
        <v>0</v>
      </c>
      <c r="Q3088">
        <v>0</v>
      </c>
    </row>
    <row r="3089" spans="1:17" x14ac:dyDescent="0.2">
      <c r="A3089" s="121">
        <v>40298</v>
      </c>
      <c r="B3089" t="s">
        <v>406</v>
      </c>
      <c r="C3089" t="s">
        <v>491</v>
      </c>
      <c r="D3089" t="s">
        <v>502</v>
      </c>
      <c r="E3089" t="s">
        <v>503</v>
      </c>
      <c r="F3089" t="s">
        <v>413</v>
      </c>
      <c r="G3089">
        <v>5126</v>
      </c>
      <c r="H3089">
        <v>5126</v>
      </c>
      <c r="I3089">
        <v>4881</v>
      </c>
      <c r="J3089">
        <v>4881</v>
      </c>
      <c r="K3089">
        <v>1412</v>
      </c>
      <c r="L3089">
        <v>6</v>
      </c>
      <c r="M3089">
        <v>3339</v>
      </c>
      <c r="N3089">
        <v>174</v>
      </c>
      <c r="O3089">
        <v>195</v>
      </c>
      <c r="P3089">
        <v>26</v>
      </c>
      <c r="Q3089">
        <v>1</v>
      </c>
    </row>
    <row r="3090" spans="1:17" x14ac:dyDescent="0.2">
      <c r="A3090" s="121">
        <v>40298</v>
      </c>
      <c r="B3090" t="s">
        <v>406</v>
      </c>
      <c r="C3090" t="s">
        <v>491</v>
      </c>
      <c r="D3090" t="s">
        <v>504</v>
      </c>
      <c r="E3090" t="s">
        <v>505</v>
      </c>
      <c r="F3090" t="s">
        <v>413</v>
      </c>
      <c r="G3090">
        <v>3917</v>
      </c>
      <c r="H3090">
        <v>3917</v>
      </c>
      <c r="I3090">
        <v>3758</v>
      </c>
      <c r="J3090">
        <v>3758</v>
      </c>
      <c r="K3090">
        <v>1122</v>
      </c>
      <c r="L3090">
        <v>4</v>
      </c>
      <c r="M3090">
        <v>2640</v>
      </c>
      <c r="N3090">
        <v>75</v>
      </c>
      <c r="O3090">
        <v>76</v>
      </c>
      <c r="P3090">
        <v>3</v>
      </c>
      <c r="Q3090">
        <v>0</v>
      </c>
    </row>
    <row r="3091" spans="1:17" x14ac:dyDescent="0.2">
      <c r="A3091" s="121">
        <v>40298</v>
      </c>
      <c r="B3091" t="s">
        <v>406</v>
      </c>
      <c r="C3091" t="s">
        <v>491</v>
      </c>
      <c r="D3091" t="s">
        <v>506</v>
      </c>
      <c r="E3091" t="s">
        <v>507</v>
      </c>
      <c r="F3091" t="s">
        <v>413</v>
      </c>
      <c r="G3091">
        <v>3880</v>
      </c>
      <c r="H3091">
        <v>3880</v>
      </c>
      <c r="I3091">
        <v>3822</v>
      </c>
      <c r="J3091">
        <v>3822</v>
      </c>
      <c r="K3091">
        <v>496</v>
      </c>
      <c r="L3091">
        <v>0</v>
      </c>
      <c r="M3091">
        <v>3375</v>
      </c>
      <c r="N3091">
        <v>2</v>
      </c>
      <c r="O3091">
        <v>7</v>
      </c>
      <c r="P3091">
        <v>1</v>
      </c>
      <c r="Q3091">
        <v>0</v>
      </c>
    </row>
    <row r="3092" spans="1:17" x14ac:dyDescent="0.2">
      <c r="A3092" s="121">
        <v>40298</v>
      </c>
      <c r="B3092" t="s">
        <v>406</v>
      </c>
      <c r="C3092" t="s">
        <v>491</v>
      </c>
      <c r="D3092" t="s">
        <v>508</v>
      </c>
      <c r="E3092" t="s">
        <v>509</v>
      </c>
      <c r="F3092" t="s">
        <v>413</v>
      </c>
      <c r="G3092">
        <v>5260</v>
      </c>
      <c r="H3092">
        <v>5260</v>
      </c>
      <c r="I3092">
        <v>5105</v>
      </c>
      <c r="J3092">
        <v>5105</v>
      </c>
      <c r="K3092">
        <v>1682</v>
      </c>
      <c r="L3092">
        <v>9</v>
      </c>
      <c r="M3092">
        <v>3142</v>
      </c>
      <c r="N3092">
        <v>161</v>
      </c>
      <c r="O3092">
        <v>266</v>
      </c>
      <c r="P3092">
        <v>2</v>
      </c>
      <c r="Q3092">
        <v>0</v>
      </c>
    </row>
    <row r="3093" spans="1:17" x14ac:dyDescent="0.2">
      <c r="A3093" s="121">
        <v>40298</v>
      </c>
      <c r="B3093" t="s">
        <v>406</v>
      </c>
      <c r="C3093" t="s">
        <v>510</v>
      </c>
      <c r="D3093" t="s">
        <v>513</v>
      </c>
      <c r="E3093" t="s">
        <v>514</v>
      </c>
      <c r="F3093" t="s">
        <v>410</v>
      </c>
      <c r="G3093">
        <v>585</v>
      </c>
      <c r="I3093">
        <v>581</v>
      </c>
    </row>
    <row r="3094" spans="1:17" x14ac:dyDescent="0.2">
      <c r="A3094" s="121">
        <v>40298</v>
      </c>
      <c r="B3094" t="s">
        <v>406</v>
      </c>
      <c r="C3094" t="s">
        <v>510</v>
      </c>
      <c r="D3094" t="s">
        <v>515</v>
      </c>
      <c r="E3094" t="s">
        <v>516</v>
      </c>
      <c r="F3094" t="s">
        <v>410</v>
      </c>
      <c r="G3094">
        <v>88</v>
      </c>
      <c r="I3094">
        <v>86</v>
      </c>
    </row>
    <row r="3095" spans="1:17" x14ac:dyDescent="0.2">
      <c r="A3095" s="121">
        <v>40298</v>
      </c>
      <c r="B3095" t="s">
        <v>406</v>
      </c>
      <c r="C3095" t="s">
        <v>510</v>
      </c>
      <c r="D3095" t="s">
        <v>519</v>
      </c>
      <c r="E3095" t="s">
        <v>520</v>
      </c>
      <c r="F3095" t="s">
        <v>410</v>
      </c>
      <c r="G3095">
        <v>380</v>
      </c>
      <c r="I3095">
        <v>377</v>
      </c>
    </row>
    <row r="3096" spans="1:17" x14ac:dyDescent="0.2">
      <c r="A3096" s="121">
        <v>40298</v>
      </c>
      <c r="B3096" t="s">
        <v>406</v>
      </c>
      <c r="C3096" t="s">
        <v>510</v>
      </c>
      <c r="D3096" t="s">
        <v>521</v>
      </c>
      <c r="E3096" t="s">
        <v>522</v>
      </c>
      <c r="F3096" t="s">
        <v>410</v>
      </c>
      <c r="G3096">
        <v>45</v>
      </c>
      <c r="I3096">
        <v>45</v>
      </c>
    </row>
    <row r="3097" spans="1:17" x14ac:dyDescent="0.2">
      <c r="A3097" s="121">
        <v>40298</v>
      </c>
      <c r="B3097" t="s">
        <v>406</v>
      </c>
      <c r="C3097" t="s">
        <v>510</v>
      </c>
      <c r="D3097" t="s">
        <v>523</v>
      </c>
      <c r="E3097" t="s">
        <v>524</v>
      </c>
      <c r="F3097" t="s">
        <v>413</v>
      </c>
      <c r="G3097">
        <v>436</v>
      </c>
      <c r="I3097">
        <v>430</v>
      </c>
    </row>
    <row r="3098" spans="1:17" x14ac:dyDescent="0.2">
      <c r="A3098" s="121">
        <v>40298</v>
      </c>
      <c r="B3098" t="s">
        <v>406</v>
      </c>
      <c r="C3098" t="s">
        <v>510</v>
      </c>
      <c r="D3098" t="s">
        <v>525</v>
      </c>
      <c r="E3098" t="s">
        <v>526</v>
      </c>
      <c r="F3098" t="s">
        <v>410</v>
      </c>
      <c r="G3098">
        <v>397</v>
      </c>
      <c r="I3098">
        <v>393</v>
      </c>
    </row>
    <row r="3099" spans="1:17" x14ac:dyDescent="0.2">
      <c r="A3099" s="121">
        <v>40298</v>
      </c>
      <c r="B3099" t="s">
        <v>406</v>
      </c>
      <c r="C3099" t="s">
        <v>510</v>
      </c>
      <c r="D3099" t="s">
        <v>527</v>
      </c>
      <c r="E3099" t="s">
        <v>528</v>
      </c>
      <c r="F3099" t="s">
        <v>410</v>
      </c>
      <c r="G3099">
        <v>179</v>
      </c>
      <c r="I3099">
        <v>178</v>
      </c>
    </row>
    <row r="3100" spans="1:17" x14ac:dyDescent="0.2">
      <c r="A3100" s="121">
        <v>40298</v>
      </c>
      <c r="B3100" t="s">
        <v>406</v>
      </c>
      <c r="C3100" t="s">
        <v>510</v>
      </c>
      <c r="D3100" t="s">
        <v>529</v>
      </c>
      <c r="E3100" t="s">
        <v>530</v>
      </c>
      <c r="F3100" t="s">
        <v>413</v>
      </c>
      <c r="G3100">
        <v>468</v>
      </c>
      <c r="I3100">
        <v>464</v>
      </c>
    </row>
    <row r="3101" spans="1:17" x14ac:dyDescent="0.2">
      <c r="A3101" s="121">
        <v>40298</v>
      </c>
      <c r="B3101" t="s">
        <v>406</v>
      </c>
      <c r="C3101" t="s">
        <v>510</v>
      </c>
      <c r="D3101" t="s">
        <v>531</v>
      </c>
      <c r="E3101" t="s">
        <v>532</v>
      </c>
      <c r="F3101" t="s">
        <v>410</v>
      </c>
      <c r="G3101">
        <v>49</v>
      </c>
      <c r="I3101">
        <v>49</v>
      </c>
    </row>
    <row r="3102" spans="1:17" x14ac:dyDescent="0.2">
      <c r="A3102" s="121">
        <v>40298</v>
      </c>
      <c r="B3102" t="s">
        <v>406</v>
      </c>
      <c r="C3102" t="s">
        <v>510</v>
      </c>
      <c r="D3102" t="s">
        <v>533</v>
      </c>
      <c r="E3102" t="s">
        <v>534</v>
      </c>
      <c r="F3102" t="s">
        <v>413</v>
      </c>
      <c r="G3102">
        <v>2645</v>
      </c>
      <c r="H3102">
        <v>2645</v>
      </c>
      <c r="I3102">
        <v>2576</v>
      </c>
      <c r="J3102">
        <v>2576</v>
      </c>
      <c r="K3102">
        <v>528</v>
      </c>
      <c r="L3102">
        <v>2</v>
      </c>
      <c r="M3102">
        <v>2114</v>
      </c>
      <c r="N3102">
        <v>1</v>
      </c>
      <c r="O3102">
        <v>0</v>
      </c>
      <c r="P3102">
        <v>7</v>
      </c>
      <c r="Q3102">
        <v>2</v>
      </c>
    </row>
    <row r="3103" spans="1:17" x14ac:dyDescent="0.2">
      <c r="A3103" s="121">
        <v>40298</v>
      </c>
      <c r="B3103" t="s">
        <v>406</v>
      </c>
      <c r="C3103" t="s">
        <v>510</v>
      </c>
      <c r="D3103" t="s">
        <v>535</v>
      </c>
      <c r="E3103" t="s">
        <v>536</v>
      </c>
      <c r="F3103" t="s">
        <v>410</v>
      </c>
      <c r="G3103">
        <v>275</v>
      </c>
      <c r="I3103">
        <v>274</v>
      </c>
    </row>
    <row r="3104" spans="1:17" x14ac:dyDescent="0.2">
      <c r="A3104" s="121">
        <v>40298</v>
      </c>
      <c r="B3104" t="s">
        <v>406</v>
      </c>
      <c r="C3104" t="s">
        <v>510</v>
      </c>
      <c r="D3104" t="s">
        <v>537</v>
      </c>
      <c r="E3104" t="s">
        <v>538</v>
      </c>
      <c r="F3104" t="s">
        <v>410</v>
      </c>
      <c r="G3104">
        <v>96</v>
      </c>
      <c r="I3104">
        <v>94</v>
      </c>
    </row>
    <row r="3105" spans="1:17" x14ac:dyDescent="0.2">
      <c r="A3105" s="121">
        <v>40298</v>
      </c>
      <c r="B3105" t="s">
        <v>406</v>
      </c>
      <c r="C3105" t="s">
        <v>510</v>
      </c>
      <c r="D3105" t="s">
        <v>539</v>
      </c>
      <c r="E3105" t="s">
        <v>540</v>
      </c>
      <c r="F3105" t="s">
        <v>413</v>
      </c>
      <c r="G3105">
        <v>754</v>
      </c>
      <c r="I3105">
        <v>745</v>
      </c>
    </row>
    <row r="3106" spans="1:17" x14ac:dyDescent="0.2">
      <c r="A3106" s="121">
        <v>40298</v>
      </c>
      <c r="B3106" t="s">
        <v>406</v>
      </c>
      <c r="C3106" t="s">
        <v>510</v>
      </c>
      <c r="D3106" t="s">
        <v>541</v>
      </c>
      <c r="E3106" t="s">
        <v>542</v>
      </c>
      <c r="F3106" t="s">
        <v>410</v>
      </c>
      <c r="G3106">
        <v>323</v>
      </c>
      <c r="I3106">
        <v>323</v>
      </c>
    </row>
    <row r="3107" spans="1:17" x14ac:dyDescent="0.2">
      <c r="A3107" s="121">
        <v>40298</v>
      </c>
      <c r="B3107" t="s">
        <v>406</v>
      </c>
      <c r="C3107" t="s">
        <v>510</v>
      </c>
      <c r="D3107" t="s">
        <v>543</v>
      </c>
      <c r="E3107" t="s">
        <v>544</v>
      </c>
      <c r="F3107" t="s">
        <v>410</v>
      </c>
      <c r="G3107">
        <v>234</v>
      </c>
      <c r="I3107">
        <v>234</v>
      </c>
    </row>
    <row r="3108" spans="1:17" x14ac:dyDescent="0.2">
      <c r="A3108" s="121">
        <v>40298</v>
      </c>
      <c r="B3108" t="s">
        <v>406</v>
      </c>
      <c r="C3108" t="s">
        <v>510</v>
      </c>
      <c r="D3108" t="s">
        <v>545</v>
      </c>
      <c r="E3108" t="s">
        <v>546</v>
      </c>
      <c r="F3108" t="s">
        <v>410</v>
      </c>
      <c r="G3108">
        <v>165</v>
      </c>
      <c r="I3108">
        <v>165</v>
      </c>
    </row>
    <row r="3109" spans="1:17" x14ac:dyDescent="0.2">
      <c r="A3109" s="121">
        <v>40298</v>
      </c>
      <c r="B3109" t="s">
        <v>406</v>
      </c>
      <c r="C3109" t="s">
        <v>510</v>
      </c>
      <c r="D3109" t="s">
        <v>547</v>
      </c>
      <c r="E3109" t="s">
        <v>548</v>
      </c>
      <c r="F3109" t="s">
        <v>410</v>
      </c>
      <c r="G3109">
        <v>131</v>
      </c>
      <c r="I3109">
        <v>131</v>
      </c>
    </row>
    <row r="3110" spans="1:17" x14ac:dyDescent="0.2">
      <c r="A3110" s="121">
        <v>40298</v>
      </c>
      <c r="B3110" t="s">
        <v>406</v>
      </c>
      <c r="C3110" t="s">
        <v>510</v>
      </c>
      <c r="D3110" t="s">
        <v>616</v>
      </c>
      <c r="E3110" t="s">
        <v>617</v>
      </c>
      <c r="F3110" t="s">
        <v>410</v>
      </c>
      <c r="G3110">
        <v>305</v>
      </c>
      <c r="I3110">
        <v>304</v>
      </c>
    </row>
    <row r="3111" spans="1:17" x14ac:dyDescent="0.2">
      <c r="A3111" s="121">
        <v>40298</v>
      </c>
      <c r="B3111" t="s">
        <v>406</v>
      </c>
      <c r="C3111" t="s">
        <v>510</v>
      </c>
      <c r="D3111" t="s">
        <v>549</v>
      </c>
      <c r="E3111" t="s">
        <v>550</v>
      </c>
      <c r="F3111" t="s">
        <v>410</v>
      </c>
      <c r="G3111">
        <v>185</v>
      </c>
      <c r="I3111">
        <v>184</v>
      </c>
    </row>
    <row r="3112" spans="1:17" x14ac:dyDescent="0.2">
      <c r="A3112" s="121">
        <v>40298</v>
      </c>
      <c r="B3112" t="s">
        <v>406</v>
      </c>
      <c r="C3112" t="s">
        <v>551</v>
      </c>
      <c r="D3112" t="s">
        <v>552</v>
      </c>
      <c r="E3112" t="s">
        <v>553</v>
      </c>
      <c r="F3112" t="s">
        <v>413</v>
      </c>
      <c r="G3112">
        <v>5706</v>
      </c>
      <c r="H3112">
        <v>5706</v>
      </c>
      <c r="I3112">
        <v>5639</v>
      </c>
      <c r="J3112">
        <v>5639</v>
      </c>
      <c r="K3112">
        <v>1581</v>
      </c>
      <c r="L3112">
        <v>11</v>
      </c>
      <c r="M3112">
        <v>3884</v>
      </c>
      <c r="N3112">
        <v>222</v>
      </c>
      <c r="O3112">
        <v>8</v>
      </c>
      <c r="P3112">
        <v>0</v>
      </c>
      <c r="Q3112">
        <v>0</v>
      </c>
    </row>
    <row r="3113" spans="1:17" x14ac:dyDescent="0.2">
      <c r="A3113" s="121">
        <v>40298</v>
      </c>
      <c r="B3113" t="s">
        <v>406</v>
      </c>
      <c r="C3113" t="s">
        <v>551</v>
      </c>
      <c r="D3113" t="s">
        <v>554</v>
      </c>
      <c r="E3113" t="s">
        <v>555</v>
      </c>
      <c r="F3113" t="s">
        <v>410</v>
      </c>
      <c r="G3113">
        <v>182</v>
      </c>
      <c r="I3113">
        <v>182</v>
      </c>
    </row>
    <row r="3114" spans="1:17" x14ac:dyDescent="0.2">
      <c r="A3114" s="121">
        <v>40298</v>
      </c>
      <c r="B3114" t="s">
        <v>406</v>
      </c>
      <c r="C3114" t="s">
        <v>551</v>
      </c>
      <c r="D3114" t="s">
        <v>556</v>
      </c>
      <c r="E3114" t="s">
        <v>557</v>
      </c>
      <c r="F3114" t="s">
        <v>410</v>
      </c>
      <c r="G3114">
        <v>178</v>
      </c>
      <c r="I3114">
        <v>178</v>
      </c>
    </row>
    <row r="3115" spans="1:17" x14ac:dyDescent="0.2">
      <c r="A3115" s="121">
        <v>40298</v>
      </c>
      <c r="B3115" t="s">
        <v>406</v>
      </c>
      <c r="C3115" t="s">
        <v>551</v>
      </c>
      <c r="D3115" t="s">
        <v>558</v>
      </c>
      <c r="E3115" t="s">
        <v>559</v>
      </c>
      <c r="F3115" t="s">
        <v>413</v>
      </c>
      <c r="G3115">
        <v>4783</v>
      </c>
      <c r="H3115">
        <v>4783</v>
      </c>
      <c r="I3115">
        <v>4686</v>
      </c>
      <c r="J3115">
        <v>4686</v>
      </c>
      <c r="K3115">
        <v>1174</v>
      </c>
      <c r="L3115">
        <v>5</v>
      </c>
      <c r="M3115">
        <v>3491</v>
      </c>
      <c r="N3115">
        <v>91</v>
      </c>
      <c r="O3115">
        <v>22</v>
      </c>
      <c r="P3115">
        <v>1</v>
      </c>
      <c r="Q3115">
        <v>0</v>
      </c>
    </row>
    <row r="3116" spans="1:17" x14ac:dyDescent="0.2">
      <c r="A3116" s="121">
        <v>40298</v>
      </c>
      <c r="B3116" t="s">
        <v>406</v>
      </c>
      <c r="C3116" t="s">
        <v>551</v>
      </c>
      <c r="D3116" t="s">
        <v>560</v>
      </c>
      <c r="E3116" t="s">
        <v>561</v>
      </c>
      <c r="F3116" t="s">
        <v>413</v>
      </c>
      <c r="G3116">
        <v>5699</v>
      </c>
      <c r="H3116">
        <v>5699</v>
      </c>
      <c r="I3116">
        <v>5653</v>
      </c>
      <c r="J3116">
        <v>5653</v>
      </c>
      <c r="K3116">
        <v>1281</v>
      </c>
      <c r="L3116">
        <v>5</v>
      </c>
      <c r="M3116">
        <v>4164</v>
      </c>
      <c r="N3116">
        <v>231</v>
      </c>
      <c r="O3116">
        <v>18</v>
      </c>
      <c r="P3116">
        <v>0</v>
      </c>
      <c r="Q3116">
        <v>0</v>
      </c>
    </row>
    <row r="3117" spans="1:17" x14ac:dyDescent="0.2">
      <c r="A3117" s="121">
        <v>40298</v>
      </c>
      <c r="B3117" t="s">
        <v>406</v>
      </c>
      <c r="C3117" t="s">
        <v>562</v>
      </c>
      <c r="D3117" t="s">
        <v>603</v>
      </c>
      <c r="E3117" t="s">
        <v>604</v>
      </c>
      <c r="F3117" t="s">
        <v>410</v>
      </c>
      <c r="G3117">
        <v>24</v>
      </c>
      <c r="I3117">
        <v>24</v>
      </c>
    </row>
    <row r="3118" spans="1:17" x14ac:dyDescent="0.2">
      <c r="A3118" s="121">
        <v>40298</v>
      </c>
      <c r="B3118" t="s">
        <v>406</v>
      </c>
      <c r="C3118" t="s">
        <v>562</v>
      </c>
      <c r="D3118" t="s">
        <v>605</v>
      </c>
      <c r="E3118" t="s">
        <v>606</v>
      </c>
      <c r="F3118" t="s">
        <v>410</v>
      </c>
      <c r="G3118">
        <v>140</v>
      </c>
      <c r="I3118">
        <v>140</v>
      </c>
    </row>
    <row r="3119" spans="1:17" x14ac:dyDescent="0.2">
      <c r="A3119" s="121">
        <v>40298</v>
      </c>
      <c r="B3119" t="s">
        <v>406</v>
      </c>
      <c r="C3119" t="s">
        <v>562</v>
      </c>
      <c r="D3119" t="s">
        <v>563</v>
      </c>
      <c r="E3119" t="s">
        <v>564</v>
      </c>
      <c r="F3119" t="s">
        <v>410</v>
      </c>
      <c r="G3119">
        <v>2881</v>
      </c>
      <c r="H3119">
        <v>2881</v>
      </c>
      <c r="I3119">
        <v>2820</v>
      </c>
      <c r="J3119">
        <v>2820</v>
      </c>
      <c r="K3119">
        <v>956</v>
      </c>
      <c r="L3119">
        <v>1</v>
      </c>
      <c r="M3119">
        <v>1897</v>
      </c>
      <c r="N3119">
        <v>27</v>
      </c>
      <c r="O3119">
        <v>0</v>
      </c>
      <c r="P3119">
        <v>5</v>
      </c>
      <c r="Q3119">
        <v>4</v>
      </c>
    </row>
    <row r="3120" spans="1:17" x14ac:dyDescent="0.2">
      <c r="A3120" s="121">
        <v>40298</v>
      </c>
      <c r="B3120" t="s">
        <v>406</v>
      </c>
      <c r="C3120" t="s">
        <v>562</v>
      </c>
      <c r="D3120" t="s">
        <v>565</v>
      </c>
      <c r="E3120" t="s">
        <v>566</v>
      </c>
      <c r="F3120" t="s">
        <v>413</v>
      </c>
      <c r="G3120">
        <v>4205</v>
      </c>
      <c r="H3120">
        <v>4205</v>
      </c>
      <c r="I3120">
        <v>3819</v>
      </c>
      <c r="J3120">
        <v>3819</v>
      </c>
      <c r="K3120">
        <v>1031</v>
      </c>
      <c r="L3120">
        <v>6</v>
      </c>
      <c r="M3120">
        <v>3037</v>
      </c>
      <c r="N3120">
        <v>131</v>
      </c>
      <c r="O3120">
        <v>0</v>
      </c>
      <c r="P3120">
        <v>47</v>
      </c>
      <c r="Q3120">
        <v>8</v>
      </c>
    </row>
    <row r="3121" spans="1:17" x14ac:dyDescent="0.2">
      <c r="A3121" s="121">
        <v>40298</v>
      </c>
      <c r="B3121" t="s">
        <v>406</v>
      </c>
      <c r="C3121" t="s">
        <v>562</v>
      </c>
      <c r="D3121" t="s">
        <v>567</v>
      </c>
      <c r="E3121" t="s">
        <v>568</v>
      </c>
      <c r="F3121" t="s">
        <v>413</v>
      </c>
      <c r="G3121">
        <v>9208</v>
      </c>
      <c r="H3121">
        <v>9208</v>
      </c>
      <c r="I3121">
        <v>8688</v>
      </c>
      <c r="J3121">
        <v>8688</v>
      </c>
      <c r="K3121">
        <v>2599</v>
      </c>
      <c r="L3121">
        <v>22</v>
      </c>
      <c r="M3121">
        <v>6065</v>
      </c>
      <c r="N3121">
        <v>522</v>
      </c>
      <c r="O3121">
        <v>0</v>
      </c>
      <c r="P3121">
        <v>27</v>
      </c>
      <c r="Q3121">
        <v>1</v>
      </c>
    </row>
    <row r="3122" spans="1:17" x14ac:dyDescent="0.2">
      <c r="A3122" s="121">
        <v>40298</v>
      </c>
      <c r="B3122" t="s">
        <v>406</v>
      </c>
      <c r="C3122" t="s">
        <v>562</v>
      </c>
      <c r="D3122" t="s">
        <v>569</v>
      </c>
      <c r="E3122" t="s">
        <v>570</v>
      </c>
      <c r="F3122" t="s">
        <v>413</v>
      </c>
      <c r="G3122">
        <v>3125</v>
      </c>
      <c r="H3122">
        <v>3125</v>
      </c>
      <c r="I3122">
        <v>3110</v>
      </c>
      <c r="J3122">
        <v>3110</v>
      </c>
      <c r="K3122">
        <v>458</v>
      </c>
      <c r="L3122">
        <v>0</v>
      </c>
      <c r="M3122">
        <v>2667</v>
      </c>
      <c r="N3122">
        <v>0</v>
      </c>
      <c r="O3122">
        <v>0</v>
      </c>
      <c r="P3122">
        <v>0</v>
      </c>
      <c r="Q3122">
        <v>0</v>
      </c>
    </row>
    <row r="3123" spans="1:17" x14ac:dyDescent="0.2">
      <c r="A3123" s="121">
        <v>40298</v>
      </c>
      <c r="B3123" t="s">
        <v>406</v>
      </c>
      <c r="C3123" t="s">
        <v>571</v>
      </c>
      <c r="D3123" t="s">
        <v>572</v>
      </c>
      <c r="E3123" t="s">
        <v>573</v>
      </c>
      <c r="F3123" t="s">
        <v>410</v>
      </c>
      <c r="G3123">
        <v>223</v>
      </c>
      <c r="I3123">
        <v>223</v>
      </c>
    </row>
    <row r="3124" spans="1:17" x14ac:dyDescent="0.2">
      <c r="A3124" s="121">
        <v>40298</v>
      </c>
      <c r="B3124" t="s">
        <v>406</v>
      </c>
      <c r="C3124" t="s">
        <v>574</v>
      </c>
      <c r="D3124" t="s">
        <v>575</v>
      </c>
      <c r="E3124" t="s">
        <v>576</v>
      </c>
      <c r="F3124" t="s">
        <v>413</v>
      </c>
      <c r="G3124">
        <v>642</v>
      </c>
      <c r="H3124">
        <v>642</v>
      </c>
      <c r="I3124">
        <v>641</v>
      </c>
      <c r="J3124">
        <v>641</v>
      </c>
      <c r="K3124">
        <v>118</v>
      </c>
      <c r="L3124">
        <v>1</v>
      </c>
      <c r="M3124">
        <v>506</v>
      </c>
      <c r="N3124">
        <v>0</v>
      </c>
      <c r="O3124">
        <v>17</v>
      </c>
      <c r="P3124">
        <v>0</v>
      </c>
      <c r="Q3124">
        <v>0</v>
      </c>
    </row>
    <row r="3125" spans="1:17" x14ac:dyDescent="0.2">
      <c r="A3125" s="121">
        <v>40298</v>
      </c>
      <c r="B3125" t="s">
        <v>406</v>
      </c>
      <c r="C3125" t="s">
        <v>577</v>
      </c>
      <c r="D3125" t="s">
        <v>578</v>
      </c>
      <c r="E3125" t="s">
        <v>579</v>
      </c>
      <c r="F3125" t="s">
        <v>413</v>
      </c>
      <c r="G3125">
        <v>4047</v>
      </c>
      <c r="H3125">
        <v>4047</v>
      </c>
      <c r="I3125">
        <v>4008</v>
      </c>
      <c r="J3125">
        <v>4008</v>
      </c>
      <c r="K3125">
        <v>889</v>
      </c>
      <c r="L3125">
        <v>16</v>
      </c>
      <c r="M3125">
        <v>3091</v>
      </c>
      <c r="N3125">
        <v>51</v>
      </c>
      <c r="O3125">
        <v>0</v>
      </c>
      <c r="P3125">
        <v>0</v>
      </c>
      <c r="Q3125">
        <v>0</v>
      </c>
    </row>
    <row r="3126" spans="1:17" x14ac:dyDescent="0.2">
      <c r="A3126" s="121">
        <v>40298</v>
      </c>
      <c r="B3126" t="s">
        <v>406</v>
      </c>
      <c r="C3126" t="s">
        <v>577</v>
      </c>
      <c r="D3126" t="s">
        <v>580</v>
      </c>
      <c r="E3126" t="s">
        <v>581</v>
      </c>
      <c r="F3126" t="s">
        <v>413</v>
      </c>
      <c r="G3126">
        <v>2071</v>
      </c>
      <c r="H3126">
        <v>2071</v>
      </c>
      <c r="I3126">
        <v>2065</v>
      </c>
      <c r="J3126">
        <v>2065</v>
      </c>
      <c r="K3126">
        <v>343</v>
      </c>
      <c r="L3126">
        <v>3</v>
      </c>
      <c r="M3126">
        <v>1459</v>
      </c>
      <c r="N3126">
        <v>252</v>
      </c>
      <c r="O3126">
        <v>14</v>
      </c>
      <c r="P3126">
        <v>0</v>
      </c>
      <c r="Q3126">
        <v>0</v>
      </c>
    </row>
    <row r="3127" spans="1:17" x14ac:dyDescent="0.2">
      <c r="A3127" s="121">
        <v>40298</v>
      </c>
      <c r="B3127" t="s">
        <v>406</v>
      </c>
      <c r="C3127" t="s">
        <v>577</v>
      </c>
      <c r="D3127" t="s">
        <v>609</v>
      </c>
      <c r="E3127" t="s">
        <v>610</v>
      </c>
      <c r="F3127" t="s">
        <v>410</v>
      </c>
      <c r="G3127">
        <v>32</v>
      </c>
      <c r="H3127">
        <v>32</v>
      </c>
      <c r="I3127">
        <v>32</v>
      </c>
      <c r="J3127">
        <v>32</v>
      </c>
      <c r="K3127">
        <v>2</v>
      </c>
      <c r="L3127">
        <v>0</v>
      </c>
      <c r="M3127">
        <v>25</v>
      </c>
      <c r="N3127">
        <v>0</v>
      </c>
      <c r="O3127">
        <v>5</v>
      </c>
      <c r="P3127">
        <v>0</v>
      </c>
      <c r="Q3127">
        <v>0</v>
      </c>
    </row>
    <row r="3128" spans="1:17" x14ac:dyDescent="0.2">
      <c r="A3128" s="121">
        <v>40298</v>
      </c>
      <c r="B3128" t="s">
        <v>406</v>
      </c>
      <c r="C3128" t="s">
        <v>577</v>
      </c>
      <c r="D3128" t="s">
        <v>611</v>
      </c>
      <c r="E3128" t="s">
        <v>612</v>
      </c>
      <c r="F3128" t="s">
        <v>410</v>
      </c>
      <c r="G3128">
        <v>8</v>
      </c>
      <c r="H3128">
        <v>8</v>
      </c>
      <c r="I3128">
        <v>8</v>
      </c>
      <c r="J3128">
        <v>8</v>
      </c>
      <c r="K3128">
        <v>0</v>
      </c>
      <c r="L3128">
        <v>0</v>
      </c>
      <c r="M3128">
        <v>5</v>
      </c>
      <c r="N3128">
        <v>0</v>
      </c>
      <c r="O3128">
        <v>3</v>
      </c>
      <c r="P3128">
        <v>0</v>
      </c>
      <c r="Q3128">
        <v>0</v>
      </c>
    </row>
    <row r="3129" spans="1:17" x14ac:dyDescent="0.2">
      <c r="A3129" s="121">
        <v>40298</v>
      </c>
      <c r="B3129" t="s">
        <v>406</v>
      </c>
      <c r="C3129" t="s">
        <v>577</v>
      </c>
      <c r="D3129" t="s">
        <v>584</v>
      </c>
      <c r="E3129" t="s">
        <v>585</v>
      </c>
      <c r="F3129" t="s">
        <v>410</v>
      </c>
      <c r="G3129">
        <v>251</v>
      </c>
      <c r="H3129">
        <v>251</v>
      </c>
      <c r="I3129">
        <v>251</v>
      </c>
      <c r="J3129">
        <v>251</v>
      </c>
      <c r="K3129">
        <v>18</v>
      </c>
      <c r="L3129">
        <v>0</v>
      </c>
      <c r="M3129">
        <v>210</v>
      </c>
      <c r="N3129">
        <v>0</v>
      </c>
      <c r="O3129">
        <v>23</v>
      </c>
      <c r="P3129">
        <v>0</v>
      </c>
      <c r="Q3129">
        <v>0</v>
      </c>
    </row>
    <row r="3130" spans="1:17" x14ac:dyDescent="0.2">
      <c r="A3130" s="121">
        <v>40298</v>
      </c>
      <c r="B3130" t="s">
        <v>406</v>
      </c>
      <c r="C3130" t="s">
        <v>577</v>
      </c>
      <c r="D3130" t="s">
        <v>586</v>
      </c>
      <c r="E3130" t="s">
        <v>587</v>
      </c>
      <c r="F3130" t="s">
        <v>410</v>
      </c>
      <c r="G3130">
        <v>1331</v>
      </c>
      <c r="H3130">
        <v>1331</v>
      </c>
      <c r="I3130">
        <v>1330</v>
      </c>
      <c r="J3130">
        <v>1330</v>
      </c>
      <c r="K3130">
        <v>25</v>
      </c>
      <c r="L3130">
        <v>0</v>
      </c>
      <c r="M3130">
        <v>967</v>
      </c>
      <c r="N3130">
        <v>0</v>
      </c>
      <c r="O3130">
        <v>339</v>
      </c>
      <c r="P3130">
        <v>0</v>
      </c>
      <c r="Q3130">
        <v>0</v>
      </c>
    </row>
    <row r="3131" spans="1:17" x14ac:dyDescent="0.2">
      <c r="A3131" s="121">
        <v>40298</v>
      </c>
      <c r="B3131" t="s">
        <v>406</v>
      </c>
      <c r="C3131" t="s">
        <v>577</v>
      </c>
      <c r="D3131" t="s">
        <v>588</v>
      </c>
      <c r="E3131" t="s">
        <v>589</v>
      </c>
      <c r="F3131" t="s">
        <v>410</v>
      </c>
      <c r="G3131">
        <v>291</v>
      </c>
      <c r="H3131">
        <v>291</v>
      </c>
      <c r="I3131">
        <v>291</v>
      </c>
      <c r="J3131">
        <v>291</v>
      </c>
      <c r="K3131">
        <v>6</v>
      </c>
      <c r="L3131">
        <v>0</v>
      </c>
      <c r="M3131">
        <v>221</v>
      </c>
      <c r="N3131">
        <v>0</v>
      </c>
      <c r="O3131">
        <v>64</v>
      </c>
      <c r="P3131">
        <v>0</v>
      </c>
      <c r="Q3131">
        <v>0</v>
      </c>
    </row>
    <row r="3132" spans="1:17" x14ac:dyDescent="0.2">
      <c r="A3132" s="121">
        <v>40298</v>
      </c>
      <c r="B3132" t="s">
        <v>406</v>
      </c>
      <c r="C3132" t="s">
        <v>577</v>
      </c>
      <c r="D3132" t="s">
        <v>613</v>
      </c>
      <c r="E3132" t="s">
        <v>614</v>
      </c>
      <c r="F3132" t="s">
        <v>410</v>
      </c>
      <c r="G3132">
        <v>201</v>
      </c>
      <c r="H3132">
        <v>201</v>
      </c>
      <c r="I3132">
        <v>201</v>
      </c>
      <c r="J3132">
        <v>201</v>
      </c>
      <c r="K3132">
        <v>11</v>
      </c>
      <c r="L3132">
        <v>0</v>
      </c>
      <c r="M3132">
        <v>135</v>
      </c>
      <c r="N3132">
        <v>0</v>
      </c>
      <c r="O3132">
        <v>55</v>
      </c>
      <c r="P3132">
        <v>0</v>
      </c>
      <c r="Q3132">
        <v>0</v>
      </c>
    </row>
    <row r="3133" spans="1:17" x14ac:dyDescent="0.2">
      <c r="A3133" s="121">
        <v>40298</v>
      </c>
      <c r="B3133" t="s">
        <v>406</v>
      </c>
      <c r="C3133" t="s">
        <v>577</v>
      </c>
      <c r="D3133" t="s">
        <v>590</v>
      </c>
      <c r="E3133" t="s">
        <v>591</v>
      </c>
      <c r="F3133" t="s">
        <v>410</v>
      </c>
      <c r="G3133">
        <v>633</v>
      </c>
      <c r="H3133">
        <v>633</v>
      </c>
      <c r="I3133">
        <v>632</v>
      </c>
      <c r="J3133">
        <v>632</v>
      </c>
      <c r="K3133">
        <v>17</v>
      </c>
      <c r="L3133">
        <v>0</v>
      </c>
      <c r="M3133">
        <v>550</v>
      </c>
      <c r="N3133">
        <v>0</v>
      </c>
      <c r="O3133">
        <v>66</v>
      </c>
      <c r="P3133">
        <v>0</v>
      </c>
      <c r="Q3133">
        <v>0</v>
      </c>
    </row>
    <row r="3134" spans="1:17" x14ac:dyDescent="0.2">
      <c r="A3134" s="121">
        <v>40298</v>
      </c>
      <c r="B3134" t="s">
        <v>406</v>
      </c>
      <c r="C3134" t="s">
        <v>577</v>
      </c>
      <c r="D3134" t="s">
        <v>607</v>
      </c>
      <c r="E3134" t="s">
        <v>608</v>
      </c>
      <c r="F3134" t="s">
        <v>410</v>
      </c>
      <c r="G3134">
        <v>110</v>
      </c>
      <c r="H3134">
        <v>110</v>
      </c>
      <c r="I3134">
        <v>110</v>
      </c>
      <c r="J3134">
        <v>110</v>
      </c>
      <c r="K3134">
        <v>10</v>
      </c>
      <c r="L3134">
        <v>0</v>
      </c>
      <c r="M3134">
        <v>93</v>
      </c>
      <c r="N3134">
        <v>0</v>
      </c>
      <c r="O3134">
        <v>7</v>
      </c>
      <c r="P3134">
        <v>0</v>
      </c>
      <c r="Q3134">
        <v>0</v>
      </c>
    </row>
    <row r="3135" spans="1:17" x14ac:dyDescent="0.2">
      <c r="A3135" s="121">
        <v>40298</v>
      </c>
      <c r="B3135" t="s">
        <v>406</v>
      </c>
      <c r="C3135" t="s">
        <v>577</v>
      </c>
      <c r="D3135" t="s">
        <v>592</v>
      </c>
      <c r="E3135" t="s">
        <v>593</v>
      </c>
      <c r="F3135" t="s">
        <v>410</v>
      </c>
      <c r="G3135">
        <v>643</v>
      </c>
      <c r="H3135">
        <v>643</v>
      </c>
      <c r="I3135">
        <v>643</v>
      </c>
      <c r="J3135">
        <v>643</v>
      </c>
      <c r="K3135">
        <v>0</v>
      </c>
      <c r="L3135">
        <v>0</v>
      </c>
      <c r="M3135">
        <v>0</v>
      </c>
      <c r="N3135">
        <v>0</v>
      </c>
      <c r="O3135">
        <v>643</v>
      </c>
      <c r="P3135">
        <v>0</v>
      </c>
      <c r="Q3135">
        <v>0</v>
      </c>
    </row>
    <row r="3136" spans="1:17" x14ac:dyDescent="0.2">
      <c r="A3136" s="121">
        <v>40298</v>
      </c>
      <c r="B3136" t="s">
        <v>406</v>
      </c>
      <c r="C3136" t="s">
        <v>594</v>
      </c>
      <c r="D3136" t="s">
        <v>595</v>
      </c>
      <c r="E3136" t="s">
        <v>596</v>
      </c>
      <c r="F3136" t="s">
        <v>410</v>
      </c>
      <c r="G3136">
        <v>28</v>
      </c>
      <c r="I3136">
        <v>27</v>
      </c>
    </row>
    <row r="3137" spans="1:17" x14ac:dyDescent="0.2">
      <c r="A3137" s="121">
        <v>40298</v>
      </c>
      <c r="B3137" t="s">
        <v>406</v>
      </c>
      <c r="C3137" t="s">
        <v>594</v>
      </c>
      <c r="D3137" t="s">
        <v>597</v>
      </c>
      <c r="E3137" t="s">
        <v>598</v>
      </c>
      <c r="F3137" t="s">
        <v>413</v>
      </c>
      <c r="G3137">
        <v>519</v>
      </c>
      <c r="H3137">
        <v>519</v>
      </c>
      <c r="I3137">
        <v>517</v>
      </c>
      <c r="J3137">
        <v>517</v>
      </c>
      <c r="K3137">
        <v>132</v>
      </c>
      <c r="L3137">
        <v>0</v>
      </c>
      <c r="M3137">
        <v>380</v>
      </c>
      <c r="N3137">
        <v>0</v>
      </c>
      <c r="O3137">
        <v>7</v>
      </c>
      <c r="P3137">
        <v>0</v>
      </c>
      <c r="Q3137">
        <v>0</v>
      </c>
    </row>
    <row r="3138" spans="1:17" x14ac:dyDescent="0.2">
      <c r="A3138" s="121">
        <v>40298</v>
      </c>
      <c r="B3138" t="s">
        <v>406</v>
      </c>
      <c r="C3138" t="s">
        <v>594</v>
      </c>
      <c r="D3138" t="s">
        <v>599</v>
      </c>
      <c r="E3138" t="s">
        <v>600</v>
      </c>
      <c r="F3138" t="s">
        <v>410</v>
      </c>
      <c r="G3138">
        <v>103</v>
      </c>
      <c r="I3138">
        <v>103</v>
      </c>
    </row>
    <row r="3139" spans="1:17" x14ac:dyDescent="0.2">
      <c r="A3139" s="121">
        <v>40329</v>
      </c>
      <c r="B3139" t="s">
        <v>406</v>
      </c>
      <c r="C3139" t="s">
        <v>407</v>
      </c>
      <c r="D3139" t="s">
        <v>408</v>
      </c>
      <c r="E3139" t="s">
        <v>409</v>
      </c>
      <c r="F3139" t="s">
        <v>410</v>
      </c>
      <c r="G3139">
        <v>246</v>
      </c>
      <c r="I3139">
        <v>246</v>
      </c>
    </row>
    <row r="3140" spans="1:17" x14ac:dyDescent="0.2">
      <c r="A3140" s="121">
        <v>40329</v>
      </c>
      <c r="B3140" t="s">
        <v>406</v>
      </c>
      <c r="C3140" t="s">
        <v>407</v>
      </c>
      <c r="D3140" t="s">
        <v>601</v>
      </c>
      <c r="E3140" t="s">
        <v>602</v>
      </c>
      <c r="F3140" t="s">
        <v>410</v>
      </c>
      <c r="G3140">
        <v>63</v>
      </c>
      <c r="I3140">
        <v>63</v>
      </c>
    </row>
    <row r="3141" spans="1:17" x14ac:dyDescent="0.2">
      <c r="A3141" s="121">
        <v>40329</v>
      </c>
      <c r="B3141" t="s">
        <v>406</v>
      </c>
      <c r="C3141" t="s">
        <v>407</v>
      </c>
      <c r="D3141" t="s">
        <v>411</v>
      </c>
      <c r="E3141" t="s">
        <v>412</v>
      </c>
      <c r="F3141" t="s">
        <v>413</v>
      </c>
      <c r="G3141">
        <v>6145</v>
      </c>
      <c r="H3141">
        <v>6145</v>
      </c>
      <c r="I3141">
        <v>6009</v>
      </c>
      <c r="J3141">
        <v>6009</v>
      </c>
      <c r="K3141">
        <v>2130</v>
      </c>
      <c r="L3141">
        <v>6</v>
      </c>
      <c r="M3141">
        <v>3649</v>
      </c>
      <c r="N3141">
        <v>43</v>
      </c>
      <c r="O3141">
        <v>317</v>
      </c>
      <c r="P3141">
        <v>0</v>
      </c>
      <c r="Q3141">
        <v>0</v>
      </c>
    </row>
    <row r="3142" spans="1:17" x14ac:dyDescent="0.2">
      <c r="A3142" s="121">
        <v>40329</v>
      </c>
      <c r="B3142" t="s">
        <v>406</v>
      </c>
      <c r="C3142" t="s">
        <v>407</v>
      </c>
      <c r="D3142" t="s">
        <v>416</v>
      </c>
      <c r="E3142" t="s">
        <v>417</v>
      </c>
      <c r="F3142" t="s">
        <v>413</v>
      </c>
      <c r="G3142">
        <v>4005</v>
      </c>
      <c r="H3142">
        <v>4005</v>
      </c>
      <c r="I3142">
        <v>3935</v>
      </c>
      <c r="J3142">
        <v>3935</v>
      </c>
      <c r="K3142">
        <v>1347</v>
      </c>
      <c r="L3142">
        <v>11</v>
      </c>
      <c r="M3142">
        <v>2454</v>
      </c>
      <c r="N3142">
        <v>92</v>
      </c>
      <c r="O3142">
        <v>101</v>
      </c>
      <c r="P3142">
        <v>3</v>
      </c>
      <c r="Q3142">
        <v>0</v>
      </c>
    </row>
    <row r="3143" spans="1:17" x14ac:dyDescent="0.2">
      <c r="A3143" s="121">
        <v>40329</v>
      </c>
      <c r="B3143" t="s">
        <v>406</v>
      </c>
      <c r="C3143" t="s">
        <v>407</v>
      </c>
      <c r="D3143" t="s">
        <v>618</v>
      </c>
      <c r="E3143" t="s">
        <v>619</v>
      </c>
      <c r="F3143" t="s">
        <v>410</v>
      </c>
      <c r="G3143">
        <v>99</v>
      </c>
      <c r="I3143">
        <v>99</v>
      </c>
    </row>
    <row r="3144" spans="1:17" x14ac:dyDescent="0.2">
      <c r="A3144" s="121">
        <v>40329</v>
      </c>
      <c r="B3144" t="s">
        <v>406</v>
      </c>
      <c r="C3144" t="s">
        <v>418</v>
      </c>
      <c r="D3144" t="s">
        <v>419</v>
      </c>
      <c r="E3144" t="s">
        <v>420</v>
      </c>
      <c r="F3144" t="s">
        <v>410</v>
      </c>
      <c r="G3144">
        <v>16</v>
      </c>
      <c r="I3144">
        <v>16</v>
      </c>
    </row>
    <row r="3145" spans="1:17" x14ac:dyDescent="0.2">
      <c r="A3145" s="121">
        <v>40329</v>
      </c>
      <c r="B3145" t="s">
        <v>406</v>
      </c>
      <c r="C3145" t="s">
        <v>418</v>
      </c>
      <c r="D3145" t="s">
        <v>421</v>
      </c>
      <c r="E3145" t="s">
        <v>422</v>
      </c>
      <c r="F3145" t="s">
        <v>410</v>
      </c>
      <c r="G3145">
        <v>92</v>
      </c>
      <c r="I3145">
        <v>92</v>
      </c>
    </row>
    <row r="3146" spans="1:17" x14ac:dyDescent="0.2">
      <c r="A3146" s="121">
        <v>40329</v>
      </c>
      <c r="B3146" t="s">
        <v>406</v>
      </c>
      <c r="C3146" t="s">
        <v>418</v>
      </c>
      <c r="D3146" t="s">
        <v>423</v>
      </c>
      <c r="E3146" t="s">
        <v>424</v>
      </c>
      <c r="F3146" t="s">
        <v>410</v>
      </c>
      <c r="G3146">
        <v>38</v>
      </c>
      <c r="I3146">
        <v>38</v>
      </c>
    </row>
    <row r="3147" spans="1:17" x14ac:dyDescent="0.2">
      <c r="A3147" s="121">
        <v>40329</v>
      </c>
      <c r="B3147" t="s">
        <v>406</v>
      </c>
      <c r="C3147" t="s">
        <v>418</v>
      </c>
      <c r="D3147" t="s">
        <v>425</v>
      </c>
      <c r="E3147" t="s">
        <v>426</v>
      </c>
      <c r="F3147" t="s">
        <v>410</v>
      </c>
      <c r="G3147">
        <v>69</v>
      </c>
      <c r="I3147">
        <v>69</v>
      </c>
    </row>
    <row r="3148" spans="1:17" x14ac:dyDescent="0.2">
      <c r="A3148" s="121">
        <v>40329</v>
      </c>
      <c r="B3148" t="s">
        <v>406</v>
      </c>
      <c r="C3148" t="s">
        <v>418</v>
      </c>
      <c r="D3148" t="s">
        <v>427</v>
      </c>
      <c r="E3148" t="s">
        <v>428</v>
      </c>
      <c r="F3148" t="s">
        <v>413</v>
      </c>
      <c r="G3148">
        <v>2100</v>
      </c>
      <c r="H3148">
        <v>2100</v>
      </c>
      <c r="I3148">
        <v>2066</v>
      </c>
      <c r="J3148">
        <v>2066</v>
      </c>
      <c r="K3148">
        <v>645</v>
      </c>
      <c r="L3148">
        <v>2</v>
      </c>
      <c r="M3148">
        <v>1215</v>
      </c>
      <c r="N3148">
        <v>23</v>
      </c>
      <c r="O3148">
        <v>215</v>
      </c>
      <c r="P3148">
        <v>0</v>
      </c>
      <c r="Q3148">
        <v>0</v>
      </c>
    </row>
    <row r="3149" spans="1:17" x14ac:dyDescent="0.2">
      <c r="A3149" s="121">
        <v>40329</v>
      </c>
      <c r="B3149" t="s">
        <v>406</v>
      </c>
      <c r="C3149" t="s">
        <v>429</v>
      </c>
      <c r="D3149" t="s">
        <v>430</v>
      </c>
      <c r="E3149" t="s">
        <v>431</v>
      </c>
      <c r="F3149" t="s">
        <v>410</v>
      </c>
      <c r="G3149">
        <v>55</v>
      </c>
      <c r="I3149">
        <v>55</v>
      </c>
    </row>
    <row r="3150" spans="1:17" x14ac:dyDescent="0.2">
      <c r="A3150" s="121">
        <v>40329</v>
      </c>
      <c r="B3150" t="s">
        <v>406</v>
      </c>
      <c r="C3150" t="s">
        <v>429</v>
      </c>
      <c r="D3150" t="s">
        <v>432</v>
      </c>
      <c r="E3150" t="s">
        <v>433</v>
      </c>
      <c r="F3150" t="s">
        <v>410</v>
      </c>
      <c r="G3150">
        <v>79</v>
      </c>
      <c r="I3150">
        <v>79</v>
      </c>
    </row>
    <row r="3151" spans="1:17" x14ac:dyDescent="0.2">
      <c r="A3151" s="121">
        <v>40329</v>
      </c>
      <c r="B3151" t="s">
        <v>406</v>
      </c>
      <c r="C3151" t="s">
        <v>429</v>
      </c>
      <c r="D3151" t="s">
        <v>434</v>
      </c>
      <c r="E3151" t="s">
        <v>435</v>
      </c>
      <c r="F3151" t="s">
        <v>410</v>
      </c>
      <c r="G3151">
        <v>29</v>
      </c>
      <c r="I3151">
        <v>29</v>
      </c>
    </row>
    <row r="3152" spans="1:17" x14ac:dyDescent="0.2">
      <c r="A3152" s="121">
        <v>40329</v>
      </c>
      <c r="B3152" t="s">
        <v>406</v>
      </c>
      <c r="C3152" t="s">
        <v>429</v>
      </c>
      <c r="D3152" t="s">
        <v>436</v>
      </c>
      <c r="E3152" t="s">
        <v>437</v>
      </c>
      <c r="F3152" t="s">
        <v>410</v>
      </c>
      <c r="G3152">
        <v>39</v>
      </c>
      <c r="I3152">
        <v>39</v>
      </c>
    </row>
    <row r="3153" spans="1:17" x14ac:dyDescent="0.2">
      <c r="A3153" s="121">
        <v>40329</v>
      </c>
      <c r="B3153" t="s">
        <v>406</v>
      </c>
      <c r="C3153" t="s">
        <v>429</v>
      </c>
      <c r="D3153" t="s">
        <v>438</v>
      </c>
      <c r="E3153" t="s">
        <v>439</v>
      </c>
      <c r="F3153" t="s">
        <v>413</v>
      </c>
      <c r="G3153">
        <v>1047</v>
      </c>
      <c r="H3153">
        <v>1047</v>
      </c>
      <c r="I3153">
        <v>1015</v>
      </c>
      <c r="J3153">
        <v>1015</v>
      </c>
      <c r="K3153">
        <v>96</v>
      </c>
      <c r="L3153">
        <v>0</v>
      </c>
      <c r="M3153">
        <v>943</v>
      </c>
      <c r="N3153">
        <v>8</v>
      </c>
      <c r="O3153">
        <v>0</v>
      </c>
      <c r="P3153">
        <v>1</v>
      </c>
      <c r="Q3153">
        <v>0</v>
      </c>
    </row>
    <row r="3154" spans="1:17" x14ac:dyDescent="0.2">
      <c r="A3154" s="121">
        <v>40329</v>
      </c>
      <c r="B3154" t="s">
        <v>406</v>
      </c>
      <c r="C3154" t="s">
        <v>429</v>
      </c>
      <c r="D3154" t="s">
        <v>440</v>
      </c>
      <c r="E3154" t="s">
        <v>441</v>
      </c>
      <c r="F3154" t="s">
        <v>413</v>
      </c>
      <c r="G3154">
        <v>3360</v>
      </c>
      <c r="H3154">
        <v>3360</v>
      </c>
      <c r="I3154">
        <v>3144</v>
      </c>
      <c r="J3154">
        <v>3144</v>
      </c>
      <c r="K3154">
        <v>1041</v>
      </c>
      <c r="L3154">
        <v>6</v>
      </c>
      <c r="M3154">
        <v>2244</v>
      </c>
      <c r="N3154">
        <v>30</v>
      </c>
      <c r="O3154">
        <v>39</v>
      </c>
      <c r="P3154">
        <v>4</v>
      </c>
      <c r="Q3154">
        <v>0</v>
      </c>
    </row>
    <row r="3155" spans="1:17" x14ac:dyDescent="0.2">
      <c r="A3155" s="121">
        <v>40329</v>
      </c>
      <c r="B3155" t="s">
        <v>406</v>
      </c>
      <c r="C3155" t="s">
        <v>442</v>
      </c>
      <c r="D3155" t="s">
        <v>443</v>
      </c>
      <c r="E3155" t="s">
        <v>444</v>
      </c>
      <c r="F3155" t="s">
        <v>413</v>
      </c>
      <c r="G3155">
        <v>3635</v>
      </c>
      <c r="H3155">
        <v>3635</v>
      </c>
      <c r="I3155">
        <v>3498</v>
      </c>
      <c r="J3155">
        <v>3498</v>
      </c>
      <c r="K3155">
        <v>512</v>
      </c>
      <c r="L3155">
        <v>8</v>
      </c>
      <c r="M3155">
        <v>3007</v>
      </c>
      <c r="N3155">
        <v>36</v>
      </c>
      <c r="O3155">
        <v>72</v>
      </c>
      <c r="P3155">
        <v>8</v>
      </c>
      <c r="Q3155">
        <v>2</v>
      </c>
    </row>
    <row r="3156" spans="1:17" x14ac:dyDescent="0.2">
      <c r="A3156" s="121">
        <v>40329</v>
      </c>
      <c r="B3156" t="s">
        <v>406</v>
      </c>
      <c r="C3156" t="s">
        <v>442</v>
      </c>
      <c r="D3156" t="s">
        <v>445</v>
      </c>
      <c r="E3156" t="s">
        <v>446</v>
      </c>
      <c r="F3156" t="s">
        <v>410</v>
      </c>
      <c r="G3156">
        <v>124</v>
      </c>
      <c r="I3156">
        <v>124</v>
      </c>
    </row>
    <row r="3157" spans="1:17" x14ac:dyDescent="0.2">
      <c r="A3157" s="121">
        <v>40329</v>
      </c>
      <c r="B3157" t="s">
        <v>406</v>
      </c>
      <c r="C3157" t="s">
        <v>442</v>
      </c>
      <c r="D3157" t="s">
        <v>447</v>
      </c>
      <c r="E3157" t="s">
        <v>448</v>
      </c>
      <c r="F3157" t="s">
        <v>410</v>
      </c>
      <c r="G3157">
        <v>431</v>
      </c>
      <c r="I3157">
        <v>430</v>
      </c>
    </row>
    <row r="3158" spans="1:17" x14ac:dyDescent="0.2">
      <c r="A3158" s="121">
        <v>40329</v>
      </c>
      <c r="B3158" t="s">
        <v>406</v>
      </c>
      <c r="C3158" t="s">
        <v>442</v>
      </c>
      <c r="D3158" t="s">
        <v>449</v>
      </c>
      <c r="E3158" t="s">
        <v>450</v>
      </c>
      <c r="F3158" t="s">
        <v>413</v>
      </c>
      <c r="G3158">
        <v>3986</v>
      </c>
      <c r="H3158">
        <v>3986</v>
      </c>
      <c r="I3158">
        <v>3750</v>
      </c>
      <c r="J3158">
        <v>3750</v>
      </c>
      <c r="K3158">
        <v>889</v>
      </c>
      <c r="L3158">
        <v>8</v>
      </c>
      <c r="M3158">
        <v>2991</v>
      </c>
      <c r="N3158">
        <v>36</v>
      </c>
      <c r="O3158">
        <v>62</v>
      </c>
      <c r="P3158">
        <v>21</v>
      </c>
      <c r="Q3158">
        <v>4</v>
      </c>
    </row>
    <row r="3159" spans="1:17" x14ac:dyDescent="0.2">
      <c r="A3159" s="121">
        <v>40329</v>
      </c>
      <c r="B3159" t="s">
        <v>406</v>
      </c>
      <c r="C3159" t="s">
        <v>451</v>
      </c>
      <c r="D3159" t="s">
        <v>452</v>
      </c>
      <c r="E3159" t="s">
        <v>453</v>
      </c>
      <c r="F3159" t="s">
        <v>410</v>
      </c>
      <c r="G3159">
        <v>2057</v>
      </c>
      <c r="H3159">
        <v>2057</v>
      </c>
      <c r="I3159">
        <v>2052</v>
      </c>
      <c r="J3159">
        <v>2052</v>
      </c>
      <c r="K3159">
        <v>0</v>
      </c>
      <c r="L3159">
        <v>0</v>
      </c>
      <c r="M3159">
        <v>1543</v>
      </c>
      <c r="N3159">
        <v>189</v>
      </c>
      <c r="O3159">
        <v>325</v>
      </c>
      <c r="P3159">
        <v>0</v>
      </c>
      <c r="Q3159">
        <v>0</v>
      </c>
    </row>
    <row r="3160" spans="1:17" x14ac:dyDescent="0.2">
      <c r="A3160" s="121">
        <v>40329</v>
      </c>
      <c r="B3160" t="s">
        <v>406</v>
      </c>
      <c r="C3160" t="s">
        <v>451</v>
      </c>
      <c r="D3160" t="s">
        <v>454</v>
      </c>
      <c r="E3160" t="s">
        <v>455</v>
      </c>
      <c r="F3160" t="s">
        <v>413</v>
      </c>
      <c r="G3160">
        <v>5110</v>
      </c>
      <c r="H3160">
        <v>5110</v>
      </c>
      <c r="I3160">
        <v>4745</v>
      </c>
      <c r="J3160">
        <v>4745</v>
      </c>
      <c r="K3160">
        <v>1352</v>
      </c>
      <c r="L3160">
        <v>7</v>
      </c>
      <c r="M3160">
        <v>2860</v>
      </c>
      <c r="N3160">
        <v>46</v>
      </c>
      <c r="O3160">
        <v>845</v>
      </c>
      <c r="P3160">
        <v>14</v>
      </c>
      <c r="Q3160">
        <v>1</v>
      </c>
    </row>
    <row r="3161" spans="1:17" x14ac:dyDescent="0.2">
      <c r="A3161" s="121">
        <v>40329</v>
      </c>
      <c r="B3161" t="s">
        <v>406</v>
      </c>
      <c r="C3161" t="s">
        <v>456</v>
      </c>
      <c r="D3161" t="s">
        <v>457</v>
      </c>
      <c r="E3161" t="s">
        <v>458</v>
      </c>
      <c r="F3161" t="s">
        <v>413</v>
      </c>
      <c r="G3161">
        <v>5488</v>
      </c>
      <c r="H3161">
        <v>5488</v>
      </c>
      <c r="I3161">
        <v>5378</v>
      </c>
      <c r="J3161">
        <v>5378</v>
      </c>
      <c r="K3161">
        <v>1329</v>
      </c>
      <c r="L3161">
        <v>24</v>
      </c>
      <c r="M3161">
        <v>4014</v>
      </c>
      <c r="N3161">
        <v>61</v>
      </c>
      <c r="O3161">
        <v>60</v>
      </c>
      <c r="P3161">
        <v>3</v>
      </c>
      <c r="Q3161">
        <v>0</v>
      </c>
    </row>
    <row r="3162" spans="1:17" x14ac:dyDescent="0.2">
      <c r="A3162" s="121">
        <v>40329</v>
      </c>
      <c r="B3162" t="s">
        <v>406</v>
      </c>
      <c r="C3162" t="s">
        <v>456</v>
      </c>
      <c r="D3162" t="s">
        <v>459</v>
      </c>
      <c r="E3162" t="s">
        <v>460</v>
      </c>
      <c r="F3162" t="s">
        <v>413</v>
      </c>
      <c r="G3162">
        <v>1734</v>
      </c>
      <c r="H3162">
        <v>1734</v>
      </c>
      <c r="I3162">
        <v>1729</v>
      </c>
      <c r="J3162">
        <v>1729</v>
      </c>
      <c r="K3162">
        <v>398</v>
      </c>
      <c r="L3162">
        <v>0</v>
      </c>
      <c r="M3162">
        <v>1336</v>
      </c>
      <c r="N3162">
        <v>0</v>
      </c>
      <c r="O3162">
        <v>0</v>
      </c>
      <c r="P3162">
        <v>0</v>
      </c>
      <c r="Q3162">
        <v>0</v>
      </c>
    </row>
    <row r="3163" spans="1:17" x14ac:dyDescent="0.2">
      <c r="A3163" s="121">
        <v>40329</v>
      </c>
      <c r="B3163" t="s">
        <v>406</v>
      </c>
      <c r="C3163" t="s">
        <v>456</v>
      </c>
      <c r="D3163" t="s">
        <v>461</v>
      </c>
      <c r="E3163" t="s">
        <v>462</v>
      </c>
      <c r="F3163" t="s">
        <v>410</v>
      </c>
      <c r="G3163">
        <v>86</v>
      </c>
      <c r="I3163">
        <v>86</v>
      </c>
    </row>
    <row r="3164" spans="1:17" x14ac:dyDescent="0.2">
      <c r="A3164" s="121">
        <v>40329</v>
      </c>
      <c r="B3164" t="s">
        <v>406</v>
      </c>
      <c r="C3164" t="s">
        <v>456</v>
      </c>
      <c r="D3164" t="s">
        <v>463</v>
      </c>
      <c r="E3164" t="s">
        <v>464</v>
      </c>
      <c r="F3164" t="s">
        <v>410</v>
      </c>
      <c r="G3164">
        <v>54</v>
      </c>
      <c r="I3164">
        <v>54</v>
      </c>
    </row>
    <row r="3165" spans="1:17" x14ac:dyDescent="0.2">
      <c r="A3165" s="121">
        <v>40329</v>
      </c>
      <c r="B3165" t="s">
        <v>406</v>
      </c>
      <c r="C3165" t="s">
        <v>456</v>
      </c>
      <c r="D3165" t="s">
        <v>465</v>
      </c>
      <c r="E3165" t="s">
        <v>466</v>
      </c>
      <c r="F3165" t="s">
        <v>410</v>
      </c>
      <c r="G3165">
        <v>65</v>
      </c>
      <c r="I3165">
        <v>65</v>
      </c>
    </row>
    <row r="3166" spans="1:17" x14ac:dyDescent="0.2">
      <c r="A3166" s="121">
        <v>40329</v>
      </c>
      <c r="B3166" t="s">
        <v>406</v>
      </c>
      <c r="C3166" t="s">
        <v>456</v>
      </c>
      <c r="D3166" t="s">
        <v>467</v>
      </c>
      <c r="E3166" t="s">
        <v>468</v>
      </c>
      <c r="F3166" t="s">
        <v>410</v>
      </c>
      <c r="G3166">
        <v>1179</v>
      </c>
      <c r="I3166">
        <v>1179</v>
      </c>
    </row>
    <row r="3167" spans="1:17" x14ac:dyDescent="0.2">
      <c r="A3167" s="121">
        <v>40329</v>
      </c>
      <c r="B3167" t="s">
        <v>406</v>
      </c>
      <c r="C3167" t="s">
        <v>456</v>
      </c>
      <c r="D3167" t="s">
        <v>469</v>
      </c>
      <c r="E3167" t="s">
        <v>470</v>
      </c>
      <c r="F3167" t="s">
        <v>410</v>
      </c>
      <c r="G3167">
        <v>904</v>
      </c>
      <c r="I3167">
        <v>904</v>
      </c>
    </row>
    <row r="3168" spans="1:17" x14ac:dyDescent="0.2">
      <c r="A3168" s="121">
        <v>40329</v>
      </c>
      <c r="B3168" t="s">
        <v>406</v>
      </c>
      <c r="C3168" t="s">
        <v>456</v>
      </c>
      <c r="D3168" t="s">
        <v>471</v>
      </c>
      <c r="E3168" t="s">
        <v>472</v>
      </c>
      <c r="F3168" t="s">
        <v>410</v>
      </c>
      <c r="G3168">
        <v>283</v>
      </c>
      <c r="I3168">
        <v>283</v>
      </c>
    </row>
    <row r="3169" spans="1:17" x14ac:dyDescent="0.2">
      <c r="A3169" s="121">
        <v>40329</v>
      </c>
      <c r="B3169" t="s">
        <v>406</v>
      </c>
      <c r="C3169" t="s">
        <v>456</v>
      </c>
      <c r="D3169" t="s">
        <v>473</v>
      </c>
      <c r="E3169" t="s">
        <v>474</v>
      </c>
      <c r="F3169" t="s">
        <v>410</v>
      </c>
      <c r="G3169">
        <v>221</v>
      </c>
      <c r="I3169">
        <v>221</v>
      </c>
    </row>
    <row r="3170" spans="1:17" x14ac:dyDescent="0.2">
      <c r="A3170" s="121">
        <v>40329</v>
      </c>
      <c r="B3170" t="s">
        <v>406</v>
      </c>
      <c r="C3170" t="s">
        <v>456</v>
      </c>
      <c r="D3170" t="s">
        <v>475</v>
      </c>
      <c r="E3170" t="s">
        <v>476</v>
      </c>
      <c r="F3170" t="s">
        <v>410</v>
      </c>
      <c r="G3170">
        <v>330</v>
      </c>
      <c r="I3170">
        <v>330</v>
      </c>
    </row>
    <row r="3171" spans="1:17" x14ac:dyDescent="0.2">
      <c r="A3171" s="121">
        <v>40329</v>
      </c>
      <c r="B3171" t="s">
        <v>406</v>
      </c>
      <c r="C3171" t="s">
        <v>456</v>
      </c>
      <c r="D3171" t="s">
        <v>477</v>
      </c>
      <c r="E3171" t="s">
        <v>478</v>
      </c>
      <c r="F3171" t="s">
        <v>413</v>
      </c>
      <c r="G3171">
        <v>2019</v>
      </c>
      <c r="H3171">
        <v>2019</v>
      </c>
      <c r="I3171">
        <v>1995</v>
      </c>
      <c r="J3171">
        <v>1995</v>
      </c>
      <c r="K3171">
        <v>419</v>
      </c>
      <c r="L3171">
        <v>5</v>
      </c>
      <c r="M3171">
        <v>1550</v>
      </c>
      <c r="N3171">
        <v>25</v>
      </c>
      <c r="O3171">
        <v>20</v>
      </c>
      <c r="P3171">
        <v>0</v>
      </c>
      <c r="Q3171">
        <v>0</v>
      </c>
    </row>
    <row r="3172" spans="1:17" x14ac:dyDescent="0.2">
      <c r="A3172" s="121">
        <v>40329</v>
      </c>
      <c r="B3172" t="s">
        <v>406</v>
      </c>
      <c r="C3172" t="s">
        <v>456</v>
      </c>
      <c r="D3172" t="s">
        <v>479</v>
      </c>
      <c r="E3172" t="s">
        <v>480</v>
      </c>
      <c r="F3172" t="s">
        <v>410</v>
      </c>
      <c r="G3172">
        <v>102</v>
      </c>
      <c r="I3172">
        <v>102</v>
      </c>
    </row>
    <row r="3173" spans="1:17" x14ac:dyDescent="0.2">
      <c r="A3173" s="121">
        <v>40329</v>
      </c>
      <c r="B3173" t="s">
        <v>406</v>
      </c>
      <c r="C3173" t="s">
        <v>456</v>
      </c>
      <c r="D3173" t="s">
        <v>481</v>
      </c>
      <c r="E3173" t="s">
        <v>482</v>
      </c>
      <c r="F3173" t="s">
        <v>410</v>
      </c>
      <c r="G3173">
        <v>43</v>
      </c>
      <c r="I3173">
        <v>43</v>
      </c>
    </row>
    <row r="3174" spans="1:17" x14ac:dyDescent="0.2">
      <c r="A3174" s="121">
        <v>40329</v>
      </c>
      <c r="B3174" t="s">
        <v>406</v>
      </c>
      <c r="C3174" t="s">
        <v>456</v>
      </c>
      <c r="D3174" t="s">
        <v>483</v>
      </c>
      <c r="E3174" t="s">
        <v>484</v>
      </c>
      <c r="F3174" t="s">
        <v>410</v>
      </c>
      <c r="G3174">
        <v>84</v>
      </c>
      <c r="I3174">
        <v>84</v>
      </c>
    </row>
    <row r="3175" spans="1:17" x14ac:dyDescent="0.2">
      <c r="A3175" s="121">
        <v>40329</v>
      </c>
      <c r="B3175" t="s">
        <v>406</v>
      </c>
      <c r="C3175" t="s">
        <v>456</v>
      </c>
      <c r="D3175" t="s">
        <v>485</v>
      </c>
      <c r="E3175" t="s">
        <v>486</v>
      </c>
      <c r="F3175" t="s">
        <v>410</v>
      </c>
      <c r="G3175">
        <v>78</v>
      </c>
      <c r="I3175">
        <v>78</v>
      </c>
    </row>
    <row r="3176" spans="1:17" x14ac:dyDescent="0.2">
      <c r="A3176" s="121">
        <v>40329</v>
      </c>
      <c r="B3176" t="s">
        <v>406</v>
      </c>
      <c r="C3176" t="s">
        <v>456</v>
      </c>
      <c r="D3176" t="s">
        <v>487</v>
      </c>
      <c r="E3176" t="s">
        <v>488</v>
      </c>
      <c r="F3176" t="s">
        <v>410</v>
      </c>
      <c r="G3176">
        <v>29</v>
      </c>
      <c r="I3176">
        <v>29</v>
      </c>
    </row>
    <row r="3177" spans="1:17" x14ac:dyDescent="0.2">
      <c r="A3177" s="121">
        <v>40329</v>
      </c>
      <c r="B3177" t="s">
        <v>406</v>
      </c>
      <c r="C3177" t="s">
        <v>456</v>
      </c>
      <c r="D3177" t="s">
        <v>489</v>
      </c>
      <c r="E3177" t="s">
        <v>490</v>
      </c>
      <c r="F3177" t="s">
        <v>410</v>
      </c>
      <c r="G3177">
        <v>147</v>
      </c>
      <c r="H3177">
        <v>147</v>
      </c>
      <c r="I3177">
        <v>147</v>
      </c>
      <c r="J3177">
        <v>147</v>
      </c>
      <c r="K3177">
        <v>0</v>
      </c>
      <c r="L3177">
        <v>0</v>
      </c>
      <c r="M3177">
        <v>121</v>
      </c>
      <c r="N3177">
        <v>26</v>
      </c>
      <c r="O3177">
        <v>0</v>
      </c>
      <c r="P3177">
        <v>0</v>
      </c>
      <c r="Q3177">
        <v>0</v>
      </c>
    </row>
    <row r="3178" spans="1:17" x14ac:dyDescent="0.2">
      <c r="A3178" s="121">
        <v>40329</v>
      </c>
      <c r="B3178" t="s">
        <v>406</v>
      </c>
      <c r="C3178" t="s">
        <v>491</v>
      </c>
      <c r="D3178" t="s">
        <v>492</v>
      </c>
      <c r="E3178" t="s">
        <v>493</v>
      </c>
      <c r="F3178" t="s">
        <v>410</v>
      </c>
      <c r="G3178">
        <v>1439</v>
      </c>
      <c r="H3178">
        <v>1439</v>
      </c>
      <c r="I3178">
        <v>1426</v>
      </c>
      <c r="J3178">
        <v>1426</v>
      </c>
      <c r="K3178">
        <v>0</v>
      </c>
      <c r="L3178">
        <v>0</v>
      </c>
      <c r="M3178">
        <v>2</v>
      </c>
      <c r="N3178">
        <v>12</v>
      </c>
      <c r="O3178">
        <v>1425</v>
      </c>
      <c r="P3178">
        <v>0</v>
      </c>
      <c r="Q3178">
        <v>0</v>
      </c>
    </row>
    <row r="3179" spans="1:17" x14ac:dyDescent="0.2">
      <c r="A3179" s="121">
        <v>40329</v>
      </c>
      <c r="B3179" t="s">
        <v>406</v>
      </c>
      <c r="C3179" t="s">
        <v>491</v>
      </c>
      <c r="D3179" t="s">
        <v>494</v>
      </c>
      <c r="E3179" t="s">
        <v>495</v>
      </c>
      <c r="F3179" t="s">
        <v>413</v>
      </c>
      <c r="G3179">
        <v>3148</v>
      </c>
      <c r="H3179">
        <v>3148</v>
      </c>
      <c r="I3179">
        <v>3082</v>
      </c>
      <c r="J3179">
        <v>3082</v>
      </c>
      <c r="K3179">
        <v>0</v>
      </c>
      <c r="L3179">
        <v>0</v>
      </c>
      <c r="M3179">
        <v>8</v>
      </c>
      <c r="N3179">
        <v>17</v>
      </c>
      <c r="O3179">
        <v>3123</v>
      </c>
      <c r="P3179">
        <v>2</v>
      </c>
      <c r="Q3179">
        <v>0</v>
      </c>
    </row>
    <row r="3180" spans="1:17" x14ac:dyDescent="0.2">
      <c r="A3180" s="121">
        <v>40329</v>
      </c>
      <c r="B3180" t="s">
        <v>406</v>
      </c>
      <c r="C3180" t="s">
        <v>491</v>
      </c>
      <c r="D3180" t="s">
        <v>496</v>
      </c>
      <c r="E3180" t="s">
        <v>497</v>
      </c>
      <c r="F3180" t="s">
        <v>413</v>
      </c>
      <c r="G3180">
        <v>6644</v>
      </c>
      <c r="H3180">
        <v>6644</v>
      </c>
      <c r="I3180">
        <v>6325</v>
      </c>
      <c r="J3180">
        <v>6325</v>
      </c>
      <c r="K3180">
        <v>1484</v>
      </c>
      <c r="L3180">
        <v>0</v>
      </c>
      <c r="M3180">
        <v>20</v>
      </c>
      <c r="N3180">
        <v>81</v>
      </c>
      <c r="O3180">
        <v>5059</v>
      </c>
      <c r="P3180">
        <v>5</v>
      </c>
      <c r="Q3180">
        <v>0</v>
      </c>
    </row>
    <row r="3181" spans="1:17" x14ac:dyDescent="0.2">
      <c r="A3181" s="121">
        <v>40329</v>
      </c>
      <c r="B3181" t="s">
        <v>406</v>
      </c>
      <c r="C3181" t="s">
        <v>491</v>
      </c>
      <c r="D3181" t="s">
        <v>498</v>
      </c>
      <c r="E3181" t="s">
        <v>499</v>
      </c>
      <c r="F3181" t="s">
        <v>413</v>
      </c>
      <c r="G3181">
        <v>6466</v>
      </c>
      <c r="H3181">
        <v>6466</v>
      </c>
      <c r="I3181">
        <v>6136</v>
      </c>
      <c r="J3181">
        <v>6136</v>
      </c>
      <c r="K3181">
        <v>1580</v>
      </c>
      <c r="L3181">
        <v>6</v>
      </c>
      <c r="M3181">
        <v>4447</v>
      </c>
      <c r="N3181">
        <v>114</v>
      </c>
      <c r="O3181">
        <v>319</v>
      </c>
      <c r="P3181">
        <v>6</v>
      </c>
      <c r="Q3181">
        <v>0</v>
      </c>
    </row>
    <row r="3182" spans="1:17" x14ac:dyDescent="0.2">
      <c r="A3182" s="121">
        <v>40329</v>
      </c>
      <c r="B3182" t="s">
        <v>406</v>
      </c>
      <c r="C3182" t="s">
        <v>491</v>
      </c>
      <c r="D3182" t="s">
        <v>500</v>
      </c>
      <c r="E3182" t="s">
        <v>501</v>
      </c>
      <c r="F3182" t="s">
        <v>413</v>
      </c>
      <c r="G3182">
        <v>4016</v>
      </c>
      <c r="H3182">
        <v>4016</v>
      </c>
      <c r="I3182">
        <v>3950</v>
      </c>
      <c r="J3182">
        <v>3950</v>
      </c>
      <c r="K3182">
        <v>1020</v>
      </c>
      <c r="L3182">
        <v>2</v>
      </c>
      <c r="M3182">
        <v>2751</v>
      </c>
      <c r="N3182">
        <v>44</v>
      </c>
      <c r="O3182">
        <v>199</v>
      </c>
      <c r="P3182">
        <v>0</v>
      </c>
      <c r="Q3182">
        <v>0</v>
      </c>
    </row>
    <row r="3183" spans="1:17" x14ac:dyDescent="0.2">
      <c r="A3183" s="121">
        <v>40329</v>
      </c>
      <c r="B3183" t="s">
        <v>406</v>
      </c>
      <c r="C3183" t="s">
        <v>491</v>
      </c>
      <c r="D3183" t="s">
        <v>502</v>
      </c>
      <c r="E3183" t="s">
        <v>615</v>
      </c>
      <c r="F3183" t="s">
        <v>410</v>
      </c>
      <c r="G3183">
        <v>1620</v>
      </c>
      <c r="H3183">
        <v>1620</v>
      </c>
      <c r="I3183">
        <v>1574</v>
      </c>
      <c r="J3183">
        <v>1574</v>
      </c>
      <c r="K3183">
        <v>1</v>
      </c>
      <c r="L3183">
        <v>0</v>
      </c>
      <c r="M3183">
        <v>1591</v>
      </c>
      <c r="N3183">
        <v>1</v>
      </c>
      <c r="O3183">
        <v>27</v>
      </c>
      <c r="P3183">
        <v>2</v>
      </c>
      <c r="Q3183">
        <v>0</v>
      </c>
    </row>
    <row r="3184" spans="1:17" x14ac:dyDescent="0.2">
      <c r="A3184" s="121">
        <v>40329</v>
      </c>
      <c r="B3184" t="s">
        <v>406</v>
      </c>
      <c r="C3184" t="s">
        <v>491</v>
      </c>
      <c r="D3184" t="s">
        <v>502</v>
      </c>
      <c r="E3184" t="s">
        <v>503</v>
      </c>
      <c r="F3184" t="s">
        <v>413</v>
      </c>
      <c r="G3184">
        <v>5690</v>
      </c>
      <c r="H3184">
        <v>5690</v>
      </c>
      <c r="I3184">
        <v>5564</v>
      </c>
      <c r="J3184">
        <v>5564</v>
      </c>
      <c r="K3184">
        <v>1590</v>
      </c>
      <c r="L3184">
        <v>13</v>
      </c>
      <c r="M3184">
        <v>3584</v>
      </c>
      <c r="N3184">
        <v>241</v>
      </c>
      <c r="O3184">
        <v>262</v>
      </c>
      <c r="P3184">
        <v>3</v>
      </c>
      <c r="Q3184">
        <v>0</v>
      </c>
    </row>
    <row r="3185" spans="1:17" x14ac:dyDescent="0.2">
      <c r="A3185" s="121">
        <v>40329</v>
      </c>
      <c r="B3185" t="s">
        <v>406</v>
      </c>
      <c r="C3185" t="s">
        <v>491</v>
      </c>
      <c r="D3185" t="s">
        <v>504</v>
      </c>
      <c r="E3185" t="s">
        <v>505</v>
      </c>
      <c r="F3185" t="s">
        <v>413</v>
      </c>
      <c r="G3185">
        <v>4309</v>
      </c>
      <c r="H3185">
        <v>4309</v>
      </c>
      <c r="I3185">
        <v>4203</v>
      </c>
      <c r="J3185">
        <v>4203</v>
      </c>
      <c r="K3185">
        <v>1203</v>
      </c>
      <c r="L3185">
        <v>5</v>
      </c>
      <c r="M3185">
        <v>2959</v>
      </c>
      <c r="N3185">
        <v>62</v>
      </c>
      <c r="O3185">
        <v>80</v>
      </c>
      <c r="P3185">
        <v>4</v>
      </c>
      <c r="Q3185">
        <v>0</v>
      </c>
    </row>
    <row r="3186" spans="1:17" x14ac:dyDescent="0.2">
      <c r="A3186" s="121">
        <v>40329</v>
      </c>
      <c r="B3186" t="s">
        <v>406</v>
      </c>
      <c r="C3186" t="s">
        <v>491</v>
      </c>
      <c r="D3186" t="s">
        <v>506</v>
      </c>
      <c r="E3186" t="s">
        <v>507</v>
      </c>
      <c r="F3186" t="s">
        <v>413</v>
      </c>
      <c r="G3186">
        <v>4124</v>
      </c>
      <c r="H3186">
        <v>4124</v>
      </c>
      <c r="I3186">
        <v>4045</v>
      </c>
      <c r="J3186">
        <v>4045</v>
      </c>
      <c r="K3186">
        <v>513</v>
      </c>
      <c r="L3186">
        <v>0</v>
      </c>
      <c r="M3186">
        <v>3605</v>
      </c>
      <c r="N3186">
        <v>3</v>
      </c>
      <c r="O3186">
        <v>3</v>
      </c>
      <c r="P3186">
        <v>0</v>
      </c>
      <c r="Q3186">
        <v>0</v>
      </c>
    </row>
    <row r="3187" spans="1:17" x14ac:dyDescent="0.2">
      <c r="A3187" s="121">
        <v>40329</v>
      </c>
      <c r="B3187" t="s">
        <v>406</v>
      </c>
      <c r="C3187" t="s">
        <v>491</v>
      </c>
      <c r="D3187" t="s">
        <v>508</v>
      </c>
      <c r="E3187" t="s">
        <v>509</v>
      </c>
      <c r="F3187" t="s">
        <v>413</v>
      </c>
      <c r="G3187">
        <v>5566</v>
      </c>
      <c r="H3187">
        <v>5566</v>
      </c>
      <c r="I3187">
        <v>5350</v>
      </c>
      <c r="J3187">
        <v>5350</v>
      </c>
      <c r="K3187">
        <v>1784</v>
      </c>
      <c r="L3187">
        <v>9</v>
      </c>
      <c r="M3187">
        <v>3298</v>
      </c>
      <c r="N3187">
        <v>137</v>
      </c>
      <c r="O3187">
        <v>338</v>
      </c>
      <c r="P3187">
        <v>3</v>
      </c>
      <c r="Q3187">
        <v>0</v>
      </c>
    </row>
    <row r="3188" spans="1:17" x14ac:dyDescent="0.2">
      <c r="A3188" s="121">
        <v>40329</v>
      </c>
      <c r="B3188" t="s">
        <v>406</v>
      </c>
      <c r="C3188" t="s">
        <v>510</v>
      </c>
      <c r="D3188" t="s">
        <v>513</v>
      </c>
      <c r="E3188" t="s">
        <v>514</v>
      </c>
      <c r="F3188" t="s">
        <v>410</v>
      </c>
      <c r="G3188">
        <v>837</v>
      </c>
      <c r="I3188">
        <v>832</v>
      </c>
    </row>
    <row r="3189" spans="1:17" x14ac:dyDescent="0.2">
      <c r="A3189" s="121">
        <v>40329</v>
      </c>
      <c r="B3189" t="s">
        <v>406</v>
      </c>
      <c r="C3189" t="s">
        <v>510</v>
      </c>
      <c r="D3189" t="s">
        <v>515</v>
      </c>
      <c r="E3189" t="s">
        <v>516</v>
      </c>
      <c r="F3189" t="s">
        <v>410</v>
      </c>
      <c r="G3189">
        <v>86</v>
      </c>
      <c r="I3189">
        <v>86</v>
      </c>
    </row>
    <row r="3190" spans="1:17" x14ac:dyDescent="0.2">
      <c r="A3190" s="121">
        <v>40329</v>
      </c>
      <c r="B3190" t="s">
        <v>406</v>
      </c>
      <c r="C3190" t="s">
        <v>510</v>
      </c>
      <c r="D3190" t="s">
        <v>519</v>
      </c>
      <c r="E3190" t="s">
        <v>520</v>
      </c>
      <c r="F3190" t="s">
        <v>410</v>
      </c>
      <c r="G3190">
        <v>399</v>
      </c>
      <c r="I3190">
        <v>393</v>
      </c>
    </row>
    <row r="3191" spans="1:17" x14ac:dyDescent="0.2">
      <c r="A3191" s="121">
        <v>40329</v>
      </c>
      <c r="B3191" t="s">
        <v>406</v>
      </c>
      <c r="C3191" t="s">
        <v>510</v>
      </c>
      <c r="D3191" t="s">
        <v>521</v>
      </c>
      <c r="E3191" t="s">
        <v>522</v>
      </c>
      <c r="F3191" t="s">
        <v>410</v>
      </c>
      <c r="G3191">
        <v>60</v>
      </c>
      <c r="I3191">
        <v>56</v>
      </c>
    </row>
    <row r="3192" spans="1:17" x14ac:dyDescent="0.2">
      <c r="A3192" s="121">
        <v>40329</v>
      </c>
      <c r="B3192" t="s">
        <v>406</v>
      </c>
      <c r="C3192" t="s">
        <v>510</v>
      </c>
      <c r="D3192" t="s">
        <v>523</v>
      </c>
      <c r="E3192" t="s">
        <v>524</v>
      </c>
      <c r="F3192" t="s">
        <v>413</v>
      </c>
      <c r="G3192">
        <v>587</v>
      </c>
      <c r="I3192">
        <v>571</v>
      </c>
    </row>
    <row r="3193" spans="1:17" x14ac:dyDescent="0.2">
      <c r="A3193" s="121">
        <v>40329</v>
      </c>
      <c r="B3193" t="s">
        <v>406</v>
      </c>
      <c r="C3193" t="s">
        <v>510</v>
      </c>
      <c r="D3193" t="s">
        <v>525</v>
      </c>
      <c r="E3193" t="s">
        <v>526</v>
      </c>
      <c r="F3193" t="s">
        <v>410</v>
      </c>
      <c r="G3193">
        <v>523</v>
      </c>
      <c r="I3193">
        <v>521</v>
      </c>
    </row>
    <row r="3194" spans="1:17" x14ac:dyDescent="0.2">
      <c r="A3194" s="121">
        <v>40329</v>
      </c>
      <c r="B3194" t="s">
        <v>406</v>
      </c>
      <c r="C3194" t="s">
        <v>510</v>
      </c>
      <c r="D3194" t="s">
        <v>527</v>
      </c>
      <c r="E3194" t="s">
        <v>528</v>
      </c>
      <c r="F3194" t="s">
        <v>410</v>
      </c>
      <c r="G3194">
        <v>216</v>
      </c>
      <c r="I3194">
        <v>216</v>
      </c>
    </row>
    <row r="3195" spans="1:17" x14ac:dyDescent="0.2">
      <c r="A3195" s="121">
        <v>40329</v>
      </c>
      <c r="B3195" t="s">
        <v>406</v>
      </c>
      <c r="C3195" t="s">
        <v>510</v>
      </c>
      <c r="D3195" t="s">
        <v>529</v>
      </c>
      <c r="E3195" t="s">
        <v>530</v>
      </c>
      <c r="F3195" t="s">
        <v>413</v>
      </c>
      <c r="G3195">
        <v>528</v>
      </c>
      <c r="I3195">
        <v>522</v>
      </c>
    </row>
    <row r="3196" spans="1:17" x14ac:dyDescent="0.2">
      <c r="A3196" s="121">
        <v>40329</v>
      </c>
      <c r="B3196" t="s">
        <v>406</v>
      </c>
      <c r="C3196" t="s">
        <v>510</v>
      </c>
      <c r="D3196" t="s">
        <v>531</v>
      </c>
      <c r="E3196" t="s">
        <v>532</v>
      </c>
      <c r="F3196" t="s">
        <v>410</v>
      </c>
      <c r="G3196">
        <v>34</v>
      </c>
      <c r="I3196">
        <v>34</v>
      </c>
    </row>
    <row r="3197" spans="1:17" x14ac:dyDescent="0.2">
      <c r="A3197" s="121">
        <v>40329</v>
      </c>
      <c r="B3197" t="s">
        <v>406</v>
      </c>
      <c r="C3197" t="s">
        <v>510</v>
      </c>
      <c r="D3197" t="s">
        <v>533</v>
      </c>
      <c r="E3197" t="s">
        <v>534</v>
      </c>
      <c r="F3197" t="s">
        <v>413</v>
      </c>
      <c r="G3197">
        <v>2926</v>
      </c>
      <c r="H3197">
        <v>2926</v>
      </c>
      <c r="I3197">
        <v>2853</v>
      </c>
      <c r="J3197">
        <v>2853</v>
      </c>
      <c r="K3197">
        <v>550</v>
      </c>
      <c r="L3197">
        <v>7</v>
      </c>
      <c r="M3197">
        <v>2368</v>
      </c>
      <c r="N3197">
        <v>1</v>
      </c>
      <c r="O3197">
        <v>0</v>
      </c>
      <c r="P3197">
        <v>4</v>
      </c>
      <c r="Q3197">
        <v>2</v>
      </c>
    </row>
    <row r="3198" spans="1:17" x14ac:dyDescent="0.2">
      <c r="A3198" s="121">
        <v>40329</v>
      </c>
      <c r="B3198" t="s">
        <v>406</v>
      </c>
      <c r="C3198" t="s">
        <v>510</v>
      </c>
      <c r="D3198" t="s">
        <v>535</v>
      </c>
      <c r="E3198" t="s">
        <v>536</v>
      </c>
      <c r="F3198" t="s">
        <v>410</v>
      </c>
      <c r="G3198">
        <v>265</v>
      </c>
      <c r="I3198">
        <v>265</v>
      </c>
    </row>
    <row r="3199" spans="1:17" x14ac:dyDescent="0.2">
      <c r="A3199" s="121">
        <v>40329</v>
      </c>
      <c r="B3199" t="s">
        <v>406</v>
      </c>
      <c r="C3199" t="s">
        <v>510</v>
      </c>
      <c r="D3199" t="s">
        <v>537</v>
      </c>
      <c r="E3199" t="s">
        <v>538</v>
      </c>
      <c r="F3199" t="s">
        <v>410</v>
      </c>
      <c r="G3199">
        <v>119</v>
      </c>
      <c r="I3199">
        <v>119</v>
      </c>
    </row>
    <row r="3200" spans="1:17" x14ac:dyDescent="0.2">
      <c r="A3200" s="121">
        <v>40329</v>
      </c>
      <c r="B3200" t="s">
        <v>406</v>
      </c>
      <c r="C3200" t="s">
        <v>510</v>
      </c>
      <c r="D3200" t="s">
        <v>539</v>
      </c>
      <c r="E3200" t="s">
        <v>540</v>
      </c>
      <c r="F3200" t="s">
        <v>413</v>
      </c>
      <c r="G3200">
        <v>941</v>
      </c>
      <c r="I3200">
        <v>934</v>
      </c>
    </row>
    <row r="3201" spans="1:17" x14ac:dyDescent="0.2">
      <c r="A3201" s="121">
        <v>40329</v>
      </c>
      <c r="B3201" t="s">
        <v>406</v>
      </c>
      <c r="C3201" t="s">
        <v>510</v>
      </c>
      <c r="D3201" t="s">
        <v>541</v>
      </c>
      <c r="E3201" t="s">
        <v>542</v>
      </c>
      <c r="F3201" t="s">
        <v>410</v>
      </c>
      <c r="G3201">
        <v>347</v>
      </c>
      <c r="I3201">
        <v>347</v>
      </c>
    </row>
    <row r="3202" spans="1:17" x14ac:dyDescent="0.2">
      <c r="A3202" s="121">
        <v>40329</v>
      </c>
      <c r="B3202" t="s">
        <v>406</v>
      </c>
      <c r="C3202" t="s">
        <v>510</v>
      </c>
      <c r="D3202" t="s">
        <v>543</v>
      </c>
      <c r="E3202" t="s">
        <v>544</v>
      </c>
      <c r="F3202" t="s">
        <v>410</v>
      </c>
      <c r="G3202">
        <v>308</v>
      </c>
      <c r="I3202">
        <v>308</v>
      </c>
    </row>
    <row r="3203" spans="1:17" x14ac:dyDescent="0.2">
      <c r="A3203" s="121">
        <v>40329</v>
      </c>
      <c r="B3203" t="s">
        <v>406</v>
      </c>
      <c r="C3203" t="s">
        <v>510</v>
      </c>
      <c r="D3203" t="s">
        <v>545</v>
      </c>
      <c r="E3203" t="s">
        <v>546</v>
      </c>
      <c r="F3203" t="s">
        <v>410</v>
      </c>
      <c r="G3203">
        <v>193</v>
      </c>
      <c r="I3203">
        <v>193</v>
      </c>
    </row>
    <row r="3204" spans="1:17" x14ac:dyDescent="0.2">
      <c r="A3204" s="121">
        <v>40329</v>
      </c>
      <c r="B3204" t="s">
        <v>406</v>
      </c>
      <c r="C3204" t="s">
        <v>510</v>
      </c>
      <c r="D3204" t="s">
        <v>547</v>
      </c>
      <c r="E3204" t="s">
        <v>548</v>
      </c>
      <c r="F3204" t="s">
        <v>410</v>
      </c>
      <c r="G3204">
        <v>181</v>
      </c>
      <c r="I3204">
        <v>181</v>
      </c>
    </row>
    <row r="3205" spans="1:17" x14ac:dyDescent="0.2">
      <c r="A3205" s="121">
        <v>40329</v>
      </c>
      <c r="B3205" t="s">
        <v>406</v>
      </c>
      <c r="C3205" t="s">
        <v>510</v>
      </c>
      <c r="D3205" t="s">
        <v>616</v>
      </c>
      <c r="E3205" t="s">
        <v>617</v>
      </c>
      <c r="F3205" t="s">
        <v>410</v>
      </c>
      <c r="G3205">
        <v>406</v>
      </c>
      <c r="I3205">
        <v>403</v>
      </c>
    </row>
    <row r="3206" spans="1:17" x14ac:dyDescent="0.2">
      <c r="A3206" s="121">
        <v>40329</v>
      </c>
      <c r="B3206" t="s">
        <v>406</v>
      </c>
      <c r="C3206" t="s">
        <v>510</v>
      </c>
      <c r="D3206" t="s">
        <v>549</v>
      </c>
      <c r="E3206" t="s">
        <v>550</v>
      </c>
      <c r="F3206" t="s">
        <v>410</v>
      </c>
      <c r="G3206">
        <v>181</v>
      </c>
      <c r="I3206">
        <v>181</v>
      </c>
    </row>
    <row r="3207" spans="1:17" x14ac:dyDescent="0.2">
      <c r="A3207" s="121">
        <v>40329</v>
      </c>
      <c r="B3207" t="s">
        <v>406</v>
      </c>
      <c r="C3207" t="s">
        <v>551</v>
      </c>
      <c r="D3207" t="s">
        <v>552</v>
      </c>
      <c r="E3207" t="s">
        <v>553</v>
      </c>
      <c r="F3207" t="s">
        <v>413</v>
      </c>
      <c r="G3207">
        <v>6264</v>
      </c>
      <c r="H3207">
        <v>6264</v>
      </c>
      <c r="I3207">
        <v>6168</v>
      </c>
      <c r="J3207">
        <v>6168</v>
      </c>
      <c r="K3207">
        <v>1658</v>
      </c>
      <c r="L3207">
        <v>6</v>
      </c>
      <c r="M3207">
        <v>4359</v>
      </c>
      <c r="N3207">
        <v>223</v>
      </c>
      <c r="O3207">
        <v>18</v>
      </c>
      <c r="P3207">
        <v>1</v>
      </c>
      <c r="Q3207">
        <v>0</v>
      </c>
    </row>
    <row r="3208" spans="1:17" x14ac:dyDescent="0.2">
      <c r="A3208" s="121">
        <v>40329</v>
      </c>
      <c r="B3208" t="s">
        <v>406</v>
      </c>
      <c r="C3208" t="s">
        <v>551</v>
      </c>
      <c r="D3208" t="s">
        <v>554</v>
      </c>
      <c r="E3208" t="s">
        <v>555</v>
      </c>
      <c r="F3208" t="s">
        <v>410</v>
      </c>
      <c r="G3208">
        <v>156</v>
      </c>
      <c r="I3208">
        <v>156</v>
      </c>
    </row>
    <row r="3209" spans="1:17" x14ac:dyDescent="0.2">
      <c r="A3209" s="121">
        <v>40329</v>
      </c>
      <c r="B3209" t="s">
        <v>406</v>
      </c>
      <c r="C3209" t="s">
        <v>551</v>
      </c>
      <c r="D3209" t="s">
        <v>556</v>
      </c>
      <c r="E3209" t="s">
        <v>557</v>
      </c>
      <c r="F3209" t="s">
        <v>410</v>
      </c>
      <c r="G3209">
        <v>206</v>
      </c>
      <c r="I3209">
        <v>206</v>
      </c>
    </row>
    <row r="3210" spans="1:17" x14ac:dyDescent="0.2">
      <c r="A3210" s="121">
        <v>40329</v>
      </c>
      <c r="B3210" t="s">
        <v>406</v>
      </c>
      <c r="C3210" t="s">
        <v>551</v>
      </c>
      <c r="D3210" t="s">
        <v>558</v>
      </c>
      <c r="E3210" t="s">
        <v>559</v>
      </c>
      <c r="F3210" t="s">
        <v>413</v>
      </c>
      <c r="G3210">
        <v>5063</v>
      </c>
      <c r="H3210">
        <v>5063</v>
      </c>
      <c r="I3210">
        <v>4915</v>
      </c>
      <c r="J3210">
        <v>4915</v>
      </c>
      <c r="K3210">
        <v>1176</v>
      </c>
      <c r="L3210">
        <v>7</v>
      </c>
      <c r="M3210">
        <v>3753</v>
      </c>
      <c r="N3210">
        <v>106</v>
      </c>
      <c r="O3210">
        <v>21</v>
      </c>
      <c r="P3210">
        <v>4</v>
      </c>
      <c r="Q3210">
        <v>0</v>
      </c>
    </row>
    <row r="3211" spans="1:17" x14ac:dyDescent="0.2">
      <c r="A3211" s="121">
        <v>40329</v>
      </c>
      <c r="B3211" t="s">
        <v>406</v>
      </c>
      <c r="C3211" t="s">
        <v>551</v>
      </c>
      <c r="D3211" t="s">
        <v>560</v>
      </c>
      <c r="E3211" t="s">
        <v>561</v>
      </c>
      <c r="F3211" t="s">
        <v>413</v>
      </c>
      <c r="G3211">
        <v>6197</v>
      </c>
      <c r="H3211">
        <v>6197</v>
      </c>
      <c r="I3211">
        <v>6096</v>
      </c>
      <c r="J3211">
        <v>6096</v>
      </c>
      <c r="K3211">
        <v>1379</v>
      </c>
      <c r="L3211">
        <v>7</v>
      </c>
      <c r="M3211">
        <v>4514</v>
      </c>
      <c r="N3211">
        <v>286</v>
      </c>
      <c r="O3211">
        <v>11</v>
      </c>
      <c r="P3211">
        <v>1</v>
      </c>
      <c r="Q3211">
        <v>0</v>
      </c>
    </row>
    <row r="3212" spans="1:17" x14ac:dyDescent="0.2">
      <c r="A3212" s="121">
        <v>40329</v>
      </c>
      <c r="B3212" t="s">
        <v>406</v>
      </c>
      <c r="C3212" t="s">
        <v>562</v>
      </c>
      <c r="D3212" t="s">
        <v>603</v>
      </c>
      <c r="E3212" t="s">
        <v>604</v>
      </c>
      <c r="F3212" t="s">
        <v>410</v>
      </c>
      <c r="G3212">
        <v>24</v>
      </c>
      <c r="I3212">
        <v>24</v>
      </c>
    </row>
    <row r="3213" spans="1:17" x14ac:dyDescent="0.2">
      <c r="A3213" s="121">
        <v>40329</v>
      </c>
      <c r="B3213" t="s">
        <v>406</v>
      </c>
      <c r="C3213" t="s">
        <v>562</v>
      </c>
      <c r="D3213" t="s">
        <v>605</v>
      </c>
      <c r="E3213" t="s">
        <v>606</v>
      </c>
      <c r="F3213" t="s">
        <v>410</v>
      </c>
      <c r="G3213">
        <v>168</v>
      </c>
      <c r="I3213">
        <v>168</v>
      </c>
    </row>
    <row r="3214" spans="1:17" x14ac:dyDescent="0.2">
      <c r="A3214" s="121">
        <v>40329</v>
      </c>
      <c r="B3214" t="s">
        <v>406</v>
      </c>
      <c r="C3214" t="s">
        <v>562</v>
      </c>
      <c r="D3214" t="s">
        <v>563</v>
      </c>
      <c r="E3214" t="s">
        <v>564</v>
      </c>
      <c r="F3214" t="s">
        <v>410</v>
      </c>
      <c r="G3214">
        <v>3143</v>
      </c>
      <c r="H3214">
        <v>3143</v>
      </c>
      <c r="I3214">
        <v>3093</v>
      </c>
      <c r="J3214">
        <v>3093</v>
      </c>
      <c r="K3214">
        <v>935</v>
      </c>
      <c r="L3214">
        <v>2</v>
      </c>
      <c r="M3214">
        <v>2147</v>
      </c>
      <c r="N3214">
        <v>59</v>
      </c>
      <c r="O3214">
        <v>0</v>
      </c>
      <c r="P3214">
        <v>0</v>
      </c>
      <c r="Q3214">
        <v>0</v>
      </c>
    </row>
    <row r="3215" spans="1:17" x14ac:dyDescent="0.2">
      <c r="A3215" s="121">
        <v>40329</v>
      </c>
      <c r="B3215" t="s">
        <v>406</v>
      </c>
      <c r="C3215" t="s">
        <v>562</v>
      </c>
      <c r="D3215" t="s">
        <v>565</v>
      </c>
      <c r="E3215" t="s">
        <v>566</v>
      </c>
      <c r="F3215" t="s">
        <v>413</v>
      </c>
      <c r="G3215">
        <v>4579</v>
      </c>
      <c r="H3215">
        <v>4579</v>
      </c>
      <c r="I3215">
        <v>4292</v>
      </c>
      <c r="J3215">
        <v>4292</v>
      </c>
      <c r="K3215">
        <v>1098</v>
      </c>
      <c r="L3215">
        <v>2</v>
      </c>
      <c r="M3215">
        <v>3355</v>
      </c>
      <c r="N3215">
        <v>124</v>
      </c>
      <c r="O3215">
        <v>0</v>
      </c>
      <c r="P3215">
        <v>46</v>
      </c>
      <c r="Q3215">
        <v>13</v>
      </c>
    </row>
    <row r="3216" spans="1:17" x14ac:dyDescent="0.2">
      <c r="A3216" s="121">
        <v>40329</v>
      </c>
      <c r="B3216" t="s">
        <v>406</v>
      </c>
      <c r="C3216" t="s">
        <v>562</v>
      </c>
      <c r="D3216" t="s">
        <v>567</v>
      </c>
      <c r="E3216" t="s">
        <v>568</v>
      </c>
      <c r="F3216" t="s">
        <v>413</v>
      </c>
      <c r="G3216">
        <v>9772</v>
      </c>
      <c r="H3216">
        <v>9772</v>
      </c>
      <c r="I3216">
        <v>9363</v>
      </c>
      <c r="J3216">
        <v>9363</v>
      </c>
      <c r="K3216">
        <v>2615</v>
      </c>
      <c r="L3216">
        <v>22</v>
      </c>
      <c r="M3216">
        <v>6578</v>
      </c>
      <c r="N3216">
        <v>557</v>
      </c>
      <c r="O3216">
        <v>0</v>
      </c>
      <c r="P3216">
        <v>24</v>
      </c>
      <c r="Q3216">
        <v>0</v>
      </c>
    </row>
    <row r="3217" spans="1:17" x14ac:dyDescent="0.2">
      <c r="A3217" s="121">
        <v>40329</v>
      </c>
      <c r="B3217" t="s">
        <v>406</v>
      </c>
      <c r="C3217" t="s">
        <v>562</v>
      </c>
      <c r="D3217" t="s">
        <v>569</v>
      </c>
      <c r="E3217" t="s">
        <v>570</v>
      </c>
      <c r="F3217" t="s">
        <v>413</v>
      </c>
      <c r="G3217">
        <v>3570</v>
      </c>
      <c r="H3217">
        <v>3570</v>
      </c>
      <c r="I3217">
        <v>3544</v>
      </c>
      <c r="J3217">
        <v>3544</v>
      </c>
      <c r="K3217">
        <v>450</v>
      </c>
      <c r="L3217">
        <v>0</v>
      </c>
      <c r="M3217">
        <v>3120</v>
      </c>
      <c r="N3217">
        <v>0</v>
      </c>
      <c r="O3217">
        <v>0</v>
      </c>
      <c r="P3217">
        <v>0</v>
      </c>
      <c r="Q3217">
        <v>0</v>
      </c>
    </row>
    <row r="3218" spans="1:17" x14ac:dyDescent="0.2">
      <c r="A3218" s="121">
        <v>40329</v>
      </c>
      <c r="B3218" t="s">
        <v>406</v>
      </c>
      <c r="C3218" t="s">
        <v>571</v>
      </c>
      <c r="D3218" t="s">
        <v>572</v>
      </c>
      <c r="E3218" t="s">
        <v>573</v>
      </c>
      <c r="F3218" t="s">
        <v>410</v>
      </c>
      <c r="G3218">
        <v>321</v>
      </c>
      <c r="I3218">
        <v>319</v>
      </c>
    </row>
    <row r="3219" spans="1:17" x14ac:dyDescent="0.2">
      <c r="A3219" s="121">
        <v>40329</v>
      </c>
      <c r="B3219" t="s">
        <v>406</v>
      </c>
      <c r="C3219" t="s">
        <v>574</v>
      </c>
      <c r="D3219" t="s">
        <v>575</v>
      </c>
      <c r="E3219" t="s">
        <v>576</v>
      </c>
      <c r="F3219" t="s">
        <v>413</v>
      </c>
      <c r="G3219">
        <v>804</v>
      </c>
      <c r="H3219">
        <v>804</v>
      </c>
      <c r="I3219">
        <v>804</v>
      </c>
      <c r="J3219">
        <v>804</v>
      </c>
      <c r="K3219">
        <v>140</v>
      </c>
      <c r="L3219">
        <v>0</v>
      </c>
      <c r="M3219">
        <v>624</v>
      </c>
      <c r="N3219">
        <v>1</v>
      </c>
      <c r="O3219">
        <v>39</v>
      </c>
      <c r="P3219">
        <v>0</v>
      </c>
      <c r="Q3219">
        <v>0</v>
      </c>
    </row>
    <row r="3220" spans="1:17" x14ac:dyDescent="0.2">
      <c r="A3220" s="121">
        <v>40329</v>
      </c>
      <c r="B3220" t="s">
        <v>406</v>
      </c>
      <c r="C3220" t="s">
        <v>577</v>
      </c>
      <c r="D3220" t="s">
        <v>578</v>
      </c>
      <c r="E3220" t="s">
        <v>579</v>
      </c>
      <c r="F3220" t="s">
        <v>413</v>
      </c>
      <c r="G3220">
        <v>4512</v>
      </c>
      <c r="H3220">
        <v>4512</v>
      </c>
      <c r="I3220">
        <v>4432</v>
      </c>
      <c r="J3220">
        <v>4432</v>
      </c>
      <c r="K3220">
        <v>1019</v>
      </c>
      <c r="L3220">
        <v>15</v>
      </c>
      <c r="M3220">
        <v>3427</v>
      </c>
      <c r="N3220">
        <v>50</v>
      </c>
      <c r="O3220">
        <v>1</v>
      </c>
      <c r="P3220">
        <v>1</v>
      </c>
      <c r="Q3220">
        <v>0</v>
      </c>
    </row>
    <row r="3221" spans="1:17" x14ac:dyDescent="0.2">
      <c r="A3221" s="121">
        <v>40329</v>
      </c>
      <c r="B3221" t="s">
        <v>406</v>
      </c>
      <c r="C3221" t="s">
        <v>577</v>
      </c>
      <c r="D3221" t="s">
        <v>580</v>
      </c>
      <c r="E3221" t="s">
        <v>581</v>
      </c>
      <c r="F3221" t="s">
        <v>413</v>
      </c>
      <c r="G3221">
        <v>2527</v>
      </c>
      <c r="H3221">
        <v>2527</v>
      </c>
      <c r="I3221">
        <v>2460</v>
      </c>
      <c r="J3221">
        <v>2460</v>
      </c>
      <c r="K3221">
        <v>417</v>
      </c>
      <c r="L3221">
        <v>4</v>
      </c>
      <c r="M3221">
        <v>1751</v>
      </c>
      <c r="N3221">
        <v>302</v>
      </c>
      <c r="O3221">
        <v>53</v>
      </c>
      <c r="P3221">
        <v>0</v>
      </c>
      <c r="Q3221">
        <v>0</v>
      </c>
    </row>
    <row r="3222" spans="1:17" x14ac:dyDescent="0.2">
      <c r="A3222" s="121">
        <v>40329</v>
      </c>
      <c r="B3222" t="s">
        <v>406</v>
      </c>
      <c r="C3222" t="s">
        <v>577</v>
      </c>
      <c r="D3222" t="s">
        <v>609</v>
      </c>
      <c r="E3222" t="s">
        <v>610</v>
      </c>
      <c r="F3222" t="s">
        <v>410</v>
      </c>
      <c r="G3222">
        <v>29</v>
      </c>
      <c r="H3222">
        <v>29</v>
      </c>
      <c r="I3222">
        <v>29</v>
      </c>
      <c r="J3222">
        <v>29</v>
      </c>
      <c r="K3222">
        <v>3</v>
      </c>
      <c r="L3222">
        <v>0</v>
      </c>
      <c r="M3222">
        <v>21</v>
      </c>
      <c r="N3222">
        <v>0</v>
      </c>
      <c r="O3222">
        <v>5</v>
      </c>
      <c r="P3222">
        <v>0</v>
      </c>
      <c r="Q3222">
        <v>0</v>
      </c>
    </row>
    <row r="3223" spans="1:17" x14ac:dyDescent="0.2">
      <c r="A3223" s="121">
        <v>40329</v>
      </c>
      <c r="B3223" t="s">
        <v>406</v>
      </c>
      <c r="C3223" t="s">
        <v>577</v>
      </c>
      <c r="D3223" t="s">
        <v>611</v>
      </c>
      <c r="E3223" t="s">
        <v>612</v>
      </c>
      <c r="F3223" t="s">
        <v>410</v>
      </c>
      <c r="G3223">
        <v>6</v>
      </c>
      <c r="H3223">
        <v>6</v>
      </c>
      <c r="I3223">
        <v>6</v>
      </c>
      <c r="J3223">
        <v>6</v>
      </c>
      <c r="K3223">
        <v>0</v>
      </c>
      <c r="L3223">
        <v>0</v>
      </c>
      <c r="M3223">
        <v>2</v>
      </c>
      <c r="N3223">
        <v>0</v>
      </c>
      <c r="O3223">
        <v>4</v>
      </c>
      <c r="P3223">
        <v>0</v>
      </c>
      <c r="Q3223">
        <v>0</v>
      </c>
    </row>
    <row r="3224" spans="1:17" x14ac:dyDescent="0.2">
      <c r="A3224" s="121">
        <v>40329</v>
      </c>
      <c r="B3224" t="s">
        <v>406</v>
      </c>
      <c r="C3224" t="s">
        <v>577</v>
      </c>
      <c r="D3224" t="s">
        <v>584</v>
      </c>
      <c r="E3224" t="s">
        <v>585</v>
      </c>
      <c r="F3224" t="s">
        <v>410</v>
      </c>
      <c r="G3224">
        <v>305</v>
      </c>
      <c r="H3224">
        <v>305</v>
      </c>
      <c r="I3224">
        <v>305</v>
      </c>
      <c r="J3224">
        <v>305</v>
      </c>
      <c r="K3224">
        <v>37</v>
      </c>
      <c r="L3224">
        <v>0</v>
      </c>
      <c r="M3224">
        <v>242</v>
      </c>
      <c r="N3224">
        <v>0</v>
      </c>
      <c r="O3224">
        <v>26</v>
      </c>
      <c r="P3224">
        <v>0</v>
      </c>
      <c r="Q3224">
        <v>0</v>
      </c>
    </row>
    <row r="3225" spans="1:17" x14ac:dyDescent="0.2">
      <c r="A3225" s="121">
        <v>40329</v>
      </c>
      <c r="B3225" t="s">
        <v>406</v>
      </c>
      <c r="C3225" t="s">
        <v>577</v>
      </c>
      <c r="D3225" t="s">
        <v>586</v>
      </c>
      <c r="E3225" t="s">
        <v>587</v>
      </c>
      <c r="F3225" t="s">
        <v>410</v>
      </c>
      <c r="G3225">
        <v>1329</v>
      </c>
      <c r="H3225">
        <v>1329</v>
      </c>
      <c r="I3225">
        <v>1327</v>
      </c>
      <c r="J3225">
        <v>1327</v>
      </c>
      <c r="K3225">
        <v>45</v>
      </c>
      <c r="L3225">
        <v>0</v>
      </c>
      <c r="M3225">
        <v>934</v>
      </c>
      <c r="N3225">
        <v>0</v>
      </c>
      <c r="O3225">
        <v>350</v>
      </c>
      <c r="P3225">
        <v>0</v>
      </c>
      <c r="Q3225">
        <v>0</v>
      </c>
    </row>
    <row r="3226" spans="1:17" x14ac:dyDescent="0.2">
      <c r="A3226" s="121">
        <v>40329</v>
      </c>
      <c r="B3226" t="s">
        <v>406</v>
      </c>
      <c r="C3226" t="s">
        <v>577</v>
      </c>
      <c r="D3226" t="s">
        <v>588</v>
      </c>
      <c r="E3226" t="s">
        <v>589</v>
      </c>
      <c r="F3226" t="s">
        <v>410</v>
      </c>
      <c r="G3226">
        <v>372</v>
      </c>
      <c r="H3226">
        <v>372</v>
      </c>
      <c r="I3226">
        <v>372</v>
      </c>
      <c r="J3226">
        <v>372</v>
      </c>
      <c r="K3226">
        <v>11</v>
      </c>
      <c r="L3226">
        <v>0</v>
      </c>
      <c r="M3226">
        <v>284</v>
      </c>
      <c r="N3226">
        <v>0</v>
      </c>
      <c r="O3226">
        <v>77</v>
      </c>
      <c r="P3226">
        <v>0</v>
      </c>
      <c r="Q3226">
        <v>0</v>
      </c>
    </row>
    <row r="3227" spans="1:17" x14ac:dyDescent="0.2">
      <c r="A3227" s="121">
        <v>40329</v>
      </c>
      <c r="B3227" t="s">
        <v>406</v>
      </c>
      <c r="C3227" t="s">
        <v>577</v>
      </c>
      <c r="D3227" t="s">
        <v>613</v>
      </c>
      <c r="E3227" t="s">
        <v>614</v>
      </c>
      <c r="F3227" t="s">
        <v>410</v>
      </c>
      <c r="G3227">
        <v>226</v>
      </c>
      <c r="H3227">
        <v>226</v>
      </c>
      <c r="I3227">
        <v>226</v>
      </c>
      <c r="J3227">
        <v>226</v>
      </c>
      <c r="K3227">
        <v>28</v>
      </c>
      <c r="L3227">
        <v>0</v>
      </c>
      <c r="M3227">
        <v>181</v>
      </c>
      <c r="N3227">
        <v>0</v>
      </c>
      <c r="O3227">
        <v>17</v>
      </c>
      <c r="P3227">
        <v>0</v>
      </c>
      <c r="Q3227">
        <v>0</v>
      </c>
    </row>
    <row r="3228" spans="1:17" x14ac:dyDescent="0.2">
      <c r="A3228" s="121">
        <v>40329</v>
      </c>
      <c r="B3228" t="s">
        <v>406</v>
      </c>
      <c r="C3228" t="s">
        <v>577</v>
      </c>
      <c r="D3228" t="s">
        <v>590</v>
      </c>
      <c r="E3228" t="s">
        <v>591</v>
      </c>
      <c r="F3228" t="s">
        <v>410</v>
      </c>
      <c r="G3228">
        <v>774</v>
      </c>
      <c r="H3228">
        <v>774</v>
      </c>
      <c r="I3228">
        <v>774</v>
      </c>
      <c r="J3228">
        <v>774</v>
      </c>
      <c r="K3228">
        <v>16</v>
      </c>
      <c r="L3228">
        <v>0</v>
      </c>
      <c r="M3228">
        <v>683</v>
      </c>
      <c r="N3228">
        <v>0</v>
      </c>
      <c r="O3228">
        <v>75</v>
      </c>
      <c r="P3228">
        <v>0</v>
      </c>
      <c r="Q3228">
        <v>0</v>
      </c>
    </row>
    <row r="3229" spans="1:17" x14ac:dyDescent="0.2">
      <c r="A3229" s="121">
        <v>40329</v>
      </c>
      <c r="B3229" t="s">
        <v>406</v>
      </c>
      <c r="C3229" t="s">
        <v>577</v>
      </c>
      <c r="D3229" t="s">
        <v>607</v>
      </c>
      <c r="E3229" t="s">
        <v>608</v>
      </c>
      <c r="F3229" t="s">
        <v>410</v>
      </c>
      <c r="G3229">
        <v>143</v>
      </c>
      <c r="H3229">
        <v>143</v>
      </c>
      <c r="I3229">
        <v>143</v>
      </c>
      <c r="J3229">
        <v>143</v>
      </c>
      <c r="K3229">
        <v>18</v>
      </c>
      <c r="L3229">
        <v>0</v>
      </c>
      <c r="M3229">
        <v>111</v>
      </c>
      <c r="N3229">
        <v>0</v>
      </c>
      <c r="O3229">
        <v>14</v>
      </c>
      <c r="P3229">
        <v>0</v>
      </c>
      <c r="Q3229">
        <v>0</v>
      </c>
    </row>
    <row r="3230" spans="1:17" x14ac:dyDescent="0.2">
      <c r="A3230" s="121">
        <v>40329</v>
      </c>
      <c r="B3230" t="s">
        <v>406</v>
      </c>
      <c r="C3230" t="s">
        <v>577</v>
      </c>
      <c r="D3230" t="s">
        <v>592</v>
      </c>
      <c r="E3230" t="s">
        <v>593</v>
      </c>
      <c r="F3230" t="s">
        <v>410</v>
      </c>
      <c r="G3230">
        <v>514</v>
      </c>
      <c r="H3230">
        <v>514</v>
      </c>
      <c r="I3230">
        <v>514</v>
      </c>
      <c r="J3230">
        <v>514</v>
      </c>
      <c r="K3230">
        <v>0</v>
      </c>
      <c r="L3230">
        <v>0</v>
      </c>
      <c r="M3230">
        <v>0</v>
      </c>
      <c r="N3230">
        <v>0</v>
      </c>
      <c r="O3230">
        <v>514</v>
      </c>
      <c r="P3230">
        <v>0</v>
      </c>
      <c r="Q3230">
        <v>0</v>
      </c>
    </row>
    <row r="3231" spans="1:17" x14ac:dyDescent="0.2">
      <c r="A3231" s="121">
        <v>40329</v>
      </c>
      <c r="B3231" t="s">
        <v>406</v>
      </c>
      <c r="C3231" t="s">
        <v>594</v>
      </c>
      <c r="D3231" t="s">
        <v>595</v>
      </c>
      <c r="E3231" t="s">
        <v>596</v>
      </c>
      <c r="F3231" t="s">
        <v>410</v>
      </c>
      <c r="G3231">
        <v>34</v>
      </c>
      <c r="I3231">
        <v>33</v>
      </c>
    </row>
    <row r="3232" spans="1:17" x14ac:dyDescent="0.2">
      <c r="A3232" s="121">
        <v>40329</v>
      </c>
      <c r="B3232" t="s">
        <v>406</v>
      </c>
      <c r="C3232" t="s">
        <v>594</v>
      </c>
      <c r="D3232" t="s">
        <v>597</v>
      </c>
      <c r="E3232" t="s">
        <v>598</v>
      </c>
      <c r="F3232" t="s">
        <v>413</v>
      </c>
      <c r="G3232">
        <v>554</v>
      </c>
      <c r="H3232">
        <v>554</v>
      </c>
      <c r="I3232">
        <v>549</v>
      </c>
      <c r="J3232">
        <v>549</v>
      </c>
      <c r="K3232">
        <v>131</v>
      </c>
      <c r="L3232">
        <v>0</v>
      </c>
      <c r="M3232">
        <v>421</v>
      </c>
      <c r="N3232">
        <v>1</v>
      </c>
      <c r="O3232">
        <v>1</v>
      </c>
      <c r="P3232">
        <v>0</v>
      </c>
      <c r="Q3232">
        <v>0</v>
      </c>
    </row>
    <row r="3233" spans="1:17" x14ac:dyDescent="0.2">
      <c r="A3233" s="121">
        <v>40329</v>
      </c>
      <c r="B3233" t="s">
        <v>406</v>
      </c>
      <c r="C3233" t="s">
        <v>594</v>
      </c>
      <c r="D3233" t="s">
        <v>599</v>
      </c>
      <c r="E3233" t="s">
        <v>600</v>
      </c>
      <c r="F3233" t="s">
        <v>410</v>
      </c>
      <c r="G3233">
        <v>108</v>
      </c>
      <c r="I3233">
        <v>108</v>
      </c>
    </row>
    <row r="3234" spans="1:17" x14ac:dyDescent="0.2">
      <c r="A3234" s="121">
        <v>40359</v>
      </c>
      <c r="B3234" t="s">
        <v>406</v>
      </c>
      <c r="C3234" t="s">
        <v>407</v>
      </c>
      <c r="D3234" t="s">
        <v>408</v>
      </c>
      <c r="E3234" t="s">
        <v>409</v>
      </c>
      <c r="F3234" t="s">
        <v>410</v>
      </c>
      <c r="G3234">
        <v>271</v>
      </c>
      <c r="I3234">
        <v>271</v>
      </c>
    </row>
    <row r="3235" spans="1:17" x14ac:dyDescent="0.2">
      <c r="A3235" s="121">
        <v>40359</v>
      </c>
      <c r="B3235" t="s">
        <v>406</v>
      </c>
      <c r="C3235" t="s">
        <v>407</v>
      </c>
      <c r="D3235" t="s">
        <v>601</v>
      </c>
      <c r="E3235" t="s">
        <v>602</v>
      </c>
      <c r="F3235" t="s">
        <v>410</v>
      </c>
      <c r="G3235">
        <v>68</v>
      </c>
      <c r="I3235">
        <v>68</v>
      </c>
    </row>
    <row r="3236" spans="1:17" x14ac:dyDescent="0.2">
      <c r="A3236" s="121">
        <v>40359</v>
      </c>
      <c r="B3236" t="s">
        <v>406</v>
      </c>
      <c r="C3236" t="s">
        <v>407</v>
      </c>
      <c r="D3236" t="s">
        <v>411</v>
      </c>
      <c r="E3236" t="s">
        <v>412</v>
      </c>
      <c r="F3236" t="s">
        <v>413</v>
      </c>
      <c r="G3236">
        <v>5898</v>
      </c>
      <c r="H3236">
        <v>5898</v>
      </c>
      <c r="I3236">
        <v>5747</v>
      </c>
      <c r="J3236">
        <v>5747</v>
      </c>
      <c r="K3236">
        <v>2114</v>
      </c>
      <c r="L3236">
        <v>3</v>
      </c>
      <c r="M3236">
        <v>3518</v>
      </c>
      <c r="N3236">
        <v>42</v>
      </c>
      <c r="O3236">
        <v>221</v>
      </c>
      <c r="P3236">
        <v>8</v>
      </c>
      <c r="Q3236">
        <v>0</v>
      </c>
    </row>
    <row r="3237" spans="1:17" x14ac:dyDescent="0.2">
      <c r="A3237" s="121">
        <v>40359</v>
      </c>
      <c r="B3237" t="s">
        <v>406</v>
      </c>
      <c r="C3237" t="s">
        <v>407</v>
      </c>
      <c r="D3237" t="s">
        <v>416</v>
      </c>
      <c r="E3237" t="s">
        <v>417</v>
      </c>
      <c r="F3237" t="s">
        <v>413</v>
      </c>
      <c r="G3237">
        <v>3848</v>
      </c>
      <c r="H3237">
        <v>3848</v>
      </c>
      <c r="I3237">
        <v>3805</v>
      </c>
      <c r="J3237">
        <v>3805</v>
      </c>
      <c r="K3237">
        <v>1240</v>
      </c>
      <c r="L3237">
        <v>4</v>
      </c>
      <c r="M3237">
        <v>2466</v>
      </c>
      <c r="N3237">
        <v>77</v>
      </c>
      <c r="O3237">
        <v>61</v>
      </c>
      <c r="P3237">
        <v>0</v>
      </c>
      <c r="Q3237">
        <v>0</v>
      </c>
    </row>
    <row r="3238" spans="1:17" x14ac:dyDescent="0.2">
      <c r="A3238" s="121">
        <v>40359</v>
      </c>
      <c r="B3238" t="s">
        <v>406</v>
      </c>
      <c r="C3238" t="s">
        <v>407</v>
      </c>
      <c r="D3238" t="s">
        <v>618</v>
      </c>
      <c r="E3238" t="s">
        <v>619</v>
      </c>
      <c r="F3238" t="s">
        <v>410</v>
      </c>
      <c r="G3238">
        <v>124</v>
      </c>
      <c r="I3238">
        <v>124</v>
      </c>
    </row>
    <row r="3239" spans="1:17" x14ac:dyDescent="0.2">
      <c r="A3239" s="121">
        <v>40359</v>
      </c>
      <c r="B3239" t="s">
        <v>406</v>
      </c>
      <c r="C3239" t="s">
        <v>418</v>
      </c>
      <c r="D3239" t="s">
        <v>419</v>
      </c>
      <c r="E3239" t="s">
        <v>420</v>
      </c>
      <c r="F3239" t="s">
        <v>410</v>
      </c>
      <c r="G3239">
        <v>15</v>
      </c>
      <c r="I3239">
        <v>15</v>
      </c>
    </row>
    <row r="3240" spans="1:17" x14ac:dyDescent="0.2">
      <c r="A3240" s="121">
        <v>40359</v>
      </c>
      <c r="B3240" t="s">
        <v>406</v>
      </c>
      <c r="C3240" t="s">
        <v>418</v>
      </c>
      <c r="D3240" t="s">
        <v>421</v>
      </c>
      <c r="E3240" t="s">
        <v>422</v>
      </c>
      <c r="F3240" t="s">
        <v>410</v>
      </c>
      <c r="G3240">
        <v>92</v>
      </c>
      <c r="I3240">
        <v>92</v>
      </c>
    </row>
    <row r="3241" spans="1:17" x14ac:dyDescent="0.2">
      <c r="A3241" s="121">
        <v>40359</v>
      </c>
      <c r="B3241" t="s">
        <v>406</v>
      </c>
      <c r="C3241" t="s">
        <v>418</v>
      </c>
      <c r="D3241" t="s">
        <v>423</v>
      </c>
      <c r="E3241" t="s">
        <v>424</v>
      </c>
      <c r="F3241" t="s">
        <v>410</v>
      </c>
      <c r="G3241">
        <v>26</v>
      </c>
      <c r="I3241">
        <v>26</v>
      </c>
    </row>
    <row r="3242" spans="1:17" x14ac:dyDescent="0.2">
      <c r="A3242" s="121">
        <v>40359</v>
      </c>
      <c r="B3242" t="s">
        <v>406</v>
      </c>
      <c r="C3242" t="s">
        <v>418</v>
      </c>
      <c r="D3242" t="s">
        <v>425</v>
      </c>
      <c r="E3242" t="s">
        <v>426</v>
      </c>
      <c r="F3242" t="s">
        <v>410</v>
      </c>
      <c r="G3242">
        <v>91</v>
      </c>
      <c r="I3242">
        <v>91</v>
      </c>
    </row>
    <row r="3243" spans="1:17" x14ac:dyDescent="0.2">
      <c r="A3243" s="121">
        <v>40359</v>
      </c>
      <c r="B3243" t="s">
        <v>406</v>
      </c>
      <c r="C3243" t="s">
        <v>418</v>
      </c>
      <c r="D3243" t="s">
        <v>427</v>
      </c>
      <c r="E3243" t="s">
        <v>428</v>
      </c>
      <c r="F3243" t="s">
        <v>413</v>
      </c>
      <c r="G3243">
        <v>2024</v>
      </c>
      <c r="H3243">
        <v>2024</v>
      </c>
      <c r="I3243">
        <v>1983</v>
      </c>
      <c r="J3243">
        <v>1983</v>
      </c>
      <c r="K3243">
        <v>656</v>
      </c>
      <c r="L3243">
        <v>5</v>
      </c>
      <c r="M3243">
        <v>1142</v>
      </c>
      <c r="N3243">
        <v>27</v>
      </c>
      <c r="O3243">
        <v>194</v>
      </c>
      <c r="P3243">
        <v>1</v>
      </c>
      <c r="Q3243">
        <v>0</v>
      </c>
    </row>
    <row r="3244" spans="1:17" x14ac:dyDescent="0.2">
      <c r="A3244" s="121">
        <v>40359</v>
      </c>
      <c r="B3244" t="s">
        <v>406</v>
      </c>
      <c r="C3244" t="s">
        <v>429</v>
      </c>
      <c r="D3244" t="s">
        <v>430</v>
      </c>
      <c r="E3244" t="s">
        <v>431</v>
      </c>
      <c r="F3244" t="s">
        <v>410</v>
      </c>
      <c r="G3244">
        <v>50</v>
      </c>
      <c r="I3244">
        <v>50</v>
      </c>
    </row>
    <row r="3245" spans="1:17" x14ac:dyDescent="0.2">
      <c r="A3245" s="121">
        <v>40359</v>
      </c>
      <c r="B3245" t="s">
        <v>406</v>
      </c>
      <c r="C3245" t="s">
        <v>429</v>
      </c>
      <c r="D3245" t="s">
        <v>432</v>
      </c>
      <c r="E3245" t="s">
        <v>433</v>
      </c>
      <c r="F3245" t="s">
        <v>410</v>
      </c>
      <c r="G3245">
        <v>81</v>
      </c>
      <c r="I3245">
        <v>81</v>
      </c>
    </row>
    <row r="3246" spans="1:17" x14ac:dyDescent="0.2">
      <c r="A3246" s="121">
        <v>40359</v>
      </c>
      <c r="B3246" t="s">
        <v>406</v>
      </c>
      <c r="C3246" t="s">
        <v>429</v>
      </c>
      <c r="D3246" t="s">
        <v>434</v>
      </c>
      <c r="E3246" t="s">
        <v>435</v>
      </c>
      <c r="F3246" t="s">
        <v>410</v>
      </c>
      <c r="G3246">
        <v>29</v>
      </c>
      <c r="I3246">
        <v>29</v>
      </c>
    </row>
    <row r="3247" spans="1:17" x14ac:dyDescent="0.2">
      <c r="A3247" s="121">
        <v>40359</v>
      </c>
      <c r="B3247" t="s">
        <v>406</v>
      </c>
      <c r="C3247" t="s">
        <v>429</v>
      </c>
      <c r="D3247" t="s">
        <v>436</v>
      </c>
      <c r="E3247" t="s">
        <v>437</v>
      </c>
      <c r="F3247" t="s">
        <v>410</v>
      </c>
      <c r="G3247">
        <v>39</v>
      </c>
      <c r="I3247">
        <v>39</v>
      </c>
    </row>
    <row r="3248" spans="1:17" x14ac:dyDescent="0.2">
      <c r="A3248" s="121">
        <v>40359</v>
      </c>
      <c r="B3248" t="s">
        <v>406</v>
      </c>
      <c r="C3248" t="s">
        <v>429</v>
      </c>
      <c r="D3248" t="s">
        <v>438</v>
      </c>
      <c r="E3248" t="s">
        <v>439</v>
      </c>
      <c r="F3248" t="s">
        <v>413</v>
      </c>
      <c r="G3248">
        <v>1067</v>
      </c>
      <c r="H3248">
        <v>1067</v>
      </c>
      <c r="I3248">
        <v>1048</v>
      </c>
      <c r="J3248">
        <v>1048</v>
      </c>
      <c r="K3248">
        <v>74</v>
      </c>
      <c r="L3248">
        <v>0</v>
      </c>
      <c r="M3248">
        <v>946</v>
      </c>
      <c r="N3248">
        <v>47</v>
      </c>
      <c r="O3248">
        <v>0</v>
      </c>
      <c r="P3248">
        <v>0</v>
      </c>
      <c r="Q3248">
        <v>0</v>
      </c>
    </row>
    <row r="3249" spans="1:17" x14ac:dyDescent="0.2">
      <c r="A3249" s="121">
        <v>40359</v>
      </c>
      <c r="B3249" t="s">
        <v>406</v>
      </c>
      <c r="C3249" t="s">
        <v>429</v>
      </c>
      <c r="D3249" t="s">
        <v>440</v>
      </c>
      <c r="E3249" t="s">
        <v>441</v>
      </c>
      <c r="F3249" t="s">
        <v>413</v>
      </c>
      <c r="G3249">
        <v>3246</v>
      </c>
      <c r="H3249">
        <v>3246</v>
      </c>
      <c r="I3249">
        <v>3100</v>
      </c>
      <c r="J3249">
        <v>3100</v>
      </c>
      <c r="K3249">
        <v>1001</v>
      </c>
      <c r="L3249">
        <v>0</v>
      </c>
      <c r="M3249">
        <v>2170</v>
      </c>
      <c r="N3249">
        <v>74</v>
      </c>
      <c r="O3249">
        <v>1</v>
      </c>
      <c r="P3249">
        <v>1</v>
      </c>
      <c r="Q3249">
        <v>1</v>
      </c>
    </row>
    <row r="3250" spans="1:17" x14ac:dyDescent="0.2">
      <c r="A3250" s="121">
        <v>40359</v>
      </c>
      <c r="B3250" t="s">
        <v>406</v>
      </c>
      <c r="C3250" t="s">
        <v>442</v>
      </c>
      <c r="D3250" t="s">
        <v>443</v>
      </c>
      <c r="E3250" t="s">
        <v>444</v>
      </c>
      <c r="F3250" t="s">
        <v>413</v>
      </c>
      <c r="G3250">
        <v>3599</v>
      </c>
      <c r="H3250">
        <v>3599</v>
      </c>
      <c r="I3250">
        <v>3472</v>
      </c>
      <c r="J3250">
        <v>3472</v>
      </c>
      <c r="K3250">
        <v>441</v>
      </c>
      <c r="L3250">
        <v>4</v>
      </c>
      <c r="M3250">
        <v>3024</v>
      </c>
      <c r="N3250">
        <v>37</v>
      </c>
      <c r="O3250">
        <v>93</v>
      </c>
      <c r="P3250">
        <v>12</v>
      </c>
      <c r="Q3250">
        <v>1</v>
      </c>
    </row>
    <row r="3251" spans="1:17" x14ac:dyDescent="0.2">
      <c r="A3251" s="121">
        <v>40359</v>
      </c>
      <c r="B3251" t="s">
        <v>406</v>
      </c>
      <c r="C3251" t="s">
        <v>442</v>
      </c>
      <c r="D3251" t="s">
        <v>445</v>
      </c>
      <c r="E3251" t="s">
        <v>446</v>
      </c>
      <c r="F3251" t="s">
        <v>410</v>
      </c>
      <c r="G3251">
        <v>135</v>
      </c>
      <c r="I3251">
        <v>135</v>
      </c>
    </row>
    <row r="3252" spans="1:17" x14ac:dyDescent="0.2">
      <c r="A3252" s="121">
        <v>40359</v>
      </c>
      <c r="B3252" t="s">
        <v>406</v>
      </c>
      <c r="C3252" t="s">
        <v>442</v>
      </c>
      <c r="D3252" t="s">
        <v>447</v>
      </c>
      <c r="E3252" t="s">
        <v>448</v>
      </c>
      <c r="F3252" t="s">
        <v>410</v>
      </c>
      <c r="G3252">
        <v>350</v>
      </c>
      <c r="I3252">
        <v>350</v>
      </c>
    </row>
    <row r="3253" spans="1:17" x14ac:dyDescent="0.2">
      <c r="A3253" s="121">
        <v>40359</v>
      </c>
      <c r="B3253" t="s">
        <v>406</v>
      </c>
      <c r="C3253" t="s">
        <v>442</v>
      </c>
      <c r="D3253" t="s">
        <v>449</v>
      </c>
      <c r="E3253" t="s">
        <v>450</v>
      </c>
      <c r="F3253" t="s">
        <v>413</v>
      </c>
      <c r="G3253">
        <v>3744</v>
      </c>
      <c r="H3253">
        <v>3744</v>
      </c>
      <c r="I3253">
        <v>3557</v>
      </c>
      <c r="J3253">
        <v>3557</v>
      </c>
      <c r="K3253">
        <v>770</v>
      </c>
      <c r="L3253">
        <v>1</v>
      </c>
      <c r="M3253">
        <v>2879</v>
      </c>
      <c r="N3253">
        <v>27</v>
      </c>
      <c r="O3253">
        <v>67</v>
      </c>
      <c r="P3253">
        <v>18</v>
      </c>
      <c r="Q3253">
        <v>0</v>
      </c>
    </row>
    <row r="3254" spans="1:17" x14ac:dyDescent="0.2">
      <c r="A3254" s="121">
        <v>40359</v>
      </c>
      <c r="B3254" t="s">
        <v>406</v>
      </c>
      <c r="C3254" t="s">
        <v>451</v>
      </c>
      <c r="D3254" t="s">
        <v>452</v>
      </c>
      <c r="E3254" t="s">
        <v>453</v>
      </c>
      <c r="F3254" t="s">
        <v>410</v>
      </c>
      <c r="G3254">
        <v>1877</v>
      </c>
      <c r="H3254">
        <v>1877</v>
      </c>
      <c r="I3254">
        <v>1876</v>
      </c>
      <c r="J3254">
        <v>1876</v>
      </c>
      <c r="K3254">
        <v>0</v>
      </c>
      <c r="L3254">
        <v>0</v>
      </c>
      <c r="M3254">
        <v>1395</v>
      </c>
      <c r="N3254">
        <v>137</v>
      </c>
      <c r="O3254">
        <v>345</v>
      </c>
      <c r="P3254">
        <v>0</v>
      </c>
      <c r="Q3254">
        <v>0</v>
      </c>
    </row>
    <row r="3255" spans="1:17" x14ac:dyDescent="0.2">
      <c r="A3255" s="121">
        <v>40359</v>
      </c>
      <c r="B3255" t="s">
        <v>406</v>
      </c>
      <c r="C3255" t="s">
        <v>451</v>
      </c>
      <c r="D3255" t="s">
        <v>454</v>
      </c>
      <c r="E3255" t="s">
        <v>455</v>
      </c>
      <c r="F3255" t="s">
        <v>413</v>
      </c>
      <c r="G3255">
        <v>4833</v>
      </c>
      <c r="H3255">
        <v>4833</v>
      </c>
      <c r="I3255">
        <v>4515</v>
      </c>
      <c r="J3255">
        <v>4515</v>
      </c>
      <c r="K3255">
        <v>1206</v>
      </c>
      <c r="L3255">
        <v>9</v>
      </c>
      <c r="M3255">
        <v>2783</v>
      </c>
      <c r="N3255">
        <v>41</v>
      </c>
      <c r="O3255">
        <v>794</v>
      </c>
      <c r="P3255">
        <v>10</v>
      </c>
      <c r="Q3255">
        <v>2</v>
      </c>
    </row>
    <row r="3256" spans="1:17" x14ac:dyDescent="0.2">
      <c r="A3256" s="121">
        <v>40359</v>
      </c>
      <c r="B3256" t="s">
        <v>406</v>
      </c>
      <c r="C3256" t="s">
        <v>456</v>
      </c>
      <c r="D3256" t="s">
        <v>457</v>
      </c>
      <c r="E3256" t="s">
        <v>458</v>
      </c>
      <c r="F3256" t="s">
        <v>413</v>
      </c>
      <c r="G3256">
        <v>5226</v>
      </c>
      <c r="H3256">
        <v>5226</v>
      </c>
      <c r="I3256">
        <v>5133</v>
      </c>
      <c r="J3256">
        <v>5133</v>
      </c>
      <c r="K3256">
        <v>1303</v>
      </c>
      <c r="L3256">
        <v>17</v>
      </c>
      <c r="M3256">
        <v>3802</v>
      </c>
      <c r="N3256">
        <v>70</v>
      </c>
      <c r="O3256">
        <v>34</v>
      </c>
      <c r="P3256">
        <v>10</v>
      </c>
      <c r="Q3256">
        <v>0</v>
      </c>
    </row>
    <row r="3257" spans="1:17" x14ac:dyDescent="0.2">
      <c r="A3257" s="121">
        <v>40359</v>
      </c>
      <c r="B3257" t="s">
        <v>406</v>
      </c>
      <c r="C3257" t="s">
        <v>456</v>
      </c>
      <c r="D3257" t="s">
        <v>459</v>
      </c>
      <c r="E3257" t="s">
        <v>460</v>
      </c>
      <c r="F3257" t="s">
        <v>413</v>
      </c>
      <c r="G3257">
        <v>1652</v>
      </c>
      <c r="H3257">
        <v>1652</v>
      </c>
      <c r="I3257">
        <v>1642</v>
      </c>
      <c r="J3257">
        <v>1642</v>
      </c>
      <c r="K3257">
        <v>378</v>
      </c>
      <c r="L3257">
        <v>0</v>
      </c>
      <c r="M3257">
        <v>1274</v>
      </c>
      <c r="N3257">
        <v>0</v>
      </c>
      <c r="O3257">
        <v>0</v>
      </c>
      <c r="P3257">
        <v>0</v>
      </c>
      <c r="Q3257">
        <v>0</v>
      </c>
    </row>
    <row r="3258" spans="1:17" x14ac:dyDescent="0.2">
      <c r="A3258" s="121">
        <v>40359</v>
      </c>
      <c r="B3258" t="s">
        <v>406</v>
      </c>
      <c r="C3258" t="s">
        <v>456</v>
      </c>
      <c r="D3258" t="s">
        <v>461</v>
      </c>
      <c r="E3258" t="s">
        <v>462</v>
      </c>
      <c r="F3258" t="s">
        <v>410</v>
      </c>
      <c r="G3258">
        <v>150</v>
      </c>
      <c r="I3258">
        <v>150</v>
      </c>
    </row>
    <row r="3259" spans="1:17" x14ac:dyDescent="0.2">
      <c r="A3259" s="121">
        <v>40359</v>
      </c>
      <c r="B3259" t="s">
        <v>406</v>
      </c>
      <c r="C3259" t="s">
        <v>456</v>
      </c>
      <c r="D3259" t="s">
        <v>463</v>
      </c>
      <c r="E3259" t="s">
        <v>464</v>
      </c>
      <c r="F3259" t="s">
        <v>410</v>
      </c>
      <c r="G3259">
        <v>43</v>
      </c>
      <c r="I3259">
        <v>43</v>
      </c>
    </row>
    <row r="3260" spans="1:17" x14ac:dyDescent="0.2">
      <c r="A3260" s="121">
        <v>40359</v>
      </c>
      <c r="B3260" t="s">
        <v>406</v>
      </c>
      <c r="C3260" t="s">
        <v>456</v>
      </c>
      <c r="D3260" t="s">
        <v>465</v>
      </c>
      <c r="E3260" t="s">
        <v>466</v>
      </c>
      <c r="F3260" t="s">
        <v>410</v>
      </c>
      <c r="G3260">
        <v>61</v>
      </c>
      <c r="I3260">
        <v>61</v>
      </c>
    </row>
    <row r="3261" spans="1:17" x14ac:dyDescent="0.2">
      <c r="A3261" s="121">
        <v>40359</v>
      </c>
      <c r="B3261" t="s">
        <v>406</v>
      </c>
      <c r="C3261" t="s">
        <v>456</v>
      </c>
      <c r="D3261" t="s">
        <v>467</v>
      </c>
      <c r="E3261" t="s">
        <v>468</v>
      </c>
      <c r="F3261" t="s">
        <v>410</v>
      </c>
      <c r="G3261">
        <v>1151</v>
      </c>
      <c r="I3261">
        <v>1148</v>
      </c>
    </row>
    <row r="3262" spans="1:17" x14ac:dyDescent="0.2">
      <c r="A3262" s="121">
        <v>40359</v>
      </c>
      <c r="B3262" t="s">
        <v>406</v>
      </c>
      <c r="C3262" t="s">
        <v>456</v>
      </c>
      <c r="D3262" t="s">
        <v>469</v>
      </c>
      <c r="E3262" t="s">
        <v>470</v>
      </c>
      <c r="F3262" t="s">
        <v>410</v>
      </c>
      <c r="G3262">
        <v>917</v>
      </c>
      <c r="I3262">
        <v>913</v>
      </c>
    </row>
    <row r="3263" spans="1:17" x14ac:dyDescent="0.2">
      <c r="A3263" s="121">
        <v>40359</v>
      </c>
      <c r="B3263" t="s">
        <v>406</v>
      </c>
      <c r="C3263" t="s">
        <v>456</v>
      </c>
      <c r="D3263" t="s">
        <v>471</v>
      </c>
      <c r="E3263" t="s">
        <v>472</v>
      </c>
      <c r="F3263" t="s">
        <v>410</v>
      </c>
      <c r="G3263">
        <v>289</v>
      </c>
      <c r="I3263">
        <v>289</v>
      </c>
    </row>
    <row r="3264" spans="1:17" x14ac:dyDescent="0.2">
      <c r="A3264" s="121">
        <v>40359</v>
      </c>
      <c r="B3264" t="s">
        <v>406</v>
      </c>
      <c r="C3264" t="s">
        <v>456</v>
      </c>
      <c r="D3264" t="s">
        <v>473</v>
      </c>
      <c r="E3264" t="s">
        <v>474</v>
      </c>
      <c r="F3264" t="s">
        <v>410</v>
      </c>
      <c r="G3264">
        <v>263</v>
      </c>
      <c r="I3264">
        <v>263</v>
      </c>
    </row>
    <row r="3265" spans="1:17" x14ac:dyDescent="0.2">
      <c r="A3265" s="121">
        <v>40359</v>
      </c>
      <c r="B3265" t="s">
        <v>406</v>
      </c>
      <c r="C3265" t="s">
        <v>456</v>
      </c>
      <c r="D3265" t="s">
        <v>475</v>
      </c>
      <c r="E3265" t="s">
        <v>476</v>
      </c>
      <c r="F3265" t="s">
        <v>410</v>
      </c>
      <c r="G3265">
        <v>325</v>
      </c>
      <c r="I3265">
        <v>325</v>
      </c>
    </row>
    <row r="3266" spans="1:17" x14ac:dyDescent="0.2">
      <c r="A3266" s="121">
        <v>40359</v>
      </c>
      <c r="B3266" t="s">
        <v>406</v>
      </c>
      <c r="C3266" t="s">
        <v>456</v>
      </c>
      <c r="D3266" t="s">
        <v>477</v>
      </c>
      <c r="E3266" t="s">
        <v>478</v>
      </c>
      <c r="F3266" t="s">
        <v>413</v>
      </c>
      <c r="G3266">
        <v>1966</v>
      </c>
      <c r="H3266">
        <v>1966</v>
      </c>
      <c r="I3266">
        <v>1948</v>
      </c>
      <c r="J3266">
        <v>1948</v>
      </c>
      <c r="K3266">
        <v>430</v>
      </c>
      <c r="L3266">
        <v>8</v>
      </c>
      <c r="M3266">
        <v>1490</v>
      </c>
      <c r="N3266">
        <v>19</v>
      </c>
      <c r="O3266">
        <v>19</v>
      </c>
      <c r="P3266">
        <v>0</v>
      </c>
      <c r="Q3266">
        <v>0</v>
      </c>
    </row>
    <row r="3267" spans="1:17" x14ac:dyDescent="0.2">
      <c r="A3267" s="121">
        <v>40359</v>
      </c>
      <c r="B3267" t="s">
        <v>406</v>
      </c>
      <c r="C3267" t="s">
        <v>456</v>
      </c>
      <c r="D3267" t="s">
        <v>479</v>
      </c>
      <c r="E3267" t="s">
        <v>480</v>
      </c>
      <c r="F3267" t="s">
        <v>410</v>
      </c>
      <c r="G3267">
        <v>95</v>
      </c>
      <c r="I3267">
        <v>95</v>
      </c>
    </row>
    <row r="3268" spans="1:17" x14ac:dyDescent="0.2">
      <c r="A3268" s="121">
        <v>40359</v>
      </c>
      <c r="B3268" t="s">
        <v>406</v>
      </c>
      <c r="C3268" t="s">
        <v>456</v>
      </c>
      <c r="D3268" t="s">
        <v>481</v>
      </c>
      <c r="E3268" t="s">
        <v>482</v>
      </c>
      <c r="F3268" t="s">
        <v>410</v>
      </c>
      <c r="G3268">
        <v>55</v>
      </c>
      <c r="I3268">
        <v>55</v>
      </c>
    </row>
    <row r="3269" spans="1:17" x14ac:dyDescent="0.2">
      <c r="A3269" s="121">
        <v>40359</v>
      </c>
      <c r="B3269" t="s">
        <v>406</v>
      </c>
      <c r="C3269" t="s">
        <v>456</v>
      </c>
      <c r="D3269" t="s">
        <v>483</v>
      </c>
      <c r="E3269" t="s">
        <v>484</v>
      </c>
      <c r="F3269" t="s">
        <v>410</v>
      </c>
      <c r="G3269">
        <v>77</v>
      </c>
      <c r="I3269">
        <v>77</v>
      </c>
    </row>
    <row r="3270" spans="1:17" x14ac:dyDescent="0.2">
      <c r="A3270" s="121">
        <v>40359</v>
      </c>
      <c r="B3270" t="s">
        <v>406</v>
      </c>
      <c r="C3270" t="s">
        <v>456</v>
      </c>
      <c r="D3270" t="s">
        <v>485</v>
      </c>
      <c r="E3270" t="s">
        <v>486</v>
      </c>
      <c r="F3270" t="s">
        <v>410</v>
      </c>
      <c r="G3270">
        <v>96</v>
      </c>
      <c r="I3270">
        <v>96</v>
      </c>
    </row>
    <row r="3271" spans="1:17" x14ac:dyDescent="0.2">
      <c r="A3271" s="121">
        <v>40359</v>
      </c>
      <c r="B3271" t="s">
        <v>406</v>
      </c>
      <c r="C3271" t="s">
        <v>456</v>
      </c>
      <c r="D3271" t="s">
        <v>487</v>
      </c>
      <c r="E3271" t="s">
        <v>488</v>
      </c>
      <c r="F3271" t="s">
        <v>410</v>
      </c>
      <c r="G3271">
        <v>28</v>
      </c>
      <c r="I3271">
        <v>28</v>
      </c>
    </row>
    <row r="3272" spans="1:17" x14ac:dyDescent="0.2">
      <c r="A3272" s="121">
        <v>40359</v>
      </c>
      <c r="B3272" t="s">
        <v>406</v>
      </c>
      <c r="C3272" t="s">
        <v>456</v>
      </c>
      <c r="D3272" t="s">
        <v>489</v>
      </c>
      <c r="E3272" t="s">
        <v>490</v>
      </c>
      <c r="F3272" t="s">
        <v>410</v>
      </c>
      <c r="G3272">
        <v>133</v>
      </c>
      <c r="H3272">
        <v>133</v>
      </c>
      <c r="I3272">
        <v>133</v>
      </c>
      <c r="J3272">
        <v>133</v>
      </c>
      <c r="K3272">
        <v>0</v>
      </c>
      <c r="L3272">
        <v>0</v>
      </c>
      <c r="M3272">
        <v>108</v>
      </c>
      <c r="N3272">
        <v>24</v>
      </c>
      <c r="O3272">
        <v>1</v>
      </c>
      <c r="P3272">
        <v>0</v>
      </c>
      <c r="Q3272">
        <v>0</v>
      </c>
    </row>
    <row r="3273" spans="1:17" x14ac:dyDescent="0.2">
      <c r="A3273" s="121">
        <v>40359</v>
      </c>
      <c r="B3273" t="s">
        <v>406</v>
      </c>
      <c r="C3273" t="s">
        <v>491</v>
      </c>
      <c r="D3273" t="s">
        <v>492</v>
      </c>
      <c r="E3273" t="s">
        <v>493</v>
      </c>
      <c r="F3273" t="s">
        <v>410</v>
      </c>
      <c r="G3273">
        <v>1463</v>
      </c>
      <c r="H3273">
        <v>1463</v>
      </c>
      <c r="I3273">
        <v>1453</v>
      </c>
      <c r="J3273">
        <v>1453</v>
      </c>
      <c r="K3273">
        <v>0</v>
      </c>
      <c r="L3273">
        <v>0</v>
      </c>
      <c r="M3273">
        <v>1</v>
      </c>
      <c r="N3273">
        <v>6</v>
      </c>
      <c r="O3273">
        <v>1456</v>
      </c>
      <c r="P3273">
        <v>0</v>
      </c>
      <c r="Q3273">
        <v>0</v>
      </c>
    </row>
    <row r="3274" spans="1:17" x14ac:dyDescent="0.2">
      <c r="A3274" s="121">
        <v>40359</v>
      </c>
      <c r="B3274" t="s">
        <v>406</v>
      </c>
      <c r="C3274" t="s">
        <v>491</v>
      </c>
      <c r="D3274" t="s">
        <v>494</v>
      </c>
      <c r="E3274" t="s">
        <v>495</v>
      </c>
      <c r="F3274" t="s">
        <v>413</v>
      </c>
      <c r="G3274">
        <v>2950</v>
      </c>
      <c r="H3274">
        <v>2950</v>
      </c>
      <c r="I3274">
        <v>2870</v>
      </c>
      <c r="J3274">
        <v>2870</v>
      </c>
      <c r="K3274">
        <v>0</v>
      </c>
      <c r="L3274">
        <v>0</v>
      </c>
      <c r="M3274">
        <v>10</v>
      </c>
      <c r="N3274">
        <v>24</v>
      </c>
      <c r="O3274">
        <v>2916</v>
      </c>
      <c r="P3274">
        <v>4</v>
      </c>
      <c r="Q3274">
        <v>0</v>
      </c>
    </row>
    <row r="3275" spans="1:17" x14ac:dyDescent="0.2">
      <c r="A3275" s="121">
        <v>40359</v>
      </c>
      <c r="B3275" t="s">
        <v>406</v>
      </c>
      <c r="C3275" t="s">
        <v>491</v>
      </c>
      <c r="D3275" t="s">
        <v>496</v>
      </c>
      <c r="E3275" t="s">
        <v>497</v>
      </c>
      <c r="F3275" t="s">
        <v>413</v>
      </c>
      <c r="G3275">
        <v>6423</v>
      </c>
      <c r="H3275">
        <v>6423</v>
      </c>
      <c r="I3275">
        <v>6205</v>
      </c>
      <c r="J3275">
        <v>6205</v>
      </c>
      <c r="K3275">
        <v>1465</v>
      </c>
      <c r="L3275">
        <v>0</v>
      </c>
      <c r="M3275">
        <v>25</v>
      </c>
      <c r="N3275">
        <v>56</v>
      </c>
      <c r="O3275">
        <v>4877</v>
      </c>
      <c r="P3275">
        <v>1</v>
      </c>
      <c r="Q3275">
        <v>0</v>
      </c>
    </row>
    <row r="3276" spans="1:17" x14ac:dyDescent="0.2">
      <c r="A3276" s="121">
        <v>40359</v>
      </c>
      <c r="B3276" t="s">
        <v>406</v>
      </c>
      <c r="C3276" t="s">
        <v>491</v>
      </c>
      <c r="D3276" t="s">
        <v>498</v>
      </c>
      <c r="E3276" t="s">
        <v>499</v>
      </c>
      <c r="F3276" t="s">
        <v>413</v>
      </c>
      <c r="G3276">
        <v>6180</v>
      </c>
      <c r="H3276">
        <v>6180</v>
      </c>
      <c r="I3276">
        <v>5937</v>
      </c>
      <c r="J3276">
        <v>5937</v>
      </c>
      <c r="K3276">
        <v>1595</v>
      </c>
      <c r="L3276">
        <v>10</v>
      </c>
      <c r="M3276">
        <v>4158</v>
      </c>
      <c r="N3276">
        <v>136</v>
      </c>
      <c r="O3276">
        <v>281</v>
      </c>
      <c r="P3276">
        <v>3</v>
      </c>
      <c r="Q3276">
        <v>0</v>
      </c>
    </row>
    <row r="3277" spans="1:17" x14ac:dyDescent="0.2">
      <c r="A3277" s="121">
        <v>40359</v>
      </c>
      <c r="B3277" t="s">
        <v>406</v>
      </c>
      <c r="C3277" t="s">
        <v>491</v>
      </c>
      <c r="D3277" t="s">
        <v>500</v>
      </c>
      <c r="E3277" t="s">
        <v>501</v>
      </c>
      <c r="F3277" t="s">
        <v>413</v>
      </c>
      <c r="G3277">
        <v>3945</v>
      </c>
      <c r="H3277">
        <v>3945</v>
      </c>
      <c r="I3277">
        <v>3929</v>
      </c>
      <c r="J3277">
        <v>3929</v>
      </c>
      <c r="K3277">
        <v>874</v>
      </c>
      <c r="L3277">
        <v>1</v>
      </c>
      <c r="M3277">
        <v>2778</v>
      </c>
      <c r="N3277">
        <v>56</v>
      </c>
      <c r="O3277">
        <v>236</v>
      </c>
      <c r="P3277">
        <v>0</v>
      </c>
      <c r="Q3277">
        <v>0</v>
      </c>
    </row>
    <row r="3278" spans="1:17" x14ac:dyDescent="0.2">
      <c r="A3278" s="121">
        <v>40359</v>
      </c>
      <c r="B3278" t="s">
        <v>406</v>
      </c>
      <c r="C3278" t="s">
        <v>491</v>
      </c>
      <c r="D3278" t="s">
        <v>502</v>
      </c>
      <c r="E3278" t="s">
        <v>615</v>
      </c>
      <c r="F3278" t="s">
        <v>410</v>
      </c>
      <c r="G3278">
        <v>1536</v>
      </c>
      <c r="H3278">
        <v>1536</v>
      </c>
      <c r="I3278">
        <v>1536</v>
      </c>
      <c r="J3278">
        <v>1536</v>
      </c>
      <c r="K3278">
        <v>0</v>
      </c>
      <c r="L3278">
        <v>0</v>
      </c>
      <c r="M3278">
        <v>1502</v>
      </c>
      <c r="N3278">
        <v>6</v>
      </c>
      <c r="O3278">
        <v>28</v>
      </c>
      <c r="P3278">
        <v>0</v>
      </c>
      <c r="Q3278">
        <v>0</v>
      </c>
    </row>
    <row r="3279" spans="1:17" x14ac:dyDescent="0.2">
      <c r="A3279" s="121">
        <v>40359</v>
      </c>
      <c r="B3279" t="s">
        <v>406</v>
      </c>
      <c r="C3279" t="s">
        <v>491</v>
      </c>
      <c r="D3279" t="s">
        <v>502</v>
      </c>
      <c r="E3279" t="s">
        <v>503</v>
      </c>
      <c r="F3279" t="s">
        <v>413</v>
      </c>
      <c r="G3279">
        <v>5423</v>
      </c>
      <c r="H3279">
        <v>5423</v>
      </c>
      <c r="I3279">
        <v>5187</v>
      </c>
      <c r="J3279">
        <v>5187</v>
      </c>
      <c r="K3279">
        <v>1444</v>
      </c>
      <c r="L3279">
        <v>13</v>
      </c>
      <c r="M3279">
        <v>3471</v>
      </c>
      <c r="N3279">
        <v>172</v>
      </c>
      <c r="O3279">
        <v>323</v>
      </c>
      <c r="P3279">
        <v>15</v>
      </c>
      <c r="Q3279">
        <v>0</v>
      </c>
    </row>
    <row r="3280" spans="1:17" x14ac:dyDescent="0.2">
      <c r="A3280" s="121">
        <v>40359</v>
      </c>
      <c r="B3280" t="s">
        <v>406</v>
      </c>
      <c r="C3280" t="s">
        <v>491</v>
      </c>
      <c r="D3280" t="s">
        <v>504</v>
      </c>
      <c r="E3280" t="s">
        <v>505</v>
      </c>
      <c r="F3280" t="s">
        <v>413</v>
      </c>
      <c r="G3280">
        <v>4133</v>
      </c>
      <c r="H3280">
        <v>4133</v>
      </c>
      <c r="I3280">
        <v>3987</v>
      </c>
      <c r="J3280">
        <v>3987</v>
      </c>
      <c r="K3280">
        <v>1171</v>
      </c>
      <c r="L3280">
        <v>9</v>
      </c>
      <c r="M3280">
        <v>2827</v>
      </c>
      <c r="N3280">
        <v>58</v>
      </c>
      <c r="O3280">
        <v>68</v>
      </c>
      <c r="P3280">
        <v>7</v>
      </c>
      <c r="Q3280">
        <v>0</v>
      </c>
    </row>
    <row r="3281" spans="1:17" x14ac:dyDescent="0.2">
      <c r="A3281" s="121">
        <v>40359</v>
      </c>
      <c r="B3281" t="s">
        <v>406</v>
      </c>
      <c r="C3281" t="s">
        <v>491</v>
      </c>
      <c r="D3281" t="s">
        <v>506</v>
      </c>
      <c r="E3281" t="s">
        <v>507</v>
      </c>
      <c r="F3281" t="s">
        <v>413</v>
      </c>
      <c r="G3281">
        <v>3567</v>
      </c>
      <c r="H3281">
        <v>3567</v>
      </c>
      <c r="I3281">
        <v>3510</v>
      </c>
      <c r="J3281">
        <v>3510</v>
      </c>
      <c r="K3281">
        <v>480</v>
      </c>
      <c r="L3281">
        <v>1</v>
      </c>
      <c r="M3281">
        <v>3079</v>
      </c>
      <c r="N3281">
        <v>2</v>
      </c>
      <c r="O3281">
        <v>5</v>
      </c>
      <c r="P3281">
        <v>0</v>
      </c>
      <c r="Q3281">
        <v>0</v>
      </c>
    </row>
    <row r="3282" spans="1:17" x14ac:dyDescent="0.2">
      <c r="A3282" s="121">
        <v>40359</v>
      </c>
      <c r="B3282" t="s">
        <v>406</v>
      </c>
      <c r="C3282" t="s">
        <v>491</v>
      </c>
      <c r="D3282" t="s">
        <v>508</v>
      </c>
      <c r="E3282" t="s">
        <v>509</v>
      </c>
      <c r="F3282" t="s">
        <v>413</v>
      </c>
      <c r="G3282">
        <v>5316</v>
      </c>
      <c r="H3282">
        <v>5316</v>
      </c>
      <c r="I3282">
        <v>5144</v>
      </c>
      <c r="J3282">
        <v>5144</v>
      </c>
      <c r="K3282">
        <v>1670</v>
      </c>
      <c r="L3282">
        <v>13</v>
      </c>
      <c r="M3282">
        <v>3179</v>
      </c>
      <c r="N3282">
        <v>157</v>
      </c>
      <c r="O3282">
        <v>297</v>
      </c>
      <c r="P3282">
        <v>2</v>
      </c>
      <c r="Q3282">
        <v>0</v>
      </c>
    </row>
    <row r="3283" spans="1:17" x14ac:dyDescent="0.2">
      <c r="A3283" s="121">
        <v>40359</v>
      </c>
      <c r="B3283" t="s">
        <v>406</v>
      </c>
      <c r="C3283" t="s">
        <v>510</v>
      </c>
      <c r="D3283" t="s">
        <v>513</v>
      </c>
      <c r="E3283" t="s">
        <v>514</v>
      </c>
      <c r="F3283" t="s">
        <v>410</v>
      </c>
      <c r="G3283">
        <v>671</v>
      </c>
      <c r="I3283">
        <v>665</v>
      </c>
    </row>
    <row r="3284" spans="1:17" x14ac:dyDescent="0.2">
      <c r="A3284" s="121">
        <v>40359</v>
      </c>
      <c r="B3284" t="s">
        <v>406</v>
      </c>
      <c r="C3284" t="s">
        <v>510</v>
      </c>
      <c r="D3284" t="s">
        <v>515</v>
      </c>
      <c r="E3284" t="s">
        <v>516</v>
      </c>
      <c r="F3284" t="s">
        <v>410</v>
      </c>
      <c r="G3284">
        <v>88</v>
      </c>
      <c r="I3284">
        <v>88</v>
      </c>
    </row>
    <row r="3285" spans="1:17" x14ac:dyDescent="0.2">
      <c r="A3285" s="121">
        <v>40359</v>
      </c>
      <c r="B3285" t="s">
        <v>406</v>
      </c>
      <c r="C3285" t="s">
        <v>510</v>
      </c>
      <c r="D3285" t="s">
        <v>519</v>
      </c>
      <c r="E3285" t="s">
        <v>520</v>
      </c>
      <c r="F3285" t="s">
        <v>410</v>
      </c>
      <c r="G3285">
        <v>378</v>
      </c>
      <c r="I3285">
        <v>376</v>
      </c>
    </row>
    <row r="3286" spans="1:17" x14ac:dyDescent="0.2">
      <c r="A3286" s="121">
        <v>40359</v>
      </c>
      <c r="B3286" t="s">
        <v>406</v>
      </c>
      <c r="C3286" t="s">
        <v>510</v>
      </c>
      <c r="D3286" t="s">
        <v>521</v>
      </c>
      <c r="E3286" t="s">
        <v>522</v>
      </c>
      <c r="F3286" t="s">
        <v>410</v>
      </c>
      <c r="G3286">
        <v>76</v>
      </c>
      <c r="I3286">
        <v>73</v>
      </c>
    </row>
    <row r="3287" spans="1:17" x14ac:dyDescent="0.2">
      <c r="A3287" s="121">
        <v>40359</v>
      </c>
      <c r="B3287" t="s">
        <v>406</v>
      </c>
      <c r="C3287" t="s">
        <v>510</v>
      </c>
      <c r="D3287" t="s">
        <v>523</v>
      </c>
      <c r="E3287" t="s">
        <v>524</v>
      </c>
      <c r="F3287" t="s">
        <v>413</v>
      </c>
      <c r="G3287">
        <v>606</v>
      </c>
      <c r="I3287">
        <v>599</v>
      </c>
    </row>
    <row r="3288" spans="1:17" x14ac:dyDescent="0.2">
      <c r="A3288" s="121">
        <v>40359</v>
      </c>
      <c r="B3288" t="s">
        <v>406</v>
      </c>
      <c r="C3288" t="s">
        <v>510</v>
      </c>
      <c r="D3288" t="s">
        <v>525</v>
      </c>
      <c r="E3288" t="s">
        <v>526</v>
      </c>
      <c r="F3288" t="s">
        <v>410</v>
      </c>
      <c r="G3288">
        <v>472</v>
      </c>
      <c r="I3288">
        <v>469</v>
      </c>
    </row>
    <row r="3289" spans="1:17" x14ac:dyDescent="0.2">
      <c r="A3289" s="121">
        <v>40359</v>
      </c>
      <c r="B3289" t="s">
        <v>406</v>
      </c>
      <c r="C3289" t="s">
        <v>510</v>
      </c>
      <c r="D3289" t="s">
        <v>527</v>
      </c>
      <c r="E3289" t="s">
        <v>528</v>
      </c>
      <c r="F3289" t="s">
        <v>410</v>
      </c>
      <c r="G3289">
        <v>204</v>
      </c>
      <c r="I3289">
        <v>204</v>
      </c>
    </row>
    <row r="3290" spans="1:17" x14ac:dyDescent="0.2">
      <c r="A3290" s="121">
        <v>40359</v>
      </c>
      <c r="B3290" t="s">
        <v>406</v>
      </c>
      <c r="C3290" t="s">
        <v>510</v>
      </c>
      <c r="D3290" t="s">
        <v>529</v>
      </c>
      <c r="E3290" t="s">
        <v>530</v>
      </c>
      <c r="F3290" t="s">
        <v>413</v>
      </c>
      <c r="G3290">
        <v>558</v>
      </c>
      <c r="I3290">
        <v>548</v>
      </c>
    </row>
    <row r="3291" spans="1:17" x14ac:dyDescent="0.2">
      <c r="A3291" s="121">
        <v>40359</v>
      </c>
      <c r="B3291" t="s">
        <v>406</v>
      </c>
      <c r="C3291" t="s">
        <v>510</v>
      </c>
      <c r="D3291" t="s">
        <v>531</v>
      </c>
      <c r="E3291" t="s">
        <v>532</v>
      </c>
      <c r="F3291" t="s">
        <v>410</v>
      </c>
      <c r="G3291">
        <v>72</v>
      </c>
      <c r="I3291">
        <v>72</v>
      </c>
    </row>
    <row r="3292" spans="1:17" x14ac:dyDescent="0.2">
      <c r="A3292" s="121">
        <v>40359</v>
      </c>
      <c r="B3292" t="s">
        <v>406</v>
      </c>
      <c r="C3292" t="s">
        <v>510</v>
      </c>
      <c r="D3292" t="s">
        <v>533</v>
      </c>
      <c r="E3292" t="s">
        <v>534</v>
      </c>
      <c r="F3292" t="s">
        <v>413</v>
      </c>
      <c r="G3292">
        <v>2853</v>
      </c>
      <c r="H3292">
        <v>2853</v>
      </c>
      <c r="I3292">
        <v>2810</v>
      </c>
      <c r="J3292">
        <v>2810</v>
      </c>
      <c r="K3292">
        <v>493</v>
      </c>
      <c r="L3292">
        <v>4</v>
      </c>
      <c r="M3292">
        <v>2351</v>
      </c>
      <c r="N3292">
        <v>5</v>
      </c>
      <c r="O3292">
        <v>0</v>
      </c>
      <c r="P3292">
        <v>2</v>
      </c>
      <c r="Q3292">
        <v>0</v>
      </c>
    </row>
    <row r="3293" spans="1:17" x14ac:dyDescent="0.2">
      <c r="A3293" s="121">
        <v>40359</v>
      </c>
      <c r="B3293" t="s">
        <v>406</v>
      </c>
      <c r="C3293" t="s">
        <v>510</v>
      </c>
      <c r="D3293" t="s">
        <v>535</v>
      </c>
      <c r="E3293" t="s">
        <v>536</v>
      </c>
      <c r="F3293" t="s">
        <v>410</v>
      </c>
      <c r="G3293">
        <v>290</v>
      </c>
      <c r="I3293">
        <v>290</v>
      </c>
    </row>
    <row r="3294" spans="1:17" x14ac:dyDescent="0.2">
      <c r="A3294" s="121">
        <v>40359</v>
      </c>
      <c r="B3294" t="s">
        <v>406</v>
      </c>
      <c r="C3294" t="s">
        <v>510</v>
      </c>
      <c r="D3294" t="s">
        <v>537</v>
      </c>
      <c r="E3294" t="s">
        <v>538</v>
      </c>
      <c r="F3294" t="s">
        <v>410</v>
      </c>
      <c r="G3294">
        <v>142</v>
      </c>
      <c r="I3294">
        <v>142</v>
      </c>
    </row>
    <row r="3295" spans="1:17" x14ac:dyDescent="0.2">
      <c r="A3295" s="121">
        <v>40359</v>
      </c>
      <c r="B3295" t="s">
        <v>406</v>
      </c>
      <c r="C3295" t="s">
        <v>510</v>
      </c>
      <c r="D3295" t="s">
        <v>539</v>
      </c>
      <c r="E3295" t="s">
        <v>540</v>
      </c>
      <c r="F3295" t="s">
        <v>413</v>
      </c>
      <c r="G3295">
        <v>940</v>
      </c>
      <c r="I3295">
        <v>928</v>
      </c>
    </row>
    <row r="3296" spans="1:17" x14ac:dyDescent="0.2">
      <c r="A3296" s="121">
        <v>40359</v>
      </c>
      <c r="B3296" t="s">
        <v>406</v>
      </c>
      <c r="C3296" t="s">
        <v>510</v>
      </c>
      <c r="D3296" t="s">
        <v>541</v>
      </c>
      <c r="E3296" t="s">
        <v>542</v>
      </c>
      <c r="F3296" t="s">
        <v>410</v>
      </c>
      <c r="G3296">
        <v>398</v>
      </c>
      <c r="I3296">
        <v>398</v>
      </c>
    </row>
    <row r="3297" spans="1:17" x14ac:dyDescent="0.2">
      <c r="A3297" s="121">
        <v>40359</v>
      </c>
      <c r="B3297" t="s">
        <v>406</v>
      </c>
      <c r="C3297" t="s">
        <v>510</v>
      </c>
      <c r="D3297" t="s">
        <v>543</v>
      </c>
      <c r="E3297" t="s">
        <v>544</v>
      </c>
      <c r="F3297" t="s">
        <v>410</v>
      </c>
      <c r="G3297">
        <v>291</v>
      </c>
      <c r="I3297">
        <v>291</v>
      </c>
    </row>
    <row r="3298" spans="1:17" x14ac:dyDescent="0.2">
      <c r="A3298" s="121">
        <v>40359</v>
      </c>
      <c r="B3298" t="s">
        <v>406</v>
      </c>
      <c r="C3298" t="s">
        <v>510</v>
      </c>
      <c r="D3298" t="s">
        <v>545</v>
      </c>
      <c r="E3298" t="s">
        <v>546</v>
      </c>
      <c r="F3298" t="s">
        <v>410</v>
      </c>
      <c r="G3298">
        <v>210</v>
      </c>
      <c r="I3298">
        <v>210</v>
      </c>
    </row>
    <row r="3299" spans="1:17" x14ac:dyDescent="0.2">
      <c r="A3299" s="121">
        <v>40359</v>
      </c>
      <c r="B3299" t="s">
        <v>406</v>
      </c>
      <c r="C3299" t="s">
        <v>510</v>
      </c>
      <c r="D3299" t="s">
        <v>547</v>
      </c>
      <c r="E3299" t="s">
        <v>548</v>
      </c>
      <c r="F3299" t="s">
        <v>410</v>
      </c>
      <c r="G3299">
        <v>158</v>
      </c>
      <c r="I3299">
        <v>158</v>
      </c>
    </row>
    <row r="3300" spans="1:17" x14ac:dyDescent="0.2">
      <c r="A3300" s="121">
        <v>40359</v>
      </c>
      <c r="B3300" t="s">
        <v>406</v>
      </c>
      <c r="C3300" t="s">
        <v>510</v>
      </c>
      <c r="D3300" t="s">
        <v>616</v>
      </c>
      <c r="E3300" t="s">
        <v>617</v>
      </c>
      <c r="F3300" t="s">
        <v>410</v>
      </c>
      <c r="G3300">
        <v>409</v>
      </c>
      <c r="I3300">
        <v>405</v>
      </c>
    </row>
    <row r="3301" spans="1:17" x14ac:dyDescent="0.2">
      <c r="A3301" s="121">
        <v>40359</v>
      </c>
      <c r="B3301" t="s">
        <v>406</v>
      </c>
      <c r="C3301" t="s">
        <v>510</v>
      </c>
      <c r="D3301" t="s">
        <v>549</v>
      </c>
      <c r="E3301" t="s">
        <v>550</v>
      </c>
      <c r="F3301" t="s">
        <v>410</v>
      </c>
      <c r="G3301">
        <v>246</v>
      </c>
      <c r="I3301">
        <v>246</v>
      </c>
    </row>
    <row r="3302" spans="1:17" x14ac:dyDescent="0.2">
      <c r="A3302" s="121">
        <v>40359</v>
      </c>
      <c r="B3302" t="s">
        <v>406</v>
      </c>
      <c r="C3302" t="s">
        <v>551</v>
      </c>
      <c r="D3302" t="s">
        <v>552</v>
      </c>
      <c r="E3302" t="s">
        <v>553</v>
      </c>
      <c r="F3302" t="s">
        <v>413</v>
      </c>
      <c r="G3302">
        <v>6007</v>
      </c>
      <c r="H3302">
        <v>6007</v>
      </c>
      <c r="I3302">
        <v>5923</v>
      </c>
      <c r="J3302">
        <v>5923</v>
      </c>
      <c r="K3302">
        <v>1576</v>
      </c>
      <c r="L3302">
        <v>12</v>
      </c>
      <c r="M3302">
        <v>4209</v>
      </c>
      <c r="N3302">
        <v>195</v>
      </c>
      <c r="O3302">
        <v>15</v>
      </c>
      <c r="P3302">
        <v>1</v>
      </c>
      <c r="Q3302">
        <v>0</v>
      </c>
    </row>
    <row r="3303" spans="1:17" x14ac:dyDescent="0.2">
      <c r="A3303" s="121">
        <v>40359</v>
      </c>
      <c r="B3303" t="s">
        <v>406</v>
      </c>
      <c r="C3303" t="s">
        <v>551</v>
      </c>
      <c r="D3303" t="s">
        <v>554</v>
      </c>
      <c r="E3303" t="s">
        <v>555</v>
      </c>
      <c r="F3303" t="s">
        <v>410</v>
      </c>
      <c r="G3303">
        <v>71</v>
      </c>
      <c r="I3303">
        <v>71</v>
      </c>
    </row>
    <row r="3304" spans="1:17" x14ac:dyDescent="0.2">
      <c r="A3304" s="121">
        <v>40359</v>
      </c>
      <c r="B3304" t="s">
        <v>406</v>
      </c>
      <c r="C3304" t="s">
        <v>551</v>
      </c>
      <c r="D3304" t="s">
        <v>556</v>
      </c>
      <c r="E3304" t="s">
        <v>557</v>
      </c>
      <c r="F3304" t="s">
        <v>410</v>
      </c>
      <c r="G3304">
        <v>111</v>
      </c>
      <c r="I3304">
        <v>111</v>
      </c>
    </row>
    <row r="3305" spans="1:17" x14ac:dyDescent="0.2">
      <c r="A3305" s="121">
        <v>40359</v>
      </c>
      <c r="B3305" t="s">
        <v>406</v>
      </c>
      <c r="C3305" t="s">
        <v>551</v>
      </c>
      <c r="D3305" t="s">
        <v>558</v>
      </c>
      <c r="E3305" t="s">
        <v>559</v>
      </c>
      <c r="F3305" t="s">
        <v>413</v>
      </c>
      <c r="G3305">
        <v>4933</v>
      </c>
      <c r="H3305">
        <v>4933</v>
      </c>
      <c r="I3305">
        <v>4809</v>
      </c>
      <c r="J3305">
        <v>4809</v>
      </c>
      <c r="K3305">
        <v>1133</v>
      </c>
      <c r="L3305">
        <v>3</v>
      </c>
      <c r="M3305">
        <v>3669</v>
      </c>
      <c r="N3305">
        <v>103</v>
      </c>
      <c r="O3305">
        <v>25</v>
      </c>
      <c r="P3305">
        <v>1</v>
      </c>
      <c r="Q3305">
        <v>0</v>
      </c>
    </row>
    <row r="3306" spans="1:17" x14ac:dyDescent="0.2">
      <c r="A3306" s="121">
        <v>40359</v>
      </c>
      <c r="B3306" t="s">
        <v>406</v>
      </c>
      <c r="C3306" t="s">
        <v>551</v>
      </c>
      <c r="D3306" t="s">
        <v>560</v>
      </c>
      <c r="E3306" t="s">
        <v>561</v>
      </c>
      <c r="F3306" t="s">
        <v>413</v>
      </c>
      <c r="G3306">
        <v>5758</v>
      </c>
      <c r="H3306">
        <v>5758</v>
      </c>
      <c r="I3306">
        <v>5693</v>
      </c>
      <c r="J3306">
        <v>5693</v>
      </c>
      <c r="K3306">
        <v>1314</v>
      </c>
      <c r="L3306">
        <v>10</v>
      </c>
      <c r="M3306">
        <v>4158</v>
      </c>
      <c r="N3306">
        <v>263</v>
      </c>
      <c r="O3306">
        <v>13</v>
      </c>
      <c r="P3306">
        <v>2</v>
      </c>
      <c r="Q3306">
        <v>0</v>
      </c>
    </row>
    <row r="3307" spans="1:17" x14ac:dyDescent="0.2">
      <c r="A3307" s="121">
        <v>40359</v>
      </c>
      <c r="B3307" t="s">
        <v>406</v>
      </c>
      <c r="C3307" t="s">
        <v>562</v>
      </c>
      <c r="D3307" t="s">
        <v>603</v>
      </c>
      <c r="E3307" t="s">
        <v>604</v>
      </c>
      <c r="F3307" t="s">
        <v>410</v>
      </c>
      <c r="G3307">
        <v>16</v>
      </c>
      <c r="I3307">
        <v>16</v>
      </c>
    </row>
    <row r="3308" spans="1:17" x14ac:dyDescent="0.2">
      <c r="A3308" s="121">
        <v>40359</v>
      </c>
      <c r="B3308" t="s">
        <v>406</v>
      </c>
      <c r="C3308" t="s">
        <v>562</v>
      </c>
      <c r="D3308" t="s">
        <v>605</v>
      </c>
      <c r="E3308" t="s">
        <v>606</v>
      </c>
      <c r="F3308" t="s">
        <v>410</v>
      </c>
      <c r="G3308">
        <v>167</v>
      </c>
      <c r="I3308">
        <v>167</v>
      </c>
    </row>
    <row r="3309" spans="1:17" x14ac:dyDescent="0.2">
      <c r="A3309" s="121">
        <v>40359</v>
      </c>
      <c r="B3309" t="s">
        <v>406</v>
      </c>
      <c r="C3309" t="s">
        <v>562</v>
      </c>
      <c r="D3309" t="s">
        <v>563</v>
      </c>
      <c r="E3309" t="s">
        <v>564</v>
      </c>
      <c r="F3309" t="s">
        <v>410</v>
      </c>
      <c r="G3309">
        <v>3044</v>
      </c>
      <c r="H3309">
        <v>3044</v>
      </c>
      <c r="I3309">
        <v>3002</v>
      </c>
      <c r="J3309">
        <v>3002</v>
      </c>
      <c r="K3309">
        <v>911</v>
      </c>
      <c r="L3309">
        <v>1</v>
      </c>
      <c r="M3309">
        <v>2110</v>
      </c>
      <c r="N3309">
        <v>22</v>
      </c>
      <c r="O3309">
        <v>0</v>
      </c>
      <c r="P3309">
        <v>0</v>
      </c>
      <c r="Q3309">
        <v>0</v>
      </c>
    </row>
    <row r="3310" spans="1:17" x14ac:dyDescent="0.2">
      <c r="A3310" s="121">
        <v>40359</v>
      </c>
      <c r="B3310" t="s">
        <v>406</v>
      </c>
      <c r="C3310" t="s">
        <v>562</v>
      </c>
      <c r="D3310" t="s">
        <v>565</v>
      </c>
      <c r="E3310" t="s">
        <v>566</v>
      </c>
      <c r="F3310" t="s">
        <v>413</v>
      </c>
      <c r="G3310">
        <v>4394</v>
      </c>
      <c r="H3310">
        <v>4394</v>
      </c>
      <c r="I3310">
        <v>4176</v>
      </c>
      <c r="J3310">
        <v>4176</v>
      </c>
      <c r="K3310">
        <v>1070</v>
      </c>
      <c r="L3310">
        <v>4</v>
      </c>
      <c r="M3310">
        <v>3199</v>
      </c>
      <c r="N3310">
        <v>121</v>
      </c>
      <c r="O3310">
        <v>0</v>
      </c>
      <c r="P3310">
        <v>29</v>
      </c>
      <c r="Q3310">
        <v>8</v>
      </c>
    </row>
    <row r="3311" spans="1:17" x14ac:dyDescent="0.2">
      <c r="A3311" s="121">
        <v>40359</v>
      </c>
      <c r="B3311" t="s">
        <v>406</v>
      </c>
      <c r="C3311" t="s">
        <v>562</v>
      </c>
      <c r="D3311" t="s">
        <v>567</v>
      </c>
      <c r="E3311" t="s">
        <v>568</v>
      </c>
      <c r="F3311" t="s">
        <v>413</v>
      </c>
      <c r="G3311">
        <v>9283</v>
      </c>
      <c r="H3311">
        <v>9283</v>
      </c>
      <c r="I3311">
        <v>8629</v>
      </c>
      <c r="J3311">
        <v>8629</v>
      </c>
      <c r="K3311">
        <v>2512</v>
      </c>
      <c r="L3311">
        <v>18</v>
      </c>
      <c r="M3311">
        <v>6213</v>
      </c>
      <c r="N3311">
        <v>540</v>
      </c>
      <c r="O3311">
        <v>0</v>
      </c>
      <c r="P3311">
        <v>55</v>
      </c>
      <c r="Q3311">
        <v>0</v>
      </c>
    </row>
    <row r="3312" spans="1:17" x14ac:dyDescent="0.2">
      <c r="A3312" s="121">
        <v>40359</v>
      </c>
      <c r="B3312" t="s">
        <v>406</v>
      </c>
      <c r="C3312" t="s">
        <v>562</v>
      </c>
      <c r="D3312" t="s">
        <v>569</v>
      </c>
      <c r="E3312" t="s">
        <v>570</v>
      </c>
      <c r="F3312" t="s">
        <v>413</v>
      </c>
      <c r="G3312">
        <v>3339</v>
      </c>
      <c r="H3312">
        <v>3339</v>
      </c>
      <c r="I3312">
        <v>3313</v>
      </c>
      <c r="J3312">
        <v>3313</v>
      </c>
      <c r="K3312">
        <v>451</v>
      </c>
      <c r="L3312">
        <v>1</v>
      </c>
      <c r="M3312">
        <v>2886</v>
      </c>
      <c r="N3312">
        <v>1</v>
      </c>
      <c r="O3312">
        <v>0</v>
      </c>
      <c r="P3312">
        <v>0</v>
      </c>
      <c r="Q3312">
        <v>0</v>
      </c>
    </row>
    <row r="3313" spans="1:17" x14ac:dyDescent="0.2">
      <c r="A3313" s="121">
        <v>40359</v>
      </c>
      <c r="B3313" t="s">
        <v>406</v>
      </c>
      <c r="C3313" t="s">
        <v>571</v>
      </c>
      <c r="D3313" t="s">
        <v>572</v>
      </c>
      <c r="E3313" t="s">
        <v>573</v>
      </c>
      <c r="F3313" t="s">
        <v>410</v>
      </c>
      <c r="G3313">
        <v>301</v>
      </c>
      <c r="I3313">
        <v>300</v>
      </c>
    </row>
    <row r="3314" spans="1:17" x14ac:dyDescent="0.2">
      <c r="A3314" s="121">
        <v>40359</v>
      </c>
      <c r="B3314" t="s">
        <v>406</v>
      </c>
      <c r="C3314" t="s">
        <v>574</v>
      </c>
      <c r="D3314" t="s">
        <v>575</v>
      </c>
      <c r="E3314" t="s">
        <v>576</v>
      </c>
      <c r="F3314" t="s">
        <v>413</v>
      </c>
      <c r="G3314">
        <v>819</v>
      </c>
      <c r="H3314">
        <v>819</v>
      </c>
      <c r="I3314">
        <v>813</v>
      </c>
      <c r="J3314">
        <v>813</v>
      </c>
      <c r="K3314">
        <v>176</v>
      </c>
      <c r="L3314">
        <v>0</v>
      </c>
      <c r="M3314">
        <v>597</v>
      </c>
      <c r="N3314">
        <v>6</v>
      </c>
      <c r="O3314">
        <v>40</v>
      </c>
      <c r="P3314">
        <v>0</v>
      </c>
      <c r="Q3314">
        <v>0</v>
      </c>
    </row>
    <row r="3315" spans="1:17" x14ac:dyDescent="0.2">
      <c r="A3315" s="121">
        <v>40359</v>
      </c>
      <c r="B3315" t="s">
        <v>406</v>
      </c>
      <c r="C3315" t="s">
        <v>577</v>
      </c>
      <c r="D3315" t="s">
        <v>578</v>
      </c>
      <c r="E3315" t="s">
        <v>579</v>
      </c>
      <c r="F3315" t="s">
        <v>413</v>
      </c>
      <c r="G3315">
        <v>4086</v>
      </c>
      <c r="H3315">
        <v>4086</v>
      </c>
      <c r="I3315">
        <v>4046</v>
      </c>
      <c r="J3315">
        <v>4046</v>
      </c>
      <c r="K3315">
        <v>1087</v>
      </c>
      <c r="L3315">
        <v>16</v>
      </c>
      <c r="M3315">
        <v>2926</v>
      </c>
      <c r="N3315">
        <v>57</v>
      </c>
      <c r="O3315">
        <v>0</v>
      </c>
      <c r="P3315">
        <v>0</v>
      </c>
      <c r="Q3315">
        <v>0</v>
      </c>
    </row>
    <row r="3316" spans="1:17" x14ac:dyDescent="0.2">
      <c r="A3316" s="121">
        <v>40359</v>
      </c>
      <c r="B3316" t="s">
        <v>406</v>
      </c>
      <c r="C3316" t="s">
        <v>577</v>
      </c>
      <c r="D3316" t="s">
        <v>580</v>
      </c>
      <c r="E3316" t="s">
        <v>581</v>
      </c>
      <c r="F3316" t="s">
        <v>413</v>
      </c>
      <c r="G3316">
        <v>2327</v>
      </c>
      <c r="H3316">
        <v>2327</v>
      </c>
      <c r="I3316">
        <v>2299</v>
      </c>
      <c r="J3316">
        <v>2299</v>
      </c>
      <c r="K3316">
        <v>325</v>
      </c>
      <c r="L3316">
        <v>4</v>
      </c>
      <c r="M3316">
        <v>1692</v>
      </c>
      <c r="N3316">
        <v>267</v>
      </c>
      <c r="O3316">
        <v>39</v>
      </c>
      <c r="P3316">
        <v>0</v>
      </c>
      <c r="Q3316">
        <v>0</v>
      </c>
    </row>
    <row r="3317" spans="1:17" x14ac:dyDescent="0.2">
      <c r="A3317" s="121">
        <v>40359</v>
      </c>
      <c r="B3317" t="s">
        <v>406</v>
      </c>
      <c r="C3317" t="s">
        <v>577</v>
      </c>
      <c r="D3317" t="s">
        <v>609</v>
      </c>
      <c r="E3317" t="s">
        <v>610</v>
      </c>
      <c r="F3317" t="s">
        <v>410</v>
      </c>
      <c r="G3317">
        <v>38</v>
      </c>
      <c r="H3317">
        <v>38</v>
      </c>
      <c r="I3317">
        <v>38</v>
      </c>
      <c r="J3317">
        <v>38</v>
      </c>
      <c r="K3317">
        <v>8</v>
      </c>
      <c r="L3317">
        <v>0</v>
      </c>
      <c r="M3317">
        <v>28</v>
      </c>
      <c r="N3317">
        <v>0</v>
      </c>
      <c r="O3317">
        <v>2</v>
      </c>
      <c r="P3317">
        <v>0</v>
      </c>
      <c r="Q3317">
        <v>0</v>
      </c>
    </row>
    <row r="3318" spans="1:17" x14ac:dyDescent="0.2">
      <c r="A3318" s="121">
        <v>40359</v>
      </c>
      <c r="B3318" t="s">
        <v>406</v>
      </c>
      <c r="C3318" t="s">
        <v>577</v>
      </c>
      <c r="D3318" t="s">
        <v>611</v>
      </c>
      <c r="E3318" t="s">
        <v>612</v>
      </c>
      <c r="F3318" t="s">
        <v>410</v>
      </c>
      <c r="G3318">
        <v>5</v>
      </c>
      <c r="H3318">
        <v>5</v>
      </c>
      <c r="I3318">
        <v>5</v>
      </c>
      <c r="J3318">
        <v>5</v>
      </c>
      <c r="K3318">
        <v>0</v>
      </c>
      <c r="L3318">
        <v>0</v>
      </c>
      <c r="M3318">
        <v>2</v>
      </c>
      <c r="N3318">
        <v>1</v>
      </c>
      <c r="O3318">
        <v>2</v>
      </c>
      <c r="P3318">
        <v>0</v>
      </c>
      <c r="Q3318">
        <v>0</v>
      </c>
    </row>
    <row r="3319" spans="1:17" x14ac:dyDescent="0.2">
      <c r="A3319" s="121">
        <v>40359</v>
      </c>
      <c r="B3319" t="s">
        <v>406</v>
      </c>
      <c r="C3319" t="s">
        <v>577</v>
      </c>
      <c r="D3319" t="s">
        <v>584</v>
      </c>
      <c r="E3319" t="s">
        <v>585</v>
      </c>
      <c r="F3319" t="s">
        <v>410</v>
      </c>
      <c r="G3319">
        <v>294</v>
      </c>
      <c r="H3319">
        <v>294</v>
      </c>
      <c r="I3319">
        <v>294</v>
      </c>
      <c r="J3319">
        <v>294</v>
      </c>
      <c r="K3319">
        <v>28</v>
      </c>
      <c r="L3319">
        <v>0</v>
      </c>
      <c r="M3319">
        <v>248</v>
      </c>
      <c r="N3319">
        <v>14</v>
      </c>
      <c r="O3319">
        <v>4</v>
      </c>
      <c r="P3319">
        <v>0</v>
      </c>
      <c r="Q3319">
        <v>0</v>
      </c>
    </row>
    <row r="3320" spans="1:17" x14ac:dyDescent="0.2">
      <c r="A3320" s="121">
        <v>40359</v>
      </c>
      <c r="B3320" t="s">
        <v>406</v>
      </c>
      <c r="C3320" t="s">
        <v>577</v>
      </c>
      <c r="D3320" t="s">
        <v>586</v>
      </c>
      <c r="E3320" t="s">
        <v>587</v>
      </c>
      <c r="F3320" t="s">
        <v>410</v>
      </c>
      <c r="G3320">
        <v>1232</v>
      </c>
      <c r="H3320">
        <v>1232</v>
      </c>
      <c r="I3320">
        <v>1232</v>
      </c>
      <c r="J3320">
        <v>1232</v>
      </c>
      <c r="K3320">
        <v>95</v>
      </c>
      <c r="L3320">
        <v>0</v>
      </c>
      <c r="M3320">
        <v>972</v>
      </c>
      <c r="N3320">
        <v>0</v>
      </c>
      <c r="O3320">
        <v>165</v>
      </c>
      <c r="P3320">
        <v>0</v>
      </c>
      <c r="Q3320">
        <v>0</v>
      </c>
    </row>
    <row r="3321" spans="1:17" x14ac:dyDescent="0.2">
      <c r="A3321" s="121">
        <v>40359</v>
      </c>
      <c r="B3321" t="s">
        <v>406</v>
      </c>
      <c r="C3321" t="s">
        <v>577</v>
      </c>
      <c r="D3321" t="s">
        <v>588</v>
      </c>
      <c r="E3321" t="s">
        <v>589</v>
      </c>
      <c r="F3321" t="s">
        <v>410</v>
      </c>
      <c r="G3321">
        <v>299</v>
      </c>
      <c r="H3321">
        <v>299</v>
      </c>
      <c r="I3321">
        <v>299</v>
      </c>
      <c r="J3321">
        <v>299</v>
      </c>
      <c r="K3321">
        <v>11</v>
      </c>
      <c r="L3321">
        <v>0</v>
      </c>
      <c r="M3321">
        <v>259</v>
      </c>
      <c r="N3321">
        <v>3</v>
      </c>
      <c r="O3321">
        <v>26</v>
      </c>
      <c r="P3321">
        <v>0</v>
      </c>
      <c r="Q3321">
        <v>0</v>
      </c>
    </row>
    <row r="3322" spans="1:17" x14ac:dyDescent="0.2">
      <c r="A3322" s="121">
        <v>40359</v>
      </c>
      <c r="B3322" t="s">
        <v>406</v>
      </c>
      <c r="C3322" t="s">
        <v>577</v>
      </c>
      <c r="D3322" t="s">
        <v>613</v>
      </c>
      <c r="E3322" t="s">
        <v>614</v>
      </c>
      <c r="F3322" t="s">
        <v>410</v>
      </c>
      <c r="G3322">
        <v>196</v>
      </c>
      <c r="H3322">
        <v>196</v>
      </c>
      <c r="I3322">
        <v>196</v>
      </c>
      <c r="J3322">
        <v>196</v>
      </c>
      <c r="K3322">
        <v>28</v>
      </c>
      <c r="L3322">
        <v>0</v>
      </c>
      <c r="M3322">
        <v>146</v>
      </c>
      <c r="N3322">
        <v>14</v>
      </c>
      <c r="O3322">
        <v>8</v>
      </c>
      <c r="P3322">
        <v>0</v>
      </c>
      <c r="Q3322">
        <v>0</v>
      </c>
    </row>
    <row r="3323" spans="1:17" x14ac:dyDescent="0.2">
      <c r="A3323" s="121">
        <v>40359</v>
      </c>
      <c r="B3323" t="s">
        <v>406</v>
      </c>
      <c r="C3323" t="s">
        <v>577</v>
      </c>
      <c r="D3323" t="s">
        <v>590</v>
      </c>
      <c r="E3323" t="s">
        <v>591</v>
      </c>
      <c r="F3323" t="s">
        <v>410</v>
      </c>
      <c r="G3323">
        <v>612</v>
      </c>
      <c r="H3323">
        <v>612</v>
      </c>
      <c r="I3323">
        <v>612</v>
      </c>
      <c r="J3323">
        <v>612</v>
      </c>
      <c r="K3323">
        <v>26</v>
      </c>
      <c r="L3323">
        <v>0</v>
      </c>
      <c r="M3323">
        <v>565</v>
      </c>
      <c r="N3323">
        <v>0</v>
      </c>
      <c r="O3323">
        <v>21</v>
      </c>
      <c r="P3323">
        <v>0</v>
      </c>
      <c r="Q3323">
        <v>0</v>
      </c>
    </row>
    <row r="3324" spans="1:17" x14ac:dyDescent="0.2">
      <c r="A3324" s="121">
        <v>40359</v>
      </c>
      <c r="B3324" t="s">
        <v>406</v>
      </c>
      <c r="C3324" t="s">
        <v>577</v>
      </c>
      <c r="D3324" t="s">
        <v>607</v>
      </c>
      <c r="E3324" t="s">
        <v>608</v>
      </c>
      <c r="F3324" t="s">
        <v>410</v>
      </c>
      <c r="G3324">
        <v>182</v>
      </c>
      <c r="H3324">
        <v>182</v>
      </c>
      <c r="I3324">
        <v>182</v>
      </c>
      <c r="J3324">
        <v>182</v>
      </c>
      <c r="K3324">
        <v>17</v>
      </c>
      <c r="L3324">
        <v>0</v>
      </c>
      <c r="M3324">
        <v>163</v>
      </c>
      <c r="N3324">
        <v>0</v>
      </c>
      <c r="O3324">
        <v>2</v>
      </c>
      <c r="P3324">
        <v>0</v>
      </c>
      <c r="Q3324">
        <v>0</v>
      </c>
    </row>
    <row r="3325" spans="1:17" x14ac:dyDescent="0.2">
      <c r="A3325" s="121">
        <v>40359</v>
      </c>
      <c r="B3325" t="s">
        <v>406</v>
      </c>
      <c r="C3325" t="s">
        <v>577</v>
      </c>
      <c r="D3325" t="s">
        <v>592</v>
      </c>
      <c r="E3325" t="s">
        <v>593</v>
      </c>
      <c r="F3325" t="s">
        <v>410</v>
      </c>
      <c r="G3325">
        <v>673</v>
      </c>
      <c r="H3325">
        <v>673</v>
      </c>
      <c r="I3325">
        <v>672</v>
      </c>
      <c r="J3325">
        <v>672</v>
      </c>
      <c r="K3325">
        <v>33</v>
      </c>
      <c r="L3325">
        <v>0</v>
      </c>
      <c r="M3325">
        <v>550</v>
      </c>
      <c r="N3325">
        <v>0</v>
      </c>
      <c r="O3325">
        <v>90</v>
      </c>
      <c r="P3325">
        <v>0</v>
      </c>
      <c r="Q3325">
        <v>0</v>
      </c>
    </row>
    <row r="3326" spans="1:17" x14ac:dyDescent="0.2">
      <c r="A3326" s="121">
        <v>40359</v>
      </c>
      <c r="B3326" t="s">
        <v>406</v>
      </c>
      <c r="C3326" t="s">
        <v>594</v>
      </c>
      <c r="D3326" t="s">
        <v>595</v>
      </c>
      <c r="E3326" t="s">
        <v>596</v>
      </c>
      <c r="F3326" t="s">
        <v>410</v>
      </c>
      <c r="G3326">
        <v>38</v>
      </c>
      <c r="I3326">
        <v>38</v>
      </c>
    </row>
    <row r="3327" spans="1:17" x14ac:dyDescent="0.2">
      <c r="A3327" s="121">
        <v>40359</v>
      </c>
      <c r="B3327" t="s">
        <v>406</v>
      </c>
      <c r="C3327" t="s">
        <v>594</v>
      </c>
      <c r="D3327" t="s">
        <v>597</v>
      </c>
      <c r="E3327" t="s">
        <v>598</v>
      </c>
      <c r="F3327" t="s">
        <v>413</v>
      </c>
      <c r="G3327">
        <v>578</v>
      </c>
      <c r="H3327">
        <v>578</v>
      </c>
      <c r="I3327">
        <v>577</v>
      </c>
      <c r="J3327">
        <v>577</v>
      </c>
      <c r="K3327">
        <v>122</v>
      </c>
      <c r="L3327">
        <v>0</v>
      </c>
      <c r="M3327">
        <v>447</v>
      </c>
      <c r="N3327">
        <v>1</v>
      </c>
      <c r="O3327">
        <v>8</v>
      </c>
      <c r="P3327">
        <v>0</v>
      </c>
      <c r="Q3327">
        <v>0</v>
      </c>
    </row>
    <row r="3328" spans="1:17" x14ac:dyDescent="0.2">
      <c r="A3328" s="121">
        <v>40359</v>
      </c>
      <c r="B3328" t="s">
        <v>406</v>
      </c>
      <c r="C3328" t="s">
        <v>594</v>
      </c>
      <c r="D3328" t="s">
        <v>599</v>
      </c>
      <c r="E3328" t="s">
        <v>600</v>
      </c>
      <c r="F3328" t="s">
        <v>410</v>
      </c>
      <c r="G3328">
        <v>107</v>
      </c>
      <c r="I3328">
        <v>107</v>
      </c>
    </row>
    <row r="3329" spans="1:17" x14ac:dyDescent="0.2">
      <c r="A3329" s="121">
        <v>40390</v>
      </c>
      <c r="B3329" t="s">
        <v>406</v>
      </c>
      <c r="C3329" t="s">
        <v>407</v>
      </c>
      <c r="D3329" t="s">
        <v>408</v>
      </c>
      <c r="E3329" t="s">
        <v>409</v>
      </c>
      <c r="F3329" t="s">
        <v>410</v>
      </c>
      <c r="G3329">
        <v>302</v>
      </c>
      <c r="I3329">
        <v>302</v>
      </c>
    </row>
    <row r="3330" spans="1:17" x14ac:dyDescent="0.2">
      <c r="A3330" s="121">
        <v>40390</v>
      </c>
      <c r="B3330" t="s">
        <v>406</v>
      </c>
      <c r="C3330" t="s">
        <v>407</v>
      </c>
      <c r="D3330" t="s">
        <v>601</v>
      </c>
      <c r="E3330" t="s">
        <v>602</v>
      </c>
      <c r="F3330" t="s">
        <v>410</v>
      </c>
      <c r="G3330">
        <v>72</v>
      </c>
      <c r="I3330">
        <v>72</v>
      </c>
    </row>
    <row r="3331" spans="1:17" x14ac:dyDescent="0.2">
      <c r="A3331" s="121">
        <v>40390</v>
      </c>
      <c r="B3331" t="s">
        <v>406</v>
      </c>
      <c r="C3331" t="s">
        <v>407</v>
      </c>
      <c r="D3331" t="s">
        <v>411</v>
      </c>
      <c r="E3331" t="s">
        <v>412</v>
      </c>
      <c r="F3331" t="s">
        <v>413</v>
      </c>
      <c r="G3331">
        <v>5516</v>
      </c>
      <c r="H3331">
        <v>5516</v>
      </c>
      <c r="I3331">
        <v>5403</v>
      </c>
      <c r="J3331">
        <v>5403</v>
      </c>
      <c r="K3331">
        <v>2097</v>
      </c>
      <c r="L3331">
        <v>7</v>
      </c>
      <c r="M3331">
        <v>3126</v>
      </c>
      <c r="N3331">
        <v>35</v>
      </c>
      <c r="O3331">
        <v>251</v>
      </c>
      <c r="P3331">
        <v>3</v>
      </c>
      <c r="Q3331">
        <v>0</v>
      </c>
    </row>
    <row r="3332" spans="1:17" x14ac:dyDescent="0.2">
      <c r="A3332" s="121">
        <v>40390</v>
      </c>
      <c r="B3332" t="s">
        <v>406</v>
      </c>
      <c r="C3332" t="s">
        <v>407</v>
      </c>
      <c r="D3332" t="s">
        <v>416</v>
      </c>
      <c r="E3332" t="s">
        <v>417</v>
      </c>
      <c r="F3332" t="s">
        <v>413</v>
      </c>
      <c r="G3332">
        <v>3749</v>
      </c>
      <c r="H3332">
        <v>3749</v>
      </c>
      <c r="I3332">
        <v>3655</v>
      </c>
      <c r="J3332">
        <v>3655</v>
      </c>
      <c r="K3332">
        <v>1302</v>
      </c>
      <c r="L3332">
        <v>7</v>
      </c>
      <c r="M3332">
        <v>2285</v>
      </c>
      <c r="N3332">
        <v>85</v>
      </c>
      <c r="O3332">
        <v>70</v>
      </c>
      <c r="P3332">
        <v>1</v>
      </c>
      <c r="Q3332">
        <v>0</v>
      </c>
    </row>
    <row r="3333" spans="1:17" x14ac:dyDescent="0.2">
      <c r="A3333" s="121">
        <v>40390</v>
      </c>
      <c r="B3333" t="s">
        <v>406</v>
      </c>
      <c r="C3333" t="s">
        <v>407</v>
      </c>
      <c r="D3333" t="s">
        <v>618</v>
      </c>
      <c r="E3333" t="s">
        <v>619</v>
      </c>
      <c r="F3333" t="s">
        <v>410</v>
      </c>
      <c r="G3333">
        <v>123</v>
      </c>
      <c r="I3333">
        <v>123</v>
      </c>
    </row>
    <row r="3334" spans="1:17" x14ac:dyDescent="0.2">
      <c r="A3334" s="121">
        <v>40390</v>
      </c>
      <c r="B3334" t="s">
        <v>406</v>
      </c>
      <c r="C3334" t="s">
        <v>418</v>
      </c>
      <c r="D3334" t="s">
        <v>419</v>
      </c>
      <c r="E3334" t="s">
        <v>420</v>
      </c>
      <c r="F3334" t="s">
        <v>410</v>
      </c>
      <c r="G3334">
        <v>13</v>
      </c>
      <c r="I3334">
        <v>13</v>
      </c>
    </row>
    <row r="3335" spans="1:17" x14ac:dyDescent="0.2">
      <c r="A3335" s="121">
        <v>40390</v>
      </c>
      <c r="B3335" t="s">
        <v>406</v>
      </c>
      <c r="C3335" t="s">
        <v>418</v>
      </c>
      <c r="D3335" t="s">
        <v>421</v>
      </c>
      <c r="E3335" t="s">
        <v>422</v>
      </c>
      <c r="F3335" t="s">
        <v>410</v>
      </c>
      <c r="G3335">
        <v>111</v>
      </c>
      <c r="I3335">
        <v>111</v>
      </c>
    </row>
    <row r="3336" spans="1:17" x14ac:dyDescent="0.2">
      <c r="A3336" s="121">
        <v>40390</v>
      </c>
      <c r="B3336" t="s">
        <v>406</v>
      </c>
      <c r="C3336" t="s">
        <v>418</v>
      </c>
      <c r="D3336" t="s">
        <v>423</v>
      </c>
      <c r="E3336" t="s">
        <v>424</v>
      </c>
      <c r="F3336" t="s">
        <v>410</v>
      </c>
      <c r="G3336">
        <v>30</v>
      </c>
      <c r="I3336">
        <v>30</v>
      </c>
    </row>
    <row r="3337" spans="1:17" x14ac:dyDescent="0.2">
      <c r="A3337" s="121">
        <v>40390</v>
      </c>
      <c r="B3337" t="s">
        <v>406</v>
      </c>
      <c r="C3337" t="s">
        <v>418</v>
      </c>
      <c r="D3337" t="s">
        <v>425</v>
      </c>
      <c r="E3337" t="s">
        <v>426</v>
      </c>
      <c r="F3337" t="s">
        <v>410</v>
      </c>
      <c r="G3337">
        <v>54</v>
      </c>
      <c r="I3337">
        <v>54</v>
      </c>
    </row>
    <row r="3338" spans="1:17" x14ac:dyDescent="0.2">
      <c r="A3338" s="121">
        <v>40390</v>
      </c>
      <c r="B3338" t="s">
        <v>406</v>
      </c>
      <c r="C3338" t="s">
        <v>418</v>
      </c>
      <c r="D3338" t="s">
        <v>427</v>
      </c>
      <c r="E3338" t="s">
        <v>428</v>
      </c>
      <c r="F3338" t="s">
        <v>413</v>
      </c>
      <c r="G3338">
        <v>1934</v>
      </c>
      <c r="H3338">
        <v>1934</v>
      </c>
      <c r="I3338">
        <v>1914</v>
      </c>
      <c r="J3338">
        <v>1914</v>
      </c>
      <c r="K3338">
        <v>618</v>
      </c>
      <c r="L3338">
        <v>2</v>
      </c>
      <c r="M3338">
        <v>1107</v>
      </c>
      <c r="N3338">
        <v>33</v>
      </c>
      <c r="O3338">
        <v>174</v>
      </c>
      <c r="P3338">
        <v>0</v>
      </c>
      <c r="Q3338">
        <v>0</v>
      </c>
    </row>
    <row r="3339" spans="1:17" x14ac:dyDescent="0.2">
      <c r="A3339" s="121">
        <v>40390</v>
      </c>
      <c r="B3339" t="s">
        <v>406</v>
      </c>
      <c r="C3339" t="s">
        <v>429</v>
      </c>
      <c r="D3339" t="s">
        <v>430</v>
      </c>
      <c r="E3339" t="s">
        <v>431</v>
      </c>
      <c r="F3339" t="s">
        <v>410</v>
      </c>
      <c r="G3339">
        <v>50</v>
      </c>
      <c r="I3339">
        <v>50</v>
      </c>
    </row>
    <row r="3340" spans="1:17" x14ac:dyDescent="0.2">
      <c r="A3340" s="121">
        <v>40390</v>
      </c>
      <c r="B3340" t="s">
        <v>406</v>
      </c>
      <c r="C3340" t="s">
        <v>429</v>
      </c>
      <c r="D3340" t="s">
        <v>432</v>
      </c>
      <c r="E3340" t="s">
        <v>433</v>
      </c>
      <c r="F3340" t="s">
        <v>410</v>
      </c>
      <c r="G3340">
        <v>76</v>
      </c>
      <c r="I3340">
        <v>76</v>
      </c>
    </row>
    <row r="3341" spans="1:17" x14ac:dyDescent="0.2">
      <c r="A3341" s="121">
        <v>40390</v>
      </c>
      <c r="B3341" t="s">
        <v>406</v>
      </c>
      <c r="C3341" t="s">
        <v>429</v>
      </c>
      <c r="D3341" t="s">
        <v>434</v>
      </c>
      <c r="E3341" t="s">
        <v>435</v>
      </c>
      <c r="F3341" t="s">
        <v>410</v>
      </c>
      <c r="G3341">
        <v>29</v>
      </c>
      <c r="I3341">
        <v>29</v>
      </c>
    </row>
    <row r="3342" spans="1:17" x14ac:dyDescent="0.2">
      <c r="A3342" s="121">
        <v>40390</v>
      </c>
      <c r="B3342" t="s">
        <v>406</v>
      </c>
      <c r="C3342" t="s">
        <v>429</v>
      </c>
      <c r="D3342" t="s">
        <v>436</v>
      </c>
      <c r="E3342" t="s">
        <v>437</v>
      </c>
      <c r="F3342" t="s">
        <v>410</v>
      </c>
      <c r="G3342">
        <v>61</v>
      </c>
      <c r="I3342">
        <v>61</v>
      </c>
    </row>
    <row r="3343" spans="1:17" x14ac:dyDescent="0.2">
      <c r="A3343" s="121">
        <v>40390</v>
      </c>
      <c r="B3343" t="s">
        <v>406</v>
      </c>
      <c r="C3343" t="s">
        <v>429</v>
      </c>
      <c r="D3343" t="s">
        <v>438</v>
      </c>
      <c r="E3343" t="s">
        <v>439</v>
      </c>
      <c r="F3343" t="s">
        <v>413</v>
      </c>
      <c r="G3343">
        <v>1064</v>
      </c>
      <c r="H3343">
        <v>1064</v>
      </c>
      <c r="I3343">
        <v>1040</v>
      </c>
      <c r="J3343">
        <v>1040</v>
      </c>
      <c r="K3343">
        <v>79</v>
      </c>
      <c r="L3343">
        <v>1</v>
      </c>
      <c r="M3343">
        <v>958</v>
      </c>
      <c r="N3343">
        <v>26</v>
      </c>
      <c r="O3343">
        <v>0</v>
      </c>
      <c r="P3343">
        <v>1</v>
      </c>
      <c r="Q3343">
        <v>0</v>
      </c>
    </row>
    <row r="3344" spans="1:17" x14ac:dyDescent="0.2">
      <c r="A3344" s="121">
        <v>40390</v>
      </c>
      <c r="B3344" t="s">
        <v>406</v>
      </c>
      <c r="C3344" t="s">
        <v>429</v>
      </c>
      <c r="D3344" t="s">
        <v>440</v>
      </c>
      <c r="E3344" t="s">
        <v>441</v>
      </c>
      <c r="F3344" t="s">
        <v>413</v>
      </c>
      <c r="G3344">
        <v>3061</v>
      </c>
      <c r="H3344">
        <v>3061</v>
      </c>
      <c r="I3344">
        <v>2932</v>
      </c>
      <c r="J3344">
        <v>2932</v>
      </c>
      <c r="K3344">
        <v>975</v>
      </c>
      <c r="L3344">
        <v>5</v>
      </c>
      <c r="M3344">
        <v>2003</v>
      </c>
      <c r="N3344">
        <v>78</v>
      </c>
      <c r="O3344">
        <v>0</v>
      </c>
      <c r="P3344">
        <v>1</v>
      </c>
      <c r="Q3344">
        <v>0</v>
      </c>
    </row>
    <row r="3345" spans="1:17" x14ac:dyDescent="0.2">
      <c r="A3345" s="121">
        <v>40390</v>
      </c>
      <c r="B3345" t="s">
        <v>406</v>
      </c>
      <c r="C3345" t="s">
        <v>442</v>
      </c>
      <c r="D3345" t="s">
        <v>443</v>
      </c>
      <c r="E3345" t="s">
        <v>444</v>
      </c>
      <c r="F3345" t="s">
        <v>413</v>
      </c>
      <c r="G3345">
        <v>3236</v>
      </c>
      <c r="H3345">
        <v>3236</v>
      </c>
      <c r="I3345">
        <v>3130</v>
      </c>
      <c r="J3345">
        <v>3130</v>
      </c>
      <c r="K3345">
        <v>430</v>
      </c>
      <c r="L3345">
        <v>5</v>
      </c>
      <c r="M3345">
        <v>2683</v>
      </c>
      <c r="N3345">
        <v>31</v>
      </c>
      <c r="O3345">
        <v>87</v>
      </c>
      <c r="P3345">
        <v>12</v>
      </c>
      <c r="Q3345">
        <v>1</v>
      </c>
    </row>
    <row r="3346" spans="1:17" x14ac:dyDescent="0.2">
      <c r="A3346" s="121">
        <v>40390</v>
      </c>
      <c r="B3346" t="s">
        <v>406</v>
      </c>
      <c r="C3346" t="s">
        <v>442</v>
      </c>
      <c r="D3346" t="s">
        <v>445</v>
      </c>
      <c r="E3346" t="s">
        <v>446</v>
      </c>
      <c r="F3346" t="s">
        <v>410</v>
      </c>
      <c r="G3346">
        <v>127</v>
      </c>
      <c r="I3346">
        <v>127</v>
      </c>
    </row>
    <row r="3347" spans="1:17" x14ac:dyDescent="0.2">
      <c r="A3347" s="121">
        <v>40390</v>
      </c>
      <c r="B3347" t="s">
        <v>406</v>
      </c>
      <c r="C3347" t="s">
        <v>442</v>
      </c>
      <c r="D3347" t="s">
        <v>447</v>
      </c>
      <c r="E3347" t="s">
        <v>448</v>
      </c>
      <c r="F3347" t="s">
        <v>410</v>
      </c>
      <c r="G3347">
        <v>333</v>
      </c>
      <c r="I3347">
        <v>333</v>
      </c>
    </row>
    <row r="3348" spans="1:17" x14ac:dyDescent="0.2">
      <c r="A3348" s="121">
        <v>40390</v>
      </c>
      <c r="B3348" t="s">
        <v>406</v>
      </c>
      <c r="C3348" t="s">
        <v>442</v>
      </c>
      <c r="D3348" t="s">
        <v>449</v>
      </c>
      <c r="E3348" t="s">
        <v>450</v>
      </c>
      <c r="F3348" t="s">
        <v>413</v>
      </c>
      <c r="G3348">
        <v>3635</v>
      </c>
      <c r="H3348">
        <v>3635</v>
      </c>
      <c r="I3348">
        <v>3438</v>
      </c>
      <c r="J3348">
        <v>3438</v>
      </c>
      <c r="K3348">
        <v>813</v>
      </c>
      <c r="L3348">
        <v>8</v>
      </c>
      <c r="M3348">
        <v>2695</v>
      </c>
      <c r="N3348">
        <v>33</v>
      </c>
      <c r="O3348">
        <v>86</v>
      </c>
      <c r="P3348">
        <v>8</v>
      </c>
      <c r="Q3348">
        <v>0</v>
      </c>
    </row>
    <row r="3349" spans="1:17" x14ac:dyDescent="0.2">
      <c r="A3349" s="121">
        <v>40390</v>
      </c>
      <c r="B3349" t="s">
        <v>406</v>
      </c>
      <c r="C3349" t="s">
        <v>451</v>
      </c>
      <c r="D3349" t="s">
        <v>452</v>
      </c>
      <c r="E3349" t="s">
        <v>453</v>
      </c>
      <c r="F3349" t="s">
        <v>410</v>
      </c>
      <c r="G3349">
        <v>1522</v>
      </c>
      <c r="H3349">
        <v>1522</v>
      </c>
      <c r="I3349">
        <v>1521</v>
      </c>
      <c r="J3349">
        <v>1521</v>
      </c>
      <c r="K3349">
        <v>0</v>
      </c>
      <c r="L3349">
        <v>0</v>
      </c>
      <c r="M3349">
        <v>1105</v>
      </c>
      <c r="N3349">
        <v>142</v>
      </c>
      <c r="O3349">
        <v>275</v>
      </c>
      <c r="P3349">
        <v>0</v>
      </c>
      <c r="Q3349">
        <v>0</v>
      </c>
    </row>
    <row r="3350" spans="1:17" x14ac:dyDescent="0.2">
      <c r="A3350" s="121">
        <v>40390</v>
      </c>
      <c r="B3350" t="s">
        <v>406</v>
      </c>
      <c r="C3350" t="s">
        <v>451</v>
      </c>
      <c r="D3350" t="s">
        <v>454</v>
      </c>
      <c r="E3350" t="s">
        <v>455</v>
      </c>
      <c r="F3350" t="s">
        <v>413</v>
      </c>
      <c r="G3350">
        <v>4653</v>
      </c>
      <c r="H3350">
        <v>4653</v>
      </c>
      <c r="I3350">
        <v>4495</v>
      </c>
      <c r="J3350">
        <v>4495</v>
      </c>
      <c r="K3350">
        <v>1230</v>
      </c>
      <c r="L3350">
        <v>10</v>
      </c>
      <c r="M3350">
        <v>2677</v>
      </c>
      <c r="N3350">
        <v>34</v>
      </c>
      <c r="O3350">
        <v>702</v>
      </c>
      <c r="P3350">
        <v>3</v>
      </c>
      <c r="Q3350">
        <v>0</v>
      </c>
    </row>
    <row r="3351" spans="1:17" x14ac:dyDescent="0.2">
      <c r="A3351" s="121">
        <v>40390</v>
      </c>
      <c r="B3351" t="s">
        <v>406</v>
      </c>
      <c r="C3351" t="s">
        <v>456</v>
      </c>
      <c r="D3351" t="s">
        <v>457</v>
      </c>
      <c r="E3351" t="s">
        <v>458</v>
      </c>
      <c r="F3351" t="s">
        <v>413</v>
      </c>
      <c r="G3351">
        <v>5238</v>
      </c>
      <c r="H3351">
        <v>5238</v>
      </c>
      <c r="I3351">
        <v>5162</v>
      </c>
      <c r="J3351">
        <v>5162</v>
      </c>
      <c r="K3351">
        <v>1311</v>
      </c>
      <c r="L3351">
        <v>20</v>
      </c>
      <c r="M3351">
        <v>3778</v>
      </c>
      <c r="N3351">
        <v>75</v>
      </c>
      <c r="O3351">
        <v>54</v>
      </c>
      <c r="P3351">
        <v>3</v>
      </c>
      <c r="Q3351">
        <v>0</v>
      </c>
    </row>
    <row r="3352" spans="1:17" x14ac:dyDescent="0.2">
      <c r="A3352" s="121">
        <v>40390</v>
      </c>
      <c r="B3352" t="s">
        <v>406</v>
      </c>
      <c r="C3352" t="s">
        <v>456</v>
      </c>
      <c r="D3352" t="s">
        <v>459</v>
      </c>
      <c r="E3352" t="s">
        <v>460</v>
      </c>
      <c r="F3352" t="s">
        <v>413</v>
      </c>
      <c r="G3352">
        <v>1270</v>
      </c>
      <c r="H3352">
        <v>1270</v>
      </c>
      <c r="I3352">
        <v>1265</v>
      </c>
      <c r="J3352">
        <v>1265</v>
      </c>
      <c r="K3352">
        <v>306</v>
      </c>
      <c r="L3352">
        <v>0</v>
      </c>
      <c r="M3352">
        <v>964</v>
      </c>
      <c r="N3352">
        <v>0</v>
      </c>
      <c r="O3352">
        <v>0</v>
      </c>
      <c r="P3352">
        <v>0</v>
      </c>
      <c r="Q3352">
        <v>0</v>
      </c>
    </row>
    <row r="3353" spans="1:17" x14ac:dyDescent="0.2">
      <c r="A3353" s="121">
        <v>40390</v>
      </c>
      <c r="B3353" t="s">
        <v>406</v>
      </c>
      <c r="C3353" t="s">
        <v>456</v>
      </c>
      <c r="D3353" t="s">
        <v>461</v>
      </c>
      <c r="E3353" t="s">
        <v>462</v>
      </c>
      <c r="F3353" t="s">
        <v>410</v>
      </c>
      <c r="G3353">
        <v>118</v>
      </c>
      <c r="I3353">
        <v>118</v>
      </c>
    </row>
    <row r="3354" spans="1:17" x14ac:dyDescent="0.2">
      <c r="A3354" s="121">
        <v>40390</v>
      </c>
      <c r="B3354" t="s">
        <v>406</v>
      </c>
      <c r="C3354" t="s">
        <v>456</v>
      </c>
      <c r="D3354" t="s">
        <v>463</v>
      </c>
      <c r="E3354" t="s">
        <v>464</v>
      </c>
      <c r="F3354" t="s">
        <v>410</v>
      </c>
      <c r="G3354">
        <v>36</v>
      </c>
      <c r="I3354">
        <v>36</v>
      </c>
    </row>
    <row r="3355" spans="1:17" x14ac:dyDescent="0.2">
      <c r="A3355" s="121">
        <v>40390</v>
      </c>
      <c r="B3355" t="s">
        <v>406</v>
      </c>
      <c r="C3355" t="s">
        <v>456</v>
      </c>
      <c r="D3355" t="s">
        <v>465</v>
      </c>
      <c r="E3355" t="s">
        <v>466</v>
      </c>
      <c r="F3355" t="s">
        <v>410</v>
      </c>
      <c r="G3355">
        <v>83</v>
      </c>
      <c r="I3355">
        <v>83</v>
      </c>
    </row>
    <row r="3356" spans="1:17" x14ac:dyDescent="0.2">
      <c r="A3356" s="121">
        <v>40390</v>
      </c>
      <c r="B3356" t="s">
        <v>406</v>
      </c>
      <c r="C3356" t="s">
        <v>456</v>
      </c>
      <c r="D3356" t="s">
        <v>467</v>
      </c>
      <c r="E3356" t="s">
        <v>468</v>
      </c>
      <c r="F3356" t="s">
        <v>410</v>
      </c>
      <c r="G3356">
        <v>1124</v>
      </c>
      <c r="I3356">
        <v>1122</v>
      </c>
    </row>
    <row r="3357" spans="1:17" x14ac:dyDescent="0.2">
      <c r="A3357" s="121">
        <v>40390</v>
      </c>
      <c r="B3357" t="s">
        <v>406</v>
      </c>
      <c r="C3357" t="s">
        <v>456</v>
      </c>
      <c r="D3357" t="s">
        <v>469</v>
      </c>
      <c r="E3357" t="s">
        <v>470</v>
      </c>
      <c r="F3357" t="s">
        <v>410</v>
      </c>
      <c r="G3357">
        <v>813</v>
      </c>
      <c r="I3357">
        <v>813</v>
      </c>
    </row>
    <row r="3358" spans="1:17" x14ac:dyDescent="0.2">
      <c r="A3358" s="121">
        <v>40390</v>
      </c>
      <c r="B3358" t="s">
        <v>406</v>
      </c>
      <c r="C3358" t="s">
        <v>456</v>
      </c>
      <c r="D3358" t="s">
        <v>471</v>
      </c>
      <c r="E3358" t="s">
        <v>472</v>
      </c>
      <c r="F3358" t="s">
        <v>410</v>
      </c>
      <c r="G3358">
        <v>289</v>
      </c>
      <c r="I3358">
        <v>289</v>
      </c>
    </row>
    <row r="3359" spans="1:17" x14ac:dyDescent="0.2">
      <c r="A3359" s="121">
        <v>40390</v>
      </c>
      <c r="B3359" t="s">
        <v>406</v>
      </c>
      <c r="C3359" t="s">
        <v>456</v>
      </c>
      <c r="D3359" t="s">
        <v>473</v>
      </c>
      <c r="E3359" t="s">
        <v>474</v>
      </c>
      <c r="F3359" t="s">
        <v>410</v>
      </c>
      <c r="G3359">
        <v>184</v>
      </c>
      <c r="I3359">
        <v>184</v>
      </c>
    </row>
    <row r="3360" spans="1:17" x14ac:dyDescent="0.2">
      <c r="A3360" s="121">
        <v>40390</v>
      </c>
      <c r="B3360" t="s">
        <v>406</v>
      </c>
      <c r="C3360" t="s">
        <v>456</v>
      </c>
      <c r="D3360" t="s">
        <v>475</v>
      </c>
      <c r="E3360" t="s">
        <v>476</v>
      </c>
      <c r="F3360" t="s">
        <v>410</v>
      </c>
      <c r="G3360">
        <v>326</v>
      </c>
      <c r="I3360">
        <v>326</v>
      </c>
    </row>
    <row r="3361" spans="1:17" x14ac:dyDescent="0.2">
      <c r="A3361" s="121">
        <v>40390</v>
      </c>
      <c r="B3361" t="s">
        <v>406</v>
      </c>
      <c r="C3361" t="s">
        <v>456</v>
      </c>
      <c r="D3361" t="s">
        <v>477</v>
      </c>
      <c r="E3361" t="s">
        <v>478</v>
      </c>
      <c r="F3361" t="s">
        <v>413</v>
      </c>
      <c r="G3361">
        <v>1861</v>
      </c>
      <c r="H3361">
        <v>1861</v>
      </c>
      <c r="I3361">
        <v>1842</v>
      </c>
      <c r="J3361">
        <v>1842</v>
      </c>
      <c r="K3361">
        <v>405</v>
      </c>
      <c r="L3361">
        <v>4</v>
      </c>
      <c r="M3361">
        <v>1425</v>
      </c>
      <c r="N3361">
        <v>18</v>
      </c>
      <c r="O3361">
        <v>9</v>
      </c>
      <c r="P3361">
        <v>1</v>
      </c>
      <c r="Q3361">
        <v>0</v>
      </c>
    </row>
    <row r="3362" spans="1:17" x14ac:dyDescent="0.2">
      <c r="A3362" s="121">
        <v>40390</v>
      </c>
      <c r="B3362" t="s">
        <v>406</v>
      </c>
      <c r="C3362" t="s">
        <v>456</v>
      </c>
      <c r="D3362" t="s">
        <v>479</v>
      </c>
      <c r="E3362" t="s">
        <v>480</v>
      </c>
      <c r="F3362" t="s">
        <v>410</v>
      </c>
      <c r="G3362">
        <v>86</v>
      </c>
      <c r="I3362">
        <v>86</v>
      </c>
    </row>
    <row r="3363" spans="1:17" x14ac:dyDescent="0.2">
      <c r="A3363" s="121">
        <v>40390</v>
      </c>
      <c r="B3363" t="s">
        <v>406</v>
      </c>
      <c r="C3363" t="s">
        <v>456</v>
      </c>
      <c r="D3363" t="s">
        <v>481</v>
      </c>
      <c r="E3363" t="s">
        <v>482</v>
      </c>
      <c r="F3363" t="s">
        <v>410</v>
      </c>
      <c r="G3363">
        <v>38</v>
      </c>
      <c r="I3363">
        <v>38</v>
      </c>
    </row>
    <row r="3364" spans="1:17" x14ac:dyDescent="0.2">
      <c r="A3364" s="121">
        <v>40390</v>
      </c>
      <c r="B3364" t="s">
        <v>406</v>
      </c>
      <c r="C3364" t="s">
        <v>456</v>
      </c>
      <c r="D3364" t="s">
        <v>483</v>
      </c>
      <c r="E3364" t="s">
        <v>484</v>
      </c>
      <c r="F3364" t="s">
        <v>410</v>
      </c>
      <c r="G3364">
        <v>90</v>
      </c>
      <c r="I3364">
        <v>90</v>
      </c>
    </row>
    <row r="3365" spans="1:17" x14ac:dyDescent="0.2">
      <c r="A3365" s="121">
        <v>40390</v>
      </c>
      <c r="B3365" t="s">
        <v>406</v>
      </c>
      <c r="C3365" t="s">
        <v>456</v>
      </c>
      <c r="D3365" t="s">
        <v>485</v>
      </c>
      <c r="E3365" t="s">
        <v>486</v>
      </c>
      <c r="F3365" t="s">
        <v>410</v>
      </c>
      <c r="G3365">
        <v>85</v>
      </c>
      <c r="I3365">
        <v>85</v>
      </c>
    </row>
    <row r="3366" spans="1:17" x14ac:dyDescent="0.2">
      <c r="A3366" s="121">
        <v>40390</v>
      </c>
      <c r="B3366" t="s">
        <v>406</v>
      </c>
      <c r="C3366" t="s">
        <v>456</v>
      </c>
      <c r="D3366" t="s">
        <v>487</v>
      </c>
      <c r="E3366" t="s">
        <v>488</v>
      </c>
      <c r="F3366" t="s">
        <v>410</v>
      </c>
      <c r="G3366">
        <v>29</v>
      </c>
      <c r="I3366">
        <v>29</v>
      </c>
    </row>
    <row r="3367" spans="1:17" x14ac:dyDescent="0.2">
      <c r="A3367" s="121">
        <v>40390</v>
      </c>
      <c r="B3367" t="s">
        <v>406</v>
      </c>
      <c r="C3367" t="s">
        <v>456</v>
      </c>
      <c r="D3367" t="s">
        <v>489</v>
      </c>
      <c r="E3367" t="s">
        <v>490</v>
      </c>
      <c r="F3367" t="s">
        <v>410</v>
      </c>
      <c r="G3367">
        <v>113</v>
      </c>
      <c r="H3367">
        <v>113</v>
      </c>
      <c r="I3367">
        <v>113</v>
      </c>
      <c r="J3367">
        <v>113</v>
      </c>
      <c r="K3367">
        <v>0</v>
      </c>
      <c r="L3367">
        <v>0</v>
      </c>
      <c r="M3367">
        <v>96</v>
      </c>
      <c r="N3367">
        <v>17</v>
      </c>
      <c r="O3367">
        <v>0</v>
      </c>
      <c r="P3367">
        <v>0</v>
      </c>
      <c r="Q3367">
        <v>0</v>
      </c>
    </row>
    <row r="3368" spans="1:17" x14ac:dyDescent="0.2">
      <c r="A3368" s="121">
        <v>40390</v>
      </c>
      <c r="B3368" t="s">
        <v>406</v>
      </c>
      <c r="C3368" t="s">
        <v>491</v>
      </c>
      <c r="D3368" t="s">
        <v>492</v>
      </c>
      <c r="E3368" t="s">
        <v>493</v>
      </c>
      <c r="F3368" t="s">
        <v>410</v>
      </c>
      <c r="G3368">
        <v>1237</v>
      </c>
      <c r="H3368">
        <v>1237</v>
      </c>
      <c r="I3368">
        <v>1231</v>
      </c>
      <c r="J3368">
        <v>1231</v>
      </c>
      <c r="K3368">
        <v>0</v>
      </c>
      <c r="L3368">
        <v>0</v>
      </c>
      <c r="M3368">
        <v>1</v>
      </c>
      <c r="N3368">
        <v>7</v>
      </c>
      <c r="O3368">
        <v>1229</v>
      </c>
      <c r="P3368">
        <v>1</v>
      </c>
      <c r="Q3368">
        <v>0</v>
      </c>
    </row>
    <row r="3369" spans="1:17" x14ac:dyDescent="0.2">
      <c r="A3369" s="121">
        <v>40390</v>
      </c>
      <c r="B3369" t="s">
        <v>406</v>
      </c>
      <c r="C3369" t="s">
        <v>491</v>
      </c>
      <c r="D3369" t="s">
        <v>494</v>
      </c>
      <c r="E3369" t="s">
        <v>495</v>
      </c>
      <c r="F3369" t="s">
        <v>413</v>
      </c>
      <c r="G3369">
        <v>2832</v>
      </c>
      <c r="H3369">
        <v>2832</v>
      </c>
      <c r="I3369">
        <v>2764</v>
      </c>
      <c r="J3369">
        <v>2764</v>
      </c>
      <c r="K3369">
        <v>0</v>
      </c>
      <c r="L3369">
        <v>0</v>
      </c>
      <c r="M3369">
        <v>8</v>
      </c>
      <c r="N3369">
        <v>22</v>
      </c>
      <c r="O3369">
        <v>2802</v>
      </c>
      <c r="P3369">
        <v>0</v>
      </c>
      <c r="Q3369">
        <v>0</v>
      </c>
    </row>
    <row r="3370" spans="1:17" x14ac:dyDescent="0.2">
      <c r="A3370" s="121">
        <v>40390</v>
      </c>
      <c r="B3370" t="s">
        <v>406</v>
      </c>
      <c r="C3370" t="s">
        <v>491</v>
      </c>
      <c r="D3370" t="s">
        <v>496</v>
      </c>
      <c r="E3370" t="s">
        <v>497</v>
      </c>
      <c r="F3370" t="s">
        <v>413</v>
      </c>
      <c r="G3370">
        <v>5892</v>
      </c>
      <c r="H3370">
        <v>5892</v>
      </c>
      <c r="I3370">
        <v>5729</v>
      </c>
      <c r="J3370">
        <v>5729</v>
      </c>
      <c r="K3370">
        <v>767</v>
      </c>
      <c r="L3370">
        <v>0</v>
      </c>
      <c r="M3370">
        <v>21</v>
      </c>
      <c r="N3370">
        <v>63</v>
      </c>
      <c r="O3370">
        <v>5041</v>
      </c>
      <c r="P3370">
        <v>1</v>
      </c>
      <c r="Q3370">
        <v>0</v>
      </c>
    </row>
    <row r="3371" spans="1:17" x14ac:dyDescent="0.2">
      <c r="A3371" s="121">
        <v>40390</v>
      </c>
      <c r="B3371" t="s">
        <v>406</v>
      </c>
      <c r="C3371" t="s">
        <v>491</v>
      </c>
      <c r="D3371" t="s">
        <v>498</v>
      </c>
      <c r="E3371" t="s">
        <v>499</v>
      </c>
      <c r="F3371" t="s">
        <v>413</v>
      </c>
      <c r="G3371">
        <v>6212</v>
      </c>
      <c r="H3371">
        <v>6212</v>
      </c>
      <c r="I3371">
        <v>6025</v>
      </c>
      <c r="J3371">
        <v>6025</v>
      </c>
      <c r="K3371">
        <v>1766</v>
      </c>
      <c r="L3371">
        <v>7</v>
      </c>
      <c r="M3371">
        <v>4082</v>
      </c>
      <c r="N3371">
        <v>89</v>
      </c>
      <c r="O3371">
        <v>268</v>
      </c>
      <c r="P3371">
        <v>0</v>
      </c>
      <c r="Q3371">
        <v>0</v>
      </c>
    </row>
    <row r="3372" spans="1:17" x14ac:dyDescent="0.2">
      <c r="A3372" s="121">
        <v>40390</v>
      </c>
      <c r="B3372" t="s">
        <v>406</v>
      </c>
      <c r="C3372" t="s">
        <v>491</v>
      </c>
      <c r="D3372" t="s">
        <v>500</v>
      </c>
      <c r="E3372" t="s">
        <v>501</v>
      </c>
      <c r="F3372" t="s">
        <v>413</v>
      </c>
      <c r="G3372">
        <v>3566</v>
      </c>
      <c r="H3372">
        <v>3566</v>
      </c>
      <c r="I3372">
        <v>3542</v>
      </c>
      <c r="J3372">
        <v>3542</v>
      </c>
      <c r="K3372">
        <v>909</v>
      </c>
      <c r="L3372">
        <v>0</v>
      </c>
      <c r="M3372">
        <v>2387</v>
      </c>
      <c r="N3372">
        <v>29</v>
      </c>
      <c r="O3372">
        <v>241</v>
      </c>
      <c r="P3372">
        <v>2</v>
      </c>
      <c r="Q3372">
        <v>0</v>
      </c>
    </row>
    <row r="3373" spans="1:17" x14ac:dyDescent="0.2">
      <c r="A3373" s="121">
        <v>40390</v>
      </c>
      <c r="B3373" t="s">
        <v>406</v>
      </c>
      <c r="C3373" t="s">
        <v>491</v>
      </c>
      <c r="D3373" t="s">
        <v>502</v>
      </c>
      <c r="E3373" t="s">
        <v>615</v>
      </c>
      <c r="F3373" t="s">
        <v>410</v>
      </c>
      <c r="G3373">
        <v>1242</v>
      </c>
      <c r="H3373">
        <v>1242</v>
      </c>
      <c r="I3373">
        <v>1241</v>
      </c>
      <c r="J3373">
        <v>1241</v>
      </c>
      <c r="K3373">
        <v>1</v>
      </c>
      <c r="L3373">
        <v>0</v>
      </c>
      <c r="M3373">
        <v>1219</v>
      </c>
      <c r="N3373">
        <v>0</v>
      </c>
      <c r="O3373">
        <v>22</v>
      </c>
      <c r="P3373">
        <v>1</v>
      </c>
      <c r="Q3373">
        <v>0</v>
      </c>
    </row>
    <row r="3374" spans="1:17" x14ac:dyDescent="0.2">
      <c r="A3374" s="121">
        <v>40390</v>
      </c>
      <c r="B3374" t="s">
        <v>406</v>
      </c>
      <c r="C3374" t="s">
        <v>491</v>
      </c>
      <c r="D3374" t="s">
        <v>502</v>
      </c>
      <c r="E3374" t="s">
        <v>503</v>
      </c>
      <c r="F3374" t="s">
        <v>413</v>
      </c>
      <c r="G3374">
        <v>5173</v>
      </c>
      <c r="H3374">
        <v>5173</v>
      </c>
      <c r="I3374">
        <v>5064</v>
      </c>
      <c r="J3374">
        <v>5064</v>
      </c>
      <c r="K3374">
        <v>1586</v>
      </c>
      <c r="L3374">
        <v>8</v>
      </c>
      <c r="M3374">
        <v>3405</v>
      </c>
      <c r="N3374">
        <v>88</v>
      </c>
      <c r="O3374">
        <v>86</v>
      </c>
      <c r="P3374">
        <v>8</v>
      </c>
      <c r="Q3374">
        <v>3</v>
      </c>
    </row>
    <row r="3375" spans="1:17" x14ac:dyDescent="0.2">
      <c r="A3375" s="121">
        <v>40390</v>
      </c>
      <c r="B3375" t="s">
        <v>406</v>
      </c>
      <c r="C3375" t="s">
        <v>491</v>
      </c>
      <c r="D3375" t="s">
        <v>504</v>
      </c>
      <c r="E3375" t="s">
        <v>505</v>
      </c>
      <c r="F3375" t="s">
        <v>413</v>
      </c>
      <c r="G3375">
        <v>3883</v>
      </c>
      <c r="H3375">
        <v>3883</v>
      </c>
      <c r="I3375">
        <v>3783</v>
      </c>
      <c r="J3375">
        <v>3783</v>
      </c>
      <c r="K3375">
        <v>1231</v>
      </c>
      <c r="L3375">
        <v>4</v>
      </c>
      <c r="M3375">
        <v>2551</v>
      </c>
      <c r="N3375">
        <v>43</v>
      </c>
      <c r="O3375">
        <v>54</v>
      </c>
      <c r="P3375">
        <v>1</v>
      </c>
      <c r="Q3375">
        <v>0</v>
      </c>
    </row>
    <row r="3376" spans="1:17" x14ac:dyDescent="0.2">
      <c r="A3376" s="121">
        <v>40390</v>
      </c>
      <c r="B3376" t="s">
        <v>406</v>
      </c>
      <c r="C3376" t="s">
        <v>491</v>
      </c>
      <c r="D3376" t="s">
        <v>506</v>
      </c>
      <c r="E3376" t="s">
        <v>507</v>
      </c>
      <c r="F3376" t="s">
        <v>413</v>
      </c>
      <c r="G3376">
        <v>2904</v>
      </c>
      <c r="H3376">
        <v>2904</v>
      </c>
      <c r="I3376">
        <v>2862</v>
      </c>
      <c r="J3376">
        <v>2862</v>
      </c>
      <c r="K3376">
        <v>411</v>
      </c>
      <c r="L3376">
        <v>0</v>
      </c>
      <c r="M3376">
        <v>2487</v>
      </c>
      <c r="N3376">
        <v>2</v>
      </c>
      <c r="O3376">
        <v>4</v>
      </c>
      <c r="P3376">
        <v>0</v>
      </c>
      <c r="Q3376">
        <v>0</v>
      </c>
    </row>
    <row r="3377" spans="1:17" x14ac:dyDescent="0.2">
      <c r="A3377" s="121">
        <v>40390</v>
      </c>
      <c r="B3377" t="s">
        <v>406</v>
      </c>
      <c r="C3377" t="s">
        <v>491</v>
      </c>
      <c r="D3377" t="s">
        <v>508</v>
      </c>
      <c r="E3377" t="s">
        <v>509</v>
      </c>
      <c r="F3377" t="s">
        <v>413</v>
      </c>
      <c r="G3377">
        <v>5107</v>
      </c>
      <c r="H3377">
        <v>5107</v>
      </c>
      <c r="I3377">
        <v>4977</v>
      </c>
      <c r="J3377">
        <v>4977</v>
      </c>
      <c r="K3377">
        <v>1585</v>
      </c>
      <c r="L3377">
        <v>6</v>
      </c>
      <c r="M3377">
        <v>3069</v>
      </c>
      <c r="N3377">
        <v>113</v>
      </c>
      <c r="O3377">
        <v>334</v>
      </c>
      <c r="P3377">
        <v>1</v>
      </c>
      <c r="Q3377">
        <v>0</v>
      </c>
    </row>
    <row r="3378" spans="1:17" x14ac:dyDescent="0.2">
      <c r="A3378" s="121">
        <v>40390</v>
      </c>
      <c r="B3378" t="s">
        <v>406</v>
      </c>
      <c r="C3378" t="s">
        <v>510</v>
      </c>
      <c r="D3378" t="s">
        <v>513</v>
      </c>
      <c r="E3378" t="s">
        <v>514</v>
      </c>
      <c r="F3378" t="s">
        <v>410</v>
      </c>
      <c r="G3378">
        <v>599</v>
      </c>
      <c r="I3378">
        <v>591</v>
      </c>
    </row>
    <row r="3379" spans="1:17" x14ac:dyDescent="0.2">
      <c r="A3379" s="121">
        <v>40390</v>
      </c>
      <c r="B3379" t="s">
        <v>406</v>
      </c>
      <c r="C3379" t="s">
        <v>510</v>
      </c>
      <c r="D3379" t="s">
        <v>515</v>
      </c>
      <c r="E3379" t="s">
        <v>516</v>
      </c>
      <c r="F3379" t="s">
        <v>410</v>
      </c>
      <c r="G3379">
        <v>106</v>
      </c>
      <c r="I3379">
        <v>104</v>
      </c>
    </row>
    <row r="3380" spans="1:17" x14ac:dyDescent="0.2">
      <c r="A3380" s="121">
        <v>40390</v>
      </c>
      <c r="B3380" t="s">
        <v>406</v>
      </c>
      <c r="C3380" t="s">
        <v>510</v>
      </c>
      <c r="D3380" t="s">
        <v>519</v>
      </c>
      <c r="E3380" t="s">
        <v>520</v>
      </c>
      <c r="F3380" t="s">
        <v>410</v>
      </c>
      <c r="G3380">
        <v>358</v>
      </c>
      <c r="I3380">
        <v>354</v>
      </c>
    </row>
    <row r="3381" spans="1:17" x14ac:dyDescent="0.2">
      <c r="A3381" s="121">
        <v>40390</v>
      </c>
      <c r="B3381" t="s">
        <v>406</v>
      </c>
      <c r="C3381" t="s">
        <v>510</v>
      </c>
      <c r="D3381" t="s">
        <v>521</v>
      </c>
      <c r="E3381" t="s">
        <v>522</v>
      </c>
      <c r="F3381" t="s">
        <v>410</v>
      </c>
      <c r="G3381">
        <v>47</v>
      </c>
      <c r="I3381">
        <v>46</v>
      </c>
    </row>
    <row r="3382" spans="1:17" x14ac:dyDescent="0.2">
      <c r="A3382" s="121">
        <v>40390</v>
      </c>
      <c r="B3382" t="s">
        <v>406</v>
      </c>
      <c r="C3382" t="s">
        <v>510</v>
      </c>
      <c r="D3382" t="s">
        <v>523</v>
      </c>
      <c r="E3382" t="s">
        <v>524</v>
      </c>
      <c r="F3382" t="s">
        <v>413</v>
      </c>
      <c r="G3382">
        <v>552</v>
      </c>
      <c r="I3382">
        <v>548</v>
      </c>
    </row>
    <row r="3383" spans="1:17" x14ac:dyDescent="0.2">
      <c r="A3383" s="121">
        <v>40390</v>
      </c>
      <c r="B3383" t="s">
        <v>406</v>
      </c>
      <c r="C3383" t="s">
        <v>510</v>
      </c>
      <c r="D3383" t="s">
        <v>525</v>
      </c>
      <c r="E3383" t="s">
        <v>526</v>
      </c>
      <c r="F3383" t="s">
        <v>410</v>
      </c>
      <c r="G3383">
        <v>545</v>
      </c>
      <c r="I3383">
        <v>537</v>
      </c>
    </row>
    <row r="3384" spans="1:17" x14ac:dyDescent="0.2">
      <c r="A3384" s="121">
        <v>40390</v>
      </c>
      <c r="B3384" t="s">
        <v>406</v>
      </c>
      <c r="C3384" t="s">
        <v>510</v>
      </c>
      <c r="D3384" t="s">
        <v>527</v>
      </c>
      <c r="E3384" t="s">
        <v>528</v>
      </c>
      <c r="F3384" t="s">
        <v>410</v>
      </c>
      <c r="G3384">
        <v>186</v>
      </c>
      <c r="I3384">
        <v>185</v>
      </c>
    </row>
    <row r="3385" spans="1:17" x14ac:dyDescent="0.2">
      <c r="A3385" s="121">
        <v>40390</v>
      </c>
      <c r="B3385" t="s">
        <v>406</v>
      </c>
      <c r="C3385" t="s">
        <v>510</v>
      </c>
      <c r="D3385" t="s">
        <v>529</v>
      </c>
      <c r="E3385" t="s">
        <v>530</v>
      </c>
      <c r="F3385" t="s">
        <v>413</v>
      </c>
      <c r="G3385">
        <v>564</v>
      </c>
      <c r="I3385">
        <v>554</v>
      </c>
    </row>
    <row r="3386" spans="1:17" x14ac:dyDescent="0.2">
      <c r="A3386" s="121">
        <v>40390</v>
      </c>
      <c r="B3386" t="s">
        <v>406</v>
      </c>
      <c r="C3386" t="s">
        <v>510</v>
      </c>
      <c r="D3386" t="s">
        <v>531</v>
      </c>
      <c r="E3386" t="s">
        <v>532</v>
      </c>
      <c r="F3386" t="s">
        <v>410</v>
      </c>
      <c r="G3386">
        <v>58</v>
      </c>
      <c r="I3386">
        <v>58</v>
      </c>
    </row>
    <row r="3387" spans="1:17" x14ac:dyDescent="0.2">
      <c r="A3387" s="121">
        <v>40390</v>
      </c>
      <c r="B3387" t="s">
        <v>406</v>
      </c>
      <c r="C3387" t="s">
        <v>510</v>
      </c>
      <c r="D3387" t="s">
        <v>533</v>
      </c>
      <c r="E3387" t="s">
        <v>534</v>
      </c>
      <c r="F3387" t="s">
        <v>413</v>
      </c>
      <c r="G3387">
        <v>2723</v>
      </c>
      <c r="H3387">
        <v>2723</v>
      </c>
      <c r="I3387">
        <v>2684</v>
      </c>
      <c r="J3387">
        <v>2684</v>
      </c>
      <c r="K3387">
        <v>463</v>
      </c>
      <c r="L3387">
        <v>3</v>
      </c>
      <c r="M3387">
        <v>2256</v>
      </c>
      <c r="N3387">
        <v>1</v>
      </c>
      <c r="O3387">
        <v>0</v>
      </c>
      <c r="P3387">
        <v>0</v>
      </c>
      <c r="Q3387">
        <v>0</v>
      </c>
    </row>
    <row r="3388" spans="1:17" x14ac:dyDescent="0.2">
      <c r="A3388" s="121">
        <v>40390</v>
      </c>
      <c r="B3388" t="s">
        <v>406</v>
      </c>
      <c r="C3388" t="s">
        <v>510</v>
      </c>
      <c r="D3388" t="s">
        <v>535</v>
      </c>
      <c r="E3388" t="s">
        <v>536</v>
      </c>
      <c r="F3388" t="s">
        <v>410</v>
      </c>
      <c r="G3388">
        <v>353</v>
      </c>
      <c r="I3388">
        <v>353</v>
      </c>
    </row>
    <row r="3389" spans="1:17" x14ac:dyDescent="0.2">
      <c r="A3389" s="121">
        <v>40390</v>
      </c>
      <c r="B3389" t="s">
        <v>406</v>
      </c>
      <c r="C3389" t="s">
        <v>510</v>
      </c>
      <c r="D3389" t="s">
        <v>537</v>
      </c>
      <c r="E3389" t="s">
        <v>538</v>
      </c>
      <c r="F3389" t="s">
        <v>410</v>
      </c>
      <c r="G3389">
        <v>110</v>
      </c>
      <c r="I3389">
        <v>110</v>
      </c>
    </row>
    <row r="3390" spans="1:17" x14ac:dyDescent="0.2">
      <c r="A3390" s="121">
        <v>40390</v>
      </c>
      <c r="B3390" t="s">
        <v>406</v>
      </c>
      <c r="C3390" t="s">
        <v>510</v>
      </c>
      <c r="D3390" t="s">
        <v>539</v>
      </c>
      <c r="E3390" t="s">
        <v>540</v>
      </c>
      <c r="F3390" t="s">
        <v>413</v>
      </c>
      <c r="G3390">
        <v>962</v>
      </c>
      <c r="I3390">
        <v>961</v>
      </c>
    </row>
    <row r="3391" spans="1:17" x14ac:dyDescent="0.2">
      <c r="A3391" s="121">
        <v>40390</v>
      </c>
      <c r="B3391" t="s">
        <v>406</v>
      </c>
      <c r="C3391" t="s">
        <v>510</v>
      </c>
      <c r="D3391" t="s">
        <v>541</v>
      </c>
      <c r="E3391" t="s">
        <v>542</v>
      </c>
      <c r="F3391" t="s">
        <v>410</v>
      </c>
      <c r="G3391">
        <v>380</v>
      </c>
      <c r="I3391">
        <v>380</v>
      </c>
    </row>
    <row r="3392" spans="1:17" x14ac:dyDescent="0.2">
      <c r="A3392" s="121">
        <v>40390</v>
      </c>
      <c r="B3392" t="s">
        <v>406</v>
      </c>
      <c r="C3392" t="s">
        <v>510</v>
      </c>
      <c r="D3392" t="s">
        <v>543</v>
      </c>
      <c r="E3392" t="s">
        <v>544</v>
      </c>
      <c r="F3392" t="s">
        <v>410</v>
      </c>
      <c r="G3392">
        <v>293</v>
      </c>
      <c r="I3392">
        <v>293</v>
      </c>
    </row>
    <row r="3393" spans="1:17" x14ac:dyDescent="0.2">
      <c r="A3393" s="121">
        <v>40390</v>
      </c>
      <c r="B3393" t="s">
        <v>406</v>
      </c>
      <c r="C3393" t="s">
        <v>510</v>
      </c>
      <c r="D3393" t="s">
        <v>545</v>
      </c>
      <c r="E3393" t="s">
        <v>546</v>
      </c>
      <c r="F3393" t="s">
        <v>410</v>
      </c>
      <c r="G3393">
        <v>198</v>
      </c>
      <c r="I3393">
        <v>197</v>
      </c>
    </row>
    <row r="3394" spans="1:17" x14ac:dyDescent="0.2">
      <c r="A3394" s="121">
        <v>40390</v>
      </c>
      <c r="B3394" t="s">
        <v>406</v>
      </c>
      <c r="C3394" t="s">
        <v>510</v>
      </c>
      <c r="D3394" t="s">
        <v>547</v>
      </c>
      <c r="E3394" t="s">
        <v>548</v>
      </c>
      <c r="F3394" t="s">
        <v>410</v>
      </c>
      <c r="G3394">
        <v>124</v>
      </c>
      <c r="I3394">
        <v>124</v>
      </c>
    </row>
    <row r="3395" spans="1:17" x14ac:dyDescent="0.2">
      <c r="A3395" s="121">
        <v>40390</v>
      </c>
      <c r="B3395" t="s">
        <v>406</v>
      </c>
      <c r="C3395" t="s">
        <v>510</v>
      </c>
      <c r="D3395" t="s">
        <v>616</v>
      </c>
      <c r="E3395" t="s">
        <v>617</v>
      </c>
      <c r="F3395" t="s">
        <v>410</v>
      </c>
      <c r="G3395">
        <v>347</v>
      </c>
      <c r="I3395">
        <v>346</v>
      </c>
    </row>
    <row r="3396" spans="1:17" x14ac:dyDescent="0.2">
      <c r="A3396" s="121">
        <v>40390</v>
      </c>
      <c r="B3396" t="s">
        <v>406</v>
      </c>
      <c r="C3396" t="s">
        <v>510</v>
      </c>
      <c r="D3396" t="s">
        <v>549</v>
      </c>
      <c r="E3396" t="s">
        <v>550</v>
      </c>
      <c r="F3396" t="s">
        <v>410</v>
      </c>
      <c r="G3396">
        <v>241</v>
      </c>
      <c r="I3396">
        <v>241</v>
      </c>
    </row>
    <row r="3397" spans="1:17" x14ac:dyDescent="0.2">
      <c r="A3397" s="121">
        <v>40390</v>
      </c>
      <c r="B3397" t="s">
        <v>406</v>
      </c>
      <c r="C3397" t="s">
        <v>551</v>
      </c>
      <c r="D3397" t="s">
        <v>552</v>
      </c>
      <c r="E3397" t="s">
        <v>553</v>
      </c>
      <c r="F3397" t="s">
        <v>413</v>
      </c>
      <c r="G3397">
        <v>5670</v>
      </c>
      <c r="H3397">
        <v>5670</v>
      </c>
      <c r="I3397">
        <v>5611</v>
      </c>
      <c r="J3397">
        <v>5611</v>
      </c>
      <c r="K3397">
        <v>1614</v>
      </c>
      <c r="L3397">
        <v>1</v>
      </c>
      <c r="M3397">
        <v>3844</v>
      </c>
      <c r="N3397">
        <v>201</v>
      </c>
      <c r="O3397">
        <v>10</v>
      </c>
      <c r="P3397">
        <v>0</v>
      </c>
      <c r="Q3397">
        <v>0</v>
      </c>
    </row>
    <row r="3398" spans="1:17" x14ac:dyDescent="0.2">
      <c r="A3398" s="121">
        <v>40390</v>
      </c>
      <c r="B3398" t="s">
        <v>406</v>
      </c>
      <c r="C3398" t="s">
        <v>551</v>
      </c>
      <c r="D3398" t="s">
        <v>554</v>
      </c>
      <c r="E3398" t="s">
        <v>555</v>
      </c>
      <c r="F3398" t="s">
        <v>410</v>
      </c>
      <c r="G3398">
        <v>43</v>
      </c>
      <c r="I3398">
        <v>43</v>
      </c>
    </row>
    <row r="3399" spans="1:17" x14ac:dyDescent="0.2">
      <c r="A3399" s="121">
        <v>40390</v>
      </c>
      <c r="B3399" t="s">
        <v>406</v>
      </c>
      <c r="C3399" t="s">
        <v>551</v>
      </c>
      <c r="D3399" t="s">
        <v>556</v>
      </c>
      <c r="E3399" t="s">
        <v>557</v>
      </c>
      <c r="F3399" t="s">
        <v>410</v>
      </c>
      <c r="G3399">
        <v>109</v>
      </c>
      <c r="I3399">
        <v>109</v>
      </c>
    </row>
    <row r="3400" spans="1:17" x14ac:dyDescent="0.2">
      <c r="A3400" s="121">
        <v>40390</v>
      </c>
      <c r="B3400" t="s">
        <v>406</v>
      </c>
      <c r="C3400" t="s">
        <v>551</v>
      </c>
      <c r="D3400" t="s">
        <v>558</v>
      </c>
      <c r="E3400" t="s">
        <v>559</v>
      </c>
      <c r="F3400" t="s">
        <v>413</v>
      </c>
      <c r="G3400">
        <v>4584</v>
      </c>
      <c r="H3400">
        <v>4584</v>
      </c>
      <c r="I3400">
        <v>4416</v>
      </c>
      <c r="J3400">
        <v>4416</v>
      </c>
      <c r="K3400">
        <v>1184</v>
      </c>
      <c r="L3400">
        <v>4</v>
      </c>
      <c r="M3400">
        <v>3252</v>
      </c>
      <c r="N3400">
        <v>119</v>
      </c>
      <c r="O3400">
        <v>25</v>
      </c>
      <c r="P3400">
        <v>24</v>
      </c>
      <c r="Q3400">
        <v>2</v>
      </c>
    </row>
    <row r="3401" spans="1:17" x14ac:dyDescent="0.2">
      <c r="A3401" s="121">
        <v>40390</v>
      </c>
      <c r="B3401" t="s">
        <v>406</v>
      </c>
      <c r="C3401" t="s">
        <v>551</v>
      </c>
      <c r="D3401" t="s">
        <v>560</v>
      </c>
      <c r="E3401" t="s">
        <v>561</v>
      </c>
      <c r="F3401" t="s">
        <v>413</v>
      </c>
      <c r="G3401">
        <v>5550</v>
      </c>
      <c r="H3401">
        <v>5550</v>
      </c>
      <c r="I3401">
        <v>5447</v>
      </c>
      <c r="J3401">
        <v>5447</v>
      </c>
      <c r="K3401">
        <v>1380</v>
      </c>
      <c r="L3401">
        <v>11</v>
      </c>
      <c r="M3401">
        <v>3881</v>
      </c>
      <c r="N3401">
        <v>267</v>
      </c>
      <c r="O3401">
        <v>11</v>
      </c>
      <c r="P3401">
        <v>0</v>
      </c>
      <c r="Q3401">
        <v>0</v>
      </c>
    </row>
    <row r="3402" spans="1:17" x14ac:dyDescent="0.2">
      <c r="A3402" s="121">
        <v>40390</v>
      </c>
      <c r="B3402" t="s">
        <v>406</v>
      </c>
      <c r="C3402" t="s">
        <v>562</v>
      </c>
      <c r="D3402" t="s">
        <v>603</v>
      </c>
      <c r="E3402" t="s">
        <v>604</v>
      </c>
      <c r="F3402" t="s">
        <v>410</v>
      </c>
      <c r="G3402">
        <v>27</v>
      </c>
      <c r="I3402">
        <v>27</v>
      </c>
    </row>
    <row r="3403" spans="1:17" x14ac:dyDescent="0.2">
      <c r="A3403" s="121">
        <v>40390</v>
      </c>
      <c r="B3403" t="s">
        <v>406</v>
      </c>
      <c r="C3403" t="s">
        <v>562</v>
      </c>
      <c r="D3403" t="s">
        <v>605</v>
      </c>
      <c r="E3403" t="s">
        <v>606</v>
      </c>
      <c r="F3403" t="s">
        <v>410</v>
      </c>
      <c r="G3403">
        <v>209</v>
      </c>
      <c r="I3403">
        <v>209</v>
      </c>
    </row>
    <row r="3404" spans="1:17" x14ac:dyDescent="0.2">
      <c r="A3404" s="121">
        <v>40390</v>
      </c>
      <c r="B3404" t="s">
        <v>406</v>
      </c>
      <c r="C3404" t="s">
        <v>562</v>
      </c>
      <c r="D3404" t="s">
        <v>563</v>
      </c>
      <c r="E3404" t="s">
        <v>564</v>
      </c>
      <c r="F3404" t="s">
        <v>410</v>
      </c>
      <c r="G3404">
        <v>2863</v>
      </c>
      <c r="H3404">
        <v>2863</v>
      </c>
      <c r="I3404">
        <v>2845</v>
      </c>
      <c r="J3404">
        <v>2845</v>
      </c>
      <c r="K3404">
        <v>914</v>
      </c>
      <c r="L3404">
        <v>1</v>
      </c>
      <c r="M3404">
        <v>1929</v>
      </c>
      <c r="N3404">
        <v>19</v>
      </c>
      <c r="O3404">
        <v>0</v>
      </c>
      <c r="P3404">
        <v>2</v>
      </c>
      <c r="Q3404">
        <v>1</v>
      </c>
    </row>
    <row r="3405" spans="1:17" x14ac:dyDescent="0.2">
      <c r="A3405" s="121">
        <v>40390</v>
      </c>
      <c r="B3405" t="s">
        <v>406</v>
      </c>
      <c r="C3405" t="s">
        <v>562</v>
      </c>
      <c r="D3405" t="s">
        <v>565</v>
      </c>
      <c r="E3405" t="s">
        <v>566</v>
      </c>
      <c r="F3405" t="s">
        <v>413</v>
      </c>
      <c r="G3405">
        <v>4047</v>
      </c>
      <c r="H3405">
        <v>4047</v>
      </c>
      <c r="I3405">
        <v>3882</v>
      </c>
      <c r="J3405">
        <v>3882</v>
      </c>
      <c r="K3405">
        <v>1081</v>
      </c>
      <c r="L3405">
        <v>7</v>
      </c>
      <c r="M3405">
        <v>2841</v>
      </c>
      <c r="N3405">
        <v>118</v>
      </c>
      <c r="O3405">
        <v>0</v>
      </c>
      <c r="P3405">
        <v>17</v>
      </c>
      <c r="Q3405">
        <v>0</v>
      </c>
    </row>
    <row r="3406" spans="1:17" x14ac:dyDescent="0.2">
      <c r="A3406" s="121">
        <v>40390</v>
      </c>
      <c r="B3406" t="s">
        <v>406</v>
      </c>
      <c r="C3406" t="s">
        <v>562</v>
      </c>
      <c r="D3406" t="s">
        <v>567</v>
      </c>
      <c r="E3406" t="s">
        <v>568</v>
      </c>
      <c r="F3406" t="s">
        <v>413</v>
      </c>
      <c r="G3406">
        <v>9093</v>
      </c>
      <c r="H3406">
        <v>9093</v>
      </c>
      <c r="I3406">
        <v>8674</v>
      </c>
      <c r="J3406">
        <v>8674</v>
      </c>
      <c r="K3406">
        <v>2576</v>
      </c>
      <c r="L3406">
        <v>16</v>
      </c>
      <c r="M3406">
        <v>6032</v>
      </c>
      <c r="N3406">
        <v>469</v>
      </c>
      <c r="O3406">
        <v>0</v>
      </c>
      <c r="P3406">
        <v>38</v>
      </c>
      <c r="Q3406">
        <v>0</v>
      </c>
    </row>
    <row r="3407" spans="1:17" x14ac:dyDescent="0.2">
      <c r="A3407" s="121">
        <v>40390</v>
      </c>
      <c r="B3407" t="s">
        <v>406</v>
      </c>
      <c r="C3407" t="s">
        <v>562</v>
      </c>
      <c r="D3407" t="s">
        <v>569</v>
      </c>
      <c r="E3407" t="s">
        <v>570</v>
      </c>
      <c r="F3407" t="s">
        <v>413</v>
      </c>
      <c r="G3407">
        <v>2579</v>
      </c>
      <c r="H3407">
        <v>2579</v>
      </c>
      <c r="I3407">
        <v>2563</v>
      </c>
      <c r="J3407">
        <v>2563</v>
      </c>
      <c r="K3407">
        <v>402</v>
      </c>
      <c r="L3407">
        <v>2</v>
      </c>
      <c r="M3407">
        <v>2175</v>
      </c>
      <c r="N3407">
        <v>0</v>
      </c>
      <c r="O3407">
        <v>0</v>
      </c>
      <c r="P3407">
        <v>0</v>
      </c>
      <c r="Q3407">
        <v>0</v>
      </c>
    </row>
    <row r="3408" spans="1:17" x14ac:dyDescent="0.2">
      <c r="A3408" s="121">
        <v>40390</v>
      </c>
      <c r="B3408" t="s">
        <v>406</v>
      </c>
      <c r="C3408" t="s">
        <v>571</v>
      </c>
      <c r="D3408" t="s">
        <v>572</v>
      </c>
      <c r="E3408" t="s">
        <v>573</v>
      </c>
      <c r="F3408" t="s">
        <v>410</v>
      </c>
      <c r="G3408">
        <v>293</v>
      </c>
      <c r="I3408">
        <v>291</v>
      </c>
    </row>
    <row r="3409" spans="1:17" x14ac:dyDescent="0.2">
      <c r="A3409" s="121">
        <v>40390</v>
      </c>
      <c r="B3409" t="s">
        <v>406</v>
      </c>
      <c r="C3409" t="s">
        <v>574</v>
      </c>
      <c r="D3409" t="s">
        <v>575</v>
      </c>
      <c r="E3409" t="s">
        <v>576</v>
      </c>
      <c r="F3409" t="s">
        <v>413</v>
      </c>
      <c r="G3409">
        <v>727</v>
      </c>
      <c r="H3409">
        <v>727</v>
      </c>
      <c r="I3409">
        <v>725</v>
      </c>
      <c r="J3409">
        <v>725</v>
      </c>
      <c r="K3409">
        <v>123</v>
      </c>
      <c r="L3409">
        <v>1</v>
      </c>
      <c r="M3409">
        <v>567</v>
      </c>
      <c r="N3409">
        <v>2</v>
      </c>
      <c r="O3409">
        <v>34</v>
      </c>
      <c r="P3409">
        <v>0</v>
      </c>
      <c r="Q3409">
        <v>0</v>
      </c>
    </row>
    <row r="3410" spans="1:17" x14ac:dyDescent="0.2">
      <c r="A3410" s="121">
        <v>40390</v>
      </c>
      <c r="B3410" t="s">
        <v>406</v>
      </c>
      <c r="C3410" t="s">
        <v>577</v>
      </c>
      <c r="D3410" t="s">
        <v>578</v>
      </c>
      <c r="E3410" t="s">
        <v>579</v>
      </c>
      <c r="F3410" t="s">
        <v>413</v>
      </c>
      <c r="G3410">
        <v>4086</v>
      </c>
      <c r="H3410">
        <v>4086</v>
      </c>
      <c r="I3410">
        <v>4040</v>
      </c>
      <c r="J3410">
        <v>4040</v>
      </c>
      <c r="K3410">
        <v>916</v>
      </c>
      <c r="L3410">
        <v>7</v>
      </c>
      <c r="M3410">
        <v>3105</v>
      </c>
      <c r="N3410">
        <v>58</v>
      </c>
      <c r="O3410">
        <v>0</v>
      </c>
      <c r="P3410">
        <v>0</v>
      </c>
      <c r="Q3410">
        <v>0</v>
      </c>
    </row>
    <row r="3411" spans="1:17" x14ac:dyDescent="0.2">
      <c r="A3411" s="121">
        <v>40390</v>
      </c>
      <c r="B3411" t="s">
        <v>406</v>
      </c>
      <c r="C3411" t="s">
        <v>577</v>
      </c>
      <c r="D3411" t="s">
        <v>580</v>
      </c>
      <c r="E3411" t="s">
        <v>581</v>
      </c>
      <c r="F3411" t="s">
        <v>413</v>
      </c>
      <c r="G3411">
        <v>2149</v>
      </c>
      <c r="H3411">
        <v>2149</v>
      </c>
      <c r="I3411">
        <v>2130</v>
      </c>
      <c r="J3411">
        <v>2130</v>
      </c>
      <c r="K3411">
        <v>358</v>
      </c>
      <c r="L3411">
        <v>2</v>
      </c>
      <c r="M3411">
        <v>1504</v>
      </c>
      <c r="N3411">
        <v>255</v>
      </c>
      <c r="O3411">
        <v>30</v>
      </c>
      <c r="P3411">
        <v>1</v>
      </c>
      <c r="Q3411">
        <v>0</v>
      </c>
    </row>
    <row r="3412" spans="1:17" x14ac:dyDescent="0.2">
      <c r="A3412" s="121">
        <v>40390</v>
      </c>
      <c r="B3412" t="s">
        <v>406</v>
      </c>
      <c r="C3412" t="s">
        <v>577</v>
      </c>
      <c r="D3412" t="s">
        <v>609</v>
      </c>
      <c r="E3412" t="s">
        <v>610</v>
      </c>
      <c r="F3412" t="s">
        <v>410</v>
      </c>
      <c r="G3412">
        <v>32</v>
      </c>
      <c r="H3412">
        <v>32</v>
      </c>
      <c r="I3412">
        <v>32</v>
      </c>
      <c r="J3412">
        <v>32</v>
      </c>
      <c r="K3412">
        <v>3</v>
      </c>
      <c r="L3412">
        <v>0</v>
      </c>
      <c r="M3412">
        <v>24</v>
      </c>
      <c r="N3412">
        <v>3</v>
      </c>
      <c r="O3412">
        <v>2</v>
      </c>
      <c r="P3412">
        <v>0</v>
      </c>
      <c r="Q3412">
        <v>0</v>
      </c>
    </row>
    <row r="3413" spans="1:17" x14ac:dyDescent="0.2">
      <c r="A3413" s="121">
        <v>40390</v>
      </c>
      <c r="B3413" t="s">
        <v>406</v>
      </c>
      <c r="C3413" t="s">
        <v>577</v>
      </c>
      <c r="D3413" t="s">
        <v>611</v>
      </c>
      <c r="E3413" t="s">
        <v>612</v>
      </c>
      <c r="F3413" t="s">
        <v>410</v>
      </c>
      <c r="G3413">
        <v>9</v>
      </c>
      <c r="H3413">
        <v>9</v>
      </c>
      <c r="I3413">
        <v>9</v>
      </c>
      <c r="J3413">
        <v>9</v>
      </c>
      <c r="K3413">
        <v>0</v>
      </c>
      <c r="L3413">
        <v>0</v>
      </c>
      <c r="M3413">
        <v>5</v>
      </c>
      <c r="N3413">
        <v>4</v>
      </c>
      <c r="O3413">
        <v>0</v>
      </c>
      <c r="P3413">
        <v>0</v>
      </c>
      <c r="Q3413">
        <v>0</v>
      </c>
    </row>
    <row r="3414" spans="1:17" x14ac:dyDescent="0.2">
      <c r="A3414" s="121">
        <v>40390</v>
      </c>
      <c r="B3414" t="s">
        <v>406</v>
      </c>
      <c r="C3414" t="s">
        <v>577</v>
      </c>
      <c r="D3414" t="s">
        <v>584</v>
      </c>
      <c r="E3414" t="s">
        <v>585</v>
      </c>
      <c r="F3414" t="s">
        <v>410</v>
      </c>
      <c r="G3414">
        <v>290</v>
      </c>
      <c r="H3414">
        <v>290</v>
      </c>
      <c r="I3414">
        <v>290</v>
      </c>
      <c r="J3414">
        <v>290</v>
      </c>
      <c r="K3414">
        <v>15</v>
      </c>
      <c r="L3414">
        <v>0</v>
      </c>
      <c r="M3414">
        <v>262</v>
      </c>
      <c r="N3414">
        <v>10</v>
      </c>
      <c r="O3414">
        <v>3</v>
      </c>
      <c r="P3414">
        <v>0</v>
      </c>
      <c r="Q3414">
        <v>0</v>
      </c>
    </row>
    <row r="3415" spans="1:17" x14ac:dyDescent="0.2">
      <c r="A3415" s="121">
        <v>40390</v>
      </c>
      <c r="B3415" t="s">
        <v>406</v>
      </c>
      <c r="C3415" t="s">
        <v>577</v>
      </c>
      <c r="D3415" t="s">
        <v>586</v>
      </c>
      <c r="E3415" t="s">
        <v>587</v>
      </c>
      <c r="F3415" t="s">
        <v>410</v>
      </c>
      <c r="G3415">
        <v>1190</v>
      </c>
      <c r="H3415">
        <v>1190</v>
      </c>
      <c r="I3415">
        <v>1190</v>
      </c>
      <c r="J3415">
        <v>1190</v>
      </c>
      <c r="K3415">
        <v>80</v>
      </c>
      <c r="L3415">
        <v>0</v>
      </c>
      <c r="M3415">
        <v>936</v>
      </c>
      <c r="N3415">
        <v>96</v>
      </c>
      <c r="O3415">
        <v>78</v>
      </c>
      <c r="P3415">
        <v>0</v>
      </c>
      <c r="Q3415">
        <v>0</v>
      </c>
    </row>
    <row r="3416" spans="1:17" x14ac:dyDescent="0.2">
      <c r="A3416" s="121">
        <v>40390</v>
      </c>
      <c r="B3416" t="s">
        <v>406</v>
      </c>
      <c r="C3416" t="s">
        <v>577</v>
      </c>
      <c r="D3416" t="s">
        <v>588</v>
      </c>
      <c r="E3416" t="s">
        <v>589</v>
      </c>
      <c r="F3416" t="s">
        <v>410</v>
      </c>
      <c r="G3416">
        <v>280</v>
      </c>
      <c r="H3416">
        <v>280</v>
      </c>
      <c r="I3416">
        <v>280</v>
      </c>
      <c r="J3416">
        <v>280</v>
      </c>
      <c r="K3416">
        <v>18</v>
      </c>
      <c r="L3416">
        <v>0</v>
      </c>
      <c r="M3416">
        <v>242</v>
      </c>
      <c r="N3416">
        <v>9</v>
      </c>
      <c r="O3416">
        <v>11</v>
      </c>
      <c r="P3416">
        <v>0</v>
      </c>
      <c r="Q3416">
        <v>0</v>
      </c>
    </row>
    <row r="3417" spans="1:17" x14ac:dyDescent="0.2">
      <c r="A3417" s="121">
        <v>40390</v>
      </c>
      <c r="B3417" t="s">
        <v>406</v>
      </c>
      <c r="C3417" t="s">
        <v>577</v>
      </c>
      <c r="D3417" t="s">
        <v>613</v>
      </c>
      <c r="E3417" t="s">
        <v>614</v>
      </c>
      <c r="F3417" t="s">
        <v>410</v>
      </c>
      <c r="G3417">
        <v>212</v>
      </c>
      <c r="H3417">
        <v>212</v>
      </c>
      <c r="I3417">
        <v>212</v>
      </c>
      <c r="J3417">
        <v>212</v>
      </c>
      <c r="K3417">
        <v>15</v>
      </c>
      <c r="L3417">
        <v>0</v>
      </c>
      <c r="M3417">
        <v>166</v>
      </c>
      <c r="N3417">
        <v>23</v>
      </c>
      <c r="O3417">
        <v>8</v>
      </c>
      <c r="P3417">
        <v>0</v>
      </c>
      <c r="Q3417">
        <v>0</v>
      </c>
    </row>
    <row r="3418" spans="1:17" x14ac:dyDescent="0.2">
      <c r="A3418" s="121">
        <v>40390</v>
      </c>
      <c r="B3418" t="s">
        <v>406</v>
      </c>
      <c r="C3418" t="s">
        <v>577</v>
      </c>
      <c r="D3418" t="s">
        <v>590</v>
      </c>
      <c r="E3418" t="s">
        <v>591</v>
      </c>
      <c r="F3418" t="s">
        <v>410</v>
      </c>
      <c r="G3418">
        <v>648</v>
      </c>
      <c r="H3418">
        <v>648</v>
      </c>
      <c r="I3418">
        <v>648</v>
      </c>
      <c r="J3418">
        <v>648</v>
      </c>
      <c r="K3418">
        <v>37</v>
      </c>
      <c r="L3418">
        <v>0</v>
      </c>
      <c r="M3418">
        <v>580</v>
      </c>
      <c r="N3418">
        <v>16</v>
      </c>
      <c r="O3418">
        <v>15</v>
      </c>
      <c r="P3418">
        <v>0</v>
      </c>
      <c r="Q3418">
        <v>0</v>
      </c>
    </row>
    <row r="3419" spans="1:17" x14ac:dyDescent="0.2">
      <c r="A3419" s="121">
        <v>40390</v>
      </c>
      <c r="B3419" t="s">
        <v>406</v>
      </c>
      <c r="C3419" t="s">
        <v>577</v>
      </c>
      <c r="D3419" t="s">
        <v>607</v>
      </c>
      <c r="E3419" t="s">
        <v>608</v>
      </c>
      <c r="F3419" t="s">
        <v>410</v>
      </c>
      <c r="G3419">
        <v>174</v>
      </c>
      <c r="H3419">
        <v>174</v>
      </c>
      <c r="I3419">
        <v>174</v>
      </c>
      <c r="J3419">
        <v>174</v>
      </c>
      <c r="K3419">
        <v>25</v>
      </c>
      <c r="L3419">
        <v>0</v>
      </c>
      <c r="M3419">
        <v>143</v>
      </c>
      <c r="N3419">
        <v>5</v>
      </c>
      <c r="O3419">
        <v>1</v>
      </c>
      <c r="P3419">
        <v>0</v>
      </c>
      <c r="Q3419">
        <v>0</v>
      </c>
    </row>
    <row r="3420" spans="1:17" x14ac:dyDescent="0.2">
      <c r="A3420" s="121">
        <v>40390</v>
      </c>
      <c r="B3420" t="s">
        <v>406</v>
      </c>
      <c r="C3420" t="s">
        <v>577</v>
      </c>
      <c r="D3420" t="s">
        <v>592</v>
      </c>
      <c r="E3420" t="s">
        <v>593</v>
      </c>
      <c r="F3420" t="s">
        <v>410</v>
      </c>
      <c r="G3420">
        <v>624</v>
      </c>
      <c r="H3420">
        <v>624</v>
      </c>
      <c r="I3420">
        <v>624</v>
      </c>
      <c r="J3420">
        <v>624</v>
      </c>
      <c r="K3420">
        <v>9</v>
      </c>
      <c r="L3420">
        <v>0</v>
      </c>
      <c r="M3420">
        <v>310</v>
      </c>
      <c r="N3420">
        <v>45</v>
      </c>
      <c r="O3420">
        <v>260</v>
      </c>
      <c r="P3420">
        <v>0</v>
      </c>
      <c r="Q3420">
        <v>0</v>
      </c>
    </row>
    <row r="3421" spans="1:17" x14ac:dyDescent="0.2">
      <c r="A3421" s="121">
        <v>40390</v>
      </c>
      <c r="B3421" t="s">
        <v>406</v>
      </c>
      <c r="C3421" t="s">
        <v>594</v>
      </c>
      <c r="D3421" t="s">
        <v>595</v>
      </c>
      <c r="E3421" t="s">
        <v>596</v>
      </c>
      <c r="F3421" t="s">
        <v>410</v>
      </c>
      <c r="G3421">
        <v>50</v>
      </c>
      <c r="I3421">
        <v>50</v>
      </c>
    </row>
    <row r="3422" spans="1:17" x14ac:dyDescent="0.2">
      <c r="A3422" s="121">
        <v>40390</v>
      </c>
      <c r="B3422" t="s">
        <v>406</v>
      </c>
      <c r="C3422" t="s">
        <v>594</v>
      </c>
      <c r="D3422" t="s">
        <v>597</v>
      </c>
      <c r="E3422" t="s">
        <v>598</v>
      </c>
      <c r="F3422" t="s">
        <v>413</v>
      </c>
      <c r="G3422">
        <v>600</v>
      </c>
      <c r="H3422">
        <v>600</v>
      </c>
      <c r="I3422">
        <v>594</v>
      </c>
      <c r="J3422">
        <v>594</v>
      </c>
      <c r="K3422">
        <v>117</v>
      </c>
      <c r="L3422">
        <v>0</v>
      </c>
      <c r="M3422">
        <v>475</v>
      </c>
      <c r="N3422">
        <v>1</v>
      </c>
      <c r="O3422">
        <v>7</v>
      </c>
      <c r="P3422">
        <v>0</v>
      </c>
      <c r="Q3422">
        <v>0</v>
      </c>
    </row>
    <row r="3423" spans="1:17" x14ac:dyDescent="0.2">
      <c r="A3423" s="121">
        <v>40390</v>
      </c>
      <c r="B3423" t="s">
        <v>406</v>
      </c>
      <c r="C3423" t="s">
        <v>594</v>
      </c>
      <c r="D3423" t="s">
        <v>599</v>
      </c>
      <c r="E3423" t="s">
        <v>600</v>
      </c>
      <c r="F3423" t="s">
        <v>410</v>
      </c>
      <c r="G3423">
        <v>116</v>
      </c>
      <c r="I3423">
        <v>116</v>
      </c>
    </row>
    <row r="3424" spans="1:17" x14ac:dyDescent="0.2">
      <c r="A3424" s="121">
        <v>40421</v>
      </c>
      <c r="B3424" t="s">
        <v>406</v>
      </c>
      <c r="C3424" t="s">
        <v>407</v>
      </c>
      <c r="D3424" t="s">
        <v>408</v>
      </c>
      <c r="E3424" t="s">
        <v>409</v>
      </c>
      <c r="F3424" t="s">
        <v>410</v>
      </c>
      <c r="G3424">
        <v>304</v>
      </c>
      <c r="I3424">
        <v>304</v>
      </c>
    </row>
    <row r="3425" spans="1:17" x14ac:dyDescent="0.2">
      <c r="A3425" s="121">
        <v>40421</v>
      </c>
      <c r="B3425" t="s">
        <v>406</v>
      </c>
      <c r="C3425" t="s">
        <v>407</v>
      </c>
      <c r="D3425" t="s">
        <v>601</v>
      </c>
      <c r="E3425" t="s">
        <v>602</v>
      </c>
      <c r="F3425" t="s">
        <v>410</v>
      </c>
      <c r="G3425">
        <v>64</v>
      </c>
      <c r="I3425">
        <v>64</v>
      </c>
    </row>
    <row r="3426" spans="1:17" x14ac:dyDescent="0.2">
      <c r="A3426" s="121">
        <v>40421</v>
      </c>
      <c r="B3426" t="s">
        <v>406</v>
      </c>
      <c r="C3426" t="s">
        <v>407</v>
      </c>
      <c r="D3426" t="s">
        <v>411</v>
      </c>
      <c r="E3426" t="s">
        <v>412</v>
      </c>
      <c r="F3426" t="s">
        <v>413</v>
      </c>
      <c r="G3426">
        <v>6138</v>
      </c>
      <c r="H3426">
        <v>6138</v>
      </c>
      <c r="I3426">
        <v>5822</v>
      </c>
      <c r="J3426">
        <v>5822</v>
      </c>
      <c r="K3426">
        <v>2202</v>
      </c>
      <c r="L3426">
        <v>8</v>
      </c>
      <c r="M3426">
        <v>3584</v>
      </c>
      <c r="N3426">
        <v>143</v>
      </c>
      <c r="O3426">
        <v>201</v>
      </c>
      <c r="P3426">
        <v>3</v>
      </c>
      <c r="Q3426">
        <v>0</v>
      </c>
    </row>
    <row r="3427" spans="1:17" x14ac:dyDescent="0.2">
      <c r="A3427" s="121">
        <v>40421</v>
      </c>
      <c r="B3427" t="s">
        <v>406</v>
      </c>
      <c r="C3427" t="s">
        <v>407</v>
      </c>
      <c r="D3427" t="s">
        <v>416</v>
      </c>
      <c r="E3427" t="s">
        <v>417</v>
      </c>
      <c r="F3427" t="s">
        <v>413</v>
      </c>
      <c r="G3427">
        <v>3958</v>
      </c>
      <c r="H3427">
        <v>3958</v>
      </c>
      <c r="I3427">
        <v>3805</v>
      </c>
      <c r="J3427">
        <v>3805</v>
      </c>
      <c r="K3427">
        <v>1321</v>
      </c>
      <c r="L3427">
        <v>8</v>
      </c>
      <c r="M3427">
        <v>2423</v>
      </c>
      <c r="N3427">
        <v>135</v>
      </c>
      <c r="O3427">
        <v>71</v>
      </c>
      <c r="P3427">
        <v>7</v>
      </c>
      <c r="Q3427">
        <v>0</v>
      </c>
    </row>
    <row r="3428" spans="1:17" x14ac:dyDescent="0.2">
      <c r="A3428" s="121">
        <v>40421</v>
      </c>
      <c r="B3428" t="s">
        <v>406</v>
      </c>
      <c r="C3428" t="s">
        <v>407</v>
      </c>
      <c r="D3428" t="s">
        <v>618</v>
      </c>
      <c r="E3428" t="s">
        <v>619</v>
      </c>
      <c r="F3428" t="s">
        <v>410</v>
      </c>
      <c r="G3428">
        <v>137</v>
      </c>
      <c r="I3428">
        <v>137</v>
      </c>
    </row>
    <row r="3429" spans="1:17" x14ac:dyDescent="0.2">
      <c r="A3429" s="121">
        <v>40421</v>
      </c>
      <c r="B3429" t="s">
        <v>406</v>
      </c>
      <c r="C3429" t="s">
        <v>418</v>
      </c>
      <c r="D3429" t="s">
        <v>419</v>
      </c>
      <c r="E3429" t="s">
        <v>420</v>
      </c>
      <c r="F3429" t="s">
        <v>410</v>
      </c>
      <c r="G3429">
        <v>19</v>
      </c>
      <c r="I3429">
        <v>19</v>
      </c>
    </row>
    <row r="3430" spans="1:17" x14ac:dyDescent="0.2">
      <c r="A3430" s="121">
        <v>40421</v>
      </c>
      <c r="B3430" t="s">
        <v>406</v>
      </c>
      <c r="C3430" t="s">
        <v>418</v>
      </c>
      <c r="D3430" t="s">
        <v>421</v>
      </c>
      <c r="E3430" t="s">
        <v>422</v>
      </c>
      <c r="F3430" t="s">
        <v>410</v>
      </c>
      <c r="G3430">
        <v>114</v>
      </c>
      <c r="I3430">
        <v>114</v>
      </c>
    </row>
    <row r="3431" spans="1:17" x14ac:dyDescent="0.2">
      <c r="A3431" s="121">
        <v>40421</v>
      </c>
      <c r="B3431" t="s">
        <v>406</v>
      </c>
      <c r="C3431" t="s">
        <v>418</v>
      </c>
      <c r="D3431" t="s">
        <v>423</v>
      </c>
      <c r="E3431" t="s">
        <v>424</v>
      </c>
      <c r="F3431" t="s">
        <v>410</v>
      </c>
      <c r="G3431">
        <v>35</v>
      </c>
      <c r="I3431">
        <v>35</v>
      </c>
    </row>
    <row r="3432" spans="1:17" x14ac:dyDescent="0.2">
      <c r="A3432" s="121">
        <v>40421</v>
      </c>
      <c r="B3432" t="s">
        <v>406</v>
      </c>
      <c r="C3432" t="s">
        <v>418</v>
      </c>
      <c r="D3432" t="s">
        <v>425</v>
      </c>
      <c r="E3432" t="s">
        <v>426</v>
      </c>
      <c r="F3432" t="s">
        <v>410</v>
      </c>
      <c r="G3432">
        <v>94</v>
      </c>
      <c r="I3432">
        <v>94</v>
      </c>
    </row>
    <row r="3433" spans="1:17" x14ac:dyDescent="0.2">
      <c r="A3433" s="121">
        <v>40421</v>
      </c>
      <c r="B3433" t="s">
        <v>406</v>
      </c>
      <c r="C3433" t="s">
        <v>418</v>
      </c>
      <c r="D3433" t="s">
        <v>427</v>
      </c>
      <c r="E3433" t="s">
        <v>428</v>
      </c>
      <c r="F3433" t="s">
        <v>413</v>
      </c>
      <c r="G3433">
        <v>1962</v>
      </c>
      <c r="H3433">
        <v>1962</v>
      </c>
      <c r="I3433">
        <v>1923</v>
      </c>
      <c r="J3433">
        <v>1923</v>
      </c>
      <c r="K3433">
        <v>610</v>
      </c>
      <c r="L3433">
        <v>0</v>
      </c>
      <c r="M3433">
        <v>1109</v>
      </c>
      <c r="N3433">
        <v>20</v>
      </c>
      <c r="O3433">
        <v>223</v>
      </c>
      <c r="P3433">
        <v>0</v>
      </c>
      <c r="Q3433">
        <v>0</v>
      </c>
    </row>
    <row r="3434" spans="1:17" x14ac:dyDescent="0.2">
      <c r="A3434" s="121">
        <v>40421</v>
      </c>
      <c r="B3434" t="s">
        <v>406</v>
      </c>
      <c r="C3434" t="s">
        <v>429</v>
      </c>
      <c r="D3434" t="s">
        <v>430</v>
      </c>
      <c r="E3434" t="s">
        <v>431</v>
      </c>
      <c r="F3434" t="s">
        <v>410</v>
      </c>
      <c r="G3434">
        <v>82</v>
      </c>
      <c r="I3434">
        <v>82</v>
      </c>
    </row>
    <row r="3435" spans="1:17" x14ac:dyDescent="0.2">
      <c r="A3435" s="121">
        <v>40421</v>
      </c>
      <c r="B3435" t="s">
        <v>406</v>
      </c>
      <c r="C3435" t="s">
        <v>429</v>
      </c>
      <c r="D3435" t="s">
        <v>432</v>
      </c>
      <c r="E3435" t="s">
        <v>433</v>
      </c>
      <c r="F3435" t="s">
        <v>410</v>
      </c>
      <c r="G3435">
        <v>124</v>
      </c>
      <c r="I3435">
        <v>124</v>
      </c>
    </row>
    <row r="3436" spans="1:17" x14ac:dyDescent="0.2">
      <c r="A3436" s="121">
        <v>40421</v>
      </c>
      <c r="B3436" t="s">
        <v>406</v>
      </c>
      <c r="C3436" t="s">
        <v>429</v>
      </c>
      <c r="D3436" t="s">
        <v>434</v>
      </c>
      <c r="E3436" t="s">
        <v>435</v>
      </c>
      <c r="F3436" t="s">
        <v>410</v>
      </c>
      <c r="G3436">
        <v>29</v>
      </c>
      <c r="I3436">
        <v>29</v>
      </c>
    </row>
    <row r="3437" spans="1:17" x14ac:dyDescent="0.2">
      <c r="A3437" s="121">
        <v>40421</v>
      </c>
      <c r="B3437" t="s">
        <v>406</v>
      </c>
      <c r="C3437" t="s">
        <v>429</v>
      </c>
      <c r="D3437" t="s">
        <v>436</v>
      </c>
      <c r="E3437" t="s">
        <v>437</v>
      </c>
      <c r="F3437" t="s">
        <v>410</v>
      </c>
      <c r="G3437">
        <v>61</v>
      </c>
      <c r="I3437">
        <v>61</v>
      </c>
    </row>
    <row r="3438" spans="1:17" x14ac:dyDescent="0.2">
      <c r="A3438" s="121">
        <v>40421</v>
      </c>
      <c r="B3438" t="s">
        <v>406</v>
      </c>
      <c r="C3438" t="s">
        <v>429</v>
      </c>
      <c r="D3438" t="s">
        <v>438</v>
      </c>
      <c r="E3438" t="s">
        <v>439</v>
      </c>
      <c r="F3438" t="s">
        <v>413</v>
      </c>
      <c r="G3438">
        <v>1090</v>
      </c>
      <c r="H3438">
        <v>1090</v>
      </c>
      <c r="I3438">
        <v>1074</v>
      </c>
      <c r="J3438">
        <v>1074</v>
      </c>
      <c r="K3438">
        <v>87</v>
      </c>
      <c r="L3438">
        <v>1</v>
      </c>
      <c r="M3438">
        <v>963</v>
      </c>
      <c r="N3438">
        <v>39</v>
      </c>
      <c r="O3438">
        <v>0</v>
      </c>
      <c r="P3438">
        <v>1</v>
      </c>
      <c r="Q3438">
        <v>0</v>
      </c>
    </row>
    <row r="3439" spans="1:17" x14ac:dyDescent="0.2">
      <c r="A3439" s="121">
        <v>40421</v>
      </c>
      <c r="B3439" t="s">
        <v>406</v>
      </c>
      <c r="C3439" t="s">
        <v>429</v>
      </c>
      <c r="D3439" t="s">
        <v>440</v>
      </c>
      <c r="E3439" t="s">
        <v>441</v>
      </c>
      <c r="F3439" t="s">
        <v>413</v>
      </c>
      <c r="G3439">
        <v>3166</v>
      </c>
      <c r="H3439">
        <v>3166</v>
      </c>
      <c r="I3439">
        <v>3007</v>
      </c>
      <c r="J3439">
        <v>3007</v>
      </c>
      <c r="K3439">
        <v>930</v>
      </c>
      <c r="L3439">
        <v>4</v>
      </c>
      <c r="M3439">
        <v>2138</v>
      </c>
      <c r="N3439">
        <v>93</v>
      </c>
      <c r="O3439">
        <v>1</v>
      </c>
      <c r="P3439">
        <v>3</v>
      </c>
      <c r="Q3439">
        <v>0</v>
      </c>
    </row>
    <row r="3440" spans="1:17" x14ac:dyDescent="0.2">
      <c r="A3440" s="121">
        <v>40421</v>
      </c>
      <c r="B3440" t="s">
        <v>406</v>
      </c>
      <c r="C3440" t="s">
        <v>442</v>
      </c>
      <c r="D3440" t="s">
        <v>443</v>
      </c>
      <c r="E3440" t="s">
        <v>444</v>
      </c>
      <c r="F3440" t="s">
        <v>413</v>
      </c>
      <c r="G3440">
        <v>3351</v>
      </c>
      <c r="H3440">
        <v>3351</v>
      </c>
      <c r="I3440">
        <v>3166</v>
      </c>
      <c r="J3440">
        <v>3166</v>
      </c>
      <c r="K3440">
        <v>449</v>
      </c>
      <c r="L3440">
        <v>10</v>
      </c>
      <c r="M3440">
        <v>2760</v>
      </c>
      <c r="N3440">
        <v>56</v>
      </c>
      <c r="O3440">
        <v>76</v>
      </c>
      <c r="P3440">
        <v>9</v>
      </c>
      <c r="Q3440">
        <v>0</v>
      </c>
    </row>
    <row r="3441" spans="1:17" x14ac:dyDescent="0.2">
      <c r="A3441" s="121">
        <v>40421</v>
      </c>
      <c r="B3441" t="s">
        <v>406</v>
      </c>
      <c r="C3441" t="s">
        <v>442</v>
      </c>
      <c r="D3441" t="s">
        <v>445</v>
      </c>
      <c r="E3441" t="s">
        <v>446</v>
      </c>
      <c r="F3441" t="s">
        <v>410</v>
      </c>
      <c r="G3441">
        <v>114</v>
      </c>
      <c r="I3441">
        <v>114</v>
      </c>
    </row>
    <row r="3442" spans="1:17" x14ac:dyDescent="0.2">
      <c r="A3442" s="121">
        <v>40421</v>
      </c>
      <c r="B3442" t="s">
        <v>406</v>
      </c>
      <c r="C3442" t="s">
        <v>442</v>
      </c>
      <c r="D3442" t="s">
        <v>447</v>
      </c>
      <c r="E3442" t="s">
        <v>448</v>
      </c>
      <c r="F3442" t="s">
        <v>410</v>
      </c>
      <c r="G3442">
        <v>352</v>
      </c>
      <c r="I3442">
        <v>352</v>
      </c>
    </row>
    <row r="3443" spans="1:17" x14ac:dyDescent="0.2">
      <c r="A3443" s="121">
        <v>40421</v>
      </c>
      <c r="B3443" t="s">
        <v>406</v>
      </c>
      <c r="C3443" t="s">
        <v>442</v>
      </c>
      <c r="D3443" t="s">
        <v>449</v>
      </c>
      <c r="E3443" t="s">
        <v>450</v>
      </c>
      <c r="F3443" t="s">
        <v>413</v>
      </c>
      <c r="G3443">
        <v>3742</v>
      </c>
      <c r="H3443">
        <v>3742</v>
      </c>
      <c r="I3443">
        <v>3576</v>
      </c>
      <c r="J3443">
        <v>3576</v>
      </c>
      <c r="K3443">
        <v>683</v>
      </c>
      <c r="L3443">
        <v>16</v>
      </c>
      <c r="M3443">
        <v>2933</v>
      </c>
      <c r="N3443">
        <v>36</v>
      </c>
      <c r="O3443">
        <v>74</v>
      </c>
      <c r="P3443">
        <v>9</v>
      </c>
      <c r="Q3443">
        <v>0</v>
      </c>
    </row>
    <row r="3444" spans="1:17" x14ac:dyDescent="0.2">
      <c r="A3444" s="121">
        <v>40421</v>
      </c>
      <c r="B3444" t="s">
        <v>406</v>
      </c>
      <c r="C3444" t="s">
        <v>451</v>
      </c>
      <c r="D3444" t="s">
        <v>452</v>
      </c>
      <c r="E3444" t="s">
        <v>453</v>
      </c>
      <c r="F3444" t="s">
        <v>410</v>
      </c>
      <c r="G3444">
        <v>1799</v>
      </c>
      <c r="H3444">
        <v>1799</v>
      </c>
      <c r="I3444">
        <v>1797</v>
      </c>
      <c r="J3444">
        <v>1797</v>
      </c>
      <c r="K3444">
        <v>0</v>
      </c>
      <c r="L3444">
        <v>0</v>
      </c>
      <c r="M3444">
        <v>1365</v>
      </c>
      <c r="N3444">
        <v>169</v>
      </c>
      <c r="O3444">
        <v>265</v>
      </c>
      <c r="P3444">
        <v>0</v>
      </c>
      <c r="Q3444">
        <v>0</v>
      </c>
    </row>
    <row r="3445" spans="1:17" x14ac:dyDescent="0.2">
      <c r="A3445" s="121">
        <v>40421</v>
      </c>
      <c r="B3445" t="s">
        <v>406</v>
      </c>
      <c r="C3445" t="s">
        <v>451</v>
      </c>
      <c r="D3445" t="s">
        <v>454</v>
      </c>
      <c r="E3445" t="s">
        <v>455</v>
      </c>
      <c r="F3445" t="s">
        <v>413</v>
      </c>
      <c r="G3445">
        <v>5022</v>
      </c>
      <c r="H3445">
        <v>5022</v>
      </c>
      <c r="I3445">
        <v>4842</v>
      </c>
      <c r="J3445">
        <v>4842</v>
      </c>
      <c r="K3445">
        <v>1325</v>
      </c>
      <c r="L3445">
        <v>13</v>
      </c>
      <c r="M3445">
        <v>2891</v>
      </c>
      <c r="N3445">
        <v>57</v>
      </c>
      <c r="O3445">
        <v>736</v>
      </c>
      <c r="P3445">
        <v>5</v>
      </c>
      <c r="Q3445">
        <v>0</v>
      </c>
    </row>
    <row r="3446" spans="1:17" x14ac:dyDescent="0.2">
      <c r="A3446" s="121">
        <v>40421</v>
      </c>
      <c r="B3446" t="s">
        <v>406</v>
      </c>
      <c r="C3446" t="s">
        <v>456</v>
      </c>
      <c r="D3446" t="s">
        <v>457</v>
      </c>
      <c r="E3446" t="s">
        <v>458</v>
      </c>
      <c r="F3446" t="s">
        <v>413</v>
      </c>
      <c r="G3446">
        <v>5537</v>
      </c>
      <c r="H3446">
        <v>5537</v>
      </c>
      <c r="I3446">
        <v>5370</v>
      </c>
      <c r="J3446">
        <v>5370</v>
      </c>
      <c r="K3446">
        <v>1433</v>
      </c>
      <c r="L3446">
        <v>15</v>
      </c>
      <c r="M3446">
        <v>3968</v>
      </c>
      <c r="N3446">
        <v>71</v>
      </c>
      <c r="O3446">
        <v>50</v>
      </c>
      <c r="P3446">
        <v>10</v>
      </c>
      <c r="Q3446">
        <v>0</v>
      </c>
    </row>
    <row r="3447" spans="1:17" x14ac:dyDescent="0.2">
      <c r="A3447" s="121">
        <v>40421</v>
      </c>
      <c r="B3447" t="s">
        <v>406</v>
      </c>
      <c r="C3447" t="s">
        <v>456</v>
      </c>
      <c r="D3447" t="s">
        <v>459</v>
      </c>
      <c r="E3447" t="s">
        <v>460</v>
      </c>
      <c r="F3447" t="s">
        <v>413</v>
      </c>
      <c r="G3447">
        <v>1477</v>
      </c>
      <c r="H3447">
        <v>1477</v>
      </c>
      <c r="I3447">
        <v>1469</v>
      </c>
      <c r="J3447">
        <v>1469</v>
      </c>
      <c r="K3447">
        <v>362</v>
      </c>
      <c r="L3447">
        <v>0</v>
      </c>
      <c r="M3447">
        <v>1115</v>
      </c>
      <c r="N3447">
        <v>0</v>
      </c>
      <c r="O3447">
        <v>0</v>
      </c>
      <c r="P3447">
        <v>0</v>
      </c>
      <c r="Q3447">
        <v>0</v>
      </c>
    </row>
    <row r="3448" spans="1:17" x14ac:dyDescent="0.2">
      <c r="A3448" s="121">
        <v>40421</v>
      </c>
      <c r="B3448" t="s">
        <v>406</v>
      </c>
      <c r="C3448" t="s">
        <v>456</v>
      </c>
      <c r="D3448" t="s">
        <v>461</v>
      </c>
      <c r="E3448" t="s">
        <v>462</v>
      </c>
      <c r="F3448" t="s">
        <v>410</v>
      </c>
      <c r="G3448">
        <v>123</v>
      </c>
      <c r="I3448">
        <v>123</v>
      </c>
    </row>
    <row r="3449" spans="1:17" x14ac:dyDescent="0.2">
      <c r="A3449" s="121">
        <v>40421</v>
      </c>
      <c r="B3449" t="s">
        <v>406</v>
      </c>
      <c r="C3449" t="s">
        <v>456</v>
      </c>
      <c r="D3449" t="s">
        <v>463</v>
      </c>
      <c r="E3449" t="s">
        <v>464</v>
      </c>
      <c r="F3449" t="s">
        <v>410</v>
      </c>
      <c r="G3449">
        <v>48</v>
      </c>
      <c r="I3449">
        <v>48</v>
      </c>
    </row>
    <row r="3450" spans="1:17" x14ac:dyDescent="0.2">
      <c r="A3450" s="121">
        <v>40421</v>
      </c>
      <c r="B3450" t="s">
        <v>406</v>
      </c>
      <c r="C3450" t="s">
        <v>456</v>
      </c>
      <c r="D3450" t="s">
        <v>465</v>
      </c>
      <c r="E3450" t="s">
        <v>466</v>
      </c>
      <c r="F3450" t="s">
        <v>410</v>
      </c>
      <c r="G3450">
        <v>63</v>
      </c>
      <c r="I3450">
        <v>63</v>
      </c>
    </row>
    <row r="3451" spans="1:17" x14ac:dyDescent="0.2">
      <c r="A3451" s="121">
        <v>40421</v>
      </c>
      <c r="B3451" t="s">
        <v>406</v>
      </c>
      <c r="C3451" t="s">
        <v>456</v>
      </c>
      <c r="D3451" t="s">
        <v>467</v>
      </c>
      <c r="E3451" t="s">
        <v>468</v>
      </c>
      <c r="F3451" t="s">
        <v>410</v>
      </c>
      <c r="G3451">
        <v>1091</v>
      </c>
      <c r="I3451">
        <v>1089</v>
      </c>
    </row>
    <row r="3452" spans="1:17" x14ac:dyDescent="0.2">
      <c r="A3452" s="121">
        <v>40421</v>
      </c>
      <c r="B3452" t="s">
        <v>406</v>
      </c>
      <c r="C3452" t="s">
        <v>456</v>
      </c>
      <c r="D3452" t="s">
        <v>469</v>
      </c>
      <c r="E3452" t="s">
        <v>470</v>
      </c>
      <c r="F3452" t="s">
        <v>410</v>
      </c>
      <c r="G3452">
        <v>812</v>
      </c>
      <c r="I3452">
        <v>809</v>
      </c>
    </row>
    <row r="3453" spans="1:17" x14ac:dyDescent="0.2">
      <c r="A3453" s="121">
        <v>40421</v>
      </c>
      <c r="B3453" t="s">
        <v>406</v>
      </c>
      <c r="C3453" t="s">
        <v>456</v>
      </c>
      <c r="D3453" t="s">
        <v>471</v>
      </c>
      <c r="E3453" t="s">
        <v>472</v>
      </c>
      <c r="F3453" t="s">
        <v>410</v>
      </c>
      <c r="G3453">
        <v>253</v>
      </c>
      <c r="I3453">
        <v>252</v>
      </c>
    </row>
    <row r="3454" spans="1:17" x14ac:dyDescent="0.2">
      <c r="A3454" s="121">
        <v>40421</v>
      </c>
      <c r="B3454" t="s">
        <v>406</v>
      </c>
      <c r="C3454" t="s">
        <v>456</v>
      </c>
      <c r="D3454" t="s">
        <v>473</v>
      </c>
      <c r="E3454" t="s">
        <v>474</v>
      </c>
      <c r="F3454" t="s">
        <v>410</v>
      </c>
      <c r="G3454">
        <v>212</v>
      </c>
      <c r="I3454">
        <v>212</v>
      </c>
    </row>
    <row r="3455" spans="1:17" x14ac:dyDescent="0.2">
      <c r="A3455" s="121">
        <v>40421</v>
      </c>
      <c r="B3455" t="s">
        <v>406</v>
      </c>
      <c r="C3455" t="s">
        <v>456</v>
      </c>
      <c r="D3455" t="s">
        <v>475</v>
      </c>
      <c r="E3455" t="s">
        <v>476</v>
      </c>
      <c r="F3455" t="s">
        <v>410</v>
      </c>
      <c r="G3455">
        <v>395</v>
      </c>
      <c r="I3455">
        <v>395</v>
      </c>
    </row>
    <row r="3456" spans="1:17" x14ac:dyDescent="0.2">
      <c r="A3456" s="121">
        <v>40421</v>
      </c>
      <c r="B3456" t="s">
        <v>406</v>
      </c>
      <c r="C3456" t="s">
        <v>456</v>
      </c>
      <c r="D3456" t="s">
        <v>477</v>
      </c>
      <c r="E3456" t="s">
        <v>478</v>
      </c>
      <c r="F3456" t="s">
        <v>413</v>
      </c>
      <c r="G3456">
        <v>1925</v>
      </c>
      <c r="H3456">
        <v>1925</v>
      </c>
      <c r="I3456">
        <v>1864</v>
      </c>
      <c r="J3456">
        <v>1864</v>
      </c>
      <c r="K3456">
        <v>417</v>
      </c>
      <c r="L3456">
        <v>2</v>
      </c>
      <c r="M3456">
        <v>1463</v>
      </c>
      <c r="N3456">
        <v>14</v>
      </c>
      <c r="O3456">
        <v>29</v>
      </c>
      <c r="P3456">
        <v>5</v>
      </c>
      <c r="Q3456">
        <v>1</v>
      </c>
    </row>
    <row r="3457" spans="1:17" x14ac:dyDescent="0.2">
      <c r="A3457" s="121">
        <v>40421</v>
      </c>
      <c r="B3457" t="s">
        <v>406</v>
      </c>
      <c r="C3457" t="s">
        <v>456</v>
      </c>
      <c r="D3457" t="s">
        <v>479</v>
      </c>
      <c r="E3457" t="s">
        <v>480</v>
      </c>
      <c r="F3457" t="s">
        <v>410</v>
      </c>
      <c r="G3457">
        <v>99</v>
      </c>
      <c r="I3457">
        <v>99</v>
      </c>
    </row>
    <row r="3458" spans="1:17" x14ac:dyDescent="0.2">
      <c r="A3458" s="121">
        <v>40421</v>
      </c>
      <c r="B3458" t="s">
        <v>406</v>
      </c>
      <c r="C3458" t="s">
        <v>456</v>
      </c>
      <c r="D3458" t="s">
        <v>481</v>
      </c>
      <c r="E3458" t="s">
        <v>482</v>
      </c>
      <c r="F3458" t="s">
        <v>410</v>
      </c>
      <c r="G3458">
        <v>67</v>
      </c>
      <c r="I3458">
        <v>67</v>
      </c>
    </row>
    <row r="3459" spans="1:17" x14ac:dyDescent="0.2">
      <c r="A3459" s="121">
        <v>40421</v>
      </c>
      <c r="B3459" t="s">
        <v>406</v>
      </c>
      <c r="C3459" t="s">
        <v>456</v>
      </c>
      <c r="D3459" t="s">
        <v>483</v>
      </c>
      <c r="E3459" t="s">
        <v>484</v>
      </c>
      <c r="F3459" t="s">
        <v>410</v>
      </c>
      <c r="G3459">
        <v>83</v>
      </c>
      <c r="I3459">
        <v>83</v>
      </c>
    </row>
    <row r="3460" spans="1:17" x14ac:dyDescent="0.2">
      <c r="A3460" s="121">
        <v>40421</v>
      </c>
      <c r="B3460" t="s">
        <v>406</v>
      </c>
      <c r="C3460" t="s">
        <v>456</v>
      </c>
      <c r="D3460" t="s">
        <v>485</v>
      </c>
      <c r="E3460" t="s">
        <v>486</v>
      </c>
      <c r="F3460" t="s">
        <v>410</v>
      </c>
      <c r="G3460">
        <v>103</v>
      </c>
      <c r="I3460">
        <v>103</v>
      </c>
    </row>
    <row r="3461" spans="1:17" x14ac:dyDescent="0.2">
      <c r="A3461" s="121">
        <v>40421</v>
      </c>
      <c r="B3461" t="s">
        <v>406</v>
      </c>
      <c r="C3461" t="s">
        <v>456</v>
      </c>
      <c r="D3461" t="s">
        <v>487</v>
      </c>
      <c r="E3461" t="s">
        <v>488</v>
      </c>
      <c r="F3461" t="s">
        <v>410</v>
      </c>
      <c r="G3461">
        <v>49</v>
      </c>
      <c r="I3461">
        <v>49</v>
      </c>
    </row>
    <row r="3462" spans="1:17" x14ac:dyDescent="0.2">
      <c r="A3462" s="121">
        <v>40421</v>
      </c>
      <c r="B3462" t="s">
        <v>406</v>
      </c>
      <c r="C3462" t="s">
        <v>456</v>
      </c>
      <c r="D3462" t="s">
        <v>489</v>
      </c>
      <c r="E3462" t="s">
        <v>490</v>
      </c>
      <c r="F3462" t="s">
        <v>410</v>
      </c>
      <c r="G3462">
        <v>130</v>
      </c>
      <c r="H3462">
        <v>130</v>
      </c>
      <c r="I3462">
        <v>129</v>
      </c>
      <c r="J3462">
        <v>129</v>
      </c>
      <c r="K3462">
        <v>0</v>
      </c>
      <c r="L3462">
        <v>1</v>
      </c>
      <c r="M3462">
        <v>108</v>
      </c>
      <c r="N3462">
        <v>21</v>
      </c>
      <c r="O3462">
        <v>0</v>
      </c>
      <c r="P3462">
        <v>1</v>
      </c>
      <c r="Q3462">
        <v>1</v>
      </c>
    </row>
    <row r="3463" spans="1:17" x14ac:dyDescent="0.2">
      <c r="A3463" s="121">
        <v>40421</v>
      </c>
      <c r="B3463" t="s">
        <v>406</v>
      </c>
      <c r="C3463" t="s">
        <v>491</v>
      </c>
      <c r="D3463" t="s">
        <v>492</v>
      </c>
      <c r="E3463" t="s">
        <v>493</v>
      </c>
      <c r="F3463" t="s">
        <v>410</v>
      </c>
      <c r="G3463">
        <v>1537</v>
      </c>
      <c r="H3463">
        <v>1537</v>
      </c>
      <c r="I3463">
        <v>1527</v>
      </c>
      <c r="J3463">
        <v>1527</v>
      </c>
      <c r="K3463">
        <v>0</v>
      </c>
      <c r="L3463">
        <v>0</v>
      </c>
      <c r="M3463">
        <v>1</v>
      </c>
      <c r="N3463">
        <v>13</v>
      </c>
      <c r="O3463">
        <v>1523</v>
      </c>
      <c r="P3463">
        <v>0</v>
      </c>
      <c r="Q3463">
        <v>0</v>
      </c>
    </row>
    <row r="3464" spans="1:17" x14ac:dyDescent="0.2">
      <c r="A3464" s="121">
        <v>40421</v>
      </c>
      <c r="B3464" t="s">
        <v>406</v>
      </c>
      <c r="C3464" t="s">
        <v>491</v>
      </c>
      <c r="D3464" t="s">
        <v>494</v>
      </c>
      <c r="E3464" t="s">
        <v>495</v>
      </c>
      <c r="F3464" t="s">
        <v>413</v>
      </c>
      <c r="G3464">
        <v>3164</v>
      </c>
      <c r="H3464">
        <v>3164</v>
      </c>
      <c r="I3464">
        <v>3049</v>
      </c>
      <c r="J3464">
        <v>3049</v>
      </c>
      <c r="K3464">
        <v>0</v>
      </c>
      <c r="L3464">
        <v>0</v>
      </c>
      <c r="M3464">
        <v>11</v>
      </c>
      <c r="N3464">
        <v>21</v>
      </c>
      <c r="O3464">
        <v>3132</v>
      </c>
      <c r="P3464">
        <v>2</v>
      </c>
      <c r="Q3464">
        <v>0</v>
      </c>
    </row>
    <row r="3465" spans="1:17" x14ac:dyDescent="0.2">
      <c r="A3465" s="121">
        <v>40421</v>
      </c>
      <c r="B3465" t="s">
        <v>406</v>
      </c>
      <c r="C3465" t="s">
        <v>491</v>
      </c>
      <c r="D3465" t="s">
        <v>496</v>
      </c>
      <c r="E3465" t="s">
        <v>497</v>
      </c>
      <c r="F3465" t="s">
        <v>413</v>
      </c>
      <c r="G3465">
        <v>6443</v>
      </c>
      <c r="H3465">
        <v>6443</v>
      </c>
      <c r="I3465">
        <v>6146</v>
      </c>
      <c r="J3465">
        <v>6146</v>
      </c>
      <c r="K3465">
        <v>679</v>
      </c>
      <c r="L3465">
        <v>0</v>
      </c>
      <c r="M3465">
        <v>15</v>
      </c>
      <c r="N3465">
        <v>79</v>
      </c>
      <c r="O3465">
        <v>5670</v>
      </c>
      <c r="P3465">
        <v>2</v>
      </c>
      <c r="Q3465">
        <v>0</v>
      </c>
    </row>
    <row r="3466" spans="1:17" x14ac:dyDescent="0.2">
      <c r="A3466" s="121">
        <v>40421</v>
      </c>
      <c r="B3466" t="s">
        <v>406</v>
      </c>
      <c r="C3466" t="s">
        <v>491</v>
      </c>
      <c r="D3466" t="s">
        <v>498</v>
      </c>
      <c r="E3466" t="s">
        <v>499</v>
      </c>
      <c r="F3466" t="s">
        <v>413</v>
      </c>
      <c r="G3466">
        <v>6611</v>
      </c>
      <c r="H3466">
        <v>6611</v>
      </c>
      <c r="I3466">
        <v>6414</v>
      </c>
      <c r="J3466">
        <v>6414</v>
      </c>
      <c r="K3466">
        <v>1667</v>
      </c>
      <c r="L3466">
        <v>10</v>
      </c>
      <c r="M3466">
        <v>4511</v>
      </c>
      <c r="N3466">
        <v>117</v>
      </c>
      <c r="O3466">
        <v>306</v>
      </c>
      <c r="P3466">
        <v>2</v>
      </c>
      <c r="Q3466">
        <v>0</v>
      </c>
    </row>
    <row r="3467" spans="1:17" x14ac:dyDescent="0.2">
      <c r="A3467" s="121">
        <v>40421</v>
      </c>
      <c r="B3467" t="s">
        <v>406</v>
      </c>
      <c r="C3467" t="s">
        <v>491</v>
      </c>
      <c r="D3467" t="s">
        <v>500</v>
      </c>
      <c r="E3467" t="s">
        <v>501</v>
      </c>
      <c r="F3467" t="s">
        <v>413</v>
      </c>
      <c r="G3467">
        <v>3903</v>
      </c>
      <c r="H3467">
        <v>3903</v>
      </c>
      <c r="I3467">
        <v>3850</v>
      </c>
      <c r="J3467">
        <v>3850</v>
      </c>
      <c r="K3467">
        <v>992</v>
      </c>
      <c r="L3467">
        <v>2</v>
      </c>
      <c r="M3467">
        <v>2624</v>
      </c>
      <c r="N3467">
        <v>37</v>
      </c>
      <c r="O3467">
        <v>248</v>
      </c>
      <c r="P3467">
        <v>0</v>
      </c>
      <c r="Q3467">
        <v>0</v>
      </c>
    </row>
    <row r="3468" spans="1:17" x14ac:dyDescent="0.2">
      <c r="A3468" s="121">
        <v>40421</v>
      </c>
      <c r="B3468" t="s">
        <v>406</v>
      </c>
      <c r="C3468" t="s">
        <v>491</v>
      </c>
      <c r="D3468" t="s">
        <v>502</v>
      </c>
      <c r="E3468" t="s">
        <v>615</v>
      </c>
      <c r="F3468" t="s">
        <v>410</v>
      </c>
      <c r="G3468">
        <v>1423</v>
      </c>
      <c r="H3468">
        <v>1423</v>
      </c>
      <c r="I3468">
        <v>1423</v>
      </c>
      <c r="J3468">
        <v>1423</v>
      </c>
      <c r="K3468">
        <v>0</v>
      </c>
      <c r="L3468">
        <v>0</v>
      </c>
      <c r="M3468">
        <v>1410</v>
      </c>
      <c r="N3468">
        <v>0</v>
      </c>
      <c r="O3468">
        <v>13</v>
      </c>
      <c r="P3468">
        <v>0</v>
      </c>
      <c r="Q3468">
        <v>0</v>
      </c>
    </row>
    <row r="3469" spans="1:17" x14ac:dyDescent="0.2">
      <c r="A3469" s="121">
        <v>40421</v>
      </c>
      <c r="B3469" t="s">
        <v>406</v>
      </c>
      <c r="C3469" t="s">
        <v>491</v>
      </c>
      <c r="D3469" t="s">
        <v>502</v>
      </c>
      <c r="E3469" t="s">
        <v>503</v>
      </c>
      <c r="F3469" t="s">
        <v>413</v>
      </c>
      <c r="G3469">
        <v>5337</v>
      </c>
      <c r="H3469">
        <v>5337</v>
      </c>
      <c r="I3469">
        <v>5162</v>
      </c>
      <c r="J3469">
        <v>5162</v>
      </c>
      <c r="K3469">
        <v>1499</v>
      </c>
      <c r="L3469">
        <v>7</v>
      </c>
      <c r="M3469">
        <v>3613</v>
      </c>
      <c r="N3469">
        <v>115</v>
      </c>
      <c r="O3469">
        <v>103</v>
      </c>
      <c r="P3469">
        <v>5</v>
      </c>
      <c r="Q3469">
        <v>0</v>
      </c>
    </row>
    <row r="3470" spans="1:17" x14ac:dyDescent="0.2">
      <c r="A3470" s="121">
        <v>40421</v>
      </c>
      <c r="B3470" t="s">
        <v>406</v>
      </c>
      <c r="C3470" t="s">
        <v>491</v>
      </c>
      <c r="D3470" t="s">
        <v>504</v>
      </c>
      <c r="E3470" t="s">
        <v>505</v>
      </c>
      <c r="F3470" t="s">
        <v>413</v>
      </c>
      <c r="G3470">
        <v>4270</v>
      </c>
      <c r="H3470">
        <v>4270</v>
      </c>
      <c r="I3470">
        <v>4135</v>
      </c>
      <c r="J3470">
        <v>4135</v>
      </c>
      <c r="K3470">
        <v>1286</v>
      </c>
      <c r="L3470">
        <v>6</v>
      </c>
      <c r="M3470">
        <v>2852</v>
      </c>
      <c r="N3470">
        <v>72</v>
      </c>
      <c r="O3470">
        <v>54</v>
      </c>
      <c r="P3470">
        <v>4</v>
      </c>
      <c r="Q3470">
        <v>0</v>
      </c>
    </row>
    <row r="3471" spans="1:17" x14ac:dyDescent="0.2">
      <c r="A3471" s="121">
        <v>40421</v>
      </c>
      <c r="B3471" t="s">
        <v>406</v>
      </c>
      <c r="C3471" t="s">
        <v>491</v>
      </c>
      <c r="D3471" t="s">
        <v>506</v>
      </c>
      <c r="E3471" t="s">
        <v>507</v>
      </c>
      <c r="F3471" t="s">
        <v>413</v>
      </c>
      <c r="G3471">
        <v>3479</v>
      </c>
      <c r="H3471">
        <v>3479</v>
      </c>
      <c r="I3471">
        <v>3424</v>
      </c>
      <c r="J3471">
        <v>3424</v>
      </c>
      <c r="K3471">
        <v>536</v>
      </c>
      <c r="L3471">
        <v>0</v>
      </c>
      <c r="M3471">
        <v>2933</v>
      </c>
      <c r="N3471">
        <v>4</v>
      </c>
      <c r="O3471">
        <v>6</v>
      </c>
      <c r="P3471">
        <v>0</v>
      </c>
      <c r="Q3471">
        <v>0</v>
      </c>
    </row>
    <row r="3472" spans="1:17" x14ac:dyDescent="0.2">
      <c r="A3472" s="121">
        <v>40421</v>
      </c>
      <c r="B3472" t="s">
        <v>406</v>
      </c>
      <c r="C3472" t="s">
        <v>491</v>
      </c>
      <c r="D3472" t="s">
        <v>508</v>
      </c>
      <c r="E3472" t="s">
        <v>509</v>
      </c>
      <c r="F3472" t="s">
        <v>413</v>
      </c>
      <c r="G3472">
        <v>4996</v>
      </c>
      <c r="H3472">
        <v>4996</v>
      </c>
      <c r="I3472">
        <v>4851</v>
      </c>
      <c r="J3472">
        <v>4851</v>
      </c>
      <c r="K3472">
        <v>1412</v>
      </c>
      <c r="L3472">
        <v>7</v>
      </c>
      <c r="M3472">
        <v>3146</v>
      </c>
      <c r="N3472">
        <v>130</v>
      </c>
      <c r="O3472">
        <v>301</v>
      </c>
      <c r="P3472">
        <v>2</v>
      </c>
      <c r="Q3472">
        <v>0</v>
      </c>
    </row>
    <row r="3473" spans="1:17" x14ac:dyDescent="0.2">
      <c r="A3473" s="121">
        <v>40421</v>
      </c>
      <c r="B3473" t="s">
        <v>406</v>
      </c>
      <c r="C3473" t="s">
        <v>510</v>
      </c>
      <c r="D3473" t="s">
        <v>513</v>
      </c>
      <c r="E3473" t="s">
        <v>514</v>
      </c>
      <c r="F3473" t="s">
        <v>410</v>
      </c>
      <c r="G3473">
        <v>741</v>
      </c>
      <c r="I3473">
        <v>735</v>
      </c>
    </row>
    <row r="3474" spans="1:17" x14ac:dyDescent="0.2">
      <c r="A3474" s="121">
        <v>40421</v>
      </c>
      <c r="B3474" t="s">
        <v>406</v>
      </c>
      <c r="C3474" t="s">
        <v>510</v>
      </c>
      <c r="D3474" t="s">
        <v>515</v>
      </c>
      <c r="E3474" t="s">
        <v>516</v>
      </c>
      <c r="F3474" t="s">
        <v>410</v>
      </c>
      <c r="G3474">
        <v>101</v>
      </c>
      <c r="I3474">
        <v>100</v>
      </c>
    </row>
    <row r="3475" spans="1:17" x14ac:dyDescent="0.2">
      <c r="A3475" s="121">
        <v>40421</v>
      </c>
      <c r="B3475" t="s">
        <v>406</v>
      </c>
      <c r="C3475" t="s">
        <v>510</v>
      </c>
      <c r="D3475" t="s">
        <v>519</v>
      </c>
      <c r="E3475" t="s">
        <v>520</v>
      </c>
      <c r="F3475" t="s">
        <v>410</v>
      </c>
      <c r="G3475">
        <v>388</v>
      </c>
      <c r="I3475">
        <v>382</v>
      </c>
    </row>
    <row r="3476" spans="1:17" x14ac:dyDescent="0.2">
      <c r="A3476" s="121">
        <v>40421</v>
      </c>
      <c r="B3476" t="s">
        <v>406</v>
      </c>
      <c r="C3476" t="s">
        <v>510</v>
      </c>
      <c r="D3476" t="s">
        <v>521</v>
      </c>
      <c r="E3476" t="s">
        <v>522</v>
      </c>
      <c r="F3476" t="s">
        <v>410</v>
      </c>
      <c r="G3476">
        <v>70</v>
      </c>
      <c r="I3476">
        <v>69</v>
      </c>
    </row>
    <row r="3477" spans="1:17" x14ac:dyDescent="0.2">
      <c r="A3477" s="121">
        <v>40421</v>
      </c>
      <c r="B3477" t="s">
        <v>406</v>
      </c>
      <c r="C3477" t="s">
        <v>510</v>
      </c>
      <c r="D3477" t="s">
        <v>523</v>
      </c>
      <c r="E3477" t="s">
        <v>524</v>
      </c>
      <c r="F3477" t="s">
        <v>413</v>
      </c>
      <c r="G3477">
        <v>621</v>
      </c>
      <c r="I3477">
        <v>617</v>
      </c>
    </row>
    <row r="3478" spans="1:17" x14ac:dyDescent="0.2">
      <c r="A3478" s="121">
        <v>40421</v>
      </c>
      <c r="B3478" t="s">
        <v>406</v>
      </c>
      <c r="C3478" t="s">
        <v>510</v>
      </c>
      <c r="D3478" t="s">
        <v>525</v>
      </c>
      <c r="E3478" t="s">
        <v>526</v>
      </c>
      <c r="F3478" t="s">
        <v>410</v>
      </c>
      <c r="G3478">
        <v>492</v>
      </c>
      <c r="I3478">
        <v>483</v>
      </c>
    </row>
    <row r="3479" spans="1:17" x14ac:dyDescent="0.2">
      <c r="A3479" s="121">
        <v>40421</v>
      </c>
      <c r="B3479" t="s">
        <v>406</v>
      </c>
      <c r="C3479" t="s">
        <v>510</v>
      </c>
      <c r="D3479" t="s">
        <v>527</v>
      </c>
      <c r="E3479" t="s">
        <v>528</v>
      </c>
      <c r="F3479" t="s">
        <v>410</v>
      </c>
      <c r="G3479">
        <v>212</v>
      </c>
      <c r="I3479">
        <v>212</v>
      </c>
    </row>
    <row r="3480" spans="1:17" x14ac:dyDescent="0.2">
      <c r="A3480" s="121">
        <v>40421</v>
      </c>
      <c r="B3480" t="s">
        <v>406</v>
      </c>
      <c r="C3480" t="s">
        <v>510</v>
      </c>
      <c r="D3480" t="s">
        <v>529</v>
      </c>
      <c r="E3480" t="s">
        <v>530</v>
      </c>
      <c r="F3480" t="s">
        <v>413</v>
      </c>
      <c r="G3480">
        <v>570</v>
      </c>
      <c r="I3480">
        <v>562</v>
      </c>
    </row>
    <row r="3481" spans="1:17" x14ac:dyDescent="0.2">
      <c r="A3481" s="121">
        <v>40421</v>
      </c>
      <c r="B3481" t="s">
        <v>406</v>
      </c>
      <c r="C3481" t="s">
        <v>510</v>
      </c>
      <c r="D3481" t="s">
        <v>531</v>
      </c>
      <c r="E3481" t="s">
        <v>532</v>
      </c>
      <c r="F3481" t="s">
        <v>410</v>
      </c>
      <c r="G3481">
        <v>67</v>
      </c>
      <c r="I3481">
        <v>67</v>
      </c>
    </row>
    <row r="3482" spans="1:17" x14ac:dyDescent="0.2">
      <c r="A3482" s="121">
        <v>40421</v>
      </c>
      <c r="B3482" t="s">
        <v>406</v>
      </c>
      <c r="C3482" t="s">
        <v>510</v>
      </c>
      <c r="D3482" t="s">
        <v>533</v>
      </c>
      <c r="E3482" t="s">
        <v>534</v>
      </c>
      <c r="F3482" t="s">
        <v>413</v>
      </c>
      <c r="G3482">
        <v>2856</v>
      </c>
      <c r="H3482">
        <v>2856</v>
      </c>
      <c r="I3482">
        <v>2764</v>
      </c>
      <c r="J3482">
        <v>2764</v>
      </c>
      <c r="K3482">
        <v>547</v>
      </c>
      <c r="L3482">
        <v>10</v>
      </c>
      <c r="M3482">
        <v>2295</v>
      </c>
      <c r="N3482">
        <v>4</v>
      </c>
      <c r="O3482">
        <v>0</v>
      </c>
      <c r="P3482">
        <v>2</v>
      </c>
      <c r="Q3482">
        <v>0</v>
      </c>
    </row>
    <row r="3483" spans="1:17" x14ac:dyDescent="0.2">
      <c r="A3483" s="121">
        <v>40421</v>
      </c>
      <c r="B3483" t="s">
        <v>406</v>
      </c>
      <c r="C3483" t="s">
        <v>510</v>
      </c>
      <c r="D3483" t="s">
        <v>535</v>
      </c>
      <c r="E3483" t="s">
        <v>536</v>
      </c>
      <c r="F3483" t="s">
        <v>410</v>
      </c>
      <c r="G3483">
        <v>345</v>
      </c>
      <c r="I3483">
        <v>345</v>
      </c>
    </row>
    <row r="3484" spans="1:17" x14ac:dyDescent="0.2">
      <c r="A3484" s="121">
        <v>40421</v>
      </c>
      <c r="B3484" t="s">
        <v>406</v>
      </c>
      <c r="C3484" t="s">
        <v>510</v>
      </c>
      <c r="D3484" t="s">
        <v>537</v>
      </c>
      <c r="E3484" t="s">
        <v>538</v>
      </c>
      <c r="F3484" t="s">
        <v>410</v>
      </c>
      <c r="G3484">
        <v>129</v>
      </c>
      <c r="I3484">
        <v>129</v>
      </c>
    </row>
    <row r="3485" spans="1:17" x14ac:dyDescent="0.2">
      <c r="A3485" s="121">
        <v>40421</v>
      </c>
      <c r="B3485" t="s">
        <v>406</v>
      </c>
      <c r="C3485" t="s">
        <v>510</v>
      </c>
      <c r="D3485" t="s">
        <v>539</v>
      </c>
      <c r="E3485" t="s">
        <v>540</v>
      </c>
      <c r="F3485" t="s">
        <v>413</v>
      </c>
      <c r="G3485">
        <v>996</v>
      </c>
      <c r="I3485">
        <v>978</v>
      </c>
    </row>
    <row r="3486" spans="1:17" x14ac:dyDescent="0.2">
      <c r="A3486" s="121">
        <v>40421</v>
      </c>
      <c r="B3486" t="s">
        <v>406</v>
      </c>
      <c r="C3486" t="s">
        <v>510</v>
      </c>
      <c r="D3486" t="s">
        <v>541</v>
      </c>
      <c r="E3486" t="s">
        <v>542</v>
      </c>
      <c r="F3486" t="s">
        <v>410</v>
      </c>
      <c r="G3486">
        <v>440</v>
      </c>
      <c r="I3486">
        <v>440</v>
      </c>
    </row>
    <row r="3487" spans="1:17" x14ac:dyDescent="0.2">
      <c r="A3487" s="121">
        <v>40421</v>
      </c>
      <c r="B3487" t="s">
        <v>406</v>
      </c>
      <c r="C3487" t="s">
        <v>510</v>
      </c>
      <c r="D3487" t="s">
        <v>543</v>
      </c>
      <c r="E3487" t="s">
        <v>544</v>
      </c>
      <c r="F3487" t="s">
        <v>410</v>
      </c>
      <c r="G3487">
        <v>291</v>
      </c>
      <c r="I3487">
        <v>291</v>
      </c>
    </row>
    <row r="3488" spans="1:17" x14ac:dyDescent="0.2">
      <c r="A3488" s="121">
        <v>40421</v>
      </c>
      <c r="B3488" t="s">
        <v>406</v>
      </c>
      <c r="C3488" t="s">
        <v>510</v>
      </c>
      <c r="D3488" t="s">
        <v>545</v>
      </c>
      <c r="E3488" t="s">
        <v>546</v>
      </c>
      <c r="F3488" t="s">
        <v>410</v>
      </c>
      <c r="G3488">
        <v>216</v>
      </c>
      <c r="I3488">
        <v>216</v>
      </c>
    </row>
    <row r="3489" spans="1:17" x14ac:dyDescent="0.2">
      <c r="A3489" s="121">
        <v>40421</v>
      </c>
      <c r="B3489" t="s">
        <v>406</v>
      </c>
      <c r="C3489" t="s">
        <v>510</v>
      </c>
      <c r="D3489" t="s">
        <v>547</v>
      </c>
      <c r="E3489" t="s">
        <v>548</v>
      </c>
      <c r="F3489" t="s">
        <v>410</v>
      </c>
      <c r="G3489">
        <v>84</v>
      </c>
      <c r="I3489">
        <v>84</v>
      </c>
    </row>
    <row r="3490" spans="1:17" x14ac:dyDescent="0.2">
      <c r="A3490" s="121">
        <v>40421</v>
      </c>
      <c r="B3490" t="s">
        <v>406</v>
      </c>
      <c r="C3490" t="s">
        <v>510</v>
      </c>
      <c r="D3490" t="s">
        <v>616</v>
      </c>
      <c r="E3490" t="s">
        <v>617</v>
      </c>
      <c r="F3490" t="s">
        <v>410</v>
      </c>
      <c r="G3490">
        <v>375</v>
      </c>
      <c r="I3490">
        <v>370</v>
      </c>
    </row>
    <row r="3491" spans="1:17" x14ac:dyDescent="0.2">
      <c r="A3491" s="121">
        <v>40421</v>
      </c>
      <c r="B3491" t="s">
        <v>406</v>
      </c>
      <c r="C3491" t="s">
        <v>510</v>
      </c>
      <c r="D3491" t="s">
        <v>549</v>
      </c>
      <c r="E3491" t="s">
        <v>550</v>
      </c>
      <c r="F3491" t="s">
        <v>410</v>
      </c>
      <c r="G3491">
        <v>246</v>
      </c>
      <c r="I3491">
        <v>246</v>
      </c>
    </row>
    <row r="3492" spans="1:17" x14ac:dyDescent="0.2">
      <c r="A3492" s="121">
        <v>40421</v>
      </c>
      <c r="B3492" t="s">
        <v>406</v>
      </c>
      <c r="C3492" t="s">
        <v>551</v>
      </c>
      <c r="D3492" t="s">
        <v>552</v>
      </c>
      <c r="E3492" t="s">
        <v>553</v>
      </c>
      <c r="F3492" t="s">
        <v>413</v>
      </c>
      <c r="G3492">
        <v>6048</v>
      </c>
      <c r="H3492">
        <v>6048</v>
      </c>
      <c r="I3492">
        <v>5919</v>
      </c>
      <c r="J3492">
        <v>5919</v>
      </c>
      <c r="K3492">
        <v>1631</v>
      </c>
      <c r="L3492">
        <v>3</v>
      </c>
      <c r="M3492">
        <v>4167</v>
      </c>
      <c r="N3492">
        <v>236</v>
      </c>
      <c r="O3492">
        <v>11</v>
      </c>
      <c r="P3492">
        <v>3</v>
      </c>
      <c r="Q3492">
        <v>0</v>
      </c>
    </row>
    <row r="3493" spans="1:17" x14ac:dyDescent="0.2">
      <c r="A3493" s="121">
        <v>40421</v>
      </c>
      <c r="B3493" t="s">
        <v>406</v>
      </c>
      <c r="C3493" t="s">
        <v>551</v>
      </c>
      <c r="D3493" t="s">
        <v>554</v>
      </c>
      <c r="E3493" t="s">
        <v>555</v>
      </c>
      <c r="F3493" t="s">
        <v>410</v>
      </c>
      <c r="G3493">
        <v>57</v>
      </c>
      <c r="I3493">
        <v>57</v>
      </c>
    </row>
    <row r="3494" spans="1:17" x14ac:dyDescent="0.2">
      <c r="A3494" s="121">
        <v>40421</v>
      </c>
      <c r="B3494" t="s">
        <v>406</v>
      </c>
      <c r="C3494" t="s">
        <v>551</v>
      </c>
      <c r="D3494" t="s">
        <v>556</v>
      </c>
      <c r="E3494" t="s">
        <v>557</v>
      </c>
      <c r="F3494" t="s">
        <v>410</v>
      </c>
      <c r="G3494">
        <v>100</v>
      </c>
      <c r="I3494">
        <v>100</v>
      </c>
    </row>
    <row r="3495" spans="1:17" x14ac:dyDescent="0.2">
      <c r="A3495" s="121">
        <v>40421</v>
      </c>
      <c r="B3495" t="s">
        <v>406</v>
      </c>
      <c r="C3495" t="s">
        <v>551</v>
      </c>
      <c r="D3495" t="s">
        <v>558</v>
      </c>
      <c r="E3495" t="s">
        <v>559</v>
      </c>
      <c r="F3495" t="s">
        <v>413</v>
      </c>
      <c r="G3495">
        <v>4949</v>
      </c>
      <c r="H3495">
        <v>4949</v>
      </c>
      <c r="I3495">
        <v>4767</v>
      </c>
      <c r="J3495">
        <v>4767</v>
      </c>
      <c r="K3495">
        <v>1258</v>
      </c>
      <c r="L3495">
        <v>8</v>
      </c>
      <c r="M3495">
        <v>3565</v>
      </c>
      <c r="N3495">
        <v>103</v>
      </c>
      <c r="O3495">
        <v>15</v>
      </c>
      <c r="P3495">
        <v>14</v>
      </c>
      <c r="Q3495">
        <v>0</v>
      </c>
    </row>
    <row r="3496" spans="1:17" x14ac:dyDescent="0.2">
      <c r="A3496" s="121">
        <v>40421</v>
      </c>
      <c r="B3496" t="s">
        <v>406</v>
      </c>
      <c r="C3496" t="s">
        <v>551</v>
      </c>
      <c r="D3496" t="s">
        <v>560</v>
      </c>
      <c r="E3496" t="s">
        <v>561</v>
      </c>
      <c r="F3496" t="s">
        <v>413</v>
      </c>
      <c r="G3496">
        <v>5824</v>
      </c>
      <c r="H3496">
        <v>5824</v>
      </c>
      <c r="I3496">
        <v>5748</v>
      </c>
      <c r="J3496">
        <v>5748</v>
      </c>
      <c r="K3496">
        <v>1366</v>
      </c>
      <c r="L3496">
        <v>5</v>
      </c>
      <c r="M3496">
        <v>4175</v>
      </c>
      <c r="N3496">
        <v>261</v>
      </c>
      <c r="O3496">
        <v>17</v>
      </c>
      <c r="P3496">
        <v>1</v>
      </c>
      <c r="Q3496">
        <v>0</v>
      </c>
    </row>
    <row r="3497" spans="1:17" x14ac:dyDescent="0.2">
      <c r="A3497" s="121">
        <v>40421</v>
      </c>
      <c r="B3497" t="s">
        <v>406</v>
      </c>
      <c r="C3497" t="s">
        <v>562</v>
      </c>
      <c r="D3497" t="s">
        <v>603</v>
      </c>
      <c r="E3497" t="s">
        <v>604</v>
      </c>
      <c r="F3497" t="s">
        <v>410</v>
      </c>
      <c r="G3497">
        <v>103</v>
      </c>
      <c r="I3497">
        <v>103</v>
      </c>
    </row>
    <row r="3498" spans="1:17" x14ac:dyDescent="0.2">
      <c r="A3498" s="121">
        <v>40421</v>
      </c>
      <c r="B3498" t="s">
        <v>406</v>
      </c>
      <c r="C3498" t="s">
        <v>562</v>
      </c>
      <c r="D3498" t="s">
        <v>605</v>
      </c>
      <c r="E3498" t="s">
        <v>606</v>
      </c>
      <c r="F3498" t="s">
        <v>410</v>
      </c>
      <c r="G3498">
        <v>209</v>
      </c>
      <c r="I3498">
        <v>209</v>
      </c>
    </row>
    <row r="3499" spans="1:17" x14ac:dyDescent="0.2">
      <c r="A3499" s="121">
        <v>40421</v>
      </c>
      <c r="B3499" t="s">
        <v>406</v>
      </c>
      <c r="C3499" t="s">
        <v>562</v>
      </c>
      <c r="D3499" t="s">
        <v>563</v>
      </c>
      <c r="E3499" t="s">
        <v>564</v>
      </c>
      <c r="F3499" t="s">
        <v>410</v>
      </c>
      <c r="G3499">
        <v>3197</v>
      </c>
      <c r="H3499">
        <v>3197</v>
      </c>
      <c r="I3499">
        <v>3147</v>
      </c>
      <c r="J3499">
        <v>3147</v>
      </c>
      <c r="K3499">
        <v>925</v>
      </c>
      <c r="L3499">
        <v>3</v>
      </c>
      <c r="M3499">
        <v>2244</v>
      </c>
      <c r="N3499">
        <v>25</v>
      </c>
      <c r="O3499">
        <v>0</v>
      </c>
      <c r="P3499">
        <v>3</v>
      </c>
      <c r="Q3499">
        <v>0</v>
      </c>
    </row>
    <row r="3500" spans="1:17" x14ac:dyDescent="0.2">
      <c r="A3500" s="121">
        <v>40421</v>
      </c>
      <c r="B3500" t="s">
        <v>406</v>
      </c>
      <c r="C3500" t="s">
        <v>562</v>
      </c>
      <c r="D3500" t="s">
        <v>565</v>
      </c>
      <c r="E3500" t="s">
        <v>566</v>
      </c>
      <c r="F3500" t="s">
        <v>413</v>
      </c>
      <c r="G3500">
        <v>4305</v>
      </c>
      <c r="H3500">
        <v>4305</v>
      </c>
      <c r="I3500">
        <v>4133</v>
      </c>
      <c r="J3500">
        <v>4133</v>
      </c>
      <c r="K3500">
        <v>1022</v>
      </c>
      <c r="L3500">
        <v>7</v>
      </c>
      <c r="M3500">
        <v>3166</v>
      </c>
      <c r="N3500">
        <v>110</v>
      </c>
      <c r="O3500">
        <v>0</v>
      </c>
      <c r="P3500">
        <v>23</v>
      </c>
      <c r="Q3500">
        <v>6</v>
      </c>
    </row>
    <row r="3501" spans="1:17" x14ac:dyDescent="0.2">
      <c r="A3501" s="121">
        <v>40421</v>
      </c>
      <c r="B3501" t="s">
        <v>406</v>
      </c>
      <c r="C3501" t="s">
        <v>562</v>
      </c>
      <c r="D3501" t="s">
        <v>567</v>
      </c>
      <c r="E3501" t="s">
        <v>568</v>
      </c>
      <c r="F3501" t="s">
        <v>413</v>
      </c>
      <c r="G3501">
        <v>10105</v>
      </c>
      <c r="H3501">
        <v>10105</v>
      </c>
      <c r="I3501">
        <v>9292</v>
      </c>
      <c r="J3501">
        <v>9292</v>
      </c>
      <c r="K3501">
        <v>2896</v>
      </c>
      <c r="L3501">
        <v>15</v>
      </c>
      <c r="M3501">
        <v>6631</v>
      </c>
      <c r="N3501">
        <v>563</v>
      </c>
      <c r="O3501">
        <v>0</v>
      </c>
      <c r="P3501">
        <v>59</v>
      </c>
      <c r="Q3501">
        <v>1</v>
      </c>
    </row>
    <row r="3502" spans="1:17" x14ac:dyDescent="0.2">
      <c r="A3502" s="121">
        <v>40421</v>
      </c>
      <c r="B3502" t="s">
        <v>406</v>
      </c>
      <c r="C3502" t="s">
        <v>562</v>
      </c>
      <c r="D3502" t="s">
        <v>569</v>
      </c>
      <c r="E3502" t="s">
        <v>570</v>
      </c>
      <c r="F3502" t="s">
        <v>413</v>
      </c>
      <c r="G3502">
        <v>2908</v>
      </c>
      <c r="H3502">
        <v>2908</v>
      </c>
      <c r="I3502">
        <v>2881</v>
      </c>
      <c r="J3502">
        <v>2881</v>
      </c>
      <c r="K3502">
        <v>473</v>
      </c>
      <c r="L3502">
        <v>1</v>
      </c>
      <c r="M3502">
        <v>2433</v>
      </c>
      <c r="N3502">
        <v>1</v>
      </c>
      <c r="O3502">
        <v>0</v>
      </c>
      <c r="P3502">
        <v>0</v>
      </c>
      <c r="Q3502">
        <v>0</v>
      </c>
    </row>
    <row r="3503" spans="1:17" x14ac:dyDescent="0.2">
      <c r="A3503" s="121">
        <v>40421</v>
      </c>
      <c r="B3503" t="s">
        <v>406</v>
      </c>
      <c r="C3503" t="s">
        <v>571</v>
      </c>
      <c r="D3503" t="s">
        <v>572</v>
      </c>
      <c r="E3503" t="s">
        <v>573</v>
      </c>
      <c r="F3503" t="s">
        <v>410</v>
      </c>
      <c r="G3503">
        <v>298</v>
      </c>
      <c r="I3503">
        <v>291</v>
      </c>
    </row>
    <row r="3504" spans="1:17" x14ac:dyDescent="0.2">
      <c r="A3504" s="121">
        <v>40421</v>
      </c>
      <c r="B3504" t="s">
        <v>406</v>
      </c>
      <c r="C3504" t="s">
        <v>574</v>
      </c>
      <c r="D3504" t="s">
        <v>575</v>
      </c>
      <c r="E3504" t="s">
        <v>576</v>
      </c>
      <c r="F3504" t="s">
        <v>413</v>
      </c>
      <c r="G3504">
        <v>710</v>
      </c>
      <c r="H3504">
        <v>710</v>
      </c>
      <c r="I3504">
        <v>707</v>
      </c>
      <c r="J3504">
        <v>707</v>
      </c>
      <c r="K3504">
        <v>142</v>
      </c>
      <c r="L3504">
        <v>0</v>
      </c>
      <c r="M3504">
        <v>534</v>
      </c>
      <c r="N3504">
        <v>6</v>
      </c>
      <c r="O3504">
        <v>28</v>
      </c>
      <c r="P3504">
        <v>0</v>
      </c>
      <c r="Q3504">
        <v>0</v>
      </c>
    </row>
    <row r="3505" spans="1:17" x14ac:dyDescent="0.2">
      <c r="A3505" s="121">
        <v>40421</v>
      </c>
      <c r="B3505" t="s">
        <v>406</v>
      </c>
      <c r="C3505" t="s">
        <v>577</v>
      </c>
      <c r="D3505" t="s">
        <v>578</v>
      </c>
      <c r="E3505" t="s">
        <v>579</v>
      </c>
      <c r="F3505" t="s">
        <v>413</v>
      </c>
      <c r="G3505">
        <v>4248</v>
      </c>
      <c r="H3505">
        <v>4248</v>
      </c>
      <c r="I3505">
        <v>4136</v>
      </c>
      <c r="J3505">
        <v>4136</v>
      </c>
      <c r="K3505">
        <v>815</v>
      </c>
      <c r="L3505">
        <v>13</v>
      </c>
      <c r="M3505">
        <v>3354</v>
      </c>
      <c r="N3505">
        <v>66</v>
      </c>
      <c r="O3505">
        <v>0</v>
      </c>
      <c r="P3505">
        <v>2</v>
      </c>
      <c r="Q3505">
        <v>0</v>
      </c>
    </row>
    <row r="3506" spans="1:17" x14ac:dyDescent="0.2">
      <c r="A3506" s="121">
        <v>40421</v>
      </c>
      <c r="B3506" t="s">
        <v>406</v>
      </c>
      <c r="C3506" t="s">
        <v>577</v>
      </c>
      <c r="D3506" t="s">
        <v>580</v>
      </c>
      <c r="E3506" t="s">
        <v>581</v>
      </c>
      <c r="F3506" t="s">
        <v>413</v>
      </c>
      <c r="G3506">
        <v>2295</v>
      </c>
      <c r="H3506">
        <v>2295</v>
      </c>
      <c r="I3506">
        <v>2278</v>
      </c>
      <c r="J3506">
        <v>2278</v>
      </c>
      <c r="K3506">
        <v>335</v>
      </c>
      <c r="L3506">
        <v>0</v>
      </c>
      <c r="M3506">
        <v>1659</v>
      </c>
      <c r="N3506">
        <v>260</v>
      </c>
      <c r="O3506">
        <v>41</v>
      </c>
      <c r="P3506">
        <v>0</v>
      </c>
      <c r="Q3506">
        <v>0</v>
      </c>
    </row>
    <row r="3507" spans="1:17" x14ac:dyDescent="0.2">
      <c r="A3507" s="121">
        <v>40421</v>
      </c>
      <c r="B3507" t="s">
        <v>406</v>
      </c>
      <c r="C3507" t="s">
        <v>577</v>
      </c>
      <c r="D3507" t="s">
        <v>609</v>
      </c>
      <c r="E3507" t="s">
        <v>610</v>
      </c>
      <c r="F3507" t="s">
        <v>410</v>
      </c>
      <c r="G3507">
        <v>33</v>
      </c>
      <c r="H3507">
        <v>33</v>
      </c>
      <c r="I3507">
        <v>33</v>
      </c>
      <c r="J3507">
        <v>33</v>
      </c>
      <c r="K3507">
        <v>0</v>
      </c>
      <c r="L3507">
        <v>0</v>
      </c>
      <c r="M3507">
        <v>29</v>
      </c>
      <c r="N3507">
        <v>4</v>
      </c>
      <c r="O3507">
        <v>0</v>
      </c>
      <c r="P3507">
        <v>0</v>
      </c>
      <c r="Q3507">
        <v>0</v>
      </c>
    </row>
    <row r="3508" spans="1:17" x14ac:dyDescent="0.2">
      <c r="A3508" s="121">
        <v>40421</v>
      </c>
      <c r="B3508" t="s">
        <v>406</v>
      </c>
      <c r="C3508" t="s">
        <v>577</v>
      </c>
      <c r="D3508" t="s">
        <v>611</v>
      </c>
      <c r="E3508" t="s">
        <v>612</v>
      </c>
      <c r="F3508" t="s">
        <v>410</v>
      </c>
      <c r="G3508">
        <v>8</v>
      </c>
      <c r="H3508">
        <v>8</v>
      </c>
      <c r="I3508">
        <v>8</v>
      </c>
      <c r="J3508">
        <v>8</v>
      </c>
      <c r="K3508">
        <v>0</v>
      </c>
      <c r="L3508">
        <v>0</v>
      </c>
      <c r="M3508">
        <v>6</v>
      </c>
      <c r="N3508">
        <v>2</v>
      </c>
      <c r="O3508">
        <v>0</v>
      </c>
      <c r="P3508">
        <v>0</v>
      </c>
      <c r="Q3508">
        <v>0</v>
      </c>
    </row>
    <row r="3509" spans="1:17" x14ac:dyDescent="0.2">
      <c r="A3509" s="121">
        <v>40421</v>
      </c>
      <c r="B3509" t="s">
        <v>406</v>
      </c>
      <c r="C3509" t="s">
        <v>577</v>
      </c>
      <c r="D3509" t="s">
        <v>584</v>
      </c>
      <c r="E3509" t="s">
        <v>585</v>
      </c>
      <c r="F3509" t="s">
        <v>410</v>
      </c>
      <c r="G3509">
        <v>281</v>
      </c>
      <c r="H3509">
        <v>281</v>
      </c>
      <c r="I3509">
        <v>281</v>
      </c>
      <c r="J3509">
        <v>281</v>
      </c>
      <c r="K3509">
        <v>0</v>
      </c>
      <c r="L3509">
        <v>0</v>
      </c>
      <c r="M3509">
        <v>235</v>
      </c>
      <c r="N3509">
        <v>35</v>
      </c>
      <c r="O3509">
        <v>11</v>
      </c>
      <c r="P3509">
        <v>0</v>
      </c>
      <c r="Q3509">
        <v>0</v>
      </c>
    </row>
    <row r="3510" spans="1:17" x14ac:dyDescent="0.2">
      <c r="A3510" s="121">
        <v>40421</v>
      </c>
      <c r="B3510" t="s">
        <v>406</v>
      </c>
      <c r="C3510" t="s">
        <v>577</v>
      </c>
      <c r="D3510" t="s">
        <v>586</v>
      </c>
      <c r="E3510" t="s">
        <v>587</v>
      </c>
      <c r="F3510" t="s">
        <v>410</v>
      </c>
      <c r="G3510">
        <v>1234</v>
      </c>
      <c r="H3510">
        <v>1234</v>
      </c>
      <c r="I3510">
        <v>1234</v>
      </c>
      <c r="J3510">
        <v>1234</v>
      </c>
      <c r="K3510">
        <v>0</v>
      </c>
      <c r="L3510">
        <v>0</v>
      </c>
      <c r="M3510">
        <v>1024</v>
      </c>
      <c r="N3510">
        <v>161</v>
      </c>
      <c r="O3510">
        <v>49</v>
      </c>
      <c r="P3510">
        <v>0</v>
      </c>
      <c r="Q3510">
        <v>0</v>
      </c>
    </row>
    <row r="3511" spans="1:17" x14ac:dyDescent="0.2">
      <c r="A3511" s="121">
        <v>40421</v>
      </c>
      <c r="B3511" t="s">
        <v>406</v>
      </c>
      <c r="C3511" t="s">
        <v>577</v>
      </c>
      <c r="D3511" t="s">
        <v>588</v>
      </c>
      <c r="E3511" t="s">
        <v>589</v>
      </c>
      <c r="F3511" t="s">
        <v>410</v>
      </c>
      <c r="G3511">
        <v>325</v>
      </c>
      <c r="H3511">
        <v>325</v>
      </c>
      <c r="I3511">
        <v>325</v>
      </c>
      <c r="J3511">
        <v>325</v>
      </c>
      <c r="K3511">
        <v>0</v>
      </c>
      <c r="L3511">
        <v>0</v>
      </c>
      <c r="M3511">
        <v>274</v>
      </c>
      <c r="N3511">
        <v>35</v>
      </c>
      <c r="O3511">
        <v>16</v>
      </c>
      <c r="P3511">
        <v>0</v>
      </c>
      <c r="Q3511">
        <v>0</v>
      </c>
    </row>
    <row r="3512" spans="1:17" x14ac:dyDescent="0.2">
      <c r="A3512" s="121">
        <v>40421</v>
      </c>
      <c r="B3512" t="s">
        <v>406</v>
      </c>
      <c r="C3512" t="s">
        <v>577</v>
      </c>
      <c r="D3512" t="s">
        <v>613</v>
      </c>
      <c r="E3512" t="s">
        <v>614</v>
      </c>
      <c r="F3512" t="s">
        <v>410</v>
      </c>
      <c r="G3512">
        <v>212</v>
      </c>
      <c r="H3512">
        <v>212</v>
      </c>
      <c r="I3512">
        <v>212</v>
      </c>
      <c r="J3512">
        <v>212</v>
      </c>
      <c r="K3512">
        <v>0</v>
      </c>
      <c r="L3512">
        <v>0</v>
      </c>
      <c r="M3512">
        <v>161</v>
      </c>
      <c r="N3512">
        <v>33</v>
      </c>
      <c r="O3512">
        <v>18</v>
      </c>
      <c r="P3512">
        <v>0</v>
      </c>
      <c r="Q3512">
        <v>0</v>
      </c>
    </row>
    <row r="3513" spans="1:17" x14ac:dyDescent="0.2">
      <c r="A3513" s="121">
        <v>40421</v>
      </c>
      <c r="B3513" t="s">
        <v>406</v>
      </c>
      <c r="C3513" t="s">
        <v>577</v>
      </c>
      <c r="D3513" t="s">
        <v>590</v>
      </c>
      <c r="E3513" t="s">
        <v>591</v>
      </c>
      <c r="F3513" t="s">
        <v>410</v>
      </c>
      <c r="G3513">
        <v>662</v>
      </c>
      <c r="H3513">
        <v>662</v>
      </c>
      <c r="I3513">
        <v>662</v>
      </c>
      <c r="J3513">
        <v>662</v>
      </c>
      <c r="K3513">
        <v>0</v>
      </c>
      <c r="L3513">
        <v>0</v>
      </c>
      <c r="M3513">
        <v>587</v>
      </c>
      <c r="N3513">
        <v>49</v>
      </c>
      <c r="O3513">
        <v>26</v>
      </c>
      <c r="P3513">
        <v>0</v>
      </c>
      <c r="Q3513">
        <v>0</v>
      </c>
    </row>
    <row r="3514" spans="1:17" x14ac:dyDescent="0.2">
      <c r="A3514" s="121">
        <v>40421</v>
      </c>
      <c r="B3514" t="s">
        <v>406</v>
      </c>
      <c r="C3514" t="s">
        <v>577</v>
      </c>
      <c r="D3514" t="s">
        <v>607</v>
      </c>
      <c r="E3514" t="s">
        <v>608</v>
      </c>
      <c r="F3514" t="s">
        <v>410</v>
      </c>
      <c r="G3514">
        <v>155</v>
      </c>
      <c r="H3514">
        <v>155</v>
      </c>
      <c r="I3514">
        <v>155</v>
      </c>
      <c r="J3514">
        <v>155</v>
      </c>
      <c r="K3514">
        <v>0</v>
      </c>
      <c r="L3514">
        <v>0</v>
      </c>
      <c r="M3514">
        <v>123</v>
      </c>
      <c r="N3514">
        <v>16</v>
      </c>
      <c r="O3514">
        <v>16</v>
      </c>
      <c r="P3514">
        <v>0</v>
      </c>
      <c r="Q3514">
        <v>0</v>
      </c>
    </row>
    <row r="3515" spans="1:17" x14ac:dyDescent="0.2">
      <c r="A3515" s="121">
        <v>40421</v>
      </c>
      <c r="B3515" t="s">
        <v>406</v>
      </c>
      <c r="C3515" t="s">
        <v>577</v>
      </c>
      <c r="D3515" t="s">
        <v>592</v>
      </c>
      <c r="E3515" t="s">
        <v>593</v>
      </c>
      <c r="F3515" t="s">
        <v>410</v>
      </c>
      <c r="G3515">
        <v>736</v>
      </c>
      <c r="H3515">
        <v>736</v>
      </c>
      <c r="I3515">
        <v>736</v>
      </c>
      <c r="J3515">
        <v>736</v>
      </c>
      <c r="K3515">
        <v>0</v>
      </c>
      <c r="L3515">
        <v>0</v>
      </c>
      <c r="M3515">
        <v>644</v>
      </c>
      <c r="N3515">
        <v>67</v>
      </c>
      <c r="O3515">
        <v>25</v>
      </c>
      <c r="P3515">
        <v>0</v>
      </c>
      <c r="Q3515">
        <v>0</v>
      </c>
    </row>
    <row r="3516" spans="1:17" x14ac:dyDescent="0.2">
      <c r="A3516" s="121">
        <v>40421</v>
      </c>
      <c r="B3516" t="s">
        <v>406</v>
      </c>
      <c r="C3516" t="s">
        <v>594</v>
      </c>
      <c r="D3516" t="s">
        <v>595</v>
      </c>
      <c r="E3516" t="s">
        <v>596</v>
      </c>
      <c r="F3516" t="s">
        <v>410</v>
      </c>
      <c r="G3516">
        <v>41</v>
      </c>
      <c r="I3516">
        <v>41</v>
      </c>
    </row>
    <row r="3517" spans="1:17" x14ac:dyDescent="0.2">
      <c r="A3517" s="121">
        <v>40421</v>
      </c>
      <c r="B3517" t="s">
        <v>406</v>
      </c>
      <c r="C3517" t="s">
        <v>594</v>
      </c>
      <c r="D3517" t="s">
        <v>597</v>
      </c>
      <c r="E3517" t="s">
        <v>598</v>
      </c>
      <c r="F3517" t="s">
        <v>413</v>
      </c>
      <c r="G3517">
        <v>566</v>
      </c>
      <c r="H3517">
        <v>566</v>
      </c>
      <c r="I3517">
        <v>557</v>
      </c>
      <c r="J3517">
        <v>557</v>
      </c>
      <c r="K3517">
        <v>150</v>
      </c>
      <c r="L3517">
        <v>0</v>
      </c>
      <c r="M3517">
        <v>412</v>
      </c>
      <c r="N3517">
        <v>1</v>
      </c>
      <c r="O3517">
        <v>3</v>
      </c>
      <c r="P3517">
        <v>0</v>
      </c>
      <c r="Q3517">
        <v>0</v>
      </c>
    </row>
    <row r="3518" spans="1:17" x14ac:dyDescent="0.2">
      <c r="A3518" s="121">
        <v>40421</v>
      </c>
      <c r="B3518" t="s">
        <v>406</v>
      </c>
      <c r="C3518" t="s">
        <v>594</v>
      </c>
      <c r="D3518" t="s">
        <v>599</v>
      </c>
      <c r="E3518" t="s">
        <v>600</v>
      </c>
      <c r="F3518" t="s">
        <v>410</v>
      </c>
      <c r="G3518">
        <v>117</v>
      </c>
      <c r="I3518">
        <v>117</v>
      </c>
    </row>
    <row r="3519" spans="1:17" x14ac:dyDescent="0.2">
      <c r="A3519" s="121">
        <v>40451</v>
      </c>
      <c r="B3519" t="s">
        <v>406</v>
      </c>
      <c r="C3519" t="s">
        <v>407</v>
      </c>
      <c r="D3519" t="s">
        <v>408</v>
      </c>
      <c r="E3519" t="s">
        <v>409</v>
      </c>
      <c r="F3519" t="s">
        <v>410</v>
      </c>
      <c r="G3519">
        <v>208</v>
      </c>
      <c r="I3519">
        <v>208</v>
      </c>
    </row>
    <row r="3520" spans="1:17" x14ac:dyDescent="0.2">
      <c r="A3520" s="121">
        <v>40451</v>
      </c>
      <c r="B3520" t="s">
        <v>406</v>
      </c>
      <c r="C3520" t="s">
        <v>407</v>
      </c>
      <c r="D3520" t="s">
        <v>601</v>
      </c>
      <c r="E3520" t="s">
        <v>602</v>
      </c>
      <c r="F3520" t="s">
        <v>410</v>
      </c>
      <c r="G3520">
        <v>54</v>
      </c>
      <c r="I3520">
        <v>54</v>
      </c>
    </row>
    <row r="3521" spans="1:17" x14ac:dyDescent="0.2">
      <c r="A3521" s="121">
        <v>40451</v>
      </c>
      <c r="B3521" t="s">
        <v>406</v>
      </c>
      <c r="C3521" t="s">
        <v>407</v>
      </c>
      <c r="D3521" t="s">
        <v>411</v>
      </c>
      <c r="E3521" t="s">
        <v>412</v>
      </c>
      <c r="F3521" t="s">
        <v>413</v>
      </c>
      <c r="G3521">
        <v>5668</v>
      </c>
      <c r="H3521">
        <v>5668</v>
      </c>
      <c r="I3521">
        <v>5514</v>
      </c>
      <c r="J3521">
        <v>5514</v>
      </c>
      <c r="K3521">
        <v>2011</v>
      </c>
      <c r="L3521">
        <v>9</v>
      </c>
      <c r="M3521">
        <v>3285</v>
      </c>
      <c r="N3521">
        <v>131</v>
      </c>
      <c r="O3521">
        <v>232</v>
      </c>
      <c r="P3521">
        <v>1</v>
      </c>
      <c r="Q3521">
        <v>0</v>
      </c>
    </row>
    <row r="3522" spans="1:17" x14ac:dyDescent="0.2">
      <c r="A3522" s="121">
        <v>40451</v>
      </c>
      <c r="B3522" t="s">
        <v>406</v>
      </c>
      <c r="C3522" t="s">
        <v>407</v>
      </c>
      <c r="D3522" t="s">
        <v>416</v>
      </c>
      <c r="E3522" t="s">
        <v>417</v>
      </c>
      <c r="F3522" t="s">
        <v>413</v>
      </c>
      <c r="G3522">
        <v>3655</v>
      </c>
      <c r="H3522">
        <v>3655</v>
      </c>
      <c r="I3522">
        <v>3541</v>
      </c>
      <c r="J3522">
        <v>3541</v>
      </c>
      <c r="K3522">
        <v>1219</v>
      </c>
      <c r="L3522">
        <v>7</v>
      </c>
      <c r="M3522">
        <v>2240</v>
      </c>
      <c r="N3522">
        <v>128</v>
      </c>
      <c r="O3522">
        <v>61</v>
      </c>
      <c r="P3522">
        <v>1</v>
      </c>
      <c r="Q3522">
        <v>0</v>
      </c>
    </row>
    <row r="3523" spans="1:17" x14ac:dyDescent="0.2">
      <c r="A3523" s="121">
        <v>40451</v>
      </c>
      <c r="B3523" t="s">
        <v>406</v>
      </c>
      <c r="C3523" t="s">
        <v>407</v>
      </c>
      <c r="D3523" t="s">
        <v>618</v>
      </c>
      <c r="E3523" t="s">
        <v>619</v>
      </c>
      <c r="F3523" t="s">
        <v>410</v>
      </c>
      <c r="G3523">
        <v>119</v>
      </c>
      <c r="I3523">
        <v>119</v>
      </c>
    </row>
    <row r="3524" spans="1:17" x14ac:dyDescent="0.2">
      <c r="A3524" s="121">
        <v>40451</v>
      </c>
      <c r="B3524" t="s">
        <v>406</v>
      </c>
      <c r="C3524" t="s">
        <v>418</v>
      </c>
      <c r="D3524" t="s">
        <v>419</v>
      </c>
      <c r="E3524" t="s">
        <v>420</v>
      </c>
      <c r="F3524" t="s">
        <v>410</v>
      </c>
      <c r="G3524">
        <v>26</v>
      </c>
      <c r="I3524">
        <v>26</v>
      </c>
    </row>
    <row r="3525" spans="1:17" x14ac:dyDescent="0.2">
      <c r="A3525" s="121">
        <v>40451</v>
      </c>
      <c r="B3525" t="s">
        <v>406</v>
      </c>
      <c r="C3525" t="s">
        <v>418</v>
      </c>
      <c r="D3525" t="s">
        <v>421</v>
      </c>
      <c r="E3525" t="s">
        <v>422</v>
      </c>
      <c r="F3525" t="s">
        <v>410</v>
      </c>
      <c r="G3525">
        <v>77</v>
      </c>
      <c r="I3525">
        <v>77</v>
      </c>
    </row>
    <row r="3526" spans="1:17" x14ac:dyDescent="0.2">
      <c r="A3526" s="121">
        <v>40451</v>
      </c>
      <c r="B3526" t="s">
        <v>406</v>
      </c>
      <c r="C3526" t="s">
        <v>418</v>
      </c>
      <c r="D3526" t="s">
        <v>423</v>
      </c>
      <c r="E3526" t="s">
        <v>424</v>
      </c>
      <c r="F3526" t="s">
        <v>410</v>
      </c>
      <c r="G3526">
        <v>21</v>
      </c>
      <c r="I3526">
        <v>21</v>
      </c>
    </row>
    <row r="3527" spans="1:17" x14ac:dyDescent="0.2">
      <c r="A3527" s="121">
        <v>40451</v>
      </c>
      <c r="B3527" t="s">
        <v>406</v>
      </c>
      <c r="C3527" t="s">
        <v>418</v>
      </c>
      <c r="D3527" t="s">
        <v>425</v>
      </c>
      <c r="E3527" t="s">
        <v>426</v>
      </c>
      <c r="F3527" t="s">
        <v>410</v>
      </c>
      <c r="G3527">
        <v>71</v>
      </c>
      <c r="I3527">
        <v>71</v>
      </c>
    </row>
    <row r="3528" spans="1:17" x14ac:dyDescent="0.2">
      <c r="A3528" s="121">
        <v>40451</v>
      </c>
      <c r="B3528" t="s">
        <v>406</v>
      </c>
      <c r="C3528" t="s">
        <v>418</v>
      </c>
      <c r="D3528" t="s">
        <v>427</v>
      </c>
      <c r="E3528" t="s">
        <v>428</v>
      </c>
      <c r="F3528" t="s">
        <v>413</v>
      </c>
      <c r="G3528">
        <v>1961</v>
      </c>
      <c r="H3528">
        <v>1961</v>
      </c>
      <c r="I3528">
        <v>1927</v>
      </c>
      <c r="J3528">
        <v>1927</v>
      </c>
      <c r="K3528">
        <v>623</v>
      </c>
      <c r="L3528">
        <v>1</v>
      </c>
      <c r="M3528">
        <v>1140</v>
      </c>
      <c r="N3528">
        <v>32</v>
      </c>
      <c r="O3528">
        <v>165</v>
      </c>
      <c r="P3528">
        <v>2</v>
      </c>
      <c r="Q3528">
        <v>0</v>
      </c>
    </row>
    <row r="3529" spans="1:17" x14ac:dyDescent="0.2">
      <c r="A3529" s="121">
        <v>40451</v>
      </c>
      <c r="B3529" t="s">
        <v>406</v>
      </c>
      <c r="C3529" t="s">
        <v>429</v>
      </c>
      <c r="D3529" t="s">
        <v>430</v>
      </c>
      <c r="E3529" t="s">
        <v>431</v>
      </c>
      <c r="F3529" t="s">
        <v>410</v>
      </c>
      <c r="G3529">
        <v>49</v>
      </c>
      <c r="I3529">
        <v>49</v>
      </c>
    </row>
    <row r="3530" spans="1:17" x14ac:dyDescent="0.2">
      <c r="A3530" s="121">
        <v>40451</v>
      </c>
      <c r="B3530" t="s">
        <v>406</v>
      </c>
      <c r="C3530" t="s">
        <v>429</v>
      </c>
      <c r="D3530" t="s">
        <v>432</v>
      </c>
      <c r="E3530" t="s">
        <v>433</v>
      </c>
      <c r="F3530" t="s">
        <v>410</v>
      </c>
      <c r="G3530">
        <v>108</v>
      </c>
      <c r="I3530">
        <v>108</v>
      </c>
    </row>
    <row r="3531" spans="1:17" x14ac:dyDescent="0.2">
      <c r="A3531" s="121">
        <v>40451</v>
      </c>
      <c r="B3531" t="s">
        <v>406</v>
      </c>
      <c r="C3531" t="s">
        <v>429</v>
      </c>
      <c r="D3531" t="s">
        <v>434</v>
      </c>
      <c r="E3531" t="s">
        <v>435</v>
      </c>
      <c r="F3531" t="s">
        <v>410</v>
      </c>
      <c r="G3531">
        <v>29</v>
      </c>
      <c r="I3531">
        <v>29</v>
      </c>
    </row>
    <row r="3532" spans="1:17" x14ac:dyDescent="0.2">
      <c r="A3532" s="121">
        <v>40451</v>
      </c>
      <c r="B3532" t="s">
        <v>406</v>
      </c>
      <c r="C3532" t="s">
        <v>429</v>
      </c>
      <c r="D3532" t="s">
        <v>436</v>
      </c>
      <c r="E3532" t="s">
        <v>437</v>
      </c>
      <c r="F3532" t="s">
        <v>410</v>
      </c>
      <c r="G3532">
        <v>49</v>
      </c>
      <c r="I3532">
        <v>49</v>
      </c>
    </row>
    <row r="3533" spans="1:17" x14ac:dyDescent="0.2">
      <c r="A3533" s="121">
        <v>40451</v>
      </c>
      <c r="B3533" t="s">
        <v>406</v>
      </c>
      <c r="C3533" t="s">
        <v>429</v>
      </c>
      <c r="D3533" t="s">
        <v>438</v>
      </c>
      <c r="E3533" t="s">
        <v>439</v>
      </c>
      <c r="F3533" t="s">
        <v>413</v>
      </c>
      <c r="G3533">
        <v>911</v>
      </c>
      <c r="H3533">
        <v>911</v>
      </c>
      <c r="I3533">
        <v>891</v>
      </c>
      <c r="J3533">
        <v>891</v>
      </c>
      <c r="K3533">
        <v>78</v>
      </c>
      <c r="L3533">
        <v>0</v>
      </c>
      <c r="M3533">
        <v>815</v>
      </c>
      <c r="N3533">
        <v>18</v>
      </c>
      <c r="O3533">
        <v>0</v>
      </c>
      <c r="P3533">
        <v>0</v>
      </c>
      <c r="Q3533">
        <v>0</v>
      </c>
    </row>
    <row r="3534" spans="1:17" x14ac:dyDescent="0.2">
      <c r="A3534" s="121">
        <v>40451</v>
      </c>
      <c r="B3534" t="s">
        <v>406</v>
      </c>
      <c r="C3534" t="s">
        <v>429</v>
      </c>
      <c r="D3534" t="s">
        <v>440</v>
      </c>
      <c r="E3534" t="s">
        <v>441</v>
      </c>
      <c r="F3534" t="s">
        <v>413</v>
      </c>
      <c r="G3534">
        <v>2931</v>
      </c>
      <c r="H3534">
        <v>2931</v>
      </c>
      <c r="I3534">
        <v>2778</v>
      </c>
      <c r="J3534">
        <v>2778</v>
      </c>
      <c r="K3534">
        <v>939</v>
      </c>
      <c r="L3534">
        <v>2</v>
      </c>
      <c r="M3534">
        <v>1901</v>
      </c>
      <c r="N3534">
        <v>89</v>
      </c>
      <c r="O3534">
        <v>0</v>
      </c>
      <c r="P3534">
        <v>0</v>
      </c>
      <c r="Q3534">
        <v>0</v>
      </c>
    </row>
    <row r="3535" spans="1:17" x14ac:dyDescent="0.2">
      <c r="A3535" s="121">
        <v>40451</v>
      </c>
      <c r="B3535" t="s">
        <v>406</v>
      </c>
      <c r="C3535" t="s">
        <v>442</v>
      </c>
      <c r="D3535" t="s">
        <v>443</v>
      </c>
      <c r="E3535" t="s">
        <v>444</v>
      </c>
      <c r="F3535" t="s">
        <v>413</v>
      </c>
      <c r="G3535">
        <v>3291</v>
      </c>
      <c r="H3535">
        <v>3291</v>
      </c>
      <c r="I3535">
        <v>3111</v>
      </c>
      <c r="J3535">
        <v>3111</v>
      </c>
      <c r="K3535">
        <v>428</v>
      </c>
      <c r="L3535">
        <v>6</v>
      </c>
      <c r="M3535">
        <v>2746</v>
      </c>
      <c r="N3535">
        <v>43</v>
      </c>
      <c r="O3535">
        <v>68</v>
      </c>
      <c r="P3535">
        <v>16</v>
      </c>
      <c r="Q3535">
        <v>2</v>
      </c>
    </row>
    <row r="3536" spans="1:17" x14ac:dyDescent="0.2">
      <c r="A3536" s="121">
        <v>40451</v>
      </c>
      <c r="B3536" t="s">
        <v>406</v>
      </c>
      <c r="C3536" t="s">
        <v>442</v>
      </c>
      <c r="D3536" t="s">
        <v>445</v>
      </c>
      <c r="E3536" t="s">
        <v>446</v>
      </c>
      <c r="F3536" t="s">
        <v>410</v>
      </c>
      <c r="G3536">
        <v>119</v>
      </c>
      <c r="I3536">
        <v>119</v>
      </c>
    </row>
    <row r="3537" spans="1:17" x14ac:dyDescent="0.2">
      <c r="A3537" s="121">
        <v>40451</v>
      </c>
      <c r="B3537" t="s">
        <v>406</v>
      </c>
      <c r="C3537" t="s">
        <v>442</v>
      </c>
      <c r="D3537" t="s">
        <v>447</v>
      </c>
      <c r="E3537" t="s">
        <v>448</v>
      </c>
      <c r="F3537" t="s">
        <v>410</v>
      </c>
      <c r="G3537">
        <v>434</v>
      </c>
      <c r="I3537">
        <v>434</v>
      </c>
    </row>
    <row r="3538" spans="1:17" x14ac:dyDescent="0.2">
      <c r="A3538" s="121">
        <v>40451</v>
      </c>
      <c r="B3538" t="s">
        <v>406</v>
      </c>
      <c r="C3538" t="s">
        <v>442</v>
      </c>
      <c r="D3538" t="s">
        <v>449</v>
      </c>
      <c r="E3538" t="s">
        <v>450</v>
      </c>
      <c r="F3538" t="s">
        <v>413</v>
      </c>
      <c r="G3538">
        <v>3574</v>
      </c>
      <c r="H3538">
        <v>3574</v>
      </c>
      <c r="I3538">
        <v>3376</v>
      </c>
      <c r="J3538">
        <v>3376</v>
      </c>
      <c r="K3538">
        <v>703</v>
      </c>
      <c r="L3538">
        <v>2</v>
      </c>
      <c r="M3538">
        <v>2788</v>
      </c>
      <c r="N3538">
        <v>37</v>
      </c>
      <c r="O3538">
        <v>44</v>
      </c>
      <c r="P3538">
        <v>15</v>
      </c>
      <c r="Q3538">
        <v>2</v>
      </c>
    </row>
    <row r="3539" spans="1:17" x14ac:dyDescent="0.2">
      <c r="A3539" s="121">
        <v>40451</v>
      </c>
      <c r="B3539" t="s">
        <v>406</v>
      </c>
      <c r="C3539" t="s">
        <v>451</v>
      </c>
      <c r="D3539" t="s">
        <v>452</v>
      </c>
      <c r="E3539" t="s">
        <v>453</v>
      </c>
      <c r="F3539" t="s">
        <v>410</v>
      </c>
      <c r="G3539">
        <v>1549</v>
      </c>
      <c r="H3539">
        <v>1549</v>
      </c>
      <c r="I3539">
        <v>1548</v>
      </c>
      <c r="J3539">
        <v>1548</v>
      </c>
      <c r="K3539">
        <v>0</v>
      </c>
      <c r="L3539">
        <v>0</v>
      </c>
      <c r="M3539">
        <v>1136</v>
      </c>
      <c r="N3539">
        <v>121</v>
      </c>
      <c r="O3539">
        <v>292</v>
      </c>
      <c r="P3539">
        <v>0</v>
      </c>
      <c r="Q3539">
        <v>0</v>
      </c>
    </row>
    <row r="3540" spans="1:17" x14ac:dyDescent="0.2">
      <c r="A3540" s="121">
        <v>40451</v>
      </c>
      <c r="B3540" t="s">
        <v>406</v>
      </c>
      <c r="C3540" t="s">
        <v>451</v>
      </c>
      <c r="D3540" t="s">
        <v>454</v>
      </c>
      <c r="E3540" t="s">
        <v>455</v>
      </c>
      <c r="F3540" t="s">
        <v>413</v>
      </c>
      <c r="G3540">
        <v>4895</v>
      </c>
      <c r="H3540">
        <v>4895</v>
      </c>
      <c r="I3540">
        <v>4516</v>
      </c>
      <c r="J3540">
        <v>4516</v>
      </c>
      <c r="K3540">
        <v>1206</v>
      </c>
      <c r="L3540">
        <v>12</v>
      </c>
      <c r="M3540">
        <v>2784</v>
      </c>
      <c r="N3540">
        <v>49</v>
      </c>
      <c r="O3540">
        <v>844</v>
      </c>
      <c r="P3540">
        <v>21</v>
      </c>
      <c r="Q3540">
        <v>0</v>
      </c>
    </row>
    <row r="3541" spans="1:17" x14ac:dyDescent="0.2">
      <c r="A3541" s="121">
        <v>40451</v>
      </c>
      <c r="B3541" t="s">
        <v>406</v>
      </c>
      <c r="C3541" t="s">
        <v>456</v>
      </c>
      <c r="D3541" t="s">
        <v>457</v>
      </c>
      <c r="E3541" t="s">
        <v>458</v>
      </c>
      <c r="F3541" t="s">
        <v>413</v>
      </c>
      <c r="G3541">
        <v>5189</v>
      </c>
      <c r="H3541">
        <v>5189</v>
      </c>
      <c r="I3541">
        <v>5047</v>
      </c>
      <c r="J3541">
        <v>5047</v>
      </c>
      <c r="K3541">
        <v>1330</v>
      </c>
      <c r="L3541">
        <v>19</v>
      </c>
      <c r="M3541">
        <v>3736</v>
      </c>
      <c r="N3541">
        <v>58</v>
      </c>
      <c r="O3541">
        <v>46</v>
      </c>
      <c r="P3541">
        <v>14</v>
      </c>
      <c r="Q3541">
        <v>3</v>
      </c>
    </row>
    <row r="3542" spans="1:17" x14ac:dyDescent="0.2">
      <c r="A3542" s="121">
        <v>40451</v>
      </c>
      <c r="B3542" t="s">
        <v>406</v>
      </c>
      <c r="C3542" t="s">
        <v>456</v>
      </c>
      <c r="D3542" t="s">
        <v>459</v>
      </c>
      <c r="E3542" t="s">
        <v>460</v>
      </c>
      <c r="F3542" t="s">
        <v>413</v>
      </c>
      <c r="G3542">
        <v>1589</v>
      </c>
      <c r="H3542">
        <v>1589</v>
      </c>
      <c r="I3542">
        <v>1569</v>
      </c>
      <c r="J3542">
        <v>1569</v>
      </c>
      <c r="K3542">
        <v>413</v>
      </c>
      <c r="L3542">
        <v>1</v>
      </c>
      <c r="M3542">
        <v>1171</v>
      </c>
      <c r="N3542">
        <v>3</v>
      </c>
      <c r="O3542">
        <v>1</v>
      </c>
      <c r="P3542">
        <v>0</v>
      </c>
      <c r="Q3542">
        <v>0</v>
      </c>
    </row>
    <row r="3543" spans="1:17" x14ac:dyDescent="0.2">
      <c r="A3543" s="121">
        <v>40451</v>
      </c>
      <c r="B3543" t="s">
        <v>406</v>
      </c>
      <c r="C3543" t="s">
        <v>456</v>
      </c>
      <c r="D3543" t="s">
        <v>461</v>
      </c>
      <c r="E3543" t="s">
        <v>462</v>
      </c>
      <c r="F3543" t="s">
        <v>410</v>
      </c>
      <c r="G3543">
        <v>91</v>
      </c>
      <c r="I3543">
        <v>91</v>
      </c>
    </row>
    <row r="3544" spans="1:17" x14ac:dyDescent="0.2">
      <c r="A3544" s="121">
        <v>40451</v>
      </c>
      <c r="B3544" t="s">
        <v>406</v>
      </c>
      <c r="C3544" t="s">
        <v>456</v>
      </c>
      <c r="D3544" t="s">
        <v>463</v>
      </c>
      <c r="E3544" t="s">
        <v>464</v>
      </c>
      <c r="F3544" t="s">
        <v>410</v>
      </c>
      <c r="G3544">
        <v>35</v>
      </c>
      <c r="I3544">
        <v>35</v>
      </c>
    </row>
    <row r="3545" spans="1:17" x14ac:dyDescent="0.2">
      <c r="A3545" s="121">
        <v>40451</v>
      </c>
      <c r="B3545" t="s">
        <v>406</v>
      </c>
      <c r="C3545" t="s">
        <v>456</v>
      </c>
      <c r="D3545" t="s">
        <v>465</v>
      </c>
      <c r="E3545" t="s">
        <v>466</v>
      </c>
      <c r="F3545" t="s">
        <v>410</v>
      </c>
      <c r="G3545">
        <v>65</v>
      </c>
      <c r="I3545">
        <v>65</v>
      </c>
    </row>
    <row r="3546" spans="1:17" x14ac:dyDescent="0.2">
      <c r="A3546" s="121">
        <v>40451</v>
      </c>
      <c r="B3546" t="s">
        <v>406</v>
      </c>
      <c r="C3546" t="s">
        <v>456</v>
      </c>
      <c r="D3546" t="s">
        <v>467</v>
      </c>
      <c r="E3546" t="s">
        <v>468</v>
      </c>
      <c r="F3546" t="s">
        <v>410</v>
      </c>
      <c r="G3546">
        <v>1095</v>
      </c>
      <c r="I3546">
        <v>1092</v>
      </c>
    </row>
    <row r="3547" spans="1:17" x14ac:dyDescent="0.2">
      <c r="A3547" s="121">
        <v>40451</v>
      </c>
      <c r="B3547" t="s">
        <v>406</v>
      </c>
      <c r="C3547" t="s">
        <v>456</v>
      </c>
      <c r="D3547" t="s">
        <v>469</v>
      </c>
      <c r="E3547" t="s">
        <v>470</v>
      </c>
      <c r="F3547" t="s">
        <v>410</v>
      </c>
      <c r="G3547">
        <v>863</v>
      </c>
      <c r="I3547">
        <v>857</v>
      </c>
    </row>
    <row r="3548" spans="1:17" x14ac:dyDescent="0.2">
      <c r="A3548" s="121">
        <v>40451</v>
      </c>
      <c r="B3548" t="s">
        <v>406</v>
      </c>
      <c r="C3548" t="s">
        <v>456</v>
      </c>
      <c r="D3548" t="s">
        <v>471</v>
      </c>
      <c r="E3548" t="s">
        <v>472</v>
      </c>
      <c r="F3548" t="s">
        <v>410</v>
      </c>
      <c r="G3548">
        <v>285</v>
      </c>
      <c r="I3548">
        <v>285</v>
      </c>
    </row>
    <row r="3549" spans="1:17" x14ac:dyDescent="0.2">
      <c r="A3549" s="121">
        <v>40451</v>
      </c>
      <c r="B3549" t="s">
        <v>406</v>
      </c>
      <c r="C3549" t="s">
        <v>456</v>
      </c>
      <c r="D3549" t="s">
        <v>473</v>
      </c>
      <c r="E3549" t="s">
        <v>474</v>
      </c>
      <c r="F3549" t="s">
        <v>410</v>
      </c>
      <c r="G3549">
        <v>203</v>
      </c>
      <c r="I3549">
        <v>203</v>
      </c>
    </row>
    <row r="3550" spans="1:17" x14ac:dyDescent="0.2">
      <c r="A3550" s="121">
        <v>40451</v>
      </c>
      <c r="B3550" t="s">
        <v>406</v>
      </c>
      <c r="C3550" t="s">
        <v>456</v>
      </c>
      <c r="D3550" t="s">
        <v>475</v>
      </c>
      <c r="E3550" t="s">
        <v>476</v>
      </c>
      <c r="F3550" t="s">
        <v>410</v>
      </c>
      <c r="G3550">
        <v>357</v>
      </c>
      <c r="I3550">
        <v>357</v>
      </c>
    </row>
    <row r="3551" spans="1:17" x14ac:dyDescent="0.2">
      <c r="A3551" s="121">
        <v>40451</v>
      </c>
      <c r="B3551" t="s">
        <v>406</v>
      </c>
      <c r="C3551" t="s">
        <v>456</v>
      </c>
      <c r="D3551" t="s">
        <v>477</v>
      </c>
      <c r="E3551" t="s">
        <v>478</v>
      </c>
      <c r="F3551" t="s">
        <v>413</v>
      </c>
      <c r="G3551">
        <v>1935</v>
      </c>
      <c r="H3551">
        <v>1935</v>
      </c>
      <c r="I3551">
        <v>1916</v>
      </c>
      <c r="J3551">
        <v>1916</v>
      </c>
      <c r="K3551">
        <v>447</v>
      </c>
      <c r="L3551">
        <v>8</v>
      </c>
      <c r="M3551">
        <v>1421</v>
      </c>
      <c r="N3551">
        <v>13</v>
      </c>
      <c r="O3551">
        <v>46</v>
      </c>
      <c r="P3551">
        <v>1</v>
      </c>
      <c r="Q3551">
        <v>0</v>
      </c>
    </row>
    <row r="3552" spans="1:17" x14ac:dyDescent="0.2">
      <c r="A3552" s="121">
        <v>40451</v>
      </c>
      <c r="B3552" t="s">
        <v>406</v>
      </c>
      <c r="C3552" t="s">
        <v>456</v>
      </c>
      <c r="D3552" t="s">
        <v>479</v>
      </c>
      <c r="E3552" t="s">
        <v>480</v>
      </c>
      <c r="F3552" t="s">
        <v>410</v>
      </c>
      <c r="G3552">
        <v>95</v>
      </c>
      <c r="I3552">
        <v>95</v>
      </c>
    </row>
    <row r="3553" spans="1:17" x14ac:dyDescent="0.2">
      <c r="A3553" s="121">
        <v>40451</v>
      </c>
      <c r="B3553" t="s">
        <v>406</v>
      </c>
      <c r="C3553" t="s">
        <v>456</v>
      </c>
      <c r="D3553" t="s">
        <v>481</v>
      </c>
      <c r="E3553" t="s">
        <v>482</v>
      </c>
      <c r="F3553" t="s">
        <v>410</v>
      </c>
      <c r="G3553">
        <v>51</v>
      </c>
      <c r="I3553">
        <v>51</v>
      </c>
    </row>
    <row r="3554" spans="1:17" x14ac:dyDescent="0.2">
      <c r="A3554" s="121">
        <v>40451</v>
      </c>
      <c r="B3554" t="s">
        <v>406</v>
      </c>
      <c r="C3554" t="s">
        <v>456</v>
      </c>
      <c r="D3554" t="s">
        <v>483</v>
      </c>
      <c r="E3554" t="s">
        <v>484</v>
      </c>
      <c r="F3554" t="s">
        <v>410</v>
      </c>
      <c r="G3554">
        <v>91</v>
      </c>
      <c r="I3554">
        <v>91</v>
      </c>
    </row>
    <row r="3555" spans="1:17" x14ac:dyDescent="0.2">
      <c r="A3555" s="121">
        <v>40451</v>
      </c>
      <c r="B3555" t="s">
        <v>406</v>
      </c>
      <c r="C3555" t="s">
        <v>456</v>
      </c>
      <c r="D3555" t="s">
        <v>485</v>
      </c>
      <c r="E3555" t="s">
        <v>486</v>
      </c>
      <c r="F3555" t="s">
        <v>410</v>
      </c>
      <c r="G3555">
        <v>74</v>
      </c>
      <c r="I3555">
        <v>74</v>
      </c>
    </row>
    <row r="3556" spans="1:17" x14ac:dyDescent="0.2">
      <c r="A3556" s="121">
        <v>40451</v>
      </c>
      <c r="B3556" t="s">
        <v>406</v>
      </c>
      <c r="C3556" t="s">
        <v>456</v>
      </c>
      <c r="D3556" t="s">
        <v>487</v>
      </c>
      <c r="E3556" t="s">
        <v>488</v>
      </c>
      <c r="F3556" t="s">
        <v>410</v>
      </c>
      <c r="G3556">
        <v>47</v>
      </c>
      <c r="I3556">
        <v>47</v>
      </c>
    </row>
    <row r="3557" spans="1:17" x14ac:dyDescent="0.2">
      <c r="A3557" s="121">
        <v>40451</v>
      </c>
      <c r="B3557" t="s">
        <v>406</v>
      </c>
      <c r="C3557" t="s">
        <v>456</v>
      </c>
      <c r="D3557" t="s">
        <v>489</v>
      </c>
      <c r="E3557" t="s">
        <v>490</v>
      </c>
      <c r="F3557" t="s">
        <v>410</v>
      </c>
      <c r="G3557">
        <v>95</v>
      </c>
      <c r="H3557">
        <v>95</v>
      </c>
      <c r="I3557">
        <v>95</v>
      </c>
      <c r="J3557">
        <v>95</v>
      </c>
      <c r="K3557">
        <v>0</v>
      </c>
      <c r="L3557">
        <v>0</v>
      </c>
      <c r="M3557">
        <v>77</v>
      </c>
      <c r="N3557">
        <v>18</v>
      </c>
      <c r="O3557">
        <v>0</v>
      </c>
      <c r="P3557">
        <v>0</v>
      </c>
      <c r="Q3557">
        <v>0</v>
      </c>
    </row>
    <row r="3558" spans="1:17" x14ac:dyDescent="0.2">
      <c r="A3558" s="121">
        <v>40451</v>
      </c>
      <c r="B3558" t="s">
        <v>406</v>
      </c>
      <c r="C3558" t="s">
        <v>491</v>
      </c>
      <c r="D3558" t="s">
        <v>492</v>
      </c>
      <c r="E3558" t="s">
        <v>493</v>
      </c>
      <c r="F3558" t="s">
        <v>410</v>
      </c>
      <c r="G3558">
        <v>1271</v>
      </c>
      <c r="H3558">
        <v>1271</v>
      </c>
      <c r="I3558">
        <v>1248</v>
      </c>
      <c r="J3558">
        <v>1248</v>
      </c>
      <c r="K3558">
        <v>0</v>
      </c>
      <c r="L3558">
        <v>0</v>
      </c>
      <c r="M3558">
        <v>2</v>
      </c>
      <c r="N3558">
        <v>9</v>
      </c>
      <c r="O3558">
        <v>1260</v>
      </c>
      <c r="P3558">
        <v>0</v>
      </c>
      <c r="Q3558">
        <v>0</v>
      </c>
    </row>
    <row r="3559" spans="1:17" x14ac:dyDescent="0.2">
      <c r="A3559" s="121">
        <v>40451</v>
      </c>
      <c r="B3559" t="s">
        <v>406</v>
      </c>
      <c r="C3559" t="s">
        <v>491</v>
      </c>
      <c r="D3559" t="s">
        <v>494</v>
      </c>
      <c r="E3559" t="s">
        <v>495</v>
      </c>
      <c r="F3559" t="s">
        <v>413</v>
      </c>
      <c r="G3559">
        <v>2852</v>
      </c>
      <c r="H3559">
        <v>2852</v>
      </c>
      <c r="I3559">
        <v>2781</v>
      </c>
      <c r="J3559">
        <v>2781</v>
      </c>
      <c r="K3559">
        <v>0</v>
      </c>
      <c r="L3559">
        <v>0</v>
      </c>
      <c r="M3559">
        <v>17</v>
      </c>
      <c r="N3559">
        <v>23</v>
      </c>
      <c r="O3559">
        <v>2812</v>
      </c>
      <c r="P3559">
        <v>2</v>
      </c>
      <c r="Q3559">
        <v>0</v>
      </c>
    </row>
    <row r="3560" spans="1:17" x14ac:dyDescent="0.2">
      <c r="A3560" s="121">
        <v>40451</v>
      </c>
      <c r="B3560" t="s">
        <v>406</v>
      </c>
      <c r="C3560" t="s">
        <v>491</v>
      </c>
      <c r="D3560" t="s">
        <v>496</v>
      </c>
      <c r="E3560" t="s">
        <v>497</v>
      </c>
      <c r="F3560" t="s">
        <v>413</v>
      </c>
      <c r="G3560">
        <v>6081</v>
      </c>
      <c r="H3560">
        <v>6081</v>
      </c>
      <c r="I3560">
        <v>5785</v>
      </c>
      <c r="J3560">
        <v>5785</v>
      </c>
      <c r="K3560">
        <v>757</v>
      </c>
      <c r="L3560">
        <v>0</v>
      </c>
      <c r="M3560">
        <v>18</v>
      </c>
      <c r="N3560">
        <v>56</v>
      </c>
      <c r="O3560">
        <v>5250</v>
      </c>
      <c r="P3560">
        <v>3</v>
      </c>
      <c r="Q3560">
        <v>0</v>
      </c>
    </row>
    <row r="3561" spans="1:17" x14ac:dyDescent="0.2">
      <c r="A3561" s="121">
        <v>40451</v>
      </c>
      <c r="B3561" t="s">
        <v>406</v>
      </c>
      <c r="C3561" t="s">
        <v>491</v>
      </c>
      <c r="D3561" t="s">
        <v>498</v>
      </c>
      <c r="E3561" t="s">
        <v>499</v>
      </c>
      <c r="F3561" t="s">
        <v>413</v>
      </c>
      <c r="G3561">
        <v>6124</v>
      </c>
      <c r="H3561">
        <v>6124</v>
      </c>
      <c r="I3561">
        <v>5977</v>
      </c>
      <c r="J3561">
        <v>5977</v>
      </c>
      <c r="K3561">
        <v>1573</v>
      </c>
      <c r="L3561">
        <v>18</v>
      </c>
      <c r="M3561">
        <v>4199</v>
      </c>
      <c r="N3561">
        <v>112</v>
      </c>
      <c r="O3561">
        <v>222</v>
      </c>
      <c r="P3561">
        <v>0</v>
      </c>
      <c r="Q3561">
        <v>0</v>
      </c>
    </row>
    <row r="3562" spans="1:17" x14ac:dyDescent="0.2">
      <c r="A3562" s="121">
        <v>40451</v>
      </c>
      <c r="B3562" t="s">
        <v>406</v>
      </c>
      <c r="C3562" t="s">
        <v>491</v>
      </c>
      <c r="D3562" t="s">
        <v>500</v>
      </c>
      <c r="E3562" t="s">
        <v>501</v>
      </c>
      <c r="F3562" t="s">
        <v>413</v>
      </c>
      <c r="G3562">
        <v>3782</v>
      </c>
      <c r="H3562">
        <v>3782</v>
      </c>
      <c r="I3562">
        <v>3730</v>
      </c>
      <c r="J3562">
        <v>3730</v>
      </c>
      <c r="K3562">
        <v>944</v>
      </c>
      <c r="L3562">
        <v>1</v>
      </c>
      <c r="M3562">
        <v>2551</v>
      </c>
      <c r="N3562">
        <v>44</v>
      </c>
      <c r="O3562">
        <v>242</v>
      </c>
      <c r="P3562">
        <v>0</v>
      </c>
      <c r="Q3562">
        <v>0</v>
      </c>
    </row>
    <row r="3563" spans="1:17" x14ac:dyDescent="0.2">
      <c r="A3563" s="121">
        <v>40451</v>
      </c>
      <c r="B3563" t="s">
        <v>406</v>
      </c>
      <c r="C3563" t="s">
        <v>491</v>
      </c>
      <c r="D3563" t="s">
        <v>502</v>
      </c>
      <c r="E3563" t="s">
        <v>615</v>
      </c>
      <c r="F3563" t="s">
        <v>410</v>
      </c>
      <c r="G3563">
        <v>1465</v>
      </c>
      <c r="H3563">
        <v>1465</v>
      </c>
      <c r="I3563">
        <v>1465</v>
      </c>
      <c r="J3563">
        <v>1465</v>
      </c>
      <c r="K3563">
        <v>0</v>
      </c>
      <c r="L3563">
        <v>0</v>
      </c>
      <c r="M3563">
        <v>1450</v>
      </c>
      <c r="N3563">
        <v>0</v>
      </c>
      <c r="O3563">
        <v>15</v>
      </c>
      <c r="P3563">
        <v>0</v>
      </c>
      <c r="Q3563">
        <v>0</v>
      </c>
    </row>
    <row r="3564" spans="1:17" x14ac:dyDescent="0.2">
      <c r="A3564" s="121">
        <v>40451</v>
      </c>
      <c r="B3564" t="s">
        <v>406</v>
      </c>
      <c r="C3564" t="s">
        <v>491</v>
      </c>
      <c r="D3564" t="s">
        <v>502</v>
      </c>
      <c r="E3564" t="s">
        <v>503</v>
      </c>
      <c r="F3564" t="s">
        <v>413</v>
      </c>
      <c r="G3564">
        <v>5066</v>
      </c>
      <c r="H3564">
        <v>5066</v>
      </c>
      <c r="I3564">
        <v>4920</v>
      </c>
      <c r="J3564">
        <v>4920</v>
      </c>
      <c r="K3564">
        <v>1452</v>
      </c>
      <c r="L3564">
        <v>6</v>
      </c>
      <c r="M3564">
        <v>3390</v>
      </c>
      <c r="N3564">
        <v>88</v>
      </c>
      <c r="O3564">
        <v>130</v>
      </c>
      <c r="P3564">
        <v>3</v>
      </c>
      <c r="Q3564">
        <v>0</v>
      </c>
    </row>
    <row r="3565" spans="1:17" x14ac:dyDescent="0.2">
      <c r="A3565" s="121">
        <v>40451</v>
      </c>
      <c r="B3565" t="s">
        <v>406</v>
      </c>
      <c r="C3565" t="s">
        <v>491</v>
      </c>
      <c r="D3565" t="s">
        <v>504</v>
      </c>
      <c r="E3565" t="s">
        <v>505</v>
      </c>
      <c r="F3565" t="s">
        <v>413</v>
      </c>
      <c r="G3565">
        <v>4006</v>
      </c>
      <c r="H3565">
        <v>4006</v>
      </c>
      <c r="I3565">
        <v>3907</v>
      </c>
      <c r="J3565">
        <v>3907</v>
      </c>
      <c r="K3565">
        <v>1206</v>
      </c>
      <c r="L3565">
        <v>4</v>
      </c>
      <c r="M3565">
        <v>2671</v>
      </c>
      <c r="N3565">
        <v>56</v>
      </c>
      <c r="O3565">
        <v>69</v>
      </c>
      <c r="P3565">
        <v>6</v>
      </c>
      <c r="Q3565">
        <v>0</v>
      </c>
    </row>
    <row r="3566" spans="1:17" x14ac:dyDescent="0.2">
      <c r="A3566" s="121">
        <v>40451</v>
      </c>
      <c r="B3566" t="s">
        <v>406</v>
      </c>
      <c r="C3566" t="s">
        <v>491</v>
      </c>
      <c r="D3566" t="s">
        <v>506</v>
      </c>
      <c r="E3566" t="s">
        <v>507</v>
      </c>
      <c r="F3566" t="s">
        <v>413</v>
      </c>
      <c r="G3566">
        <v>3380</v>
      </c>
      <c r="H3566">
        <v>3380</v>
      </c>
      <c r="I3566">
        <v>3329</v>
      </c>
      <c r="J3566">
        <v>3329</v>
      </c>
      <c r="K3566">
        <v>461</v>
      </c>
      <c r="L3566">
        <v>1</v>
      </c>
      <c r="M3566">
        <v>2909</v>
      </c>
      <c r="N3566">
        <v>3</v>
      </c>
      <c r="O3566">
        <v>6</v>
      </c>
      <c r="P3566">
        <v>0</v>
      </c>
      <c r="Q3566">
        <v>0</v>
      </c>
    </row>
    <row r="3567" spans="1:17" x14ac:dyDescent="0.2">
      <c r="A3567" s="121">
        <v>40451</v>
      </c>
      <c r="B3567" t="s">
        <v>406</v>
      </c>
      <c r="C3567" t="s">
        <v>491</v>
      </c>
      <c r="D3567" t="s">
        <v>508</v>
      </c>
      <c r="E3567" t="s">
        <v>509</v>
      </c>
      <c r="F3567" t="s">
        <v>413</v>
      </c>
      <c r="G3567">
        <v>4911</v>
      </c>
      <c r="H3567">
        <v>4911</v>
      </c>
      <c r="I3567">
        <v>4657</v>
      </c>
      <c r="J3567">
        <v>4657</v>
      </c>
      <c r="K3567">
        <v>1360</v>
      </c>
      <c r="L3567">
        <v>9</v>
      </c>
      <c r="M3567">
        <v>3091</v>
      </c>
      <c r="N3567">
        <v>155</v>
      </c>
      <c r="O3567">
        <v>296</v>
      </c>
      <c r="P3567">
        <v>7</v>
      </c>
      <c r="Q3567">
        <v>0</v>
      </c>
    </row>
    <row r="3568" spans="1:17" x14ac:dyDescent="0.2">
      <c r="A3568" s="121">
        <v>40451</v>
      </c>
      <c r="B3568" t="s">
        <v>406</v>
      </c>
      <c r="C3568" t="s">
        <v>510</v>
      </c>
      <c r="D3568" t="s">
        <v>513</v>
      </c>
      <c r="E3568" t="s">
        <v>514</v>
      </c>
      <c r="F3568" t="s">
        <v>410</v>
      </c>
      <c r="G3568">
        <v>556</v>
      </c>
      <c r="I3568">
        <v>549</v>
      </c>
    </row>
    <row r="3569" spans="1:17" x14ac:dyDescent="0.2">
      <c r="A3569" s="121">
        <v>40451</v>
      </c>
      <c r="B3569" t="s">
        <v>406</v>
      </c>
      <c r="C3569" t="s">
        <v>510</v>
      </c>
      <c r="D3569" t="s">
        <v>515</v>
      </c>
      <c r="E3569" t="s">
        <v>516</v>
      </c>
      <c r="F3569" t="s">
        <v>410</v>
      </c>
      <c r="G3569">
        <v>119</v>
      </c>
      <c r="I3569">
        <v>118</v>
      </c>
    </row>
    <row r="3570" spans="1:17" x14ac:dyDescent="0.2">
      <c r="A3570" s="121">
        <v>40451</v>
      </c>
      <c r="B3570" t="s">
        <v>406</v>
      </c>
      <c r="C3570" t="s">
        <v>510</v>
      </c>
      <c r="D3570" t="s">
        <v>519</v>
      </c>
      <c r="E3570" t="s">
        <v>520</v>
      </c>
      <c r="F3570" t="s">
        <v>410</v>
      </c>
      <c r="G3570">
        <v>355</v>
      </c>
      <c r="I3570">
        <v>347</v>
      </c>
    </row>
    <row r="3571" spans="1:17" x14ac:dyDescent="0.2">
      <c r="A3571" s="121">
        <v>40451</v>
      </c>
      <c r="B3571" t="s">
        <v>406</v>
      </c>
      <c r="C3571" t="s">
        <v>510</v>
      </c>
      <c r="D3571" t="s">
        <v>521</v>
      </c>
      <c r="E3571" t="s">
        <v>522</v>
      </c>
      <c r="F3571" t="s">
        <v>410</v>
      </c>
      <c r="G3571">
        <v>57</v>
      </c>
      <c r="I3571">
        <v>57</v>
      </c>
    </row>
    <row r="3572" spans="1:17" x14ac:dyDescent="0.2">
      <c r="A3572" s="121">
        <v>40451</v>
      </c>
      <c r="B3572" t="s">
        <v>406</v>
      </c>
      <c r="C3572" t="s">
        <v>510</v>
      </c>
      <c r="D3572" t="s">
        <v>523</v>
      </c>
      <c r="E3572" t="s">
        <v>524</v>
      </c>
      <c r="F3572" t="s">
        <v>413</v>
      </c>
      <c r="G3572">
        <v>516</v>
      </c>
      <c r="I3572">
        <v>514</v>
      </c>
    </row>
    <row r="3573" spans="1:17" x14ac:dyDescent="0.2">
      <c r="A3573" s="121">
        <v>40451</v>
      </c>
      <c r="B3573" t="s">
        <v>406</v>
      </c>
      <c r="C3573" t="s">
        <v>510</v>
      </c>
      <c r="D3573" t="s">
        <v>525</v>
      </c>
      <c r="E3573" t="s">
        <v>526</v>
      </c>
      <c r="F3573" t="s">
        <v>410</v>
      </c>
      <c r="G3573">
        <v>463</v>
      </c>
      <c r="I3573">
        <v>455</v>
      </c>
    </row>
    <row r="3574" spans="1:17" x14ac:dyDescent="0.2">
      <c r="A3574" s="121">
        <v>40451</v>
      </c>
      <c r="B3574" t="s">
        <v>406</v>
      </c>
      <c r="C3574" t="s">
        <v>510</v>
      </c>
      <c r="D3574" t="s">
        <v>527</v>
      </c>
      <c r="E3574" t="s">
        <v>528</v>
      </c>
      <c r="F3574" t="s">
        <v>410</v>
      </c>
      <c r="G3574">
        <v>178</v>
      </c>
      <c r="I3574">
        <v>178</v>
      </c>
    </row>
    <row r="3575" spans="1:17" x14ac:dyDescent="0.2">
      <c r="A3575" s="121">
        <v>40451</v>
      </c>
      <c r="B3575" t="s">
        <v>406</v>
      </c>
      <c r="C3575" t="s">
        <v>510</v>
      </c>
      <c r="D3575" t="s">
        <v>529</v>
      </c>
      <c r="E3575" t="s">
        <v>530</v>
      </c>
      <c r="F3575" t="s">
        <v>413</v>
      </c>
      <c r="G3575">
        <v>555</v>
      </c>
      <c r="I3575">
        <v>548</v>
      </c>
    </row>
    <row r="3576" spans="1:17" x14ac:dyDescent="0.2">
      <c r="A3576" s="121">
        <v>40451</v>
      </c>
      <c r="B3576" t="s">
        <v>406</v>
      </c>
      <c r="C3576" t="s">
        <v>510</v>
      </c>
      <c r="D3576" t="s">
        <v>531</v>
      </c>
      <c r="E3576" t="s">
        <v>532</v>
      </c>
      <c r="F3576" t="s">
        <v>410</v>
      </c>
      <c r="G3576">
        <v>50</v>
      </c>
      <c r="I3576">
        <v>50</v>
      </c>
    </row>
    <row r="3577" spans="1:17" x14ac:dyDescent="0.2">
      <c r="A3577" s="121">
        <v>40451</v>
      </c>
      <c r="B3577" t="s">
        <v>406</v>
      </c>
      <c r="C3577" t="s">
        <v>510</v>
      </c>
      <c r="D3577" t="s">
        <v>533</v>
      </c>
      <c r="E3577" t="s">
        <v>534</v>
      </c>
      <c r="F3577" t="s">
        <v>413</v>
      </c>
      <c r="G3577">
        <v>2607</v>
      </c>
      <c r="H3577">
        <v>2607</v>
      </c>
      <c r="I3577">
        <v>2556</v>
      </c>
      <c r="J3577">
        <v>2556</v>
      </c>
      <c r="K3577">
        <v>531</v>
      </c>
      <c r="L3577">
        <v>4</v>
      </c>
      <c r="M3577">
        <v>2072</v>
      </c>
      <c r="N3577">
        <v>0</v>
      </c>
      <c r="O3577">
        <v>0</v>
      </c>
      <c r="P3577">
        <v>2</v>
      </c>
      <c r="Q3577">
        <v>0</v>
      </c>
    </row>
    <row r="3578" spans="1:17" x14ac:dyDescent="0.2">
      <c r="A3578" s="121">
        <v>40451</v>
      </c>
      <c r="B3578" t="s">
        <v>406</v>
      </c>
      <c r="C3578" t="s">
        <v>510</v>
      </c>
      <c r="D3578" t="s">
        <v>535</v>
      </c>
      <c r="E3578" t="s">
        <v>536</v>
      </c>
      <c r="F3578" t="s">
        <v>410</v>
      </c>
      <c r="G3578">
        <v>254</v>
      </c>
      <c r="I3578">
        <v>253</v>
      </c>
    </row>
    <row r="3579" spans="1:17" x14ac:dyDescent="0.2">
      <c r="A3579" s="121">
        <v>40451</v>
      </c>
      <c r="B3579" t="s">
        <v>406</v>
      </c>
      <c r="C3579" t="s">
        <v>510</v>
      </c>
      <c r="D3579" t="s">
        <v>537</v>
      </c>
      <c r="E3579" t="s">
        <v>538</v>
      </c>
      <c r="F3579" t="s">
        <v>410</v>
      </c>
      <c r="G3579">
        <v>114</v>
      </c>
      <c r="I3579">
        <v>112</v>
      </c>
    </row>
    <row r="3580" spans="1:17" x14ac:dyDescent="0.2">
      <c r="A3580" s="121">
        <v>40451</v>
      </c>
      <c r="B3580" t="s">
        <v>406</v>
      </c>
      <c r="C3580" t="s">
        <v>510</v>
      </c>
      <c r="D3580" t="s">
        <v>539</v>
      </c>
      <c r="E3580" t="s">
        <v>540</v>
      </c>
      <c r="F3580" t="s">
        <v>413</v>
      </c>
      <c r="G3580">
        <v>830</v>
      </c>
      <c r="I3580">
        <v>812</v>
      </c>
    </row>
    <row r="3581" spans="1:17" x14ac:dyDescent="0.2">
      <c r="A3581" s="121">
        <v>40451</v>
      </c>
      <c r="B3581" t="s">
        <v>406</v>
      </c>
      <c r="C3581" t="s">
        <v>510</v>
      </c>
      <c r="D3581" t="s">
        <v>541</v>
      </c>
      <c r="E3581" t="s">
        <v>542</v>
      </c>
      <c r="F3581" t="s">
        <v>410</v>
      </c>
      <c r="G3581">
        <v>393</v>
      </c>
      <c r="I3581">
        <v>393</v>
      </c>
    </row>
    <row r="3582" spans="1:17" x14ac:dyDescent="0.2">
      <c r="A3582" s="121">
        <v>40451</v>
      </c>
      <c r="B3582" t="s">
        <v>406</v>
      </c>
      <c r="C3582" t="s">
        <v>510</v>
      </c>
      <c r="D3582" t="s">
        <v>543</v>
      </c>
      <c r="E3582" t="s">
        <v>544</v>
      </c>
      <c r="F3582" t="s">
        <v>410</v>
      </c>
      <c r="G3582">
        <v>238</v>
      </c>
      <c r="I3582">
        <v>237</v>
      </c>
    </row>
    <row r="3583" spans="1:17" x14ac:dyDescent="0.2">
      <c r="A3583" s="121">
        <v>40451</v>
      </c>
      <c r="B3583" t="s">
        <v>406</v>
      </c>
      <c r="C3583" t="s">
        <v>510</v>
      </c>
      <c r="D3583" t="s">
        <v>545</v>
      </c>
      <c r="E3583" t="s">
        <v>546</v>
      </c>
      <c r="F3583" t="s">
        <v>410</v>
      </c>
      <c r="G3583">
        <v>211</v>
      </c>
      <c r="I3583">
        <v>211</v>
      </c>
    </row>
    <row r="3584" spans="1:17" x14ac:dyDescent="0.2">
      <c r="A3584" s="121">
        <v>40451</v>
      </c>
      <c r="B3584" t="s">
        <v>406</v>
      </c>
      <c r="C3584" t="s">
        <v>510</v>
      </c>
      <c r="D3584" t="s">
        <v>547</v>
      </c>
      <c r="E3584" t="s">
        <v>548</v>
      </c>
      <c r="F3584" t="s">
        <v>410</v>
      </c>
      <c r="G3584">
        <v>153</v>
      </c>
      <c r="I3584">
        <v>153</v>
      </c>
    </row>
    <row r="3585" spans="1:17" x14ac:dyDescent="0.2">
      <c r="A3585" s="121">
        <v>40451</v>
      </c>
      <c r="B3585" t="s">
        <v>406</v>
      </c>
      <c r="C3585" t="s">
        <v>510</v>
      </c>
      <c r="D3585" t="s">
        <v>616</v>
      </c>
      <c r="E3585" t="s">
        <v>617</v>
      </c>
      <c r="F3585" t="s">
        <v>410</v>
      </c>
      <c r="G3585">
        <v>273</v>
      </c>
      <c r="I3585">
        <v>273</v>
      </c>
    </row>
    <row r="3586" spans="1:17" x14ac:dyDescent="0.2">
      <c r="A3586" s="121">
        <v>40451</v>
      </c>
      <c r="B3586" t="s">
        <v>406</v>
      </c>
      <c r="C3586" t="s">
        <v>510</v>
      </c>
      <c r="D3586" t="s">
        <v>549</v>
      </c>
      <c r="E3586" t="s">
        <v>550</v>
      </c>
      <c r="F3586" t="s">
        <v>410</v>
      </c>
      <c r="G3586">
        <v>171</v>
      </c>
      <c r="I3586">
        <v>171</v>
      </c>
    </row>
    <row r="3587" spans="1:17" x14ac:dyDescent="0.2">
      <c r="A3587" s="121">
        <v>40451</v>
      </c>
      <c r="B3587" t="s">
        <v>406</v>
      </c>
      <c r="C3587" t="s">
        <v>551</v>
      </c>
      <c r="D3587" t="s">
        <v>552</v>
      </c>
      <c r="E3587" t="s">
        <v>553</v>
      </c>
      <c r="F3587" t="s">
        <v>413</v>
      </c>
      <c r="G3587">
        <v>5601</v>
      </c>
      <c r="H3587">
        <v>5601</v>
      </c>
      <c r="I3587">
        <v>5450</v>
      </c>
      <c r="J3587">
        <v>5450</v>
      </c>
      <c r="K3587">
        <v>1504</v>
      </c>
      <c r="L3587">
        <v>3</v>
      </c>
      <c r="M3587">
        <v>3915</v>
      </c>
      <c r="N3587">
        <v>166</v>
      </c>
      <c r="O3587">
        <v>13</v>
      </c>
      <c r="P3587">
        <v>2</v>
      </c>
      <c r="Q3587">
        <v>0</v>
      </c>
    </row>
    <row r="3588" spans="1:17" x14ac:dyDescent="0.2">
      <c r="A3588" s="121">
        <v>40451</v>
      </c>
      <c r="B3588" t="s">
        <v>406</v>
      </c>
      <c r="C3588" t="s">
        <v>551</v>
      </c>
      <c r="D3588" t="s">
        <v>554</v>
      </c>
      <c r="E3588" t="s">
        <v>555</v>
      </c>
      <c r="F3588" t="s">
        <v>410</v>
      </c>
      <c r="G3588">
        <v>59</v>
      </c>
      <c r="I3588">
        <v>59</v>
      </c>
    </row>
    <row r="3589" spans="1:17" x14ac:dyDescent="0.2">
      <c r="A3589" s="121">
        <v>40451</v>
      </c>
      <c r="B3589" t="s">
        <v>406</v>
      </c>
      <c r="C3589" t="s">
        <v>551</v>
      </c>
      <c r="D3589" t="s">
        <v>556</v>
      </c>
      <c r="E3589" t="s">
        <v>557</v>
      </c>
      <c r="F3589" t="s">
        <v>410</v>
      </c>
      <c r="G3589">
        <v>116</v>
      </c>
      <c r="I3589">
        <v>116</v>
      </c>
    </row>
    <row r="3590" spans="1:17" x14ac:dyDescent="0.2">
      <c r="A3590" s="121">
        <v>40451</v>
      </c>
      <c r="B3590" t="s">
        <v>406</v>
      </c>
      <c r="C3590" t="s">
        <v>551</v>
      </c>
      <c r="D3590" t="s">
        <v>558</v>
      </c>
      <c r="E3590" t="s">
        <v>559</v>
      </c>
      <c r="F3590" t="s">
        <v>413</v>
      </c>
      <c r="G3590">
        <v>4809</v>
      </c>
      <c r="H3590">
        <v>4809</v>
      </c>
      <c r="I3590">
        <v>4638</v>
      </c>
      <c r="J3590">
        <v>4638</v>
      </c>
      <c r="K3590">
        <v>1178</v>
      </c>
      <c r="L3590">
        <v>5</v>
      </c>
      <c r="M3590">
        <v>3528</v>
      </c>
      <c r="N3590">
        <v>75</v>
      </c>
      <c r="O3590">
        <v>23</v>
      </c>
      <c r="P3590">
        <v>17</v>
      </c>
      <c r="Q3590">
        <v>0</v>
      </c>
    </row>
    <row r="3591" spans="1:17" x14ac:dyDescent="0.2">
      <c r="A3591" s="121">
        <v>40451</v>
      </c>
      <c r="B3591" t="s">
        <v>406</v>
      </c>
      <c r="C3591" t="s">
        <v>551</v>
      </c>
      <c r="D3591" t="s">
        <v>560</v>
      </c>
      <c r="E3591" t="s">
        <v>561</v>
      </c>
      <c r="F3591" t="s">
        <v>413</v>
      </c>
      <c r="G3591">
        <v>5617</v>
      </c>
      <c r="H3591">
        <v>5617</v>
      </c>
      <c r="I3591">
        <v>5506</v>
      </c>
      <c r="J3591">
        <v>5506</v>
      </c>
      <c r="K3591">
        <v>1328</v>
      </c>
      <c r="L3591">
        <v>3</v>
      </c>
      <c r="M3591">
        <v>4021</v>
      </c>
      <c r="N3591">
        <v>248</v>
      </c>
      <c r="O3591">
        <v>17</v>
      </c>
      <c r="P3591">
        <v>3</v>
      </c>
      <c r="Q3591">
        <v>0</v>
      </c>
    </row>
    <row r="3592" spans="1:17" x14ac:dyDescent="0.2">
      <c r="A3592" s="121">
        <v>40451</v>
      </c>
      <c r="B3592" t="s">
        <v>406</v>
      </c>
      <c r="C3592" t="s">
        <v>562</v>
      </c>
      <c r="D3592" t="s">
        <v>603</v>
      </c>
      <c r="E3592" t="s">
        <v>604</v>
      </c>
      <c r="F3592" t="s">
        <v>410</v>
      </c>
      <c r="G3592">
        <v>17</v>
      </c>
      <c r="I3592">
        <v>17</v>
      </c>
    </row>
    <row r="3593" spans="1:17" x14ac:dyDescent="0.2">
      <c r="A3593" s="121">
        <v>40451</v>
      </c>
      <c r="B3593" t="s">
        <v>406</v>
      </c>
      <c r="C3593" t="s">
        <v>562</v>
      </c>
      <c r="D3593" t="s">
        <v>605</v>
      </c>
      <c r="E3593" t="s">
        <v>606</v>
      </c>
      <c r="F3593" t="s">
        <v>410</v>
      </c>
      <c r="G3593">
        <v>148</v>
      </c>
      <c r="I3593">
        <v>148</v>
      </c>
    </row>
    <row r="3594" spans="1:17" x14ac:dyDescent="0.2">
      <c r="A3594" s="121">
        <v>40451</v>
      </c>
      <c r="B3594" t="s">
        <v>406</v>
      </c>
      <c r="C3594" t="s">
        <v>562</v>
      </c>
      <c r="D3594" t="s">
        <v>563</v>
      </c>
      <c r="E3594" t="s">
        <v>564</v>
      </c>
      <c r="F3594" t="s">
        <v>410</v>
      </c>
      <c r="G3594">
        <v>3033</v>
      </c>
      <c r="H3594">
        <v>3033</v>
      </c>
      <c r="I3594">
        <v>3006</v>
      </c>
      <c r="J3594">
        <v>3006</v>
      </c>
      <c r="K3594">
        <v>914</v>
      </c>
      <c r="L3594">
        <v>2</v>
      </c>
      <c r="M3594">
        <v>2088</v>
      </c>
      <c r="N3594">
        <v>29</v>
      </c>
      <c r="O3594">
        <v>0</v>
      </c>
      <c r="P3594">
        <v>2</v>
      </c>
      <c r="Q3594">
        <v>0</v>
      </c>
    </row>
    <row r="3595" spans="1:17" x14ac:dyDescent="0.2">
      <c r="A3595" s="121">
        <v>40451</v>
      </c>
      <c r="B3595" t="s">
        <v>406</v>
      </c>
      <c r="C3595" t="s">
        <v>562</v>
      </c>
      <c r="D3595" t="s">
        <v>565</v>
      </c>
      <c r="E3595" t="s">
        <v>566</v>
      </c>
      <c r="F3595" t="s">
        <v>413</v>
      </c>
      <c r="G3595">
        <v>4250</v>
      </c>
      <c r="H3595">
        <v>4250</v>
      </c>
      <c r="I3595">
        <v>4022</v>
      </c>
      <c r="J3595">
        <v>4022</v>
      </c>
      <c r="K3595">
        <v>1024</v>
      </c>
      <c r="L3595">
        <v>6</v>
      </c>
      <c r="M3595">
        <v>3102</v>
      </c>
      <c r="N3595">
        <v>118</v>
      </c>
      <c r="O3595">
        <v>0</v>
      </c>
      <c r="P3595">
        <v>46</v>
      </c>
      <c r="Q3595">
        <v>16</v>
      </c>
    </row>
    <row r="3596" spans="1:17" x14ac:dyDescent="0.2">
      <c r="A3596" s="121">
        <v>40451</v>
      </c>
      <c r="B3596" t="s">
        <v>406</v>
      </c>
      <c r="C3596" t="s">
        <v>562</v>
      </c>
      <c r="D3596" t="s">
        <v>567</v>
      </c>
      <c r="E3596" t="s">
        <v>568</v>
      </c>
      <c r="F3596" t="s">
        <v>413</v>
      </c>
      <c r="G3596">
        <v>9549</v>
      </c>
      <c r="H3596">
        <v>9549</v>
      </c>
      <c r="I3596">
        <v>9111</v>
      </c>
      <c r="J3596">
        <v>9111</v>
      </c>
      <c r="K3596">
        <v>2717</v>
      </c>
      <c r="L3596">
        <v>19</v>
      </c>
      <c r="M3596">
        <v>6342</v>
      </c>
      <c r="N3596">
        <v>471</v>
      </c>
      <c r="O3596">
        <v>0</v>
      </c>
      <c r="P3596">
        <v>13</v>
      </c>
      <c r="Q3596">
        <v>1</v>
      </c>
    </row>
    <row r="3597" spans="1:17" x14ac:dyDescent="0.2">
      <c r="A3597" s="121">
        <v>40451</v>
      </c>
      <c r="B3597" t="s">
        <v>406</v>
      </c>
      <c r="C3597" t="s">
        <v>562</v>
      </c>
      <c r="D3597" t="s">
        <v>569</v>
      </c>
      <c r="E3597" t="s">
        <v>570</v>
      </c>
      <c r="F3597" t="s">
        <v>413</v>
      </c>
      <c r="G3597">
        <v>3141</v>
      </c>
      <c r="H3597">
        <v>3141</v>
      </c>
      <c r="I3597">
        <v>3108</v>
      </c>
      <c r="J3597">
        <v>3108</v>
      </c>
      <c r="K3597">
        <v>491</v>
      </c>
      <c r="L3597">
        <v>0</v>
      </c>
      <c r="M3597">
        <v>2650</v>
      </c>
      <c r="N3597">
        <v>0</v>
      </c>
      <c r="O3597">
        <v>0</v>
      </c>
      <c r="P3597">
        <v>0</v>
      </c>
      <c r="Q3597">
        <v>0</v>
      </c>
    </row>
    <row r="3598" spans="1:17" x14ac:dyDescent="0.2">
      <c r="A3598" s="121">
        <v>40451</v>
      </c>
      <c r="B3598" t="s">
        <v>406</v>
      </c>
      <c r="C3598" t="s">
        <v>571</v>
      </c>
      <c r="D3598" t="s">
        <v>572</v>
      </c>
      <c r="E3598" t="s">
        <v>573</v>
      </c>
      <c r="F3598" t="s">
        <v>410</v>
      </c>
      <c r="G3598">
        <v>289</v>
      </c>
      <c r="I3598">
        <v>289</v>
      </c>
    </row>
    <row r="3599" spans="1:17" x14ac:dyDescent="0.2">
      <c r="A3599" s="121">
        <v>40451</v>
      </c>
      <c r="B3599" t="s">
        <v>406</v>
      </c>
      <c r="C3599" t="s">
        <v>574</v>
      </c>
      <c r="D3599" t="s">
        <v>575</v>
      </c>
      <c r="E3599" t="s">
        <v>576</v>
      </c>
      <c r="F3599" t="s">
        <v>413</v>
      </c>
      <c r="G3599">
        <v>713</v>
      </c>
      <c r="H3599">
        <v>713</v>
      </c>
      <c r="I3599">
        <v>712</v>
      </c>
      <c r="J3599">
        <v>712</v>
      </c>
      <c r="K3599">
        <v>130</v>
      </c>
      <c r="L3599">
        <v>0</v>
      </c>
      <c r="M3599">
        <v>556</v>
      </c>
      <c r="N3599">
        <v>6</v>
      </c>
      <c r="O3599">
        <v>21</v>
      </c>
      <c r="P3599">
        <v>0</v>
      </c>
      <c r="Q3599">
        <v>0</v>
      </c>
    </row>
    <row r="3600" spans="1:17" x14ac:dyDescent="0.2">
      <c r="A3600" s="121">
        <v>40451</v>
      </c>
      <c r="B3600" t="s">
        <v>406</v>
      </c>
      <c r="C3600" t="s">
        <v>577</v>
      </c>
      <c r="D3600" t="s">
        <v>578</v>
      </c>
      <c r="E3600" t="s">
        <v>579</v>
      </c>
      <c r="F3600" t="s">
        <v>413</v>
      </c>
      <c r="G3600">
        <v>4100</v>
      </c>
      <c r="H3600">
        <v>4100</v>
      </c>
      <c r="I3600">
        <v>4021</v>
      </c>
      <c r="J3600">
        <v>4021</v>
      </c>
      <c r="K3600">
        <v>893</v>
      </c>
      <c r="L3600">
        <v>14</v>
      </c>
      <c r="M3600">
        <v>3130</v>
      </c>
      <c r="N3600">
        <v>63</v>
      </c>
      <c r="O3600">
        <v>0</v>
      </c>
      <c r="P3600">
        <v>2</v>
      </c>
      <c r="Q3600">
        <v>0</v>
      </c>
    </row>
    <row r="3601" spans="1:17" x14ac:dyDescent="0.2">
      <c r="A3601" s="121">
        <v>40451</v>
      </c>
      <c r="B3601" t="s">
        <v>406</v>
      </c>
      <c r="C3601" t="s">
        <v>577</v>
      </c>
      <c r="D3601" t="s">
        <v>580</v>
      </c>
      <c r="E3601" t="s">
        <v>581</v>
      </c>
      <c r="F3601" t="s">
        <v>413</v>
      </c>
      <c r="G3601">
        <v>2233</v>
      </c>
      <c r="H3601">
        <v>2233</v>
      </c>
      <c r="I3601">
        <v>2214</v>
      </c>
      <c r="J3601">
        <v>2214</v>
      </c>
      <c r="K3601">
        <v>335</v>
      </c>
      <c r="L3601">
        <v>2</v>
      </c>
      <c r="M3601">
        <v>1595</v>
      </c>
      <c r="N3601">
        <v>265</v>
      </c>
      <c r="O3601">
        <v>36</v>
      </c>
      <c r="P3601">
        <v>3</v>
      </c>
      <c r="Q3601">
        <v>0</v>
      </c>
    </row>
    <row r="3602" spans="1:17" x14ac:dyDescent="0.2">
      <c r="A3602" s="121">
        <v>40451</v>
      </c>
      <c r="B3602" t="s">
        <v>406</v>
      </c>
      <c r="C3602" t="s">
        <v>577</v>
      </c>
      <c r="D3602" t="s">
        <v>609</v>
      </c>
      <c r="E3602" t="s">
        <v>610</v>
      </c>
      <c r="F3602" t="s">
        <v>410</v>
      </c>
      <c r="G3602">
        <v>32</v>
      </c>
      <c r="H3602">
        <v>32</v>
      </c>
      <c r="I3602">
        <v>32</v>
      </c>
      <c r="J3602">
        <v>32</v>
      </c>
      <c r="K3602">
        <v>0</v>
      </c>
      <c r="L3602">
        <v>0</v>
      </c>
      <c r="M3602">
        <v>27</v>
      </c>
      <c r="N3602">
        <v>3</v>
      </c>
      <c r="O3602">
        <v>2</v>
      </c>
      <c r="P3602">
        <v>0</v>
      </c>
      <c r="Q3602">
        <v>0</v>
      </c>
    </row>
    <row r="3603" spans="1:17" x14ac:dyDescent="0.2">
      <c r="A3603" s="121">
        <v>40451</v>
      </c>
      <c r="B3603" t="s">
        <v>406</v>
      </c>
      <c r="C3603" t="s">
        <v>577</v>
      </c>
      <c r="D3603" t="s">
        <v>611</v>
      </c>
      <c r="E3603" t="s">
        <v>612</v>
      </c>
      <c r="F3603" t="s">
        <v>410</v>
      </c>
      <c r="G3603">
        <v>16</v>
      </c>
      <c r="H3603">
        <v>16</v>
      </c>
      <c r="I3603">
        <v>16</v>
      </c>
      <c r="J3603">
        <v>16</v>
      </c>
      <c r="K3603">
        <v>0</v>
      </c>
      <c r="L3603">
        <v>0</v>
      </c>
      <c r="M3603">
        <v>12</v>
      </c>
      <c r="N3603">
        <v>2</v>
      </c>
      <c r="O3603">
        <v>2</v>
      </c>
      <c r="P3603">
        <v>0</v>
      </c>
      <c r="Q3603">
        <v>0</v>
      </c>
    </row>
    <row r="3604" spans="1:17" x14ac:dyDescent="0.2">
      <c r="A3604" s="121">
        <v>40451</v>
      </c>
      <c r="B3604" t="s">
        <v>406</v>
      </c>
      <c r="C3604" t="s">
        <v>577</v>
      </c>
      <c r="D3604" t="s">
        <v>584</v>
      </c>
      <c r="E3604" t="s">
        <v>585</v>
      </c>
      <c r="F3604" t="s">
        <v>410</v>
      </c>
      <c r="G3604">
        <v>238</v>
      </c>
      <c r="H3604">
        <v>238</v>
      </c>
      <c r="I3604">
        <v>238</v>
      </c>
      <c r="J3604">
        <v>238</v>
      </c>
      <c r="K3604">
        <v>0</v>
      </c>
      <c r="L3604">
        <v>0</v>
      </c>
      <c r="M3604">
        <v>194</v>
      </c>
      <c r="N3604">
        <v>37</v>
      </c>
      <c r="O3604">
        <v>7</v>
      </c>
      <c r="P3604">
        <v>0</v>
      </c>
      <c r="Q3604">
        <v>0</v>
      </c>
    </row>
    <row r="3605" spans="1:17" x14ac:dyDescent="0.2">
      <c r="A3605" s="121">
        <v>40451</v>
      </c>
      <c r="B3605" t="s">
        <v>406</v>
      </c>
      <c r="C3605" t="s">
        <v>577</v>
      </c>
      <c r="D3605" t="s">
        <v>586</v>
      </c>
      <c r="E3605" t="s">
        <v>587</v>
      </c>
      <c r="F3605" t="s">
        <v>410</v>
      </c>
      <c r="G3605">
        <v>1131</v>
      </c>
      <c r="H3605">
        <v>1131</v>
      </c>
      <c r="I3605">
        <v>1130</v>
      </c>
      <c r="J3605">
        <v>1130</v>
      </c>
      <c r="K3605">
        <v>0</v>
      </c>
      <c r="L3605">
        <v>0</v>
      </c>
      <c r="M3605">
        <v>897</v>
      </c>
      <c r="N3605">
        <v>185</v>
      </c>
      <c r="O3605">
        <v>49</v>
      </c>
      <c r="P3605">
        <v>0</v>
      </c>
      <c r="Q3605">
        <v>0</v>
      </c>
    </row>
    <row r="3606" spans="1:17" x14ac:dyDescent="0.2">
      <c r="A3606" s="121">
        <v>40451</v>
      </c>
      <c r="B3606" t="s">
        <v>406</v>
      </c>
      <c r="C3606" t="s">
        <v>577</v>
      </c>
      <c r="D3606" t="s">
        <v>588</v>
      </c>
      <c r="E3606" t="s">
        <v>589</v>
      </c>
      <c r="F3606" t="s">
        <v>410</v>
      </c>
      <c r="G3606">
        <v>260</v>
      </c>
      <c r="H3606">
        <v>260</v>
      </c>
      <c r="I3606">
        <v>260</v>
      </c>
      <c r="J3606">
        <v>260</v>
      </c>
      <c r="K3606">
        <v>0</v>
      </c>
      <c r="L3606">
        <v>0</v>
      </c>
      <c r="M3606">
        <v>229</v>
      </c>
      <c r="N3606">
        <v>16</v>
      </c>
      <c r="O3606">
        <v>15</v>
      </c>
      <c r="P3606">
        <v>0</v>
      </c>
      <c r="Q3606">
        <v>0</v>
      </c>
    </row>
    <row r="3607" spans="1:17" x14ac:dyDescent="0.2">
      <c r="A3607" s="121">
        <v>40451</v>
      </c>
      <c r="B3607" t="s">
        <v>406</v>
      </c>
      <c r="C3607" t="s">
        <v>577</v>
      </c>
      <c r="D3607" t="s">
        <v>613</v>
      </c>
      <c r="E3607" t="s">
        <v>614</v>
      </c>
      <c r="F3607" t="s">
        <v>410</v>
      </c>
      <c r="G3607">
        <v>182</v>
      </c>
      <c r="H3607">
        <v>182</v>
      </c>
      <c r="I3607">
        <v>181</v>
      </c>
      <c r="J3607">
        <v>181</v>
      </c>
      <c r="K3607">
        <v>0</v>
      </c>
      <c r="L3607">
        <v>0</v>
      </c>
      <c r="M3607">
        <v>137</v>
      </c>
      <c r="N3607">
        <v>32</v>
      </c>
      <c r="O3607">
        <v>13</v>
      </c>
      <c r="P3607">
        <v>0</v>
      </c>
      <c r="Q3607">
        <v>0</v>
      </c>
    </row>
    <row r="3608" spans="1:17" x14ac:dyDescent="0.2">
      <c r="A3608" s="121">
        <v>40451</v>
      </c>
      <c r="B3608" t="s">
        <v>406</v>
      </c>
      <c r="C3608" t="s">
        <v>577</v>
      </c>
      <c r="D3608" t="s">
        <v>590</v>
      </c>
      <c r="E3608" t="s">
        <v>591</v>
      </c>
      <c r="F3608" t="s">
        <v>410</v>
      </c>
      <c r="G3608">
        <v>571</v>
      </c>
      <c r="H3608">
        <v>571</v>
      </c>
      <c r="I3608">
        <v>571</v>
      </c>
      <c r="J3608">
        <v>571</v>
      </c>
      <c r="K3608">
        <v>0</v>
      </c>
      <c r="L3608">
        <v>0</v>
      </c>
      <c r="M3608">
        <v>513</v>
      </c>
      <c r="N3608">
        <v>40</v>
      </c>
      <c r="O3608">
        <v>18</v>
      </c>
      <c r="P3608">
        <v>0</v>
      </c>
      <c r="Q3608">
        <v>0</v>
      </c>
    </row>
    <row r="3609" spans="1:17" x14ac:dyDescent="0.2">
      <c r="A3609" s="121">
        <v>40451</v>
      </c>
      <c r="B3609" t="s">
        <v>406</v>
      </c>
      <c r="C3609" t="s">
        <v>577</v>
      </c>
      <c r="D3609" t="s">
        <v>607</v>
      </c>
      <c r="E3609" t="s">
        <v>608</v>
      </c>
      <c r="F3609" t="s">
        <v>410</v>
      </c>
      <c r="G3609">
        <v>144</v>
      </c>
      <c r="H3609">
        <v>144</v>
      </c>
      <c r="I3609">
        <v>143</v>
      </c>
      <c r="J3609">
        <v>143</v>
      </c>
      <c r="K3609">
        <v>0</v>
      </c>
      <c r="L3609">
        <v>0</v>
      </c>
      <c r="M3609">
        <v>118</v>
      </c>
      <c r="N3609">
        <v>21</v>
      </c>
      <c r="O3609">
        <v>5</v>
      </c>
      <c r="P3609">
        <v>0</v>
      </c>
      <c r="Q3609">
        <v>0</v>
      </c>
    </row>
    <row r="3610" spans="1:17" x14ac:dyDescent="0.2">
      <c r="A3610" s="121">
        <v>40451</v>
      </c>
      <c r="B3610" t="s">
        <v>406</v>
      </c>
      <c r="C3610" t="s">
        <v>577</v>
      </c>
      <c r="D3610" t="s">
        <v>592</v>
      </c>
      <c r="E3610" t="s">
        <v>593</v>
      </c>
      <c r="F3610" t="s">
        <v>410</v>
      </c>
      <c r="G3610">
        <v>686</v>
      </c>
      <c r="H3610">
        <v>686</v>
      </c>
      <c r="I3610">
        <v>686</v>
      </c>
      <c r="J3610">
        <v>686</v>
      </c>
      <c r="K3610">
        <v>0</v>
      </c>
      <c r="L3610">
        <v>0</v>
      </c>
      <c r="M3610">
        <v>595</v>
      </c>
      <c r="N3610">
        <v>51</v>
      </c>
      <c r="O3610">
        <v>40</v>
      </c>
      <c r="P3610">
        <v>0</v>
      </c>
      <c r="Q3610">
        <v>0</v>
      </c>
    </row>
    <row r="3611" spans="1:17" x14ac:dyDescent="0.2">
      <c r="A3611" s="121">
        <v>40451</v>
      </c>
      <c r="B3611" t="s">
        <v>406</v>
      </c>
      <c r="C3611" t="s">
        <v>594</v>
      </c>
      <c r="D3611" t="s">
        <v>595</v>
      </c>
      <c r="E3611" t="s">
        <v>596</v>
      </c>
      <c r="F3611" t="s">
        <v>410</v>
      </c>
      <c r="G3611">
        <v>28</v>
      </c>
      <c r="I3611">
        <v>28</v>
      </c>
    </row>
    <row r="3612" spans="1:17" x14ac:dyDescent="0.2">
      <c r="A3612" s="121">
        <v>40451</v>
      </c>
      <c r="B3612" t="s">
        <v>406</v>
      </c>
      <c r="C3612" t="s">
        <v>594</v>
      </c>
      <c r="D3612" t="s">
        <v>597</v>
      </c>
      <c r="E3612" t="s">
        <v>598</v>
      </c>
      <c r="F3612" t="s">
        <v>413</v>
      </c>
      <c r="G3612">
        <v>591</v>
      </c>
      <c r="H3612">
        <v>591</v>
      </c>
      <c r="I3612">
        <v>579</v>
      </c>
      <c r="J3612">
        <v>579</v>
      </c>
      <c r="K3612">
        <v>158</v>
      </c>
      <c r="L3612">
        <v>0</v>
      </c>
      <c r="M3612">
        <v>425</v>
      </c>
      <c r="N3612">
        <v>2</v>
      </c>
      <c r="O3612">
        <v>6</v>
      </c>
      <c r="P3612">
        <v>0</v>
      </c>
      <c r="Q3612">
        <v>0</v>
      </c>
    </row>
    <row r="3613" spans="1:17" x14ac:dyDescent="0.2">
      <c r="A3613" s="121">
        <v>40451</v>
      </c>
      <c r="B3613" t="s">
        <v>406</v>
      </c>
      <c r="C3613" t="s">
        <v>594</v>
      </c>
      <c r="D3613" t="s">
        <v>599</v>
      </c>
      <c r="E3613" t="s">
        <v>600</v>
      </c>
      <c r="F3613" t="s">
        <v>410</v>
      </c>
      <c r="G3613">
        <v>86</v>
      </c>
      <c r="I3613">
        <v>86</v>
      </c>
    </row>
    <row r="3614" spans="1:17" x14ac:dyDescent="0.2">
      <c r="A3614" s="121">
        <v>40482</v>
      </c>
      <c r="B3614" t="s">
        <v>406</v>
      </c>
      <c r="C3614" t="s">
        <v>407</v>
      </c>
      <c r="D3614" t="s">
        <v>408</v>
      </c>
      <c r="E3614" t="s">
        <v>409</v>
      </c>
      <c r="F3614" t="s">
        <v>410</v>
      </c>
      <c r="G3614">
        <v>187</v>
      </c>
      <c r="I3614">
        <v>187</v>
      </c>
    </row>
    <row r="3615" spans="1:17" x14ac:dyDescent="0.2">
      <c r="A3615" s="121">
        <v>40482</v>
      </c>
      <c r="B3615" t="s">
        <v>406</v>
      </c>
      <c r="C3615" t="s">
        <v>407</v>
      </c>
      <c r="D3615" t="s">
        <v>601</v>
      </c>
      <c r="E3615" t="s">
        <v>602</v>
      </c>
      <c r="F3615" t="s">
        <v>410</v>
      </c>
      <c r="G3615">
        <v>32</v>
      </c>
      <c r="I3615">
        <v>32</v>
      </c>
    </row>
    <row r="3616" spans="1:17" x14ac:dyDescent="0.2">
      <c r="A3616" s="121">
        <v>40482</v>
      </c>
      <c r="B3616" t="s">
        <v>406</v>
      </c>
      <c r="C3616" t="s">
        <v>407</v>
      </c>
      <c r="D3616" t="s">
        <v>411</v>
      </c>
      <c r="E3616" t="s">
        <v>412</v>
      </c>
      <c r="F3616" t="s">
        <v>413</v>
      </c>
      <c r="G3616">
        <v>5486</v>
      </c>
      <c r="H3616">
        <v>5486</v>
      </c>
      <c r="I3616">
        <v>5429</v>
      </c>
      <c r="J3616">
        <v>5429</v>
      </c>
      <c r="K3616">
        <v>2066</v>
      </c>
      <c r="L3616">
        <v>5</v>
      </c>
      <c r="M3616">
        <v>3117</v>
      </c>
      <c r="N3616">
        <v>123</v>
      </c>
      <c r="O3616">
        <v>175</v>
      </c>
      <c r="P3616">
        <v>1</v>
      </c>
      <c r="Q3616">
        <v>0</v>
      </c>
    </row>
    <row r="3617" spans="1:17" x14ac:dyDescent="0.2">
      <c r="A3617" s="121">
        <v>40482</v>
      </c>
      <c r="B3617" t="s">
        <v>406</v>
      </c>
      <c r="C3617" t="s">
        <v>407</v>
      </c>
      <c r="D3617" t="s">
        <v>416</v>
      </c>
      <c r="E3617" t="s">
        <v>417</v>
      </c>
      <c r="F3617" t="s">
        <v>413</v>
      </c>
      <c r="G3617">
        <v>3598</v>
      </c>
      <c r="H3617">
        <v>3598</v>
      </c>
      <c r="I3617">
        <v>3469</v>
      </c>
      <c r="J3617">
        <v>3469</v>
      </c>
      <c r="K3617">
        <v>1310</v>
      </c>
      <c r="L3617">
        <v>4</v>
      </c>
      <c r="M3617">
        <v>2092</v>
      </c>
      <c r="N3617">
        <v>125</v>
      </c>
      <c r="O3617">
        <v>67</v>
      </c>
      <c r="P3617">
        <v>7</v>
      </c>
      <c r="Q3617">
        <v>3</v>
      </c>
    </row>
    <row r="3618" spans="1:17" x14ac:dyDescent="0.2">
      <c r="A3618" s="121">
        <v>40482</v>
      </c>
      <c r="B3618" t="s">
        <v>406</v>
      </c>
      <c r="C3618" t="s">
        <v>407</v>
      </c>
      <c r="D3618" t="s">
        <v>618</v>
      </c>
      <c r="E3618" t="s">
        <v>619</v>
      </c>
      <c r="F3618" t="s">
        <v>410</v>
      </c>
      <c r="G3618">
        <v>116</v>
      </c>
      <c r="I3618">
        <v>116</v>
      </c>
    </row>
    <row r="3619" spans="1:17" x14ac:dyDescent="0.2">
      <c r="A3619" s="121">
        <v>40482</v>
      </c>
      <c r="B3619" t="s">
        <v>406</v>
      </c>
      <c r="C3619" t="s">
        <v>418</v>
      </c>
      <c r="D3619" t="s">
        <v>419</v>
      </c>
      <c r="E3619" t="s">
        <v>420</v>
      </c>
      <c r="F3619" t="s">
        <v>410</v>
      </c>
      <c r="G3619">
        <v>26</v>
      </c>
      <c r="I3619">
        <v>26</v>
      </c>
    </row>
    <row r="3620" spans="1:17" x14ac:dyDescent="0.2">
      <c r="A3620" s="121">
        <v>40482</v>
      </c>
      <c r="B3620" t="s">
        <v>406</v>
      </c>
      <c r="C3620" t="s">
        <v>418</v>
      </c>
      <c r="D3620" t="s">
        <v>421</v>
      </c>
      <c r="E3620" t="s">
        <v>422</v>
      </c>
      <c r="F3620" t="s">
        <v>410</v>
      </c>
      <c r="G3620">
        <v>81</v>
      </c>
      <c r="I3620">
        <v>81</v>
      </c>
    </row>
    <row r="3621" spans="1:17" x14ac:dyDescent="0.2">
      <c r="A3621" s="121">
        <v>40482</v>
      </c>
      <c r="B3621" t="s">
        <v>406</v>
      </c>
      <c r="C3621" t="s">
        <v>418</v>
      </c>
      <c r="D3621" t="s">
        <v>423</v>
      </c>
      <c r="E3621" t="s">
        <v>424</v>
      </c>
      <c r="F3621" t="s">
        <v>410</v>
      </c>
      <c r="G3621">
        <v>25</v>
      </c>
      <c r="I3621">
        <v>25</v>
      </c>
    </row>
    <row r="3622" spans="1:17" x14ac:dyDescent="0.2">
      <c r="A3622" s="121">
        <v>40482</v>
      </c>
      <c r="B3622" t="s">
        <v>406</v>
      </c>
      <c r="C3622" t="s">
        <v>418</v>
      </c>
      <c r="D3622" t="s">
        <v>425</v>
      </c>
      <c r="E3622" t="s">
        <v>426</v>
      </c>
      <c r="F3622" t="s">
        <v>410</v>
      </c>
      <c r="G3622">
        <v>61</v>
      </c>
      <c r="I3622">
        <v>61</v>
      </c>
    </row>
    <row r="3623" spans="1:17" x14ac:dyDescent="0.2">
      <c r="A3623" s="121">
        <v>40482</v>
      </c>
      <c r="B3623" t="s">
        <v>406</v>
      </c>
      <c r="C3623" t="s">
        <v>418</v>
      </c>
      <c r="D3623" t="s">
        <v>427</v>
      </c>
      <c r="E3623" t="s">
        <v>428</v>
      </c>
      <c r="F3623" t="s">
        <v>413</v>
      </c>
      <c r="G3623">
        <v>1926</v>
      </c>
      <c r="H3623">
        <v>1926</v>
      </c>
      <c r="I3623">
        <v>1885</v>
      </c>
      <c r="J3623">
        <v>1885</v>
      </c>
      <c r="K3623">
        <v>660</v>
      </c>
      <c r="L3623">
        <v>3</v>
      </c>
      <c r="M3623">
        <v>1094</v>
      </c>
      <c r="N3623">
        <v>134</v>
      </c>
      <c r="O3623">
        <v>35</v>
      </c>
      <c r="P3623">
        <v>1</v>
      </c>
      <c r="Q3623">
        <v>0</v>
      </c>
    </row>
    <row r="3624" spans="1:17" x14ac:dyDescent="0.2">
      <c r="A3624" s="121">
        <v>40482</v>
      </c>
      <c r="B3624" t="s">
        <v>406</v>
      </c>
      <c r="C3624" t="s">
        <v>429</v>
      </c>
      <c r="D3624" t="s">
        <v>430</v>
      </c>
      <c r="E3624" t="s">
        <v>431</v>
      </c>
      <c r="F3624" t="s">
        <v>410</v>
      </c>
      <c r="G3624">
        <v>31</v>
      </c>
      <c r="I3624">
        <v>31</v>
      </c>
    </row>
    <row r="3625" spans="1:17" x14ac:dyDescent="0.2">
      <c r="A3625" s="121">
        <v>40482</v>
      </c>
      <c r="B3625" t="s">
        <v>406</v>
      </c>
      <c r="C3625" t="s">
        <v>429</v>
      </c>
      <c r="D3625" t="s">
        <v>432</v>
      </c>
      <c r="E3625" t="s">
        <v>433</v>
      </c>
      <c r="F3625" t="s">
        <v>410</v>
      </c>
      <c r="G3625">
        <v>79</v>
      </c>
      <c r="I3625">
        <v>79</v>
      </c>
    </row>
    <row r="3626" spans="1:17" x14ac:dyDescent="0.2">
      <c r="A3626" s="121">
        <v>40482</v>
      </c>
      <c r="B3626" t="s">
        <v>406</v>
      </c>
      <c r="C3626" t="s">
        <v>429</v>
      </c>
      <c r="D3626" t="s">
        <v>434</v>
      </c>
      <c r="E3626" t="s">
        <v>435</v>
      </c>
      <c r="F3626" t="s">
        <v>410</v>
      </c>
      <c r="G3626">
        <v>30</v>
      </c>
      <c r="I3626">
        <v>30</v>
      </c>
    </row>
    <row r="3627" spans="1:17" x14ac:dyDescent="0.2">
      <c r="A3627" s="121">
        <v>40482</v>
      </c>
      <c r="B3627" t="s">
        <v>406</v>
      </c>
      <c r="C3627" t="s">
        <v>429</v>
      </c>
      <c r="D3627" t="s">
        <v>436</v>
      </c>
      <c r="E3627" t="s">
        <v>437</v>
      </c>
      <c r="F3627" t="s">
        <v>410</v>
      </c>
      <c r="G3627">
        <v>49</v>
      </c>
      <c r="I3627">
        <v>49</v>
      </c>
    </row>
    <row r="3628" spans="1:17" x14ac:dyDescent="0.2">
      <c r="A3628" s="121">
        <v>40482</v>
      </c>
      <c r="B3628" t="s">
        <v>406</v>
      </c>
      <c r="C3628" t="s">
        <v>429</v>
      </c>
      <c r="D3628" t="s">
        <v>438</v>
      </c>
      <c r="E3628" t="s">
        <v>439</v>
      </c>
      <c r="F3628" t="s">
        <v>413</v>
      </c>
      <c r="G3628">
        <v>914</v>
      </c>
      <c r="H3628">
        <v>914</v>
      </c>
      <c r="I3628">
        <v>898</v>
      </c>
      <c r="J3628">
        <v>898</v>
      </c>
      <c r="K3628">
        <v>92</v>
      </c>
      <c r="L3628">
        <v>2</v>
      </c>
      <c r="M3628">
        <v>803</v>
      </c>
      <c r="N3628">
        <v>17</v>
      </c>
      <c r="O3628">
        <v>0</v>
      </c>
      <c r="P3628">
        <v>1</v>
      </c>
      <c r="Q3628">
        <v>0</v>
      </c>
    </row>
    <row r="3629" spans="1:17" x14ac:dyDescent="0.2">
      <c r="A3629" s="121">
        <v>40482</v>
      </c>
      <c r="B3629" t="s">
        <v>406</v>
      </c>
      <c r="C3629" t="s">
        <v>429</v>
      </c>
      <c r="D3629" t="s">
        <v>440</v>
      </c>
      <c r="E3629" t="s">
        <v>441</v>
      </c>
      <c r="F3629" t="s">
        <v>413</v>
      </c>
      <c r="G3629">
        <v>2692</v>
      </c>
      <c r="H3629">
        <v>2692</v>
      </c>
      <c r="I3629">
        <v>2572</v>
      </c>
      <c r="J3629">
        <v>2572</v>
      </c>
      <c r="K3629">
        <v>932</v>
      </c>
      <c r="L3629">
        <v>5</v>
      </c>
      <c r="M3629">
        <v>1666</v>
      </c>
      <c r="N3629">
        <v>89</v>
      </c>
      <c r="O3629">
        <v>0</v>
      </c>
      <c r="P3629">
        <v>2</v>
      </c>
      <c r="Q3629">
        <v>0</v>
      </c>
    </row>
    <row r="3630" spans="1:17" x14ac:dyDescent="0.2">
      <c r="A3630" s="121">
        <v>40482</v>
      </c>
      <c r="B3630" t="s">
        <v>406</v>
      </c>
      <c r="C3630" t="s">
        <v>442</v>
      </c>
      <c r="D3630" t="s">
        <v>443</v>
      </c>
      <c r="E3630" t="s">
        <v>444</v>
      </c>
      <c r="F3630" t="s">
        <v>413</v>
      </c>
      <c r="G3630">
        <v>3189</v>
      </c>
      <c r="H3630">
        <v>3189</v>
      </c>
      <c r="I3630">
        <v>3077</v>
      </c>
      <c r="J3630">
        <v>3077</v>
      </c>
      <c r="K3630">
        <v>463</v>
      </c>
      <c r="L3630">
        <v>4</v>
      </c>
      <c r="M3630">
        <v>2597</v>
      </c>
      <c r="N3630">
        <v>64</v>
      </c>
      <c r="O3630">
        <v>61</v>
      </c>
      <c r="P3630">
        <v>4</v>
      </c>
      <c r="Q3630">
        <v>1</v>
      </c>
    </row>
    <row r="3631" spans="1:17" x14ac:dyDescent="0.2">
      <c r="A3631" s="121">
        <v>40482</v>
      </c>
      <c r="B3631" t="s">
        <v>406</v>
      </c>
      <c r="C3631" t="s">
        <v>442</v>
      </c>
      <c r="D3631" t="s">
        <v>445</v>
      </c>
      <c r="E3631" t="s">
        <v>446</v>
      </c>
      <c r="F3631" t="s">
        <v>410</v>
      </c>
      <c r="G3631">
        <v>101</v>
      </c>
      <c r="I3631">
        <v>101</v>
      </c>
    </row>
    <row r="3632" spans="1:17" x14ac:dyDescent="0.2">
      <c r="A3632" s="121">
        <v>40482</v>
      </c>
      <c r="B3632" t="s">
        <v>406</v>
      </c>
      <c r="C3632" t="s">
        <v>442</v>
      </c>
      <c r="D3632" t="s">
        <v>447</v>
      </c>
      <c r="E3632" t="s">
        <v>448</v>
      </c>
      <c r="F3632" t="s">
        <v>410</v>
      </c>
      <c r="G3632">
        <v>419</v>
      </c>
      <c r="I3632">
        <v>418</v>
      </c>
    </row>
    <row r="3633" spans="1:17" x14ac:dyDescent="0.2">
      <c r="A3633" s="121">
        <v>40482</v>
      </c>
      <c r="B3633" t="s">
        <v>406</v>
      </c>
      <c r="C3633" t="s">
        <v>442</v>
      </c>
      <c r="D3633" t="s">
        <v>449</v>
      </c>
      <c r="E3633" t="s">
        <v>450</v>
      </c>
      <c r="F3633" t="s">
        <v>413</v>
      </c>
      <c r="G3633">
        <v>3269</v>
      </c>
      <c r="H3633">
        <v>3269</v>
      </c>
      <c r="I3633">
        <v>3144</v>
      </c>
      <c r="J3633">
        <v>3144</v>
      </c>
      <c r="K3633">
        <v>655</v>
      </c>
      <c r="L3633">
        <v>7</v>
      </c>
      <c r="M3633">
        <v>2509</v>
      </c>
      <c r="N3633">
        <v>49</v>
      </c>
      <c r="O3633">
        <v>49</v>
      </c>
      <c r="P3633">
        <v>13</v>
      </c>
      <c r="Q3633">
        <v>1</v>
      </c>
    </row>
    <row r="3634" spans="1:17" x14ac:dyDescent="0.2">
      <c r="A3634" s="121">
        <v>40482</v>
      </c>
      <c r="B3634" t="s">
        <v>406</v>
      </c>
      <c r="C3634" t="s">
        <v>451</v>
      </c>
      <c r="D3634" t="s">
        <v>452</v>
      </c>
      <c r="E3634" t="s">
        <v>453</v>
      </c>
      <c r="F3634" t="s">
        <v>410</v>
      </c>
      <c r="G3634">
        <v>1401</v>
      </c>
      <c r="H3634">
        <v>1401</v>
      </c>
      <c r="I3634">
        <v>1401</v>
      </c>
      <c r="J3634">
        <v>1401</v>
      </c>
      <c r="K3634">
        <v>0</v>
      </c>
      <c r="L3634">
        <v>0</v>
      </c>
      <c r="M3634">
        <v>1029</v>
      </c>
      <c r="N3634">
        <v>124</v>
      </c>
      <c r="O3634">
        <v>248</v>
      </c>
      <c r="P3634">
        <v>0</v>
      </c>
      <c r="Q3634">
        <v>0</v>
      </c>
    </row>
    <row r="3635" spans="1:17" x14ac:dyDescent="0.2">
      <c r="A3635" s="121">
        <v>40482</v>
      </c>
      <c r="B3635" t="s">
        <v>406</v>
      </c>
      <c r="C3635" t="s">
        <v>451</v>
      </c>
      <c r="D3635" t="s">
        <v>454</v>
      </c>
      <c r="E3635" t="s">
        <v>455</v>
      </c>
      <c r="F3635" t="s">
        <v>413</v>
      </c>
      <c r="G3635">
        <v>4749</v>
      </c>
      <c r="H3635">
        <v>4749</v>
      </c>
      <c r="I3635">
        <v>4367</v>
      </c>
      <c r="J3635">
        <v>4367</v>
      </c>
      <c r="K3635">
        <v>1335</v>
      </c>
      <c r="L3635">
        <v>14</v>
      </c>
      <c r="M3635">
        <v>2590</v>
      </c>
      <c r="N3635">
        <v>36</v>
      </c>
      <c r="O3635">
        <v>774</v>
      </c>
      <c r="P3635">
        <v>9</v>
      </c>
      <c r="Q3635">
        <v>0</v>
      </c>
    </row>
    <row r="3636" spans="1:17" x14ac:dyDescent="0.2">
      <c r="A3636" s="121">
        <v>40482</v>
      </c>
      <c r="B3636" t="s">
        <v>406</v>
      </c>
      <c r="C3636" t="s">
        <v>456</v>
      </c>
      <c r="D3636" t="s">
        <v>457</v>
      </c>
      <c r="E3636" t="s">
        <v>458</v>
      </c>
      <c r="F3636" t="s">
        <v>413</v>
      </c>
      <c r="G3636">
        <v>5225</v>
      </c>
      <c r="H3636">
        <v>5225</v>
      </c>
      <c r="I3636">
        <v>5126</v>
      </c>
      <c r="J3636">
        <v>5126</v>
      </c>
      <c r="K3636">
        <v>1326</v>
      </c>
      <c r="L3636">
        <v>24</v>
      </c>
      <c r="M3636">
        <v>3761</v>
      </c>
      <c r="N3636">
        <v>62</v>
      </c>
      <c r="O3636">
        <v>52</v>
      </c>
      <c r="P3636">
        <v>3</v>
      </c>
      <c r="Q3636">
        <v>0</v>
      </c>
    </row>
    <row r="3637" spans="1:17" x14ac:dyDescent="0.2">
      <c r="A3637" s="121">
        <v>40482</v>
      </c>
      <c r="B3637" t="s">
        <v>406</v>
      </c>
      <c r="C3637" t="s">
        <v>456</v>
      </c>
      <c r="D3637" t="s">
        <v>459</v>
      </c>
      <c r="E3637" t="s">
        <v>460</v>
      </c>
      <c r="F3637" t="s">
        <v>413</v>
      </c>
      <c r="G3637">
        <v>1260</v>
      </c>
      <c r="H3637">
        <v>1260</v>
      </c>
      <c r="I3637">
        <v>1254</v>
      </c>
      <c r="J3637">
        <v>1254</v>
      </c>
      <c r="K3637">
        <v>360</v>
      </c>
      <c r="L3637">
        <v>0</v>
      </c>
      <c r="M3637">
        <v>898</v>
      </c>
      <c r="N3637">
        <v>1</v>
      </c>
      <c r="O3637">
        <v>1</v>
      </c>
      <c r="P3637">
        <v>0</v>
      </c>
      <c r="Q3637">
        <v>0</v>
      </c>
    </row>
    <row r="3638" spans="1:17" x14ac:dyDescent="0.2">
      <c r="A3638" s="121">
        <v>40482</v>
      </c>
      <c r="B3638" t="s">
        <v>406</v>
      </c>
      <c r="C3638" t="s">
        <v>456</v>
      </c>
      <c r="D3638" t="s">
        <v>461</v>
      </c>
      <c r="E3638" t="s">
        <v>462</v>
      </c>
      <c r="F3638" t="s">
        <v>410</v>
      </c>
      <c r="G3638">
        <v>72</v>
      </c>
      <c r="I3638">
        <v>72</v>
      </c>
    </row>
    <row r="3639" spans="1:17" x14ac:dyDescent="0.2">
      <c r="A3639" s="121">
        <v>40482</v>
      </c>
      <c r="B3639" t="s">
        <v>406</v>
      </c>
      <c r="C3639" t="s">
        <v>456</v>
      </c>
      <c r="D3639" t="s">
        <v>463</v>
      </c>
      <c r="E3639" t="s">
        <v>464</v>
      </c>
      <c r="F3639" t="s">
        <v>410</v>
      </c>
      <c r="G3639">
        <v>30</v>
      </c>
      <c r="I3639">
        <v>30</v>
      </c>
    </row>
    <row r="3640" spans="1:17" x14ac:dyDescent="0.2">
      <c r="A3640" s="121">
        <v>40482</v>
      </c>
      <c r="B3640" t="s">
        <v>406</v>
      </c>
      <c r="C3640" t="s">
        <v>456</v>
      </c>
      <c r="D3640" t="s">
        <v>465</v>
      </c>
      <c r="E3640" t="s">
        <v>466</v>
      </c>
      <c r="F3640" t="s">
        <v>410</v>
      </c>
      <c r="G3640">
        <v>51</v>
      </c>
      <c r="I3640">
        <v>51</v>
      </c>
    </row>
    <row r="3641" spans="1:17" x14ac:dyDescent="0.2">
      <c r="A3641" s="121">
        <v>40482</v>
      </c>
      <c r="B3641" t="s">
        <v>406</v>
      </c>
      <c r="C3641" t="s">
        <v>456</v>
      </c>
      <c r="D3641" t="s">
        <v>467</v>
      </c>
      <c r="E3641" t="s">
        <v>468</v>
      </c>
      <c r="F3641" t="s">
        <v>410</v>
      </c>
      <c r="G3641">
        <v>967</v>
      </c>
      <c r="I3641">
        <v>964</v>
      </c>
    </row>
    <row r="3642" spans="1:17" x14ac:dyDescent="0.2">
      <c r="A3642" s="121">
        <v>40482</v>
      </c>
      <c r="B3642" t="s">
        <v>406</v>
      </c>
      <c r="C3642" t="s">
        <v>456</v>
      </c>
      <c r="D3642" t="s">
        <v>469</v>
      </c>
      <c r="E3642" t="s">
        <v>470</v>
      </c>
      <c r="F3642" t="s">
        <v>410</v>
      </c>
      <c r="G3642">
        <v>862</v>
      </c>
      <c r="I3642">
        <v>859</v>
      </c>
    </row>
    <row r="3643" spans="1:17" x14ac:dyDescent="0.2">
      <c r="A3643" s="121">
        <v>40482</v>
      </c>
      <c r="B3643" t="s">
        <v>406</v>
      </c>
      <c r="C3643" t="s">
        <v>456</v>
      </c>
      <c r="D3643" t="s">
        <v>471</v>
      </c>
      <c r="E3643" t="s">
        <v>472</v>
      </c>
      <c r="F3643" t="s">
        <v>410</v>
      </c>
      <c r="G3643">
        <v>264</v>
      </c>
      <c r="I3643">
        <v>264</v>
      </c>
    </row>
    <row r="3644" spans="1:17" x14ac:dyDescent="0.2">
      <c r="A3644" s="121">
        <v>40482</v>
      </c>
      <c r="B3644" t="s">
        <v>406</v>
      </c>
      <c r="C3644" t="s">
        <v>456</v>
      </c>
      <c r="D3644" t="s">
        <v>473</v>
      </c>
      <c r="E3644" t="s">
        <v>474</v>
      </c>
      <c r="F3644" t="s">
        <v>410</v>
      </c>
      <c r="G3644">
        <v>172</v>
      </c>
      <c r="I3644">
        <v>172</v>
      </c>
    </row>
    <row r="3645" spans="1:17" x14ac:dyDescent="0.2">
      <c r="A3645" s="121">
        <v>40482</v>
      </c>
      <c r="B3645" t="s">
        <v>406</v>
      </c>
      <c r="C3645" t="s">
        <v>456</v>
      </c>
      <c r="D3645" t="s">
        <v>475</v>
      </c>
      <c r="E3645" t="s">
        <v>476</v>
      </c>
      <c r="F3645" t="s">
        <v>410</v>
      </c>
      <c r="G3645">
        <v>309</v>
      </c>
      <c r="I3645">
        <v>309</v>
      </c>
    </row>
    <row r="3646" spans="1:17" x14ac:dyDescent="0.2">
      <c r="A3646" s="121">
        <v>40482</v>
      </c>
      <c r="B3646" t="s">
        <v>406</v>
      </c>
      <c r="C3646" t="s">
        <v>456</v>
      </c>
      <c r="D3646" t="s">
        <v>477</v>
      </c>
      <c r="E3646" t="s">
        <v>478</v>
      </c>
      <c r="F3646" t="s">
        <v>413</v>
      </c>
      <c r="G3646">
        <v>1867</v>
      </c>
      <c r="H3646">
        <v>1867</v>
      </c>
      <c r="I3646">
        <v>1832</v>
      </c>
      <c r="J3646">
        <v>1832</v>
      </c>
      <c r="K3646">
        <v>479</v>
      </c>
      <c r="L3646">
        <v>8</v>
      </c>
      <c r="M3646">
        <v>1345</v>
      </c>
      <c r="N3646">
        <v>23</v>
      </c>
      <c r="O3646">
        <v>12</v>
      </c>
      <c r="P3646">
        <v>2</v>
      </c>
      <c r="Q3646">
        <v>1</v>
      </c>
    </row>
    <row r="3647" spans="1:17" x14ac:dyDescent="0.2">
      <c r="A3647" s="121">
        <v>40482</v>
      </c>
      <c r="B3647" t="s">
        <v>406</v>
      </c>
      <c r="C3647" t="s">
        <v>456</v>
      </c>
      <c r="D3647" t="s">
        <v>479</v>
      </c>
      <c r="E3647" t="s">
        <v>480</v>
      </c>
      <c r="F3647" t="s">
        <v>410</v>
      </c>
      <c r="G3647">
        <v>78</v>
      </c>
      <c r="I3647">
        <v>78</v>
      </c>
    </row>
    <row r="3648" spans="1:17" x14ac:dyDescent="0.2">
      <c r="A3648" s="121">
        <v>40482</v>
      </c>
      <c r="B3648" t="s">
        <v>406</v>
      </c>
      <c r="C3648" t="s">
        <v>456</v>
      </c>
      <c r="D3648" t="s">
        <v>481</v>
      </c>
      <c r="E3648" t="s">
        <v>482</v>
      </c>
      <c r="F3648" t="s">
        <v>410</v>
      </c>
      <c r="G3648">
        <v>41</v>
      </c>
      <c r="I3648">
        <v>41</v>
      </c>
    </row>
    <row r="3649" spans="1:17" x14ac:dyDescent="0.2">
      <c r="A3649" s="121">
        <v>40482</v>
      </c>
      <c r="B3649" t="s">
        <v>406</v>
      </c>
      <c r="C3649" t="s">
        <v>456</v>
      </c>
      <c r="D3649" t="s">
        <v>483</v>
      </c>
      <c r="E3649" t="s">
        <v>484</v>
      </c>
      <c r="F3649" t="s">
        <v>410</v>
      </c>
      <c r="G3649">
        <v>71</v>
      </c>
      <c r="I3649">
        <v>71</v>
      </c>
    </row>
    <row r="3650" spans="1:17" x14ac:dyDescent="0.2">
      <c r="A3650" s="121">
        <v>40482</v>
      </c>
      <c r="B3650" t="s">
        <v>406</v>
      </c>
      <c r="C3650" t="s">
        <v>456</v>
      </c>
      <c r="D3650" t="s">
        <v>485</v>
      </c>
      <c r="E3650" t="s">
        <v>486</v>
      </c>
      <c r="F3650" t="s">
        <v>410</v>
      </c>
      <c r="G3650">
        <v>62</v>
      </c>
      <c r="I3650">
        <v>62</v>
      </c>
    </row>
    <row r="3651" spans="1:17" x14ac:dyDescent="0.2">
      <c r="A3651" s="121">
        <v>40482</v>
      </c>
      <c r="B3651" t="s">
        <v>406</v>
      </c>
      <c r="C3651" t="s">
        <v>456</v>
      </c>
      <c r="D3651" t="s">
        <v>487</v>
      </c>
      <c r="E3651" t="s">
        <v>488</v>
      </c>
      <c r="F3651" t="s">
        <v>410</v>
      </c>
      <c r="G3651">
        <v>36</v>
      </c>
      <c r="I3651">
        <v>36</v>
      </c>
    </row>
    <row r="3652" spans="1:17" x14ac:dyDescent="0.2">
      <c r="A3652" s="121">
        <v>40482</v>
      </c>
      <c r="B3652" t="s">
        <v>406</v>
      </c>
      <c r="C3652" t="s">
        <v>456</v>
      </c>
      <c r="D3652" t="s">
        <v>489</v>
      </c>
      <c r="E3652" t="s">
        <v>490</v>
      </c>
      <c r="F3652" t="s">
        <v>410</v>
      </c>
      <c r="G3652">
        <v>118</v>
      </c>
      <c r="H3652">
        <v>118</v>
      </c>
      <c r="I3652">
        <v>118</v>
      </c>
      <c r="J3652">
        <v>118</v>
      </c>
      <c r="K3652">
        <v>0</v>
      </c>
      <c r="L3652">
        <v>0</v>
      </c>
      <c r="M3652">
        <v>99</v>
      </c>
      <c r="N3652">
        <v>19</v>
      </c>
      <c r="O3652">
        <v>0</v>
      </c>
      <c r="P3652">
        <v>0</v>
      </c>
      <c r="Q3652">
        <v>0</v>
      </c>
    </row>
    <row r="3653" spans="1:17" x14ac:dyDescent="0.2">
      <c r="A3653" s="121">
        <v>40482</v>
      </c>
      <c r="B3653" t="s">
        <v>406</v>
      </c>
      <c r="C3653" t="s">
        <v>491</v>
      </c>
      <c r="D3653" t="s">
        <v>492</v>
      </c>
      <c r="E3653" t="s">
        <v>493</v>
      </c>
      <c r="F3653" t="s">
        <v>410</v>
      </c>
      <c r="G3653">
        <v>1298</v>
      </c>
      <c r="H3653">
        <v>1298</v>
      </c>
      <c r="I3653">
        <v>1284</v>
      </c>
      <c r="J3653">
        <v>1284</v>
      </c>
      <c r="K3653">
        <v>0</v>
      </c>
      <c r="L3653">
        <v>0</v>
      </c>
      <c r="M3653">
        <v>1</v>
      </c>
      <c r="N3653">
        <v>12</v>
      </c>
      <c r="O3653">
        <v>1285</v>
      </c>
      <c r="P3653">
        <v>0</v>
      </c>
      <c r="Q3653">
        <v>0</v>
      </c>
    </row>
    <row r="3654" spans="1:17" x14ac:dyDescent="0.2">
      <c r="A3654" s="121">
        <v>40482</v>
      </c>
      <c r="B3654" t="s">
        <v>406</v>
      </c>
      <c r="C3654" t="s">
        <v>491</v>
      </c>
      <c r="D3654" t="s">
        <v>494</v>
      </c>
      <c r="E3654" t="s">
        <v>495</v>
      </c>
      <c r="F3654" t="s">
        <v>413</v>
      </c>
      <c r="G3654">
        <v>2766</v>
      </c>
      <c r="H3654">
        <v>2766</v>
      </c>
      <c r="I3654">
        <v>2691</v>
      </c>
      <c r="J3654">
        <v>2691</v>
      </c>
      <c r="K3654">
        <v>0</v>
      </c>
      <c r="L3654">
        <v>0</v>
      </c>
      <c r="M3654">
        <v>12</v>
      </c>
      <c r="N3654">
        <v>14</v>
      </c>
      <c r="O3654">
        <v>2740</v>
      </c>
      <c r="P3654">
        <v>0</v>
      </c>
      <c r="Q3654">
        <v>0</v>
      </c>
    </row>
    <row r="3655" spans="1:17" x14ac:dyDescent="0.2">
      <c r="A3655" s="121">
        <v>40482</v>
      </c>
      <c r="B3655" t="s">
        <v>406</v>
      </c>
      <c r="C3655" t="s">
        <v>491</v>
      </c>
      <c r="D3655" t="s">
        <v>496</v>
      </c>
      <c r="E3655" t="s">
        <v>497</v>
      </c>
      <c r="F3655" t="s">
        <v>413</v>
      </c>
      <c r="G3655">
        <v>5984</v>
      </c>
      <c r="H3655">
        <v>5984</v>
      </c>
      <c r="I3655">
        <v>5641</v>
      </c>
      <c r="J3655">
        <v>5641</v>
      </c>
      <c r="K3655">
        <v>759</v>
      </c>
      <c r="L3655">
        <v>0</v>
      </c>
      <c r="M3655">
        <v>19</v>
      </c>
      <c r="N3655">
        <v>58</v>
      </c>
      <c r="O3655">
        <v>5148</v>
      </c>
      <c r="P3655">
        <v>5</v>
      </c>
      <c r="Q3655">
        <v>0</v>
      </c>
    </row>
    <row r="3656" spans="1:17" x14ac:dyDescent="0.2">
      <c r="A3656" s="121">
        <v>40482</v>
      </c>
      <c r="B3656" t="s">
        <v>406</v>
      </c>
      <c r="C3656" t="s">
        <v>491</v>
      </c>
      <c r="D3656" t="s">
        <v>498</v>
      </c>
      <c r="E3656" t="s">
        <v>499</v>
      </c>
      <c r="F3656" t="s">
        <v>413</v>
      </c>
      <c r="G3656">
        <v>6121</v>
      </c>
      <c r="H3656">
        <v>6121</v>
      </c>
      <c r="I3656">
        <v>5839</v>
      </c>
      <c r="J3656">
        <v>5839</v>
      </c>
      <c r="K3656">
        <v>1663</v>
      </c>
      <c r="L3656">
        <v>11</v>
      </c>
      <c r="M3656">
        <v>4092</v>
      </c>
      <c r="N3656">
        <v>111</v>
      </c>
      <c r="O3656">
        <v>244</v>
      </c>
      <c r="P3656">
        <v>4</v>
      </c>
      <c r="Q3656">
        <v>0</v>
      </c>
    </row>
    <row r="3657" spans="1:17" x14ac:dyDescent="0.2">
      <c r="A3657" s="121">
        <v>40482</v>
      </c>
      <c r="B3657" t="s">
        <v>406</v>
      </c>
      <c r="C3657" t="s">
        <v>491</v>
      </c>
      <c r="D3657" t="s">
        <v>500</v>
      </c>
      <c r="E3657" t="s">
        <v>501</v>
      </c>
      <c r="F3657" t="s">
        <v>413</v>
      </c>
      <c r="G3657">
        <v>3575</v>
      </c>
      <c r="H3657">
        <v>3575</v>
      </c>
      <c r="I3657">
        <v>3497</v>
      </c>
      <c r="J3657">
        <v>3497</v>
      </c>
      <c r="K3657">
        <v>926</v>
      </c>
      <c r="L3657">
        <v>1</v>
      </c>
      <c r="M3657">
        <v>2383</v>
      </c>
      <c r="N3657">
        <v>36</v>
      </c>
      <c r="O3657">
        <v>229</v>
      </c>
      <c r="P3657">
        <v>1</v>
      </c>
      <c r="Q3657">
        <v>0</v>
      </c>
    </row>
    <row r="3658" spans="1:17" x14ac:dyDescent="0.2">
      <c r="A3658" s="121">
        <v>40482</v>
      </c>
      <c r="B3658" t="s">
        <v>406</v>
      </c>
      <c r="C3658" t="s">
        <v>491</v>
      </c>
      <c r="D3658" t="s">
        <v>502</v>
      </c>
      <c r="E3658" t="s">
        <v>615</v>
      </c>
      <c r="F3658" t="s">
        <v>410</v>
      </c>
      <c r="G3658">
        <v>1253</v>
      </c>
      <c r="H3658">
        <v>1253</v>
      </c>
      <c r="I3658">
        <v>1253</v>
      </c>
      <c r="J3658">
        <v>1253</v>
      </c>
      <c r="K3658">
        <v>0</v>
      </c>
      <c r="L3658">
        <v>0</v>
      </c>
      <c r="M3658">
        <v>1225</v>
      </c>
      <c r="N3658">
        <v>1</v>
      </c>
      <c r="O3658">
        <v>27</v>
      </c>
      <c r="P3658">
        <v>0</v>
      </c>
      <c r="Q3658">
        <v>0</v>
      </c>
    </row>
    <row r="3659" spans="1:17" x14ac:dyDescent="0.2">
      <c r="A3659" s="121">
        <v>40482</v>
      </c>
      <c r="B3659" t="s">
        <v>406</v>
      </c>
      <c r="C3659" t="s">
        <v>491</v>
      </c>
      <c r="D3659" t="s">
        <v>502</v>
      </c>
      <c r="E3659" t="s">
        <v>503</v>
      </c>
      <c r="F3659" t="s">
        <v>413</v>
      </c>
      <c r="G3659">
        <v>4914</v>
      </c>
      <c r="H3659">
        <v>4914</v>
      </c>
      <c r="I3659">
        <v>4695</v>
      </c>
      <c r="J3659">
        <v>4695</v>
      </c>
      <c r="K3659">
        <v>1397</v>
      </c>
      <c r="L3659">
        <v>5</v>
      </c>
      <c r="M3659">
        <v>3315</v>
      </c>
      <c r="N3659">
        <v>112</v>
      </c>
      <c r="O3659">
        <v>85</v>
      </c>
      <c r="P3659">
        <v>16</v>
      </c>
      <c r="Q3659">
        <v>0</v>
      </c>
    </row>
    <row r="3660" spans="1:17" x14ac:dyDescent="0.2">
      <c r="A3660" s="121">
        <v>40482</v>
      </c>
      <c r="B3660" t="s">
        <v>406</v>
      </c>
      <c r="C3660" t="s">
        <v>491</v>
      </c>
      <c r="D3660" t="s">
        <v>504</v>
      </c>
      <c r="E3660" t="s">
        <v>505</v>
      </c>
      <c r="F3660" t="s">
        <v>413</v>
      </c>
      <c r="G3660">
        <v>3896</v>
      </c>
      <c r="H3660">
        <v>3896</v>
      </c>
      <c r="I3660">
        <v>3789</v>
      </c>
      <c r="J3660">
        <v>3789</v>
      </c>
      <c r="K3660">
        <v>1187</v>
      </c>
      <c r="L3660">
        <v>2</v>
      </c>
      <c r="M3660">
        <v>2610</v>
      </c>
      <c r="N3660">
        <v>48</v>
      </c>
      <c r="O3660">
        <v>49</v>
      </c>
      <c r="P3660">
        <v>0</v>
      </c>
      <c r="Q3660">
        <v>0</v>
      </c>
    </row>
    <row r="3661" spans="1:17" x14ac:dyDescent="0.2">
      <c r="A3661" s="121">
        <v>40482</v>
      </c>
      <c r="B3661" t="s">
        <v>406</v>
      </c>
      <c r="C3661" t="s">
        <v>491</v>
      </c>
      <c r="D3661" t="s">
        <v>506</v>
      </c>
      <c r="E3661" t="s">
        <v>507</v>
      </c>
      <c r="F3661" t="s">
        <v>413</v>
      </c>
      <c r="G3661">
        <v>3351</v>
      </c>
      <c r="H3661">
        <v>3351</v>
      </c>
      <c r="I3661">
        <v>3295</v>
      </c>
      <c r="J3661">
        <v>3295</v>
      </c>
      <c r="K3661">
        <v>488</v>
      </c>
      <c r="L3661">
        <v>0</v>
      </c>
      <c r="M3661">
        <v>2853</v>
      </c>
      <c r="N3661">
        <v>1</v>
      </c>
      <c r="O3661">
        <v>9</v>
      </c>
      <c r="P3661">
        <v>0</v>
      </c>
      <c r="Q3661">
        <v>0</v>
      </c>
    </row>
    <row r="3662" spans="1:17" x14ac:dyDescent="0.2">
      <c r="A3662" s="121">
        <v>40482</v>
      </c>
      <c r="B3662" t="s">
        <v>406</v>
      </c>
      <c r="C3662" t="s">
        <v>491</v>
      </c>
      <c r="D3662" t="s">
        <v>508</v>
      </c>
      <c r="E3662" t="s">
        <v>509</v>
      </c>
      <c r="F3662" t="s">
        <v>413</v>
      </c>
      <c r="G3662">
        <v>4727</v>
      </c>
      <c r="H3662">
        <v>4727</v>
      </c>
      <c r="I3662">
        <v>4298</v>
      </c>
      <c r="J3662">
        <v>4298</v>
      </c>
      <c r="K3662">
        <v>1358</v>
      </c>
      <c r="L3662">
        <v>6</v>
      </c>
      <c r="M3662">
        <v>2934</v>
      </c>
      <c r="N3662">
        <v>124</v>
      </c>
      <c r="O3662">
        <v>305</v>
      </c>
      <c r="P3662">
        <v>38</v>
      </c>
      <c r="Q3662">
        <v>0</v>
      </c>
    </row>
    <row r="3663" spans="1:17" x14ac:dyDescent="0.2">
      <c r="A3663" s="121">
        <v>40482</v>
      </c>
      <c r="B3663" t="s">
        <v>406</v>
      </c>
      <c r="C3663" t="s">
        <v>510</v>
      </c>
      <c r="D3663" t="s">
        <v>513</v>
      </c>
      <c r="E3663" t="s">
        <v>514</v>
      </c>
      <c r="F3663" t="s">
        <v>410</v>
      </c>
      <c r="G3663">
        <v>590</v>
      </c>
      <c r="I3663">
        <v>584</v>
      </c>
    </row>
    <row r="3664" spans="1:17" x14ac:dyDescent="0.2">
      <c r="A3664" s="121">
        <v>40482</v>
      </c>
      <c r="B3664" t="s">
        <v>406</v>
      </c>
      <c r="C3664" t="s">
        <v>510</v>
      </c>
      <c r="D3664" t="s">
        <v>515</v>
      </c>
      <c r="E3664" t="s">
        <v>516</v>
      </c>
      <c r="F3664" t="s">
        <v>410</v>
      </c>
      <c r="G3664">
        <v>65</v>
      </c>
      <c r="I3664">
        <v>65</v>
      </c>
    </row>
    <row r="3665" spans="1:17" x14ac:dyDescent="0.2">
      <c r="A3665" s="121">
        <v>40482</v>
      </c>
      <c r="B3665" t="s">
        <v>406</v>
      </c>
      <c r="C3665" t="s">
        <v>510</v>
      </c>
      <c r="D3665" t="s">
        <v>519</v>
      </c>
      <c r="E3665" t="s">
        <v>520</v>
      </c>
      <c r="F3665" t="s">
        <v>410</v>
      </c>
      <c r="G3665">
        <v>306</v>
      </c>
      <c r="I3665">
        <v>295</v>
      </c>
    </row>
    <row r="3666" spans="1:17" x14ac:dyDescent="0.2">
      <c r="A3666" s="121">
        <v>40482</v>
      </c>
      <c r="B3666" t="s">
        <v>406</v>
      </c>
      <c r="C3666" t="s">
        <v>510</v>
      </c>
      <c r="D3666" t="s">
        <v>521</v>
      </c>
      <c r="E3666" t="s">
        <v>522</v>
      </c>
      <c r="F3666" t="s">
        <v>410</v>
      </c>
      <c r="G3666">
        <v>49</v>
      </c>
      <c r="I3666">
        <v>48</v>
      </c>
    </row>
    <row r="3667" spans="1:17" x14ac:dyDescent="0.2">
      <c r="A3667" s="121">
        <v>40482</v>
      </c>
      <c r="B3667" t="s">
        <v>406</v>
      </c>
      <c r="C3667" t="s">
        <v>510</v>
      </c>
      <c r="D3667" t="s">
        <v>523</v>
      </c>
      <c r="E3667" t="s">
        <v>524</v>
      </c>
      <c r="F3667" t="s">
        <v>413</v>
      </c>
      <c r="G3667">
        <v>476</v>
      </c>
      <c r="I3667">
        <v>472</v>
      </c>
    </row>
    <row r="3668" spans="1:17" x14ac:dyDescent="0.2">
      <c r="A3668" s="121">
        <v>40482</v>
      </c>
      <c r="B3668" t="s">
        <v>406</v>
      </c>
      <c r="C3668" t="s">
        <v>510</v>
      </c>
      <c r="D3668" t="s">
        <v>525</v>
      </c>
      <c r="E3668" t="s">
        <v>526</v>
      </c>
      <c r="F3668" t="s">
        <v>410</v>
      </c>
      <c r="G3668">
        <v>463</v>
      </c>
      <c r="I3668">
        <v>451</v>
      </c>
    </row>
    <row r="3669" spans="1:17" x14ac:dyDescent="0.2">
      <c r="A3669" s="121">
        <v>40482</v>
      </c>
      <c r="B3669" t="s">
        <v>406</v>
      </c>
      <c r="C3669" t="s">
        <v>510</v>
      </c>
      <c r="D3669" t="s">
        <v>527</v>
      </c>
      <c r="E3669" t="s">
        <v>528</v>
      </c>
      <c r="F3669" t="s">
        <v>410</v>
      </c>
      <c r="G3669">
        <v>168</v>
      </c>
      <c r="I3669">
        <v>166</v>
      </c>
    </row>
    <row r="3670" spans="1:17" x14ac:dyDescent="0.2">
      <c r="A3670" s="121">
        <v>40482</v>
      </c>
      <c r="B3670" t="s">
        <v>406</v>
      </c>
      <c r="C3670" t="s">
        <v>510</v>
      </c>
      <c r="D3670" t="s">
        <v>529</v>
      </c>
      <c r="E3670" t="s">
        <v>530</v>
      </c>
      <c r="F3670" t="s">
        <v>413</v>
      </c>
      <c r="G3670">
        <v>479</v>
      </c>
      <c r="I3670">
        <v>474</v>
      </c>
    </row>
    <row r="3671" spans="1:17" x14ac:dyDescent="0.2">
      <c r="A3671" s="121">
        <v>40482</v>
      </c>
      <c r="B3671" t="s">
        <v>406</v>
      </c>
      <c r="C3671" t="s">
        <v>510</v>
      </c>
      <c r="D3671" t="s">
        <v>531</v>
      </c>
      <c r="E3671" t="s">
        <v>532</v>
      </c>
      <c r="F3671" t="s">
        <v>410</v>
      </c>
      <c r="G3671">
        <v>36</v>
      </c>
      <c r="I3671">
        <v>35</v>
      </c>
    </row>
    <row r="3672" spans="1:17" x14ac:dyDescent="0.2">
      <c r="A3672" s="121">
        <v>40482</v>
      </c>
      <c r="B3672" t="s">
        <v>406</v>
      </c>
      <c r="C3672" t="s">
        <v>510</v>
      </c>
      <c r="D3672" t="s">
        <v>533</v>
      </c>
      <c r="E3672" t="s">
        <v>534</v>
      </c>
      <c r="F3672" t="s">
        <v>413</v>
      </c>
      <c r="G3672">
        <v>2496</v>
      </c>
      <c r="H3672">
        <v>2496</v>
      </c>
      <c r="I3672">
        <v>2392</v>
      </c>
      <c r="J3672">
        <v>2392</v>
      </c>
      <c r="K3672">
        <v>603</v>
      </c>
      <c r="L3672">
        <v>9</v>
      </c>
      <c r="M3672">
        <v>1884</v>
      </c>
      <c r="N3672">
        <v>0</v>
      </c>
      <c r="O3672">
        <v>0</v>
      </c>
      <c r="P3672">
        <v>4</v>
      </c>
      <c r="Q3672">
        <v>0</v>
      </c>
    </row>
    <row r="3673" spans="1:17" x14ac:dyDescent="0.2">
      <c r="A3673" s="121">
        <v>40482</v>
      </c>
      <c r="B3673" t="s">
        <v>406</v>
      </c>
      <c r="C3673" t="s">
        <v>510</v>
      </c>
      <c r="D3673" t="s">
        <v>535</v>
      </c>
      <c r="E3673" t="s">
        <v>536</v>
      </c>
      <c r="F3673" t="s">
        <v>410</v>
      </c>
      <c r="G3673">
        <v>256</v>
      </c>
      <c r="I3673">
        <v>256</v>
      </c>
    </row>
    <row r="3674" spans="1:17" x14ac:dyDescent="0.2">
      <c r="A3674" s="121">
        <v>40482</v>
      </c>
      <c r="B3674" t="s">
        <v>406</v>
      </c>
      <c r="C3674" t="s">
        <v>510</v>
      </c>
      <c r="D3674" t="s">
        <v>537</v>
      </c>
      <c r="E3674" t="s">
        <v>538</v>
      </c>
      <c r="F3674" t="s">
        <v>410</v>
      </c>
      <c r="G3674">
        <v>100</v>
      </c>
      <c r="I3674">
        <v>100</v>
      </c>
    </row>
    <row r="3675" spans="1:17" x14ac:dyDescent="0.2">
      <c r="A3675" s="121">
        <v>40482</v>
      </c>
      <c r="B3675" t="s">
        <v>406</v>
      </c>
      <c r="C3675" t="s">
        <v>510</v>
      </c>
      <c r="D3675" t="s">
        <v>539</v>
      </c>
      <c r="E3675" t="s">
        <v>540</v>
      </c>
      <c r="F3675" t="s">
        <v>413</v>
      </c>
      <c r="G3675">
        <v>683</v>
      </c>
      <c r="I3675">
        <v>674</v>
      </c>
    </row>
    <row r="3676" spans="1:17" x14ac:dyDescent="0.2">
      <c r="A3676" s="121">
        <v>40482</v>
      </c>
      <c r="B3676" t="s">
        <v>406</v>
      </c>
      <c r="C3676" t="s">
        <v>510</v>
      </c>
      <c r="D3676" t="s">
        <v>541</v>
      </c>
      <c r="E3676" t="s">
        <v>542</v>
      </c>
      <c r="F3676" t="s">
        <v>410</v>
      </c>
      <c r="G3676">
        <v>261</v>
      </c>
      <c r="I3676">
        <v>260</v>
      </c>
    </row>
    <row r="3677" spans="1:17" x14ac:dyDescent="0.2">
      <c r="A3677" s="121">
        <v>40482</v>
      </c>
      <c r="B3677" t="s">
        <v>406</v>
      </c>
      <c r="C3677" t="s">
        <v>510</v>
      </c>
      <c r="D3677" t="s">
        <v>543</v>
      </c>
      <c r="E3677" t="s">
        <v>544</v>
      </c>
      <c r="F3677" t="s">
        <v>410</v>
      </c>
      <c r="G3677">
        <v>220</v>
      </c>
      <c r="I3677">
        <v>220</v>
      </c>
    </row>
    <row r="3678" spans="1:17" x14ac:dyDescent="0.2">
      <c r="A3678" s="121">
        <v>40482</v>
      </c>
      <c r="B3678" t="s">
        <v>406</v>
      </c>
      <c r="C3678" t="s">
        <v>510</v>
      </c>
      <c r="D3678" t="s">
        <v>545</v>
      </c>
      <c r="E3678" t="s">
        <v>546</v>
      </c>
      <c r="F3678" t="s">
        <v>410</v>
      </c>
      <c r="G3678">
        <v>135</v>
      </c>
      <c r="I3678">
        <v>135</v>
      </c>
    </row>
    <row r="3679" spans="1:17" x14ac:dyDescent="0.2">
      <c r="A3679" s="121">
        <v>40482</v>
      </c>
      <c r="B3679" t="s">
        <v>406</v>
      </c>
      <c r="C3679" t="s">
        <v>510</v>
      </c>
      <c r="D3679" t="s">
        <v>547</v>
      </c>
      <c r="E3679" t="s">
        <v>548</v>
      </c>
      <c r="F3679" t="s">
        <v>410</v>
      </c>
      <c r="G3679">
        <v>98</v>
      </c>
      <c r="I3679">
        <v>98</v>
      </c>
    </row>
    <row r="3680" spans="1:17" x14ac:dyDescent="0.2">
      <c r="A3680" s="121">
        <v>40482</v>
      </c>
      <c r="B3680" t="s">
        <v>406</v>
      </c>
      <c r="C3680" t="s">
        <v>510</v>
      </c>
      <c r="D3680" t="s">
        <v>616</v>
      </c>
      <c r="E3680" t="s">
        <v>617</v>
      </c>
      <c r="F3680" t="s">
        <v>410</v>
      </c>
      <c r="G3680">
        <v>286</v>
      </c>
      <c r="I3680">
        <v>280</v>
      </c>
    </row>
    <row r="3681" spans="1:17" x14ac:dyDescent="0.2">
      <c r="A3681" s="121">
        <v>40482</v>
      </c>
      <c r="B3681" t="s">
        <v>406</v>
      </c>
      <c r="C3681" t="s">
        <v>510</v>
      </c>
      <c r="D3681" t="s">
        <v>549</v>
      </c>
      <c r="E3681" t="s">
        <v>550</v>
      </c>
      <c r="F3681" t="s">
        <v>410</v>
      </c>
      <c r="G3681">
        <v>152</v>
      </c>
      <c r="I3681">
        <v>152</v>
      </c>
    </row>
    <row r="3682" spans="1:17" x14ac:dyDescent="0.2">
      <c r="A3682" s="121">
        <v>40482</v>
      </c>
      <c r="B3682" t="s">
        <v>406</v>
      </c>
      <c r="C3682" t="s">
        <v>551</v>
      </c>
      <c r="D3682" t="s">
        <v>552</v>
      </c>
      <c r="E3682" t="s">
        <v>553</v>
      </c>
      <c r="F3682" t="s">
        <v>413</v>
      </c>
      <c r="G3682">
        <v>5502</v>
      </c>
      <c r="H3682">
        <v>5502</v>
      </c>
      <c r="I3682">
        <v>5253</v>
      </c>
      <c r="J3682">
        <v>5253</v>
      </c>
      <c r="K3682">
        <v>1574</v>
      </c>
      <c r="L3682">
        <v>5</v>
      </c>
      <c r="M3682">
        <v>3724</v>
      </c>
      <c r="N3682">
        <v>186</v>
      </c>
      <c r="O3682">
        <v>13</v>
      </c>
      <c r="P3682">
        <v>12</v>
      </c>
      <c r="Q3682">
        <v>3</v>
      </c>
    </row>
    <row r="3683" spans="1:17" x14ac:dyDescent="0.2">
      <c r="A3683" s="121">
        <v>40482</v>
      </c>
      <c r="B3683" t="s">
        <v>406</v>
      </c>
      <c r="C3683" t="s">
        <v>551</v>
      </c>
      <c r="D3683" t="s">
        <v>554</v>
      </c>
      <c r="E3683" t="s">
        <v>555</v>
      </c>
      <c r="F3683" t="s">
        <v>410</v>
      </c>
      <c r="G3683">
        <v>59</v>
      </c>
      <c r="I3683">
        <v>59</v>
      </c>
    </row>
    <row r="3684" spans="1:17" x14ac:dyDescent="0.2">
      <c r="A3684" s="121">
        <v>40482</v>
      </c>
      <c r="B3684" t="s">
        <v>406</v>
      </c>
      <c r="C3684" t="s">
        <v>551</v>
      </c>
      <c r="D3684" t="s">
        <v>556</v>
      </c>
      <c r="E3684" t="s">
        <v>557</v>
      </c>
      <c r="F3684" t="s">
        <v>410</v>
      </c>
      <c r="G3684">
        <v>90</v>
      </c>
      <c r="I3684">
        <v>90</v>
      </c>
    </row>
    <row r="3685" spans="1:17" x14ac:dyDescent="0.2">
      <c r="A3685" s="121">
        <v>40482</v>
      </c>
      <c r="B3685" t="s">
        <v>406</v>
      </c>
      <c r="C3685" t="s">
        <v>551</v>
      </c>
      <c r="D3685" t="s">
        <v>558</v>
      </c>
      <c r="E3685" t="s">
        <v>559</v>
      </c>
      <c r="F3685" t="s">
        <v>413</v>
      </c>
      <c r="G3685">
        <v>4641</v>
      </c>
      <c r="H3685">
        <v>4641</v>
      </c>
      <c r="I3685">
        <v>4367</v>
      </c>
      <c r="J3685">
        <v>4367</v>
      </c>
      <c r="K3685">
        <v>1293</v>
      </c>
      <c r="L3685">
        <v>9</v>
      </c>
      <c r="M3685">
        <v>3209</v>
      </c>
      <c r="N3685">
        <v>99</v>
      </c>
      <c r="O3685">
        <v>31</v>
      </c>
      <c r="P3685">
        <v>62</v>
      </c>
      <c r="Q3685">
        <v>25</v>
      </c>
    </row>
    <row r="3686" spans="1:17" x14ac:dyDescent="0.2">
      <c r="A3686" s="121">
        <v>40482</v>
      </c>
      <c r="B3686" t="s">
        <v>406</v>
      </c>
      <c r="C3686" t="s">
        <v>551</v>
      </c>
      <c r="D3686" t="s">
        <v>560</v>
      </c>
      <c r="E3686" t="s">
        <v>561</v>
      </c>
      <c r="F3686" t="s">
        <v>413</v>
      </c>
      <c r="G3686">
        <v>5340</v>
      </c>
      <c r="H3686">
        <v>5340</v>
      </c>
      <c r="I3686">
        <v>5225</v>
      </c>
      <c r="J3686">
        <v>5225</v>
      </c>
      <c r="K3686">
        <v>1381</v>
      </c>
      <c r="L3686">
        <v>8</v>
      </c>
      <c r="M3686">
        <v>3673</v>
      </c>
      <c r="N3686">
        <v>268</v>
      </c>
      <c r="O3686">
        <v>10</v>
      </c>
      <c r="P3686">
        <v>18</v>
      </c>
      <c r="Q3686">
        <v>7</v>
      </c>
    </row>
    <row r="3687" spans="1:17" x14ac:dyDescent="0.2">
      <c r="A3687" s="121">
        <v>40482</v>
      </c>
      <c r="B3687" t="s">
        <v>406</v>
      </c>
      <c r="C3687" t="s">
        <v>562</v>
      </c>
      <c r="D3687" t="s">
        <v>603</v>
      </c>
      <c r="E3687" t="s">
        <v>604</v>
      </c>
      <c r="F3687" t="s">
        <v>410</v>
      </c>
      <c r="G3687">
        <v>23</v>
      </c>
      <c r="I3687">
        <v>23</v>
      </c>
    </row>
    <row r="3688" spans="1:17" x14ac:dyDescent="0.2">
      <c r="A3688" s="121">
        <v>40482</v>
      </c>
      <c r="B3688" t="s">
        <v>406</v>
      </c>
      <c r="C3688" t="s">
        <v>562</v>
      </c>
      <c r="D3688" t="s">
        <v>605</v>
      </c>
      <c r="E3688" t="s">
        <v>606</v>
      </c>
      <c r="F3688" t="s">
        <v>410</v>
      </c>
      <c r="G3688">
        <v>145</v>
      </c>
      <c r="I3688">
        <v>145</v>
      </c>
    </row>
    <row r="3689" spans="1:17" x14ac:dyDescent="0.2">
      <c r="A3689" s="121">
        <v>40482</v>
      </c>
      <c r="B3689" t="s">
        <v>406</v>
      </c>
      <c r="C3689" t="s">
        <v>562</v>
      </c>
      <c r="D3689" t="s">
        <v>563</v>
      </c>
      <c r="E3689" t="s">
        <v>564</v>
      </c>
      <c r="F3689" t="s">
        <v>410</v>
      </c>
      <c r="G3689">
        <v>2933</v>
      </c>
      <c r="H3689">
        <v>2933</v>
      </c>
      <c r="I3689">
        <v>2907</v>
      </c>
      <c r="J3689">
        <v>2907</v>
      </c>
      <c r="K3689">
        <v>905</v>
      </c>
      <c r="L3689">
        <v>2</v>
      </c>
      <c r="M3689">
        <v>2007</v>
      </c>
      <c r="N3689">
        <v>19</v>
      </c>
      <c r="O3689">
        <v>0</v>
      </c>
      <c r="P3689">
        <v>1</v>
      </c>
      <c r="Q3689">
        <v>0</v>
      </c>
    </row>
    <row r="3690" spans="1:17" x14ac:dyDescent="0.2">
      <c r="A3690" s="121">
        <v>40482</v>
      </c>
      <c r="B3690" t="s">
        <v>406</v>
      </c>
      <c r="C3690" t="s">
        <v>562</v>
      </c>
      <c r="D3690" t="s">
        <v>565</v>
      </c>
      <c r="E3690" t="s">
        <v>566</v>
      </c>
      <c r="F3690" t="s">
        <v>413</v>
      </c>
      <c r="G3690">
        <v>4121</v>
      </c>
      <c r="H3690">
        <v>4121</v>
      </c>
      <c r="I3690">
        <v>3958</v>
      </c>
      <c r="J3690">
        <v>3958</v>
      </c>
      <c r="K3690">
        <v>1028</v>
      </c>
      <c r="L3690">
        <v>7</v>
      </c>
      <c r="M3690">
        <v>2925</v>
      </c>
      <c r="N3690">
        <v>161</v>
      </c>
      <c r="O3690">
        <v>0</v>
      </c>
      <c r="P3690">
        <v>23</v>
      </c>
      <c r="Q3690">
        <v>1</v>
      </c>
    </row>
    <row r="3691" spans="1:17" x14ac:dyDescent="0.2">
      <c r="A3691" s="121">
        <v>40482</v>
      </c>
      <c r="B3691" t="s">
        <v>406</v>
      </c>
      <c r="C3691" t="s">
        <v>562</v>
      </c>
      <c r="D3691" t="s">
        <v>567</v>
      </c>
      <c r="E3691" t="s">
        <v>568</v>
      </c>
      <c r="F3691" t="s">
        <v>413</v>
      </c>
      <c r="G3691">
        <v>9719</v>
      </c>
      <c r="H3691">
        <v>9719</v>
      </c>
      <c r="I3691">
        <v>9283</v>
      </c>
      <c r="J3691">
        <v>9283</v>
      </c>
      <c r="K3691">
        <v>2899</v>
      </c>
      <c r="L3691">
        <v>29</v>
      </c>
      <c r="M3691">
        <v>6357</v>
      </c>
      <c r="N3691">
        <v>434</v>
      </c>
      <c r="O3691">
        <v>0</v>
      </c>
      <c r="P3691">
        <v>31</v>
      </c>
      <c r="Q3691">
        <v>0</v>
      </c>
    </row>
    <row r="3692" spans="1:17" x14ac:dyDescent="0.2">
      <c r="A3692" s="121">
        <v>40482</v>
      </c>
      <c r="B3692" t="s">
        <v>406</v>
      </c>
      <c r="C3692" t="s">
        <v>562</v>
      </c>
      <c r="D3692" t="s">
        <v>569</v>
      </c>
      <c r="E3692" t="s">
        <v>570</v>
      </c>
      <c r="F3692" t="s">
        <v>413</v>
      </c>
      <c r="G3692">
        <v>2947</v>
      </c>
      <c r="H3692">
        <v>2947</v>
      </c>
      <c r="I3692">
        <v>2917</v>
      </c>
      <c r="J3692">
        <v>2917</v>
      </c>
      <c r="K3692">
        <v>440</v>
      </c>
      <c r="L3692">
        <v>0</v>
      </c>
      <c r="M3692">
        <v>2505</v>
      </c>
      <c r="N3692">
        <v>2</v>
      </c>
      <c r="O3692">
        <v>0</v>
      </c>
      <c r="P3692">
        <v>0</v>
      </c>
      <c r="Q3692">
        <v>0</v>
      </c>
    </row>
    <row r="3693" spans="1:17" x14ac:dyDescent="0.2">
      <c r="A3693" s="121">
        <v>40482</v>
      </c>
      <c r="B3693" t="s">
        <v>406</v>
      </c>
      <c r="C3693" t="s">
        <v>571</v>
      </c>
      <c r="D3693" t="s">
        <v>572</v>
      </c>
      <c r="E3693" t="s">
        <v>573</v>
      </c>
      <c r="F3693" t="s">
        <v>410</v>
      </c>
      <c r="G3693">
        <v>296</v>
      </c>
      <c r="I3693">
        <v>295</v>
      </c>
    </row>
    <row r="3694" spans="1:17" x14ac:dyDescent="0.2">
      <c r="A3694" s="121">
        <v>40482</v>
      </c>
      <c r="B3694" t="s">
        <v>406</v>
      </c>
      <c r="C3694" t="s">
        <v>574</v>
      </c>
      <c r="D3694" t="s">
        <v>575</v>
      </c>
      <c r="E3694" t="s">
        <v>576</v>
      </c>
      <c r="F3694" t="s">
        <v>413</v>
      </c>
      <c r="G3694">
        <v>694</v>
      </c>
      <c r="H3694">
        <v>694</v>
      </c>
      <c r="I3694">
        <v>690</v>
      </c>
      <c r="J3694">
        <v>690</v>
      </c>
      <c r="K3694">
        <v>144</v>
      </c>
      <c r="L3694">
        <v>2</v>
      </c>
      <c r="M3694">
        <v>519</v>
      </c>
      <c r="N3694">
        <v>9</v>
      </c>
      <c r="O3694">
        <v>20</v>
      </c>
      <c r="P3694">
        <v>1</v>
      </c>
      <c r="Q3694">
        <v>0</v>
      </c>
    </row>
    <row r="3695" spans="1:17" x14ac:dyDescent="0.2">
      <c r="A3695" s="121">
        <v>40482</v>
      </c>
      <c r="B3695" t="s">
        <v>406</v>
      </c>
      <c r="C3695" t="s">
        <v>577</v>
      </c>
      <c r="D3695" t="s">
        <v>578</v>
      </c>
      <c r="E3695" t="s">
        <v>579</v>
      </c>
      <c r="F3695" t="s">
        <v>413</v>
      </c>
      <c r="G3695">
        <v>4213</v>
      </c>
      <c r="H3695">
        <v>4213</v>
      </c>
      <c r="I3695">
        <v>4158</v>
      </c>
      <c r="J3695">
        <v>4158</v>
      </c>
      <c r="K3695">
        <v>919</v>
      </c>
      <c r="L3695">
        <v>11</v>
      </c>
      <c r="M3695">
        <v>3233</v>
      </c>
      <c r="N3695">
        <v>50</v>
      </c>
      <c r="O3695">
        <v>0</v>
      </c>
      <c r="P3695">
        <v>0</v>
      </c>
      <c r="Q3695">
        <v>0</v>
      </c>
    </row>
    <row r="3696" spans="1:17" x14ac:dyDescent="0.2">
      <c r="A3696" s="121">
        <v>40482</v>
      </c>
      <c r="B3696" t="s">
        <v>406</v>
      </c>
      <c r="C3696" t="s">
        <v>577</v>
      </c>
      <c r="D3696" t="s">
        <v>580</v>
      </c>
      <c r="E3696" t="s">
        <v>581</v>
      </c>
      <c r="F3696" t="s">
        <v>413</v>
      </c>
      <c r="G3696">
        <v>2055</v>
      </c>
      <c r="H3696">
        <v>2055</v>
      </c>
      <c r="I3696">
        <v>2042</v>
      </c>
      <c r="J3696">
        <v>2042</v>
      </c>
      <c r="K3696">
        <v>386</v>
      </c>
      <c r="L3696">
        <v>1</v>
      </c>
      <c r="M3696">
        <v>1394</v>
      </c>
      <c r="N3696">
        <v>251</v>
      </c>
      <c r="O3696">
        <v>23</v>
      </c>
      <c r="P3696">
        <v>0</v>
      </c>
      <c r="Q3696">
        <v>0</v>
      </c>
    </row>
    <row r="3697" spans="1:17" x14ac:dyDescent="0.2">
      <c r="A3697" s="121">
        <v>40482</v>
      </c>
      <c r="B3697" t="s">
        <v>406</v>
      </c>
      <c r="C3697" t="s">
        <v>577</v>
      </c>
      <c r="D3697" t="s">
        <v>609</v>
      </c>
      <c r="E3697" t="s">
        <v>610</v>
      </c>
      <c r="F3697" t="s">
        <v>410</v>
      </c>
      <c r="G3697">
        <v>37</v>
      </c>
      <c r="H3697">
        <v>37</v>
      </c>
      <c r="I3697">
        <v>37</v>
      </c>
      <c r="J3697">
        <v>37</v>
      </c>
      <c r="K3697">
        <v>0</v>
      </c>
      <c r="L3697">
        <v>0</v>
      </c>
      <c r="M3697">
        <v>29</v>
      </c>
      <c r="N3697">
        <v>8</v>
      </c>
      <c r="O3697">
        <v>0</v>
      </c>
      <c r="P3697">
        <v>0</v>
      </c>
      <c r="Q3697">
        <v>0</v>
      </c>
    </row>
    <row r="3698" spans="1:17" x14ac:dyDescent="0.2">
      <c r="A3698" s="121">
        <v>40482</v>
      </c>
      <c r="B3698" t="s">
        <v>406</v>
      </c>
      <c r="C3698" t="s">
        <v>577</v>
      </c>
      <c r="D3698" t="s">
        <v>611</v>
      </c>
      <c r="E3698" t="s">
        <v>612</v>
      </c>
      <c r="F3698" t="s">
        <v>410</v>
      </c>
      <c r="G3698">
        <v>9</v>
      </c>
      <c r="H3698">
        <v>9</v>
      </c>
      <c r="I3698">
        <v>9</v>
      </c>
      <c r="J3698">
        <v>9</v>
      </c>
      <c r="K3698">
        <v>0</v>
      </c>
      <c r="L3698">
        <v>0</v>
      </c>
      <c r="M3698">
        <v>5</v>
      </c>
      <c r="N3698">
        <v>4</v>
      </c>
      <c r="O3698">
        <v>0</v>
      </c>
      <c r="P3698">
        <v>0</v>
      </c>
      <c r="Q3698">
        <v>0</v>
      </c>
    </row>
    <row r="3699" spans="1:17" x14ac:dyDescent="0.2">
      <c r="A3699" s="121">
        <v>40482</v>
      </c>
      <c r="B3699" t="s">
        <v>406</v>
      </c>
      <c r="C3699" t="s">
        <v>577</v>
      </c>
      <c r="D3699" t="s">
        <v>584</v>
      </c>
      <c r="E3699" t="s">
        <v>585</v>
      </c>
      <c r="F3699" t="s">
        <v>410</v>
      </c>
      <c r="G3699">
        <v>237</v>
      </c>
      <c r="H3699">
        <v>237</v>
      </c>
      <c r="I3699">
        <v>237</v>
      </c>
      <c r="J3699">
        <v>237</v>
      </c>
      <c r="K3699">
        <v>0</v>
      </c>
      <c r="L3699">
        <v>0</v>
      </c>
      <c r="M3699">
        <v>200</v>
      </c>
      <c r="N3699">
        <v>34</v>
      </c>
      <c r="O3699">
        <v>3</v>
      </c>
      <c r="P3699">
        <v>0</v>
      </c>
      <c r="Q3699">
        <v>0</v>
      </c>
    </row>
    <row r="3700" spans="1:17" x14ac:dyDescent="0.2">
      <c r="A3700" s="121">
        <v>40482</v>
      </c>
      <c r="B3700" t="s">
        <v>406</v>
      </c>
      <c r="C3700" t="s">
        <v>577</v>
      </c>
      <c r="D3700" t="s">
        <v>586</v>
      </c>
      <c r="E3700" t="s">
        <v>587</v>
      </c>
      <c r="F3700" t="s">
        <v>410</v>
      </c>
      <c r="G3700">
        <v>1147</v>
      </c>
      <c r="H3700">
        <v>1147</v>
      </c>
      <c r="I3700">
        <v>1146</v>
      </c>
      <c r="J3700">
        <v>1146</v>
      </c>
      <c r="K3700">
        <v>0</v>
      </c>
      <c r="L3700">
        <v>0</v>
      </c>
      <c r="M3700">
        <v>761</v>
      </c>
      <c r="N3700">
        <v>201</v>
      </c>
      <c r="O3700">
        <v>185</v>
      </c>
      <c r="P3700">
        <v>0</v>
      </c>
      <c r="Q3700">
        <v>0</v>
      </c>
    </row>
    <row r="3701" spans="1:17" x14ac:dyDescent="0.2">
      <c r="A3701" s="121">
        <v>40482</v>
      </c>
      <c r="B3701" t="s">
        <v>406</v>
      </c>
      <c r="C3701" t="s">
        <v>577</v>
      </c>
      <c r="D3701" t="s">
        <v>588</v>
      </c>
      <c r="E3701" t="s">
        <v>589</v>
      </c>
      <c r="F3701" t="s">
        <v>410</v>
      </c>
      <c r="G3701">
        <v>269</v>
      </c>
      <c r="H3701">
        <v>269</v>
      </c>
      <c r="I3701">
        <v>269</v>
      </c>
      <c r="J3701">
        <v>269</v>
      </c>
      <c r="K3701">
        <v>0</v>
      </c>
      <c r="L3701">
        <v>0</v>
      </c>
      <c r="M3701">
        <v>230</v>
      </c>
      <c r="N3701">
        <v>29</v>
      </c>
      <c r="O3701">
        <v>10</v>
      </c>
      <c r="P3701">
        <v>0</v>
      </c>
      <c r="Q3701">
        <v>0</v>
      </c>
    </row>
    <row r="3702" spans="1:17" x14ac:dyDescent="0.2">
      <c r="A3702" s="121">
        <v>40482</v>
      </c>
      <c r="B3702" t="s">
        <v>406</v>
      </c>
      <c r="C3702" t="s">
        <v>577</v>
      </c>
      <c r="D3702" t="s">
        <v>613</v>
      </c>
      <c r="E3702" t="s">
        <v>614</v>
      </c>
      <c r="F3702" t="s">
        <v>410</v>
      </c>
      <c r="G3702">
        <v>205</v>
      </c>
      <c r="H3702">
        <v>205</v>
      </c>
      <c r="I3702">
        <v>205</v>
      </c>
      <c r="J3702">
        <v>205</v>
      </c>
      <c r="K3702">
        <v>0</v>
      </c>
      <c r="L3702">
        <v>0</v>
      </c>
      <c r="M3702">
        <v>149</v>
      </c>
      <c r="N3702">
        <v>44</v>
      </c>
      <c r="O3702">
        <v>12</v>
      </c>
      <c r="P3702">
        <v>0</v>
      </c>
      <c r="Q3702">
        <v>0</v>
      </c>
    </row>
    <row r="3703" spans="1:17" x14ac:dyDescent="0.2">
      <c r="A3703" s="121">
        <v>40482</v>
      </c>
      <c r="B3703" t="s">
        <v>406</v>
      </c>
      <c r="C3703" t="s">
        <v>577</v>
      </c>
      <c r="D3703" t="s">
        <v>590</v>
      </c>
      <c r="E3703" t="s">
        <v>591</v>
      </c>
      <c r="F3703" t="s">
        <v>410</v>
      </c>
      <c r="G3703">
        <v>588</v>
      </c>
      <c r="H3703">
        <v>588</v>
      </c>
      <c r="I3703">
        <v>588</v>
      </c>
      <c r="J3703">
        <v>588</v>
      </c>
      <c r="K3703">
        <v>0</v>
      </c>
      <c r="L3703">
        <v>0</v>
      </c>
      <c r="M3703">
        <v>540</v>
      </c>
      <c r="N3703">
        <v>33</v>
      </c>
      <c r="O3703">
        <v>15</v>
      </c>
      <c r="P3703">
        <v>0</v>
      </c>
      <c r="Q3703">
        <v>0</v>
      </c>
    </row>
    <row r="3704" spans="1:17" x14ac:dyDescent="0.2">
      <c r="A3704" s="121">
        <v>40482</v>
      </c>
      <c r="B3704" t="s">
        <v>406</v>
      </c>
      <c r="C3704" t="s">
        <v>577</v>
      </c>
      <c r="D3704" t="s">
        <v>607</v>
      </c>
      <c r="E3704" t="s">
        <v>608</v>
      </c>
      <c r="F3704" t="s">
        <v>410</v>
      </c>
      <c r="G3704">
        <v>143</v>
      </c>
      <c r="H3704">
        <v>143</v>
      </c>
      <c r="I3704">
        <v>143</v>
      </c>
      <c r="J3704">
        <v>143</v>
      </c>
      <c r="K3704">
        <v>0</v>
      </c>
      <c r="L3704">
        <v>0</v>
      </c>
      <c r="M3704">
        <v>124</v>
      </c>
      <c r="N3704">
        <v>17</v>
      </c>
      <c r="O3704">
        <v>2</v>
      </c>
      <c r="P3704">
        <v>0</v>
      </c>
      <c r="Q3704">
        <v>0</v>
      </c>
    </row>
    <row r="3705" spans="1:17" x14ac:dyDescent="0.2">
      <c r="A3705" s="121">
        <v>40482</v>
      </c>
      <c r="B3705" t="s">
        <v>406</v>
      </c>
      <c r="C3705" t="s">
        <v>577</v>
      </c>
      <c r="D3705" t="s">
        <v>592</v>
      </c>
      <c r="E3705" t="s">
        <v>593</v>
      </c>
      <c r="F3705" t="s">
        <v>410</v>
      </c>
      <c r="G3705">
        <v>669</v>
      </c>
      <c r="H3705">
        <v>669</v>
      </c>
      <c r="I3705">
        <v>669</v>
      </c>
      <c r="J3705">
        <v>669</v>
      </c>
      <c r="K3705">
        <v>0</v>
      </c>
      <c r="L3705">
        <v>0</v>
      </c>
      <c r="M3705">
        <v>575</v>
      </c>
      <c r="N3705">
        <v>62</v>
      </c>
      <c r="O3705">
        <v>32</v>
      </c>
      <c r="P3705">
        <v>0</v>
      </c>
      <c r="Q3705">
        <v>0</v>
      </c>
    </row>
    <row r="3706" spans="1:17" x14ac:dyDescent="0.2">
      <c r="A3706" s="121">
        <v>40482</v>
      </c>
      <c r="B3706" t="s">
        <v>406</v>
      </c>
      <c r="C3706" t="s">
        <v>594</v>
      </c>
      <c r="D3706" t="s">
        <v>595</v>
      </c>
      <c r="E3706" t="s">
        <v>596</v>
      </c>
      <c r="F3706" t="s">
        <v>410</v>
      </c>
      <c r="G3706">
        <v>33</v>
      </c>
      <c r="I3706">
        <v>33</v>
      </c>
    </row>
    <row r="3707" spans="1:17" x14ac:dyDescent="0.2">
      <c r="A3707" s="121">
        <v>40482</v>
      </c>
      <c r="B3707" t="s">
        <v>406</v>
      </c>
      <c r="C3707" t="s">
        <v>594</v>
      </c>
      <c r="D3707" t="s">
        <v>597</v>
      </c>
      <c r="E3707" t="s">
        <v>598</v>
      </c>
      <c r="F3707" t="s">
        <v>413</v>
      </c>
      <c r="G3707">
        <v>562</v>
      </c>
      <c r="H3707">
        <v>562</v>
      </c>
      <c r="I3707">
        <v>553</v>
      </c>
      <c r="J3707">
        <v>553</v>
      </c>
      <c r="K3707">
        <v>171</v>
      </c>
      <c r="L3707">
        <v>0</v>
      </c>
      <c r="M3707">
        <v>387</v>
      </c>
      <c r="N3707">
        <v>0</v>
      </c>
      <c r="O3707">
        <v>4</v>
      </c>
      <c r="P3707">
        <v>0</v>
      </c>
      <c r="Q3707">
        <v>0</v>
      </c>
    </row>
    <row r="3708" spans="1:17" x14ac:dyDescent="0.2">
      <c r="A3708" s="121">
        <v>40482</v>
      </c>
      <c r="B3708" t="s">
        <v>406</v>
      </c>
      <c r="C3708" t="s">
        <v>594</v>
      </c>
      <c r="D3708" t="s">
        <v>599</v>
      </c>
      <c r="E3708" t="s">
        <v>600</v>
      </c>
      <c r="F3708" t="s">
        <v>410</v>
      </c>
      <c r="G3708">
        <v>70</v>
      </c>
      <c r="I3708">
        <v>70</v>
      </c>
    </row>
    <row r="3709" spans="1:17" x14ac:dyDescent="0.2">
      <c r="A3709" s="121">
        <v>40512</v>
      </c>
      <c r="B3709" t="s">
        <v>406</v>
      </c>
      <c r="C3709" t="s">
        <v>407</v>
      </c>
      <c r="D3709" t="s">
        <v>408</v>
      </c>
      <c r="E3709" t="s">
        <v>409</v>
      </c>
      <c r="F3709" t="s">
        <v>410</v>
      </c>
      <c r="G3709">
        <v>152</v>
      </c>
      <c r="I3709">
        <v>152</v>
      </c>
    </row>
    <row r="3710" spans="1:17" x14ac:dyDescent="0.2">
      <c r="A3710" s="121">
        <v>40512</v>
      </c>
      <c r="B3710" t="s">
        <v>406</v>
      </c>
      <c r="C3710" t="s">
        <v>407</v>
      </c>
      <c r="D3710" t="s">
        <v>601</v>
      </c>
      <c r="E3710" t="s">
        <v>602</v>
      </c>
      <c r="F3710" t="s">
        <v>410</v>
      </c>
      <c r="G3710">
        <v>26</v>
      </c>
      <c r="I3710">
        <v>26</v>
      </c>
    </row>
    <row r="3711" spans="1:17" x14ac:dyDescent="0.2">
      <c r="A3711" s="121">
        <v>40512</v>
      </c>
      <c r="B3711" t="s">
        <v>406</v>
      </c>
      <c r="C3711" t="s">
        <v>407</v>
      </c>
      <c r="D3711" t="s">
        <v>411</v>
      </c>
      <c r="E3711" t="s">
        <v>412</v>
      </c>
      <c r="F3711" t="s">
        <v>413</v>
      </c>
      <c r="G3711">
        <v>5258</v>
      </c>
      <c r="H3711">
        <v>5258</v>
      </c>
      <c r="I3711">
        <v>5149</v>
      </c>
      <c r="J3711">
        <v>5149</v>
      </c>
      <c r="K3711">
        <v>2118</v>
      </c>
      <c r="L3711">
        <v>9</v>
      </c>
      <c r="M3711">
        <v>2856</v>
      </c>
      <c r="N3711">
        <v>104</v>
      </c>
      <c r="O3711">
        <v>171</v>
      </c>
      <c r="P3711">
        <v>3</v>
      </c>
      <c r="Q3711">
        <v>0</v>
      </c>
    </row>
    <row r="3712" spans="1:17" x14ac:dyDescent="0.2">
      <c r="A3712" s="121">
        <v>40512</v>
      </c>
      <c r="B3712" t="s">
        <v>406</v>
      </c>
      <c r="C3712" t="s">
        <v>407</v>
      </c>
      <c r="D3712" t="s">
        <v>416</v>
      </c>
      <c r="E3712" t="s">
        <v>417</v>
      </c>
      <c r="F3712" t="s">
        <v>413</v>
      </c>
      <c r="G3712">
        <v>3279</v>
      </c>
      <c r="H3712">
        <v>3279</v>
      </c>
      <c r="I3712">
        <v>3214</v>
      </c>
      <c r="J3712">
        <v>3214</v>
      </c>
      <c r="K3712">
        <v>1257</v>
      </c>
      <c r="L3712">
        <v>9</v>
      </c>
      <c r="M3712">
        <v>1891</v>
      </c>
      <c r="N3712">
        <v>87</v>
      </c>
      <c r="O3712">
        <v>35</v>
      </c>
      <c r="P3712">
        <v>1</v>
      </c>
      <c r="Q3712">
        <v>0</v>
      </c>
    </row>
    <row r="3713" spans="1:17" x14ac:dyDescent="0.2">
      <c r="A3713" s="121">
        <v>40512</v>
      </c>
      <c r="B3713" t="s">
        <v>406</v>
      </c>
      <c r="C3713" t="s">
        <v>407</v>
      </c>
      <c r="D3713" t="s">
        <v>618</v>
      </c>
      <c r="E3713" t="s">
        <v>619</v>
      </c>
      <c r="F3713" t="s">
        <v>410</v>
      </c>
      <c r="G3713">
        <v>95</v>
      </c>
      <c r="I3713">
        <v>95</v>
      </c>
    </row>
    <row r="3714" spans="1:17" x14ac:dyDescent="0.2">
      <c r="A3714" s="121">
        <v>40512</v>
      </c>
      <c r="B3714" t="s">
        <v>406</v>
      </c>
      <c r="C3714" t="s">
        <v>418</v>
      </c>
      <c r="D3714" t="s">
        <v>419</v>
      </c>
      <c r="E3714" t="s">
        <v>420</v>
      </c>
      <c r="F3714" t="s">
        <v>410</v>
      </c>
      <c r="G3714">
        <v>12</v>
      </c>
      <c r="I3714">
        <v>12</v>
      </c>
    </row>
    <row r="3715" spans="1:17" x14ac:dyDescent="0.2">
      <c r="A3715" s="121">
        <v>40512</v>
      </c>
      <c r="B3715" t="s">
        <v>406</v>
      </c>
      <c r="C3715" t="s">
        <v>418</v>
      </c>
      <c r="D3715" t="s">
        <v>421</v>
      </c>
      <c r="E3715" t="s">
        <v>422</v>
      </c>
      <c r="F3715" t="s">
        <v>410</v>
      </c>
      <c r="G3715">
        <v>59</v>
      </c>
      <c r="I3715">
        <v>59</v>
      </c>
    </row>
    <row r="3716" spans="1:17" x14ac:dyDescent="0.2">
      <c r="A3716" s="121">
        <v>40512</v>
      </c>
      <c r="B3716" t="s">
        <v>406</v>
      </c>
      <c r="C3716" t="s">
        <v>418</v>
      </c>
      <c r="D3716" t="s">
        <v>423</v>
      </c>
      <c r="E3716" t="s">
        <v>424</v>
      </c>
      <c r="F3716" t="s">
        <v>410</v>
      </c>
      <c r="G3716">
        <v>13</v>
      </c>
      <c r="I3716">
        <v>13</v>
      </c>
    </row>
    <row r="3717" spans="1:17" x14ac:dyDescent="0.2">
      <c r="A3717" s="121">
        <v>40512</v>
      </c>
      <c r="B3717" t="s">
        <v>406</v>
      </c>
      <c r="C3717" t="s">
        <v>418</v>
      </c>
      <c r="D3717" t="s">
        <v>425</v>
      </c>
      <c r="E3717" t="s">
        <v>426</v>
      </c>
      <c r="F3717" t="s">
        <v>410</v>
      </c>
      <c r="G3717">
        <v>68</v>
      </c>
      <c r="I3717">
        <v>68</v>
      </c>
    </row>
    <row r="3718" spans="1:17" x14ac:dyDescent="0.2">
      <c r="A3718" s="121">
        <v>40512</v>
      </c>
      <c r="B3718" t="s">
        <v>406</v>
      </c>
      <c r="C3718" t="s">
        <v>418</v>
      </c>
      <c r="D3718" t="s">
        <v>427</v>
      </c>
      <c r="E3718" t="s">
        <v>428</v>
      </c>
      <c r="F3718" t="s">
        <v>413</v>
      </c>
      <c r="G3718">
        <v>1744</v>
      </c>
      <c r="H3718">
        <v>1744</v>
      </c>
      <c r="I3718">
        <v>1685</v>
      </c>
      <c r="J3718">
        <v>1685</v>
      </c>
      <c r="K3718">
        <v>653</v>
      </c>
      <c r="L3718">
        <v>3</v>
      </c>
      <c r="M3718">
        <v>948</v>
      </c>
      <c r="N3718">
        <v>37</v>
      </c>
      <c r="O3718">
        <v>103</v>
      </c>
      <c r="P3718">
        <v>4</v>
      </c>
      <c r="Q3718">
        <v>1</v>
      </c>
    </row>
    <row r="3719" spans="1:17" x14ac:dyDescent="0.2">
      <c r="A3719" s="121">
        <v>40512</v>
      </c>
      <c r="B3719" t="s">
        <v>406</v>
      </c>
      <c r="C3719" t="s">
        <v>429</v>
      </c>
      <c r="D3719" t="s">
        <v>430</v>
      </c>
      <c r="E3719" t="s">
        <v>431</v>
      </c>
      <c r="F3719" t="s">
        <v>410</v>
      </c>
      <c r="G3719">
        <v>34</v>
      </c>
      <c r="I3719">
        <v>34</v>
      </c>
    </row>
    <row r="3720" spans="1:17" x14ac:dyDescent="0.2">
      <c r="A3720" s="121">
        <v>40512</v>
      </c>
      <c r="B3720" t="s">
        <v>406</v>
      </c>
      <c r="C3720" t="s">
        <v>429</v>
      </c>
      <c r="D3720" t="s">
        <v>432</v>
      </c>
      <c r="E3720" t="s">
        <v>433</v>
      </c>
      <c r="F3720" t="s">
        <v>410</v>
      </c>
      <c r="G3720">
        <v>73</v>
      </c>
      <c r="I3720">
        <v>73</v>
      </c>
    </row>
    <row r="3721" spans="1:17" x14ac:dyDescent="0.2">
      <c r="A3721" s="121">
        <v>40512</v>
      </c>
      <c r="B3721" t="s">
        <v>406</v>
      </c>
      <c r="C3721" t="s">
        <v>429</v>
      </c>
      <c r="D3721" t="s">
        <v>434</v>
      </c>
      <c r="E3721" t="s">
        <v>435</v>
      </c>
      <c r="F3721" t="s">
        <v>410</v>
      </c>
      <c r="G3721">
        <v>1</v>
      </c>
      <c r="I3721">
        <v>1</v>
      </c>
    </row>
    <row r="3722" spans="1:17" x14ac:dyDescent="0.2">
      <c r="A3722" s="121">
        <v>40512</v>
      </c>
      <c r="B3722" t="s">
        <v>406</v>
      </c>
      <c r="C3722" t="s">
        <v>429</v>
      </c>
      <c r="D3722" t="s">
        <v>436</v>
      </c>
      <c r="E3722" t="s">
        <v>437</v>
      </c>
      <c r="F3722" t="s">
        <v>410</v>
      </c>
      <c r="G3722">
        <v>49</v>
      </c>
      <c r="I3722">
        <v>49</v>
      </c>
    </row>
    <row r="3723" spans="1:17" x14ac:dyDescent="0.2">
      <c r="A3723" s="121">
        <v>40512</v>
      </c>
      <c r="B3723" t="s">
        <v>406</v>
      </c>
      <c r="C3723" t="s">
        <v>429</v>
      </c>
      <c r="D3723" t="s">
        <v>438</v>
      </c>
      <c r="E3723" t="s">
        <v>439</v>
      </c>
      <c r="F3723" t="s">
        <v>413</v>
      </c>
      <c r="G3723">
        <v>825</v>
      </c>
      <c r="H3723">
        <v>825</v>
      </c>
      <c r="I3723">
        <v>795</v>
      </c>
      <c r="J3723">
        <v>795</v>
      </c>
      <c r="K3723">
        <v>95</v>
      </c>
      <c r="L3723">
        <v>1</v>
      </c>
      <c r="M3723">
        <v>719</v>
      </c>
      <c r="N3723">
        <v>10</v>
      </c>
      <c r="O3723">
        <v>0</v>
      </c>
      <c r="P3723">
        <v>1</v>
      </c>
      <c r="Q3723">
        <v>0</v>
      </c>
    </row>
    <row r="3724" spans="1:17" x14ac:dyDescent="0.2">
      <c r="A3724" s="121">
        <v>40512</v>
      </c>
      <c r="B3724" t="s">
        <v>406</v>
      </c>
      <c r="C3724" t="s">
        <v>429</v>
      </c>
      <c r="D3724" t="s">
        <v>440</v>
      </c>
      <c r="E3724" t="s">
        <v>441</v>
      </c>
      <c r="F3724" t="s">
        <v>413</v>
      </c>
      <c r="G3724">
        <v>2694</v>
      </c>
      <c r="H3724">
        <v>2694</v>
      </c>
      <c r="I3724">
        <v>2589</v>
      </c>
      <c r="J3724">
        <v>2589</v>
      </c>
      <c r="K3724">
        <v>978</v>
      </c>
      <c r="L3724">
        <v>5</v>
      </c>
      <c r="M3724">
        <v>1605</v>
      </c>
      <c r="N3724">
        <v>106</v>
      </c>
      <c r="O3724">
        <v>0</v>
      </c>
      <c r="P3724">
        <v>2</v>
      </c>
      <c r="Q3724">
        <v>1</v>
      </c>
    </row>
    <row r="3725" spans="1:17" x14ac:dyDescent="0.2">
      <c r="A3725" s="121">
        <v>40512</v>
      </c>
      <c r="B3725" t="s">
        <v>406</v>
      </c>
      <c r="C3725" t="s">
        <v>442</v>
      </c>
      <c r="D3725" t="s">
        <v>443</v>
      </c>
      <c r="E3725" t="s">
        <v>444</v>
      </c>
      <c r="F3725" t="s">
        <v>413</v>
      </c>
      <c r="G3725">
        <v>2854</v>
      </c>
      <c r="H3725">
        <v>2854</v>
      </c>
      <c r="I3725">
        <v>2701</v>
      </c>
      <c r="J3725">
        <v>2701</v>
      </c>
      <c r="K3725">
        <v>346</v>
      </c>
      <c r="L3725">
        <v>4</v>
      </c>
      <c r="M3725">
        <v>2379</v>
      </c>
      <c r="N3725">
        <v>55</v>
      </c>
      <c r="O3725">
        <v>70</v>
      </c>
      <c r="P3725">
        <v>37</v>
      </c>
      <c r="Q3725">
        <v>9</v>
      </c>
    </row>
    <row r="3726" spans="1:17" x14ac:dyDescent="0.2">
      <c r="A3726" s="121">
        <v>40512</v>
      </c>
      <c r="B3726" t="s">
        <v>406</v>
      </c>
      <c r="C3726" t="s">
        <v>442</v>
      </c>
      <c r="D3726" t="s">
        <v>445</v>
      </c>
      <c r="E3726" t="s">
        <v>446</v>
      </c>
      <c r="F3726" t="s">
        <v>410</v>
      </c>
      <c r="G3726">
        <v>97</v>
      </c>
      <c r="I3726">
        <v>97</v>
      </c>
    </row>
    <row r="3727" spans="1:17" x14ac:dyDescent="0.2">
      <c r="A3727" s="121">
        <v>40512</v>
      </c>
      <c r="B3727" t="s">
        <v>406</v>
      </c>
      <c r="C3727" t="s">
        <v>442</v>
      </c>
      <c r="D3727" t="s">
        <v>447</v>
      </c>
      <c r="E3727" t="s">
        <v>448</v>
      </c>
      <c r="F3727" t="s">
        <v>410</v>
      </c>
      <c r="G3727">
        <v>273</v>
      </c>
      <c r="I3727">
        <v>273</v>
      </c>
    </row>
    <row r="3728" spans="1:17" x14ac:dyDescent="0.2">
      <c r="A3728" s="121">
        <v>40512</v>
      </c>
      <c r="B3728" t="s">
        <v>406</v>
      </c>
      <c r="C3728" t="s">
        <v>442</v>
      </c>
      <c r="D3728" t="s">
        <v>449</v>
      </c>
      <c r="E3728" t="s">
        <v>450</v>
      </c>
      <c r="F3728" t="s">
        <v>413</v>
      </c>
      <c r="G3728">
        <v>3027</v>
      </c>
      <c r="H3728">
        <v>3027</v>
      </c>
      <c r="I3728">
        <v>2799</v>
      </c>
      <c r="J3728">
        <v>2799</v>
      </c>
      <c r="K3728">
        <v>669</v>
      </c>
      <c r="L3728">
        <v>5</v>
      </c>
      <c r="M3728">
        <v>2279</v>
      </c>
      <c r="N3728">
        <v>34</v>
      </c>
      <c r="O3728">
        <v>40</v>
      </c>
      <c r="P3728">
        <v>61</v>
      </c>
      <c r="Q3728">
        <v>11</v>
      </c>
    </row>
    <row r="3729" spans="1:17" x14ac:dyDescent="0.2">
      <c r="A3729" s="121">
        <v>40512</v>
      </c>
      <c r="B3729" t="s">
        <v>406</v>
      </c>
      <c r="C3729" t="s">
        <v>451</v>
      </c>
      <c r="D3729" t="s">
        <v>452</v>
      </c>
      <c r="E3729" t="s">
        <v>453</v>
      </c>
      <c r="F3729" t="s">
        <v>410</v>
      </c>
      <c r="G3729">
        <v>1147</v>
      </c>
      <c r="H3729">
        <v>1147</v>
      </c>
      <c r="I3729">
        <v>1147</v>
      </c>
      <c r="J3729">
        <v>1147</v>
      </c>
      <c r="K3729">
        <v>0</v>
      </c>
      <c r="L3729">
        <v>0</v>
      </c>
      <c r="M3729">
        <v>844</v>
      </c>
      <c r="N3729">
        <v>91</v>
      </c>
      <c r="O3729">
        <v>212</v>
      </c>
      <c r="P3729">
        <v>0</v>
      </c>
      <c r="Q3729">
        <v>0</v>
      </c>
    </row>
    <row r="3730" spans="1:17" x14ac:dyDescent="0.2">
      <c r="A3730" s="121">
        <v>40512</v>
      </c>
      <c r="B3730" t="s">
        <v>406</v>
      </c>
      <c r="C3730" t="s">
        <v>451</v>
      </c>
      <c r="D3730" t="s">
        <v>454</v>
      </c>
      <c r="E3730" t="s">
        <v>455</v>
      </c>
      <c r="F3730" t="s">
        <v>413</v>
      </c>
      <c r="G3730">
        <v>4277</v>
      </c>
      <c r="H3730">
        <v>4277</v>
      </c>
      <c r="I3730">
        <v>3924</v>
      </c>
      <c r="J3730">
        <v>3924</v>
      </c>
      <c r="K3730">
        <v>1233</v>
      </c>
      <c r="L3730">
        <v>10</v>
      </c>
      <c r="M3730">
        <v>2357</v>
      </c>
      <c r="N3730">
        <v>35</v>
      </c>
      <c r="O3730">
        <v>642</v>
      </c>
      <c r="P3730">
        <v>21</v>
      </c>
      <c r="Q3730">
        <v>1</v>
      </c>
    </row>
    <row r="3731" spans="1:17" x14ac:dyDescent="0.2">
      <c r="A3731" s="121">
        <v>40512</v>
      </c>
      <c r="B3731" t="s">
        <v>406</v>
      </c>
      <c r="C3731" t="s">
        <v>456</v>
      </c>
      <c r="D3731" t="s">
        <v>457</v>
      </c>
      <c r="E3731" t="s">
        <v>458</v>
      </c>
      <c r="F3731" t="s">
        <v>413</v>
      </c>
      <c r="G3731">
        <v>4985</v>
      </c>
      <c r="H3731">
        <v>4985</v>
      </c>
      <c r="I3731">
        <v>4792</v>
      </c>
      <c r="J3731">
        <v>4792</v>
      </c>
      <c r="K3731">
        <v>1305</v>
      </c>
      <c r="L3731">
        <v>20</v>
      </c>
      <c r="M3731">
        <v>3545</v>
      </c>
      <c r="N3731">
        <v>74</v>
      </c>
      <c r="O3731">
        <v>41</v>
      </c>
      <c r="P3731">
        <v>12</v>
      </c>
      <c r="Q3731">
        <v>0</v>
      </c>
    </row>
    <row r="3732" spans="1:17" x14ac:dyDescent="0.2">
      <c r="A3732" s="121">
        <v>40512</v>
      </c>
      <c r="B3732" t="s">
        <v>406</v>
      </c>
      <c r="C3732" t="s">
        <v>456</v>
      </c>
      <c r="D3732" t="s">
        <v>459</v>
      </c>
      <c r="E3732" t="s">
        <v>460</v>
      </c>
      <c r="F3732" t="s">
        <v>413</v>
      </c>
      <c r="G3732">
        <v>1293</v>
      </c>
      <c r="H3732">
        <v>1293</v>
      </c>
      <c r="I3732">
        <v>1290</v>
      </c>
      <c r="J3732">
        <v>1290</v>
      </c>
      <c r="K3732">
        <v>397</v>
      </c>
      <c r="L3732">
        <v>1</v>
      </c>
      <c r="M3732">
        <v>894</v>
      </c>
      <c r="N3732">
        <v>0</v>
      </c>
      <c r="O3732">
        <v>1</v>
      </c>
      <c r="P3732">
        <v>0</v>
      </c>
      <c r="Q3732">
        <v>0</v>
      </c>
    </row>
    <row r="3733" spans="1:17" x14ac:dyDescent="0.2">
      <c r="A3733" s="121">
        <v>40512</v>
      </c>
      <c r="B3733" t="s">
        <v>406</v>
      </c>
      <c r="C3733" t="s">
        <v>456</v>
      </c>
      <c r="D3733" t="s">
        <v>461</v>
      </c>
      <c r="E3733" t="s">
        <v>462</v>
      </c>
      <c r="F3733" t="s">
        <v>410</v>
      </c>
      <c r="G3733">
        <v>67</v>
      </c>
      <c r="I3733">
        <v>67</v>
      </c>
    </row>
    <row r="3734" spans="1:17" x14ac:dyDescent="0.2">
      <c r="A3734" s="121">
        <v>40512</v>
      </c>
      <c r="B3734" t="s">
        <v>406</v>
      </c>
      <c r="C3734" t="s">
        <v>456</v>
      </c>
      <c r="D3734" t="s">
        <v>463</v>
      </c>
      <c r="E3734" t="s">
        <v>464</v>
      </c>
      <c r="F3734" t="s">
        <v>410</v>
      </c>
      <c r="G3734">
        <v>23</v>
      </c>
      <c r="I3734">
        <v>23</v>
      </c>
    </row>
    <row r="3735" spans="1:17" x14ac:dyDescent="0.2">
      <c r="A3735" s="121">
        <v>40512</v>
      </c>
      <c r="B3735" t="s">
        <v>406</v>
      </c>
      <c r="C3735" t="s">
        <v>456</v>
      </c>
      <c r="D3735" t="s">
        <v>465</v>
      </c>
      <c r="E3735" t="s">
        <v>466</v>
      </c>
      <c r="F3735" t="s">
        <v>410</v>
      </c>
      <c r="G3735">
        <v>53</v>
      </c>
      <c r="I3735">
        <v>53</v>
      </c>
    </row>
    <row r="3736" spans="1:17" x14ac:dyDescent="0.2">
      <c r="A3736" s="121">
        <v>40512</v>
      </c>
      <c r="B3736" t="s">
        <v>406</v>
      </c>
      <c r="C3736" t="s">
        <v>456</v>
      </c>
      <c r="D3736" t="s">
        <v>467</v>
      </c>
      <c r="E3736" t="s">
        <v>468</v>
      </c>
      <c r="F3736" t="s">
        <v>410</v>
      </c>
      <c r="G3736">
        <v>868</v>
      </c>
      <c r="I3736">
        <v>864</v>
      </c>
    </row>
    <row r="3737" spans="1:17" x14ac:dyDescent="0.2">
      <c r="A3737" s="121">
        <v>40512</v>
      </c>
      <c r="B3737" t="s">
        <v>406</v>
      </c>
      <c r="C3737" t="s">
        <v>456</v>
      </c>
      <c r="D3737" t="s">
        <v>469</v>
      </c>
      <c r="E3737" t="s">
        <v>470</v>
      </c>
      <c r="F3737" t="s">
        <v>410</v>
      </c>
      <c r="G3737">
        <v>774</v>
      </c>
      <c r="I3737">
        <v>774</v>
      </c>
    </row>
    <row r="3738" spans="1:17" x14ac:dyDescent="0.2">
      <c r="A3738" s="121">
        <v>40512</v>
      </c>
      <c r="B3738" t="s">
        <v>406</v>
      </c>
      <c r="C3738" t="s">
        <v>456</v>
      </c>
      <c r="D3738" t="s">
        <v>471</v>
      </c>
      <c r="E3738" t="s">
        <v>472</v>
      </c>
      <c r="F3738" t="s">
        <v>410</v>
      </c>
      <c r="G3738">
        <v>213</v>
      </c>
      <c r="I3738">
        <v>213</v>
      </c>
    </row>
    <row r="3739" spans="1:17" x14ac:dyDescent="0.2">
      <c r="A3739" s="121">
        <v>40512</v>
      </c>
      <c r="B3739" t="s">
        <v>406</v>
      </c>
      <c r="C3739" t="s">
        <v>456</v>
      </c>
      <c r="D3739" t="s">
        <v>473</v>
      </c>
      <c r="E3739" t="s">
        <v>474</v>
      </c>
      <c r="F3739" t="s">
        <v>410</v>
      </c>
      <c r="G3739">
        <v>147</v>
      </c>
      <c r="I3739">
        <v>147</v>
      </c>
    </row>
    <row r="3740" spans="1:17" x14ac:dyDescent="0.2">
      <c r="A3740" s="121">
        <v>40512</v>
      </c>
      <c r="B3740" t="s">
        <v>406</v>
      </c>
      <c r="C3740" t="s">
        <v>456</v>
      </c>
      <c r="D3740" t="s">
        <v>475</v>
      </c>
      <c r="E3740" t="s">
        <v>476</v>
      </c>
      <c r="F3740" t="s">
        <v>410</v>
      </c>
      <c r="G3740">
        <v>265</v>
      </c>
      <c r="I3740">
        <v>265</v>
      </c>
    </row>
    <row r="3741" spans="1:17" x14ac:dyDescent="0.2">
      <c r="A3741" s="121">
        <v>40512</v>
      </c>
      <c r="B3741" t="s">
        <v>406</v>
      </c>
      <c r="C3741" t="s">
        <v>456</v>
      </c>
      <c r="D3741" t="s">
        <v>477</v>
      </c>
      <c r="E3741" t="s">
        <v>478</v>
      </c>
      <c r="F3741" t="s">
        <v>413</v>
      </c>
      <c r="G3741">
        <v>1764</v>
      </c>
      <c r="H3741">
        <v>1764</v>
      </c>
      <c r="I3741">
        <v>1705</v>
      </c>
      <c r="J3741">
        <v>1705</v>
      </c>
      <c r="K3741">
        <v>463</v>
      </c>
      <c r="L3741">
        <v>4</v>
      </c>
      <c r="M3741">
        <v>1256</v>
      </c>
      <c r="N3741">
        <v>19</v>
      </c>
      <c r="O3741">
        <v>22</v>
      </c>
      <c r="P3741">
        <v>6</v>
      </c>
      <c r="Q3741">
        <v>2</v>
      </c>
    </row>
    <row r="3742" spans="1:17" x14ac:dyDescent="0.2">
      <c r="A3742" s="121">
        <v>40512</v>
      </c>
      <c r="B3742" t="s">
        <v>406</v>
      </c>
      <c r="C3742" t="s">
        <v>456</v>
      </c>
      <c r="D3742" t="s">
        <v>479</v>
      </c>
      <c r="E3742" t="s">
        <v>480</v>
      </c>
      <c r="F3742" t="s">
        <v>410</v>
      </c>
      <c r="G3742">
        <v>62</v>
      </c>
      <c r="I3742">
        <v>62</v>
      </c>
    </row>
    <row r="3743" spans="1:17" x14ac:dyDescent="0.2">
      <c r="A3743" s="121">
        <v>40512</v>
      </c>
      <c r="B3743" t="s">
        <v>406</v>
      </c>
      <c r="C3743" t="s">
        <v>456</v>
      </c>
      <c r="D3743" t="s">
        <v>481</v>
      </c>
      <c r="E3743" t="s">
        <v>482</v>
      </c>
      <c r="F3743" t="s">
        <v>410</v>
      </c>
      <c r="G3743">
        <v>30</v>
      </c>
      <c r="I3743">
        <v>30</v>
      </c>
    </row>
    <row r="3744" spans="1:17" x14ac:dyDescent="0.2">
      <c r="A3744" s="121">
        <v>40512</v>
      </c>
      <c r="B3744" t="s">
        <v>406</v>
      </c>
      <c r="C3744" t="s">
        <v>456</v>
      </c>
      <c r="D3744" t="s">
        <v>483</v>
      </c>
      <c r="E3744" t="s">
        <v>484</v>
      </c>
      <c r="F3744" t="s">
        <v>410</v>
      </c>
      <c r="G3744">
        <v>98</v>
      </c>
      <c r="I3744">
        <v>98</v>
      </c>
    </row>
    <row r="3745" spans="1:17" x14ac:dyDescent="0.2">
      <c r="A3745" s="121">
        <v>40512</v>
      </c>
      <c r="B3745" t="s">
        <v>406</v>
      </c>
      <c r="C3745" t="s">
        <v>456</v>
      </c>
      <c r="D3745" t="s">
        <v>485</v>
      </c>
      <c r="E3745" t="s">
        <v>486</v>
      </c>
      <c r="F3745" t="s">
        <v>410</v>
      </c>
      <c r="G3745">
        <v>48</v>
      </c>
      <c r="I3745">
        <v>48</v>
      </c>
    </row>
    <row r="3746" spans="1:17" x14ac:dyDescent="0.2">
      <c r="A3746" s="121">
        <v>40512</v>
      </c>
      <c r="B3746" t="s">
        <v>406</v>
      </c>
      <c r="C3746" t="s">
        <v>456</v>
      </c>
      <c r="D3746" t="s">
        <v>487</v>
      </c>
      <c r="E3746" t="s">
        <v>488</v>
      </c>
      <c r="F3746" t="s">
        <v>410</v>
      </c>
      <c r="G3746">
        <v>36</v>
      </c>
      <c r="I3746">
        <v>36</v>
      </c>
    </row>
    <row r="3747" spans="1:17" x14ac:dyDescent="0.2">
      <c r="A3747" s="121">
        <v>40512</v>
      </c>
      <c r="B3747" t="s">
        <v>406</v>
      </c>
      <c r="C3747" t="s">
        <v>456</v>
      </c>
      <c r="D3747" t="s">
        <v>489</v>
      </c>
      <c r="E3747" t="s">
        <v>490</v>
      </c>
      <c r="F3747" t="s">
        <v>410</v>
      </c>
      <c r="G3747">
        <v>74</v>
      </c>
      <c r="H3747">
        <v>74</v>
      </c>
      <c r="I3747">
        <v>74</v>
      </c>
      <c r="J3747">
        <v>74</v>
      </c>
      <c r="K3747">
        <v>0</v>
      </c>
      <c r="L3747">
        <v>1</v>
      </c>
      <c r="M3747">
        <v>52</v>
      </c>
      <c r="N3747">
        <v>20</v>
      </c>
      <c r="O3747">
        <v>1</v>
      </c>
      <c r="P3747">
        <v>0</v>
      </c>
      <c r="Q3747">
        <v>0</v>
      </c>
    </row>
    <row r="3748" spans="1:17" x14ac:dyDescent="0.2">
      <c r="A3748" s="121">
        <v>40512</v>
      </c>
      <c r="B3748" t="s">
        <v>406</v>
      </c>
      <c r="C3748" t="s">
        <v>491</v>
      </c>
      <c r="D3748" t="s">
        <v>492</v>
      </c>
      <c r="E3748" t="s">
        <v>493</v>
      </c>
      <c r="F3748" t="s">
        <v>410</v>
      </c>
      <c r="G3748">
        <v>1197</v>
      </c>
      <c r="H3748">
        <v>1197</v>
      </c>
      <c r="I3748">
        <v>1186</v>
      </c>
      <c r="J3748">
        <v>1186</v>
      </c>
      <c r="K3748">
        <v>0</v>
      </c>
      <c r="L3748">
        <v>0</v>
      </c>
      <c r="M3748">
        <v>1</v>
      </c>
      <c r="N3748">
        <v>7</v>
      </c>
      <c r="O3748">
        <v>1189</v>
      </c>
      <c r="P3748">
        <v>0</v>
      </c>
      <c r="Q3748">
        <v>0</v>
      </c>
    </row>
    <row r="3749" spans="1:17" x14ac:dyDescent="0.2">
      <c r="A3749" s="121">
        <v>40512</v>
      </c>
      <c r="B3749" t="s">
        <v>406</v>
      </c>
      <c r="C3749" t="s">
        <v>491</v>
      </c>
      <c r="D3749" t="s">
        <v>494</v>
      </c>
      <c r="E3749" t="s">
        <v>495</v>
      </c>
      <c r="F3749" t="s">
        <v>413</v>
      </c>
      <c r="G3749">
        <v>2484</v>
      </c>
      <c r="H3749">
        <v>2484</v>
      </c>
      <c r="I3749">
        <v>2407</v>
      </c>
      <c r="J3749">
        <v>2407</v>
      </c>
      <c r="K3749">
        <v>0</v>
      </c>
      <c r="L3749">
        <v>0</v>
      </c>
      <c r="M3749">
        <v>9</v>
      </c>
      <c r="N3749">
        <v>21</v>
      </c>
      <c r="O3749">
        <v>2454</v>
      </c>
      <c r="P3749">
        <v>0</v>
      </c>
      <c r="Q3749">
        <v>0</v>
      </c>
    </row>
    <row r="3750" spans="1:17" x14ac:dyDescent="0.2">
      <c r="A3750" s="121">
        <v>40512</v>
      </c>
      <c r="B3750" t="s">
        <v>406</v>
      </c>
      <c r="C3750" t="s">
        <v>491</v>
      </c>
      <c r="D3750" t="s">
        <v>496</v>
      </c>
      <c r="E3750" t="s">
        <v>497</v>
      </c>
      <c r="F3750" t="s">
        <v>413</v>
      </c>
      <c r="G3750">
        <v>5635</v>
      </c>
      <c r="H3750">
        <v>5635</v>
      </c>
      <c r="I3750">
        <v>5257</v>
      </c>
      <c r="J3750">
        <v>5257</v>
      </c>
      <c r="K3750">
        <v>790</v>
      </c>
      <c r="L3750">
        <v>0</v>
      </c>
      <c r="M3750">
        <v>14</v>
      </c>
      <c r="N3750">
        <v>54</v>
      </c>
      <c r="O3750">
        <v>4777</v>
      </c>
      <c r="P3750">
        <v>5</v>
      </c>
      <c r="Q3750">
        <v>0</v>
      </c>
    </row>
    <row r="3751" spans="1:17" x14ac:dyDescent="0.2">
      <c r="A3751" s="121">
        <v>40512</v>
      </c>
      <c r="B3751" t="s">
        <v>406</v>
      </c>
      <c r="C3751" t="s">
        <v>491</v>
      </c>
      <c r="D3751" t="s">
        <v>498</v>
      </c>
      <c r="E3751" t="s">
        <v>499</v>
      </c>
      <c r="F3751" t="s">
        <v>413</v>
      </c>
      <c r="G3751">
        <v>5973</v>
      </c>
      <c r="H3751">
        <v>5973</v>
      </c>
      <c r="I3751">
        <v>5542</v>
      </c>
      <c r="J3751">
        <v>5542</v>
      </c>
      <c r="K3751">
        <v>1646</v>
      </c>
      <c r="L3751">
        <v>19</v>
      </c>
      <c r="M3751">
        <v>3856</v>
      </c>
      <c r="N3751">
        <v>120</v>
      </c>
      <c r="O3751">
        <v>332</v>
      </c>
      <c r="P3751">
        <v>28</v>
      </c>
      <c r="Q3751">
        <v>5</v>
      </c>
    </row>
    <row r="3752" spans="1:17" x14ac:dyDescent="0.2">
      <c r="A3752" s="121">
        <v>40512</v>
      </c>
      <c r="B3752" t="s">
        <v>406</v>
      </c>
      <c r="C3752" t="s">
        <v>491</v>
      </c>
      <c r="D3752" t="s">
        <v>500</v>
      </c>
      <c r="E3752" t="s">
        <v>501</v>
      </c>
      <c r="F3752" t="s">
        <v>413</v>
      </c>
      <c r="G3752">
        <v>3383</v>
      </c>
      <c r="H3752">
        <v>3383</v>
      </c>
      <c r="I3752">
        <v>3329</v>
      </c>
      <c r="J3752">
        <v>3329</v>
      </c>
      <c r="K3752">
        <v>945</v>
      </c>
      <c r="L3752">
        <v>3</v>
      </c>
      <c r="M3752">
        <v>2150</v>
      </c>
      <c r="N3752">
        <v>48</v>
      </c>
      <c r="O3752">
        <v>237</v>
      </c>
      <c r="P3752">
        <v>1</v>
      </c>
      <c r="Q3752">
        <v>0</v>
      </c>
    </row>
    <row r="3753" spans="1:17" x14ac:dyDescent="0.2">
      <c r="A3753" s="121">
        <v>40512</v>
      </c>
      <c r="B3753" t="s">
        <v>406</v>
      </c>
      <c r="C3753" t="s">
        <v>491</v>
      </c>
      <c r="D3753" t="s">
        <v>502</v>
      </c>
      <c r="E3753" t="s">
        <v>615</v>
      </c>
      <c r="F3753" t="s">
        <v>410</v>
      </c>
      <c r="G3753">
        <v>1154</v>
      </c>
      <c r="H3753">
        <v>1154</v>
      </c>
      <c r="I3753">
        <v>1154</v>
      </c>
      <c r="J3753">
        <v>1154</v>
      </c>
      <c r="K3753">
        <v>0</v>
      </c>
      <c r="L3753">
        <v>0</v>
      </c>
      <c r="M3753">
        <v>1133</v>
      </c>
      <c r="N3753">
        <v>0</v>
      </c>
      <c r="O3753">
        <v>21</v>
      </c>
      <c r="P3753">
        <v>0</v>
      </c>
      <c r="Q3753">
        <v>0</v>
      </c>
    </row>
    <row r="3754" spans="1:17" x14ac:dyDescent="0.2">
      <c r="A3754" s="121">
        <v>40512</v>
      </c>
      <c r="B3754" t="s">
        <v>406</v>
      </c>
      <c r="C3754" t="s">
        <v>491</v>
      </c>
      <c r="D3754" t="s">
        <v>502</v>
      </c>
      <c r="E3754" t="s">
        <v>503</v>
      </c>
      <c r="F3754" t="s">
        <v>413</v>
      </c>
      <c r="G3754">
        <v>4761</v>
      </c>
      <c r="H3754">
        <v>4761</v>
      </c>
      <c r="I3754">
        <v>4252</v>
      </c>
      <c r="J3754">
        <v>4252</v>
      </c>
      <c r="K3754">
        <v>1365</v>
      </c>
      <c r="L3754">
        <v>5</v>
      </c>
      <c r="M3754">
        <v>3189</v>
      </c>
      <c r="N3754">
        <v>126</v>
      </c>
      <c r="O3754">
        <v>76</v>
      </c>
      <c r="P3754">
        <v>57</v>
      </c>
      <c r="Q3754">
        <v>0</v>
      </c>
    </row>
    <row r="3755" spans="1:17" x14ac:dyDescent="0.2">
      <c r="A3755" s="121">
        <v>40512</v>
      </c>
      <c r="B3755" t="s">
        <v>406</v>
      </c>
      <c r="C3755" t="s">
        <v>491</v>
      </c>
      <c r="D3755" t="s">
        <v>504</v>
      </c>
      <c r="E3755" t="s">
        <v>505</v>
      </c>
      <c r="F3755" t="s">
        <v>413</v>
      </c>
      <c r="G3755">
        <v>3712</v>
      </c>
      <c r="H3755">
        <v>3712</v>
      </c>
      <c r="I3755">
        <v>3519</v>
      </c>
      <c r="J3755">
        <v>3519</v>
      </c>
      <c r="K3755">
        <v>1155</v>
      </c>
      <c r="L3755">
        <v>4</v>
      </c>
      <c r="M3755">
        <v>2461</v>
      </c>
      <c r="N3755">
        <v>48</v>
      </c>
      <c r="O3755">
        <v>44</v>
      </c>
      <c r="P3755">
        <v>4</v>
      </c>
      <c r="Q3755">
        <v>0</v>
      </c>
    </row>
    <row r="3756" spans="1:17" x14ac:dyDescent="0.2">
      <c r="A3756" s="121">
        <v>40512</v>
      </c>
      <c r="B3756" t="s">
        <v>406</v>
      </c>
      <c r="C3756" t="s">
        <v>491</v>
      </c>
      <c r="D3756" t="s">
        <v>506</v>
      </c>
      <c r="E3756" t="s">
        <v>507</v>
      </c>
      <c r="F3756" t="s">
        <v>413</v>
      </c>
      <c r="G3756">
        <v>3768</v>
      </c>
      <c r="H3756">
        <v>3768</v>
      </c>
      <c r="I3756">
        <v>3708</v>
      </c>
      <c r="J3756">
        <v>3708</v>
      </c>
      <c r="K3756">
        <v>511</v>
      </c>
      <c r="L3756">
        <v>1</v>
      </c>
      <c r="M3756">
        <v>3240</v>
      </c>
      <c r="N3756">
        <v>0</v>
      </c>
      <c r="O3756">
        <v>16</v>
      </c>
      <c r="P3756">
        <v>0</v>
      </c>
      <c r="Q3756">
        <v>0</v>
      </c>
    </row>
    <row r="3757" spans="1:17" x14ac:dyDescent="0.2">
      <c r="A3757" s="121">
        <v>40512</v>
      </c>
      <c r="B3757" t="s">
        <v>406</v>
      </c>
      <c r="C3757" t="s">
        <v>491</v>
      </c>
      <c r="D3757" t="s">
        <v>508</v>
      </c>
      <c r="E3757" t="s">
        <v>509</v>
      </c>
      <c r="F3757" t="s">
        <v>413</v>
      </c>
      <c r="G3757">
        <v>4676</v>
      </c>
      <c r="H3757">
        <v>4676</v>
      </c>
      <c r="I3757">
        <v>4253</v>
      </c>
      <c r="J3757">
        <v>4253</v>
      </c>
      <c r="K3757">
        <v>1406</v>
      </c>
      <c r="L3757">
        <v>10</v>
      </c>
      <c r="M3757">
        <v>2868</v>
      </c>
      <c r="N3757">
        <v>110</v>
      </c>
      <c r="O3757">
        <v>282</v>
      </c>
      <c r="P3757">
        <v>45</v>
      </c>
      <c r="Q3757">
        <v>5</v>
      </c>
    </row>
    <row r="3758" spans="1:17" x14ac:dyDescent="0.2">
      <c r="A3758" s="121">
        <v>40512</v>
      </c>
      <c r="B3758" t="s">
        <v>406</v>
      </c>
      <c r="C3758" t="s">
        <v>510</v>
      </c>
      <c r="D3758" t="s">
        <v>513</v>
      </c>
      <c r="E3758" t="s">
        <v>514</v>
      </c>
      <c r="F3758" t="s">
        <v>410</v>
      </c>
      <c r="G3758">
        <v>518</v>
      </c>
      <c r="I3758">
        <v>514</v>
      </c>
    </row>
    <row r="3759" spans="1:17" x14ac:dyDescent="0.2">
      <c r="A3759" s="121">
        <v>40512</v>
      </c>
      <c r="B3759" t="s">
        <v>406</v>
      </c>
      <c r="C3759" t="s">
        <v>510</v>
      </c>
      <c r="D3759" t="s">
        <v>515</v>
      </c>
      <c r="E3759" t="s">
        <v>516</v>
      </c>
      <c r="F3759" t="s">
        <v>410</v>
      </c>
      <c r="G3759">
        <v>64</v>
      </c>
      <c r="I3759">
        <v>63</v>
      </c>
    </row>
    <row r="3760" spans="1:17" x14ac:dyDescent="0.2">
      <c r="A3760" s="121">
        <v>40512</v>
      </c>
      <c r="B3760" t="s">
        <v>406</v>
      </c>
      <c r="C3760" t="s">
        <v>510</v>
      </c>
      <c r="D3760" t="s">
        <v>519</v>
      </c>
      <c r="E3760" t="s">
        <v>520</v>
      </c>
      <c r="F3760" t="s">
        <v>410</v>
      </c>
      <c r="G3760">
        <v>270</v>
      </c>
      <c r="I3760">
        <v>266</v>
      </c>
    </row>
    <row r="3761" spans="1:17" x14ac:dyDescent="0.2">
      <c r="A3761" s="121">
        <v>40512</v>
      </c>
      <c r="B3761" t="s">
        <v>406</v>
      </c>
      <c r="C3761" t="s">
        <v>510</v>
      </c>
      <c r="D3761" t="s">
        <v>521</v>
      </c>
      <c r="E3761" t="s">
        <v>522</v>
      </c>
      <c r="F3761" t="s">
        <v>410</v>
      </c>
      <c r="G3761">
        <v>43</v>
      </c>
      <c r="I3761">
        <v>42</v>
      </c>
    </row>
    <row r="3762" spans="1:17" x14ac:dyDescent="0.2">
      <c r="A3762" s="121">
        <v>40512</v>
      </c>
      <c r="B3762" t="s">
        <v>406</v>
      </c>
      <c r="C3762" t="s">
        <v>510</v>
      </c>
      <c r="D3762" t="s">
        <v>523</v>
      </c>
      <c r="E3762" t="s">
        <v>524</v>
      </c>
      <c r="F3762" t="s">
        <v>413</v>
      </c>
      <c r="G3762">
        <v>358</v>
      </c>
      <c r="I3762">
        <v>357</v>
      </c>
    </row>
    <row r="3763" spans="1:17" x14ac:dyDescent="0.2">
      <c r="A3763" s="121">
        <v>40512</v>
      </c>
      <c r="B3763" t="s">
        <v>406</v>
      </c>
      <c r="C3763" t="s">
        <v>510</v>
      </c>
      <c r="D3763" t="s">
        <v>525</v>
      </c>
      <c r="E3763" t="s">
        <v>526</v>
      </c>
      <c r="F3763" t="s">
        <v>410</v>
      </c>
      <c r="G3763">
        <v>463</v>
      </c>
      <c r="I3763">
        <v>454</v>
      </c>
    </row>
    <row r="3764" spans="1:17" x14ac:dyDescent="0.2">
      <c r="A3764" s="121">
        <v>40512</v>
      </c>
      <c r="B3764" t="s">
        <v>406</v>
      </c>
      <c r="C3764" t="s">
        <v>510</v>
      </c>
      <c r="D3764" t="s">
        <v>527</v>
      </c>
      <c r="E3764" t="s">
        <v>528</v>
      </c>
      <c r="F3764" t="s">
        <v>410</v>
      </c>
      <c r="G3764">
        <v>135</v>
      </c>
      <c r="I3764">
        <v>134</v>
      </c>
    </row>
    <row r="3765" spans="1:17" x14ac:dyDescent="0.2">
      <c r="A3765" s="121">
        <v>40512</v>
      </c>
      <c r="B3765" t="s">
        <v>406</v>
      </c>
      <c r="C3765" t="s">
        <v>510</v>
      </c>
      <c r="D3765" t="s">
        <v>529</v>
      </c>
      <c r="E3765" t="s">
        <v>530</v>
      </c>
      <c r="F3765" t="s">
        <v>413</v>
      </c>
      <c r="G3765">
        <v>450</v>
      </c>
      <c r="I3765">
        <v>447</v>
      </c>
    </row>
    <row r="3766" spans="1:17" x14ac:dyDescent="0.2">
      <c r="A3766" s="121">
        <v>40512</v>
      </c>
      <c r="B3766" t="s">
        <v>406</v>
      </c>
      <c r="C3766" t="s">
        <v>510</v>
      </c>
      <c r="D3766" t="s">
        <v>531</v>
      </c>
      <c r="E3766" t="s">
        <v>532</v>
      </c>
      <c r="F3766" t="s">
        <v>410</v>
      </c>
      <c r="G3766">
        <v>45</v>
      </c>
      <c r="I3766">
        <v>45</v>
      </c>
    </row>
    <row r="3767" spans="1:17" x14ac:dyDescent="0.2">
      <c r="A3767" s="121">
        <v>40512</v>
      </c>
      <c r="B3767" t="s">
        <v>406</v>
      </c>
      <c r="C3767" t="s">
        <v>510</v>
      </c>
      <c r="D3767" t="s">
        <v>533</v>
      </c>
      <c r="E3767" t="s">
        <v>534</v>
      </c>
      <c r="F3767" t="s">
        <v>413</v>
      </c>
      <c r="G3767">
        <v>2223</v>
      </c>
      <c r="H3767">
        <v>2223</v>
      </c>
      <c r="I3767">
        <v>2141</v>
      </c>
      <c r="J3767">
        <v>2141</v>
      </c>
      <c r="K3767">
        <v>533</v>
      </c>
      <c r="L3767">
        <v>3</v>
      </c>
      <c r="M3767">
        <v>1687</v>
      </c>
      <c r="N3767">
        <v>0</v>
      </c>
      <c r="O3767">
        <v>0</v>
      </c>
      <c r="P3767">
        <v>6</v>
      </c>
      <c r="Q3767">
        <v>0</v>
      </c>
    </row>
    <row r="3768" spans="1:17" x14ac:dyDescent="0.2">
      <c r="A3768" s="121">
        <v>40512</v>
      </c>
      <c r="B3768" t="s">
        <v>406</v>
      </c>
      <c r="C3768" t="s">
        <v>510</v>
      </c>
      <c r="D3768" t="s">
        <v>535</v>
      </c>
      <c r="E3768" t="s">
        <v>536</v>
      </c>
      <c r="F3768" t="s">
        <v>410</v>
      </c>
      <c r="G3768">
        <v>186</v>
      </c>
      <c r="I3768">
        <v>185</v>
      </c>
    </row>
    <row r="3769" spans="1:17" x14ac:dyDescent="0.2">
      <c r="A3769" s="121">
        <v>40512</v>
      </c>
      <c r="B3769" t="s">
        <v>406</v>
      </c>
      <c r="C3769" t="s">
        <v>510</v>
      </c>
      <c r="D3769" t="s">
        <v>537</v>
      </c>
      <c r="E3769" t="s">
        <v>538</v>
      </c>
      <c r="F3769" t="s">
        <v>410</v>
      </c>
      <c r="G3769">
        <v>69</v>
      </c>
      <c r="I3769">
        <v>69</v>
      </c>
    </row>
    <row r="3770" spans="1:17" x14ac:dyDescent="0.2">
      <c r="A3770" s="121">
        <v>40512</v>
      </c>
      <c r="B3770" t="s">
        <v>406</v>
      </c>
      <c r="C3770" t="s">
        <v>510</v>
      </c>
      <c r="D3770" t="s">
        <v>539</v>
      </c>
      <c r="E3770" t="s">
        <v>540</v>
      </c>
      <c r="F3770" t="s">
        <v>413</v>
      </c>
      <c r="G3770">
        <v>597</v>
      </c>
      <c r="I3770">
        <v>589</v>
      </c>
    </row>
    <row r="3771" spans="1:17" x14ac:dyDescent="0.2">
      <c r="A3771" s="121">
        <v>40512</v>
      </c>
      <c r="B3771" t="s">
        <v>406</v>
      </c>
      <c r="C3771" t="s">
        <v>510</v>
      </c>
      <c r="D3771" t="s">
        <v>541</v>
      </c>
      <c r="E3771" t="s">
        <v>542</v>
      </c>
      <c r="F3771" t="s">
        <v>410</v>
      </c>
      <c r="G3771">
        <v>246</v>
      </c>
      <c r="I3771">
        <v>246</v>
      </c>
    </row>
    <row r="3772" spans="1:17" x14ac:dyDescent="0.2">
      <c r="A3772" s="121">
        <v>40512</v>
      </c>
      <c r="B3772" t="s">
        <v>406</v>
      </c>
      <c r="C3772" t="s">
        <v>510</v>
      </c>
      <c r="D3772" t="s">
        <v>543</v>
      </c>
      <c r="E3772" t="s">
        <v>544</v>
      </c>
      <c r="F3772" t="s">
        <v>410</v>
      </c>
      <c r="G3772">
        <v>188</v>
      </c>
      <c r="I3772">
        <v>188</v>
      </c>
    </row>
    <row r="3773" spans="1:17" x14ac:dyDescent="0.2">
      <c r="A3773" s="121">
        <v>40512</v>
      </c>
      <c r="B3773" t="s">
        <v>406</v>
      </c>
      <c r="C3773" t="s">
        <v>510</v>
      </c>
      <c r="D3773" t="s">
        <v>545</v>
      </c>
      <c r="E3773" t="s">
        <v>546</v>
      </c>
      <c r="F3773" t="s">
        <v>410</v>
      </c>
      <c r="G3773">
        <v>151</v>
      </c>
      <c r="I3773">
        <v>151</v>
      </c>
    </row>
    <row r="3774" spans="1:17" x14ac:dyDescent="0.2">
      <c r="A3774" s="121">
        <v>40512</v>
      </c>
      <c r="B3774" t="s">
        <v>406</v>
      </c>
      <c r="C3774" t="s">
        <v>510</v>
      </c>
      <c r="D3774" t="s">
        <v>547</v>
      </c>
      <c r="E3774" t="s">
        <v>548</v>
      </c>
      <c r="F3774" t="s">
        <v>410</v>
      </c>
      <c r="G3774">
        <v>149</v>
      </c>
      <c r="I3774">
        <v>149</v>
      </c>
    </row>
    <row r="3775" spans="1:17" x14ac:dyDescent="0.2">
      <c r="A3775" s="121">
        <v>40512</v>
      </c>
      <c r="B3775" t="s">
        <v>406</v>
      </c>
      <c r="C3775" t="s">
        <v>510</v>
      </c>
      <c r="D3775" t="s">
        <v>616</v>
      </c>
      <c r="E3775" t="s">
        <v>617</v>
      </c>
      <c r="F3775" t="s">
        <v>410</v>
      </c>
      <c r="G3775">
        <v>301</v>
      </c>
      <c r="I3775">
        <v>296</v>
      </c>
    </row>
    <row r="3776" spans="1:17" x14ac:dyDescent="0.2">
      <c r="A3776" s="121">
        <v>40512</v>
      </c>
      <c r="B3776" t="s">
        <v>406</v>
      </c>
      <c r="C3776" t="s">
        <v>510</v>
      </c>
      <c r="D3776" t="s">
        <v>549</v>
      </c>
      <c r="E3776" t="s">
        <v>550</v>
      </c>
      <c r="F3776" t="s">
        <v>410</v>
      </c>
      <c r="G3776">
        <v>112</v>
      </c>
      <c r="I3776">
        <v>112</v>
      </c>
    </row>
    <row r="3777" spans="1:17" x14ac:dyDescent="0.2">
      <c r="A3777" s="121">
        <v>40512</v>
      </c>
      <c r="B3777" t="s">
        <v>406</v>
      </c>
      <c r="C3777" t="s">
        <v>551</v>
      </c>
      <c r="D3777" t="s">
        <v>552</v>
      </c>
      <c r="E3777" t="s">
        <v>553</v>
      </c>
      <c r="F3777" t="s">
        <v>413</v>
      </c>
      <c r="G3777">
        <v>5088</v>
      </c>
      <c r="H3777">
        <v>5088</v>
      </c>
      <c r="I3777">
        <v>4925</v>
      </c>
      <c r="J3777">
        <v>4925</v>
      </c>
      <c r="K3777">
        <v>1445</v>
      </c>
      <c r="L3777">
        <v>4</v>
      </c>
      <c r="M3777">
        <v>3478</v>
      </c>
      <c r="N3777">
        <v>150</v>
      </c>
      <c r="O3777">
        <v>11</v>
      </c>
      <c r="P3777">
        <v>2</v>
      </c>
      <c r="Q3777">
        <v>0</v>
      </c>
    </row>
    <row r="3778" spans="1:17" x14ac:dyDescent="0.2">
      <c r="A3778" s="121">
        <v>40512</v>
      </c>
      <c r="B3778" t="s">
        <v>406</v>
      </c>
      <c r="C3778" t="s">
        <v>551</v>
      </c>
      <c r="D3778" t="s">
        <v>554</v>
      </c>
      <c r="E3778" t="s">
        <v>555</v>
      </c>
      <c r="F3778" t="s">
        <v>410</v>
      </c>
      <c r="G3778">
        <v>49</v>
      </c>
      <c r="I3778">
        <v>49</v>
      </c>
    </row>
    <row r="3779" spans="1:17" x14ac:dyDescent="0.2">
      <c r="A3779" s="121">
        <v>40512</v>
      </c>
      <c r="B3779" t="s">
        <v>406</v>
      </c>
      <c r="C3779" t="s">
        <v>551</v>
      </c>
      <c r="D3779" t="s">
        <v>556</v>
      </c>
      <c r="E3779" t="s">
        <v>557</v>
      </c>
      <c r="F3779" t="s">
        <v>410</v>
      </c>
      <c r="G3779">
        <v>87</v>
      </c>
      <c r="I3779">
        <v>87</v>
      </c>
    </row>
    <row r="3780" spans="1:17" x14ac:dyDescent="0.2">
      <c r="A3780" s="121">
        <v>40512</v>
      </c>
      <c r="B3780" t="s">
        <v>406</v>
      </c>
      <c r="C3780" t="s">
        <v>551</v>
      </c>
      <c r="D3780" t="s">
        <v>558</v>
      </c>
      <c r="E3780" t="s">
        <v>559</v>
      </c>
      <c r="F3780" t="s">
        <v>413</v>
      </c>
      <c r="G3780">
        <v>4335</v>
      </c>
      <c r="H3780">
        <v>4335</v>
      </c>
      <c r="I3780">
        <v>4051</v>
      </c>
      <c r="J3780">
        <v>4051</v>
      </c>
      <c r="K3780">
        <v>1258</v>
      </c>
      <c r="L3780">
        <v>12</v>
      </c>
      <c r="M3780">
        <v>2963</v>
      </c>
      <c r="N3780">
        <v>86</v>
      </c>
      <c r="O3780">
        <v>16</v>
      </c>
      <c r="P3780">
        <v>81</v>
      </c>
      <c r="Q3780">
        <v>23</v>
      </c>
    </row>
    <row r="3781" spans="1:17" x14ac:dyDescent="0.2">
      <c r="A3781" s="121">
        <v>40512</v>
      </c>
      <c r="B3781" t="s">
        <v>406</v>
      </c>
      <c r="C3781" t="s">
        <v>551</v>
      </c>
      <c r="D3781" t="s">
        <v>560</v>
      </c>
      <c r="E3781" t="s">
        <v>561</v>
      </c>
      <c r="F3781" t="s">
        <v>413</v>
      </c>
      <c r="G3781">
        <v>5027</v>
      </c>
      <c r="H3781">
        <v>5027</v>
      </c>
      <c r="I3781">
        <v>4885</v>
      </c>
      <c r="J3781">
        <v>4885</v>
      </c>
      <c r="K3781">
        <v>1338</v>
      </c>
      <c r="L3781">
        <v>11</v>
      </c>
      <c r="M3781">
        <v>3449</v>
      </c>
      <c r="N3781">
        <v>221</v>
      </c>
      <c r="O3781">
        <v>8</v>
      </c>
      <c r="P3781">
        <v>3</v>
      </c>
      <c r="Q3781">
        <v>0</v>
      </c>
    </row>
    <row r="3782" spans="1:17" x14ac:dyDescent="0.2">
      <c r="A3782" s="121">
        <v>40512</v>
      </c>
      <c r="B3782" t="s">
        <v>406</v>
      </c>
      <c r="C3782" t="s">
        <v>562</v>
      </c>
      <c r="D3782" t="s">
        <v>603</v>
      </c>
      <c r="E3782" t="s">
        <v>604</v>
      </c>
      <c r="F3782" t="s">
        <v>410</v>
      </c>
      <c r="G3782">
        <v>9</v>
      </c>
      <c r="I3782">
        <v>9</v>
      </c>
    </row>
    <row r="3783" spans="1:17" x14ac:dyDescent="0.2">
      <c r="A3783" s="121">
        <v>40512</v>
      </c>
      <c r="B3783" t="s">
        <v>406</v>
      </c>
      <c r="C3783" t="s">
        <v>562</v>
      </c>
      <c r="D3783" t="s">
        <v>605</v>
      </c>
      <c r="E3783" t="s">
        <v>606</v>
      </c>
      <c r="F3783" t="s">
        <v>410</v>
      </c>
      <c r="G3783">
        <v>120</v>
      </c>
      <c r="I3783">
        <v>120</v>
      </c>
    </row>
    <row r="3784" spans="1:17" x14ac:dyDescent="0.2">
      <c r="A3784" s="121">
        <v>40512</v>
      </c>
      <c r="B3784" t="s">
        <v>406</v>
      </c>
      <c r="C3784" t="s">
        <v>562</v>
      </c>
      <c r="D3784" t="s">
        <v>563</v>
      </c>
      <c r="E3784" t="s">
        <v>564</v>
      </c>
      <c r="F3784" t="s">
        <v>410</v>
      </c>
      <c r="G3784">
        <v>2750</v>
      </c>
      <c r="H3784">
        <v>2750</v>
      </c>
      <c r="I3784">
        <v>2725</v>
      </c>
      <c r="J3784">
        <v>2725</v>
      </c>
      <c r="K3784">
        <v>826</v>
      </c>
      <c r="L3784">
        <v>3</v>
      </c>
      <c r="M3784">
        <v>1899</v>
      </c>
      <c r="N3784">
        <v>22</v>
      </c>
      <c r="O3784">
        <v>0</v>
      </c>
      <c r="P3784">
        <v>1</v>
      </c>
      <c r="Q3784">
        <v>0</v>
      </c>
    </row>
    <row r="3785" spans="1:17" x14ac:dyDescent="0.2">
      <c r="A3785" s="121">
        <v>40512</v>
      </c>
      <c r="B3785" t="s">
        <v>406</v>
      </c>
      <c r="C3785" t="s">
        <v>562</v>
      </c>
      <c r="D3785" t="s">
        <v>565</v>
      </c>
      <c r="E3785" t="s">
        <v>566</v>
      </c>
      <c r="F3785" t="s">
        <v>413</v>
      </c>
      <c r="G3785">
        <v>3810</v>
      </c>
      <c r="H3785">
        <v>3810</v>
      </c>
      <c r="I3785">
        <v>3676</v>
      </c>
      <c r="J3785">
        <v>3676</v>
      </c>
      <c r="K3785">
        <v>1021</v>
      </c>
      <c r="L3785">
        <v>8</v>
      </c>
      <c r="M3785">
        <v>2662</v>
      </c>
      <c r="N3785">
        <v>119</v>
      </c>
      <c r="O3785">
        <v>0</v>
      </c>
      <c r="P3785">
        <v>11</v>
      </c>
      <c r="Q3785">
        <v>1</v>
      </c>
    </row>
    <row r="3786" spans="1:17" x14ac:dyDescent="0.2">
      <c r="A3786" s="121">
        <v>40512</v>
      </c>
      <c r="B3786" t="s">
        <v>406</v>
      </c>
      <c r="C3786" t="s">
        <v>562</v>
      </c>
      <c r="D3786" t="s">
        <v>567</v>
      </c>
      <c r="E3786" t="s">
        <v>568</v>
      </c>
      <c r="F3786" t="s">
        <v>413</v>
      </c>
      <c r="G3786">
        <v>8863</v>
      </c>
      <c r="H3786">
        <v>8863</v>
      </c>
      <c r="I3786">
        <v>8582</v>
      </c>
      <c r="J3786">
        <v>8582</v>
      </c>
      <c r="K3786">
        <v>2707</v>
      </c>
      <c r="L3786">
        <v>18</v>
      </c>
      <c r="M3786">
        <v>5715</v>
      </c>
      <c r="N3786">
        <v>423</v>
      </c>
      <c r="O3786">
        <v>0</v>
      </c>
      <c r="P3786">
        <v>15</v>
      </c>
      <c r="Q3786">
        <v>0</v>
      </c>
    </row>
    <row r="3787" spans="1:17" x14ac:dyDescent="0.2">
      <c r="A3787" s="121">
        <v>40512</v>
      </c>
      <c r="B3787" t="s">
        <v>406</v>
      </c>
      <c r="C3787" t="s">
        <v>562</v>
      </c>
      <c r="D3787" t="s">
        <v>569</v>
      </c>
      <c r="E3787" t="s">
        <v>570</v>
      </c>
      <c r="F3787" t="s">
        <v>413</v>
      </c>
      <c r="G3787">
        <v>3026</v>
      </c>
      <c r="H3787">
        <v>3026</v>
      </c>
      <c r="I3787">
        <v>2988</v>
      </c>
      <c r="J3787">
        <v>2988</v>
      </c>
      <c r="K3787">
        <v>431</v>
      </c>
      <c r="L3787">
        <v>1</v>
      </c>
      <c r="M3787">
        <v>2510</v>
      </c>
      <c r="N3787">
        <v>84</v>
      </c>
      <c r="O3787">
        <v>0</v>
      </c>
      <c r="P3787">
        <v>0</v>
      </c>
      <c r="Q3787">
        <v>0</v>
      </c>
    </row>
    <row r="3788" spans="1:17" x14ac:dyDescent="0.2">
      <c r="A3788" s="121">
        <v>40512</v>
      </c>
      <c r="B3788" t="s">
        <v>406</v>
      </c>
      <c r="C3788" t="s">
        <v>571</v>
      </c>
      <c r="D3788" t="s">
        <v>572</v>
      </c>
      <c r="E3788" t="s">
        <v>573</v>
      </c>
      <c r="F3788" t="s">
        <v>410</v>
      </c>
      <c r="G3788">
        <v>188</v>
      </c>
      <c r="I3788">
        <v>188</v>
      </c>
    </row>
    <row r="3789" spans="1:17" x14ac:dyDescent="0.2">
      <c r="A3789" s="121">
        <v>40512</v>
      </c>
      <c r="B3789" t="s">
        <v>406</v>
      </c>
      <c r="C3789" t="s">
        <v>574</v>
      </c>
      <c r="D3789" t="s">
        <v>575</v>
      </c>
      <c r="E3789" t="s">
        <v>576</v>
      </c>
      <c r="F3789" t="s">
        <v>413</v>
      </c>
      <c r="G3789">
        <v>608</v>
      </c>
      <c r="H3789">
        <v>608</v>
      </c>
      <c r="I3789">
        <v>608</v>
      </c>
      <c r="J3789">
        <v>608</v>
      </c>
      <c r="K3789">
        <v>126</v>
      </c>
      <c r="L3789">
        <v>0</v>
      </c>
      <c r="M3789">
        <v>454</v>
      </c>
      <c r="N3789">
        <v>2</v>
      </c>
      <c r="O3789">
        <v>26</v>
      </c>
      <c r="P3789">
        <v>0</v>
      </c>
      <c r="Q3789">
        <v>0</v>
      </c>
    </row>
    <row r="3790" spans="1:17" x14ac:dyDescent="0.2">
      <c r="A3790" s="121">
        <v>40512</v>
      </c>
      <c r="B3790" t="s">
        <v>406</v>
      </c>
      <c r="C3790" t="s">
        <v>577</v>
      </c>
      <c r="D3790" t="s">
        <v>578</v>
      </c>
      <c r="E3790" t="s">
        <v>579</v>
      </c>
      <c r="F3790" t="s">
        <v>413</v>
      </c>
      <c r="G3790">
        <v>3737</v>
      </c>
      <c r="H3790">
        <v>3737</v>
      </c>
      <c r="I3790">
        <v>3694</v>
      </c>
      <c r="J3790">
        <v>3694</v>
      </c>
      <c r="K3790">
        <v>829</v>
      </c>
      <c r="L3790">
        <v>12</v>
      </c>
      <c r="M3790">
        <v>2844</v>
      </c>
      <c r="N3790">
        <v>52</v>
      </c>
      <c r="O3790">
        <v>0</v>
      </c>
      <c r="P3790">
        <v>0</v>
      </c>
      <c r="Q3790">
        <v>0</v>
      </c>
    </row>
    <row r="3791" spans="1:17" x14ac:dyDescent="0.2">
      <c r="A3791" s="121">
        <v>40512</v>
      </c>
      <c r="B3791" t="s">
        <v>406</v>
      </c>
      <c r="C3791" t="s">
        <v>577</v>
      </c>
      <c r="D3791" t="s">
        <v>580</v>
      </c>
      <c r="E3791" t="s">
        <v>581</v>
      </c>
      <c r="F3791" t="s">
        <v>413</v>
      </c>
      <c r="G3791">
        <v>1824</v>
      </c>
      <c r="H3791">
        <v>1824</v>
      </c>
      <c r="I3791">
        <v>1813</v>
      </c>
      <c r="J3791">
        <v>1813</v>
      </c>
      <c r="K3791">
        <v>358</v>
      </c>
      <c r="L3791">
        <v>0</v>
      </c>
      <c r="M3791">
        <v>1241</v>
      </c>
      <c r="N3791">
        <v>185</v>
      </c>
      <c r="O3791">
        <v>40</v>
      </c>
      <c r="P3791">
        <v>0</v>
      </c>
      <c r="Q3791">
        <v>0</v>
      </c>
    </row>
    <row r="3792" spans="1:17" x14ac:dyDescent="0.2">
      <c r="A3792" s="121">
        <v>40512</v>
      </c>
      <c r="B3792" t="s">
        <v>406</v>
      </c>
      <c r="C3792" t="s">
        <v>577</v>
      </c>
      <c r="D3792" t="s">
        <v>609</v>
      </c>
      <c r="E3792" t="s">
        <v>610</v>
      </c>
      <c r="F3792" t="s">
        <v>410</v>
      </c>
      <c r="G3792">
        <v>24</v>
      </c>
      <c r="H3792">
        <v>24</v>
      </c>
      <c r="I3792">
        <v>24</v>
      </c>
      <c r="J3792">
        <v>24</v>
      </c>
      <c r="K3792">
        <v>0</v>
      </c>
      <c r="L3792">
        <v>0</v>
      </c>
      <c r="M3792">
        <v>19</v>
      </c>
      <c r="N3792">
        <v>3</v>
      </c>
      <c r="O3792">
        <v>2</v>
      </c>
      <c r="P3792">
        <v>0</v>
      </c>
      <c r="Q3792">
        <v>0</v>
      </c>
    </row>
    <row r="3793" spans="1:17" x14ac:dyDescent="0.2">
      <c r="A3793" s="121">
        <v>40512</v>
      </c>
      <c r="B3793" t="s">
        <v>406</v>
      </c>
      <c r="C3793" t="s">
        <v>577</v>
      </c>
      <c r="D3793" t="s">
        <v>611</v>
      </c>
      <c r="E3793" t="s">
        <v>612</v>
      </c>
      <c r="F3793" t="s">
        <v>410</v>
      </c>
      <c r="G3793">
        <v>7</v>
      </c>
      <c r="H3793">
        <v>7</v>
      </c>
      <c r="I3793">
        <v>7</v>
      </c>
      <c r="J3793">
        <v>7</v>
      </c>
      <c r="K3793">
        <v>0</v>
      </c>
      <c r="L3793">
        <v>0</v>
      </c>
      <c r="M3793">
        <v>4</v>
      </c>
      <c r="N3793">
        <v>2</v>
      </c>
      <c r="O3793">
        <v>1</v>
      </c>
      <c r="P3793">
        <v>0</v>
      </c>
      <c r="Q3793">
        <v>0</v>
      </c>
    </row>
    <row r="3794" spans="1:17" x14ac:dyDescent="0.2">
      <c r="A3794" s="121">
        <v>40512</v>
      </c>
      <c r="B3794" t="s">
        <v>406</v>
      </c>
      <c r="C3794" t="s">
        <v>577</v>
      </c>
      <c r="D3794" t="s">
        <v>584</v>
      </c>
      <c r="E3794" t="s">
        <v>585</v>
      </c>
      <c r="F3794" t="s">
        <v>410</v>
      </c>
      <c r="G3794">
        <v>200</v>
      </c>
      <c r="H3794">
        <v>200</v>
      </c>
      <c r="I3794">
        <v>200</v>
      </c>
      <c r="J3794">
        <v>200</v>
      </c>
      <c r="K3794">
        <v>2</v>
      </c>
      <c r="L3794">
        <v>0</v>
      </c>
      <c r="M3794">
        <v>178</v>
      </c>
      <c r="N3794">
        <v>20</v>
      </c>
      <c r="O3794">
        <v>0</v>
      </c>
      <c r="P3794">
        <v>0</v>
      </c>
      <c r="Q3794">
        <v>0</v>
      </c>
    </row>
    <row r="3795" spans="1:17" x14ac:dyDescent="0.2">
      <c r="A3795" s="121">
        <v>40512</v>
      </c>
      <c r="B3795" t="s">
        <v>406</v>
      </c>
      <c r="C3795" t="s">
        <v>577</v>
      </c>
      <c r="D3795" t="s">
        <v>586</v>
      </c>
      <c r="E3795" t="s">
        <v>587</v>
      </c>
      <c r="F3795" t="s">
        <v>410</v>
      </c>
      <c r="G3795">
        <v>1065</v>
      </c>
      <c r="H3795">
        <v>1065</v>
      </c>
      <c r="I3795">
        <v>1064</v>
      </c>
      <c r="J3795">
        <v>1064</v>
      </c>
      <c r="K3795">
        <v>0</v>
      </c>
      <c r="L3795">
        <v>0</v>
      </c>
      <c r="M3795">
        <v>859</v>
      </c>
      <c r="N3795">
        <v>161</v>
      </c>
      <c r="O3795">
        <v>45</v>
      </c>
      <c r="P3795">
        <v>0</v>
      </c>
      <c r="Q3795">
        <v>0</v>
      </c>
    </row>
    <row r="3796" spans="1:17" x14ac:dyDescent="0.2">
      <c r="A3796" s="121">
        <v>40512</v>
      </c>
      <c r="B3796" t="s">
        <v>406</v>
      </c>
      <c r="C3796" t="s">
        <v>577</v>
      </c>
      <c r="D3796" t="s">
        <v>588</v>
      </c>
      <c r="E3796" t="s">
        <v>589</v>
      </c>
      <c r="F3796" t="s">
        <v>410</v>
      </c>
      <c r="G3796">
        <v>224</v>
      </c>
      <c r="H3796">
        <v>224</v>
      </c>
      <c r="I3796">
        <v>224</v>
      </c>
      <c r="J3796">
        <v>224</v>
      </c>
      <c r="K3796">
        <v>0</v>
      </c>
      <c r="L3796">
        <v>0</v>
      </c>
      <c r="M3796">
        <v>184</v>
      </c>
      <c r="N3796">
        <v>27</v>
      </c>
      <c r="O3796">
        <v>13</v>
      </c>
      <c r="P3796">
        <v>0</v>
      </c>
      <c r="Q3796">
        <v>0</v>
      </c>
    </row>
    <row r="3797" spans="1:17" x14ac:dyDescent="0.2">
      <c r="A3797" s="121">
        <v>40512</v>
      </c>
      <c r="B3797" t="s">
        <v>406</v>
      </c>
      <c r="C3797" t="s">
        <v>577</v>
      </c>
      <c r="D3797" t="s">
        <v>613</v>
      </c>
      <c r="E3797" t="s">
        <v>614</v>
      </c>
      <c r="F3797" t="s">
        <v>410</v>
      </c>
      <c r="G3797">
        <v>156</v>
      </c>
      <c r="H3797">
        <v>156</v>
      </c>
      <c r="I3797">
        <v>156</v>
      </c>
      <c r="J3797">
        <v>156</v>
      </c>
      <c r="K3797">
        <v>0</v>
      </c>
      <c r="L3797">
        <v>0</v>
      </c>
      <c r="M3797">
        <v>123</v>
      </c>
      <c r="N3797">
        <v>24</v>
      </c>
      <c r="O3797">
        <v>9</v>
      </c>
      <c r="P3797">
        <v>0</v>
      </c>
      <c r="Q3797">
        <v>0</v>
      </c>
    </row>
    <row r="3798" spans="1:17" x14ac:dyDescent="0.2">
      <c r="A3798" s="121">
        <v>40512</v>
      </c>
      <c r="B3798" t="s">
        <v>406</v>
      </c>
      <c r="C3798" t="s">
        <v>577</v>
      </c>
      <c r="D3798" t="s">
        <v>590</v>
      </c>
      <c r="E3798" t="s">
        <v>591</v>
      </c>
      <c r="F3798" t="s">
        <v>410</v>
      </c>
      <c r="G3798">
        <v>452</v>
      </c>
      <c r="H3798">
        <v>452</v>
      </c>
      <c r="I3798">
        <v>452</v>
      </c>
      <c r="J3798">
        <v>452</v>
      </c>
      <c r="K3798">
        <v>0</v>
      </c>
      <c r="L3798">
        <v>0</v>
      </c>
      <c r="M3798">
        <v>406</v>
      </c>
      <c r="N3798">
        <v>31</v>
      </c>
      <c r="O3798">
        <v>15</v>
      </c>
      <c r="P3798">
        <v>0</v>
      </c>
      <c r="Q3798">
        <v>0</v>
      </c>
    </row>
    <row r="3799" spans="1:17" x14ac:dyDescent="0.2">
      <c r="A3799" s="121">
        <v>40512</v>
      </c>
      <c r="B3799" t="s">
        <v>406</v>
      </c>
      <c r="C3799" t="s">
        <v>577</v>
      </c>
      <c r="D3799" t="s">
        <v>607</v>
      </c>
      <c r="E3799" t="s">
        <v>608</v>
      </c>
      <c r="F3799" t="s">
        <v>410</v>
      </c>
      <c r="G3799">
        <v>89</v>
      </c>
      <c r="H3799">
        <v>89</v>
      </c>
      <c r="I3799">
        <v>89</v>
      </c>
      <c r="J3799">
        <v>89</v>
      </c>
      <c r="K3799">
        <v>0</v>
      </c>
      <c r="L3799">
        <v>0</v>
      </c>
      <c r="M3799">
        <v>78</v>
      </c>
      <c r="N3799">
        <v>9</v>
      </c>
      <c r="O3799">
        <v>2</v>
      </c>
      <c r="P3799">
        <v>0</v>
      </c>
      <c r="Q3799">
        <v>0</v>
      </c>
    </row>
    <row r="3800" spans="1:17" x14ac:dyDescent="0.2">
      <c r="A3800" s="121">
        <v>40512</v>
      </c>
      <c r="B3800" t="s">
        <v>406</v>
      </c>
      <c r="C3800" t="s">
        <v>577</v>
      </c>
      <c r="D3800" t="s">
        <v>592</v>
      </c>
      <c r="E3800" t="s">
        <v>593</v>
      </c>
      <c r="F3800" t="s">
        <v>410</v>
      </c>
      <c r="G3800">
        <v>533</v>
      </c>
      <c r="H3800">
        <v>533</v>
      </c>
      <c r="I3800">
        <v>533</v>
      </c>
      <c r="J3800">
        <v>533</v>
      </c>
      <c r="K3800">
        <v>0</v>
      </c>
      <c r="L3800">
        <v>0</v>
      </c>
      <c r="M3800">
        <v>451</v>
      </c>
      <c r="N3800">
        <v>46</v>
      </c>
      <c r="O3800">
        <v>36</v>
      </c>
      <c r="P3800">
        <v>0</v>
      </c>
      <c r="Q3800">
        <v>0</v>
      </c>
    </row>
    <row r="3801" spans="1:17" x14ac:dyDescent="0.2">
      <c r="A3801" s="121">
        <v>40512</v>
      </c>
      <c r="B3801" t="s">
        <v>406</v>
      </c>
      <c r="C3801" t="s">
        <v>594</v>
      </c>
      <c r="D3801" t="s">
        <v>595</v>
      </c>
      <c r="E3801" t="s">
        <v>596</v>
      </c>
      <c r="F3801" t="s">
        <v>410</v>
      </c>
      <c r="G3801">
        <v>24</v>
      </c>
      <c r="I3801">
        <v>22</v>
      </c>
    </row>
    <row r="3802" spans="1:17" x14ac:dyDescent="0.2">
      <c r="A3802" s="121">
        <v>40512</v>
      </c>
      <c r="B3802" t="s">
        <v>406</v>
      </c>
      <c r="C3802" t="s">
        <v>594</v>
      </c>
      <c r="D3802" t="s">
        <v>597</v>
      </c>
      <c r="E3802" t="s">
        <v>598</v>
      </c>
      <c r="F3802" t="s">
        <v>413</v>
      </c>
      <c r="G3802">
        <v>475</v>
      </c>
      <c r="H3802">
        <v>475</v>
      </c>
      <c r="I3802">
        <v>465</v>
      </c>
      <c r="J3802">
        <v>465</v>
      </c>
      <c r="K3802">
        <v>126</v>
      </c>
      <c r="L3802">
        <v>0</v>
      </c>
      <c r="M3802">
        <v>346</v>
      </c>
      <c r="N3802">
        <v>1</v>
      </c>
      <c r="O3802">
        <v>2</v>
      </c>
      <c r="P3802">
        <v>0</v>
      </c>
      <c r="Q3802">
        <v>0</v>
      </c>
    </row>
    <row r="3803" spans="1:17" x14ac:dyDescent="0.2">
      <c r="A3803" s="121">
        <v>40512</v>
      </c>
      <c r="B3803" t="s">
        <v>406</v>
      </c>
      <c r="C3803" t="s">
        <v>594</v>
      </c>
      <c r="D3803" t="s">
        <v>599</v>
      </c>
      <c r="E3803" t="s">
        <v>600</v>
      </c>
      <c r="F3803" t="s">
        <v>410</v>
      </c>
      <c r="G3803">
        <v>81</v>
      </c>
      <c r="I3803">
        <v>81</v>
      </c>
    </row>
    <row r="3804" spans="1:17" x14ac:dyDescent="0.2">
      <c r="A3804" s="121">
        <v>40543</v>
      </c>
      <c r="B3804" t="s">
        <v>406</v>
      </c>
      <c r="C3804" t="s">
        <v>407</v>
      </c>
      <c r="D3804" t="s">
        <v>408</v>
      </c>
      <c r="E3804" t="s">
        <v>409</v>
      </c>
      <c r="F3804" t="s">
        <v>410</v>
      </c>
      <c r="G3804">
        <v>190</v>
      </c>
      <c r="I3804">
        <v>190</v>
      </c>
    </row>
    <row r="3805" spans="1:17" x14ac:dyDescent="0.2">
      <c r="A3805" s="121">
        <v>40543</v>
      </c>
      <c r="B3805" t="s">
        <v>406</v>
      </c>
      <c r="C3805" t="s">
        <v>407</v>
      </c>
      <c r="D3805" t="s">
        <v>601</v>
      </c>
      <c r="E3805" t="s">
        <v>602</v>
      </c>
      <c r="F3805" t="s">
        <v>410</v>
      </c>
      <c r="G3805">
        <v>29</v>
      </c>
      <c r="I3805">
        <v>29</v>
      </c>
    </row>
    <row r="3806" spans="1:17" x14ac:dyDescent="0.2">
      <c r="A3806" s="121">
        <v>40543</v>
      </c>
      <c r="B3806" t="s">
        <v>406</v>
      </c>
      <c r="C3806" t="s">
        <v>407</v>
      </c>
      <c r="D3806" t="s">
        <v>411</v>
      </c>
      <c r="E3806" t="s">
        <v>412</v>
      </c>
      <c r="F3806" t="s">
        <v>413</v>
      </c>
      <c r="G3806">
        <v>5242</v>
      </c>
      <c r="H3806">
        <v>5242</v>
      </c>
      <c r="I3806">
        <v>5142</v>
      </c>
      <c r="J3806">
        <v>5142</v>
      </c>
      <c r="K3806">
        <v>2278</v>
      </c>
      <c r="L3806">
        <v>6</v>
      </c>
      <c r="M3806">
        <v>2701</v>
      </c>
      <c r="N3806">
        <v>82</v>
      </c>
      <c r="O3806">
        <v>175</v>
      </c>
      <c r="P3806">
        <v>1</v>
      </c>
      <c r="Q3806">
        <v>0</v>
      </c>
    </row>
    <row r="3807" spans="1:17" x14ac:dyDescent="0.2">
      <c r="A3807" s="121">
        <v>40543</v>
      </c>
      <c r="B3807" t="s">
        <v>406</v>
      </c>
      <c r="C3807" t="s">
        <v>407</v>
      </c>
      <c r="D3807" t="s">
        <v>416</v>
      </c>
      <c r="E3807" t="s">
        <v>417</v>
      </c>
      <c r="F3807" t="s">
        <v>413</v>
      </c>
      <c r="G3807">
        <v>3471</v>
      </c>
      <c r="H3807">
        <v>3471</v>
      </c>
      <c r="I3807">
        <v>3372</v>
      </c>
      <c r="J3807">
        <v>3372</v>
      </c>
      <c r="K3807">
        <v>1334</v>
      </c>
      <c r="L3807">
        <v>4</v>
      </c>
      <c r="M3807">
        <v>1958</v>
      </c>
      <c r="N3807">
        <v>120</v>
      </c>
      <c r="O3807">
        <v>55</v>
      </c>
      <c r="P3807">
        <v>2</v>
      </c>
      <c r="Q3807">
        <v>1</v>
      </c>
    </row>
    <row r="3808" spans="1:17" x14ac:dyDescent="0.2">
      <c r="A3808" s="121">
        <v>40543</v>
      </c>
      <c r="B3808" t="s">
        <v>406</v>
      </c>
      <c r="C3808" t="s">
        <v>407</v>
      </c>
      <c r="D3808" t="s">
        <v>618</v>
      </c>
      <c r="E3808" t="s">
        <v>619</v>
      </c>
      <c r="F3808" t="s">
        <v>410</v>
      </c>
      <c r="G3808">
        <v>86</v>
      </c>
      <c r="I3808">
        <v>86</v>
      </c>
    </row>
    <row r="3809" spans="1:17" x14ac:dyDescent="0.2">
      <c r="A3809" s="121">
        <v>40543</v>
      </c>
      <c r="B3809" t="s">
        <v>406</v>
      </c>
      <c r="C3809" t="s">
        <v>418</v>
      </c>
      <c r="D3809" t="s">
        <v>419</v>
      </c>
      <c r="E3809" t="s">
        <v>420</v>
      </c>
      <c r="F3809" t="s">
        <v>410</v>
      </c>
      <c r="G3809">
        <v>7</v>
      </c>
      <c r="I3809">
        <v>7</v>
      </c>
    </row>
    <row r="3810" spans="1:17" x14ac:dyDescent="0.2">
      <c r="A3810" s="121">
        <v>40543</v>
      </c>
      <c r="B3810" t="s">
        <v>406</v>
      </c>
      <c r="C3810" t="s">
        <v>418</v>
      </c>
      <c r="D3810" t="s">
        <v>421</v>
      </c>
      <c r="E3810" t="s">
        <v>422</v>
      </c>
      <c r="F3810" t="s">
        <v>410</v>
      </c>
      <c r="G3810">
        <v>66</v>
      </c>
      <c r="I3810">
        <v>66</v>
      </c>
    </row>
    <row r="3811" spans="1:17" x14ac:dyDescent="0.2">
      <c r="A3811" s="121">
        <v>40543</v>
      </c>
      <c r="B3811" t="s">
        <v>406</v>
      </c>
      <c r="C3811" t="s">
        <v>418</v>
      </c>
      <c r="D3811" t="s">
        <v>423</v>
      </c>
      <c r="E3811" t="s">
        <v>424</v>
      </c>
      <c r="F3811" t="s">
        <v>410</v>
      </c>
      <c r="G3811">
        <v>19</v>
      </c>
      <c r="I3811">
        <v>19</v>
      </c>
    </row>
    <row r="3812" spans="1:17" x14ac:dyDescent="0.2">
      <c r="A3812" s="121">
        <v>40543</v>
      </c>
      <c r="B3812" t="s">
        <v>406</v>
      </c>
      <c r="C3812" t="s">
        <v>418</v>
      </c>
      <c r="D3812" t="s">
        <v>425</v>
      </c>
      <c r="E3812" t="s">
        <v>426</v>
      </c>
      <c r="F3812" t="s">
        <v>410</v>
      </c>
      <c r="G3812">
        <v>51</v>
      </c>
      <c r="I3812">
        <v>51</v>
      </c>
    </row>
    <row r="3813" spans="1:17" x14ac:dyDescent="0.2">
      <c r="A3813" s="121">
        <v>40543</v>
      </c>
      <c r="B3813" t="s">
        <v>406</v>
      </c>
      <c r="C3813" t="s">
        <v>418</v>
      </c>
      <c r="D3813" t="s">
        <v>427</v>
      </c>
      <c r="E3813" t="s">
        <v>428</v>
      </c>
      <c r="F3813" t="s">
        <v>413</v>
      </c>
      <c r="G3813">
        <v>1821</v>
      </c>
      <c r="H3813">
        <v>1821</v>
      </c>
      <c r="I3813">
        <v>1713</v>
      </c>
      <c r="J3813">
        <v>1713</v>
      </c>
      <c r="K3813">
        <v>726</v>
      </c>
      <c r="L3813">
        <v>3</v>
      </c>
      <c r="M3813">
        <v>665</v>
      </c>
      <c r="N3813">
        <v>376</v>
      </c>
      <c r="O3813">
        <v>51</v>
      </c>
      <c r="P3813">
        <v>10</v>
      </c>
      <c r="Q3813">
        <v>0</v>
      </c>
    </row>
    <row r="3814" spans="1:17" x14ac:dyDescent="0.2">
      <c r="A3814" s="121">
        <v>40543</v>
      </c>
      <c r="B3814" t="s">
        <v>406</v>
      </c>
      <c r="C3814" t="s">
        <v>429</v>
      </c>
      <c r="D3814" t="s">
        <v>430</v>
      </c>
      <c r="E3814" t="s">
        <v>431</v>
      </c>
      <c r="F3814" t="s">
        <v>410</v>
      </c>
      <c r="G3814">
        <v>33</v>
      </c>
      <c r="I3814">
        <v>33</v>
      </c>
    </row>
    <row r="3815" spans="1:17" x14ac:dyDescent="0.2">
      <c r="A3815" s="121">
        <v>40543</v>
      </c>
      <c r="B3815" t="s">
        <v>406</v>
      </c>
      <c r="C3815" t="s">
        <v>429</v>
      </c>
      <c r="D3815" t="s">
        <v>432</v>
      </c>
      <c r="E3815" t="s">
        <v>433</v>
      </c>
      <c r="F3815" t="s">
        <v>410</v>
      </c>
      <c r="G3815">
        <v>63</v>
      </c>
      <c r="I3815">
        <v>63</v>
      </c>
    </row>
    <row r="3816" spans="1:17" x14ac:dyDescent="0.2">
      <c r="A3816" s="121">
        <v>40543</v>
      </c>
      <c r="B3816" t="s">
        <v>406</v>
      </c>
      <c r="C3816" t="s">
        <v>429</v>
      </c>
      <c r="D3816" t="s">
        <v>434</v>
      </c>
      <c r="E3816" t="s">
        <v>435</v>
      </c>
      <c r="F3816" t="s">
        <v>410</v>
      </c>
      <c r="G3816">
        <v>5</v>
      </c>
      <c r="I3816">
        <v>5</v>
      </c>
    </row>
    <row r="3817" spans="1:17" x14ac:dyDescent="0.2">
      <c r="A3817" s="121">
        <v>40543</v>
      </c>
      <c r="B3817" t="s">
        <v>406</v>
      </c>
      <c r="C3817" t="s">
        <v>429</v>
      </c>
      <c r="D3817" t="s">
        <v>436</v>
      </c>
      <c r="E3817" t="s">
        <v>437</v>
      </c>
      <c r="F3817" t="s">
        <v>410</v>
      </c>
      <c r="G3817">
        <v>29</v>
      </c>
      <c r="I3817">
        <v>29</v>
      </c>
    </row>
    <row r="3818" spans="1:17" x14ac:dyDescent="0.2">
      <c r="A3818" s="121">
        <v>40543</v>
      </c>
      <c r="B3818" t="s">
        <v>406</v>
      </c>
      <c r="C3818" t="s">
        <v>429</v>
      </c>
      <c r="D3818" t="s">
        <v>438</v>
      </c>
      <c r="E3818" t="s">
        <v>439</v>
      </c>
      <c r="F3818" t="s">
        <v>413</v>
      </c>
      <c r="G3818">
        <v>922</v>
      </c>
      <c r="H3818">
        <v>922</v>
      </c>
      <c r="I3818">
        <v>896</v>
      </c>
      <c r="J3818">
        <v>896</v>
      </c>
      <c r="K3818">
        <v>111</v>
      </c>
      <c r="L3818">
        <v>2</v>
      </c>
      <c r="M3818">
        <v>789</v>
      </c>
      <c r="N3818">
        <v>20</v>
      </c>
      <c r="O3818">
        <v>0</v>
      </c>
      <c r="P3818">
        <v>1</v>
      </c>
      <c r="Q3818">
        <v>0</v>
      </c>
    </row>
    <row r="3819" spans="1:17" x14ac:dyDescent="0.2">
      <c r="A3819" s="121">
        <v>40543</v>
      </c>
      <c r="B3819" t="s">
        <v>406</v>
      </c>
      <c r="C3819" t="s">
        <v>429</v>
      </c>
      <c r="D3819" t="s">
        <v>440</v>
      </c>
      <c r="E3819" t="s">
        <v>441</v>
      </c>
      <c r="F3819" t="s">
        <v>413</v>
      </c>
      <c r="G3819">
        <v>2720</v>
      </c>
      <c r="H3819">
        <v>2720</v>
      </c>
      <c r="I3819">
        <v>2556</v>
      </c>
      <c r="J3819">
        <v>2556</v>
      </c>
      <c r="K3819">
        <v>1030</v>
      </c>
      <c r="L3819">
        <v>4</v>
      </c>
      <c r="M3819">
        <v>1596</v>
      </c>
      <c r="N3819">
        <v>90</v>
      </c>
      <c r="O3819">
        <v>0</v>
      </c>
      <c r="P3819">
        <v>6</v>
      </c>
      <c r="Q3819">
        <v>1</v>
      </c>
    </row>
    <row r="3820" spans="1:17" x14ac:dyDescent="0.2">
      <c r="A3820" s="121">
        <v>40543</v>
      </c>
      <c r="B3820" t="s">
        <v>406</v>
      </c>
      <c r="C3820" t="s">
        <v>442</v>
      </c>
      <c r="D3820" t="s">
        <v>443</v>
      </c>
      <c r="E3820" t="s">
        <v>444</v>
      </c>
      <c r="F3820" t="s">
        <v>413</v>
      </c>
      <c r="G3820">
        <v>2888</v>
      </c>
      <c r="H3820">
        <v>2888</v>
      </c>
      <c r="I3820">
        <v>2655</v>
      </c>
      <c r="J3820">
        <v>2655</v>
      </c>
      <c r="K3820">
        <v>426</v>
      </c>
      <c r="L3820">
        <v>9</v>
      </c>
      <c r="M3820">
        <v>2313</v>
      </c>
      <c r="N3820">
        <v>73</v>
      </c>
      <c r="O3820">
        <v>67</v>
      </c>
      <c r="P3820">
        <v>54</v>
      </c>
      <c r="Q3820">
        <v>19</v>
      </c>
    </row>
    <row r="3821" spans="1:17" x14ac:dyDescent="0.2">
      <c r="A3821" s="121">
        <v>40543</v>
      </c>
      <c r="B3821" t="s">
        <v>406</v>
      </c>
      <c r="C3821" t="s">
        <v>442</v>
      </c>
      <c r="D3821" t="s">
        <v>445</v>
      </c>
      <c r="E3821" t="s">
        <v>446</v>
      </c>
      <c r="F3821" t="s">
        <v>410</v>
      </c>
      <c r="G3821">
        <v>80</v>
      </c>
      <c r="I3821">
        <v>80</v>
      </c>
    </row>
    <row r="3822" spans="1:17" x14ac:dyDescent="0.2">
      <c r="A3822" s="121">
        <v>40543</v>
      </c>
      <c r="B3822" t="s">
        <v>406</v>
      </c>
      <c r="C3822" t="s">
        <v>442</v>
      </c>
      <c r="D3822" t="s">
        <v>447</v>
      </c>
      <c r="E3822" t="s">
        <v>448</v>
      </c>
      <c r="F3822" t="s">
        <v>410</v>
      </c>
      <c r="G3822">
        <v>291</v>
      </c>
      <c r="I3822">
        <v>291</v>
      </c>
    </row>
    <row r="3823" spans="1:17" x14ac:dyDescent="0.2">
      <c r="A3823" s="121">
        <v>40543</v>
      </c>
      <c r="B3823" t="s">
        <v>406</v>
      </c>
      <c r="C3823" t="s">
        <v>442</v>
      </c>
      <c r="D3823" t="s">
        <v>449</v>
      </c>
      <c r="E3823" t="s">
        <v>450</v>
      </c>
      <c r="F3823" t="s">
        <v>413</v>
      </c>
      <c r="G3823">
        <v>3149</v>
      </c>
      <c r="H3823">
        <v>3149</v>
      </c>
      <c r="I3823">
        <v>2716</v>
      </c>
      <c r="J3823">
        <v>2716</v>
      </c>
      <c r="K3823">
        <v>733</v>
      </c>
      <c r="L3823">
        <v>6</v>
      </c>
      <c r="M3823">
        <v>2309</v>
      </c>
      <c r="N3823">
        <v>51</v>
      </c>
      <c r="O3823">
        <v>50</v>
      </c>
      <c r="P3823">
        <v>111</v>
      </c>
      <c r="Q3823">
        <v>36</v>
      </c>
    </row>
    <row r="3824" spans="1:17" x14ac:dyDescent="0.2">
      <c r="A3824" s="121">
        <v>40543</v>
      </c>
      <c r="B3824" t="s">
        <v>406</v>
      </c>
      <c r="C3824" t="s">
        <v>451</v>
      </c>
      <c r="D3824" t="s">
        <v>452</v>
      </c>
      <c r="E3824" t="s">
        <v>453</v>
      </c>
      <c r="F3824" t="s">
        <v>410</v>
      </c>
      <c r="G3824">
        <v>1198</v>
      </c>
      <c r="H3824">
        <v>1198</v>
      </c>
      <c r="I3824">
        <v>1197</v>
      </c>
      <c r="J3824">
        <v>1197</v>
      </c>
      <c r="K3824">
        <v>0</v>
      </c>
      <c r="L3824">
        <v>0</v>
      </c>
      <c r="M3824">
        <v>843</v>
      </c>
      <c r="N3824">
        <v>94</v>
      </c>
      <c r="O3824">
        <v>261</v>
      </c>
      <c r="P3824">
        <v>0</v>
      </c>
      <c r="Q3824">
        <v>0</v>
      </c>
    </row>
    <row r="3825" spans="1:17" x14ac:dyDescent="0.2">
      <c r="A3825" s="121">
        <v>40543</v>
      </c>
      <c r="B3825" t="s">
        <v>406</v>
      </c>
      <c r="C3825" t="s">
        <v>451</v>
      </c>
      <c r="D3825" t="s">
        <v>454</v>
      </c>
      <c r="E3825" t="s">
        <v>455</v>
      </c>
      <c r="F3825" t="s">
        <v>413</v>
      </c>
      <c r="G3825">
        <v>4497</v>
      </c>
      <c r="H3825">
        <v>4497</v>
      </c>
      <c r="I3825">
        <v>3971</v>
      </c>
      <c r="J3825">
        <v>3971</v>
      </c>
      <c r="K3825">
        <v>1255</v>
      </c>
      <c r="L3825">
        <v>13</v>
      </c>
      <c r="M3825">
        <v>2308</v>
      </c>
      <c r="N3825">
        <v>36</v>
      </c>
      <c r="O3825">
        <v>885</v>
      </c>
      <c r="P3825">
        <v>12</v>
      </c>
      <c r="Q3825">
        <v>0</v>
      </c>
    </row>
    <row r="3826" spans="1:17" x14ac:dyDescent="0.2">
      <c r="A3826" s="121">
        <v>40543</v>
      </c>
      <c r="B3826" t="s">
        <v>406</v>
      </c>
      <c r="C3826" t="s">
        <v>456</v>
      </c>
      <c r="D3826" t="s">
        <v>457</v>
      </c>
      <c r="E3826" t="s">
        <v>458</v>
      </c>
      <c r="F3826" t="s">
        <v>413</v>
      </c>
      <c r="G3826">
        <v>5094</v>
      </c>
      <c r="H3826">
        <v>5094</v>
      </c>
      <c r="I3826">
        <v>4889</v>
      </c>
      <c r="J3826">
        <v>4889</v>
      </c>
      <c r="K3826">
        <v>1330</v>
      </c>
      <c r="L3826">
        <v>21</v>
      </c>
      <c r="M3826">
        <v>3625</v>
      </c>
      <c r="N3826">
        <v>79</v>
      </c>
      <c r="O3826">
        <v>39</v>
      </c>
      <c r="P3826">
        <v>18</v>
      </c>
      <c r="Q3826">
        <v>3</v>
      </c>
    </row>
    <row r="3827" spans="1:17" x14ac:dyDescent="0.2">
      <c r="A3827" s="121">
        <v>40543</v>
      </c>
      <c r="B3827" t="s">
        <v>406</v>
      </c>
      <c r="C3827" t="s">
        <v>456</v>
      </c>
      <c r="D3827" t="s">
        <v>459</v>
      </c>
      <c r="E3827" t="s">
        <v>460</v>
      </c>
      <c r="F3827" t="s">
        <v>413</v>
      </c>
      <c r="G3827">
        <v>1064</v>
      </c>
      <c r="H3827">
        <v>1064</v>
      </c>
      <c r="I3827">
        <v>1061</v>
      </c>
      <c r="J3827">
        <v>1061</v>
      </c>
      <c r="K3827">
        <v>354</v>
      </c>
      <c r="L3827">
        <v>0</v>
      </c>
      <c r="M3827">
        <v>709</v>
      </c>
      <c r="N3827">
        <v>0</v>
      </c>
      <c r="O3827">
        <v>1</v>
      </c>
      <c r="P3827">
        <v>0</v>
      </c>
      <c r="Q3827">
        <v>0</v>
      </c>
    </row>
    <row r="3828" spans="1:17" x14ac:dyDescent="0.2">
      <c r="A3828" s="121">
        <v>40543</v>
      </c>
      <c r="B3828" t="s">
        <v>406</v>
      </c>
      <c r="C3828" t="s">
        <v>456</v>
      </c>
      <c r="D3828" t="s">
        <v>461</v>
      </c>
      <c r="E3828" t="s">
        <v>462</v>
      </c>
      <c r="F3828" t="s">
        <v>410</v>
      </c>
      <c r="G3828">
        <v>55</v>
      </c>
      <c r="I3828">
        <v>55</v>
      </c>
    </row>
    <row r="3829" spans="1:17" x14ac:dyDescent="0.2">
      <c r="A3829" s="121">
        <v>40543</v>
      </c>
      <c r="B3829" t="s">
        <v>406</v>
      </c>
      <c r="C3829" t="s">
        <v>456</v>
      </c>
      <c r="D3829" t="s">
        <v>463</v>
      </c>
      <c r="E3829" t="s">
        <v>464</v>
      </c>
      <c r="F3829" t="s">
        <v>410</v>
      </c>
      <c r="G3829">
        <v>30</v>
      </c>
      <c r="I3829">
        <v>30</v>
      </c>
    </row>
    <row r="3830" spans="1:17" x14ac:dyDescent="0.2">
      <c r="A3830" s="121">
        <v>40543</v>
      </c>
      <c r="B3830" t="s">
        <v>406</v>
      </c>
      <c r="C3830" t="s">
        <v>456</v>
      </c>
      <c r="D3830" t="s">
        <v>465</v>
      </c>
      <c r="E3830" t="s">
        <v>466</v>
      </c>
      <c r="F3830" t="s">
        <v>410</v>
      </c>
      <c r="G3830">
        <v>26</v>
      </c>
      <c r="I3830">
        <v>26</v>
      </c>
    </row>
    <row r="3831" spans="1:17" x14ac:dyDescent="0.2">
      <c r="A3831" s="121">
        <v>40543</v>
      </c>
      <c r="B3831" t="s">
        <v>406</v>
      </c>
      <c r="C3831" t="s">
        <v>456</v>
      </c>
      <c r="D3831" t="s">
        <v>467</v>
      </c>
      <c r="E3831" t="s">
        <v>468</v>
      </c>
      <c r="F3831" t="s">
        <v>410</v>
      </c>
      <c r="G3831">
        <v>917</v>
      </c>
      <c r="I3831">
        <v>911</v>
      </c>
    </row>
    <row r="3832" spans="1:17" x14ac:dyDescent="0.2">
      <c r="A3832" s="121">
        <v>40543</v>
      </c>
      <c r="B3832" t="s">
        <v>406</v>
      </c>
      <c r="C3832" t="s">
        <v>456</v>
      </c>
      <c r="D3832" t="s">
        <v>469</v>
      </c>
      <c r="E3832" t="s">
        <v>470</v>
      </c>
      <c r="F3832" t="s">
        <v>410</v>
      </c>
      <c r="G3832">
        <v>629</v>
      </c>
      <c r="I3832">
        <v>629</v>
      </c>
    </row>
    <row r="3833" spans="1:17" x14ac:dyDescent="0.2">
      <c r="A3833" s="121">
        <v>40543</v>
      </c>
      <c r="B3833" t="s">
        <v>406</v>
      </c>
      <c r="C3833" t="s">
        <v>456</v>
      </c>
      <c r="D3833" t="s">
        <v>471</v>
      </c>
      <c r="E3833" t="s">
        <v>472</v>
      </c>
      <c r="F3833" t="s">
        <v>410</v>
      </c>
      <c r="G3833">
        <v>201</v>
      </c>
      <c r="I3833">
        <v>201</v>
      </c>
    </row>
    <row r="3834" spans="1:17" x14ac:dyDescent="0.2">
      <c r="A3834" s="121">
        <v>40543</v>
      </c>
      <c r="B3834" t="s">
        <v>406</v>
      </c>
      <c r="C3834" t="s">
        <v>456</v>
      </c>
      <c r="D3834" t="s">
        <v>473</v>
      </c>
      <c r="E3834" t="s">
        <v>474</v>
      </c>
      <c r="F3834" t="s">
        <v>410</v>
      </c>
      <c r="G3834">
        <v>149</v>
      </c>
      <c r="I3834">
        <v>149</v>
      </c>
    </row>
    <row r="3835" spans="1:17" x14ac:dyDescent="0.2">
      <c r="A3835" s="121">
        <v>40543</v>
      </c>
      <c r="B3835" t="s">
        <v>406</v>
      </c>
      <c r="C3835" t="s">
        <v>456</v>
      </c>
      <c r="D3835" t="s">
        <v>475</v>
      </c>
      <c r="E3835" t="s">
        <v>476</v>
      </c>
      <c r="F3835" t="s">
        <v>410</v>
      </c>
      <c r="G3835">
        <v>246</v>
      </c>
      <c r="I3835">
        <v>246</v>
      </c>
    </row>
    <row r="3836" spans="1:17" x14ac:dyDescent="0.2">
      <c r="A3836" s="121">
        <v>40543</v>
      </c>
      <c r="B3836" t="s">
        <v>406</v>
      </c>
      <c r="C3836" t="s">
        <v>456</v>
      </c>
      <c r="D3836" t="s">
        <v>477</v>
      </c>
      <c r="E3836" t="s">
        <v>478</v>
      </c>
      <c r="F3836" t="s">
        <v>413</v>
      </c>
      <c r="G3836">
        <v>1728</v>
      </c>
      <c r="H3836">
        <v>1728</v>
      </c>
      <c r="I3836">
        <v>1651</v>
      </c>
      <c r="J3836">
        <v>1651</v>
      </c>
      <c r="K3836">
        <v>479</v>
      </c>
      <c r="L3836">
        <v>7</v>
      </c>
      <c r="M3836">
        <v>1210</v>
      </c>
      <c r="N3836">
        <v>16</v>
      </c>
      <c r="O3836">
        <v>16</v>
      </c>
      <c r="P3836">
        <v>5</v>
      </c>
      <c r="Q3836">
        <v>2</v>
      </c>
    </row>
    <row r="3837" spans="1:17" x14ac:dyDescent="0.2">
      <c r="A3837" s="121">
        <v>40543</v>
      </c>
      <c r="B3837" t="s">
        <v>406</v>
      </c>
      <c r="C3837" t="s">
        <v>456</v>
      </c>
      <c r="D3837" t="s">
        <v>479</v>
      </c>
      <c r="E3837" t="s">
        <v>480</v>
      </c>
      <c r="F3837" t="s">
        <v>410</v>
      </c>
      <c r="G3837">
        <v>58</v>
      </c>
      <c r="I3837">
        <v>58</v>
      </c>
    </row>
    <row r="3838" spans="1:17" x14ac:dyDescent="0.2">
      <c r="A3838" s="121">
        <v>40543</v>
      </c>
      <c r="B3838" t="s">
        <v>406</v>
      </c>
      <c r="C3838" t="s">
        <v>456</v>
      </c>
      <c r="D3838" t="s">
        <v>481</v>
      </c>
      <c r="E3838" t="s">
        <v>482</v>
      </c>
      <c r="F3838" t="s">
        <v>410</v>
      </c>
      <c r="G3838">
        <v>15</v>
      </c>
      <c r="I3838">
        <v>15</v>
      </c>
    </row>
    <row r="3839" spans="1:17" x14ac:dyDescent="0.2">
      <c r="A3839" s="121">
        <v>40543</v>
      </c>
      <c r="B3839" t="s">
        <v>406</v>
      </c>
      <c r="C3839" t="s">
        <v>456</v>
      </c>
      <c r="D3839" t="s">
        <v>483</v>
      </c>
      <c r="E3839" t="s">
        <v>484</v>
      </c>
      <c r="F3839" t="s">
        <v>410</v>
      </c>
      <c r="G3839">
        <v>75</v>
      </c>
      <c r="I3839">
        <v>75</v>
      </c>
    </row>
    <row r="3840" spans="1:17" x14ac:dyDescent="0.2">
      <c r="A3840" s="121">
        <v>40543</v>
      </c>
      <c r="B3840" t="s">
        <v>406</v>
      </c>
      <c r="C3840" t="s">
        <v>456</v>
      </c>
      <c r="D3840" t="s">
        <v>485</v>
      </c>
      <c r="E3840" t="s">
        <v>486</v>
      </c>
      <c r="F3840" t="s">
        <v>410</v>
      </c>
      <c r="G3840">
        <v>49</v>
      </c>
      <c r="I3840">
        <v>49</v>
      </c>
    </row>
    <row r="3841" spans="1:17" x14ac:dyDescent="0.2">
      <c r="A3841" s="121">
        <v>40543</v>
      </c>
      <c r="B3841" t="s">
        <v>406</v>
      </c>
      <c r="C3841" t="s">
        <v>456</v>
      </c>
      <c r="D3841" t="s">
        <v>487</v>
      </c>
      <c r="E3841" t="s">
        <v>488</v>
      </c>
      <c r="F3841" t="s">
        <v>410</v>
      </c>
      <c r="G3841">
        <v>21</v>
      </c>
      <c r="I3841">
        <v>21</v>
      </c>
    </row>
    <row r="3842" spans="1:17" x14ac:dyDescent="0.2">
      <c r="A3842" s="121">
        <v>40543</v>
      </c>
      <c r="B3842" t="s">
        <v>406</v>
      </c>
      <c r="C3842" t="s">
        <v>456</v>
      </c>
      <c r="D3842" t="s">
        <v>489</v>
      </c>
      <c r="E3842" t="s">
        <v>490</v>
      </c>
      <c r="F3842" t="s">
        <v>410</v>
      </c>
      <c r="G3842">
        <v>71</v>
      </c>
      <c r="H3842">
        <v>71</v>
      </c>
      <c r="I3842">
        <v>71</v>
      </c>
      <c r="J3842">
        <v>71</v>
      </c>
      <c r="K3842">
        <v>0</v>
      </c>
      <c r="L3842">
        <v>3</v>
      </c>
      <c r="M3842">
        <v>54</v>
      </c>
      <c r="N3842">
        <v>14</v>
      </c>
      <c r="O3842">
        <v>0</v>
      </c>
      <c r="P3842">
        <v>0</v>
      </c>
      <c r="Q3842">
        <v>0</v>
      </c>
    </row>
    <row r="3843" spans="1:17" x14ac:dyDescent="0.2">
      <c r="A3843" s="121">
        <v>40543</v>
      </c>
      <c r="B3843" t="s">
        <v>406</v>
      </c>
      <c r="C3843" t="s">
        <v>491</v>
      </c>
      <c r="D3843" t="s">
        <v>492</v>
      </c>
      <c r="E3843" t="s">
        <v>493</v>
      </c>
      <c r="F3843" t="s">
        <v>410</v>
      </c>
      <c r="G3843">
        <v>1087</v>
      </c>
      <c r="H3843">
        <v>1087</v>
      </c>
      <c r="I3843">
        <v>1066</v>
      </c>
      <c r="J3843">
        <v>1066</v>
      </c>
      <c r="K3843">
        <v>0</v>
      </c>
      <c r="L3843">
        <v>0</v>
      </c>
      <c r="M3843">
        <v>1</v>
      </c>
      <c r="N3843">
        <v>10</v>
      </c>
      <c r="O3843">
        <v>1076</v>
      </c>
      <c r="P3843">
        <v>0</v>
      </c>
      <c r="Q3843">
        <v>0</v>
      </c>
    </row>
    <row r="3844" spans="1:17" x14ac:dyDescent="0.2">
      <c r="A3844" s="121">
        <v>40543</v>
      </c>
      <c r="B3844" t="s">
        <v>406</v>
      </c>
      <c r="C3844" t="s">
        <v>491</v>
      </c>
      <c r="D3844" t="s">
        <v>494</v>
      </c>
      <c r="E3844" t="s">
        <v>495</v>
      </c>
      <c r="F3844" t="s">
        <v>413</v>
      </c>
      <c r="G3844">
        <v>2746</v>
      </c>
      <c r="H3844">
        <v>2746</v>
      </c>
      <c r="I3844">
        <v>2613</v>
      </c>
      <c r="J3844">
        <v>2613</v>
      </c>
      <c r="K3844">
        <v>0</v>
      </c>
      <c r="L3844">
        <v>0</v>
      </c>
      <c r="M3844">
        <v>6</v>
      </c>
      <c r="N3844">
        <v>17</v>
      </c>
      <c r="O3844">
        <v>2723</v>
      </c>
      <c r="P3844">
        <v>1</v>
      </c>
      <c r="Q3844">
        <v>0</v>
      </c>
    </row>
    <row r="3845" spans="1:17" x14ac:dyDescent="0.2">
      <c r="A3845" s="121">
        <v>40543</v>
      </c>
      <c r="B3845" t="s">
        <v>406</v>
      </c>
      <c r="C3845" t="s">
        <v>491</v>
      </c>
      <c r="D3845" t="s">
        <v>496</v>
      </c>
      <c r="E3845" t="s">
        <v>497</v>
      </c>
      <c r="F3845" t="s">
        <v>413</v>
      </c>
      <c r="G3845">
        <v>5379</v>
      </c>
      <c r="H3845">
        <v>5379</v>
      </c>
      <c r="I3845">
        <v>4818</v>
      </c>
      <c r="J3845">
        <v>4818</v>
      </c>
      <c r="K3845">
        <v>770</v>
      </c>
      <c r="L3845">
        <v>0</v>
      </c>
      <c r="M3845">
        <v>12</v>
      </c>
      <c r="N3845">
        <v>66</v>
      </c>
      <c r="O3845">
        <v>4531</v>
      </c>
      <c r="P3845">
        <v>15</v>
      </c>
      <c r="Q3845">
        <v>1</v>
      </c>
    </row>
    <row r="3846" spans="1:17" x14ac:dyDescent="0.2">
      <c r="A3846" s="121">
        <v>40543</v>
      </c>
      <c r="B3846" t="s">
        <v>406</v>
      </c>
      <c r="C3846" t="s">
        <v>491</v>
      </c>
      <c r="D3846" t="s">
        <v>498</v>
      </c>
      <c r="E3846" t="s">
        <v>499</v>
      </c>
      <c r="F3846" t="s">
        <v>413</v>
      </c>
      <c r="G3846">
        <v>5947</v>
      </c>
      <c r="H3846">
        <v>5947</v>
      </c>
      <c r="I3846">
        <v>5503</v>
      </c>
      <c r="J3846">
        <v>5503</v>
      </c>
      <c r="K3846">
        <v>1639</v>
      </c>
      <c r="L3846">
        <v>16</v>
      </c>
      <c r="M3846">
        <v>3888</v>
      </c>
      <c r="N3846">
        <v>111</v>
      </c>
      <c r="O3846">
        <v>293</v>
      </c>
      <c r="P3846">
        <v>10</v>
      </c>
      <c r="Q3846">
        <v>0</v>
      </c>
    </row>
    <row r="3847" spans="1:17" x14ac:dyDescent="0.2">
      <c r="A3847" s="121">
        <v>40543</v>
      </c>
      <c r="B3847" t="s">
        <v>406</v>
      </c>
      <c r="C3847" t="s">
        <v>491</v>
      </c>
      <c r="D3847" t="s">
        <v>500</v>
      </c>
      <c r="E3847" t="s">
        <v>501</v>
      </c>
      <c r="F3847" t="s">
        <v>413</v>
      </c>
      <c r="G3847">
        <v>3020</v>
      </c>
      <c r="H3847">
        <v>3020</v>
      </c>
      <c r="I3847">
        <v>2906</v>
      </c>
      <c r="J3847">
        <v>2906</v>
      </c>
      <c r="K3847">
        <v>894</v>
      </c>
      <c r="L3847">
        <v>0</v>
      </c>
      <c r="M3847">
        <v>1890</v>
      </c>
      <c r="N3847">
        <v>31</v>
      </c>
      <c r="O3847">
        <v>205</v>
      </c>
      <c r="P3847">
        <v>4</v>
      </c>
      <c r="Q3847">
        <v>0</v>
      </c>
    </row>
    <row r="3848" spans="1:17" x14ac:dyDescent="0.2">
      <c r="A3848" s="121">
        <v>40543</v>
      </c>
      <c r="B3848" t="s">
        <v>406</v>
      </c>
      <c r="C3848" t="s">
        <v>491</v>
      </c>
      <c r="D3848" t="s">
        <v>502</v>
      </c>
      <c r="E3848" t="s">
        <v>615</v>
      </c>
      <c r="F3848" t="s">
        <v>410</v>
      </c>
      <c r="G3848">
        <v>990</v>
      </c>
      <c r="H3848">
        <v>990</v>
      </c>
      <c r="I3848">
        <v>990</v>
      </c>
      <c r="J3848">
        <v>990</v>
      </c>
      <c r="K3848">
        <v>0</v>
      </c>
      <c r="L3848">
        <v>0</v>
      </c>
      <c r="M3848">
        <v>967</v>
      </c>
      <c r="N3848">
        <v>0</v>
      </c>
      <c r="O3848">
        <v>23</v>
      </c>
      <c r="P3848">
        <v>0</v>
      </c>
      <c r="Q3848">
        <v>0</v>
      </c>
    </row>
    <row r="3849" spans="1:17" x14ac:dyDescent="0.2">
      <c r="A3849" s="121">
        <v>40543</v>
      </c>
      <c r="B3849" t="s">
        <v>406</v>
      </c>
      <c r="C3849" t="s">
        <v>491</v>
      </c>
      <c r="D3849" t="s">
        <v>502</v>
      </c>
      <c r="E3849" t="s">
        <v>503</v>
      </c>
      <c r="F3849" t="s">
        <v>413</v>
      </c>
      <c r="G3849">
        <v>4937</v>
      </c>
      <c r="H3849">
        <v>4937</v>
      </c>
      <c r="I3849">
        <v>4687</v>
      </c>
      <c r="J3849">
        <v>4687</v>
      </c>
      <c r="K3849">
        <v>1640</v>
      </c>
      <c r="L3849">
        <v>4</v>
      </c>
      <c r="M3849">
        <v>3149</v>
      </c>
      <c r="N3849">
        <v>76</v>
      </c>
      <c r="O3849">
        <v>68</v>
      </c>
      <c r="P3849">
        <v>8</v>
      </c>
      <c r="Q3849">
        <v>0</v>
      </c>
    </row>
    <row r="3850" spans="1:17" x14ac:dyDescent="0.2">
      <c r="A3850" s="121">
        <v>40543</v>
      </c>
      <c r="B3850" t="s">
        <v>406</v>
      </c>
      <c r="C3850" t="s">
        <v>491</v>
      </c>
      <c r="D3850" t="s">
        <v>504</v>
      </c>
      <c r="E3850" t="s">
        <v>505</v>
      </c>
      <c r="F3850" t="s">
        <v>413</v>
      </c>
      <c r="G3850">
        <v>3681</v>
      </c>
      <c r="H3850">
        <v>3681</v>
      </c>
      <c r="I3850">
        <v>3533</v>
      </c>
      <c r="J3850">
        <v>3533</v>
      </c>
      <c r="K3850">
        <v>1216</v>
      </c>
      <c r="L3850">
        <v>7</v>
      </c>
      <c r="M3850">
        <v>2393</v>
      </c>
      <c r="N3850">
        <v>48</v>
      </c>
      <c r="O3850">
        <v>17</v>
      </c>
      <c r="P3850">
        <v>2</v>
      </c>
      <c r="Q3850">
        <v>0</v>
      </c>
    </row>
    <row r="3851" spans="1:17" x14ac:dyDescent="0.2">
      <c r="A3851" s="121">
        <v>40543</v>
      </c>
      <c r="B3851" t="s">
        <v>406</v>
      </c>
      <c r="C3851" t="s">
        <v>491</v>
      </c>
      <c r="D3851" t="s">
        <v>506</v>
      </c>
      <c r="E3851" t="s">
        <v>507</v>
      </c>
      <c r="F3851" t="s">
        <v>413</v>
      </c>
      <c r="G3851">
        <v>3516</v>
      </c>
      <c r="H3851">
        <v>3516</v>
      </c>
      <c r="I3851">
        <v>3416</v>
      </c>
      <c r="J3851">
        <v>3416</v>
      </c>
      <c r="K3851">
        <v>472</v>
      </c>
      <c r="L3851">
        <v>0</v>
      </c>
      <c r="M3851">
        <v>3038</v>
      </c>
      <c r="N3851">
        <v>3</v>
      </c>
      <c r="O3851">
        <v>3</v>
      </c>
      <c r="P3851">
        <v>0</v>
      </c>
      <c r="Q3851">
        <v>0</v>
      </c>
    </row>
    <row r="3852" spans="1:17" x14ac:dyDescent="0.2">
      <c r="A3852" s="121">
        <v>40543</v>
      </c>
      <c r="B3852" t="s">
        <v>406</v>
      </c>
      <c r="C3852" t="s">
        <v>491</v>
      </c>
      <c r="D3852" t="s">
        <v>508</v>
      </c>
      <c r="E3852" t="s">
        <v>509</v>
      </c>
      <c r="F3852" t="s">
        <v>413</v>
      </c>
      <c r="G3852">
        <v>4717</v>
      </c>
      <c r="H3852">
        <v>4717</v>
      </c>
      <c r="I3852">
        <v>4210</v>
      </c>
      <c r="J3852">
        <v>4210</v>
      </c>
      <c r="K3852">
        <v>1423</v>
      </c>
      <c r="L3852">
        <v>10</v>
      </c>
      <c r="M3852">
        <v>2849</v>
      </c>
      <c r="N3852">
        <v>103</v>
      </c>
      <c r="O3852">
        <v>332</v>
      </c>
      <c r="P3852">
        <v>51</v>
      </c>
      <c r="Q3852">
        <v>0</v>
      </c>
    </row>
    <row r="3853" spans="1:17" x14ac:dyDescent="0.2">
      <c r="A3853" s="121">
        <v>40543</v>
      </c>
      <c r="B3853" t="s">
        <v>406</v>
      </c>
      <c r="C3853" t="s">
        <v>510</v>
      </c>
      <c r="D3853" t="s">
        <v>513</v>
      </c>
      <c r="E3853" t="s">
        <v>514</v>
      </c>
      <c r="F3853" t="s">
        <v>410</v>
      </c>
      <c r="G3853">
        <v>555</v>
      </c>
      <c r="I3853">
        <v>554</v>
      </c>
    </row>
    <row r="3854" spans="1:17" x14ac:dyDescent="0.2">
      <c r="A3854" s="121">
        <v>40543</v>
      </c>
      <c r="B3854" t="s">
        <v>406</v>
      </c>
      <c r="C3854" t="s">
        <v>510</v>
      </c>
      <c r="D3854" t="s">
        <v>515</v>
      </c>
      <c r="E3854" t="s">
        <v>516</v>
      </c>
      <c r="F3854" t="s">
        <v>410</v>
      </c>
      <c r="G3854">
        <v>67</v>
      </c>
      <c r="I3854">
        <v>66</v>
      </c>
    </row>
    <row r="3855" spans="1:17" x14ac:dyDescent="0.2">
      <c r="A3855" s="121">
        <v>40543</v>
      </c>
      <c r="B3855" t="s">
        <v>406</v>
      </c>
      <c r="C3855" t="s">
        <v>510</v>
      </c>
      <c r="D3855" t="s">
        <v>519</v>
      </c>
      <c r="E3855" t="s">
        <v>520</v>
      </c>
      <c r="F3855" t="s">
        <v>410</v>
      </c>
      <c r="G3855">
        <v>291</v>
      </c>
      <c r="I3855">
        <v>284</v>
      </c>
    </row>
    <row r="3856" spans="1:17" x14ac:dyDescent="0.2">
      <c r="A3856" s="121">
        <v>40543</v>
      </c>
      <c r="B3856" t="s">
        <v>406</v>
      </c>
      <c r="C3856" t="s">
        <v>510</v>
      </c>
      <c r="D3856" t="s">
        <v>521</v>
      </c>
      <c r="E3856" t="s">
        <v>522</v>
      </c>
      <c r="F3856" t="s">
        <v>410</v>
      </c>
      <c r="G3856">
        <v>46</v>
      </c>
      <c r="I3856">
        <v>46</v>
      </c>
    </row>
    <row r="3857" spans="1:17" x14ac:dyDescent="0.2">
      <c r="A3857" s="121">
        <v>40543</v>
      </c>
      <c r="B3857" t="s">
        <v>406</v>
      </c>
      <c r="C3857" t="s">
        <v>510</v>
      </c>
      <c r="D3857" t="s">
        <v>523</v>
      </c>
      <c r="E3857" t="s">
        <v>524</v>
      </c>
      <c r="F3857" t="s">
        <v>413</v>
      </c>
      <c r="G3857">
        <v>463</v>
      </c>
      <c r="I3857">
        <v>460</v>
      </c>
    </row>
    <row r="3858" spans="1:17" x14ac:dyDescent="0.2">
      <c r="A3858" s="121">
        <v>40543</v>
      </c>
      <c r="B3858" t="s">
        <v>406</v>
      </c>
      <c r="C3858" t="s">
        <v>510</v>
      </c>
      <c r="D3858" t="s">
        <v>525</v>
      </c>
      <c r="E3858" t="s">
        <v>526</v>
      </c>
      <c r="F3858" t="s">
        <v>410</v>
      </c>
      <c r="G3858">
        <v>387</v>
      </c>
      <c r="I3858">
        <v>375</v>
      </c>
    </row>
    <row r="3859" spans="1:17" x14ac:dyDescent="0.2">
      <c r="A3859" s="121">
        <v>40543</v>
      </c>
      <c r="B3859" t="s">
        <v>406</v>
      </c>
      <c r="C3859" t="s">
        <v>510</v>
      </c>
      <c r="D3859" t="s">
        <v>527</v>
      </c>
      <c r="E3859" t="s">
        <v>528</v>
      </c>
      <c r="F3859" t="s">
        <v>410</v>
      </c>
      <c r="G3859">
        <v>129</v>
      </c>
      <c r="I3859">
        <v>127</v>
      </c>
    </row>
    <row r="3860" spans="1:17" x14ac:dyDescent="0.2">
      <c r="A3860" s="121">
        <v>40543</v>
      </c>
      <c r="B3860" t="s">
        <v>406</v>
      </c>
      <c r="C3860" t="s">
        <v>510</v>
      </c>
      <c r="D3860" t="s">
        <v>529</v>
      </c>
      <c r="E3860" t="s">
        <v>530</v>
      </c>
      <c r="F3860" t="s">
        <v>413</v>
      </c>
      <c r="G3860">
        <v>403</v>
      </c>
      <c r="I3860">
        <v>400</v>
      </c>
    </row>
    <row r="3861" spans="1:17" x14ac:dyDescent="0.2">
      <c r="A3861" s="121">
        <v>40543</v>
      </c>
      <c r="B3861" t="s">
        <v>406</v>
      </c>
      <c r="C3861" t="s">
        <v>510</v>
      </c>
      <c r="D3861" t="s">
        <v>531</v>
      </c>
      <c r="E3861" t="s">
        <v>532</v>
      </c>
      <c r="F3861" t="s">
        <v>410</v>
      </c>
      <c r="G3861">
        <v>29</v>
      </c>
      <c r="I3861">
        <v>29</v>
      </c>
    </row>
    <row r="3862" spans="1:17" x14ac:dyDescent="0.2">
      <c r="A3862" s="121">
        <v>40543</v>
      </c>
      <c r="B3862" t="s">
        <v>406</v>
      </c>
      <c r="C3862" t="s">
        <v>510</v>
      </c>
      <c r="D3862" t="s">
        <v>533</v>
      </c>
      <c r="E3862" t="s">
        <v>534</v>
      </c>
      <c r="F3862" t="s">
        <v>413</v>
      </c>
      <c r="G3862">
        <v>2205</v>
      </c>
      <c r="H3862">
        <v>2205</v>
      </c>
      <c r="I3862">
        <v>2140</v>
      </c>
      <c r="J3862">
        <v>2140</v>
      </c>
      <c r="K3862">
        <v>513</v>
      </c>
      <c r="L3862">
        <v>3</v>
      </c>
      <c r="M3862">
        <v>1688</v>
      </c>
      <c r="N3862">
        <v>1</v>
      </c>
      <c r="O3862">
        <v>0</v>
      </c>
      <c r="P3862">
        <v>3</v>
      </c>
      <c r="Q3862">
        <v>0</v>
      </c>
    </row>
    <row r="3863" spans="1:17" x14ac:dyDescent="0.2">
      <c r="A3863" s="121">
        <v>40543</v>
      </c>
      <c r="B3863" t="s">
        <v>406</v>
      </c>
      <c r="C3863" t="s">
        <v>510</v>
      </c>
      <c r="D3863" t="s">
        <v>535</v>
      </c>
      <c r="E3863" t="s">
        <v>536</v>
      </c>
      <c r="F3863" t="s">
        <v>410</v>
      </c>
      <c r="G3863">
        <v>228</v>
      </c>
      <c r="I3863">
        <v>228</v>
      </c>
    </row>
    <row r="3864" spans="1:17" x14ac:dyDescent="0.2">
      <c r="A3864" s="121">
        <v>40543</v>
      </c>
      <c r="B3864" t="s">
        <v>406</v>
      </c>
      <c r="C3864" t="s">
        <v>510</v>
      </c>
      <c r="D3864" t="s">
        <v>537</v>
      </c>
      <c r="E3864" t="s">
        <v>538</v>
      </c>
      <c r="F3864" t="s">
        <v>410</v>
      </c>
      <c r="G3864">
        <v>70</v>
      </c>
      <c r="I3864">
        <v>70</v>
      </c>
    </row>
    <row r="3865" spans="1:17" x14ac:dyDescent="0.2">
      <c r="A3865" s="121">
        <v>40543</v>
      </c>
      <c r="B3865" t="s">
        <v>406</v>
      </c>
      <c r="C3865" t="s">
        <v>510</v>
      </c>
      <c r="D3865" t="s">
        <v>539</v>
      </c>
      <c r="E3865" t="s">
        <v>540</v>
      </c>
      <c r="F3865" t="s">
        <v>413</v>
      </c>
      <c r="G3865">
        <v>630</v>
      </c>
      <c r="I3865">
        <v>620</v>
      </c>
    </row>
    <row r="3866" spans="1:17" x14ac:dyDescent="0.2">
      <c r="A3866" s="121">
        <v>40543</v>
      </c>
      <c r="B3866" t="s">
        <v>406</v>
      </c>
      <c r="C3866" t="s">
        <v>510</v>
      </c>
      <c r="D3866" t="s">
        <v>541</v>
      </c>
      <c r="E3866" t="s">
        <v>542</v>
      </c>
      <c r="F3866" t="s">
        <v>410</v>
      </c>
      <c r="G3866">
        <v>270</v>
      </c>
      <c r="I3866">
        <v>270</v>
      </c>
    </row>
    <row r="3867" spans="1:17" x14ac:dyDescent="0.2">
      <c r="A3867" s="121">
        <v>40543</v>
      </c>
      <c r="B3867" t="s">
        <v>406</v>
      </c>
      <c r="C3867" t="s">
        <v>510</v>
      </c>
      <c r="D3867" t="s">
        <v>543</v>
      </c>
      <c r="E3867" t="s">
        <v>544</v>
      </c>
      <c r="F3867" t="s">
        <v>410</v>
      </c>
      <c r="G3867">
        <v>179</v>
      </c>
      <c r="I3867">
        <v>179</v>
      </c>
    </row>
    <row r="3868" spans="1:17" x14ac:dyDescent="0.2">
      <c r="A3868" s="121">
        <v>40543</v>
      </c>
      <c r="B3868" t="s">
        <v>406</v>
      </c>
      <c r="C3868" t="s">
        <v>510</v>
      </c>
      <c r="D3868" t="s">
        <v>545</v>
      </c>
      <c r="E3868" t="s">
        <v>546</v>
      </c>
      <c r="F3868" t="s">
        <v>410</v>
      </c>
      <c r="G3868">
        <v>113</v>
      </c>
      <c r="I3868">
        <v>113</v>
      </c>
    </row>
    <row r="3869" spans="1:17" x14ac:dyDescent="0.2">
      <c r="A3869" s="121">
        <v>40543</v>
      </c>
      <c r="B3869" t="s">
        <v>406</v>
      </c>
      <c r="C3869" t="s">
        <v>510</v>
      </c>
      <c r="D3869" t="s">
        <v>547</v>
      </c>
      <c r="E3869" t="s">
        <v>548</v>
      </c>
      <c r="F3869" t="s">
        <v>410</v>
      </c>
      <c r="G3869">
        <v>90</v>
      </c>
      <c r="I3869">
        <v>90</v>
      </c>
    </row>
    <row r="3870" spans="1:17" x14ac:dyDescent="0.2">
      <c r="A3870" s="121">
        <v>40543</v>
      </c>
      <c r="B3870" t="s">
        <v>406</v>
      </c>
      <c r="C3870" t="s">
        <v>510</v>
      </c>
      <c r="D3870" t="s">
        <v>616</v>
      </c>
      <c r="E3870" t="s">
        <v>617</v>
      </c>
      <c r="F3870" t="s">
        <v>410</v>
      </c>
      <c r="G3870">
        <v>314</v>
      </c>
      <c r="I3870">
        <v>308</v>
      </c>
    </row>
    <row r="3871" spans="1:17" x14ac:dyDescent="0.2">
      <c r="A3871" s="121">
        <v>40543</v>
      </c>
      <c r="B3871" t="s">
        <v>406</v>
      </c>
      <c r="C3871" t="s">
        <v>510</v>
      </c>
      <c r="D3871" t="s">
        <v>549</v>
      </c>
      <c r="E3871" t="s">
        <v>550</v>
      </c>
      <c r="F3871" t="s">
        <v>410</v>
      </c>
      <c r="G3871">
        <v>128</v>
      </c>
      <c r="I3871">
        <v>128</v>
      </c>
    </row>
    <row r="3872" spans="1:17" x14ac:dyDescent="0.2">
      <c r="A3872" s="121">
        <v>40543</v>
      </c>
      <c r="B3872" t="s">
        <v>406</v>
      </c>
      <c r="C3872" t="s">
        <v>551</v>
      </c>
      <c r="D3872" t="s">
        <v>552</v>
      </c>
      <c r="E3872" t="s">
        <v>553</v>
      </c>
      <c r="F3872" t="s">
        <v>413</v>
      </c>
      <c r="G3872">
        <v>4823</v>
      </c>
      <c r="H3872">
        <v>4823</v>
      </c>
      <c r="I3872">
        <v>4612</v>
      </c>
      <c r="J3872">
        <v>4612</v>
      </c>
      <c r="K3872">
        <v>1509</v>
      </c>
      <c r="L3872">
        <v>10</v>
      </c>
      <c r="M3872">
        <v>3175</v>
      </c>
      <c r="N3872">
        <v>118</v>
      </c>
      <c r="O3872">
        <v>11</v>
      </c>
      <c r="P3872">
        <v>21</v>
      </c>
      <c r="Q3872">
        <v>4</v>
      </c>
    </row>
    <row r="3873" spans="1:17" x14ac:dyDescent="0.2">
      <c r="A3873" s="121">
        <v>40543</v>
      </c>
      <c r="B3873" t="s">
        <v>406</v>
      </c>
      <c r="C3873" t="s">
        <v>551</v>
      </c>
      <c r="D3873" t="s">
        <v>554</v>
      </c>
      <c r="E3873" t="s">
        <v>555</v>
      </c>
      <c r="F3873" t="s">
        <v>410</v>
      </c>
      <c r="G3873">
        <v>35</v>
      </c>
      <c r="I3873">
        <v>35</v>
      </c>
    </row>
    <row r="3874" spans="1:17" x14ac:dyDescent="0.2">
      <c r="A3874" s="121">
        <v>40543</v>
      </c>
      <c r="B3874" t="s">
        <v>406</v>
      </c>
      <c r="C3874" t="s">
        <v>551</v>
      </c>
      <c r="D3874" t="s">
        <v>556</v>
      </c>
      <c r="E3874" t="s">
        <v>557</v>
      </c>
      <c r="F3874" t="s">
        <v>410</v>
      </c>
      <c r="G3874">
        <v>72</v>
      </c>
      <c r="I3874">
        <v>72</v>
      </c>
    </row>
    <row r="3875" spans="1:17" x14ac:dyDescent="0.2">
      <c r="A3875" s="121">
        <v>40543</v>
      </c>
      <c r="B3875" t="s">
        <v>406</v>
      </c>
      <c r="C3875" t="s">
        <v>551</v>
      </c>
      <c r="D3875" t="s">
        <v>558</v>
      </c>
      <c r="E3875" t="s">
        <v>559</v>
      </c>
      <c r="F3875" t="s">
        <v>413</v>
      </c>
      <c r="G3875">
        <v>4192</v>
      </c>
      <c r="H3875">
        <v>4192</v>
      </c>
      <c r="I3875">
        <v>4006</v>
      </c>
      <c r="J3875">
        <v>4006</v>
      </c>
      <c r="K3875">
        <v>1349</v>
      </c>
      <c r="L3875">
        <v>9</v>
      </c>
      <c r="M3875">
        <v>2754</v>
      </c>
      <c r="N3875">
        <v>68</v>
      </c>
      <c r="O3875">
        <v>12</v>
      </c>
      <c r="P3875">
        <v>40</v>
      </c>
      <c r="Q3875">
        <v>4</v>
      </c>
    </row>
    <row r="3876" spans="1:17" x14ac:dyDescent="0.2">
      <c r="A3876" s="121">
        <v>40543</v>
      </c>
      <c r="B3876" t="s">
        <v>406</v>
      </c>
      <c r="C3876" t="s">
        <v>551</v>
      </c>
      <c r="D3876" t="s">
        <v>560</v>
      </c>
      <c r="E3876" t="s">
        <v>561</v>
      </c>
      <c r="F3876" t="s">
        <v>413</v>
      </c>
      <c r="G3876">
        <v>4830</v>
      </c>
      <c r="H3876">
        <v>4830</v>
      </c>
      <c r="I3876">
        <v>4631</v>
      </c>
      <c r="J3876">
        <v>4631</v>
      </c>
      <c r="K3876">
        <v>1410</v>
      </c>
      <c r="L3876">
        <v>8</v>
      </c>
      <c r="M3876">
        <v>3194</v>
      </c>
      <c r="N3876">
        <v>203</v>
      </c>
      <c r="O3876">
        <v>15</v>
      </c>
      <c r="P3876">
        <v>22</v>
      </c>
      <c r="Q3876">
        <v>10</v>
      </c>
    </row>
    <row r="3877" spans="1:17" x14ac:dyDescent="0.2">
      <c r="A3877" s="121">
        <v>40543</v>
      </c>
      <c r="B3877" t="s">
        <v>406</v>
      </c>
      <c r="C3877" t="s">
        <v>562</v>
      </c>
      <c r="D3877" t="s">
        <v>603</v>
      </c>
      <c r="E3877" t="s">
        <v>604</v>
      </c>
      <c r="F3877" t="s">
        <v>410</v>
      </c>
      <c r="G3877">
        <v>6</v>
      </c>
      <c r="I3877">
        <v>6</v>
      </c>
    </row>
    <row r="3878" spans="1:17" x14ac:dyDescent="0.2">
      <c r="A3878" s="121">
        <v>40543</v>
      </c>
      <c r="B3878" t="s">
        <v>406</v>
      </c>
      <c r="C3878" t="s">
        <v>562</v>
      </c>
      <c r="D3878" t="s">
        <v>605</v>
      </c>
      <c r="E3878" t="s">
        <v>606</v>
      </c>
      <c r="F3878" t="s">
        <v>410</v>
      </c>
      <c r="G3878">
        <v>92</v>
      </c>
      <c r="I3878">
        <v>92</v>
      </c>
    </row>
    <row r="3879" spans="1:17" x14ac:dyDescent="0.2">
      <c r="A3879" s="121">
        <v>40543</v>
      </c>
      <c r="B3879" t="s">
        <v>406</v>
      </c>
      <c r="C3879" t="s">
        <v>562</v>
      </c>
      <c r="D3879" t="s">
        <v>563</v>
      </c>
      <c r="E3879" t="s">
        <v>564</v>
      </c>
      <c r="F3879" t="s">
        <v>410</v>
      </c>
      <c r="G3879">
        <v>2917</v>
      </c>
      <c r="H3879">
        <v>2917</v>
      </c>
      <c r="I3879">
        <v>2833</v>
      </c>
      <c r="J3879">
        <v>2833</v>
      </c>
      <c r="K3879">
        <v>945</v>
      </c>
      <c r="L3879">
        <v>1</v>
      </c>
      <c r="M3879">
        <v>1941</v>
      </c>
      <c r="N3879">
        <v>30</v>
      </c>
      <c r="O3879">
        <v>0</v>
      </c>
      <c r="P3879">
        <v>3</v>
      </c>
      <c r="Q3879">
        <v>0</v>
      </c>
    </row>
    <row r="3880" spans="1:17" x14ac:dyDescent="0.2">
      <c r="A3880" s="121">
        <v>40543</v>
      </c>
      <c r="B3880" t="s">
        <v>406</v>
      </c>
      <c r="C3880" t="s">
        <v>562</v>
      </c>
      <c r="D3880" t="s">
        <v>565</v>
      </c>
      <c r="E3880" t="s">
        <v>566</v>
      </c>
      <c r="F3880" t="s">
        <v>413</v>
      </c>
      <c r="G3880">
        <v>3641</v>
      </c>
      <c r="H3880">
        <v>3641</v>
      </c>
      <c r="I3880">
        <v>3450</v>
      </c>
      <c r="J3880">
        <v>3450</v>
      </c>
      <c r="K3880">
        <v>1063</v>
      </c>
      <c r="L3880">
        <v>8</v>
      </c>
      <c r="M3880">
        <v>2453</v>
      </c>
      <c r="N3880">
        <v>117</v>
      </c>
      <c r="O3880">
        <v>0</v>
      </c>
      <c r="P3880">
        <v>20</v>
      </c>
      <c r="Q3880">
        <v>2</v>
      </c>
    </row>
    <row r="3881" spans="1:17" x14ac:dyDescent="0.2">
      <c r="A3881" s="121">
        <v>40543</v>
      </c>
      <c r="B3881" t="s">
        <v>406</v>
      </c>
      <c r="C3881" t="s">
        <v>562</v>
      </c>
      <c r="D3881" t="s">
        <v>567</v>
      </c>
      <c r="E3881" t="s">
        <v>568</v>
      </c>
      <c r="F3881" t="s">
        <v>413</v>
      </c>
      <c r="G3881">
        <v>8788</v>
      </c>
      <c r="H3881">
        <v>8788</v>
      </c>
      <c r="I3881">
        <v>7903</v>
      </c>
      <c r="J3881">
        <v>7903</v>
      </c>
      <c r="K3881">
        <v>2845</v>
      </c>
      <c r="L3881">
        <v>32</v>
      </c>
      <c r="M3881">
        <v>5507</v>
      </c>
      <c r="N3881">
        <v>404</v>
      </c>
      <c r="O3881">
        <v>0</v>
      </c>
      <c r="P3881">
        <v>155</v>
      </c>
      <c r="Q3881">
        <v>9</v>
      </c>
    </row>
    <row r="3882" spans="1:17" x14ac:dyDescent="0.2">
      <c r="A3882" s="121">
        <v>40543</v>
      </c>
      <c r="B3882" t="s">
        <v>406</v>
      </c>
      <c r="C3882" t="s">
        <v>562</v>
      </c>
      <c r="D3882" t="s">
        <v>569</v>
      </c>
      <c r="E3882" t="s">
        <v>570</v>
      </c>
      <c r="F3882" t="s">
        <v>413</v>
      </c>
      <c r="G3882">
        <v>2751</v>
      </c>
      <c r="H3882">
        <v>2751</v>
      </c>
      <c r="I3882">
        <v>2698</v>
      </c>
      <c r="J3882">
        <v>2698</v>
      </c>
      <c r="K3882">
        <v>448</v>
      </c>
      <c r="L3882">
        <v>1</v>
      </c>
      <c r="M3882">
        <v>2168</v>
      </c>
      <c r="N3882">
        <v>134</v>
      </c>
      <c r="O3882">
        <v>0</v>
      </c>
      <c r="P3882">
        <v>1</v>
      </c>
      <c r="Q3882">
        <v>0</v>
      </c>
    </row>
    <row r="3883" spans="1:17" x14ac:dyDescent="0.2">
      <c r="A3883" s="121">
        <v>40543</v>
      </c>
      <c r="B3883" t="s">
        <v>406</v>
      </c>
      <c r="C3883" t="s">
        <v>571</v>
      </c>
      <c r="D3883" t="s">
        <v>572</v>
      </c>
      <c r="E3883" t="s">
        <v>573</v>
      </c>
      <c r="F3883" t="s">
        <v>410</v>
      </c>
      <c r="G3883">
        <v>215</v>
      </c>
      <c r="I3883">
        <v>211</v>
      </c>
    </row>
    <row r="3884" spans="1:17" x14ac:dyDescent="0.2">
      <c r="A3884" s="121">
        <v>40543</v>
      </c>
      <c r="B3884" t="s">
        <v>406</v>
      </c>
      <c r="C3884" t="s">
        <v>574</v>
      </c>
      <c r="D3884" t="s">
        <v>575</v>
      </c>
      <c r="E3884" t="s">
        <v>576</v>
      </c>
      <c r="F3884" t="s">
        <v>413</v>
      </c>
      <c r="G3884">
        <v>673</v>
      </c>
      <c r="H3884">
        <v>673</v>
      </c>
      <c r="I3884">
        <v>671</v>
      </c>
      <c r="J3884">
        <v>671</v>
      </c>
      <c r="K3884">
        <v>155</v>
      </c>
      <c r="L3884">
        <v>0</v>
      </c>
      <c r="M3884">
        <v>489</v>
      </c>
      <c r="N3884">
        <v>7</v>
      </c>
      <c r="O3884">
        <v>22</v>
      </c>
      <c r="P3884">
        <v>0</v>
      </c>
      <c r="Q3884">
        <v>0</v>
      </c>
    </row>
    <row r="3885" spans="1:17" x14ac:dyDescent="0.2">
      <c r="A3885" s="121">
        <v>40543</v>
      </c>
      <c r="B3885" t="s">
        <v>406</v>
      </c>
      <c r="C3885" t="s">
        <v>577</v>
      </c>
      <c r="D3885" t="s">
        <v>578</v>
      </c>
      <c r="E3885" t="s">
        <v>579</v>
      </c>
      <c r="F3885" t="s">
        <v>413</v>
      </c>
      <c r="G3885">
        <v>3691</v>
      </c>
      <c r="H3885">
        <v>3691</v>
      </c>
      <c r="I3885">
        <v>3623</v>
      </c>
      <c r="J3885">
        <v>3623</v>
      </c>
      <c r="K3885">
        <v>946</v>
      </c>
      <c r="L3885">
        <v>12</v>
      </c>
      <c r="M3885">
        <v>2686</v>
      </c>
      <c r="N3885">
        <v>47</v>
      </c>
      <c r="O3885">
        <v>0</v>
      </c>
      <c r="P3885">
        <v>3</v>
      </c>
      <c r="Q3885">
        <v>0</v>
      </c>
    </row>
    <row r="3886" spans="1:17" x14ac:dyDescent="0.2">
      <c r="A3886" s="121">
        <v>40543</v>
      </c>
      <c r="B3886" t="s">
        <v>406</v>
      </c>
      <c r="C3886" t="s">
        <v>577</v>
      </c>
      <c r="D3886" t="s">
        <v>580</v>
      </c>
      <c r="E3886" t="s">
        <v>581</v>
      </c>
      <c r="F3886" t="s">
        <v>413</v>
      </c>
      <c r="G3886">
        <v>1812</v>
      </c>
      <c r="H3886">
        <v>1812</v>
      </c>
      <c r="I3886">
        <v>1789</v>
      </c>
      <c r="J3886">
        <v>1789</v>
      </c>
      <c r="K3886">
        <v>389</v>
      </c>
      <c r="L3886">
        <v>3</v>
      </c>
      <c r="M3886">
        <v>1197</v>
      </c>
      <c r="N3886">
        <v>205</v>
      </c>
      <c r="O3886">
        <v>18</v>
      </c>
      <c r="P3886">
        <v>1</v>
      </c>
      <c r="Q3886">
        <v>0</v>
      </c>
    </row>
    <row r="3887" spans="1:17" x14ac:dyDescent="0.2">
      <c r="A3887" s="121">
        <v>40543</v>
      </c>
      <c r="B3887" t="s">
        <v>406</v>
      </c>
      <c r="C3887" t="s">
        <v>577</v>
      </c>
      <c r="D3887" t="s">
        <v>609</v>
      </c>
      <c r="E3887" t="s">
        <v>610</v>
      </c>
      <c r="F3887" t="s">
        <v>410</v>
      </c>
      <c r="G3887">
        <v>25</v>
      </c>
      <c r="H3887">
        <v>25</v>
      </c>
      <c r="I3887">
        <v>25</v>
      </c>
      <c r="J3887">
        <v>25</v>
      </c>
      <c r="K3887">
        <v>0</v>
      </c>
      <c r="L3887">
        <v>0</v>
      </c>
      <c r="M3887">
        <v>21</v>
      </c>
      <c r="N3887">
        <v>4</v>
      </c>
      <c r="O3887">
        <v>0</v>
      </c>
      <c r="P3887">
        <v>0</v>
      </c>
      <c r="Q3887">
        <v>0</v>
      </c>
    </row>
    <row r="3888" spans="1:17" x14ac:dyDescent="0.2">
      <c r="A3888" s="121">
        <v>40543</v>
      </c>
      <c r="B3888" t="s">
        <v>406</v>
      </c>
      <c r="C3888" t="s">
        <v>577</v>
      </c>
      <c r="D3888" t="s">
        <v>611</v>
      </c>
      <c r="E3888" t="s">
        <v>612</v>
      </c>
      <c r="F3888" t="s">
        <v>410</v>
      </c>
      <c r="G3888">
        <v>4</v>
      </c>
      <c r="H3888">
        <v>4</v>
      </c>
      <c r="I3888">
        <v>4</v>
      </c>
      <c r="J3888">
        <v>4</v>
      </c>
      <c r="K3888">
        <v>0</v>
      </c>
      <c r="L3888">
        <v>0</v>
      </c>
      <c r="M3888">
        <v>4</v>
      </c>
      <c r="N3888">
        <v>0</v>
      </c>
      <c r="O3888">
        <v>0</v>
      </c>
      <c r="P3888">
        <v>0</v>
      </c>
      <c r="Q3888">
        <v>0</v>
      </c>
    </row>
    <row r="3889" spans="1:17" x14ac:dyDescent="0.2">
      <c r="A3889" s="121">
        <v>40543</v>
      </c>
      <c r="B3889" t="s">
        <v>406</v>
      </c>
      <c r="C3889" t="s">
        <v>577</v>
      </c>
      <c r="D3889" t="s">
        <v>584</v>
      </c>
      <c r="E3889" t="s">
        <v>585</v>
      </c>
      <c r="F3889" t="s">
        <v>410</v>
      </c>
      <c r="G3889">
        <v>217</v>
      </c>
      <c r="H3889">
        <v>217</v>
      </c>
      <c r="I3889">
        <v>217</v>
      </c>
      <c r="J3889">
        <v>217</v>
      </c>
      <c r="K3889">
        <v>0</v>
      </c>
      <c r="L3889">
        <v>0</v>
      </c>
      <c r="M3889">
        <v>194</v>
      </c>
      <c r="N3889">
        <v>21</v>
      </c>
      <c r="O3889">
        <v>2</v>
      </c>
      <c r="P3889">
        <v>0</v>
      </c>
      <c r="Q3889">
        <v>0</v>
      </c>
    </row>
    <row r="3890" spans="1:17" x14ac:dyDescent="0.2">
      <c r="A3890" s="121">
        <v>40543</v>
      </c>
      <c r="B3890" t="s">
        <v>406</v>
      </c>
      <c r="C3890" t="s">
        <v>577</v>
      </c>
      <c r="D3890" t="s">
        <v>586</v>
      </c>
      <c r="E3890" t="s">
        <v>587</v>
      </c>
      <c r="F3890" t="s">
        <v>410</v>
      </c>
      <c r="G3890">
        <v>1026</v>
      </c>
      <c r="H3890">
        <v>1026</v>
      </c>
      <c r="I3890">
        <v>1026</v>
      </c>
      <c r="J3890">
        <v>1026</v>
      </c>
      <c r="K3890">
        <v>0</v>
      </c>
      <c r="L3890">
        <v>0</v>
      </c>
      <c r="M3890">
        <v>835</v>
      </c>
      <c r="N3890">
        <v>157</v>
      </c>
      <c r="O3890">
        <v>34</v>
      </c>
      <c r="P3890">
        <v>0</v>
      </c>
      <c r="Q3890">
        <v>0</v>
      </c>
    </row>
    <row r="3891" spans="1:17" x14ac:dyDescent="0.2">
      <c r="A3891" s="121">
        <v>40543</v>
      </c>
      <c r="B3891" t="s">
        <v>406</v>
      </c>
      <c r="C3891" t="s">
        <v>577</v>
      </c>
      <c r="D3891" t="s">
        <v>588</v>
      </c>
      <c r="E3891" t="s">
        <v>589</v>
      </c>
      <c r="F3891" t="s">
        <v>410</v>
      </c>
      <c r="G3891">
        <v>208</v>
      </c>
      <c r="H3891">
        <v>208</v>
      </c>
      <c r="I3891">
        <v>208</v>
      </c>
      <c r="J3891">
        <v>208</v>
      </c>
      <c r="K3891">
        <v>0</v>
      </c>
      <c r="L3891">
        <v>0</v>
      </c>
      <c r="M3891">
        <v>183</v>
      </c>
      <c r="N3891">
        <v>17</v>
      </c>
      <c r="O3891">
        <v>8</v>
      </c>
      <c r="P3891">
        <v>0</v>
      </c>
      <c r="Q3891">
        <v>0</v>
      </c>
    </row>
    <row r="3892" spans="1:17" x14ac:dyDescent="0.2">
      <c r="A3892" s="121">
        <v>40543</v>
      </c>
      <c r="B3892" t="s">
        <v>406</v>
      </c>
      <c r="C3892" t="s">
        <v>577</v>
      </c>
      <c r="D3892" t="s">
        <v>613</v>
      </c>
      <c r="E3892" t="s">
        <v>614</v>
      </c>
      <c r="F3892" t="s">
        <v>410</v>
      </c>
      <c r="G3892">
        <v>169</v>
      </c>
      <c r="H3892">
        <v>169</v>
      </c>
      <c r="I3892">
        <v>168</v>
      </c>
      <c r="J3892">
        <v>168</v>
      </c>
      <c r="K3892">
        <v>0</v>
      </c>
      <c r="L3892">
        <v>0</v>
      </c>
      <c r="M3892">
        <v>138</v>
      </c>
      <c r="N3892">
        <v>24</v>
      </c>
      <c r="O3892">
        <v>7</v>
      </c>
      <c r="P3892">
        <v>0</v>
      </c>
      <c r="Q3892">
        <v>0</v>
      </c>
    </row>
    <row r="3893" spans="1:17" x14ac:dyDescent="0.2">
      <c r="A3893" s="121">
        <v>40543</v>
      </c>
      <c r="B3893" t="s">
        <v>406</v>
      </c>
      <c r="C3893" t="s">
        <v>577</v>
      </c>
      <c r="D3893" t="s">
        <v>590</v>
      </c>
      <c r="E3893" t="s">
        <v>591</v>
      </c>
      <c r="F3893" t="s">
        <v>410</v>
      </c>
      <c r="G3893">
        <v>460</v>
      </c>
      <c r="H3893">
        <v>460</v>
      </c>
      <c r="I3893">
        <v>460</v>
      </c>
      <c r="J3893">
        <v>460</v>
      </c>
      <c r="K3893">
        <v>0</v>
      </c>
      <c r="L3893">
        <v>0</v>
      </c>
      <c r="M3893">
        <v>421</v>
      </c>
      <c r="N3893">
        <v>26</v>
      </c>
      <c r="O3893">
        <v>13</v>
      </c>
      <c r="P3893">
        <v>0</v>
      </c>
      <c r="Q3893">
        <v>0</v>
      </c>
    </row>
    <row r="3894" spans="1:17" x14ac:dyDescent="0.2">
      <c r="A3894" s="121">
        <v>40543</v>
      </c>
      <c r="B3894" t="s">
        <v>406</v>
      </c>
      <c r="C3894" t="s">
        <v>577</v>
      </c>
      <c r="D3894" t="s">
        <v>607</v>
      </c>
      <c r="E3894" t="s">
        <v>608</v>
      </c>
      <c r="F3894" t="s">
        <v>410</v>
      </c>
      <c r="G3894">
        <v>89</v>
      </c>
      <c r="H3894">
        <v>89</v>
      </c>
      <c r="I3894">
        <v>89</v>
      </c>
      <c r="J3894">
        <v>89</v>
      </c>
      <c r="K3894">
        <v>0</v>
      </c>
      <c r="L3894">
        <v>0</v>
      </c>
      <c r="M3894">
        <v>78</v>
      </c>
      <c r="N3894">
        <v>10</v>
      </c>
      <c r="O3894">
        <v>1</v>
      </c>
      <c r="P3894">
        <v>0</v>
      </c>
      <c r="Q3894">
        <v>0</v>
      </c>
    </row>
    <row r="3895" spans="1:17" x14ac:dyDescent="0.2">
      <c r="A3895" s="121">
        <v>40543</v>
      </c>
      <c r="B3895" t="s">
        <v>406</v>
      </c>
      <c r="C3895" t="s">
        <v>577</v>
      </c>
      <c r="D3895" t="s">
        <v>592</v>
      </c>
      <c r="E3895" t="s">
        <v>593</v>
      </c>
      <c r="F3895" t="s">
        <v>410</v>
      </c>
      <c r="G3895">
        <v>529</v>
      </c>
      <c r="H3895">
        <v>529</v>
      </c>
      <c r="I3895">
        <v>527</v>
      </c>
      <c r="J3895">
        <v>527</v>
      </c>
      <c r="K3895">
        <v>0</v>
      </c>
      <c r="L3895">
        <v>0</v>
      </c>
      <c r="M3895">
        <v>460</v>
      </c>
      <c r="N3895">
        <v>39</v>
      </c>
      <c r="O3895">
        <v>30</v>
      </c>
      <c r="P3895">
        <v>0</v>
      </c>
      <c r="Q3895">
        <v>0</v>
      </c>
    </row>
    <row r="3896" spans="1:17" x14ac:dyDescent="0.2">
      <c r="A3896" s="121">
        <v>40543</v>
      </c>
      <c r="B3896" t="s">
        <v>406</v>
      </c>
      <c r="C3896" t="s">
        <v>594</v>
      </c>
      <c r="D3896" t="s">
        <v>595</v>
      </c>
      <c r="E3896" t="s">
        <v>596</v>
      </c>
      <c r="F3896" t="s">
        <v>410</v>
      </c>
      <c r="G3896">
        <v>34</v>
      </c>
      <c r="I3896">
        <v>33</v>
      </c>
    </row>
    <row r="3897" spans="1:17" x14ac:dyDescent="0.2">
      <c r="A3897" s="121">
        <v>40543</v>
      </c>
      <c r="B3897" t="s">
        <v>406</v>
      </c>
      <c r="C3897" t="s">
        <v>594</v>
      </c>
      <c r="D3897" t="s">
        <v>597</v>
      </c>
      <c r="E3897" t="s">
        <v>598</v>
      </c>
      <c r="F3897" t="s">
        <v>413</v>
      </c>
      <c r="G3897">
        <v>488</v>
      </c>
      <c r="H3897">
        <v>488</v>
      </c>
      <c r="I3897">
        <v>474</v>
      </c>
      <c r="J3897">
        <v>474</v>
      </c>
      <c r="K3897">
        <v>152</v>
      </c>
      <c r="L3897">
        <v>0</v>
      </c>
      <c r="M3897">
        <v>334</v>
      </c>
      <c r="N3897">
        <v>0</v>
      </c>
      <c r="O3897">
        <v>2</v>
      </c>
      <c r="P3897">
        <v>0</v>
      </c>
      <c r="Q3897">
        <v>0</v>
      </c>
    </row>
    <row r="3898" spans="1:17" x14ac:dyDescent="0.2">
      <c r="A3898" s="121">
        <v>40543</v>
      </c>
      <c r="B3898" t="s">
        <v>406</v>
      </c>
      <c r="C3898" t="s">
        <v>594</v>
      </c>
      <c r="D3898" t="s">
        <v>599</v>
      </c>
      <c r="E3898" t="s">
        <v>600</v>
      </c>
      <c r="F3898" t="s">
        <v>410</v>
      </c>
      <c r="G3898">
        <v>85</v>
      </c>
      <c r="I3898">
        <v>85</v>
      </c>
    </row>
    <row r="3899" spans="1:17" x14ac:dyDescent="0.2">
      <c r="A3899" s="121">
        <v>40574</v>
      </c>
      <c r="B3899" t="s">
        <v>406</v>
      </c>
      <c r="C3899" t="s">
        <v>407</v>
      </c>
      <c r="D3899" t="s">
        <v>408</v>
      </c>
      <c r="E3899" t="s">
        <v>409</v>
      </c>
      <c r="F3899" t="s">
        <v>410</v>
      </c>
      <c r="G3899">
        <v>192</v>
      </c>
      <c r="I3899">
        <v>192</v>
      </c>
    </row>
    <row r="3900" spans="1:17" x14ac:dyDescent="0.2">
      <c r="A3900" s="121">
        <v>40574</v>
      </c>
      <c r="B3900" t="s">
        <v>406</v>
      </c>
      <c r="C3900" t="s">
        <v>407</v>
      </c>
      <c r="D3900" t="s">
        <v>601</v>
      </c>
      <c r="E3900" t="s">
        <v>602</v>
      </c>
      <c r="F3900" t="s">
        <v>410</v>
      </c>
      <c r="G3900">
        <v>33</v>
      </c>
      <c r="I3900">
        <v>33</v>
      </c>
    </row>
    <row r="3901" spans="1:17" x14ac:dyDescent="0.2">
      <c r="A3901" s="121">
        <v>40574</v>
      </c>
      <c r="B3901" t="s">
        <v>406</v>
      </c>
      <c r="C3901" t="s">
        <v>407</v>
      </c>
      <c r="D3901" t="s">
        <v>411</v>
      </c>
      <c r="E3901" t="s">
        <v>412</v>
      </c>
      <c r="F3901" t="s">
        <v>413</v>
      </c>
      <c r="G3901">
        <v>5810</v>
      </c>
      <c r="H3901">
        <v>5810</v>
      </c>
      <c r="I3901">
        <v>5515</v>
      </c>
      <c r="J3901">
        <v>5515</v>
      </c>
      <c r="K3901">
        <v>2457</v>
      </c>
      <c r="L3901">
        <v>9</v>
      </c>
      <c r="M3901">
        <v>2945</v>
      </c>
      <c r="N3901">
        <v>121</v>
      </c>
      <c r="O3901">
        <v>278</v>
      </c>
      <c r="P3901">
        <v>6</v>
      </c>
      <c r="Q3901">
        <v>0</v>
      </c>
    </row>
    <row r="3902" spans="1:17" x14ac:dyDescent="0.2">
      <c r="A3902" s="121">
        <v>40574</v>
      </c>
      <c r="B3902" t="s">
        <v>406</v>
      </c>
      <c r="C3902" t="s">
        <v>407</v>
      </c>
      <c r="D3902" t="s">
        <v>416</v>
      </c>
      <c r="E3902" t="s">
        <v>417</v>
      </c>
      <c r="F3902" t="s">
        <v>413</v>
      </c>
      <c r="G3902">
        <v>3592</v>
      </c>
      <c r="H3902">
        <v>3592</v>
      </c>
      <c r="I3902">
        <v>3321</v>
      </c>
      <c r="J3902">
        <v>3321</v>
      </c>
      <c r="K3902">
        <v>1400</v>
      </c>
      <c r="L3902">
        <v>6</v>
      </c>
      <c r="M3902">
        <v>1985</v>
      </c>
      <c r="N3902">
        <v>115</v>
      </c>
      <c r="O3902">
        <v>86</v>
      </c>
      <c r="P3902">
        <v>14</v>
      </c>
      <c r="Q3902">
        <v>0</v>
      </c>
    </row>
    <row r="3903" spans="1:17" x14ac:dyDescent="0.2">
      <c r="A3903" s="121">
        <v>40574</v>
      </c>
      <c r="B3903" t="s">
        <v>406</v>
      </c>
      <c r="C3903" t="s">
        <v>407</v>
      </c>
      <c r="D3903" t="s">
        <v>618</v>
      </c>
      <c r="E3903" t="s">
        <v>619</v>
      </c>
      <c r="F3903" t="s">
        <v>410</v>
      </c>
      <c r="G3903">
        <v>80</v>
      </c>
      <c r="I3903">
        <v>80</v>
      </c>
    </row>
    <row r="3904" spans="1:17" x14ac:dyDescent="0.2">
      <c r="A3904" s="121">
        <v>40574</v>
      </c>
      <c r="B3904" t="s">
        <v>406</v>
      </c>
      <c r="C3904" t="s">
        <v>418</v>
      </c>
      <c r="D3904" t="s">
        <v>419</v>
      </c>
      <c r="E3904" t="s">
        <v>420</v>
      </c>
      <c r="F3904" t="s">
        <v>410</v>
      </c>
      <c r="G3904">
        <v>13</v>
      </c>
      <c r="I3904">
        <v>13</v>
      </c>
    </row>
    <row r="3905" spans="1:17" x14ac:dyDescent="0.2">
      <c r="A3905" s="121">
        <v>40574</v>
      </c>
      <c r="B3905" t="s">
        <v>406</v>
      </c>
      <c r="C3905" t="s">
        <v>418</v>
      </c>
      <c r="D3905" t="s">
        <v>421</v>
      </c>
      <c r="E3905" t="s">
        <v>422</v>
      </c>
      <c r="F3905" t="s">
        <v>410</v>
      </c>
      <c r="G3905">
        <v>106</v>
      </c>
      <c r="I3905">
        <v>106</v>
      </c>
    </row>
    <row r="3906" spans="1:17" x14ac:dyDescent="0.2">
      <c r="A3906" s="121">
        <v>40574</v>
      </c>
      <c r="B3906" t="s">
        <v>406</v>
      </c>
      <c r="C3906" t="s">
        <v>418</v>
      </c>
      <c r="D3906" t="s">
        <v>423</v>
      </c>
      <c r="E3906" t="s">
        <v>424</v>
      </c>
      <c r="F3906" t="s">
        <v>410</v>
      </c>
      <c r="G3906">
        <v>12</v>
      </c>
      <c r="I3906">
        <v>12</v>
      </c>
    </row>
    <row r="3907" spans="1:17" x14ac:dyDescent="0.2">
      <c r="A3907" s="121">
        <v>40574</v>
      </c>
      <c r="B3907" t="s">
        <v>406</v>
      </c>
      <c r="C3907" t="s">
        <v>418</v>
      </c>
      <c r="D3907" t="s">
        <v>425</v>
      </c>
      <c r="E3907" t="s">
        <v>426</v>
      </c>
      <c r="F3907" t="s">
        <v>410</v>
      </c>
      <c r="G3907">
        <v>60</v>
      </c>
      <c r="I3907">
        <v>60</v>
      </c>
    </row>
    <row r="3908" spans="1:17" x14ac:dyDescent="0.2">
      <c r="A3908" s="121">
        <v>40574</v>
      </c>
      <c r="B3908" t="s">
        <v>406</v>
      </c>
      <c r="C3908" t="s">
        <v>418</v>
      </c>
      <c r="D3908" t="s">
        <v>427</v>
      </c>
      <c r="E3908" t="s">
        <v>428</v>
      </c>
      <c r="F3908" t="s">
        <v>413</v>
      </c>
      <c r="G3908">
        <v>2061</v>
      </c>
      <c r="H3908">
        <v>2061</v>
      </c>
      <c r="I3908">
        <v>1977</v>
      </c>
      <c r="J3908">
        <v>1977</v>
      </c>
      <c r="K3908">
        <v>769</v>
      </c>
      <c r="L3908">
        <v>5</v>
      </c>
      <c r="M3908">
        <v>799</v>
      </c>
      <c r="N3908">
        <v>436</v>
      </c>
      <c r="O3908">
        <v>52</v>
      </c>
      <c r="P3908">
        <v>4</v>
      </c>
      <c r="Q3908">
        <v>1</v>
      </c>
    </row>
    <row r="3909" spans="1:17" x14ac:dyDescent="0.2">
      <c r="A3909" s="121">
        <v>40574</v>
      </c>
      <c r="B3909" t="s">
        <v>406</v>
      </c>
      <c r="C3909" t="s">
        <v>429</v>
      </c>
      <c r="D3909" t="s">
        <v>430</v>
      </c>
      <c r="E3909" t="s">
        <v>431</v>
      </c>
      <c r="F3909" t="s">
        <v>410</v>
      </c>
      <c r="G3909">
        <v>42</v>
      </c>
      <c r="I3909">
        <v>42</v>
      </c>
    </row>
    <row r="3910" spans="1:17" x14ac:dyDescent="0.2">
      <c r="A3910" s="121">
        <v>40574</v>
      </c>
      <c r="B3910" t="s">
        <v>406</v>
      </c>
      <c r="C3910" t="s">
        <v>429</v>
      </c>
      <c r="D3910" t="s">
        <v>432</v>
      </c>
      <c r="E3910" t="s">
        <v>433</v>
      </c>
      <c r="F3910" t="s">
        <v>410</v>
      </c>
      <c r="G3910">
        <v>42</v>
      </c>
      <c r="I3910">
        <v>42</v>
      </c>
    </row>
    <row r="3911" spans="1:17" x14ac:dyDescent="0.2">
      <c r="A3911" s="121">
        <v>40574</v>
      </c>
      <c r="B3911" t="s">
        <v>406</v>
      </c>
      <c r="C3911" t="s">
        <v>429</v>
      </c>
      <c r="D3911" t="s">
        <v>434</v>
      </c>
      <c r="E3911" t="s">
        <v>435</v>
      </c>
      <c r="F3911" t="s">
        <v>410</v>
      </c>
      <c r="G3911">
        <v>6</v>
      </c>
      <c r="I3911">
        <v>6</v>
      </c>
    </row>
    <row r="3912" spans="1:17" x14ac:dyDescent="0.2">
      <c r="A3912" s="121">
        <v>40574</v>
      </c>
      <c r="B3912" t="s">
        <v>406</v>
      </c>
      <c r="C3912" t="s">
        <v>429</v>
      </c>
      <c r="D3912" t="s">
        <v>436</v>
      </c>
      <c r="E3912" t="s">
        <v>437</v>
      </c>
      <c r="F3912" t="s">
        <v>410</v>
      </c>
      <c r="G3912">
        <v>29</v>
      </c>
      <c r="I3912">
        <v>29</v>
      </c>
    </row>
    <row r="3913" spans="1:17" x14ac:dyDescent="0.2">
      <c r="A3913" s="121">
        <v>40574</v>
      </c>
      <c r="B3913" t="s">
        <v>406</v>
      </c>
      <c r="C3913" t="s">
        <v>429</v>
      </c>
      <c r="D3913" t="s">
        <v>438</v>
      </c>
      <c r="E3913" t="s">
        <v>439</v>
      </c>
      <c r="F3913" t="s">
        <v>413</v>
      </c>
      <c r="G3913">
        <v>1015</v>
      </c>
      <c r="H3913">
        <v>1015</v>
      </c>
      <c r="I3913">
        <v>985</v>
      </c>
      <c r="J3913">
        <v>985</v>
      </c>
      <c r="K3913">
        <v>114</v>
      </c>
      <c r="L3913">
        <v>1</v>
      </c>
      <c r="M3913">
        <v>880</v>
      </c>
      <c r="N3913">
        <v>20</v>
      </c>
      <c r="O3913">
        <v>0</v>
      </c>
      <c r="P3913">
        <v>0</v>
      </c>
      <c r="Q3913">
        <v>0</v>
      </c>
    </row>
    <row r="3914" spans="1:17" x14ac:dyDescent="0.2">
      <c r="A3914" s="121">
        <v>40574</v>
      </c>
      <c r="B3914" t="s">
        <v>406</v>
      </c>
      <c r="C3914" t="s">
        <v>429</v>
      </c>
      <c r="D3914" t="s">
        <v>440</v>
      </c>
      <c r="E3914" t="s">
        <v>441</v>
      </c>
      <c r="F3914" t="s">
        <v>413</v>
      </c>
      <c r="G3914">
        <v>2946</v>
      </c>
      <c r="H3914">
        <v>2946</v>
      </c>
      <c r="I3914">
        <v>2776</v>
      </c>
      <c r="J3914">
        <v>2776</v>
      </c>
      <c r="K3914">
        <v>1144</v>
      </c>
      <c r="L3914">
        <v>4</v>
      </c>
      <c r="M3914">
        <v>1711</v>
      </c>
      <c r="N3914">
        <v>86</v>
      </c>
      <c r="O3914">
        <v>1</v>
      </c>
      <c r="P3914">
        <v>3</v>
      </c>
      <c r="Q3914">
        <v>0</v>
      </c>
    </row>
    <row r="3915" spans="1:17" x14ac:dyDescent="0.2">
      <c r="A3915" s="121">
        <v>40574</v>
      </c>
      <c r="B3915" t="s">
        <v>406</v>
      </c>
      <c r="C3915" t="s">
        <v>442</v>
      </c>
      <c r="D3915" t="s">
        <v>443</v>
      </c>
      <c r="E3915" t="s">
        <v>444</v>
      </c>
      <c r="F3915" t="s">
        <v>413</v>
      </c>
      <c r="G3915">
        <v>3434</v>
      </c>
      <c r="H3915">
        <v>3434</v>
      </c>
      <c r="I3915">
        <v>3108</v>
      </c>
      <c r="J3915">
        <v>3108</v>
      </c>
      <c r="K3915">
        <v>409</v>
      </c>
      <c r="L3915">
        <v>9</v>
      </c>
      <c r="M3915">
        <v>2878</v>
      </c>
      <c r="N3915">
        <v>93</v>
      </c>
      <c r="O3915">
        <v>45</v>
      </c>
      <c r="P3915">
        <v>105</v>
      </c>
      <c r="Q3915">
        <v>37</v>
      </c>
    </row>
    <row r="3916" spans="1:17" x14ac:dyDescent="0.2">
      <c r="A3916" s="121">
        <v>40574</v>
      </c>
      <c r="B3916" t="s">
        <v>406</v>
      </c>
      <c r="C3916" t="s">
        <v>442</v>
      </c>
      <c r="D3916" t="s">
        <v>445</v>
      </c>
      <c r="E3916" t="s">
        <v>446</v>
      </c>
      <c r="F3916" t="s">
        <v>410</v>
      </c>
      <c r="G3916">
        <v>92</v>
      </c>
      <c r="I3916">
        <v>92</v>
      </c>
    </row>
    <row r="3917" spans="1:17" x14ac:dyDescent="0.2">
      <c r="A3917" s="121">
        <v>40574</v>
      </c>
      <c r="B3917" t="s">
        <v>406</v>
      </c>
      <c r="C3917" t="s">
        <v>442</v>
      </c>
      <c r="D3917" t="s">
        <v>447</v>
      </c>
      <c r="E3917" t="s">
        <v>448</v>
      </c>
      <c r="F3917" t="s">
        <v>410</v>
      </c>
      <c r="G3917">
        <v>293</v>
      </c>
      <c r="I3917">
        <v>293</v>
      </c>
    </row>
    <row r="3918" spans="1:17" x14ac:dyDescent="0.2">
      <c r="A3918" s="121">
        <v>40574</v>
      </c>
      <c r="B3918" t="s">
        <v>406</v>
      </c>
      <c r="C3918" t="s">
        <v>442</v>
      </c>
      <c r="D3918" t="s">
        <v>449</v>
      </c>
      <c r="E3918" t="s">
        <v>450</v>
      </c>
      <c r="F3918" t="s">
        <v>413</v>
      </c>
      <c r="G3918">
        <v>3416</v>
      </c>
      <c r="H3918">
        <v>3416</v>
      </c>
      <c r="I3918">
        <v>3031</v>
      </c>
      <c r="J3918">
        <v>3031</v>
      </c>
      <c r="K3918">
        <v>697</v>
      </c>
      <c r="L3918">
        <v>1</v>
      </c>
      <c r="M3918">
        <v>2618</v>
      </c>
      <c r="N3918">
        <v>67</v>
      </c>
      <c r="O3918">
        <v>33</v>
      </c>
      <c r="P3918">
        <v>77</v>
      </c>
      <c r="Q3918">
        <v>24</v>
      </c>
    </row>
    <row r="3919" spans="1:17" x14ac:dyDescent="0.2">
      <c r="A3919" s="121">
        <v>40574</v>
      </c>
      <c r="B3919" t="s">
        <v>406</v>
      </c>
      <c r="C3919" t="s">
        <v>451</v>
      </c>
      <c r="D3919" t="s">
        <v>452</v>
      </c>
      <c r="E3919" t="s">
        <v>453</v>
      </c>
      <c r="F3919" t="s">
        <v>410</v>
      </c>
      <c r="G3919">
        <v>1220</v>
      </c>
      <c r="H3919">
        <v>1220</v>
      </c>
      <c r="I3919">
        <v>1220</v>
      </c>
      <c r="J3919">
        <v>1220</v>
      </c>
      <c r="K3919">
        <v>0</v>
      </c>
      <c r="L3919">
        <v>0</v>
      </c>
      <c r="M3919">
        <v>885</v>
      </c>
      <c r="N3919">
        <v>98</v>
      </c>
      <c r="O3919">
        <v>237</v>
      </c>
      <c r="P3919">
        <v>0</v>
      </c>
      <c r="Q3919">
        <v>0</v>
      </c>
    </row>
    <row r="3920" spans="1:17" x14ac:dyDescent="0.2">
      <c r="A3920" s="121">
        <v>40574</v>
      </c>
      <c r="B3920" t="s">
        <v>406</v>
      </c>
      <c r="C3920" t="s">
        <v>451</v>
      </c>
      <c r="D3920" t="s">
        <v>454</v>
      </c>
      <c r="E3920" t="s">
        <v>455</v>
      </c>
      <c r="F3920" t="s">
        <v>413</v>
      </c>
      <c r="G3920">
        <v>4769</v>
      </c>
      <c r="H3920">
        <v>4769</v>
      </c>
      <c r="I3920">
        <v>4139</v>
      </c>
      <c r="J3920">
        <v>4139</v>
      </c>
      <c r="K3920">
        <v>1260</v>
      </c>
      <c r="L3920">
        <v>11</v>
      </c>
      <c r="M3920">
        <v>2562</v>
      </c>
      <c r="N3920">
        <v>48</v>
      </c>
      <c r="O3920">
        <v>888</v>
      </c>
      <c r="P3920">
        <v>57</v>
      </c>
      <c r="Q3920">
        <v>6</v>
      </c>
    </row>
    <row r="3921" spans="1:17" x14ac:dyDescent="0.2">
      <c r="A3921" s="121">
        <v>40574</v>
      </c>
      <c r="B3921" t="s">
        <v>406</v>
      </c>
      <c r="C3921" t="s">
        <v>456</v>
      </c>
      <c r="D3921" t="s">
        <v>457</v>
      </c>
      <c r="E3921" t="s">
        <v>458</v>
      </c>
      <c r="F3921" t="s">
        <v>413</v>
      </c>
      <c r="G3921">
        <v>5400</v>
      </c>
      <c r="H3921">
        <v>5400</v>
      </c>
      <c r="I3921">
        <v>5149</v>
      </c>
      <c r="J3921">
        <v>5149</v>
      </c>
      <c r="K3921">
        <v>1393</v>
      </c>
      <c r="L3921">
        <v>22</v>
      </c>
      <c r="M3921">
        <v>3856</v>
      </c>
      <c r="N3921">
        <v>78</v>
      </c>
      <c r="O3921">
        <v>51</v>
      </c>
      <c r="P3921">
        <v>40</v>
      </c>
      <c r="Q3921">
        <v>2</v>
      </c>
    </row>
    <row r="3922" spans="1:17" x14ac:dyDescent="0.2">
      <c r="A3922" s="121">
        <v>40574</v>
      </c>
      <c r="B3922" t="s">
        <v>406</v>
      </c>
      <c r="C3922" t="s">
        <v>456</v>
      </c>
      <c r="D3922" t="s">
        <v>459</v>
      </c>
      <c r="E3922" t="s">
        <v>460</v>
      </c>
      <c r="F3922" t="s">
        <v>413</v>
      </c>
      <c r="G3922">
        <v>1410</v>
      </c>
      <c r="H3922">
        <v>1410</v>
      </c>
      <c r="I3922">
        <v>1401</v>
      </c>
      <c r="J3922">
        <v>1401</v>
      </c>
      <c r="K3922">
        <v>420</v>
      </c>
      <c r="L3922">
        <v>1</v>
      </c>
      <c r="M3922">
        <v>988</v>
      </c>
      <c r="N3922">
        <v>0</v>
      </c>
      <c r="O3922">
        <v>1</v>
      </c>
      <c r="P3922">
        <v>0</v>
      </c>
      <c r="Q3922">
        <v>0</v>
      </c>
    </row>
    <row r="3923" spans="1:17" x14ac:dyDescent="0.2">
      <c r="A3923" s="121">
        <v>40574</v>
      </c>
      <c r="B3923" t="s">
        <v>406</v>
      </c>
      <c r="C3923" t="s">
        <v>456</v>
      </c>
      <c r="D3923" t="s">
        <v>461</v>
      </c>
      <c r="E3923" t="s">
        <v>462</v>
      </c>
      <c r="F3923" t="s">
        <v>410</v>
      </c>
      <c r="G3923">
        <v>96</v>
      </c>
      <c r="I3923">
        <v>96</v>
      </c>
    </row>
    <row r="3924" spans="1:17" x14ac:dyDescent="0.2">
      <c r="A3924" s="121">
        <v>40574</v>
      </c>
      <c r="B3924" t="s">
        <v>406</v>
      </c>
      <c r="C3924" t="s">
        <v>456</v>
      </c>
      <c r="D3924" t="s">
        <v>463</v>
      </c>
      <c r="E3924" t="s">
        <v>464</v>
      </c>
      <c r="F3924" t="s">
        <v>410</v>
      </c>
      <c r="G3924">
        <v>33</v>
      </c>
      <c r="I3924">
        <v>33</v>
      </c>
    </row>
    <row r="3925" spans="1:17" x14ac:dyDescent="0.2">
      <c r="A3925" s="121">
        <v>40574</v>
      </c>
      <c r="B3925" t="s">
        <v>406</v>
      </c>
      <c r="C3925" t="s">
        <v>456</v>
      </c>
      <c r="D3925" t="s">
        <v>465</v>
      </c>
      <c r="E3925" t="s">
        <v>466</v>
      </c>
      <c r="F3925" t="s">
        <v>410</v>
      </c>
      <c r="G3925">
        <v>47</v>
      </c>
      <c r="I3925">
        <v>47</v>
      </c>
    </row>
    <row r="3926" spans="1:17" x14ac:dyDescent="0.2">
      <c r="A3926" s="121">
        <v>40574</v>
      </c>
      <c r="B3926" t="s">
        <v>406</v>
      </c>
      <c r="C3926" t="s">
        <v>456</v>
      </c>
      <c r="D3926" t="s">
        <v>467</v>
      </c>
      <c r="E3926" t="s">
        <v>468</v>
      </c>
      <c r="F3926" t="s">
        <v>410</v>
      </c>
      <c r="G3926">
        <v>1209</v>
      </c>
      <c r="I3926">
        <v>1206</v>
      </c>
    </row>
    <row r="3927" spans="1:17" x14ac:dyDescent="0.2">
      <c r="A3927" s="121">
        <v>40574</v>
      </c>
      <c r="B3927" t="s">
        <v>406</v>
      </c>
      <c r="C3927" t="s">
        <v>456</v>
      </c>
      <c r="D3927" t="s">
        <v>469</v>
      </c>
      <c r="E3927" t="s">
        <v>470</v>
      </c>
      <c r="F3927" t="s">
        <v>410</v>
      </c>
      <c r="G3927">
        <v>757</v>
      </c>
      <c r="I3927">
        <v>757</v>
      </c>
    </row>
    <row r="3928" spans="1:17" x14ac:dyDescent="0.2">
      <c r="A3928" s="121">
        <v>40574</v>
      </c>
      <c r="B3928" t="s">
        <v>406</v>
      </c>
      <c r="C3928" t="s">
        <v>456</v>
      </c>
      <c r="D3928" t="s">
        <v>471</v>
      </c>
      <c r="E3928" t="s">
        <v>472</v>
      </c>
      <c r="F3928" t="s">
        <v>410</v>
      </c>
      <c r="G3928">
        <v>241</v>
      </c>
      <c r="I3928">
        <v>241</v>
      </c>
    </row>
    <row r="3929" spans="1:17" x14ac:dyDescent="0.2">
      <c r="A3929" s="121">
        <v>40574</v>
      </c>
      <c r="B3929" t="s">
        <v>406</v>
      </c>
      <c r="C3929" t="s">
        <v>456</v>
      </c>
      <c r="D3929" t="s">
        <v>473</v>
      </c>
      <c r="E3929" t="s">
        <v>474</v>
      </c>
      <c r="F3929" t="s">
        <v>410</v>
      </c>
      <c r="G3929">
        <v>168</v>
      </c>
      <c r="I3929">
        <v>168</v>
      </c>
    </row>
    <row r="3930" spans="1:17" x14ac:dyDescent="0.2">
      <c r="A3930" s="121">
        <v>40574</v>
      </c>
      <c r="B3930" t="s">
        <v>406</v>
      </c>
      <c r="C3930" t="s">
        <v>456</v>
      </c>
      <c r="D3930" t="s">
        <v>475</v>
      </c>
      <c r="E3930" t="s">
        <v>476</v>
      </c>
      <c r="F3930" t="s">
        <v>410</v>
      </c>
      <c r="G3930">
        <v>275</v>
      </c>
      <c r="I3930">
        <v>275</v>
      </c>
    </row>
    <row r="3931" spans="1:17" x14ac:dyDescent="0.2">
      <c r="A3931" s="121">
        <v>40574</v>
      </c>
      <c r="B3931" t="s">
        <v>406</v>
      </c>
      <c r="C3931" t="s">
        <v>456</v>
      </c>
      <c r="D3931" t="s">
        <v>477</v>
      </c>
      <c r="E3931" t="s">
        <v>478</v>
      </c>
      <c r="F3931" t="s">
        <v>413</v>
      </c>
      <c r="G3931">
        <v>1953</v>
      </c>
      <c r="H3931">
        <v>1953</v>
      </c>
      <c r="I3931">
        <v>1841</v>
      </c>
      <c r="J3931">
        <v>1841</v>
      </c>
      <c r="K3931">
        <v>403</v>
      </c>
      <c r="L3931">
        <v>8</v>
      </c>
      <c r="M3931">
        <v>1483</v>
      </c>
      <c r="N3931">
        <v>23</v>
      </c>
      <c r="O3931">
        <v>36</v>
      </c>
      <c r="P3931">
        <v>12</v>
      </c>
      <c r="Q3931">
        <v>4</v>
      </c>
    </row>
    <row r="3932" spans="1:17" x14ac:dyDescent="0.2">
      <c r="A3932" s="121">
        <v>40574</v>
      </c>
      <c r="B3932" t="s">
        <v>406</v>
      </c>
      <c r="C3932" t="s">
        <v>456</v>
      </c>
      <c r="D3932" t="s">
        <v>479</v>
      </c>
      <c r="E3932" t="s">
        <v>480</v>
      </c>
      <c r="F3932" t="s">
        <v>410</v>
      </c>
      <c r="G3932">
        <v>69</v>
      </c>
      <c r="I3932">
        <v>69</v>
      </c>
    </row>
    <row r="3933" spans="1:17" x14ac:dyDescent="0.2">
      <c r="A3933" s="121">
        <v>40574</v>
      </c>
      <c r="B3933" t="s">
        <v>406</v>
      </c>
      <c r="C3933" t="s">
        <v>456</v>
      </c>
      <c r="D3933" t="s">
        <v>481</v>
      </c>
      <c r="E3933" t="s">
        <v>482</v>
      </c>
      <c r="F3933" t="s">
        <v>410</v>
      </c>
      <c r="G3933">
        <v>27</v>
      </c>
      <c r="I3933">
        <v>27</v>
      </c>
    </row>
    <row r="3934" spans="1:17" x14ac:dyDescent="0.2">
      <c r="A3934" s="121">
        <v>40574</v>
      </c>
      <c r="B3934" t="s">
        <v>406</v>
      </c>
      <c r="C3934" t="s">
        <v>456</v>
      </c>
      <c r="D3934" t="s">
        <v>483</v>
      </c>
      <c r="E3934" t="s">
        <v>484</v>
      </c>
      <c r="F3934" t="s">
        <v>410</v>
      </c>
      <c r="G3934">
        <v>74</v>
      </c>
      <c r="I3934">
        <v>74</v>
      </c>
    </row>
    <row r="3935" spans="1:17" x14ac:dyDescent="0.2">
      <c r="A3935" s="121">
        <v>40574</v>
      </c>
      <c r="B3935" t="s">
        <v>406</v>
      </c>
      <c r="C3935" t="s">
        <v>456</v>
      </c>
      <c r="D3935" t="s">
        <v>485</v>
      </c>
      <c r="E3935" t="s">
        <v>486</v>
      </c>
      <c r="F3935" t="s">
        <v>410</v>
      </c>
      <c r="G3935">
        <v>12</v>
      </c>
      <c r="I3935">
        <v>12</v>
      </c>
    </row>
    <row r="3936" spans="1:17" x14ac:dyDescent="0.2">
      <c r="A3936" s="121">
        <v>40574</v>
      </c>
      <c r="B3936" t="s">
        <v>406</v>
      </c>
      <c r="C3936" t="s">
        <v>456</v>
      </c>
      <c r="D3936" t="s">
        <v>487</v>
      </c>
      <c r="E3936" t="s">
        <v>488</v>
      </c>
      <c r="F3936" t="s">
        <v>410</v>
      </c>
      <c r="G3936">
        <v>21</v>
      </c>
      <c r="I3936">
        <v>21</v>
      </c>
    </row>
    <row r="3937" spans="1:17" x14ac:dyDescent="0.2">
      <c r="A3937" s="121">
        <v>40574</v>
      </c>
      <c r="B3937" t="s">
        <v>406</v>
      </c>
      <c r="C3937" t="s">
        <v>456</v>
      </c>
      <c r="D3937" t="s">
        <v>489</v>
      </c>
      <c r="E3937" t="s">
        <v>490</v>
      </c>
      <c r="F3937" t="s">
        <v>410</v>
      </c>
      <c r="G3937">
        <v>92</v>
      </c>
      <c r="H3937">
        <v>92</v>
      </c>
      <c r="I3937">
        <v>92</v>
      </c>
      <c r="J3937">
        <v>92</v>
      </c>
      <c r="K3937">
        <v>0</v>
      </c>
      <c r="L3937">
        <v>1</v>
      </c>
      <c r="M3937">
        <v>74</v>
      </c>
      <c r="N3937">
        <v>17</v>
      </c>
      <c r="O3937">
        <v>0</v>
      </c>
      <c r="P3937">
        <v>0</v>
      </c>
      <c r="Q3937">
        <v>0</v>
      </c>
    </row>
    <row r="3938" spans="1:17" x14ac:dyDescent="0.2">
      <c r="A3938" s="121">
        <v>40574</v>
      </c>
      <c r="B3938" t="s">
        <v>406</v>
      </c>
      <c r="C3938" t="s">
        <v>491</v>
      </c>
      <c r="D3938" t="s">
        <v>492</v>
      </c>
      <c r="E3938" t="s">
        <v>493</v>
      </c>
      <c r="F3938" t="s">
        <v>410</v>
      </c>
      <c r="G3938">
        <v>1130</v>
      </c>
      <c r="H3938">
        <v>1130</v>
      </c>
      <c r="I3938">
        <v>1108</v>
      </c>
      <c r="J3938">
        <v>1108</v>
      </c>
      <c r="K3938">
        <v>0</v>
      </c>
      <c r="L3938">
        <v>0</v>
      </c>
      <c r="M3938">
        <v>0</v>
      </c>
      <c r="N3938">
        <v>5</v>
      </c>
      <c r="O3938">
        <v>1125</v>
      </c>
      <c r="P3938">
        <v>0</v>
      </c>
      <c r="Q3938">
        <v>0</v>
      </c>
    </row>
    <row r="3939" spans="1:17" x14ac:dyDescent="0.2">
      <c r="A3939" s="121">
        <v>40574</v>
      </c>
      <c r="B3939" t="s">
        <v>406</v>
      </c>
      <c r="C3939" t="s">
        <v>491</v>
      </c>
      <c r="D3939" t="s">
        <v>494</v>
      </c>
      <c r="E3939" t="s">
        <v>495</v>
      </c>
      <c r="F3939" t="s">
        <v>413</v>
      </c>
      <c r="G3939">
        <v>2750</v>
      </c>
      <c r="H3939">
        <v>2750</v>
      </c>
      <c r="I3939">
        <v>2557</v>
      </c>
      <c r="J3939">
        <v>2557</v>
      </c>
      <c r="K3939">
        <v>0</v>
      </c>
      <c r="L3939">
        <v>0</v>
      </c>
      <c r="M3939">
        <v>10</v>
      </c>
      <c r="N3939">
        <v>24</v>
      </c>
      <c r="O3939">
        <v>2716</v>
      </c>
      <c r="P3939">
        <v>5</v>
      </c>
      <c r="Q3939">
        <v>0</v>
      </c>
    </row>
    <row r="3940" spans="1:17" x14ac:dyDescent="0.2">
      <c r="A3940" s="121">
        <v>40574</v>
      </c>
      <c r="B3940" t="s">
        <v>406</v>
      </c>
      <c r="C3940" t="s">
        <v>491</v>
      </c>
      <c r="D3940" t="s">
        <v>496</v>
      </c>
      <c r="E3940" t="s">
        <v>497</v>
      </c>
      <c r="F3940" t="s">
        <v>413</v>
      </c>
      <c r="G3940">
        <v>6153</v>
      </c>
      <c r="H3940">
        <v>6153</v>
      </c>
      <c r="I3940">
        <v>5293</v>
      </c>
      <c r="J3940">
        <v>5293</v>
      </c>
      <c r="K3940">
        <v>806</v>
      </c>
      <c r="L3940">
        <v>0</v>
      </c>
      <c r="M3940">
        <v>27</v>
      </c>
      <c r="N3940">
        <v>104</v>
      </c>
      <c r="O3940">
        <v>5216</v>
      </c>
      <c r="P3940">
        <v>58</v>
      </c>
      <c r="Q3940">
        <v>1</v>
      </c>
    </row>
    <row r="3941" spans="1:17" x14ac:dyDescent="0.2">
      <c r="A3941" s="121">
        <v>40574</v>
      </c>
      <c r="B3941" t="s">
        <v>406</v>
      </c>
      <c r="C3941" t="s">
        <v>491</v>
      </c>
      <c r="D3941" t="s">
        <v>498</v>
      </c>
      <c r="E3941" t="s">
        <v>499</v>
      </c>
      <c r="F3941" t="s">
        <v>413</v>
      </c>
      <c r="G3941">
        <v>6153</v>
      </c>
      <c r="H3941">
        <v>6153</v>
      </c>
      <c r="I3941">
        <v>5419</v>
      </c>
      <c r="J3941">
        <v>5419</v>
      </c>
      <c r="K3941">
        <v>1673</v>
      </c>
      <c r="L3941">
        <v>22</v>
      </c>
      <c r="M3941">
        <v>4017</v>
      </c>
      <c r="N3941">
        <v>130</v>
      </c>
      <c r="O3941">
        <v>311</v>
      </c>
      <c r="P3941">
        <v>27</v>
      </c>
      <c r="Q3941">
        <v>0</v>
      </c>
    </row>
    <row r="3942" spans="1:17" x14ac:dyDescent="0.2">
      <c r="A3942" s="121">
        <v>40574</v>
      </c>
      <c r="B3942" t="s">
        <v>406</v>
      </c>
      <c r="C3942" t="s">
        <v>491</v>
      </c>
      <c r="D3942" t="s">
        <v>500</v>
      </c>
      <c r="E3942" t="s">
        <v>501</v>
      </c>
      <c r="F3942" t="s">
        <v>413</v>
      </c>
      <c r="G3942">
        <v>3467</v>
      </c>
      <c r="H3942">
        <v>3467</v>
      </c>
      <c r="I3942">
        <v>3334</v>
      </c>
      <c r="J3942">
        <v>3334</v>
      </c>
      <c r="K3942">
        <v>948</v>
      </c>
      <c r="L3942">
        <v>0</v>
      </c>
      <c r="M3942">
        <v>2220</v>
      </c>
      <c r="N3942">
        <v>29</v>
      </c>
      <c r="O3942">
        <v>270</v>
      </c>
      <c r="P3942">
        <v>3</v>
      </c>
      <c r="Q3942">
        <v>0</v>
      </c>
    </row>
    <row r="3943" spans="1:17" x14ac:dyDescent="0.2">
      <c r="A3943" s="121">
        <v>40574</v>
      </c>
      <c r="B3943" t="s">
        <v>406</v>
      </c>
      <c r="C3943" t="s">
        <v>491</v>
      </c>
      <c r="D3943" t="s">
        <v>502</v>
      </c>
      <c r="E3943" t="s">
        <v>615</v>
      </c>
      <c r="F3943" t="s">
        <v>410</v>
      </c>
      <c r="G3943">
        <v>1206</v>
      </c>
      <c r="H3943">
        <v>1206</v>
      </c>
      <c r="I3943">
        <v>1206</v>
      </c>
      <c r="J3943">
        <v>1206</v>
      </c>
      <c r="K3943">
        <v>0</v>
      </c>
      <c r="L3943">
        <v>0</v>
      </c>
      <c r="M3943">
        <v>1186</v>
      </c>
      <c r="N3943">
        <v>1</v>
      </c>
      <c r="O3943">
        <v>19</v>
      </c>
      <c r="P3943">
        <v>0</v>
      </c>
      <c r="Q3943">
        <v>0</v>
      </c>
    </row>
    <row r="3944" spans="1:17" x14ac:dyDescent="0.2">
      <c r="A3944" s="121">
        <v>40574</v>
      </c>
      <c r="B3944" t="s">
        <v>406</v>
      </c>
      <c r="C3944" t="s">
        <v>491</v>
      </c>
      <c r="D3944" t="s">
        <v>502</v>
      </c>
      <c r="E3944" t="s">
        <v>503</v>
      </c>
      <c r="F3944" t="s">
        <v>413</v>
      </c>
      <c r="G3944">
        <v>5144</v>
      </c>
      <c r="H3944">
        <v>5144</v>
      </c>
      <c r="I3944">
        <v>4615</v>
      </c>
      <c r="J3944">
        <v>4615</v>
      </c>
      <c r="K3944">
        <v>1577</v>
      </c>
      <c r="L3944">
        <v>12</v>
      </c>
      <c r="M3944">
        <v>3350</v>
      </c>
      <c r="N3944">
        <v>121</v>
      </c>
      <c r="O3944">
        <v>84</v>
      </c>
      <c r="P3944">
        <v>71</v>
      </c>
      <c r="Q3944">
        <v>1</v>
      </c>
    </row>
    <row r="3945" spans="1:17" x14ac:dyDescent="0.2">
      <c r="A3945" s="121">
        <v>40574</v>
      </c>
      <c r="B3945" t="s">
        <v>406</v>
      </c>
      <c r="C3945" t="s">
        <v>491</v>
      </c>
      <c r="D3945" t="s">
        <v>504</v>
      </c>
      <c r="E3945" t="s">
        <v>505</v>
      </c>
      <c r="F3945" t="s">
        <v>413</v>
      </c>
      <c r="G3945">
        <v>3918</v>
      </c>
      <c r="H3945">
        <v>3918</v>
      </c>
      <c r="I3945">
        <v>3631</v>
      </c>
      <c r="J3945">
        <v>3631</v>
      </c>
      <c r="K3945">
        <v>1227</v>
      </c>
      <c r="L3945">
        <v>4</v>
      </c>
      <c r="M3945">
        <v>2584</v>
      </c>
      <c r="N3945">
        <v>50</v>
      </c>
      <c r="O3945">
        <v>53</v>
      </c>
      <c r="P3945">
        <v>21</v>
      </c>
      <c r="Q3945">
        <v>2</v>
      </c>
    </row>
    <row r="3946" spans="1:17" x14ac:dyDescent="0.2">
      <c r="A3946" s="121">
        <v>40574</v>
      </c>
      <c r="B3946" t="s">
        <v>406</v>
      </c>
      <c r="C3946" t="s">
        <v>491</v>
      </c>
      <c r="D3946" t="s">
        <v>506</v>
      </c>
      <c r="E3946" t="s">
        <v>507</v>
      </c>
      <c r="F3946" t="s">
        <v>413</v>
      </c>
      <c r="G3946">
        <v>3981</v>
      </c>
      <c r="H3946">
        <v>3981</v>
      </c>
      <c r="I3946">
        <v>3890</v>
      </c>
      <c r="J3946">
        <v>3890</v>
      </c>
      <c r="K3946">
        <v>480</v>
      </c>
      <c r="L3946">
        <v>0</v>
      </c>
      <c r="M3946">
        <v>3493</v>
      </c>
      <c r="N3946">
        <v>2</v>
      </c>
      <c r="O3946">
        <v>6</v>
      </c>
      <c r="P3946">
        <v>2</v>
      </c>
      <c r="Q3946">
        <v>1</v>
      </c>
    </row>
    <row r="3947" spans="1:17" x14ac:dyDescent="0.2">
      <c r="A3947" s="121">
        <v>40574</v>
      </c>
      <c r="B3947" t="s">
        <v>406</v>
      </c>
      <c r="C3947" t="s">
        <v>491</v>
      </c>
      <c r="D3947" t="s">
        <v>508</v>
      </c>
      <c r="E3947" t="s">
        <v>509</v>
      </c>
      <c r="F3947" t="s">
        <v>413</v>
      </c>
      <c r="G3947">
        <v>4845</v>
      </c>
      <c r="H3947">
        <v>4845</v>
      </c>
      <c r="I3947">
        <v>4220</v>
      </c>
      <c r="J3947">
        <v>4220</v>
      </c>
      <c r="K3947">
        <v>1489</v>
      </c>
      <c r="L3947">
        <v>12</v>
      </c>
      <c r="M3947">
        <v>2828</v>
      </c>
      <c r="N3947">
        <v>151</v>
      </c>
      <c r="O3947">
        <v>365</v>
      </c>
      <c r="P3947">
        <v>98</v>
      </c>
      <c r="Q3947">
        <v>6</v>
      </c>
    </row>
    <row r="3948" spans="1:17" x14ac:dyDescent="0.2">
      <c r="A3948" s="121">
        <v>40574</v>
      </c>
      <c r="B3948" t="s">
        <v>406</v>
      </c>
      <c r="C3948" t="s">
        <v>510</v>
      </c>
      <c r="D3948" t="s">
        <v>513</v>
      </c>
      <c r="E3948" t="s">
        <v>514</v>
      </c>
      <c r="F3948" t="s">
        <v>410</v>
      </c>
      <c r="G3948">
        <v>542</v>
      </c>
      <c r="I3948">
        <v>536</v>
      </c>
    </row>
    <row r="3949" spans="1:17" x14ac:dyDescent="0.2">
      <c r="A3949" s="121">
        <v>40574</v>
      </c>
      <c r="B3949" t="s">
        <v>406</v>
      </c>
      <c r="C3949" t="s">
        <v>510</v>
      </c>
      <c r="D3949" t="s">
        <v>515</v>
      </c>
      <c r="E3949" t="s">
        <v>516</v>
      </c>
      <c r="F3949" t="s">
        <v>410</v>
      </c>
      <c r="G3949">
        <v>71</v>
      </c>
      <c r="I3949">
        <v>69</v>
      </c>
    </row>
    <row r="3950" spans="1:17" x14ac:dyDescent="0.2">
      <c r="A3950" s="121">
        <v>40574</v>
      </c>
      <c r="B3950" t="s">
        <v>406</v>
      </c>
      <c r="C3950" t="s">
        <v>510</v>
      </c>
      <c r="D3950" t="s">
        <v>519</v>
      </c>
      <c r="E3950" t="s">
        <v>520</v>
      </c>
      <c r="F3950" t="s">
        <v>410</v>
      </c>
      <c r="G3950">
        <v>310</v>
      </c>
      <c r="I3950">
        <v>295</v>
      </c>
    </row>
    <row r="3951" spans="1:17" x14ac:dyDescent="0.2">
      <c r="A3951" s="121">
        <v>40574</v>
      </c>
      <c r="B3951" t="s">
        <v>406</v>
      </c>
      <c r="C3951" t="s">
        <v>510</v>
      </c>
      <c r="D3951" t="s">
        <v>521</v>
      </c>
      <c r="E3951" t="s">
        <v>522</v>
      </c>
      <c r="F3951" t="s">
        <v>410</v>
      </c>
      <c r="G3951">
        <v>38</v>
      </c>
      <c r="I3951">
        <v>36</v>
      </c>
    </row>
    <row r="3952" spans="1:17" x14ac:dyDescent="0.2">
      <c r="A3952" s="121">
        <v>40574</v>
      </c>
      <c r="B3952" t="s">
        <v>406</v>
      </c>
      <c r="C3952" t="s">
        <v>510</v>
      </c>
      <c r="D3952" t="s">
        <v>523</v>
      </c>
      <c r="E3952" t="s">
        <v>524</v>
      </c>
      <c r="F3952" t="s">
        <v>413</v>
      </c>
      <c r="G3952">
        <v>439</v>
      </c>
      <c r="I3952">
        <v>430</v>
      </c>
    </row>
    <row r="3953" spans="1:17" x14ac:dyDescent="0.2">
      <c r="A3953" s="121">
        <v>40574</v>
      </c>
      <c r="B3953" t="s">
        <v>406</v>
      </c>
      <c r="C3953" t="s">
        <v>510</v>
      </c>
      <c r="D3953" t="s">
        <v>525</v>
      </c>
      <c r="E3953" t="s">
        <v>526</v>
      </c>
      <c r="F3953" t="s">
        <v>410</v>
      </c>
      <c r="G3953">
        <v>473</v>
      </c>
      <c r="I3953">
        <v>464</v>
      </c>
    </row>
    <row r="3954" spans="1:17" x14ac:dyDescent="0.2">
      <c r="A3954" s="121">
        <v>40574</v>
      </c>
      <c r="B3954" t="s">
        <v>406</v>
      </c>
      <c r="C3954" t="s">
        <v>510</v>
      </c>
      <c r="D3954" t="s">
        <v>527</v>
      </c>
      <c r="E3954" t="s">
        <v>528</v>
      </c>
      <c r="F3954" t="s">
        <v>410</v>
      </c>
      <c r="G3954">
        <v>148</v>
      </c>
      <c r="I3954">
        <v>148</v>
      </c>
    </row>
    <row r="3955" spans="1:17" x14ac:dyDescent="0.2">
      <c r="A3955" s="121">
        <v>40574</v>
      </c>
      <c r="B3955" t="s">
        <v>406</v>
      </c>
      <c r="C3955" t="s">
        <v>510</v>
      </c>
      <c r="D3955" t="s">
        <v>529</v>
      </c>
      <c r="E3955" t="s">
        <v>530</v>
      </c>
      <c r="F3955" t="s">
        <v>413</v>
      </c>
      <c r="G3955">
        <v>460</v>
      </c>
      <c r="I3955">
        <v>453</v>
      </c>
    </row>
    <row r="3956" spans="1:17" x14ac:dyDescent="0.2">
      <c r="A3956" s="121">
        <v>40574</v>
      </c>
      <c r="B3956" t="s">
        <v>406</v>
      </c>
      <c r="C3956" t="s">
        <v>510</v>
      </c>
      <c r="D3956" t="s">
        <v>531</v>
      </c>
      <c r="E3956" t="s">
        <v>532</v>
      </c>
      <c r="F3956" t="s">
        <v>410</v>
      </c>
      <c r="G3956">
        <v>37</v>
      </c>
      <c r="I3956">
        <v>37</v>
      </c>
    </row>
    <row r="3957" spans="1:17" x14ac:dyDescent="0.2">
      <c r="A3957" s="121">
        <v>40574</v>
      </c>
      <c r="B3957" t="s">
        <v>406</v>
      </c>
      <c r="C3957" t="s">
        <v>510</v>
      </c>
      <c r="D3957" t="s">
        <v>533</v>
      </c>
      <c r="E3957" t="s">
        <v>534</v>
      </c>
      <c r="F3957" t="s">
        <v>413</v>
      </c>
      <c r="G3957">
        <v>2435</v>
      </c>
      <c r="H3957">
        <v>2435</v>
      </c>
      <c r="I3957">
        <v>2365</v>
      </c>
      <c r="J3957">
        <v>2365</v>
      </c>
      <c r="K3957">
        <v>525</v>
      </c>
      <c r="L3957">
        <v>3</v>
      </c>
      <c r="M3957">
        <v>1907</v>
      </c>
      <c r="N3957">
        <v>0</v>
      </c>
      <c r="O3957">
        <v>0</v>
      </c>
      <c r="P3957">
        <v>1</v>
      </c>
      <c r="Q3957">
        <v>0</v>
      </c>
    </row>
    <row r="3958" spans="1:17" x14ac:dyDescent="0.2">
      <c r="A3958" s="121">
        <v>40574</v>
      </c>
      <c r="B3958" t="s">
        <v>406</v>
      </c>
      <c r="C3958" t="s">
        <v>510</v>
      </c>
      <c r="D3958" t="s">
        <v>535</v>
      </c>
      <c r="E3958" t="s">
        <v>536</v>
      </c>
      <c r="F3958" t="s">
        <v>410</v>
      </c>
      <c r="G3958">
        <v>237</v>
      </c>
      <c r="I3958">
        <v>237</v>
      </c>
    </row>
    <row r="3959" spans="1:17" x14ac:dyDescent="0.2">
      <c r="A3959" s="121">
        <v>40574</v>
      </c>
      <c r="B3959" t="s">
        <v>406</v>
      </c>
      <c r="C3959" t="s">
        <v>510</v>
      </c>
      <c r="D3959" t="s">
        <v>537</v>
      </c>
      <c r="E3959" t="s">
        <v>538</v>
      </c>
      <c r="F3959" t="s">
        <v>410</v>
      </c>
      <c r="G3959">
        <v>85</v>
      </c>
      <c r="I3959">
        <v>85</v>
      </c>
    </row>
    <row r="3960" spans="1:17" x14ac:dyDescent="0.2">
      <c r="A3960" s="121">
        <v>40574</v>
      </c>
      <c r="B3960" t="s">
        <v>406</v>
      </c>
      <c r="C3960" t="s">
        <v>510</v>
      </c>
      <c r="D3960" t="s">
        <v>539</v>
      </c>
      <c r="E3960" t="s">
        <v>540</v>
      </c>
      <c r="F3960" t="s">
        <v>413</v>
      </c>
      <c r="G3960">
        <v>547</v>
      </c>
      <c r="I3960">
        <v>534</v>
      </c>
    </row>
    <row r="3961" spans="1:17" x14ac:dyDescent="0.2">
      <c r="A3961" s="121">
        <v>40574</v>
      </c>
      <c r="B3961" t="s">
        <v>406</v>
      </c>
      <c r="C3961" t="s">
        <v>510</v>
      </c>
      <c r="D3961" t="s">
        <v>541</v>
      </c>
      <c r="E3961" t="s">
        <v>542</v>
      </c>
      <c r="F3961" t="s">
        <v>410</v>
      </c>
      <c r="G3961">
        <v>267</v>
      </c>
      <c r="I3961">
        <v>267</v>
      </c>
    </row>
    <row r="3962" spans="1:17" x14ac:dyDescent="0.2">
      <c r="A3962" s="121">
        <v>40574</v>
      </c>
      <c r="B3962" t="s">
        <v>406</v>
      </c>
      <c r="C3962" t="s">
        <v>510</v>
      </c>
      <c r="D3962" t="s">
        <v>543</v>
      </c>
      <c r="E3962" t="s">
        <v>544</v>
      </c>
      <c r="F3962" t="s">
        <v>410</v>
      </c>
      <c r="G3962">
        <v>237</v>
      </c>
      <c r="I3962">
        <v>237</v>
      </c>
    </row>
    <row r="3963" spans="1:17" x14ac:dyDescent="0.2">
      <c r="A3963" s="121">
        <v>40574</v>
      </c>
      <c r="B3963" t="s">
        <v>406</v>
      </c>
      <c r="C3963" t="s">
        <v>510</v>
      </c>
      <c r="D3963" t="s">
        <v>545</v>
      </c>
      <c r="E3963" t="s">
        <v>546</v>
      </c>
      <c r="F3963" t="s">
        <v>410</v>
      </c>
      <c r="G3963">
        <v>130</v>
      </c>
      <c r="I3963">
        <v>130</v>
      </c>
    </row>
    <row r="3964" spans="1:17" x14ac:dyDescent="0.2">
      <c r="A3964" s="121">
        <v>40574</v>
      </c>
      <c r="B3964" t="s">
        <v>406</v>
      </c>
      <c r="C3964" t="s">
        <v>510</v>
      </c>
      <c r="D3964" t="s">
        <v>547</v>
      </c>
      <c r="E3964" t="s">
        <v>548</v>
      </c>
      <c r="F3964" t="s">
        <v>410</v>
      </c>
      <c r="G3964">
        <v>120</v>
      </c>
      <c r="I3964">
        <v>120</v>
      </c>
    </row>
    <row r="3965" spans="1:17" x14ac:dyDescent="0.2">
      <c r="A3965" s="121">
        <v>40574</v>
      </c>
      <c r="B3965" t="s">
        <v>406</v>
      </c>
      <c r="C3965" t="s">
        <v>510</v>
      </c>
      <c r="D3965" t="s">
        <v>616</v>
      </c>
      <c r="E3965" t="s">
        <v>617</v>
      </c>
      <c r="F3965" t="s">
        <v>410</v>
      </c>
      <c r="G3965">
        <v>278</v>
      </c>
      <c r="I3965">
        <v>278</v>
      </c>
    </row>
    <row r="3966" spans="1:17" x14ac:dyDescent="0.2">
      <c r="A3966" s="121">
        <v>40574</v>
      </c>
      <c r="B3966" t="s">
        <v>406</v>
      </c>
      <c r="C3966" t="s">
        <v>510</v>
      </c>
      <c r="D3966" t="s">
        <v>549</v>
      </c>
      <c r="E3966" t="s">
        <v>550</v>
      </c>
      <c r="F3966" t="s">
        <v>410</v>
      </c>
      <c r="G3966">
        <v>185</v>
      </c>
      <c r="I3966">
        <v>185</v>
      </c>
    </row>
    <row r="3967" spans="1:17" x14ac:dyDescent="0.2">
      <c r="A3967" s="121">
        <v>40574</v>
      </c>
      <c r="B3967" t="s">
        <v>406</v>
      </c>
      <c r="C3967" t="s">
        <v>551</v>
      </c>
      <c r="D3967" t="s">
        <v>552</v>
      </c>
      <c r="E3967" t="s">
        <v>553</v>
      </c>
      <c r="F3967" t="s">
        <v>413</v>
      </c>
      <c r="G3967">
        <v>5485</v>
      </c>
      <c r="H3967">
        <v>5485</v>
      </c>
      <c r="I3967">
        <v>4988</v>
      </c>
      <c r="J3967">
        <v>4988</v>
      </c>
      <c r="K3967">
        <v>1545</v>
      </c>
      <c r="L3967">
        <v>12</v>
      </c>
      <c r="M3967">
        <v>3785</v>
      </c>
      <c r="N3967">
        <v>136</v>
      </c>
      <c r="O3967">
        <v>7</v>
      </c>
      <c r="P3967">
        <v>55</v>
      </c>
      <c r="Q3967">
        <v>14</v>
      </c>
    </row>
    <row r="3968" spans="1:17" x14ac:dyDescent="0.2">
      <c r="A3968" s="121">
        <v>40574</v>
      </c>
      <c r="B3968" t="s">
        <v>406</v>
      </c>
      <c r="C3968" t="s">
        <v>551</v>
      </c>
      <c r="D3968" t="s">
        <v>554</v>
      </c>
      <c r="E3968" t="s">
        <v>555</v>
      </c>
      <c r="F3968" t="s">
        <v>410</v>
      </c>
      <c r="G3968">
        <v>46</v>
      </c>
      <c r="I3968">
        <v>46</v>
      </c>
    </row>
    <row r="3969" spans="1:17" x14ac:dyDescent="0.2">
      <c r="A3969" s="121">
        <v>40574</v>
      </c>
      <c r="B3969" t="s">
        <v>406</v>
      </c>
      <c r="C3969" t="s">
        <v>551</v>
      </c>
      <c r="D3969" t="s">
        <v>556</v>
      </c>
      <c r="E3969" t="s">
        <v>557</v>
      </c>
      <c r="F3969" t="s">
        <v>410</v>
      </c>
      <c r="G3969">
        <v>91</v>
      </c>
      <c r="I3969">
        <v>91</v>
      </c>
    </row>
    <row r="3970" spans="1:17" x14ac:dyDescent="0.2">
      <c r="A3970" s="121">
        <v>40574</v>
      </c>
      <c r="B3970" t="s">
        <v>406</v>
      </c>
      <c r="C3970" t="s">
        <v>551</v>
      </c>
      <c r="D3970" t="s">
        <v>558</v>
      </c>
      <c r="E3970" t="s">
        <v>559</v>
      </c>
      <c r="F3970" t="s">
        <v>413</v>
      </c>
      <c r="G3970">
        <v>4632</v>
      </c>
      <c r="H3970">
        <v>4632</v>
      </c>
      <c r="I3970">
        <v>4171</v>
      </c>
      <c r="J3970">
        <v>4171</v>
      </c>
      <c r="K3970">
        <v>1333</v>
      </c>
      <c r="L3970">
        <v>4</v>
      </c>
      <c r="M3970">
        <v>3181</v>
      </c>
      <c r="N3970">
        <v>95</v>
      </c>
      <c r="O3970">
        <v>19</v>
      </c>
      <c r="P3970">
        <v>161</v>
      </c>
      <c r="Q3970">
        <v>74</v>
      </c>
    </row>
    <row r="3971" spans="1:17" x14ac:dyDescent="0.2">
      <c r="A3971" s="121">
        <v>40574</v>
      </c>
      <c r="B3971" t="s">
        <v>406</v>
      </c>
      <c r="C3971" t="s">
        <v>551</v>
      </c>
      <c r="D3971" t="s">
        <v>560</v>
      </c>
      <c r="E3971" t="s">
        <v>561</v>
      </c>
      <c r="F3971" t="s">
        <v>413</v>
      </c>
      <c r="G3971">
        <v>5617</v>
      </c>
      <c r="H3971">
        <v>5617</v>
      </c>
      <c r="I3971">
        <v>5269</v>
      </c>
      <c r="J3971">
        <v>5269</v>
      </c>
      <c r="K3971">
        <v>1529</v>
      </c>
      <c r="L3971">
        <v>10</v>
      </c>
      <c r="M3971">
        <v>3853</v>
      </c>
      <c r="N3971">
        <v>219</v>
      </c>
      <c r="O3971">
        <v>6</v>
      </c>
      <c r="P3971">
        <v>29</v>
      </c>
      <c r="Q3971">
        <v>12</v>
      </c>
    </row>
    <row r="3972" spans="1:17" x14ac:dyDescent="0.2">
      <c r="A3972" s="121">
        <v>40574</v>
      </c>
      <c r="B3972" t="s">
        <v>406</v>
      </c>
      <c r="C3972" t="s">
        <v>562</v>
      </c>
      <c r="D3972" t="s">
        <v>603</v>
      </c>
      <c r="E3972" t="s">
        <v>604</v>
      </c>
      <c r="F3972" t="s">
        <v>410</v>
      </c>
      <c r="G3972">
        <v>7</v>
      </c>
      <c r="I3972">
        <v>7</v>
      </c>
    </row>
    <row r="3973" spans="1:17" x14ac:dyDescent="0.2">
      <c r="A3973" s="121">
        <v>40574</v>
      </c>
      <c r="B3973" t="s">
        <v>406</v>
      </c>
      <c r="C3973" t="s">
        <v>562</v>
      </c>
      <c r="D3973" t="s">
        <v>605</v>
      </c>
      <c r="E3973" t="s">
        <v>606</v>
      </c>
      <c r="F3973" t="s">
        <v>410</v>
      </c>
      <c r="G3973">
        <v>113</v>
      </c>
      <c r="I3973">
        <v>113</v>
      </c>
    </row>
    <row r="3974" spans="1:17" x14ac:dyDescent="0.2">
      <c r="A3974" s="121">
        <v>40574</v>
      </c>
      <c r="B3974" t="s">
        <v>406</v>
      </c>
      <c r="C3974" t="s">
        <v>562</v>
      </c>
      <c r="D3974" t="s">
        <v>563</v>
      </c>
      <c r="E3974" t="s">
        <v>564</v>
      </c>
      <c r="F3974" t="s">
        <v>410</v>
      </c>
      <c r="G3974">
        <v>3023</v>
      </c>
      <c r="H3974">
        <v>3023</v>
      </c>
      <c r="I3974">
        <v>2942</v>
      </c>
      <c r="J3974">
        <v>2942</v>
      </c>
      <c r="K3974">
        <v>1084</v>
      </c>
      <c r="L3974">
        <v>0</v>
      </c>
      <c r="M3974">
        <v>1904</v>
      </c>
      <c r="N3974">
        <v>35</v>
      </c>
      <c r="O3974">
        <v>0</v>
      </c>
      <c r="P3974">
        <v>3</v>
      </c>
      <c r="Q3974">
        <v>0</v>
      </c>
    </row>
    <row r="3975" spans="1:17" x14ac:dyDescent="0.2">
      <c r="A3975" s="121">
        <v>40574</v>
      </c>
      <c r="B3975" t="s">
        <v>406</v>
      </c>
      <c r="C3975" t="s">
        <v>562</v>
      </c>
      <c r="D3975" t="s">
        <v>565</v>
      </c>
      <c r="E3975" t="s">
        <v>566</v>
      </c>
      <c r="F3975" t="s">
        <v>413</v>
      </c>
      <c r="G3975">
        <v>4115</v>
      </c>
      <c r="H3975">
        <v>4115</v>
      </c>
      <c r="I3975">
        <v>3962</v>
      </c>
      <c r="J3975">
        <v>3962</v>
      </c>
      <c r="K3975">
        <v>1114</v>
      </c>
      <c r="L3975">
        <v>9</v>
      </c>
      <c r="M3975">
        <v>2811</v>
      </c>
      <c r="N3975">
        <v>181</v>
      </c>
      <c r="O3975">
        <v>0</v>
      </c>
      <c r="P3975">
        <v>22</v>
      </c>
      <c r="Q3975">
        <v>2</v>
      </c>
    </row>
    <row r="3976" spans="1:17" x14ac:dyDescent="0.2">
      <c r="A3976" s="121">
        <v>40574</v>
      </c>
      <c r="B3976" t="s">
        <v>406</v>
      </c>
      <c r="C3976" t="s">
        <v>562</v>
      </c>
      <c r="D3976" t="s">
        <v>567</v>
      </c>
      <c r="E3976" t="s">
        <v>568</v>
      </c>
      <c r="F3976" t="s">
        <v>413</v>
      </c>
      <c r="G3976">
        <v>9200</v>
      </c>
      <c r="H3976">
        <v>9200</v>
      </c>
      <c r="I3976">
        <v>8622</v>
      </c>
      <c r="J3976">
        <v>8622</v>
      </c>
      <c r="K3976">
        <v>2819</v>
      </c>
      <c r="L3976">
        <v>27</v>
      </c>
      <c r="M3976">
        <v>5837</v>
      </c>
      <c r="N3976">
        <v>517</v>
      </c>
      <c r="O3976">
        <v>0</v>
      </c>
      <c r="P3976">
        <v>71</v>
      </c>
      <c r="Q3976">
        <v>0</v>
      </c>
    </row>
    <row r="3977" spans="1:17" x14ac:dyDescent="0.2">
      <c r="A3977" s="121">
        <v>40574</v>
      </c>
      <c r="B3977" t="s">
        <v>406</v>
      </c>
      <c r="C3977" t="s">
        <v>562</v>
      </c>
      <c r="D3977" t="s">
        <v>569</v>
      </c>
      <c r="E3977" t="s">
        <v>570</v>
      </c>
      <c r="F3977" t="s">
        <v>413</v>
      </c>
      <c r="G3977">
        <v>3204</v>
      </c>
      <c r="H3977">
        <v>3204</v>
      </c>
      <c r="I3977">
        <v>3146</v>
      </c>
      <c r="J3977">
        <v>3146</v>
      </c>
      <c r="K3977">
        <v>495</v>
      </c>
      <c r="L3977">
        <v>0</v>
      </c>
      <c r="M3977">
        <v>2460</v>
      </c>
      <c r="N3977">
        <v>249</v>
      </c>
      <c r="O3977">
        <v>0</v>
      </c>
      <c r="P3977">
        <v>0</v>
      </c>
      <c r="Q3977">
        <v>0</v>
      </c>
    </row>
    <row r="3978" spans="1:17" x14ac:dyDescent="0.2">
      <c r="A3978" s="121">
        <v>40574</v>
      </c>
      <c r="B3978" t="s">
        <v>406</v>
      </c>
      <c r="C3978" t="s">
        <v>571</v>
      </c>
      <c r="D3978" t="s">
        <v>572</v>
      </c>
      <c r="E3978" t="s">
        <v>573</v>
      </c>
      <c r="F3978" t="s">
        <v>410</v>
      </c>
      <c r="G3978">
        <v>217</v>
      </c>
      <c r="I3978">
        <v>217</v>
      </c>
    </row>
    <row r="3979" spans="1:17" x14ac:dyDescent="0.2">
      <c r="A3979" s="121">
        <v>40574</v>
      </c>
      <c r="B3979" t="s">
        <v>406</v>
      </c>
      <c r="C3979" t="s">
        <v>574</v>
      </c>
      <c r="D3979" t="s">
        <v>575</v>
      </c>
      <c r="E3979" t="s">
        <v>576</v>
      </c>
      <c r="F3979" t="s">
        <v>413</v>
      </c>
      <c r="G3979">
        <v>692</v>
      </c>
      <c r="H3979">
        <v>692</v>
      </c>
      <c r="I3979">
        <v>685</v>
      </c>
      <c r="J3979">
        <v>685</v>
      </c>
      <c r="K3979">
        <v>147</v>
      </c>
      <c r="L3979">
        <v>1</v>
      </c>
      <c r="M3979">
        <v>511</v>
      </c>
      <c r="N3979">
        <v>1</v>
      </c>
      <c r="O3979">
        <v>32</v>
      </c>
      <c r="P3979">
        <v>0</v>
      </c>
      <c r="Q3979">
        <v>0</v>
      </c>
    </row>
    <row r="3980" spans="1:17" x14ac:dyDescent="0.2">
      <c r="A3980" s="121">
        <v>40574</v>
      </c>
      <c r="B3980" t="s">
        <v>406</v>
      </c>
      <c r="C3980" t="s">
        <v>577</v>
      </c>
      <c r="D3980" t="s">
        <v>578</v>
      </c>
      <c r="E3980" t="s">
        <v>579</v>
      </c>
      <c r="F3980" t="s">
        <v>413</v>
      </c>
      <c r="G3980">
        <v>4143</v>
      </c>
      <c r="H3980">
        <v>4143</v>
      </c>
      <c r="I3980">
        <v>4039</v>
      </c>
      <c r="J3980">
        <v>4039</v>
      </c>
      <c r="K3980">
        <v>968</v>
      </c>
      <c r="L3980">
        <v>12</v>
      </c>
      <c r="M3980">
        <v>2960</v>
      </c>
      <c r="N3980">
        <v>203</v>
      </c>
      <c r="O3980">
        <v>0</v>
      </c>
      <c r="P3980">
        <v>0</v>
      </c>
      <c r="Q3980">
        <v>0</v>
      </c>
    </row>
    <row r="3981" spans="1:17" x14ac:dyDescent="0.2">
      <c r="A3981" s="121">
        <v>40574</v>
      </c>
      <c r="B3981" t="s">
        <v>406</v>
      </c>
      <c r="C3981" t="s">
        <v>577</v>
      </c>
      <c r="D3981" t="s">
        <v>580</v>
      </c>
      <c r="E3981" t="s">
        <v>581</v>
      </c>
      <c r="F3981" t="s">
        <v>413</v>
      </c>
      <c r="G3981">
        <v>2123</v>
      </c>
      <c r="H3981">
        <v>2123</v>
      </c>
      <c r="I3981">
        <v>2109</v>
      </c>
      <c r="J3981">
        <v>2109</v>
      </c>
      <c r="K3981">
        <v>328</v>
      </c>
      <c r="L3981">
        <v>0</v>
      </c>
      <c r="M3981">
        <v>1419</v>
      </c>
      <c r="N3981">
        <v>351</v>
      </c>
      <c r="O3981">
        <v>25</v>
      </c>
      <c r="P3981">
        <v>4</v>
      </c>
      <c r="Q3981">
        <v>0</v>
      </c>
    </row>
    <row r="3982" spans="1:17" x14ac:dyDescent="0.2">
      <c r="A3982" s="121">
        <v>40574</v>
      </c>
      <c r="B3982" t="s">
        <v>406</v>
      </c>
      <c r="C3982" t="s">
        <v>577</v>
      </c>
      <c r="D3982" t="s">
        <v>609</v>
      </c>
      <c r="E3982" t="s">
        <v>610</v>
      </c>
      <c r="F3982" t="s">
        <v>410</v>
      </c>
      <c r="G3982">
        <v>27</v>
      </c>
      <c r="H3982">
        <v>27</v>
      </c>
      <c r="I3982">
        <v>27</v>
      </c>
      <c r="J3982">
        <v>27</v>
      </c>
      <c r="K3982">
        <v>0</v>
      </c>
      <c r="L3982">
        <v>0</v>
      </c>
      <c r="M3982">
        <v>22</v>
      </c>
      <c r="N3982">
        <v>4</v>
      </c>
      <c r="O3982">
        <v>1</v>
      </c>
      <c r="P3982">
        <v>0</v>
      </c>
      <c r="Q3982">
        <v>0</v>
      </c>
    </row>
    <row r="3983" spans="1:17" x14ac:dyDescent="0.2">
      <c r="A3983" s="121">
        <v>40574</v>
      </c>
      <c r="B3983" t="s">
        <v>406</v>
      </c>
      <c r="C3983" t="s">
        <v>577</v>
      </c>
      <c r="D3983" t="s">
        <v>611</v>
      </c>
      <c r="E3983" t="s">
        <v>612</v>
      </c>
      <c r="F3983" t="s">
        <v>410</v>
      </c>
      <c r="G3983">
        <v>1</v>
      </c>
      <c r="H3983">
        <v>1</v>
      </c>
      <c r="I3983">
        <v>1</v>
      </c>
      <c r="J3983">
        <v>1</v>
      </c>
      <c r="K3983">
        <v>0</v>
      </c>
      <c r="L3983">
        <v>0</v>
      </c>
      <c r="M3983">
        <v>1</v>
      </c>
      <c r="N3983">
        <v>0</v>
      </c>
      <c r="O3983">
        <v>0</v>
      </c>
      <c r="P3983">
        <v>0</v>
      </c>
      <c r="Q3983">
        <v>0</v>
      </c>
    </row>
    <row r="3984" spans="1:17" x14ac:dyDescent="0.2">
      <c r="A3984" s="121">
        <v>40574</v>
      </c>
      <c r="B3984" t="s">
        <v>406</v>
      </c>
      <c r="C3984" t="s">
        <v>577</v>
      </c>
      <c r="D3984" t="s">
        <v>584</v>
      </c>
      <c r="E3984" t="s">
        <v>585</v>
      </c>
      <c r="F3984" t="s">
        <v>410</v>
      </c>
      <c r="G3984">
        <v>271</v>
      </c>
      <c r="H3984">
        <v>271</v>
      </c>
      <c r="I3984">
        <v>270</v>
      </c>
      <c r="J3984">
        <v>270</v>
      </c>
      <c r="K3984">
        <v>0</v>
      </c>
      <c r="L3984">
        <v>0</v>
      </c>
      <c r="M3984">
        <v>232</v>
      </c>
      <c r="N3984">
        <v>36</v>
      </c>
      <c r="O3984">
        <v>3</v>
      </c>
      <c r="P3984">
        <v>0</v>
      </c>
      <c r="Q3984">
        <v>0</v>
      </c>
    </row>
    <row r="3985" spans="1:17" x14ac:dyDescent="0.2">
      <c r="A3985" s="121">
        <v>40574</v>
      </c>
      <c r="B3985" t="s">
        <v>406</v>
      </c>
      <c r="C3985" t="s">
        <v>577</v>
      </c>
      <c r="D3985" t="s">
        <v>586</v>
      </c>
      <c r="E3985" t="s">
        <v>587</v>
      </c>
      <c r="F3985" t="s">
        <v>410</v>
      </c>
      <c r="G3985">
        <v>1220</v>
      </c>
      <c r="H3985">
        <v>1220</v>
      </c>
      <c r="I3985">
        <v>1220</v>
      </c>
      <c r="J3985">
        <v>1220</v>
      </c>
      <c r="K3985">
        <v>0</v>
      </c>
      <c r="L3985">
        <v>0</v>
      </c>
      <c r="M3985">
        <v>988</v>
      </c>
      <c r="N3985">
        <v>172</v>
      </c>
      <c r="O3985">
        <v>60</v>
      </c>
      <c r="P3985">
        <v>0</v>
      </c>
      <c r="Q3985">
        <v>0</v>
      </c>
    </row>
    <row r="3986" spans="1:17" x14ac:dyDescent="0.2">
      <c r="A3986" s="121">
        <v>40574</v>
      </c>
      <c r="B3986" t="s">
        <v>406</v>
      </c>
      <c r="C3986" t="s">
        <v>577</v>
      </c>
      <c r="D3986" t="s">
        <v>588</v>
      </c>
      <c r="E3986" t="s">
        <v>589</v>
      </c>
      <c r="F3986" t="s">
        <v>410</v>
      </c>
      <c r="G3986">
        <v>276</v>
      </c>
      <c r="H3986">
        <v>276</v>
      </c>
      <c r="I3986">
        <v>276</v>
      </c>
      <c r="J3986">
        <v>276</v>
      </c>
      <c r="K3986">
        <v>1</v>
      </c>
      <c r="L3986">
        <v>0</v>
      </c>
      <c r="M3986">
        <v>235</v>
      </c>
      <c r="N3986">
        <v>25</v>
      </c>
      <c r="O3986">
        <v>15</v>
      </c>
      <c r="P3986">
        <v>0</v>
      </c>
      <c r="Q3986">
        <v>0</v>
      </c>
    </row>
    <row r="3987" spans="1:17" x14ac:dyDescent="0.2">
      <c r="A3987" s="121">
        <v>40574</v>
      </c>
      <c r="B3987" t="s">
        <v>406</v>
      </c>
      <c r="C3987" t="s">
        <v>577</v>
      </c>
      <c r="D3987" t="s">
        <v>613</v>
      </c>
      <c r="E3987" t="s">
        <v>614</v>
      </c>
      <c r="F3987" t="s">
        <v>410</v>
      </c>
      <c r="G3987">
        <v>232</v>
      </c>
      <c r="H3987">
        <v>232</v>
      </c>
      <c r="I3987">
        <v>232</v>
      </c>
      <c r="J3987">
        <v>232</v>
      </c>
      <c r="K3987">
        <v>0</v>
      </c>
      <c r="L3987">
        <v>0</v>
      </c>
      <c r="M3987">
        <v>182</v>
      </c>
      <c r="N3987">
        <v>39</v>
      </c>
      <c r="O3987">
        <v>11</v>
      </c>
      <c r="P3987">
        <v>0</v>
      </c>
      <c r="Q3987">
        <v>0</v>
      </c>
    </row>
    <row r="3988" spans="1:17" x14ac:dyDescent="0.2">
      <c r="A3988" s="121">
        <v>40574</v>
      </c>
      <c r="B3988" t="s">
        <v>406</v>
      </c>
      <c r="C3988" t="s">
        <v>577</v>
      </c>
      <c r="D3988" t="s">
        <v>590</v>
      </c>
      <c r="E3988" t="s">
        <v>591</v>
      </c>
      <c r="F3988" t="s">
        <v>410</v>
      </c>
      <c r="G3988">
        <v>715</v>
      </c>
      <c r="H3988">
        <v>715</v>
      </c>
      <c r="I3988">
        <v>715</v>
      </c>
      <c r="J3988">
        <v>715</v>
      </c>
      <c r="K3988">
        <v>0</v>
      </c>
      <c r="L3988">
        <v>0</v>
      </c>
      <c r="M3988">
        <v>663</v>
      </c>
      <c r="N3988">
        <v>41</v>
      </c>
      <c r="O3988">
        <v>11</v>
      </c>
      <c r="P3988">
        <v>0</v>
      </c>
      <c r="Q3988">
        <v>0</v>
      </c>
    </row>
    <row r="3989" spans="1:17" x14ac:dyDescent="0.2">
      <c r="A3989" s="121">
        <v>40574</v>
      </c>
      <c r="B3989" t="s">
        <v>406</v>
      </c>
      <c r="C3989" t="s">
        <v>577</v>
      </c>
      <c r="D3989" t="s">
        <v>607</v>
      </c>
      <c r="E3989" t="s">
        <v>608</v>
      </c>
      <c r="F3989" t="s">
        <v>410</v>
      </c>
      <c r="G3989">
        <v>117</v>
      </c>
      <c r="H3989">
        <v>117</v>
      </c>
      <c r="I3989">
        <v>117</v>
      </c>
      <c r="J3989">
        <v>117</v>
      </c>
      <c r="K3989">
        <v>0</v>
      </c>
      <c r="L3989">
        <v>0</v>
      </c>
      <c r="M3989">
        <v>105</v>
      </c>
      <c r="N3989">
        <v>12</v>
      </c>
      <c r="O3989">
        <v>0</v>
      </c>
      <c r="P3989">
        <v>0</v>
      </c>
      <c r="Q3989">
        <v>0</v>
      </c>
    </row>
    <row r="3990" spans="1:17" x14ac:dyDescent="0.2">
      <c r="A3990" s="121">
        <v>40574</v>
      </c>
      <c r="B3990" t="s">
        <v>406</v>
      </c>
      <c r="C3990" t="s">
        <v>577</v>
      </c>
      <c r="D3990" t="s">
        <v>592</v>
      </c>
      <c r="E3990" t="s">
        <v>593</v>
      </c>
      <c r="F3990" t="s">
        <v>410</v>
      </c>
      <c r="G3990">
        <v>581</v>
      </c>
      <c r="H3990">
        <v>581</v>
      </c>
      <c r="I3990">
        <v>580</v>
      </c>
      <c r="J3990">
        <v>580</v>
      </c>
      <c r="K3990">
        <v>0</v>
      </c>
      <c r="L3990">
        <v>0</v>
      </c>
      <c r="M3990">
        <v>493</v>
      </c>
      <c r="N3990">
        <v>54</v>
      </c>
      <c r="O3990">
        <v>34</v>
      </c>
      <c r="P3990">
        <v>0</v>
      </c>
      <c r="Q3990">
        <v>0</v>
      </c>
    </row>
    <row r="3991" spans="1:17" x14ac:dyDescent="0.2">
      <c r="A3991" s="121">
        <v>40574</v>
      </c>
      <c r="B3991" t="s">
        <v>406</v>
      </c>
      <c r="C3991" t="s">
        <v>594</v>
      </c>
      <c r="D3991" t="s">
        <v>595</v>
      </c>
      <c r="E3991" t="s">
        <v>596</v>
      </c>
      <c r="F3991" t="s">
        <v>410</v>
      </c>
      <c r="G3991">
        <v>30</v>
      </c>
      <c r="I3991">
        <v>30</v>
      </c>
    </row>
    <row r="3992" spans="1:17" x14ac:dyDescent="0.2">
      <c r="A3992" s="121">
        <v>40574</v>
      </c>
      <c r="B3992" t="s">
        <v>406</v>
      </c>
      <c r="C3992" t="s">
        <v>594</v>
      </c>
      <c r="D3992" t="s">
        <v>597</v>
      </c>
      <c r="E3992" t="s">
        <v>598</v>
      </c>
      <c r="F3992" t="s">
        <v>413</v>
      </c>
      <c r="G3992">
        <v>493</v>
      </c>
      <c r="H3992">
        <v>493</v>
      </c>
      <c r="I3992">
        <v>482</v>
      </c>
      <c r="J3992">
        <v>482</v>
      </c>
      <c r="K3992">
        <v>144</v>
      </c>
      <c r="L3992">
        <v>0</v>
      </c>
      <c r="M3992">
        <v>344</v>
      </c>
      <c r="N3992">
        <v>1</v>
      </c>
      <c r="O3992">
        <v>4</v>
      </c>
      <c r="P3992">
        <v>0</v>
      </c>
      <c r="Q3992">
        <v>0</v>
      </c>
    </row>
    <row r="3993" spans="1:17" x14ac:dyDescent="0.2">
      <c r="A3993" s="121">
        <v>40574</v>
      </c>
      <c r="B3993" t="s">
        <v>406</v>
      </c>
      <c r="C3993" t="s">
        <v>594</v>
      </c>
      <c r="D3993" t="s">
        <v>599</v>
      </c>
      <c r="E3993" t="s">
        <v>600</v>
      </c>
      <c r="F3993" t="s">
        <v>410</v>
      </c>
      <c r="G3993">
        <v>87</v>
      </c>
      <c r="I3993">
        <v>87</v>
      </c>
    </row>
    <row r="3994" spans="1:17" x14ac:dyDescent="0.2">
      <c r="A3994" s="121">
        <v>40602</v>
      </c>
      <c r="B3994" t="s">
        <v>406</v>
      </c>
      <c r="C3994" t="s">
        <v>407</v>
      </c>
      <c r="D3994" t="s">
        <v>408</v>
      </c>
      <c r="E3994" t="s">
        <v>409</v>
      </c>
      <c r="F3994" t="s">
        <v>410</v>
      </c>
      <c r="G3994">
        <v>145</v>
      </c>
      <c r="I3994">
        <v>145</v>
      </c>
    </row>
    <row r="3995" spans="1:17" x14ac:dyDescent="0.2">
      <c r="A3995" s="121">
        <v>40602</v>
      </c>
      <c r="B3995" t="s">
        <v>406</v>
      </c>
      <c r="C3995" t="s">
        <v>407</v>
      </c>
      <c r="D3995" t="s">
        <v>601</v>
      </c>
      <c r="E3995" t="s">
        <v>602</v>
      </c>
      <c r="F3995" t="s">
        <v>410</v>
      </c>
      <c r="G3995">
        <v>30</v>
      </c>
      <c r="I3995">
        <v>30</v>
      </c>
    </row>
    <row r="3996" spans="1:17" x14ac:dyDescent="0.2">
      <c r="A3996" s="121">
        <v>40602</v>
      </c>
      <c r="B3996" t="s">
        <v>406</v>
      </c>
      <c r="C3996" t="s">
        <v>407</v>
      </c>
      <c r="D3996" t="s">
        <v>411</v>
      </c>
      <c r="E3996" t="s">
        <v>412</v>
      </c>
      <c r="F3996" t="s">
        <v>413</v>
      </c>
      <c r="G3996">
        <v>5087</v>
      </c>
      <c r="H3996">
        <v>5087</v>
      </c>
      <c r="I3996">
        <v>4825</v>
      </c>
      <c r="J3996">
        <v>4825</v>
      </c>
      <c r="K3996">
        <v>2157</v>
      </c>
      <c r="L3996">
        <v>7</v>
      </c>
      <c r="M3996">
        <v>2657</v>
      </c>
      <c r="N3996">
        <v>109</v>
      </c>
      <c r="O3996">
        <v>157</v>
      </c>
      <c r="P3996">
        <v>11</v>
      </c>
      <c r="Q3996">
        <v>0</v>
      </c>
    </row>
    <row r="3997" spans="1:17" x14ac:dyDescent="0.2">
      <c r="A3997" s="121">
        <v>40602</v>
      </c>
      <c r="B3997" t="s">
        <v>406</v>
      </c>
      <c r="C3997" t="s">
        <v>407</v>
      </c>
      <c r="D3997" t="s">
        <v>416</v>
      </c>
      <c r="E3997" t="s">
        <v>417</v>
      </c>
      <c r="F3997" t="s">
        <v>413</v>
      </c>
      <c r="G3997">
        <v>3213</v>
      </c>
      <c r="H3997">
        <v>3213</v>
      </c>
      <c r="I3997">
        <v>3044</v>
      </c>
      <c r="J3997">
        <v>3044</v>
      </c>
      <c r="K3997">
        <v>1207</v>
      </c>
      <c r="L3997">
        <v>6</v>
      </c>
      <c r="M3997">
        <v>1842</v>
      </c>
      <c r="N3997">
        <v>97</v>
      </c>
      <c r="O3997">
        <v>61</v>
      </c>
      <c r="P3997">
        <v>11</v>
      </c>
      <c r="Q3997">
        <v>2</v>
      </c>
    </row>
    <row r="3998" spans="1:17" x14ac:dyDescent="0.2">
      <c r="A3998" s="121">
        <v>40602</v>
      </c>
      <c r="B3998" t="s">
        <v>406</v>
      </c>
      <c r="C3998" t="s">
        <v>407</v>
      </c>
      <c r="D3998" t="s">
        <v>618</v>
      </c>
      <c r="E3998" t="s">
        <v>619</v>
      </c>
      <c r="F3998" t="s">
        <v>410</v>
      </c>
      <c r="G3998">
        <v>78</v>
      </c>
      <c r="I3998">
        <v>78</v>
      </c>
    </row>
    <row r="3999" spans="1:17" x14ac:dyDescent="0.2">
      <c r="A3999" s="121">
        <v>40602</v>
      </c>
      <c r="B3999" t="s">
        <v>406</v>
      </c>
      <c r="C3999" t="s">
        <v>418</v>
      </c>
      <c r="D3999" t="s">
        <v>419</v>
      </c>
      <c r="E3999" t="s">
        <v>420</v>
      </c>
      <c r="F3999" t="s">
        <v>410</v>
      </c>
      <c r="G3999">
        <v>10</v>
      </c>
      <c r="I3999">
        <v>10</v>
      </c>
    </row>
    <row r="4000" spans="1:17" x14ac:dyDescent="0.2">
      <c r="A4000" s="121">
        <v>40602</v>
      </c>
      <c r="B4000" t="s">
        <v>406</v>
      </c>
      <c r="C4000" t="s">
        <v>418</v>
      </c>
      <c r="D4000" t="s">
        <v>421</v>
      </c>
      <c r="E4000" t="s">
        <v>422</v>
      </c>
      <c r="F4000" t="s">
        <v>410</v>
      </c>
      <c r="G4000">
        <v>81</v>
      </c>
      <c r="I4000">
        <v>81</v>
      </c>
    </row>
    <row r="4001" spans="1:17" x14ac:dyDescent="0.2">
      <c r="A4001" s="121">
        <v>40602</v>
      </c>
      <c r="B4001" t="s">
        <v>406</v>
      </c>
      <c r="C4001" t="s">
        <v>418</v>
      </c>
      <c r="D4001" t="s">
        <v>423</v>
      </c>
      <c r="E4001" t="s">
        <v>424</v>
      </c>
      <c r="F4001" t="s">
        <v>410</v>
      </c>
      <c r="G4001">
        <v>14</v>
      </c>
      <c r="I4001">
        <v>14</v>
      </c>
    </row>
    <row r="4002" spans="1:17" x14ac:dyDescent="0.2">
      <c r="A4002" s="121">
        <v>40602</v>
      </c>
      <c r="B4002" t="s">
        <v>406</v>
      </c>
      <c r="C4002" t="s">
        <v>418</v>
      </c>
      <c r="D4002" t="s">
        <v>425</v>
      </c>
      <c r="E4002" t="s">
        <v>426</v>
      </c>
      <c r="F4002" t="s">
        <v>410</v>
      </c>
      <c r="G4002">
        <v>56</v>
      </c>
      <c r="I4002">
        <v>56</v>
      </c>
    </row>
    <row r="4003" spans="1:17" x14ac:dyDescent="0.2">
      <c r="A4003" s="121">
        <v>40602</v>
      </c>
      <c r="B4003" t="s">
        <v>406</v>
      </c>
      <c r="C4003" t="s">
        <v>418</v>
      </c>
      <c r="D4003" t="s">
        <v>427</v>
      </c>
      <c r="E4003" t="s">
        <v>428</v>
      </c>
      <c r="F4003" t="s">
        <v>413</v>
      </c>
      <c r="G4003">
        <v>1616</v>
      </c>
      <c r="H4003">
        <v>1616</v>
      </c>
      <c r="I4003">
        <v>1568</v>
      </c>
      <c r="J4003">
        <v>1568</v>
      </c>
      <c r="K4003">
        <v>566</v>
      </c>
      <c r="L4003">
        <v>1</v>
      </c>
      <c r="M4003">
        <v>683</v>
      </c>
      <c r="N4003">
        <v>309</v>
      </c>
      <c r="O4003">
        <v>57</v>
      </c>
      <c r="P4003">
        <v>2</v>
      </c>
      <c r="Q4003">
        <v>0</v>
      </c>
    </row>
    <row r="4004" spans="1:17" x14ac:dyDescent="0.2">
      <c r="A4004" s="121">
        <v>40602</v>
      </c>
      <c r="B4004" t="s">
        <v>406</v>
      </c>
      <c r="C4004" t="s">
        <v>429</v>
      </c>
      <c r="D4004" t="s">
        <v>430</v>
      </c>
      <c r="E4004" t="s">
        <v>431</v>
      </c>
      <c r="F4004" t="s">
        <v>410</v>
      </c>
      <c r="G4004">
        <v>26</v>
      </c>
      <c r="I4004">
        <v>26</v>
      </c>
    </row>
    <row r="4005" spans="1:17" x14ac:dyDescent="0.2">
      <c r="A4005" s="121">
        <v>40602</v>
      </c>
      <c r="B4005" t="s">
        <v>406</v>
      </c>
      <c r="C4005" t="s">
        <v>429</v>
      </c>
      <c r="D4005" t="s">
        <v>432</v>
      </c>
      <c r="E4005" t="s">
        <v>433</v>
      </c>
      <c r="F4005" t="s">
        <v>410</v>
      </c>
      <c r="G4005">
        <v>53</v>
      </c>
      <c r="I4005">
        <v>53</v>
      </c>
    </row>
    <row r="4006" spans="1:17" x14ac:dyDescent="0.2">
      <c r="A4006" s="121">
        <v>40602</v>
      </c>
      <c r="B4006" t="s">
        <v>406</v>
      </c>
      <c r="C4006" t="s">
        <v>429</v>
      </c>
      <c r="D4006" t="s">
        <v>434</v>
      </c>
      <c r="E4006" t="s">
        <v>435</v>
      </c>
      <c r="F4006" t="s">
        <v>410</v>
      </c>
      <c r="G4006">
        <v>5</v>
      </c>
      <c r="I4006">
        <v>5</v>
      </c>
    </row>
    <row r="4007" spans="1:17" x14ac:dyDescent="0.2">
      <c r="A4007" s="121">
        <v>40602</v>
      </c>
      <c r="B4007" t="s">
        <v>406</v>
      </c>
      <c r="C4007" t="s">
        <v>429</v>
      </c>
      <c r="D4007" t="s">
        <v>436</v>
      </c>
      <c r="E4007" t="s">
        <v>437</v>
      </c>
      <c r="F4007" t="s">
        <v>410</v>
      </c>
      <c r="G4007">
        <v>29</v>
      </c>
      <c r="I4007">
        <v>29</v>
      </c>
    </row>
    <row r="4008" spans="1:17" x14ac:dyDescent="0.2">
      <c r="A4008" s="121">
        <v>40602</v>
      </c>
      <c r="B4008" t="s">
        <v>406</v>
      </c>
      <c r="C4008" t="s">
        <v>429</v>
      </c>
      <c r="D4008" t="s">
        <v>438</v>
      </c>
      <c r="E4008" t="s">
        <v>439</v>
      </c>
      <c r="F4008" t="s">
        <v>413</v>
      </c>
      <c r="G4008">
        <v>885</v>
      </c>
      <c r="H4008">
        <v>885</v>
      </c>
      <c r="I4008">
        <v>866</v>
      </c>
      <c r="J4008">
        <v>866</v>
      </c>
      <c r="K4008">
        <v>102</v>
      </c>
      <c r="L4008">
        <v>0</v>
      </c>
      <c r="M4008">
        <v>767</v>
      </c>
      <c r="N4008">
        <v>16</v>
      </c>
      <c r="O4008">
        <v>0</v>
      </c>
      <c r="P4008">
        <v>2</v>
      </c>
      <c r="Q4008">
        <v>0</v>
      </c>
    </row>
    <row r="4009" spans="1:17" x14ac:dyDescent="0.2">
      <c r="A4009" s="121">
        <v>40602</v>
      </c>
      <c r="B4009" t="s">
        <v>406</v>
      </c>
      <c r="C4009" t="s">
        <v>429</v>
      </c>
      <c r="D4009" t="s">
        <v>440</v>
      </c>
      <c r="E4009" t="s">
        <v>441</v>
      </c>
      <c r="F4009" t="s">
        <v>413</v>
      </c>
      <c r="G4009">
        <v>2562</v>
      </c>
      <c r="H4009">
        <v>2562</v>
      </c>
      <c r="I4009">
        <v>2421</v>
      </c>
      <c r="J4009">
        <v>2421</v>
      </c>
      <c r="K4009">
        <v>910</v>
      </c>
      <c r="L4009">
        <v>5</v>
      </c>
      <c r="M4009">
        <v>1579</v>
      </c>
      <c r="N4009">
        <v>68</v>
      </c>
      <c r="O4009">
        <v>0</v>
      </c>
      <c r="P4009">
        <v>2</v>
      </c>
      <c r="Q4009">
        <v>0</v>
      </c>
    </row>
    <row r="4010" spans="1:17" x14ac:dyDescent="0.2">
      <c r="A4010" s="121">
        <v>40602</v>
      </c>
      <c r="B4010" t="s">
        <v>406</v>
      </c>
      <c r="C4010" t="s">
        <v>442</v>
      </c>
      <c r="D4010" t="s">
        <v>443</v>
      </c>
      <c r="E4010" t="s">
        <v>444</v>
      </c>
      <c r="F4010" t="s">
        <v>413</v>
      </c>
      <c r="G4010">
        <v>2932</v>
      </c>
      <c r="H4010">
        <v>2932</v>
      </c>
      <c r="I4010">
        <v>2719</v>
      </c>
      <c r="J4010">
        <v>2719</v>
      </c>
      <c r="K4010">
        <v>420</v>
      </c>
      <c r="L4010">
        <v>7</v>
      </c>
      <c r="M4010">
        <v>2303</v>
      </c>
      <c r="N4010">
        <v>141</v>
      </c>
      <c r="O4010">
        <v>61</v>
      </c>
      <c r="P4010">
        <v>39</v>
      </c>
      <c r="Q4010">
        <v>11</v>
      </c>
    </row>
    <row r="4011" spans="1:17" x14ac:dyDescent="0.2">
      <c r="A4011" s="121">
        <v>40602</v>
      </c>
      <c r="B4011" t="s">
        <v>406</v>
      </c>
      <c r="C4011" t="s">
        <v>442</v>
      </c>
      <c r="D4011" t="s">
        <v>445</v>
      </c>
      <c r="E4011" t="s">
        <v>446</v>
      </c>
      <c r="F4011" t="s">
        <v>410</v>
      </c>
      <c r="G4011">
        <v>85</v>
      </c>
      <c r="I4011">
        <v>85</v>
      </c>
    </row>
    <row r="4012" spans="1:17" x14ac:dyDescent="0.2">
      <c r="A4012" s="121">
        <v>40602</v>
      </c>
      <c r="B4012" t="s">
        <v>406</v>
      </c>
      <c r="C4012" t="s">
        <v>442</v>
      </c>
      <c r="D4012" t="s">
        <v>447</v>
      </c>
      <c r="E4012" t="s">
        <v>448</v>
      </c>
      <c r="F4012" t="s">
        <v>410</v>
      </c>
      <c r="G4012">
        <v>349</v>
      </c>
      <c r="I4012">
        <v>349</v>
      </c>
    </row>
    <row r="4013" spans="1:17" x14ac:dyDescent="0.2">
      <c r="A4013" s="121">
        <v>40602</v>
      </c>
      <c r="B4013" t="s">
        <v>406</v>
      </c>
      <c r="C4013" t="s">
        <v>442</v>
      </c>
      <c r="D4013" t="s">
        <v>449</v>
      </c>
      <c r="E4013" t="s">
        <v>450</v>
      </c>
      <c r="F4013" t="s">
        <v>413</v>
      </c>
      <c r="G4013">
        <v>2934</v>
      </c>
      <c r="H4013">
        <v>2934</v>
      </c>
      <c r="I4013">
        <v>2695</v>
      </c>
      <c r="J4013">
        <v>2695</v>
      </c>
      <c r="K4013">
        <v>620</v>
      </c>
      <c r="L4013">
        <v>4</v>
      </c>
      <c r="M4013">
        <v>2147</v>
      </c>
      <c r="N4013">
        <v>121</v>
      </c>
      <c r="O4013">
        <v>42</v>
      </c>
      <c r="P4013">
        <v>24</v>
      </c>
      <c r="Q4013">
        <v>5</v>
      </c>
    </row>
    <row r="4014" spans="1:17" x14ac:dyDescent="0.2">
      <c r="A4014" s="121">
        <v>40602</v>
      </c>
      <c r="B4014" t="s">
        <v>406</v>
      </c>
      <c r="C4014" t="s">
        <v>451</v>
      </c>
      <c r="D4014" t="s">
        <v>452</v>
      </c>
      <c r="E4014" t="s">
        <v>453</v>
      </c>
      <c r="F4014" t="s">
        <v>410</v>
      </c>
      <c r="G4014">
        <v>1182</v>
      </c>
      <c r="H4014">
        <v>1182</v>
      </c>
      <c r="I4014">
        <v>1182</v>
      </c>
      <c r="J4014">
        <v>1182</v>
      </c>
      <c r="K4014">
        <v>0</v>
      </c>
      <c r="L4014">
        <v>0</v>
      </c>
      <c r="M4014">
        <v>898</v>
      </c>
      <c r="N4014">
        <v>76</v>
      </c>
      <c r="O4014">
        <v>208</v>
      </c>
      <c r="P4014">
        <v>0</v>
      </c>
      <c r="Q4014">
        <v>0</v>
      </c>
    </row>
    <row r="4015" spans="1:17" x14ac:dyDescent="0.2">
      <c r="A4015" s="121">
        <v>40602</v>
      </c>
      <c r="B4015" t="s">
        <v>406</v>
      </c>
      <c r="C4015" t="s">
        <v>451</v>
      </c>
      <c r="D4015" t="s">
        <v>454</v>
      </c>
      <c r="E4015" t="s">
        <v>455</v>
      </c>
      <c r="F4015" t="s">
        <v>413</v>
      </c>
      <c r="G4015">
        <v>4175</v>
      </c>
      <c r="H4015">
        <v>4175</v>
      </c>
      <c r="I4015">
        <v>3764</v>
      </c>
      <c r="J4015">
        <v>3764</v>
      </c>
      <c r="K4015">
        <v>1151</v>
      </c>
      <c r="L4015">
        <v>6</v>
      </c>
      <c r="M4015">
        <v>2315</v>
      </c>
      <c r="N4015">
        <v>47</v>
      </c>
      <c r="O4015">
        <v>656</v>
      </c>
      <c r="P4015">
        <v>16</v>
      </c>
      <c r="Q4015">
        <v>1</v>
      </c>
    </row>
    <row r="4016" spans="1:17" x14ac:dyDescent="0.2">
      <c r="A4016" s="121">
        <v>40602</v>
      </c>
      <c r="B4016" t="s">
        <v>406</v>
      </c>
      <c r="C4016" t="s">
        <v>456</v>
      </c>
      <c r="D4016" t="s">
        <v>457</v>
      </c>
      <c r="E4016" t="s">
        <v>458</v>
      </c>
      <c r="F4016" t="s">
        <v>413</v>
      </c>
      <c r="G4016">
        <v>4678</v>
      </c>
      <c r="H4016">
        <v>4678</v>
      </c>
      <c r="I4016">
        <v>4545</v>
      </c>
      <c r="J4016">
        <v>4545</v>
      </c>
      <c r="K4016">
        <v>1157</v>
      </c>
      <c r="L4016">
        <v>12</v>
      </c>
      <c r="M4016">
        <v>3394</v>
      </c>
      <c r="N4016">
        <v>65</v>
      </c>
      <c r="O4016">
        <v>50</v>
      </c>
      <c r="P4016">
        <v>12</v>
      </c>
      <c r="Q4016">
        <v>0</v>
      </c>
    </row>
    <row r="4017" spans="1:17" x14ac:dyDescent="0.2">
      <c r="A4017" s="121">
        <v>40602</v>
      </c>
      <c r="B4017" t="s">
        <v>406</v>
      </c>
      <c r="C4017" t="s">
        <v>456</v>
      </c>
      <c r="D4017" t="s">
        <v>459</v>
      </c>
      <c r="E4017" t="s">
        <v>460</v>
      </c>
      <c r="F4017" t="s">
        <v>413</v>
      </c>
      <c r="G4017">
        <v>1308</v>
      </c>
      <c r="H4017">
        <v>1308</v>
      </c>
      <c r="I4017">
        <v>1301</v>
      </c>
      <c r="J4017">
        <v>1301</v>
      </c>
      <c r="K4017">
        <v>391</v>
      </c>
      <c r="L4017">
        <v>0</v>
      </c>
      <c r="M4017">
        <v>915</v>
      </c>
      <c r="N4017">
        <v>1</v>
      </c>
      <c r="O4017">
        <v>1</v>
      </c>
      <c r="P4017">
        <v>0</v>
      </c>
      <c r="Q4017">
        <v>0</v>
      </c>
    </row>
    <row r="4018" spans="1:17" x14ac:dyDescent="0.2">
      <c r="A4018" s="121">
        <v>40602</v>
      </c>
      <c r="B4018" t="s">
        <v>406</v>
      </c>
      <c r="C4018" t="s">
        <v>456</v>
      </c>
      <c r="D4018" t="s">
        <v>461</v>
      </c>
      <c r="E4018" t="s">
        <v>462</v>
      </c>
      <c r="F4018" t="s">
        <v>410</v>
      </c>
      <c r="G4018">
        <v>62</v>
      </c>
      <c r="I4018">
        <v>62</v>
      </c>
    </row>
    <row r="4019" spans="1:17" x14ac:dyDescent="0.2">
      <c r="A4019" s="121">
        <v>40602</v>
      </c>
      <c r="B4019" t="s">
        <v>406</v>
      </c>
      <c r="C4019" t="s">
        <v>456</v>
      </c>
      <c r="D4019" t="s">
        <v>463</v>
      </c>
      <c r="E4019" t="s">
        <v>464</v>
      </c>
      <c r="F4019" t="s">
        <v>410</v>
      </c>
      <c r="G4019">
        <v>20</v>
      </c>
      <c r="I4019">
        <v>20</v>
      </c>
    </row>
    <row r="4020" spans="1:17" x14ac:dyDescent="0.2">
      <c r="A4020" s="121">
        <v>40602</v>
      </c>
      <c r="B4020" t="s">
        <v>406</v>
      </c>
      <c r="C4020" t="s">
        <v>456</v>
      </c>
      <c r="D4020" t="s">
        <v>465</v>
      </c>
      <c r="E4020" t="s">
        <v>466</v>
      </c>
      <c r="F4020" t="s">
        <v>410</v>
      </c>
      <c r="G4020">
        <v>45</v>
      </c>
      <c r="I4020">
        <v>45</v>
      </c>
    </row>
    <row r="4021" spans="1:17" x14ac:dyDescent="0.2">
      <c r="A4021" s="121">
        <v>40602</v>
      </c>
      <c r="B4021" t="s">
        <v>406</v>
      </c>
      <c r="C4021" t="s">
        <v>456</v>
      </c>
      <c r="D4021" t="s">
        <v>467</v>
      </c>
      <c r="E4021" t="s">
        <v>468</v>
      </c>
      <c r="F4021" t="s">
        <v>410</v>
      </c>
      <c r="G4021">
        <v>924</v>
      </c>
      <c r="I4021">
        <v>920</v>
      </c>
    </row>
    <row r="4022" spans="1:17" x14ac:dyDescent="0.2">
      <c r="A4022" s="121">
        <v>40602</v>
      </c>
      <c r="B4022" t="s">
        <v>406</v>
      </c>
      <c r="C4022" t="s">
        <v>456</v>
      </c>
      <c r="D4022" t="s">
        <v>469</v>
      </c>
      <c r="E4022" t="s">
        <v>470</v>
      </c>
      <c r="F4022" t="s">
        <v>410</v>
      </c>
      <c r="G4022">
        <v>633</v>
      </c>
      <c r="I4022">
        <v>633</v>
      </c>
    </row>
    <row r="4023" spans="1:17" x14ac:dyDescent="0.2">
      <c r="A4023" s="121">
        <v>40602</v>
      </c>
      <c r="B4023" t="s">
        <v>406</v>
      </c>
      <c r="C4023" t="s">
        <v>456</v>
      </c>
      <c r="D4023" t="s">
        <v>471</v>
      </c>
      <c r="E4023" t="s">
        <v>472</v>
      </c>
      <c r="F4023" t="s">
        <v>410</v>
      </c>
      <c r="G4023">
        <v>261</v>
      </c>
      <c r="I4023">
        <v>260</v>
      </c>
    </row>
    <row r="4024" spans="1:17" x14ac:dyDescent="0.2">
      <c r="A4024" s="121">
        <v>40602</v>
      </c>
      <c r="B4024" t="s">
        <v>406</v>
      </c>
      <c r="C4024" t="s">
        <v>456</v>
      </c>
      <c r="D4024" t="s">
        <v>473</v>
      </c>
      <c r="E4024" t="s">
        <v>474</v>
      </c>
      <c r="F4024" t="s">
        <v>410</v>
      </c>
      <c r="G4024">
        <v>147</v>
      </c>
      <c r="I4024">
        <v>147</v>
      </c>
    </row>
    <row r="4025" spans="1:17" x14ac:dyDescent="0.2">
      <c r="A4025" s="121">
        <v>40602</v>
      </c>
      <c r="B4025" t="s">
        <v>406</v>
      </c>
      <c r="C4025" t="s">
        <v>456</v>
      </c>
      <c r="D4025" t="s">
        <v>475</v>
      </c>
      <c r="E4025" t="s">
        <v>476</v>
      </c>
      <c r="F4025" t="s">
        <v>410</v>
      </c>
      <c r="G4025">
        <v>236</v>
      </c>
      <c r="I4025">
        <v>236</v>
      </c>
    </row>
    <row r="4026" spans="1:17" x14ac:dyDescent="0.2">
      <c r="A4026" s="121">
        <v>40602</v>
      </c>
      <c r="B4026" t="s">
        <v>406</v>
      </c>
      <c r="C4026" t="s">
        <v>456</v>
      </c>
      <c r="D4026" t="s">
        <v>477</v>
      </c>
      <c r="E4026" t="s">
        <v>478</v>
      </c>
      <c r="F4026" t="s">
        <v>413</v>
      </c>
      <c r="G4026">
        <v>1720</v>
      </c>
      <c r="H4026">
        <v>1720</v>
      </c>
      <c r="I4026">
        <v>1673</v>
      </c>
      <c r="J4026">
        <v>1673</v>
      </c>
      <c r="K4026">
        <v>411</v>
      </c>
      <c r="L4026">
        <v>3</v>
      </c>
      <c r="M4026">
        <v>1264</v>
      </c>
      <c r="N4026">
        <v>17</v>
      </c>
      <c r="O4026">
        <v>25</v>
      </c>
      <c r="P4026">
        <v>4</v>
      </c>
      <c r="Q4026">
        <v>0</v>
      </c>
    </row>
    <row r="4027" spans="1:17" x14ac:dyDescent="0.2">
      <c r="A4027" s="121">
        <v>40602</v>
      </c>
      <c r="B4027" t="s">
        <v>406</v>
      </c>
      <c r="C4027" t="s">
        <v>456</v>
      </c>
      <c r="D4027" t="s">
        <v>479</v>
      </c>
      <c r="E4027" t="s">
        <v>480</v>
      </c>
      <c r="F4027" t="s">
        <v>410</v>
      </c>
      <c r="G4027">
        <v>78</v>
      </c>
      <c r="I4027">
        <v>78</v>
      </c>
    </row>
    <row r="4028" spans="1:17" x14ac:dyDescent="0.2">
      <c r="A4028" s="121">
        <v>40602</v>
      </c>
      <c r="B4028" t="s">
        <v>406</v>
      </c>
      <c r="C4028" t="s">
        <v>456</v>
      </c>
      <c r="D4028" t="s">
        <v>481</v>
      </c>
      <c r="E4028" t="s">
        <v>482</v>
      </c>
      <c r="F4028" t="s">
        <v>410</v>
      </c>
      <c r="G4028">
        <v>39</v>
      </c>
      <c r="I4028">
        <v>39</v>
      </c>
    </row>
    <row r="4029" spans="1:17" x14ac:dyDescent="0.2">
      <c r="A4029" s="121">
        <v>40602</v>
      </c>
      <c r="B4029" t="s">
        <v>406</v>
      </c>
      <c r="C4029" t="s">
        <v>456</v>
      </c>
      <c r="D4029" t="s">
        <v>483</v>
      </c>
      <c r="E4029" t="s">
        <v>484</v>
      </c>
      <c r="F4029" t="s">
        <v>410</v>
      </c>
      <c r="G4029">
        <v>50</v>
      </c>
      <c r="I4029">
        <v>50</v>
      </c>
    </row>
    <row r="4030" spans="1:17" x14ac:dyDescent="0.2">
      <c r="A4030" s="121">
        <v>40602</v>
      </c>
      <c r="B4030" t="s">
        <v>406</v>
      </c>
      <c r="C4030" t="s">
        <v>456</v>
      </c>
      <c r="D4030" t="s">
        <v>485</v>
      </c>
      <c r="E4030" t="s">
        <v>486</v>
      </c>
      <c r="F4030" t="s">
        <v>410</v>
      </c>
      <c r="G4030">
        <v>33</v>
      </c>
      <c r="I4030">
        <v>33</v>
      </c>
    </row>
    <row r="4031" spans="1:17" x14ac:dyDescent="0.2">
      <c r="A4031" s="121">
        <v>40602</v>
      </c>
      <c r="B4031" t="s">
        <v>406</v>
      </c>
      <c r="C4031" t="s">
        <v>456</v>
      </c>
      <c r="D4031" t="s">
        <v>487</v>
      </c>
      <c r="E4031" t="s">
        <v>488</v>
      </c>
      <c r="F4031" t="s">
        <v>410</v>
      </c>
      <c r="G4031">
        <v>26</v>
      </c>
      <c r="I4031">
        <v>26</v>
      </c>
    </row>
    <row r="4032" spans="1:17" x14ac:dyDescent="0.2">
      <c r="A4032" s="121">
        <v>40602</v>
      </c>
      <c r="B4032" t="s">
        <v>406</v>
      </c>
      <c r="C4032" t="s">
        <v>456</v>
      </c>
      <c r="D4032" t="s">
        <v>489</v>
      </c>
      <c r="E4032" t="s">
        <v>490</v>
      </c>
      <c r="F4032" t="s">
        <v>410</v>
      </c>
      <c r="G4032">
        <v>64</v>
      </c>
      <c r="H4032">
        <v>64</v>
      </c>
      <c r="I4032">
        <v>64</v>
      </c>
      <c r="J4032">
        <v>64</v>
      </c>
      <c r="K4032">
        <v>0</v>
      </c>
      <c r="L4032">
        <v>0</v>
      </c>
      <c r="M4032">
        <v>49</v>
      </c>
      <c r="N4032">
        <v>15</v>
      </c>
      <c r="O4032">
        <v>0</v>
      </c>
      <c r="P4032">
        <v>0</v>
      </c>
      <c r="Q4032">
        <v>0</v>
      </c>
    </row>
    <row r="4033" spans="1:17" x14ac:dyDescent="0.2">
      <c r="A4033" s="121">
        <v>40602</v>
      </c>
      <c r="B4033" t="s">
        <v>406</v>
      </c>
      <c r="C4033" t="s">
        <v>491</v>
      </c>
      <c r="D4033" t="s">
        <v>492</v>
      </c>
      <c r="E4033" t="s">
        <v>493</v>
      </c>
      <c r="F4033" t="s">
        <v>410</v>
      </c>
      <c r="G4033">
        <v>1047</v>
      </c>
      <c r="H4033">
        <v>1047</v>
      </c>
      <c r="I4033">
        <v>1029</v>
      </c>
      <c r="J4033">
        <v>1029</v>
      </c>
      <c r="K4033">
        <v>0</v>
      </c>
      <c r="L4033">
        <v>0</v>
      </c>
      <c r="M4033">
        <v>0</v>
      </c>
      <c r="N4033">
        <v>16</v>
      </c>
      <c r="O4033">
        <v>1031</v>
      </c>
      <c r="P4033">
        <v>0</v>
      </c>
      <c r="Q4033">
        <v>0</v>
      </c>
    </row>
    <row r="4034" spans="1:17" x14ac:dyDescent="0.2">
      <c r="A4034" s="121">
        <v>40602</v>
      </c>
      <c r="B4034" t="s">
        <v>406</v>
      </c>
      <c r="C4034" t="s">
        <v>491</v>
      </c>
      <c r="D4034" t="s">
        <v>494</v>
      </c>
      <c r="E4034" t="s">
        <v>495</v>
      </c>
      <c r="F4034" t="s">
        <v>413</v>
      </c>
      <c r="G4034">
        <v>2568</v>
      </c>
      <c r="H4034">
        <v>2568</v>
      </c>
      <c r="I4034">
        <v>2440</v>
      </c>
      <c r="J4034">
        <v>2440</v>
      </c>
      <c r="K4034">
        <v>0</v>
      </c>
      <c r="L4034">
        <v>0</v>
      </c>
      <c r="M4034">
        <v>0</v>
      </c>
      <c r="N4034">
        <v>19</v>
      </c>
      <c r="O4034">
        <v>2549</v>
      </c>
      <c r="P4034">
        <v>2</v>
      </c>
      <c r="Q4034">
        <v>0</v>
      </c>
    </row>
    <row r="4035" spans="1:17" x14ac:dyDescent="0.2">
      <c r="A4035" s="121">
        <v>40602</v>
      </c>
      <c r="B4035" t="s">
        <v>406</v>
      </c>
      <c r="C4035" t="s">
        <v>491</v>
      </c>
      <c r="D4035" t="s">
        <v>496</v>
      </c>
      <c r="E4035" t="s">
        <v>497</v>
      </c>
      <c r="F4035" t="s">
        <v>413</v>
      </c>
      <c r="G4035">
        <v>5433</v>
      </c>
      <c r="H4035">
        <v>5433</v>
      </c>
      <c r="I4035">
        <v>4874</v>
      </c>
      <c r="J4035">
        <v>4874</v>
      </c>
      <c r="K4035">
        <v>705</v>
      </c>
      <c r="L4035">
        <v>0</v>
      </c>
      <c r="M4035">
        <v>0</v>
      </c>
      <c r="N4035">
        <v>58</v>
      </c>
      <c r="O4035">
        <v>4670</v>
      </c>
      <c r="P4035">
        <v>19</v>
      </c>
      <c r="Q4035">
        <v>0</v>
      </c>
    </row>
    <row r="4036" spans="1:17" x14ac:dyDescent="0.2">
      <c r="A4036" s="121">
        <v>40602</v>
      </c>
      <c r="B4036" t="s">
        <v>406</v>
      </c>
      <c r="C4036" t="s">
        <v>491</v>
      </c>
      <c r="D4036" t="s">
        <v>498</v>
      </c>
      <c r="E4036" t="s">
        <v>499</v>
      </c>
      <c r="F4036" t="s">
        <v>413</v>
      </c>
      <c r="G4036">
        <v>5543</v>
      </c>
      <c r="H4036">
        <v>5543</v>
      </c>
      <c r="I4036">
        <v>4961</v>
      </c>
      <c r="J4036">
        <v>4961</v>
      </c>
      <c r="K4036">
        <v>1384</v>
      </c>
      <c r="L4036">
        <v>12</v>
      </c>
      <c r="M4036">
        <v>3755</v>
      </c>
      <c r="N4036">
        <v>121</v>
      </c>
      <c r="O4036">
        <v>271</v>
      </c>
      <c r="P4036">
        <v>29</v>
      </c>
      <c r="Q4036">
        <v>0</v>
      </c>
    </row>
    <row r="4037" spans="1:17" x14ac:dyDescent="0.2">
      <c r="A4037" s="121">
        <v>40602</v>
      </c>
      <c r="B4037" t="s">
        <v>406</v>
      </c>
      <c r="C4037" t="s">
        <v>491</v>
      </c>
      <c r="D4037" t="s">
        <v>500</v>
      </c>
      <c r="E4037" t="s">
        <v>501</v>
      </c>
      <c r="F4037" t="s">
        <v>413</v>
      </c>
      <c r="G4037">
        <v>3214</v>
      </c>
      <c r="H4037">
        <v>3214</v>
      </c>
      <c r="I4037">
        <v>3121</v>
      </c>
      <c r="J4037">
        <v>3121</v>
      </c>
      <c r="K4037">
        <v>870</v>
      </c>
      <c r="L4037">
        <v>1</v>
      </c>
      <c r="M4037">
        <v>2167</v>
      </c>
      <c r="N4037">
        <v>31</v>
      </c>
      <c r="O4037">
        <v>145</v>
      </c>
      <c r="P4037">
        <v>0</v>
      </c>
      <c r="Q4037">
        <v>0</v>
      </c>
    </row>
    <row r="4038" spans="1:17" x14ac:dyDescent="0.2">
      <c r="A4038" s="121">
        <v>40602</v>
      </c>
      <c r="B4038" t="s">
        <v>406</v>
      </c>
      <c r="C4038" t="s">
        <v>491</v>
      </c>
      <c r="D4038" t="s">
        <v>502</v>
      </c>
      <c r="E4038" t="s">
        <v>615</v>
      </c>
      <c r="F4038" t="s">
        <v>410</v>
      </c>
      <c r="G4038">
        <v>1184</v>
      </c>
      <c r="H4038">
        <v>1184</v>
      </c>
      <c r="I4038">
        <v>1184</v>
      </c>
      <c r="J4038">
        <v>1184</v>
      </c>
      <c r="K4038">
        <v>0</v>
      </c>
      <c r="L4038">
        <v>0</v>
      </c>
      <c r="M4038">
        <v>1144</v>
      </c>
      <c r="N4038">
        <v>3</v>
      </c>
      <c r="O4038">
        <v>37</v>
      </c>
      <c r="P4038">
        <v>0</v>
      </c>
      <c r="Q4038">
        <v>0</v>
      </c>
    </row>
    <row r="4039" spans="1:17" x14ac:dyDescent="0.2">
      <c r="A4039" s="121">
        <v>40602</v>
      </c>
      <c r="B4039" t="s">
        <v>406</v>
      </c>
      <c r="C4039" t="s">
        <v>491</v>
      </c>
      <c r="D4039" t="s">
        <v>502</v>
      </c>
      <c r="E4039" t="s">
        <v>503</v>
      </c>
      <c r="F4039" t="s">
        <v>413</v>
      </c>
      <c r="G4039">
        <v>4735</v>
      </c>
      <c r="H4039">
        <v>4735</v>
      </c>
      <c r="I4039">
        <v>4288</v>
      </c>
      <c r="J4039">
        <v>4288</v>
      </c>
      <c r="K4039">
        <v>1457</v>
      </c>
      <c r="L4039">
        <v>8</v>
      </c>
      <c r="M4039">
        <v>3068</v>
      </c>
      <c r="N4039">
        <v>98</v>
      </c>
      <c r="O4039">
        <v>104</v>
      </c>
      <c r="P4039">
        <v>38</v>
      </c>
      <c r="Q4039">
        <v>0</v>
      </c>
    </row>
    <row r="4040" spans="1:17" x14ac:dyDescent="0.2">
      <c r="A4040" s="121">
        <v>40602</v>
      </c>
      <c r="B4040" t="s">
        <v>406</v>
      </c>
      <c r="C4040" t="s">
        <v>491</v>
      </c>
      <c r="D4040" t="s">
        <v>504</v>
      </c>
      <c r="E4040" t="s">
        <v>505</v>
      </c>
      <c r="F4040" t="s">
        <v>413</v>
      </c>
      <c r="G4040">
        <v>3440</v>
      </c>
      <c r="H4040">
        <v>3440</v>
      </c>
      <c r="I4040">
        <v>3277</v>
      </c>
      <c r="J4040">
        <v>3277</v>
      </c>
      <c r="K4040">
        <v>1032</v>
      </c>
      <c r="L4040">
        <v>8</v>
      </c>
      <c r="M4040">
        <v>2311</v>
      </c>
      <c r="N4040">
        <v>44</v>
      </c>
      <c r="O4040">
        <v>45</v>
      </c>
      <c r="P4040">
        <v>3</v>
      </c>
      <c r="Q4040">
        <v>0</v>
      </c>
    </row>
    <row r="4041" spans="1:17" x14ac:dyDescent="0.2">
      <c r="A4041" s="121">
        <v>40602</v>
      </c>
      <c r="B4041" t="s">
        <v>406</v>
      </c>
      <c r="C4041" t="s">
        <v>491</v>
      </c>
      <c r="D4041" t="s">
        <v>506</v>
      </c>
      <c r="E4041" t="s">
        <v>507</v>
      </c>
      <c r="F4041" t="s">
        <v>413</v>
      </c>
      <c r="G4041">
        <v>3520</v>
      </c>
      <c r="H4041">
        <v>3520</v>
      </c>
      <c r="I4041">
        <v>3424</v>
      </c>
      <c r="J4041">
        <v>3424</v>
      </c>
      <c r="K4041">
        <v>485</v>
      </c>
      <c r="L4041">
        <v>0</v>
      </c>
      <c r="M4041">
        <v>3022</v>
      </c>
      <c r="N4041">
        <v>2</v>
      </c>
      <c r="O4041">
        <v>11</v>
      </c>
      <c r="P4041">
        <v>4</v>
      </c>
      <c r="Q4041">
        <v>0</v>
      </c>
    </row>
    <row r="4042" spans="1:17" x14ac:dyDescent="0.2">
      <c r="A4042" s="121">
        <v>40602</v>
      </c>
      <c r="B4042" t="s">
        <v>406</v>
      </c>
      <c r="C4042" t="s">
        <v>491</v>
      </c>
      <c r="D4042" t="s">
        <v>508</v>
      </c>
      <c r="E4042" t="s">
        <v>509</v>
      </c>
      <c r="F4042" t="s">
        <v>413</v>
      </c>
      <c r="G4042">
        <v>4488</v>
      </c>
      <c r="H4042">
        <v>4488</v>
      </c>
      <c r="I4042">
        <v>3677</v>
      </c>
      <c r="J4042">
        <v>3677</v>
      </c>
      <c r="K4042">
        <v>1252</v>
      </c>
      <c r="L4042">
        <v>10</v>
      </c>
      <c r="M4042">
        <v>2685</v>
      </c>
      <c r="N4042">
        <v>112</v>
      </c>
      <c r="O4042">
        <v>429</v>
      </c>
      <c r="P4042">
        <v>167</v>
      </c>
      <c r="Q4042">
        <v>9</v>
      </c>
    </row>
    <row r="4043" spans="1:17" x14ac:dyDescent="0.2">
      <c r="A4043" s="121">
        <v>40602</v>
      </c>
      <c r="B4043" t="s">
        <v>406</v>
      </c>
      <c r="C4043" t="s">
        <v>510</v>
      </c>
      <c r="D4043" t="s">
        <v>513</v>
      </c>
      <c r="E4043" t="s">
        <v>514</v>
      </c>
      <c r="F4043" t="s">
        <v>410</v>
      </c>
      <c r="G4043">
        <v>461</v>
      </c>
      <c r="I4043">
        <v>457</v>
      </c>
    </row>
    <row r="4044" spans="1:17" x14ac:dyDescent="0.2">
      <c r="A4044" s="121">
        <v>40602</v>
      </c>
      <c r="B4044" t="s">
        <v>406</v>
      </c>
      <c r="C4044" t="s">
        <v>510</v>
      </c>
      <c r="D4044" t="s">
        <v>515</v>
      </c>
      <c r="E4044" t="s">
        <v>516</v>
      </c>
      <c r="F4044" t="s">
        <v>410</v>
      </c>
      <c r="G4044">
        <v>51</v>
      </c>
      <c r="I4044">
        <v>51</v>
      </c>
    </row>
    <row r="4045" spans="1:17" x14ac:dyDescent="0.2">
      <c r="A4045" s="121">
        <v>40602</v>
      </c>
      <c r="B4045" t="s">
        <v>406</v>
      </c>
      <c r="C4045" t="s">
        <v>510</v>
      </c>
      <c r="D4045" t="s">
        <v>519</v>
      </c>
      <c r="E4045" t="s">
        <v>520</v>
      </c>
      <c r="F4045" t="s">
        <v>410</v>
      </c>
      <c r="G4045">
        <v>261</v>
      </c>
      <c r="I4045">
        <v>256</v>
      </c>
    </row>
    <row r="4046" spans="1:17" x14ac:dyDescent="0.2">
      <c r="A4046" s="121">
        <v>40602</v>
      </c>
      <c r="B4046" t="s">
        <v>406</v>
      </c>
      <c r="C4046" t="s">
        <v>510</v>
      </c>
      <c r="D4046" t="s">
        <v>521</v>
      </c>
      <c r="E4046" t="s">
        <v>522</v>
      </c>
      <c r="F4046" t="s">
        <v>410</v>
      </c>
      <c r="G4046">
        <v>35</v>
      </c>
      <c r="I4046">
        <v>35</v>
      </c>
    </row>
    <row r="4047" spans="1:17" x14ac:dyDescent="0.2">
      <c r="A4047" s="121">
        <v>40602</v>
      </c>
      <c r="B4047" t="s">
        <v>406</v>
      </c>
      <c r="C4047" t="s">
        <v>510</v>
      </c>
      <c r="D4047" t="s">
        <v>523</v>
      </c>
      <c r="E4047" t="s">
        <v>524</v>
      </c>
      <c r="F4047" t="s">
        <v>413</v>
      </c>
      <c r="G4047">
        <v>364</v>
      </c>
      <c r="I4047">
        <v>362</v>
      </c>
    </row>
    <row r="4048" spans="1:17" x14ac:dyDescent="0.2">
      <c r="A4048" s="121">
        <v>40602</v>
      </c>
      <c r="B4048" t="s">
        <v>406</v>
      </c>
      <c r="C4048" t="s">
        <v>510</v>
      </c>
      <c r="D4048" t="s">
        <v>525</v>
      </c>
      <c r="E4048" t="s">
        <v>526</v>
      </c>
      <c r="F4048" t="s">
        <v>410</v>
      </c>
      <c r="G4048">
        <v>414</v>
      </c>
      <c r="I4048">
        <v>407</v>
      </c>
    </row>
    <row r="4049" spans="1:17" x14ac:dyDescent="0.2">
      <c r="A4049" s="121">
        <v>40602</v>
      </c>
      <c r="B4049" t="s">
        <v>406</v>
      </c>
      <c r="C4049" t="s">
        <v>510</v>
      </c>
      <c r="D4049" t="s">
        <v>527</v>
      </c>
      <c r="E4049" t="s">
        <v>528</v>
      </c>
      <c r="F4049" t="s">
        <v>410</v>
      </c>
      <c r="G4049">
        <v>168</v>
      </c>
      <c r="I4049">
        <v>168</v>
      </c>
    </row>
    <row r="4050" spans="1:17" x14ac:dyDescent="0.2">
      <c r="A4050" s="121">
        <v>40602</v>
      </c>
      <c r="B4050" t="s">
        <v>406</v>
      </c>
      <c r="C4050" t="s">
        <v>510</v>
      </c>
      <c r="D4050" t="s">
        <v>529</v>
      </c>
      <c r="E4050" t="s">
        <v>530</v>
      </c>
      <c r="F4050" t="s">
        <v>413</v>
      </c>
      <c r="G4050">
        <v>398</v>
      </c>
      <c r="I4050">
        <v>395</v>
      </c>
    </row>
    <row r="4051" spans="1:17" x14ac:dyDescent="0.2">
      <c r="A4051" s="121">
        <v>40602</v>
      </c>
      <c r="B4051" t="s">
        <v>406</v>
      </c>
      <c r="C4051" t="s">
        <v>510</v>
      </c>
      <c r="D4051" t="s">
        <v>531</v>
      </c>
      <c r="E4051" t="s">
        <v>532</v>
      </c>
      <c r="F4051" t="s">
        <v>410</v>
      </c>
      <c r="G4051">
        <v>38</v>
      </c>
      <c r="I4051">
        <v>38</v>
      </c>
    </row>
    <row r="4052" spans="1:17" x14ac:dyDescent="0.2">
      <c r="A4052" s="121">
        <v>40602</v>
      </c>
      <c r="B4052" t="s">
        <v>406</v>
      </c>
      <c r="C4052" t="s">
        <v>510</v>
      </c>
      <c r="D4052" t="s">
        <v>533</v>
      </c>
      <c r="E4052" t="s">
        <v>534</v>
      </c>
      <c r="F4052" t="s">
        <v>413</v>
      </c>
      <c r="G4052">
        <v>2202</v>
      </c>
      <c r="H4052">
        <v>2202</v>
      </c>
      <c r="I4052">
        <v>2157</v>
      </c>
      <c r="J4052">
        <v>2157</v>
      </c>
      <c r="K4052">
        <v>458</v>
      </c>
      <c r="L4052">
        <v>5</v>
      </c>
      <c r="M4052">
        <v>1736</v>
      </c>
      <c r="N4052">
        <v>3</v>
      </c>
      <c r="O4052">
        <v>0</v>
      </c>
      <c r="P4052">
        <v>2</v>
      </c>
      <c r="Q4052">
        <v>1</v>
      </c>
    </row>
    <row r="4053" spans="1:17" x14ac:dyDescent="0.2">
      <c r="A4053" s="121">
        <v>40602</v>
      </c>
      <c r="B4053" t="s">
        <v>406</v>
      </c>
      <c r="C4053" t="s">
        <v>510</v>
      </c>
      <c r="D4053" t="s">
        <v>535</v>
      </c>
      <c r="E4053" t="s">
        <v>536</v>
      </c>
      <c r="F4053" t="s">
        <v>410</v>
      </c>
      <c r="G4053">
        <v>248</v>
      </c>
      <c r="I4053">
        <v>248</v>
      </c>
    </row>
    <row r="4054" spans="1:17" x14ac:dyDescent="0.2">
      <c r="A4054" s="121">
        <v>40602</v>
      </c>
      <c r="B4054" t="s">
        <v>406</v>
      </c>
      <c r="C4054" t="s">
        <v>510</v>
      </c>
      <c r="D4054" t="s">
        <v>537</v>
      </c>
      <c r="E4054" t="s">
        <v>538</v>
      </c>
      <c r="F4054" t="s">
        <v>410</v>
      </c>
      <c r="G4054">
        <v>57</v>
      </c>
      <c r="I4054">
        <v>57</v>
      </c>
    </row>
    <row r="4055" spans="1:17" x14ac:dyDescent="0.2">
      <c r="A4055" s="121">
        <v>40602</v>
      </c>
      <c r="B4055" t="s">
        <v>406</v>
      </c>
      <c r="C4055" t="s">
        <v>510</v>
      </c>
      <c r="D4055" t="s">
        <v>539</v>
      </c>
      <c r="E4055" t="s">
        <v>540</v>
      </c>
      <c r="F4055" t="s">
        <v>413</v>
      </c>
      <c r="G4055">
        <v>619</v>
      </c>
      <c r="I4055">
        <v>606</v>
      </c>
    </row>
    <row r="4056" spans="1:17" x14ac:dyDescent="0.2">
      <c r="A4056" s="121">
        <v>40602</v>
      </c>
      <c r="B4056" t="s">
        <v>406</v>
      </c>
      <c r="C4056" t="s">
        <v>510</v>
      </c>
      <c r="D4056" t="s">
        <v>541</v>
      </c>
      <c r="E4056" t="s">
        <v>542</v>
      </c>
      <c r="F4056" t="s">
        <v>410</v>
      </c>
      <c r="G4056">
        <v>299</v>
      </c>
      <c r="I4056">
        <v>299</v>
      </c>
    </row>
    <row r="4057" spans="1:17" x14ac:dyDescent="0.2">
      <c r="A4057" s="121">
        <v>40602</v>
      </c>
      <c r="B4057" t="s">
        <v>406</v>
      </c>
      <c r="C4057" t="s">
        <v>510</v>
      </c>
      <c r="D4057" t="s">
        <v>543</v>
      </c>
      <c r="E4057" t="s">
        <v>544</v>
      </c>
      <c r="F4057" t="s">
        <v>410</v>
      </c>
      <c r="G4057">
        <v>193</v>
      </c>
      <c r="I4057">
        <v>193</v>
      </c>
    </row>
    <row r="4058" spans="1:17" x14ac:dyDescent="0.2">
      <c r="A4058" s="121">
        <v>40602</v>
      </c>
      <c r="B4058" t="s">
        <v>406</v>
      </c>
      <c r="C4058" t="s">
        <v>510</v>
      </c>
      <c r="D4058" t="s">
        <v>545</v>
      </c>
      <c r="E4058" t="s">
        <v>546</v>
      </c>
      <c r="F4058" t="s">
        <v>410</v>
      </c>
      <c r="G4058">
        <v>119</v>
      </c>
      <c r="I4058">
        <v>119</v>
      </c>
    </row>
    <row r="4059" spans="1:17" x14ac:dyDescent="0.2">
      <c r="A4059" s="121">
        <v>40602</v>
      </c>
      <c r="B4059" t="s">
        <v>406</v>
      </c>
      <c r="C4059" t="s">
        <v>510</v>
      </c>
      <c r="D4059" t="s">
        <v>547</v>
      </c>
      <c r="E4059" t="s">
        <v>548</v>
      </c>
      <c r="F4059" t="s">
        <v>410</v>
      </c>
      <c r="G4059">
        <v>126</v>
      </c>
      <c r="I4059">
        <v>126</v>
      </c>
    </row>
    <row r="4060" spans="1:17" x14ac:dyDescent="0.2">
      <c r="A4060" s="121">
        <v>40602</v>
      </c>
      <c r="B4060" t="s">
        <v>406</v>
      </c>
      <c r="C4060" t="s">
        <v>510</v>
      </c>
      <c r="D4060" t="s">
        <v>616</v>
      </c>
      <c r="E4060" t="s">
        <v>617</v>
      </c>
      <c r="F4060" t="s">
        <v>410</v>
      </c>
      <c r="G4060">
        <v>227</v>
      </c>
      <c r="I4060">
        <v>225</v>
      </c>
    </row>
    <row r="4061" spans="1:17" x14ac:dyDescent="0.2">
      <c r="A4061" s="121">
        <v>40602</v>
      </c>
      <c r="B4061" t="s">
        <v>406</v>
      </c>
      <c r="C4061" t="s">
        <v>510</v>
      </c>
      <c r="D4061" t="s">
        <v>549</v>
      </c>
      <c r="E4061" t="s">
        <v>550</v>
      </c>
      <c r="F4061" t="s">
        <v>410</v>
      </c>
      <c r="G4061">
        <v>185</v>
      </c>
      <c r="I4061">
        <v>185</v>
      </c>
    </row>
    <row r="4062" spans="1:17" x14ac:dyDescent="0.2">
      <c r="A4062" s="121">
        <v>40602</v>
      </c>
      <c r="B4062" t="s">
        <v>406</v>
      </c>
      <c r="C4062" t="s">
        <v>551</v>
      </c>
      <c r="D4062" t="s">
        <v>552</v>
      </c>
      <c r="E4062" t="s">
        <v>553</v>
      </c>
      <c r="F4062" t="s">
        <v>413</v>
      </c>
      <c r="G4062">
        <v>4994</v>
      </c>
      <c r="H4062">
        <v>4994</v>
      </c>
      <c r="I4062">
        <v>4729</v>
      </c>
      <c r="J4062">
        <v>4729</v>
      </c>
      <c r="K4062">
        <v>1476</v>
      </c>
      <c r="L4062">
        <v>7</v>
      </c>
      <c r="M4062">
        <v>3399</v>
      </c>
      <c r="N4062">
        <v>102</v>
      </c>
      <c r="O4062">
        <v>10</v>
      </c>
      <c r="P4062">
        <v>15</v>
      </c>
      <c r="Q4062">
        <v>1</v>
      </c>
    </row>
    <row r="4063" spans="1:17" x14ac:dyDescent="0.2">
      <c r="A4063" s="121">
        <v>40602</v>
      </c>
      <c r="B4063" t="s">
        <v>406</v>
      </c>
      <c r="C4063" t="s">
        <v>551</v>
      </c>
      <c r="D4063" t="s">
        <v>554</v>
      </c>
      <c r="E4063" t="s">
        <v>555</v>
      </c>
      <c r="F4063" t="s">
        <v>410</v>
      </c>
      <c r="G4063">
        <v>43</v>
      </c>
      <c r="I4063">
        <v>43</v>
      </c>
    </row>
    <row r="4064" spans="1:17" x14ac:dyDescent="0.2">
      <c r="A4064" s="121">
        <v>40602</v>
      </c>
      <c r="B4064" t="s">
        <v>406</v>
      </c>
      <c r="C4064" t="s">
        <v>551</v>
      </c>
      <c r="D4064" t="s">
        <v>556</v>
      </c>
      <c r="E4064" t="s">
        <v>557</v>
      </c>
      <c r="F4064" t="s">
        <v>410</v>
      </c>
      <c r="G4064">
        <v>66</v>
      </c>
      <c r="I4064">
        <v>66</v>
      </c>
    </row>
    <row r="4065" spans="1:17" x14ac:dyDescent="0.2">
      <c r="A4065" s="121">
        <v>40602</v>
      </c>
      <c r="B4065" t="s">
        <v>406</v>
      </c>
      <c r="C4065" t="s">
        <v>551</v>
      </c>
      <c r="D4065" t="s">
        <v>558</v>
      </c>
      <c r="E4065" t="s">
        <v>559</v>
      </c>
      <c r="F4065" t="s">
        <v>413</v>
      </c>
      <c r="G4065">
        <v>4255</v>
      </c>
      <c r="H4065">
        <v>4255</v>
      </c>
      <c r="I4065">
        <v>4039</v>
      </c>
      <c r="J4065">
        <v>4039</v>
      </c>
      <c r="K4065">
        <v>1261</v>
      </c>
      <c r="L4065">
        <v>9</v>
      </c>
      <c r="M4065">
        <v>2893</v>
      </c>
      <c r="N4065">
        <v>85</v>
      </c>
      <c r="O4065">
        <v>7</v>
      </c>
      <c r="P4065">
        <v>32</v>
      </c>
      <c r="Q4065">
        <v>16</v>
      </c>
    </row>
    <row r="4066" spans="1:17" x14ac:dyDescent="0.2">
      <c r="A4066" s="121">
        <v>40602</v>
      </c>
      <c r="B4066" t="s">
        <v>406</v>
      </c>
      <c r="C4066" t="s">
        <v>551</v>
      </c>
      <c r="D4066" t="s">
        <v>560</v>
      </c>
      <c r="E4066" t="s">
        <v>561</v>
      </c>
      <c r="F4066" t="s">
        <v>413</v>
      </c>
      <c r="G4066">
        <v>4970</v>
      </c>
      <c r="H4066">
        <v>4970</v>
      </c>
      <c r="I4066">
        <v>4701</v>
      </c>
      <c r="J4066">
        <v>4701</v>
      </c>
      <c r="K4066">
        <v>1380</v>
      </c>
      <c r="L4066">
        <v>8</v>
      </c>
      <c r="M4066">
        <v>3397</v>
      </c>
      <c r="N4066">
        <v>174</v>
      </c>
      <c r="O4066">
        <v>11</v>
      </c>
      <c r="P4066">
        <v>20</v>
      </c>
      <c r="Q4066">
        <v>0</v>
      </c>
    </row>
    <row r="4067" spans="1:17" x14ac:dyDescent="0.2">
      <c r="A4067" s="121">
        <v>40602</v>
      </c>
      <c r="B4067" t="s">
        <v>406</v>
      </c>
      <c r="C4067" t="s">
        <v>562</v>
      </c>
      <c r="D4067" t="s">
        <v>603</v>
      </c>
      <c r="E4067" t="s">
        <v>604</v>
      </c>
      <c r="F4067" t="s">
        <v>410</v>
      </c>
      <c r="G4067">
        <v>9</v>
      </c>
      <c r="I4067">
        <v>9</v>
      </c>
    </row>
    <row r="4068" spans="1:17" x14ac:dyDescent="0.2">
      <c r="A4068" s="121">
        <v>40602</v>
      </c>
      <c r="B4068" t="s">
        <v>406</v>
      </c>
      <c r="C4068" t="s">
        <v>562</v>
      </c>
      <c r="D4068" t="s">
        <v>605</v>
      </c>
      <c r="E4068" t="s">
        <v>606</v>
      </c>
      <c r="F4068" t="s">
        <v>410</v>
      </c>
      <c r="G4068">
        <v>113</v>
      </c>
      <c r="I4068">
        <v>113</v>
      </c>
    </row>
    <row r="4069" spans="1:17" x14ac:dyDescent="0.2">
      <c r="A4069" s="121">
        <v>40602</v>
      </c>
      <c r="B4069" t="s">
        <v>406</v>
      </c>
      <c r="C4069" t="s">
        <v>562</v>
      </c>
      <c r="D4069" t="s">
        <v>563</v>
      </c>
      <c r="E4069" t="s">
        <v>564</v>
      </c>
      <c r="F4069" t="s">
        <v>410</v>
      </c>
      <c r="G4069">
        <v>2852</v>
      </c>
      <c r="H4069">
        <v>2852</v>
      </c>
      <c r="I4069">
        <v>2797</v>
      </c>
      <c r="J4069">
        <v>2797</v>
      </c>
      <c r="K4069">
        <v>1046</v>
      </c>
      <c r="L4069">
        <v>5</v>
      </c>
      <c r="M4069">
        <v>1763</v>
      </c>
      <c r="N4069">
        <v>38</v>
      </c>
      <c r="O4069">
        <v>0</v>
      </c>
      <c r="P4069">
        <v>4</v>
      </c>
      <c r="Q4069">
        <v>0</v>
      </c>
    </row>
    <row r="4070" spans="1:17" x14ac:dyDescent="0.2">
      <c r="A4070" s="121">
        <v>40602</v>
      </c>
      <c r="B4070" t="s">
        <v>406</v>
      </c>
      <c r="C4070" t="s">
        <v>562</v>
      </c>
      <c r="D4070" t="s">
        <v>565</v>
      </c>
      <c r="E4070" t="s">
        <v>566</v>
      </c>
      <c r="F4070" t="s">
        <v>413</v>
      </c>
      <c r="G4070">
        <v>3767</v>
      </c>
      <c r="H4070">
        <v>3767</v>
      </c>
      <c r="I4070">
        <v>3644</v>
      </c>
      <c r="J4070">
        <v>3644</v>
      </c>
      <c r="K4070">
        <v>961</v>
      </c>
      <c r="L4070">
        <v>5</v>
      </c>
      <c r="M4070">
        <v>2672</v>
      </c>
      <c r="N4070">
        <v>129</v>
      </c>
      <c r="O4070">
        <v>0</v>
      </c>
      <c r="P4070">
        <v>20</v>
      </c>
      <c r="Q4070">
        <v>2</v>
      </c>
    </row>
    <row r="4071" spans="1:17" x14ac:dyDescent="0.2">
      <c r="A4071" s="121">
        <v>40602</v>
      </c>
      <c r="B4071" t="s">
        <v>406</v>
      </c>
      <c r="C4071" t="s">
        <v>562</v>
      </c>
      <c r="D4071" t="s">
        <v>567</v>
      </c>
      <c r="E4071" t="s">
        <v>568</v>
      </c>
      <c r="F4071" t="s">
        <v>413</v>
      </c>
      <c r="G4071">
        <v>8322</v>
      </c>
      <c r="H4071">
        <v>8322</v>
      </c>
      <c r="I4071">
        <v>8030</v>
      </c>
      <c r="J4071">
        <v>8030</v>
      </c>
      <c r="K4071">
        <v>2495</v>
      </c>
      <c r="L4071">
        <v>20</v>
      </c>
      <c r="M4071">
        <v>5402</v>
      </c>
      <c r="N4071">
        <v>405</v>
      </c>
      <c r="O4071">
        <v>0</v>
      </c>
      <c r="P4071">
        <v>14</v>
      </c>
      <c r="Q4071">
        <v>0</v>
      </c>
    </row>
    <row r="4072" spans="1:17" x14ac:dyDescent="0.2">
      <c r="A4072" s="121">
        <v>40602</v>
      </c>
      <c r="B4072" t="s">
        <v>406</v>
      </c>
      <c r="C4072" t="s">
        <v>562</v>
      </c>
      <c r="D4072" t="s">
        <v>569</v>
      </c>
      <c r="E4072" t="s">
        <v>570</v>
      </c>
      <c r="F4072" t="s">
        <v>413</v>
      </c>
      <c r="G4072">
        <v>3260</v>
      </c>
      <c r="H4072">
        <v>3260</v>
      </c>
      <c r="I4072">
        <v>3203</v>
      </c>
      <c r="J4072">
        <v>3203</v>
      </c>
      <c r="K4072">
        <v>487</v>
      </c>
      <c r="L4072">
        <v>0</v>
      </c>
      <c r="M4072">
        <v>2601</v>
      </c>
      <c r="N4072">
        <v>172</v>
      </c>
      <c r="O4072">
        <v>0</v>
      </c>
      <c r="P4072">
        <v>0</v>
      </c>
      <c r="Q4072">
        <v>0</v>
      </c>
    </row>
    <row r="4073" spans="1:17" x14ac:dyDescent="0.2">
      <c r="A4073" s="121">
        <v>40602</v>
      </c>
      <c r="B4073" t="s">
        <v>406</v>
      </c>
      <c r="C4073" t="s">
        <v>571</v>
      </c>
      <c r="D4073" t="s">
        <v>572</v>
      </c>
      <c r="E4073" t="s">
        <v>573</v>
      </c>
      <c r="F4073" t="s">
        <v>410</v>
      </c>
      <c r="G4073">
        <v>163</v>
      </c>
      <c r="I4073">
        <v>162</v>
      </c>
    </row>
    <row r="4074" spans="1:17" x14ac:dyDescent="0.2">
      <c r="A4074" s="121">
        <v>40602</v>
      </c>
      <c r="B4074" t="s">
        <v>406</v>
      </c>
      <c r="C4074" t="s">
        <v>574</v>
      </c>
      <c r="D4074" t="s">
        <v>575</v>
      </c>
      <c r="E4074" t="s">
        <v>576</v>
      </c>
      <c r="F4074" t="s">
        <v>413</v>
      </c>
      <c r="G4074">
        <v>602</v>
      </c>
      <c r="H4074">
        <v>602</v>
      </c>
      <c r="I4074">
        <v>600</v>
      </c>
      <c r="J4074">
        <v>600</v>
      </c>
      <c r="K4074">
        <v>147</v>
      </c>
      <c r="L4074">
        <v>1</v>
      </c>
      <c r="M4074">
        <v>424</v>
      </c>
      <c r="N4074">
        <v>3</v>
      </c>
      <c r="O4074">
        <v>27</v>
      </c>
      <c r="P4074">
        <v>0</v>
      </c>
      <c r="Q4074">
        <v>0</v>
      </c>
    </row>
    <row r="4075" spans="1:17" x14ac:dyDescent="0.2">
      <c r="A4075" s="121">
        <v>40602</v>
      </c>
      <c r="B4075" t="s">
        <v>406</v>
      </c>
      <c r="C4075" t="s">
        <v>577</v>
      </c>
      <c r="D4075" t="s">
        <v>578</v>
      </c>
      <c r="E4075" t="s">
        <v>579</v>
      </c>
      <c r="F4075" t="s">
        <v>413</v>
      </c>
      <c r="G4075">
        <v>3493</v>
      </c>
      <c r="H4075">
        <v>3493</v>
      </c>
      <c r="I4075">
        <v>3454</v>
      </c>
      <c r="J4075">
        <v>3454</v>
      </c>
      <c r="K4075">
        <v>762</v>
      </c>
      <c r="L4075">
        <v>13</v>
      </c>
      <c r="M4075">
        <v>2534</v>
      </c>
      <c r="N4075">
        <v>182</v>
      </c>
      <c r="O4075">
        <v>2</v>
      </c>
      <c r="P4075">
        <v>0</v>
      </c>
      <c r="Q4075">
        <v>0</v>
      </c>
    </row>
    <row r="4076" spans="1:17" x14ac:dyDescent="0.2">
      <c r="A4076" s="121">
        <v>40602</v>
      </c>
      <c r="B4076" t="s">
        <v>406</v>
      </c>
      <c r="C4076" t="s">
        <v>577</v>
      </c>
      <c r="D4076" t="s">
        <v>580</v>
      </c>
      <c r="E4076" t="s">
        <v>581</v>
      </c>
      <c r="F4076" t="s">
        <v>413</v>
      </c>
      <c r="G4076">
        <v>1788</v>
      </c>
      <c r="H4076">
        <v>1788</v>
      </c>
      <c r="I4076">
        <v>1779</v>
      </c>
      <c r="J4076">
        <v>1779</v>
      </c>
      <c r="K4076">
        <v>308</v>
      </c>
      <c r="L4076">
        <v>0</v>
      </c>
      <c r="M4076">
        <v>1208</v>
      </c>
      <c r="N4076">
        <v>227</v>
      </c>
      <c r="O4076">
        <v>45</v>
      </c>
      <c r="P4076">
        <v>0</v>
      </c>
      <c r="Q4076">
        <v>0</v>
      </c>
    </row>
    <row r="4077" spans="1:17" x14ac:dyDescent="0.2">
      <c r="A4077" s="121">
        <v>40602</v>
      </c>
      <c r="B4077" t="s">
        <v>406</v>
      </c>
      <c r="C4077" t="s">
        <v>577</v>
      </c>
      <c r="D4077" t="s">
        <v>609</v>
      </c>
      <c r="E4077" t="s">
        <v>610</v>
      </c>
      <c r="F4077" t="s">
        <v>410</v>
      </c>
      <c r="G4077">
        <v>26</v>
      </c>
      <c r="H4077">
        <v>26</v>
      </c>
      <c r="I4077">
        <v>26</v>
      </c>
      <c r="J4077">
        <v>26</v>
      </c>
      <c r="K4077">
        <v>0</v>
      </c>
      <c r="L4077">
        <v>0</v>
      </c>
      <c r="M4077">
        <v>20</v>
      </c>
      <c r="N4077">
        <v>6</v>
      </c>
      <c r="O4077">
        <v>0</v>
      </c>
      <c r="P4077">
        <v>0</v>
      </c>
      <c r="Q4077">
        <v>0</v>
      </c>
    </row>
    <row r="4078" spans="1:17" x14ac:dyDescent="0.2">
      <c r="A4078" s="121">
        <v>40602</v>
      </c>
      <c r="B4078" t="s">
        <v>406</v>
      </c>
      <c r="C4078" t="s">
        <v>577</v>
      </c>
      <c r="D4078" t="s">
        <v>611</v>
      </c>
      <c r="E4078" t="s">
        <v>612</v>
      </c>
      <c r="F4078" t="s">
        <v>410</v>
      </c>
      <c r="G4078">
        <v>8</v>
      </c>
      <c r="H4078">
        <v>8</v>
      </c>
      <c r="I4078">
        <v>8</v>
      </c>
      <c r="J4078">
        <v>8</v>
      </c>
      <c r="K4078">
        <v>0</v>
      </c>
      <c r="L4078">
        <v>0</v>
      </c>
      <c r="M4078">
        <v>5</v>
      </c>
      <c r="N4078">
        <v>3</v>
      </c>
      <c r="O4078">
        <v>0</v>
      </c>
      <c r="P4078">
        <v>0</v>
      </c>
      <c r="Q4078">
        <v>0</v>
      </c>
    </row>
    <row r="4079" spans="1:17" x14ac:dyDescent="0.2">
      <c r="A4079" s="121">
        <v>40602</v>
      </c>
      <c r="B4079" t="s">
        <v>406</v>
      </c>
      <c r="C4079" t="s">
        <v>577</v>
      </c>
      <c r="D4079" t="s">
        <v>584</v>
      </c>
      <c r="E4079" t="s">
        <v>585</v>
      </c>
      <c r="F4079" t="s">
        <v>410</v>
      </c>
      <c r="G4079">
        <v>221</v>
      </c>
      <c r="H4079">
        <v>221</v>
      </c>
      <c r="I4079">
        <v>221</v>
      </c>
      <c r="J4079">
        <v>221</v>
      </c>
      <c r="K4079">
        <v>0</v>
      </c>
      <c r="L4079">
        <v>0</v>
      </c>
      <c r="M4079">
        <v>186</v>
      </c>
      <c r="N4079">
        <v>29</v>
      </c>
      <c r="O4079">
        <v>6</v>
      </c>
      <c r="P4079">
        <v>0</v>
      </c>
      <c r="Q4079">
        <v>0</v>
      </c>
    </row>
    <row r="4080" spans="1:17" x14ac:dyDescent="0.2">
      <c r="A4080" s="121">
        <v>40602</v>
      </c>
      <c r="B4080" t="s">
        <v>406</v>
      </c>
      <c r="C4080" t="s">
        <v>577</v>
      </c>
      <c r="D4080" t="s">
        <v>586</v>
      </c>
      <c r="E4080" t="s">
        <v>587</v>
      </c>
      <c r="F4080" t="s">
        <v>410</v>
      </c>
      <c r="G4080">
        <v>981</v>
      </c>
      <c r="H4080">
        <v>981</v>
      </c>
      <c r="I4080">
        <v>980</v>
      </c>
      <c r="J4080">
        <v>980</v>
      </c>
      <c r="K4080">
        <v>0</v>
      </c>
      <c r="L4080">
        <v>0</v>
      </c>
      <c r="M4080">
        <v>763</v>
      </c>
      <c r="N4080">
        <v>172</v>
      </c>
      <c r="O4080">
        <v>46</v>
      </c>
      <c r="P4080">
        <v>0</v>
      </c>
      <c r="Q4080">
        <v>0</v>
      </c>
    </row>
    <row r="4081" spans="1:17" x14ac:dyDescent="0.2">
      <c r="A4081" s="121">
        <v>40602</v>
      </c>
      <c r="B4081" t="s">
        <v>406</v>
      </c>
      <c r="C4081" t="s">
        <v>577</v>
      </c>
      <c r="D4081" t="s">
        <v>588</v>
      </c>
      <c r="E4081" t="s">
        <v>589</v>
      </c>
      <c r="F4081" t="s">
        <v>410</v>
      </c>
      <c r="G4081">
        <v>264</v>
      </c>
      <c r="H4081">
        <v>264</v>
      </c>
      <c r="I4081">
        <v>262</v>
      </c>
      <c r="J4081">
        <v>262</v>
      </c>
      <c r="K4081">
        <v>0</v>
      </c>
      <c r="L4081">
        <v>0</v>
      </c>
      <c r="M4081">
        <v>237</v>
      </c>
      <c r="N4081">
        <v>19</v>
      </c>
      <c r="O4081">
        <v>8</v>
      </c>
      <c r="P4081">
        <v>0</v>
      </c>
      <c r="Q4081">
        <v>0</v>
      </c>
    </row>
    <row r="4082" spans="1:17" x14ac:dyDescent="0.2">
      <c r="A4082" s="121">
        <v>40602</v>
      </c>
      <c r="B4082" t="s">
        <v>406</v>
      </c>
      <c r="C4082" t="s">
        <v>577</v>
      </c>
      <c r="D4082" t="s">
        <v>613</v>
      </c>
      <c r="E4082" t="s">
        <v>614</v>
      </c>
      <c r="F4082" t="s">
        <v>410</v>
      </c>
      <c r="G4082">
        <v>156</v>
      </c>
      <c r="H4082">
        <v>156</v>
      </c>
      <c r="I4082">
        <v>156</v>
      </c>
      <c r="J4082">
        <v>156</v>
      </c>
      <c r="K4082">
        <v>0</v>
      </c>
      <c r="L4082">
        <v>0</v>
      </c>
      <c r="M4082">
        <v>124</v>
      </c>
      <c r="N4082">
        <v>26</v>
      </c>
      <c r="O4082">
        <v>6</v>
      </c>
      <c r="P4082">
        <v>0</v>
      </c>
      <c r="Q4082">
        <v>0</v>
      </c>
    </row>
    <row r="4083" spans="1:17" x14ac:dyDescent="0.2">
      <c r="A4083" s="121">
        <v>40602</v>
      </c>
      <c r="B4083" t="s">
        <v>406</v>
      </c>
      <c r="C4083" t="s">
        <v>577</v>
      </c>
      <c r="D4083" t="s">
        <v>590</v>
      </c>
      <c r="E4083" t="s">
        <v>591</v>
      </c>
      <c r="F4083" t="s">
        <v>410</v>
      </c>
      <c r="G4083">
        <v>530</v>
      </c>
      <c r="H4083">
        <v>530</v>
      </c>
      <c r="I4083">
        <v>530</v>
      </c>
      <c r="J4083">
        <v>530</v>
      </c>
      <c r="K4083">
        <v>0</v>
      </c>
      <c r="L4083">
        <v>0</v>
      </c>
      <c r="M4083">
        <v>491</v>
      </c>
      <c r="N4083">
        <v>33</v>
      </c>
      <c r="O4083">
        <v>6</v>
      </c>
      <c r="P4083">
        <v>0</v>
      </c>
      <c r="Q4083">
        <v>0</v>
      </c>
    </row>
    <row r="4084" spans="1:17" x14ac:dyDescent="0.2">
      <c r="A4084" s="121">
        <v>40602</v>
      </c>
      <c r="B4084" t="s">
        <v>406</v>
      </c>
      <c r="C4084" t="s">
        <v>577</v>
      </c>
      <c r="D4084" t="s">
        <v>607</v>
      </c>
      <c r="E4084" t="s">
        <v>608</v>
      </c>
      <c r="F4084" t="s">
        <v>410</v>
      </c>
      <c r="G4084">
        <v>85</v>
      </c>
      <c r="H4084">
        <v>85</v>
      </c>
      <c r="I4084">
        <v>85</v>
      </c>
      <c r="J4084">
        <v>85</v>
      </c>
      <c r="K4084">
        <v>0</v>
      </c>
      <c r="L4084">
        <v>0</v>
      </c>
      <c r="M4084">
        <v>75</v>
      </c>
      <c r="N4084">
        <v>10</v>
      </c>
      <c r="O4084">
        <v>0</v>
      </c>
      <c r="P4084">
        <v>0</v>
      </c>
      <c r="Q4084">
        <v>0</v>
      </c>
    </row>
    <row r="4085" spans="1:17" x14ac:dyDescent="0.2">
      <c r="A4085" s="121">
        <v>40602</v>
      </c>
      <c r="B4085" t="s">
        <v>406</v>
      </c>
      <c r="C4085" t="s">
        <v>577</v>
      </c>
      <c r="D4085" t="s">
        <v>592</v>
      </c>
      <c r="E4085" t="s">
        <v>593</v>
      </c>
      <c r="F4085" t="s">
        <v>410</v>
      </c>
      <c r="G4085">
        <v>591</v>
      </c>
      <c r="H4085">
        <v>591</v>
      </c>
      <c r="I4085">
        <v>591</v>
      </c>
      <c r="J4085">
        <v>591</v>
      </c>
      <c r="K4085">
        <v>0</v>
      </c>
      <c r="L4085">
        <v>0</v>
      </c>
      <c r="M4085">
        <v>497</v>
      </c>
      <c r="N4085">
        <v>67</v>
      </c>
      <c r="O4085">
        <v>27</v>
      </c>
      <c r="P4085">
        <v>0</v>
      </c>
      <c r="Q4085">
        <v>0</v>
      </c>
    </row>
    <row r="4086" spans="1:17" x14ac:dyDescent="0.2">
      <c r="A4086" s="121">
        <v>40602</v>
      </c>
      <c r="B4086" t="s">
        <v>406</v>
      </c>
      <c r="C4086" t="s">
        <v>594</v>
      </c>
      <c r="D4086" t="s">
        <v>595</v>
      </c>
      <c r="E4086" t="s">
        <v>596</v>
      </c>
      <c r="F4086" t="s">
        <v>410</v>
      </c>
      <c r="G4086">
        <v>45</v>
      </c>
      <c r="I4086">
        <v>43</v>
      </c>
    </row>
    <row r="4087" spans="1:17" x14ac:dyDescent="0.2">
      <c r="A4087" s="121">
        <v>40602</v>
      </c>
      <c r="B4087" t="s">
        <v>406</v>
      </c>
      <c r="C4087" t="s">
        <v>594</v>
      </c>
      <c r="D4087" t="s">
        <v>597</v>
      </c>
      <c r="E4087" t="s">
        <v>598</v>
      </c>
      <c r="F4087" t="s">
        <v>413</v>
      </c>
      <c r="G4087">
        <v>455</v>
      </c>
      <c r="H4087">
        <v>455</v>
      </c>
      <c r="I4087">
        <v>436</v>
      </c>
      <c r="J4087">
        <v>436</v>
      </c>
      <c r="K4087">
        <v>124</v>
      </c>
      <c r="L4087">
        <v>0</v>
      </c>
      <c r="M4087">
        <v>326</v>
      </c>
      <c r="N4087">
        <v>2</v>
      </c>
      <c r="O4087">
        <v>3</v>
      </c>
      <c r="P4087">
        <v>0</v>
      </c>
      <c r="Q4087">
        <v>0</v>
      </c>
    </row>
    <row r="4088" spans="1:17" x14ac:dyDescent="0.2">
      <c r="A4088" s="121">
        <v>40602</v>
      </c>
      <c r="B4088" t="s">
        <v>406</v>
      </c>
      <c r="C4088" t="s">
        <v>594</v>
      </c>
      <c r="D4088" t="s">
        <v>599</v>
      </c>
      <c r="E4088" t="s">
        <v>600</v>
      </c>
      <c r="F4088" t="s">
        <v>410</v>
      </c>
      <c r="G4088">
        <v>72</v>
      </c>
      <c r="I4088">
        <v>72</v>
      </c>
    </row>
    <row r="4089" spans="1:17" x14ac:dyDescent="0.2">
      <c r="A4089" s="121">
        <v>40633</v>
      </c>
      <c r="B4089" t="s">
        <v>406</v>
      </c>
      <c r="C4089" t="s">
        <v>407</v>
      </c>
      <c r="D4089" t="s">
        <v>408</v>
      </c>
      <c r="E4089" t="s">
        <v>409</v>
      </c>
      <c r="F4089" t="s">
        <v>410</v>
      </c>
      <c r="G4089">
        <v>232</v>
      </c>
      <c r="I4089">
        <v>232</v>
      </c>
    </row>
    <row r="4090" spans="1:17" x14ac:dyDescent="0.2">
      <c r="A4090" s="121">
        <v>40633</v>
      </c>
      <c r="B4090" t="s">
        <v>406</v>
      </c>
      <c r="C4090" t="s">
        <v>407</v>
      </c>
      <c r="D4090" t="s">
        <v>601</v>
      </c>
      <c r="E4090" t="s">
        <v>602</v>
      </c>
      <c r="F4090" t="s">
        <v>410</v>
      </c>
      <c r="G4090">
        <v>33</v>
      </c>
      <c r="I4090">
        <v>33</v>
      </c>
    </row>
    <row r="4091" spans="1:17" x14ac:dyDescent="0.2">
      <c r="A4091" s="121">
        <v>40633</v>
      </c>
      <c r="B4091" t="s">
        <v>406</v>
      </c>
      <c r="C4091" t="s">
        <v>407</v>
      </c>
      <c r="D4091" t="s">
        <v>411</v>
      </c>
      <c r="E4091" t="s">
        <v>412</v>
      </c>
      <c r="F4091" t="s">
        <v>413</v>
      </c>
      <c r="G4091">
        <v>6002</v>
      </c>
      <c r="H4091">
        <v>6002</v>
      </c>
      <c r="I4091">
        <v>5824</v>
      </c>
      <c r="J4091">
        <v>5824</v>
      </c>
      <c r="K4091">
        <v>2335</v>
      </c>
      <c r="L4091">
        <v>11</v>
      </c>
      <c r="M4091">
        <v>3296</v>
      </c>
      <c r="N4091">
        <v>126</v>
      </c>
      <c r="O4091">
        <v>234</v>
      </c>
      <c r="P4091">
        <v>8</v>
      </c>
      <c r="Q4091">
        <v>0</v>
      </c>
    </row>
    <row r="4092" spans="1:17" x14ac:dyDescent="0.2">
      <c r="A4092" s="121">
        <v>40633</v>
      </c>
      <c r="B4092" t="s">
        <v>406</v>
      </c>
      <c r="C4092" t="s">
        <v>407</v>
      </c>
      <c r="D4092" t="s">
        <v>416</v>
      </c>
      <c r="E4092" t="s">
        <v>417</v>
      </c>
      <c r="F4092" t="s">
        <v>413</v>
      </c>
      <c r="G4092">
        <v>3670</v>
      </c>
      <c r="H4092">
        <v>3670</v>
      </c>
      <c r="I4092">
        <v>3478</v>
      </c>
      <c r="J4092">
        <v>3478</v>
      </c>
      <c r="K4092">
        <v>1347</v>
      </c>
      <c r="L4092">
        <v>6</v>
      </c>
      <c r="M4092">
        <v>2133</v>
      </c>
      <c r="N4092">
        <v>125</v>
      </c>
      <c r="O4092">
        <v>59</v>
      </c>
      <c r="P4092">
        <v>2</v>
      </c>
      <c r="Q4092">
        <v>0</v>
      </c>
    </row>
    <row r="4093" spans="1:17" x14ac:dyDescent="0.2">
      <c r="A4093" s="121">
        <v>40633</v>
      </c>
      <c r="B4093" t="s">
        <v>406</v>
      </c>
      <c r="C4093" t="s">
        <v>407</v>
      </c>
      <c r="D4093" t="s">
        <v>618</v>
      </c>
      <c r="E4093" t="s">
        <v>619</v>
      </c>
      <c r="F4093" t="s">
        <v>410</v>
      </c>
      <c r="G4093">
        <v>101</v>
      </c>
      <c r="I4093">
        <v>101</v>
      </c>
    </row>
    <row r="4094" spans="1:17" x14ac:dyDescent="0.2">
      <c r="A4094" s="121">
        <v>40633</v>
      </c>
      <c r="B4094" t="s">
        <v>406</v>
      </c>
      <c r="C4094" t="s">
        <v>418</v>
      </c>
      <c r="D4094" t="s">
        <v>419</v>
      </c>
      <c r="E4094" t="s">
        <v>420</v>
      </c>
      <c r="F4094" t="s">
        <v>410</v>
      </c>
      <c r="G4094">
        <v>15</v>
      </c>
      <c r="I4094">
        <v>15</v>
      </c>
    </row>
    <row r="4095" spans="1:17" x14ac:dyDescent="0.2">
      <c r="A4095" s="121">
        <v>40633</v>
      </c>
      <c r="B4095" t="s">
        <v>406</v>
      </c>
      <c r="C4095" t="s">
        <v>418</v>
      </c>
      <c r="D4095" t="s">
        <v>421</v>
      </c>
      <c r="E4095" t="s">
        <v>422</v>
      </c>
      <c r="F4095" t="s">
        <v>410</v>
      </c>
      <c r="G4095">
        <v>91</v>
      </c>
      <c r="I4095">
        <v>91</v>
      </c>
    </row>
    <row r="4096" spans="1:17" x14ac:dyDescent="0.2">
      <c r="A4096" s="121">
        <v>40633</v>
      </c>
      <c r="B4096" t="s">
        <v>406</v>
      </c>
      <c r="C4096" t="s">
        <v>418</v>
      </c>
      <c r="D4096" t="s">
        <v>423</v>
      </c>
      <c r="E4096" t="s">
        <v>424</v>
      </c>
      <c r="F4096" t="s">
        <v>410</v>
      </c>
      <c r="G4096">
        <v>29</v>
      </c>
      <c r="I4096">
        <v>29</v>
      </c>
    </row>
    <row r="4097" spans="1:17" x14ac:dyDescent="0.2">
      <c r="A4097" s="121">
        <v>40633</v>
      </c>
      <c r="B4097" t="s">
        <v>406</v>
      </c>
      <c r="C4097" t="s">
        <v>418</v>
      </c>
      <c r="D4097" t="s">
        <v>425</v>
      </c>
      <c r="E4097" t="s">
        <v>426</v>
      </c>
      <c r="F4097" t="s">
        <v>410</v>
      </c>
      <c r="G4097">
        <v>89</v>
      </c>
      <c r="I4097">
        <v>89</v>
      </c>
    </row>
    <row r="4098" spans="1:17" x14ac:dyDescent="0.2">
      <c r="A4098" s="121">
        <v>40633</v>
      </c>
      <c r="B4098" t="s">
        <v>406</v>
      </c>
      <c r="C4098" t="s">
        <v>418</v>
      </c>
      <c r="D4098" t="s">
        <v>427</v>
      </c>
      <c r="E4098" t="s">
        <v>428</v>
      </c>
      <c r="F4098" t="s">
        <v>413</v>
      </c>
      <c r="G4098">
        <v>2051</v>
      </c>
      <c r="H4098">
        <v>2051</v>
      </c>
      <c r="I4098">
        <v>1981</v>
      </c>
      <c r="J4098">
        <v>1981</v>
      </c>
      <c r="K4098">
        <v>700</v>
      </c>
      <c r="L4098">
        <v>4</v>
      </c>
      <c r="M4098">
        <v>808</v>
      </c>
      <c r="N4098">
        <v>436</v>
      </c>
      <c r="O4098">
        <v>103</v>
      </c>
      <c r="P4098">
        <v>0</v>
      </c>
      <c r="Q4098">
        <v>0</v>
      </c>
    </row>
    <row r="4099" spans="1:17" x14ac:dyDescent="0.2">
      <c r="A4099" s="121">
        <v>40633</v>
      </c>
      <c r="B4099" t="s">
        <v>406</v>
      </c>
      <c r="C4099" t="s">
        <v>429</v>
      </c>
      <c r="D4099" t="s">
        <v>430</v>
      </c>
      <c r="E4099" t="s">
        <v>431</v>
      </c>
      <c r="F4099" t="s">
        <v>410</v>
      </c>
      <c r="G4099">
        <v>43</v>
      </c>
      <c r="I4099">
        <v>43</v>
      </c>
    </row>
    <row r="4100" spans="1:17" x14ac:dyDescent="0.2">
      <c r="A4100" s="121">
        <v>40633</v>
      </c>
      <c r="B4100" t="s">
        <v>406</v>
      </c>
      <c r="C4100" t="s">
        <v>429</v>
      </c>
      <c r="D4100" t="s">
        <v>432</v>
      </c>
      <c r="E4100" t="s">
        <v>433</v>
      </c>
      <c r="F4100" t="s">
        <v>410</v>
      </c>
      <c r="G4100">
        <v>72</v>
      </c>
      <c r="I4100">
        <v>72</v>
      </c>
    </row>
    <row r="4101" spans="1:17" x14ac:dyDescent="0.2">
      <c r="A4101" s="121">
        <v>40633</v>
      </c>
      <c r="B4101" t="s">
        <v>406</v>
      </c>
      <c r="C4101" t="s">
        <v>429</v>
      </c>
      <c r="D4101" t="s">
        <v>434</v>
      </c>
      <c r="E4101" t="s">
        <v>435</v>
      </c>
      <c r="F4101" t="s">
        <v>410</v>
      </c>
      <c r="G4101">
        <v>10</v>
      </c>
      <c r="I4101">
        <v>10</v>
      </c>
    </row>
    <row r="4102" spans="1:17" x14ac:dyDescent="0.2">
      <c r="A4102" s="121">
        <v>40633</v>
      </c>
      <c r="B4102" t="s">
        <v>406</v>
      </c>
      <c r="C4102" t="s">
        <v>429</v>
      </c>
      <c r="D4102" t="s">
        <v>436</v>
      </c>
      <c r="E4102" t="s">
        <v>437</v>
      </c>
      <c r="F4102" t="s">
        <v>410</v>
      </c>
      <c r="G4102">
        <v>24</v>
      </c>
      <c r="I4102">
        <v>24</v>
      </c>
    </row>
    <row r="4103" spans="1:17" x14ac:dyDescent="0.2">
      <c r="A4103" s="121">
        <v>40633</v>
      </c>
      <c r="B4103" t="s">
        <v>406</v>
      </c>
      <c r="C4103" t="s">
        <v>429</v>
      </c>
      <c r="D4103" t="s">
        <v>438</v>
      </c>
      <c r="E4103" t="s">
        <v>439</v>
      </c>
      <c r="F4103" t="s">
        <v>413</v>
      </c>
      <c r="G4103">
        <v>889</v>
      </c>
      <c r="H4103">
        <v>889</v>
      </c>
      <c r="I4103">
        <v>860</v>
      </c>
      <c r="J4103">
        <v>860</v>
      </c>
      <c r="K4103">
        <v>111</v>
      </c>
      <c r="L4103">
        <v>0</v>
      </c>
      <c r="M4103">
        <v>761</v>
      </c>
      <c r="N4103">
        <v>17</v>
      </c>
      <c r="O4103">
        <v>0</v>
      </c>
      <c r="P4103">
        <v>3</v>
      </c>
      <c r="Q4103">
        <v>0</v>
      </c>
    </row>
    <row r="4104" spans="1:17" x14ac:dyDescent="0.2">
      <c r="A4104" s="121">
        <v>40633</v>
      </c>
      <c r="B4104" t="s">
        <v>406</v>
      </c>
      <c r="C4104" t="s">
        <v>429</v>
      </c>
      <c r="D4104" t="s">
        <v>440</v>
      </c>
      <c r="E4104" t="s">
        <v>441</v>
      </c>
      <c r="F4104" t="s">
        <v>413</v>
      </c>
      <c r="G4104">
        <v>2784</v>
      </c>
      <c r="H4104">
        <v>2784</v>
      </c>
      <c r="I4104">
        <v>2650</v>
      </c>
      <c r="J4104">
        <v>2650</v>
      </c>
      <c r="K4104">
        <v>934</v>
      </c>
      <c r="L4104">
        <v>2</v>
      </c>
      <c r="M4104">
        <v>1772</v>
      </c>
      <c r="N4104">
        <v>76</v>
      </c>
      <c r="O4104">
        <v>0</v>
      </c>
      <c r="P4104">
        <v>2</v>
      </c>
      <c r="Q4104">
        <v>0</v>
      </c>
    </row>
    <row r="4105" spans="1:17" x14ac:dyDescent="0.2">
      <c r="A4105" s="121">
        <v>40633</v>
      </c>
      <c r="B4105" t="s">
        <v>406</v>
      </c>
      <c r="C4105" t="s">
        <v>442</v>
      </c>
      <c r="D4105" t="s">
        <v>443</v>
      </c>
      <c r="E4105" t="s">
        <v>444</v>
      </c>
      <c r="F4105" t="s">
        <v>413</v>
      </c>
      <c r="G4105">
        <v>2822</v>
      </c>
      <c r="H4105">
        <v>2822</v>
      </c>
      <c r="I4105">
        <v>2750</v>
      </c>
      <c r="J4105">
        <v>2750</v>
      </c>
      <c r="K4105">
        <v>400</v>
      </c>
      <c r="L4105">
        <v>1</v>
      </c>
      <c r="M4105">
        <v>2227</v>
      </c>
      <c r="N4105">
        <v>156</v>
      </c>
      <c r="O4105">
        <v>38</v>
      </c>
      <c r="P4105">
        <v>0</v>
      </c>
      <c r="Q4105">
        <v>0</v>
      </c>
    </row>
    <row r="4106" spans="1:17" x14ac:dyDescent="0.2">
      <c r="A4106" s="121">
        <v>40633</v>
      </c>
      <c r="B4106" t="s">
        <v>406</v>
      </c>
      <c r="C4106" t="s">
        <v>442</v>
      </c>
      <c r="D4106" t="s">
        <v>445</v>
      </c>
      <c r="E4106" t="s">
        <v>446</v>
      </c>
      <c r="F4106" t="s">
        <v>410</v>
      </c>
      <c r="G4106">
        <v>117</v>
      </c>
      <c r="I4106">
        <v>117</v>
      </c>
    </row>
    <row r="4107" spans="1:17" x14ac:dyDescent="0.2">
      <c r="A4107" s="121">
        <v>40633</v>
      </c>
      <c r="B4107" t="s">
        <v>406</v>
      </c>
      <c r="C4107" t="s">
        <v>442</v>
      </c>
      <c r="D4107" t="s">
        <v>447</v>
      </c>
      <c r="E4107" t="s">
        <v>448</v>
      </c>
      <c r="F4107" t="s">
        <v>410</v>
      </c>
      <c r="G4107">
        <v>416</v>
      </c>
      <c r="I4107">
        <v>416</v>
      </c>
    </row>
    <row r="4108" spans="1:17" x14ac:dyDescent="0.2">
      <c r="A4108" s="121">
        <v>40633</v>
      </c>
      <c r="B4108" t="s">
        <v>406</v>
      </c>
      <c r="C4108" t="s">
        <v>442</v>
      </c>
      <c r="D4108" t="s">
        <v>449</v>
      </c>
      <c r="E4108" t="s">
        <v>450</v>
      </c>
      <c r="F4108" t="s">
        <v>413</v>
      </c>
      <c r="G4108">
        <v>4159</v>
      </c>
      <c r="H4108">
        <v>4159</v>
      </c>
      <c r="I4108">
        <v>3738</v>
      </c>
      <c r="J4108">
        <v>3738</v>
      </c>
      <c r="K4108">
        <v>930</v>
      </c>
      <c r="L4108">
        <v>16</v>
      </c>
      <c r="M4108">
        <v>3020</v>
      </c>
      <c r="N4108">
        <v>146</v>
      </c>
      <c r="O4108">
        <v>47</v>
      </c>
      <c r="P4108">
        <v>85</v>
      </c>
      <c r="Q4108">
        <v>32</v>
      </c>
    </row>
    <row r="4109" spans="1:17" x14ac:dyDescent="0.2">
      <c r="A4109" s="121">
        <v>40633</v>
      </c>
      <c r="B4109" t="s">
        <v>406</v>
      </c>
      <c r="C4109" t="s">
        <v>451</v>
      </c>
      <c r="D4109" t="s">
        <v>452</v>
      </c>
      <c r="E4109" t="s">
        <v>453</v>
      </c>
      <c r="F4109" t="s">
        <v>410</v>
      </c>
      <c r="G4109">
        <v>1416</v>
      </c>
      <c r="H4109">
        <v>1416</v>
      </c>
      <c r="I4109">
        <v>1416</v>
      </c>
      <c r="J4109">
        <v>1416</v>
      </c>
      <c r="K4109">
        <v>0</v>
      </c>
      <c r="L4109">
        <v>0</v>
      </c>
      <c r="M4109">
        <v>1106</v>
      </c>
      <c r="N4109">
        <v>80</v>
      </c>
      <c r="O4109">
        <v>230</v>
      </c>
      <c r="P4109">
        <v>0</v>
      </c>
      <c r="Q4109">
        <v>0</v>
      </c>
    </row>
    <row r="4110" spans="1:17" x14ac:dyDescent="0.2">
      <c r="A4110" s="121">
        <v>40633</v>
      </c>
      <c r="B4110" t="s">
        <v>406</v>
      </c>
      <c r="C4110" t="s">
        <v>451</v>
      </c>
      <c r="D4110" t="s">
        <v>454</v>
      </c>
      <c r="E4110" t="s">
        <v>455</v>
      </c>
      <c r="F4110" t="s">
        <v>413</v>
      </c>
      <c r="G4110">
        <v>4808</v>
      </c>
      <c r="H4110">
        <v>4808</v>
      </c>
      <c r="I4110">
        <v>4419</v>
      </c>
      <c r="J4110">
        <v>4419</v>
      </c>
      <c r="K4110">
        <v>1346</v>
      </c>
      <c r="L4110">
        <v>7</v>
      </c>
      <c r="M4110">
        <v>2633</v>
      </c>
      <c r="N4110">
        <v>39</v>
      </c>
      <c r="O4110">
        <v>783</v>
      </c>
      <c r="P4110">
        <v>21</v>
      </c>
      <c r="Q4110">
        <v>1</v>
      </c>
    </row>
    <row r="4111" spans="1:17" x14ac:dyDescent="0.2">
      <c r="A4111" s="121">
        <v>40633</v>
      </c>
      <c r="B4111" t="s">
        <v>406</v>
      </c>
      <c r="C4111" t="s">
        <v>456</v>
      </c>
      <c r="D4111" t="s">
        <v>457</v>
      </c>
      <c r="E4111" t="s">
        <v>458</v>
      </c>
      <c r="F4111" t="s">
        <v>413</v>
      </c>
      <c r="G4111">
        <v>5192</v>
      </c>
      <c r="H4111">
        <v>5192</v>
      </c>
      <c r="I4111">
        <v>5060</v>
      </c>
      <c r="J4111">
        <v>5060</v>
      </c>
      <c r="K4111">
        <v>1262</v>
      </c>
      <c r="L4111">
        <v>25</v>
      </c>
      <c r="M4111">
        <v>3781</v>
      </c>
      <c r="N4111">
        <v>74</v>
      </c>
      <c r="O4111">
        <v>50</v>
      </c>
      <c r="P4111">
        <v>17</v>
      </c>
      <c r="Q4111">
        <v>2</v>
      </c>
    </row>
    <row r="4112" spans="1:17" x14ac:dyDescent="0.2">
      <c r="A4112" s="121">
        <v>40633</v>
      </c>
      <c r="B4112" t="s">
        <v>406</v>
      </c>
      <c r="C4112" t="s">
        <v>456</v>
      </c>
      <c r="D4112" t="s">
        <v>459</v>
      </c>
      <c r="E4112" t="s">
        <v>460</v>
      </c>
      <c r="F4112" t="s">
        <v>413</v>
      </c>
      <c r="G4112">
        <v>1804</v>
      </c>
      <c r="H4112">
        <v>1804</v>
      </c>
      <c r="I4112">
        <v>1792</v>
      </c>
      <c r="J4112">
        <v>1792</v>
      </c>
      <c r="K4112">
        <v>514</v>
      </c>
      <c r="L4112">
        <v>0</v>
      </c>
      <c r="M4112">
        <v>1289</v>
      </c>
      <c r="N4112">
        <v>1</v>
      </c>
      <c r="O4112">
        <v>0</v>
      </c>
      <c r="P4112">
        <v>1</v>
      </c>
      <c r="Q4112">
        <v>0</v>
      </c>
    </row>
    <row r="4113" spans="1:17" x14ac:dyDescent="0.2">
      <c r="A4113" s="121">
        <v>40633</v>
      </c>
      <c r="B4113" t="s">
        <v>406</v>
      </c>
      <c r="C4113" t="s">
        <v>456</v>
      </c>
      <c r="D4113" t="s">
        <v>461</v>
      </c>
      <c r="E4113" t="s">
        <v>462</v>
      </c>
      <c r="F4113" t="s">
        <v>410</v>
      </c>
      <c r="G4113">
        <v>71</v>
      </c>
      <c r="I4113">
        <v>71</v>
      </c>
    </row>
    <row r="4114" spans="1:17" x14ac:dyDescent="0.2">
      <c r="A4114" s="121">
        <v>40633</v>
      </c>
      <c r="B4114" t="s">
        <v>406</v>
      </c>
      <c r="C4114" t="s">
        <v>456</v>
      </c>
      <c r="D4114" t="s">
        <v>463</v>
      </c>
      <c r="E4114" t="s">
        <v>464</v>
      </c>
      <c r="F4114" t="s">
        <v>410</v>
      </c>
      <c r="G4114">
        <v>20</v>
      </c>
      <c r="I4114">
        <v>20</v>
      </c>
    </row>
    <row r="4115" spans="1:17" x14ac:dyDescent="0.2">
      <c r="A4115" s="121">
        <v>40633</v>
      </c>
      <c r="B4115" t="s">
        <v>406</v>
      </c>
      <c r="C4115" t="s">
        <v>456</v>
      </c>
      <c r="D4115" t="s">
        <v>465</v>
      </c>
      <c r="E4115" t="s">
        <v>466</v>
      </c>
      <c r="F4115" t="s">
        <v>410</v>
      </c>
      <c r="G4115">
        <v>56</v>
      </c>
      <c r="I4115">
        <v>56</v>
      </c>
    </row>
    <row r="4116" spans="1:17" x14ac:dyDescent="0.2">
      <c r="A4116" s="121">
        <v>40633</v>
      </c>
      <c r="B4116" t="s">
        <v>406</v>
      </c>
      <c r="C4116" t="s">
        <v>456</v>
      </c>
      <c r="D4116" t="s">
        <v>467</v>
      </c>
      <c r="E4116" t="s">
        <v>468</v>
      </c>
      <c r="F4116" t="s">
        <v>410</v>
      </c>
      <c r="G4116">
        <v>1114</v>
      </c>
      <c r="I4116">
        <v>1110</v>
      </c>
    </row>
    <row r="4117" spans="1:17" x14ac:dyDescent="0.2">
      <c r="A4117" s="121">
        <v>40633</v>
      </c>
      <c r="B4117" t="s">
        <v>406</v>
      </c>
      <c r="C4117" t="s">
        <v>456</v>
      </c>
      <c r="D4117" t="s">
        <v>469</v>
      </c>
      <c r="E4117" t="s">
        <v>470</v>
      </c>
      <c r="F4117" t="s">
        <v>410</v>
      </c>
      <c r="G4117">
        <v>766</v>
      </c>
      <c r="I4117">
        <v>766</v>
      </c>
    </row>
    <row r="4118" spans="1:17" x14ac:dyDescent="0.2">
      <c r="A4118" s="121">
        <v>40633</v>
      </c>
      <c r="B4118" t="s">
        <v>406</v>
      </c>
      <c r="C4118" t="s">
        <v>456</v>
      </c>
      <c r="D4118" t="s">
        <v>471</v>
      </c>
      <c r="E4118" t="s">
        <v>472</v>
      </c>
      <c r="F4118" t="s">
        <v>410</v>
      </c>
      <c r="G4118">
        <v>289</v>
      </c>
      <c r="I4118">
        <v>289</v>
      </c>
    </row>
    <row r="4119" spans="1:17" x14ac:dyDescent="0.2">
      <c r="A4119" s="121">
        <v>40633</v>
      </c>
      <c r="B4119" t="s">
        <v>406</v>
      </c>
      <c r="C4119" t="s">
        <v>456</v>
      </c>
      <c r="D4119" t="s">
        <v>473</v>
      </c>
      <c r="E4119" t="s">
        <v>474</v>
      </c>
      <c r="F4119" t="s">
        <v>410</v>
      </c>
      <c r="G4119">
        <v>166</v>
      </c>
      <c r="I4119">
        <v>166</v>
      </c>
    </row>
    <row r="4120" spans="1:17" x14ac:dyDescent="0.2">
      <c r="A4120" s="121">
        <v>40633</v>
      </c>
      <c r="B4120" t="s">
        <v>406</v>
      </c>
      <c r="C4120" t="s">
        <v>456</v>
      </c>
      <c r="D4120" t="s">
        <v>475</v>
      </c>
      <c r="E4120" t="s">
        <v>476</v>
      </c>
      <c r="F4120" t="s">
        <v>410</v>
      </c>
      <c r="G4120">
        <v>311</v>
      </c>
      <c r="I4120">
        <v>311</v>
      </c>
    </row>
    <row r="4121" spans="1:17" x14ac:dyDescent="0.2">
      <c r="A4121" s="121">
        <v>40633</v>
      </c>
      <c r="B4121" t="s">
        <v>406</v>
      </c>
      <c r="C4121" t="s">
        <v>456</v>
      </c>
      <c r="D4121" t="s">
        <v>477</v>
      </c>
      <c r="E4121" t="s">
        <v>478</v>
      </c>
      <c r="F4121" t="s">
        <v>413</v>
      </c>
      <c r="G4121">
        <v>1940</v>
      </c>
      <c r="H4121">
        <v>1940</v>
      </c>
      <c r="I4121">
        <v>1848</v>
      </c>
      <c r="J4121">
        <v>1848</v>
      </c>
      <c r="K4121">
        <v>489</v>
      </c>
      <c r="L4121">
        <v>6</v>
      </c>
      <c r="M4121">
        <v>1420</v>
      </c>
      <c r="N4121">
        <v>14</v>
      </c>
      <c r="O4121">
        <v>11</v>
      </c>
      <c r="P4121">
        <v>6</v>
      </c>
      <c r="Q4121">
        <v>0</v>
      </c>
    </row>
    <row r="4122" spans="1:17" x14ac:dyDescent="0.2">
      <c r="A4122" s="121">
        <v>40633</v>
      </c>
      <c r="B4122" t="s">
        <v>406</v>
      </c>
      <c r="C4122" t="s">
        <v>456</v>
      </c>
      <c r="D4122" t="s">
        <v>479</v>
      </c>
      <c r="E4122" t="s">
        <v>480</v>
      </c>
      <c r="F4122" t="s">
        <v>410</v>
      </c>
      <c r="G4122">
        <v>74</v>
      </c>
      <c r="I4122">
        <v>74</v>
      </c>
    </row>
    <row r="4123" spans="1:17" x14ac:dyDescent="0.2">
      <c r="A4123" s="121">
        <v>40633</v>
      </c>
      <c r="B4123" t="s">
        <v>406</v>
      </c>
      <c r="C4123" t="s">
        <v>456</v>
      </c>
      <c r="D4123" t="s">
        <v>481</v>
      </c>
      <c r="E4123" t="s">
        <v>482</v>
      </c>
      <c r="F4123" t="s">
        <v>410</v>
      </c>
      <c r="G4123">
        <v>36</v>
      </c>
      <c r="I4123">
        <v>36</v>
      </c>
    </row>
    <row r="4124" spans="1:17" x14ac:dyDescent="0.2">
      <c r="A4124" s="121">
        <v>40633</v>
      </c>
      <c r="B4124" t="s">
        <v>406</v>
      </c>
      <c r="C4124" t="s">
        <v>456</v>
      </c>
      <c r="D4124" t="s">
        <v>483</v>
      </c>
      <c r="E4124" t="s">
        <v>484</v>
      </c>
      <c r="F4124" t="s">
        <v>410</v>
      </c>
      <c r="G4124">
        <v>131</v>
      </c>
      <c r="I4124">
        <v>131</v>
      </c>
    </row>
    <row r="4125" spans="1:17" x14ac:dyDescent="0.2">
      <c r="A4125" s="121">
        <v>40633</v>
      </c>
      <c r="B4125" t="s">
        <v>406</v>
      </c>
      <c r="C4125" t="s">
        <v>456</v>
      </c>
      <c r="D4125" t="s">
        <v>485</v>
      </c>
      <c r="E4125" t="s">
        <v>486</v>
      </c>
      <c r="F4125" t="s">
        <v>410</v>
      </c>
      <c r="G4125">
        <v>55</v>
      </c>
      <c r="I4125">
        <v>55</v>
      </c>
    </row>
    <row r="4126" spans="1:17" x14ac:dyDescent="0.2">
      <c r="A4126" s="121">
        <v>40633</v>
      </c>
      <c r="B4126" t="s">
        <v>406</v>
      </c>
      <c r="C4126" t="s">
        <v>456</v>
      </c>
      <c r="D4126" t="s">
        <v>487</v>
      </c>
      <c r="E4126" t="s">
        <v>488</v>
      </c>
      <c r="F4126" t="s">
        <v>410</v>
      </c>
      <c r="G4126">
        <v>27</v>
      </c>
      <c r="I4126">
        <v>27</v>
      </c>
    </row>
    <row r="4127" spans="1:17" x14ac:dyDescent="0.2">
      <c r="A4127" s="121">
        <v>40633</v>
      </c>
      <c r="B4127" t="s">
        <v>406</v>
      </c>
      <c r="C4127" t="s">
        <v>456</v>
      </c>
      <c r="D4127" t="s">
        <v>489</v>
      </c>
      <c r="E4127" t="s">
        <v>490</v>
      </c>
      <c r="F4127" t="s">
        <v>410</v>
      </c>
      <c r="G4127">
        <v>98</v>
      </c>
      <c r="H4127">
        <v>98</v>
      </c>
      <c r="I4127">
        <v>98</v>
      </c>
      <c r="J4127">
        <v>98</v>
      </c>
      <c r="K4127">
        <v>0</v>
      </c>
      <c r="L4127">
        <v>0</v>
      </c>
      <c r="M4127">
        <v>81</v>
      </c>
      <c r="N4127">
        <v>17</v>
      </c>
      <c r="O4127">
        <v>0</v>
      </c>
      <c r="P4127">
        <v>0</v>
      </c>
      <c r="Q4127">
        <v>0</v>
      </c>
    </row>
    <row r="4128" spans="1:17" x14ac:dyDescent="0.2">
      <c r="A4128" s="121">
        <v>40633</v>
      </c>
      <c r="B4128" t="s">
        <v>406</v>
      </c>
      <c r="C4128" t="s">
        <v>491</v>
      </c>
      <c r="D4128" t="s">
        <v>492</v>
      </c>
      <c r="E4128" t="s">
        <v>493</v>
      </c>
      <c r="F4128" t="s">
        <v>410</v>
      </c>
      <c r="G4128">
        <v>1232</v>
      </c>
      <c r="H4128">
        <v>1232</v>
      </c>
      <c r="I4128">
        <v>1207</v>
      </c>
      <c r="J4128">
        <v>1207</v>
      </c>
      <c r="K4128">
        <v>0</v>
      </c>
      <c r="L4128">
        <v>0</v>
      </c>
      <c r="M4128">
        <v>1</v>
      </c>
      <c r="N4128">
        <v>20</v>
      </c>
      <c r="O4128">
        <v>1211</v>
      </c>
      <c r="P4128">
        <v>1</v>
      </c>
      <c r="Q4128">
        <v>0</v>
      </c>
    </row>
    <row r="4129" spans="1:17" x14ac:dyDescent="0.2">
      <c r="A4129" s="121">
        <v>40633</v>
      </c>
      <c r="B4129" t="s">
        <v>406</v>
      </c>
      <c r="C4129" t="s">
        <v>491</v>
      </c>
      <c r="D4129" t="s">
        <v>494</v>
      </c>
      <c r="E4129" t="s">
        <v>495</v>
      </c>
      <c r="F4129" t="s">
        <v>413</v>
      </c>
      <c r="G4129">
        <v>2825</v>
      </c>
      <c r="H4129">
        <v>2825</v>
      </c>
      <c r="I4129">
        <v>2711</v>
      </c>
      <c r="J4129">
        <v>2711</v>
      </c>
      <c r="K4129">
        <v>0</v>
      </c>
      <c r="L4129">
        <v>0</v>
      </c>
      <c r="M4129">
        <v>11</v>
      </c>
      <c r="N4129">
        <v>15</v>
      </c>
      <c r="O4129">
        <v>2799</v>
      </c>
      <c r="P4129">
        <v>4</v>
      </c>
      <c r="Q4129">
        <v>0</v>
      </c>
    </row>
    <row r="4130" spans="1:17" x14ac:dyDescent="0.2">
      <c r="A4130" s="121">
        <v>40633</v>
      </c>
      <c r="B4130" t="s">
        <v>406</v>
      </c>
      <c r="C4130" t="s">
        <v>491</v>
      </c>
      <c r="D4130" t="s">
        <v>496</v>
      </c>
      <c r="E4130" t="s">
        <v>497</v>
      </c>
      <c r="F4130" t="s">
        <v>413</v>
      </c>
      <c r="G4130">
        <v>6410</v>
      </c>
      <c r="H4130">
        <v>6410</v>
      </c>
      <c r="I4130">
        <v>5947</v>
      </c>
      <c r="J4130">
        <v>5947</v>
      </c>
      <c r="K4130">
        <v>841</v>
      </c>
      <c r="L4130">
        <v>0</v>
      </c>
      <c r="M4130">
        <v>22</v>
      </c>
      <c r="N4130">
        <v>69</v>
      </c>
      <c r="O4130">
        <v>5478</v>
      </c>
      <c r="P4130">
        <v>18</v>
      </c>
      <c r="Q4130">
        <v>0</v>
      </c>
    </row>
    <row r="4131" spans="1:17" x14ac:dyDescent="0.2">
      <c r="A4131" s="121">
        <v>40633</v>
      </c>
      <c r="B4131" t="s">
        <v>406</v>
      </c>
      <c r="C4131" t="s">
        <v>491</v>
      </c>
      <c r="D4131" t="s">
        <v>498</v>
      </c>
      <c r="E4131" t="s">
        <v>499</v>
      </c>
      <c r="F4131" t="s">
        <v>413</v>
      </c>
      <c r="G4131">
        <v>7118</v>
      </c>
      <c r="H4131">
        <v>7118</v>
      </c>
      <c r="I4131">
        <v>6405</v>
      </c>
      <c r="J4131">
        <v>6405</v>
      </c>
      <c r="K4131">
        <v>1899</v>
      </c>
      <c r="L4131">
        <v>15</v>
      </c>
      <c r="M4131">
        <v>4631</v>
      </c>
      <c r="N4131">
        <v>141</v>
      </c>
      <c r="O4131">
        <v>432</v>
      </c>
      <c r="P4131">
        <v>29</v>
      </c>
      <c r="Q4131">
        <v>0</v>
      </c>
    </row>
    <row r="4132" spans="1:17" x14ac:dyDescent="0.2">
      <c r="A4132" s="121">
        <v>40633</v>
      </c>
      <c r="B4132" t="s">
        <v>406</v>
      </c>
      <c r="C4132" t="s">
        <v>491</v>
      </c>
      <c r="D4132" t="s">
        <v>500</v>
      </c>
      <c r="E4132" t="s">
        <v>620</v>
      </c>
      <c r="F4132" t="s">
        <v>410</v>
      </c>
      <c r="G4132">
        <v>692</v>
      </c>
      <c r="H4132">
        <v>692</v>
      </c>
      <c r="I4132">
        <v>692</v>
      </c>
      <c r="J4132">
        <v>692</v>
      </c>
      <c r="K4132">
        <v>1</v>
      </c>
      <c r="L4132">
        <v>0</v>
      </c>
      <c r="M4132">
        <v>649</v>
      </c>
      <c r="N4132">
        <v>10</v>
      </c>
      <c r="O4132">
        <v>32</v>
      </c>
      <c r="P4132">
        <v>0</v>
      </c>
      <c r="Q4132">
        <v>0</v>
      </c>
    </row>
    <row r="4133" spans="1:17" x14ac:dyDescent="0.2">
      <c r="A4133" s="121">
        <v>40633</v>
      </c>
      <c r="B4133" t="s">
        <v>406</v>
      </c>
      <c r="C4133" t="s">
        <v>491</v>
      </c>
      <c r="D4133" t="s">
        <v>500</v>
      </c>
      <c r="E4133" t="s">
        <v>501</v>
      </c>
      <c r="F4133" t="s">
        <v>413</v>
      </c>
      <c r="G4133">
        <v>1697</v>
      </c>
      <c r="H4133">
        <v>1697</v>
      </c>
      <c r="I4133">
        <v>1681</v>
      </c>
      <c r="J4133">
        <v>1681</v>
      </c>
      <c r="K4133">
        <v>359</v>
      </c>
      <c r="L4133">
        <v>0</v>
      </c>
      <c r="M4133">
        <v>1217</v>
      </c>
      <c r="N4133">
        <v>22</v>
      </c>
      <c r="O4133">
        <v>99</v>
      </c>
      <c r="P4133">
        <v>0</v>
      </c>
      <c r="Q4133">
        <v>0</v>
      </c>
    </row>
    <row r="4134" spans="1:17" x14ac:dyDescent="0.2">
      <c r="A4134" s="121">
        <v>40633</v>
      </c>
      <c r="B4134" t="s">
        <v>406</v>
      </c>
      <c r="C4134" t="s">
        <v>491</v>
      </c>
      <c r="D4134" t="s">
        <v>502</v>
      </c>
      <c r="E4134" t="s">
        <v>615</v>
      </c>
      <c r="F4134" t="s">
        <v>410</v>
      </c>
      <c r="G4134">
        <v>1509</v>
      </c>
      <c r="H4134">
        <v>1509</v>
      </c>
      <c r="I4134">
        <v>1509</v>
      </c>
      <c r="J4134">
        <v>1509</v>
      </c>
      <c r="K4134">
        <v>0</v>
      </c>
      <c r="L4134">
        <v>1</v>
      </c>
      <c r="M4134">
        <v>1482</v>
      </c>
      <c r="N4134">
        <v>0</v>
      </c>
      <c r="O4134">
        <v>26</v>
      </c>
      <c r="P4134">
        <v>0</v>
      </c>
      <c r="Q4134">
        <v>0</v>
      </c>
    </row>
    <row r="4135" spans="1:17" x14ac:dyDescent="0.2">
      <c r="A4135" s="121">
        <v>40633</v>
      </c>
      <c r="B4135" t="s">
        <v>406</v>
      </c>
      <c r="C4135" t="s">
        <v>491</v>
      </c>
      <c r="D4135" t="s">
        <v>502</v>
      </c>
      <c r="E4135" t="s">
        <v>503</v>
      </c>
      <c r="F4135" t="s">
        <v>413</v>
      </c>
      <c r="G4135">
        <v>5134</v>
      </c>
      <c r="H4135">
        <v>5134</v>
      </c>
      <c r="I4135">
        <v>4808</v>
      </c>
      <c r="J4135">
        <v>4808</v>
      </c>
      <c r="K4135">
        <v>1459</v>
      </c>
      <c r="L4135">
        <v>13</v>
      </c>
      <c r="M4135">
        <v>3505</v>
      </c>
      <c r="N4135">
        <v>102</v>
      </c>
      <c r="O4135">
        <v>55</v>
      </c>
      <c r="P4135">
        <v>17</v>
      </c>
      <c r="Q4135">
        <v>0</v>
      </c>
    </row>
    <row r="4136" spans="1:17" x14ac:dyDescent="0.2">
      <c r="A4136" s="121">
        <v>40633</v>
      </c>
      <c r="B4136" t="s">
        <v>406</v>
      </c>
      <c r="C4136" t="s">
        <v>491</v>
      </c>
      <c r="D4136" t="s">
        <v>504</v>
      </c>
      <c r="E4136" t="s">
        <v>505</v>
      </c>
      <c r="F4136" t="s">
        <v>413</v>
      </c>
      <c r="G4136">
        <v>4066</v>
      </c>
      <c r="H4136">
        <v>4066</v>
      </c>
      <c r="I4136">
        <v>3937</v>
      </c>
      <c r="J4136">
        <v>3937</v>
      </c>
      <c r="K4136">
        <v>1202</v>
      </c>
      <c r="L4136">
        <v>5</v>
      </c>
      <c r="M4136">
        <v>2756</v>
      </c>
      <c r="N4136">
        <v>51</v>
      </c>
      <c r="O4136">
        <v>52</v>
      </c>
      <c r="P4136">
        <v>1</v>
      </c>
      <c r="Q4136">
        <v>0</v>
      </c>
    </row>
    <row r="4137" spans="1:17" x14ac:dyDescent="0.2">
      <c r="A4137" s="121">
        <v>40633</v>
      </c>
      <c r="B4137" t="s">
        <v>406</v>
      </c>
      <c r="C4137" t="s">
        <v>491</v>
      </c>
      <c r="D4137" t="s">
        <v>506</v>
      </c>
      <c r="E4137" t="s">
        <v>507</v>
      </c>
      <c r="F4137" t="s">
        <v>413</v>
      </c>
      <c r="G4137">
        <v>4453</v>
      </c>
      <c r="H4137">
        <v>4453</v>
      </c>
      <c r="I4137">
        <v>4332</v>
      </c>
      <c r="J4137">
        <v>4332</v>
      </c>
      <c r="K4137">
        <v>551</v>
      </c>
      <c r="L4137">
        <v>0</v>
      </c>
      <c r="M4137">
        <v>3891</v>
      </c>
      <c r="N4137">
        <v>5</v>
      </c>
      <c r="O4137">
        <v>6</v>
      </c>
      <c r="P4137">
        <v>2</v>
      </c>
      <c r="Q4137">
        <v>0</v>
      </c>
    </row>
    <row r="4138" spans="1:17" x14ac:dyDescent="0.2">
      <c r="A4138" s="121">
        <v>40633</v>
      </c>
      <c r="B4138" t="s">
        <v>406</v>
      </c>
      <c r="C4138" t="s">
        <v>491</v>
      </c>
      <c r="D4138" t="s">
        <v>508</v>
      </c>
      <c r="E4138" t="s">
        <v>509</v>
      </c>
      <c r="F4138" t="s">
        <v>413</v>
      </c>
      <c r="G4138">
        <v>4799</v>
      </c>
      <c r="H4138">
        <v>4799</v>
      </c>
      <c r="I4138">
        <v>4174</v>
      </c>
      <c r="J4138">
        <v>4174</v>
      </c>
      <c r="K4138">
        <v>1469</v>
      </c>
      <c r="L4138">
        <v>10</v>
      </c>
      <c r="M4138">
        <v>2876</v>
      </c>
      <c r="N4138">
        <v>137</v>
      </c>
      <c r="O4138">
        <v>307</v>
      </c>
      <c r="P4138">
        <v>107</v>
      </c>
      <c r="Q4138">
        <v>2</v>
      </c>
    </row>
    <row r="4139" spans="1:17" x14ac:dyDescent="0.2">
      <c r="A4139" s="121">
        <v>40633</v>
      </c>
      <c r="B4139" t="s">
        <v>406</v>
      </c>
      <c r="C4139" t="s">
        <v>510</v>
      </c>
      <c r="D4139" t="s">
        <v>513</v>
      </c>
      <c r="E4139" t="s">
        <v>514</v>
      </c>
      <c r="F4139" t="s">
        <v>410</v>
      </c>
      <c r="G4139">
        <v>528</v>
      </c>
      <c r="I4139">
        <v>522</v>
      </c>
    </row>
    <row r="4140" spans="1:17" x14ac:dyDescent="0.2">
      <c r="A4140" s="121">
        <v>40633</v>
      </c>
      <c r="B4140" t="s">
        <v>406</v>
      </c>
      <c r="C4140" t="s">
        <v>510</v>
      </c>
      <c r="D4140" t="s">
        <v>515</v>
      </c>
      <c r="E4140" t="s">
        <v>516</v>
      </c>
      <c r="F4140" t="s">
        <v>410</v>
      </c>
      <c r="G4140">
        <v>81</v>
      </c>
      <c r="I4140">
        <v>78</v>
      </c>
    </row>
    <row r="4141" spans="1:17" x14ac:dyDescent="0.2">
      <c r="A4141" s="121">
        <v>40633</v>
      </c>
      <c r="B4141" t="s">
        <v>406</v>
      </c>
      <c r="C4141" t="s">
        <v>510</v>
      </c>
      <c r="D4141" t="s">
        <v>519</v>
      </c>
      <c r="E4141" t="s">
        <v>520</v>
      </c>
      <c r="F4141" t="s">
        <v>410</v>
      </c>
      <c r="G4141">
        <v>290</v>
      </c>
      <c r="I4141">
        <v>286</v>
      </c>
    </row>
    <row r="4142" spans="1:17" x14ac:dyDescent="0.2">
      <c r="A4142" s="121">
        <v>40633</v>
      </c>
      <c r="B4142" t="s">
        <v>406</v>
      </c>
      <c r="C4142" t="s">
        <v>510</v>
      </c>
      <c r="D4142" t="s">
        <v>521</v>
      </c>
      <c r="E4142" t="s">
        <v>522</v>
      </c>
      <c r="F4142" t="s">
        <v>410</v>
      </c>
      <c r="G4142">
        <v>49</v>
      </c>
      <c r="I4142">
        <v>47</v>
      </c>
    </row>
    <row r="4143" spans="1:17" x14ac:dyDescent="0.2">
      <c r="A4143" s="121">
        <v>40633</v>
      </c>
      <c r="B4143" t="s">
        <v>406</v>
      </c>
      <c r="C4143" t="s">
        <v>510</v>
      </c>
      <c r="D4143" t="s">
        <v>523</v>
      </c>
      <c r="E4143" t="s">
        <v>524</v>
      </c>
      <c r="F4143" t="s">
        <v>413</v>
      </c>
      <c r="G4143">
        <v>455</v>
      </c>
      <c r="I4143">
        <v>451</v>
      </c>
    </row>
    <row r="4144" spans="1:17" x14ac:dyDescent="0.2">
      <c r="A4144" s="121">
        <v>40633</v>
      </c>
      <c r="B4144" t="s">
        <v>406</v>
      </c>
      <c r="C4144" t="s">
        <v>510</v>
      </c>
      <c r="D4144" t="s">
        <v>525</v>
      </c>
      <c r="E4144" t="s">
        <v>526</v>
      </c>
      <c r="F4144" t="s">
        <v>410</v>
      </c>
      <c r="G4144">
        <v>399</v>
      </c>
      <c r="I4144">
        <v>399</v>
      </c>
    </row>
    <row r="4145" spans="1:17" x14ac:dyDescent="0.2">
      <c r="A4145" s="121">
        <v>40633</v>
      </c>
      <c r="B4145" t="s">
        <v>406</v>
      </c>
      <c r="C4145" t="s">
        <v>510</v>
      </c>
      <c r="D4145" t="s">
        <v>527</v>
      </c>
      <c r="E4145" t="s">
        <v>528</v>
      </c>
      <c r="F4145" t="s">
        <v>410</v>
      </c>
      <c r="G4145">
        <v>173</v>
      </c>
      <c r="I4145">
        <v>172</v>
      </c>
    </row>
    <row r="4146" spans="1:17" x14ac:dyDescent="0.2">
      <c r="A4146" s="121">
        <v>40633</v>
      </c>
      <c r="B4146" t="s">
        <v>406</v>
      </c>
      <c r="C4146" t="s">
        <v>510</v>
      </c>
      <c r="D4146" t="s">
        <v>529</v>
      </c>
      <c r="E4146" t="s">
        <v>530</v>
      </c>
      <c r="F4146" t="s">
        <v>413</v>
      </c>
      <c r="G4146">
        <v>474</v>
      </c>
      <c r="H4146">
        <v>474</v>
      </c>
      <c r="I4146">
        <v>466</v>
      </c>
      <c r="J4146">
        <v>466</v>
      </c>
      <c r="K4146">
        <v>121</v>
      </c>
      <c r="L4146">
        <v>2</v>
      </c>
      <c r="M4146">
        <v>351</v>
      </c>
      <c r="N4146">
        <v>0</v>
      </c>
      <c r="O4146">
        <v>0</v>
      </c>
      <c r="P4146">
        <v>0</v>
      </c>
      <c r="Q4146">
        <v>0</v>
      </c>
    </row>
    <row r="4147" spans="1:17" x14ac:dyDescent="0.2">
      <c r="A4147" s="121">
        <v>40633</v>
      </c>
      <c r="B4147" t="s">
        <v>406</v>
      </c>
      <c r="C4147" t="s">
        <v>510</v>
      </c>
      <c r="D4147" t="s">
        <v>531</v>
      </c>
      <c r="E4147" t="s">
        <v>532</v>
      </c>
      <c r="F4147" t="s">
        <v>410</v>
      </c>
      <c r="G4147">
        <v>38</v>
      </c>
      <c r="I4147">
        <v>38</v>
      </c>
    </row>
    <row r="4148" spans="1:17" x14ac:dyDescent="0.2">
      <c r="A4148" s="121">
        <v>40633</v>
      </c>
      <c r="B4148" t="s">
        <v>406</v>
      </c>
      <c r="C4148" t="s">
        <v>510</v>
      </c>
      <c r="D4148" t="s">
        <v>533</v>
      </c>
      <c r="E4148" t="s">
        <v>534</v>
      </c>
      <c r="F4148" t="s">
        <v>413</v>
      </c>
      <c r="G4148">
        <v>2586</v>
      </c>
      <c r="H4148">
        <v>2586</v>
      </c>
      <c r="I4148">
        <v>2541</v>
      </c>
      <c r="J4148">
        <v>2541</v>
      </c>
      <c r="K4148">
        <v>516</v>
      </c>
      <c r="L4148">
        <v>9</v>
      </c>
      <c r="M4148">
        <v>2061</v>
      </c>
      <c r="N4148">
        <v>0</v>
      </c>
      <c r="O4148">
        <v>0</v>
      </c>
      <c r="P4148">
        <v>2</v>
      </c>
      <c r="Q4148">
        <v>2</v>
      </c>
    </row>
    <row r="4149" spans="1:17" x14ac:dyDescent="0.2">
      <c r="A4149" s="121">
        <v>40633</v>
      </c>
      <c r="B4149" t="s">
        <v>406</v>
      </c>
      <c r="C4149" t="s">
        <v>510</v>
      </c>
      <c r="D4149" t="s">
        <v>535</v>
      </c>
      <c r="E4149" t="s">
        <v>536</v>
      </c>
      <c r="F4149" t="s">
        <v>410</v>
      </c>
      <c r="G4149">
        <v>340</v>
      </c>
      <c r="I4149">
        <v>339</v>
      </c>
    </row>
    <row r="4150" spans="1:17" x14ac:dyDescent="0.2">
      <c r="A4150" s="121">
        <v>40633</v>
      </c>
      <c r="B4150" t="s">
        <v>406</v>
      </c>
      <c r="C4150" t="s">
        <v>510</v>
      </c>
      <c r="D4150" t="s">
        <v>537</v>
      </c>
      <c r="E4150" t="s">
        <v>538</v>
      </c>
      <c r="F4150" t="s">
        <v>410</v>
      </c>
      <c r="G4150">
        <v>94</v>
      </c>
      <c r="I4150">
        <v>94</v>
      </c>
    </row>
    <row r="4151" spans="1:17" x14ac:dyDescent="0.2">
      <c r="A4151" s="121">
        <v>40633</v>
      </c>
      <c r="B4151" t="s">
        <v>406</v>
      </c>
      <c r="C4151" t="s">
        <v>510</v>
      </c>
      <c r="D4151" t="s">
        <v>539</v>
      </c>
      <c r="E4151" t="s">
        <v>540</v>
      </c>
      <c r="F4151" t="s">
        <v>413</v>
      </c>
      <c r="G4151">
        <v>629</v>
      </c>
      <c r="H4151">
        <v>629</v>
      </c>
      <c r="I4151">
        <v>615</v>
      </c>
      <c r="J4151">
        <v>615</v>
      </c>
      <c r="K4151">
        <v>0</v>
      </c>
      <c r="L4151">
        <v>0</v>
      </c>
      <c r="M4151">
        <v>15</v>
      </c>
      <c r="N4151">
        <v>0</v>
      </c>
      <c r="O4151">
        <v>614</v>
      </c>
      <c r="P4151">
        <v>0</v>
      </c>
      <c r="Q4151">
        <v>0</v>
      </c>
    </row>
    <row r="4152" spans="1:17" x14ac:dyDescent="0.2">
      <c r="A4152" s="121">
        <v>40633</v>
      </c>
      <c r="B4152" t="s">
        <v>406</v>
      </c>
      <c r="C4152" t="s">
        <v>510</v>
      </c>
      <c r="D4152" t="s">
        <v>541</v>
      </c>
      <c r="E4152" t="s">
        <v>542</v>
      </c>
      <c r="F4152" t="s">
        <v>410</v>
      </c>
      <c r="G4152">
        <v>330</v>
      </c>
      <c r="I4152">
        <v>330</v>
      </c>
    </row>
    <row r="4153" spans="1:17" x14ac:dyDescent="0.2">
      <c r="A4153" s="121">
        <v>40633</v>
      </c>
      <c r="B4153" t="s">
        <v>406</v>
      </c>
      <c r="C4153" t="s">
        <v>510</v>
      </c>
      <c r="D4153" t="s">
        <v>543</v>
      </c>
      <c r="E4153" t="s">
        <v>544</v>
      </c>
      <c r="F4153" t="s">
        <v>410</v>
      </c>
      <c r="G4153">
        <v>190</v>
      </c>
      <c r="I4153">
        <v>190</v>
      </c>
    </row>
    <row r="4154" spans="1:17" x14ac:dyDescent="0.2">
      <c r="A4154" s="121">
        <v>40633</v>
      </c>
      <c r="B4154" t="s">
        <v>406</v>
      </c>
      <c r="C4154" t="s">
        <v>510</v>
      </c>
      <c r="D4154" t="s">
        <v>545</v>
      </c>
      <c r="E4154" t="s">
        <v>546</v>
      </c>
      <c r="F4154" t="s">
        <v>410</v>
      </c>
      <c r="G4154">
        <v>141</v>
      </c>
      <c r="I4154">
        <v>141</v>
      </c>
    </row>
    <row r="4155" spans="1:17" x14ac:dyDescent="0.2">
      <c r="A4155" s="121">
        <v>40633</v>
      </c>
      <c r="B4155" t="s">
        <v>406</v>
      </c>
      <c r="C4155" t="s">
        <v>510</v>
      </c>
      <c r="D4155" t="s">
        <v>547</v>
      </c>
      <c r="E4155" t="s">
        <v>548</v>
      </c>
      <c r="F4155" t="s">
        <v>410</v>
      </c>
      <c r="G4155">
        <v>173</v>
      </c>
      <c r="I4155">
        <v>172</v>
      </c>
    </row>
    <row r="4156" spans="1:17" x14ac:dyDescent="0.2">
      <c r="A4156" s="121">
        <v>40633</v>
      </c>
      <c r="B4156" t="s">
        <v>406</v>
      </c>
      <c r="C4156" t="s">
        <v>510</v>
      </c>
      <c r="D4156" t="s">
        <v>616</v>
      </c>
      <c r="E4156" t="s">
        <v>617</v>
      </c>
      <c r="F4156" t="s">
        <v>410</v>
      </c>
      <c r="G4156">
        <v>254</v>
      </c>
      <c r="I4156">
        <v>251</v>
      </c>
    </row>
    <row r="4157" spans="1:17" x14ac:dyDescent="0.2">
      <c r="A4157" s="121">
        <v>40633</v>
      </c>
      <c r="B4157" t="s">
        <v>406</v>
      </c>
      <c r="C4157" t="s">
        <v>510</v>
      </c>
      <c r="D4157" t="s">
        <v>549</v>
      </c>
      <c r="E4157" t="s">
        <v>550</v>
      </c>
      <c r="F4157" t="s">
        <v>410</v>
      </c>
      <c r="G4157">
        <v>162</v>
      </c>
      <c r="I4157">
        <v>162</v>
      </c>
    </row>
    <row r="4158" spans="1:17" x14ac:dyDescent="0.2">
      <c r="A4158" s="121">
        <v>40633</v>
      </c>
      <c r="B4158" t="s">
        <v>406</v>
      </c>
      <c r="C4158" t="s">
        <v>551</v>
      </c>
      <c r="D4158" t="s">
        <v>552</v>
      </c>
      <c r="E4158" t="s">
        <v>553</v>
      </c>
      <c r="F4158" t="s">
        <v>413</v>
      </c>
      <c r="G4158">
        <v>5924</v>
      </c>
      <c r="H4158">
        <v>5924</v>
      </c>
      <c r="I4158">
        <v>5482</v>
      </c>
      <c r="J4158">
        <v>5482</v>
      </c>
      <c r="K4158">
        <v>1631</v>
      </c>
      <c r="L4158">
        <v>9</v>
      </c>
      <c r="M4158">
        <v>3919</v>
      </c>
      <c r="N4158">
        <v>187</v>
      </c>
      <c r="O4158">
        <v>178</v>
      </c>
      <c r="P4158">
        <v>17</v>
      </c>
      <c r="Q4158">
        <v>0</v>
      </c>
    </row>
    <row r="4159" spans="1:17" x14ac:dyDescent="0.2">
      <c r="A4159" s="121">
        <v>40633</v>
      </c>
      <c r="B4159" t="s">
        <v>406</v>
      </c>
      <c r="C4159" t="s">
        <v>551</v>
      </c>
      <c r="D4159" t="s">
        <v>554</v>
      </c>
      <c r="E4159" t="s">
        <v>555</v>
      </c>
      <c r="F4159" t="s">
        <v>410</v>
      </c>
      <c r="G4159">
        <v>54</v>
      </c>
      <c r="I4159">
        <v>54</v>
      </c>
    </row>
    <row r="4160" spans="1:17" x14ac:dyDescent="0.2">
      <c r="A4160" s="121">
        <v>40633</v>
      </c>
      <c r="B4160" t="s">
        <v>406</v>
      </c>
      <c r="C4160" t="s">
        <v>551</v>
      </c>
      <c r="D4160" t="s">
        <v>556</v>
      </c>
      <c r="E4160" t="s">
        <v>557</v>
      </c>
      <c r="F4160" t="s">
        <v>410</v>
      </c>
      <c r="G4160">
        <v>113</v>
      </c>
      <c r="I4160">
        <v>113</v>
      </c>
    </row>
    <row r="4161" spans="1:17" x14ac:dyDescent="0.2">
      <c r="A4161" s="121">
        <v>40633</v>
      </c>
      <c r="B4161" t="s">
        <v>406</v>
      </c>
      <c r="C4161" t="s">
        <v>551</v>
      </c>
      <c r="D4161" t="s">
        <v>558</v>
      </c>
      <c r="E4161" t="s">
        <v>559</v>
      </c>
      <c r="F4161" t="s">
        <v>413</v>
      </c>
      <c r="G4161">
        <v>5042</v>
      </c>
      <c r="H4161">
        <v>5042</v>
      </c>
      <c r="I4161">
        <v>4481</v>
      </c>
      <c r="J4161">
        <v>4481</v>
      </c>
      <c r="K4161">
        <v>1279</v>
      </c>
      <c r="L4161">
        <v>10</v>
      </c>
      <c r="M4161">
        <v>3443</v>
      </c>
      <c r="N4161">
        <v>164</v>
      </c>
      <c r="O4161">
        <v>146</v>
      </c>
      <c r="P4161">
        <v>96</v>
      </c>
      <c r="Q4161">
        <v>30</v>
      </c>
    </row>
    <row r="4162" spans="1:17" x14ac:dyDescent="0.2">
      <c r="A4162" s="121">
        <v>40633</v>
      </c>
      <c r="B4162" t="s">
        <v>406</v>
      </c>
      <c r="C4162" t="s">
        <v>551</v>
      </c>
      <c r="D4162" t="s">
        <v>560</v>
      </c>
      <c r="E4162" t="s">
        <v>561</v>
      </c>
      <c r="F4162" t="s">
        <v>413</v>
      </c>
      <c r="G4162">
        <v>5650</v>
      </c>
      <c r="H4162">
        <v>5650</v>
      </c>
      <c r="I4162">
        <v>5275</v>
      </c>
      <c r="J4162">
        <v>5275</v>
      </c>
      <c r="K4162">
        <v>1361</v>
      </c>
      <c r="L4162">
        <v>5</v>
      </c>
      <c r="M4162">
        <v>3965</v>
      </c>
      <c r="N4162">
        <v>218</v>
      </c>
      <c r="O4162">
        <v>101</v>
      </c>
      <c r="P4162">
        <v>14</v>
      </c>
      <c r="Q4162">
        <v>1</v>
      </c>
    </row>
    <row r="4163" spans="1:17" x14ac:dyDescent="0.2">
      <c r="A4163" s="121">
        <v>40633</v>
      </c>
      <c r="B4163" t="s">
        <v>406</v>
      </c>
      <c r="C4163" t="s">
        <v>562</v>
      </c>
      <c r="D4163" t="s">
        <v>603</v>
      </c>
      <c r="E4163" t="s">
        <v>604</v>
      </c>
      <c r="F4163" t="s">
        <v>410</v>
      </c>
      <c r="G4163">
        <v>7</v>
      </c>
      <c r="I4163">
        <v>7</v>
      </c>
    </row>
    <row r="4164" spans="1:17" x14ac:dyDescent="0.2">
      <c r="A4164" s="121">
        <v>40633</v>
      </c>
      <c r="B4164" t="s">
        <v>406</v>
      </c>
      <c r="C4164" t="s">
        <v>562</v>
      </c>
      <c r="D4164" t="s">
        <v>605</v>
      </c>
      <c r="E4164" t="s">
        <v>606</v>
      </c>
      <c r="F4164" t="s">
        <v>410</v>
      </c>
      <c r="G4164">
        <v>130</v>
      </c>
      <c r="I4164">
        <v>130</v>
      </c>
    </row>
    <row r="4165" spans="1:17" x14ac:dyDescent="0.2">
      <c r="A4165" s="121">
        <v>40633</v>
      </c>
      <c r="B4165" t="s">
        <v>406</v>
      </c>
      <c r="C4165" t="s">
        <v>562</v>
      </c>
      <c r="D4165" t="s">
        <v>563</v>
      </c>
      <c r="E4165" t="s">
        <v>564</v>
      </c>
      <c r="F4165" t="s">
        <v>410</v>
      </c>
      <c r="G4165">
        <v>3329</v>
      </c>
      <c r="H4165">
        <v>3329</v>
      </c>
      <c r="I4165">
        <v>3261</v>
      </c>
      <c r="J4165">
        <v>3261</v>
      </c>
      <c r="K4165">
        <v>1125</v>
      </c>
      <c r="L4165">
        <v>2</v>
      </c>
      <c r="M4165">
        <v>2156</v>
      </c>
      <c r="N4165">
        <v>46</v>
      </c>
      <c r="O4165">
        <v>0</v>
      </c>
      <c r="P4165">
        <v>3</v>
      </c>
      <c r="Q4165">
        <v>0</v>
      </c>
    </row>
    <row r="4166" spans="1:17" x14ac:dyDescent="0.2">
      <c r="A4166" s="121">
        <v>40633</v>
      </c>
      <c r="B4166" t="s">
        <v>406</v>
      </c>
      <c r="C4166" t="s">
        <v>562</v>
      </c>
      <c r="D4166" t="s">
        <v>565</v>
      </c>
      <c r="E4166" t="s">
        <v>566</v>
      </c>
      <c r="F4166" t="s">
        <v>413</v>
      </c>
      <c r="G4166">
        <v>4394</v>
      </c>
      <c r="H4166">
        <v>4394</v>
      </c>
      <c r="I4166">
        <v>4256</v>
      </c>
      <c r="J4166">
        <v>4256</v>
      </c>
      <c r="K4166">
        <v>1072</v>
      </c>
      <c r="L4166">
        <v>5</v>
      </c>
      <c r="M4166">
        <v>3172</v>
      </c>
      <c r="N4166">
        <v>145</v>
      </c>
      <c r="O4166">
        <v>0</v>
      </c>
      <c r="P4166">
        <v>15</v>
      </c>
      <c r="Q4166">
        <v>3</v>
      </c>
    </row>
    <row r="4167" spans="1:17" x14ac:dyDescent="0.2">
      <c r="A4167" s="121">
        <v>40633</v>
      </c>
      <c r="B4167" t="s">
        <v>406</v>
      </c>
      <c r="C4167" t="s">
        <v>562</v>
      </c>
      <c r="D4167" t="s">
        <v>567</v>
      </c>
      <c r="E4167" t="s">
        <v>568</v>
      </c>
      <c r="F4167" t="s">
        <v>413</v>
      </c>
      <c r="G4167">
        <v>9475</v>
      </c>
      <c r="H4167">
        <v>9475</v>
      </c>
      <c r="I4167">
        <v>9139</v>
      </c>
      <c r="J4167">
        <v>9139</v>
      </c>
      <c r="K4167">
        <v>2870</v>
      </c>
      <c r="L4167">
        <v>25</v>
      </c>
      <c r="M4167">
        <v>6218</v>
      </c>
      <c r="N4167">
        <v>362</v>
      </c>
      <c r="O4167">
        <v>0</v>
      </c>
      <c r="P4167">
        <v>21</v>
      </c>
      <c r="Q4167">
        <v>1</v>
      </c>
    </row>
    <row r="4168" spans="1:17" x14ac:dyDescent="0.2">
      <c r="A4168" s="121">
        <v>40633</v>
      </c>
      <c r="B4168" t="s">
        <v>406</v>
      </c>
      <c r="C4168" t="s">
        <v>562</v>
      </c>
      <c r="D4168" t="s">
        <v>569</v>
      </c>
      <c r="E4168" t="s">
        <v>570</v>
      </c>
      <c r="F4168" t="s">
        <v>413</v>
      </c>
      <c r="G4168">
        <v>3910</v>
      </c>
      <c r="H4168">
        <v>3910</v>
      </c>
      <c r="I4168">
        <v>3869</v>
      </c>
      <c r="J4168">
        <v>3869</v>
      </c>
      <c r="K4168">
        <v>550</v>
      </c>
      <c r="L4168">
        <v>1</v>
      </c>
      <c r="M4168">
        <v>3359</v>
      </c>
      <c r="N4168">
        <v>0</v>
      </c>
      <c r="O4168">
        <v>0</v>
      </c>
      <c r="P4168">
        <v>0</v>
      </c>
      <c r="Q4168">
        <v>0</v>
      </c>
    </row>
    <row r="4169" spans="1:17" x14ac:dyDescent="0.2">
      <c r="A4169" s="121">
        <v>40633</v>
      </c>
      <c r="B4169" t="s">
        <v>406</v>
      </c>
      <c r="C4169" t="s">
        <v>571</v>
      </c>
      <c r="D4169" t="s">
        <v>572</v>
      </c>
      <c r="E4169" t="s">
        <v>573</v>
      </c>
      <c r="F4169" t="s">
        <v>410</v>
      </c>
      <c r="G4169">
        <v>252</v>
      </c>
      <c r="I4169">
        <v>251</v>
      </c>
    </row>
    <row r="4170" spans="1:17" x14ac:dyDescent="0.2">
      <c r="A4170" s="121">
        <v>40633</v>
      </c>
      <c r="B4170" t="s">
        <v>406</v>
      </c>
      <c r="C4170" t="s">
        <v>574</v>
      </c>
      <c r="D4170" t="s">
        <v>575</v>
      </c>
      <c r="E4170" t="s">
        <v>576</v>
      </c>
      <c r="F4170" t="s">
        <v>413</v>
      </c>
      <c r="G4170">
        <v>685</v>
      </c>
      <c r="H4170">
        <v>685</v>
      </c>
      <c r="I4170">
        <v>684</v>
      </c>
      <c r="J4170">
        <v>684</v>
      </c>
      <c r="K4170">
        <v>154</v>
      </c>
      <c r="L4170">
        <v>2</v>
      </c>
      <c r="M4170">
        <v>499</v>
      </c>
      <c r="N4170">
        <v>4</v>
      </c>
      <c r="O4170">
        <v>26</v>
      </c>
      <c r="P4170">
        <v>0</v>
      </c>
      <c r="Q4170">
        <v>0</v>
      </c>
    </row>
    <row r="4171" spans="1:17" x14ac:dyDescent="0.2">
      <c r="A4171" s="121">
        <v>40633</v>
      </c>
      <c r="B4171" t="s">
        <v>406</v>
      </c>
      <c r="C4171" t="s">
        <v>577</v>
      </c>
      <c r="D4171" t="s">
        <v>578</v>
      </c>
      <c r="E4171" t="s">
        <v>579</v>
      </c>
      <c r="F4171" t="s">
        <v>413</v>
      </c>
      <c r="G4171">
        <v>4005</v>
      </c>
      <c r="H4171">
        <v>4005</v>
      </c>
      <c r="I4171">
        <v>3930</v>
      </c>
      <c r="J4171">
        <v>3930</v>
      </c>
      <c r="K4171">
        <v>832</v>
      </c>
      <c r="L4171">
        <v>8</v>
      </c>
      <c r="M4171">
        <v>3088</v>
      </c>
      <c r="N4171">
        <v>74</v>
      </c>
      <c r="O4171">
        <v>3</v>
      </c>
      <c r="P4171">
        <v>0</v>
      </c>
      <c r="Q4171">
        <v>0</v>
      </c>
    </row>
    <row r="4172" spans="1:17" x14ac:dyDescent="0.2">
      <c r="A4172" s="121">
        <v>40633</v>
      </c>
      <c r="B4172" t="s">
        <v>406</v>
      </c>
      <c r="C4172" t="s">
        <v>577</v>
      </c>
      <c r="D4172" t="s">
        <v>580</v>
      </c>
      <c r="E4172" t="s">
        <v>581</v>
      </c>
      <c r="F4172" t="s">
        <v>413</v>
      </c>
      <c r="G4172">
        <v>1990</v>
      </c>
      <c r="H4172">
        <v>1990</v>
      </c>
      <c r="I4172">
        <v>1975</v>
      </c>
      <c r="J4172">
        <v>1975</v>
      </c>
      <c r="K4172">
        <v>329</v>
      </c>
      <c r="L4172">
        <v>1</v>
      </c>
      <c r="M4172">
        <v>1352</v>
      </c>
      <c r="N4172">
        <v>257</v>
      </c>
      <c r="O4172">
        <v>51</v>
      </c>
      <c r="P4172">
        <v>0</v>
      </c>
      <c r="Q4172">
        <v>0</v>
      </c>
    </row>
    <row r="4173" spans="1:17" x14ac:dyDescent="0.2">
      <c r="A4173" s="121">
        <v>40633</v>
      </c>
      <c r="B4173" t="s">
        <v>406</v>
      </c>
      <c r="C4173" t="s">
        <v>577</v>
      </c>
      <c r="D4173" t="s">
        <v>609</v>
      </c>
      <c r="E4173" t="s">
        <v>610</v>
      </c>
      <c r="F4173" t="s">
        <v>410</v>
      </c>
      <c r="G4173">
        <v>24</v>
      </c>
      <c r="H4173">
        <v>24</v>
      </c>
      <c r="I4173">
        <v>24</v>
      </c>
      <c r="J4173">
        <v>24</v>
      </c>
      <c r="K4173">
        <v>0</v>
      </c>
      <c r="L4173">
        <v>0</v>
      </c>
      <c r="M4173">
        <v>22</v>
      </c>
      <c r="N4173">
        <v>2</v>
      </c>
      <c r="O4173">
        <v>0</v>
      </c>
      <c r="P4173">
        <v>0</v>
      </c>
      <c r="Q4173">
        <v>0</v>
      </c>
    </row>
    <row r="4174" spans="1:17" x14ac:dyDescent="0.2">
      <c r="A4174" s="121">
        <v>40633</v>
      </c>
      <c r="B4174" t="s">
        <v>406</v>
      </c>
      <c r="C4174" t="s">
        <v>577</v>
      </c>
      <c r="D4174" t="s">
        <v>611</v>
      </c>
      <c r="E4174" t="s">
        <v>612</v>
      </c>
      <c r="F4174" t="s">
        <v>410</v>
      </c>
      <c r="G4174">
        <v>16</v>
      </c>
      <c r="H4174">
        <v>16</v>
      </c>
      <c r="I4174">
        <v>16</v>
      </c>
      <c r="J4174">
        <v>16</v>
      </c>
      <c r="K4174">
        <v>0</v>
      </c>
      <c r="L4174">
        <v>0</v>
      </c>
      <c r="M4174">
        <v>9</v>
      </c>
      <c r="N4174">
        <v>7</v>
      </c>
      <c r="O4174">
        <v>0</v>
      </c>
      <c r="P4174">
        <v>0</v>
      </c>
      <c r="Q4174">
        <v>0</v>
      </c>
    </row>
    <row r="4175" spans="1:17" x14ac:dyDescent="0.2">
      <c r="A4175" s="121">
        <v>40633</v>
      </c>
      <c r="B4175" t="s">
        <v>406</v>
      </c>
      <c r="C4175" t="s">
        <v>577</v>
      </c>
      <c r="D4175" t="s">
        <v>584</v>
      </c>
      <c r="E4175" t="s">
        <v>585</v>
      </c>
      <c r="F4175" t="s">
        <v>410</v>
      </c>
      <c r="G4175">
        <v>227</v>
      </c>
      <c r="H4175">
        <v>227</v>
      </c>
      <c r="I4175">
        <v>227</v>
      </c>
      <c r="J4175">
        <v>227</v>
      </c>
      <c r="K4175">
        <v>0</v>
      </c>
      <c r="L4175">
        <v>0</v>
      </c>
      <c r="M4175">
        <v>198</v>
      </c>
      <c r="N4175">
        <v>26</v>
      </c>
      <c r="O4175">
        <v>3</v>
      </c>
      <c r="P4175">
        <v>0</v>
      </c>
      <c r="Q4175">
        <v>0</v>
      </c>
    </row>
    <row r="4176" spans="1:17" x14ac:dyDescent="0.2">
      <c r="A4176" s="121">
        <v>40633</v>
      </c>
      <c r="B4176" t="s">
        <v>406</v>
      </c>
      <c r="C4176" t="s">
        <v>577</v>
      </c>
      <c r="D4176" t="s">
        <v>586</v>
      </c>
      <c r="E4176" t="s">
        <v>587</v>
      </c>
      <c r="F4176" t="s">
        <v>410</v>
      </c>
      <c r="G4176">
        <v>1069</v>
      </c>
      <c r="H4176">
        <v>1069</v>
      </c>
      <c r="I4176">
        <v>1069</v>
      </c>
      <c r="J4176">
        <v>1069</v>
      </c>
      <c r="K4176">
        <v>0</v>
      </c>
      <c r="L4176">
        <v>0</v>
      </c>
      <c r="M4176">
        <v>844</v>
      </c>
      <c r="N4176">
        <v>175</v>
      </c>
      <c r="O4176">
        <v>50</v>
      </c>
      <c r="P4176">
        <v>0</v>
      </c>
      <c r="Q4176">
        <v>0</v>
      </c>
    </row>
    <row r="4177" spans="1:17" x14ac:dyDescent="0.2">
      <c r="A4177" s="121">
        <v>40633</v>
      </c>
      <c r="B4177" t="s">
        <v>406</v>
      </c>
      <c r="C4177" t="s">
        <v>577</v>
      </c>
      <c r="D4177" t="s">
        <v>588</v>
      </c>
      <c r="E4177" t="s">
        <v>589</v>
      </c>
      <c r="F4177" t="s">
        <v>410</v>
      </c>
      <c r="G4177">
        <v>287</v>
      </c>
      <c r="H4177">
        <v>287</v>
      </c>
      <c r="I4177">
        <v>287</v>
      </c>
      <c r="J4177">
        <v>287</v>
      </c>
      <c r="K4177">
        <v>0</v>
      </c>
      <c r="L4177">
        <v>0</v>
      </c>
      <c r="M4177">
        <v>249</v>
      </c>
      <c r="N4177">
        <v>22</v>
      </c>
      <c r="O4177">
        <v>16</v>
      </c>
      <c r="P4177">
        <v>0</v>
      </c>
      <c r="Q4177">
        <v>0</v>
      </c>
    </row>
    <row r="4178" spans="1:17" x14ac:dyDescent="0.2">
      <c r="A4178" s="121">
        <v>40633</v>
      </c>
      <c r="B4178" t="s">
        <v>406</v>
      </c>
      <c r="C4178" t="s">
        <v>577</v>
      </c>
      <c r="D4178" t="s">
        <v>613</v>
      </c>
      <c r="E4178" t="s">
        <v>614</v>
      </c>
      <c r="F4178" t="s">
        <v>410</v>
      </c>
      <c r="G4178">
        <v>210</v>
      </c>
      <c r="H4178">
        <v>210</v>
      </c>
      <c r="I4178">
        <v>208</v>
      </c>
      <c r="J4178">
        <v>208</v>
      </c>
      <c r="K4178">
        <v>0</v>
      </c>
      <c r="L4178">
        <v>0</v>
      </c>
      <c r="M4178">
        <v>159</v>
      </c>
      <c r="N4178">
        <v>48</v>
      </c>
      <c r="O4178">
        <v>3</v>
      </c>
      <c r="P4178">
        <v>0</v>
      </c>
      <c r="Q4178">
        <v>0</v>
      </c>
    </row>
    <row r="4179" spans="1:17" x14ac:dyDescent="0.2">
      <c r="A4179" s="121">
        <v>40633</v>
      </c>
      <c r="B4179" t="s">
        <v>406</v>
      </c>
      <c r="C4179" t="s">
        <v>577</v>
      </c>
      <c r="D4179" t="s">
        <v>590</v>
      </c>
      <c r="E4179" t="s">
        <v>591</v>
      </c>
      <c r="F4179" t="s">
        <v>410</v>
      </c>
      <c r="G4179">
        <v>543</v>
      </c>
      <c r="H4179">
        <v>543</v>
      </c>
      <c r="I4179">
        <v>543</v>
      </c>
      <c r="J4179">
        <v>543</v>
      </c>
      <c r="K4179">
        <v>0</v>
      </c>
      <c r="L4179">
        <v>0</v>
      </c>
      <c r="M4179">
        <v>497</v>
      </c>
      <c r="N4179">
        <v>31</v>
      </c>
      <c r="O4179">
        <v>15</v>
      </c>
      <c r="P4179">
        <v>0</v>
      </c>
      <c r="Q4179">
        <v>0</v>
      </c>
    </row>
    <row r="4180" spans="1:17" x14ac:dyDescent="0.2">
      <c r="A4180" s="121">
        <v>40633</v>
      </c>
      <c r="B4180" t="s">
        <v>406</v>
      </c>
      <c r="C4180" t="s">
        <v>577</v>
      </c>
      <c r="D4180" t="s">
        <v>607</v>
      </c>
      <c r="E4180" t="s">
        <v>608</v>
      </c>
      <c r="F4180" t="s">
        <v>410</v>
      </c>
      <c r="G4180">
        <v>111</v>
      </c>
      <c r="H4180">
        <v>111</v>
      </c>
      <c r="I4180">
        <v>111</v>
      </c>
      <c r="J4180">
        <v>111</v>
      </c>
      <c r="K4180">
        <v>0</v>
      </c>
      <c r="L4180">
        <v>0</v>
      </c>
      <c r="M4180">
        <v>94</v>
      </c>
      <c r="N4180">
        <v>15</v>
      </c>
      <c r="O4180">
        <v>2</v>
      </c>
      <c r="P4180">
        <v>0</v>
      </c>
      <c r="Q4180">
        <v>0</v>
      </c>
    </row>
    <row r="4181" spans="1:17" x14ac:dyDescent="0.2">
      <c r="A4181" s="121">
        <v>40633</v>
      </c>
      <c r="B4181" t="s">
        <v>406</v>
      </c>
      <c r="C4181" t="s">
        <v>577</v>
      </c>
      <c r="D4181" t="s">
        <v>592</v>
      </c>
      <c r="E4181" t="s">
        <v>593</v>
      </c>
      <c r="F4181" t="s">
        <v>410</v>
      </c>
      <c r="G4181">
        <v>550</v>
      </c>
      <c r="H4181">
        <v>550</v>
      </c>
      <c r="I4181">
        <v>550</v>
      </c>
      <c r="J4181">
        <v>550</v>
      </c>
      <c r="K4181">
        <v>0</v>
      </c>
      <c r="L4181">
        <v>0</v>
      </c>
      <c r="M4181">
        <v>458</v>
      </c>
      <c r="N4181">
        <v>59</v>
      </c>
      <c r="O4181">
        <v>33</v>
      </c>
      <c r="P4181">
        <v>0</v>
      </c>
      <c r="Q4181">
        <v>0</v>
      </c>
    </row>
    <row r="4182" spans="1:17" x14ac:dyDescent="0.2">
      <c r="A4182" s="121">
        <v>40633</v>
      </c>
      <c r="B4182" t="s">
        <v>406</v>
      </c>
      <c r="C4182" t="s">
        <v>594</v>
      </c>
      <c r="D4182" t="s">
        <v>595</v>
      </c>
      <c r="E4182" t="s">
        <v>596</v>
      </c>
      <c r="F4182" t="s">
        <v>410</v>
      </c>
      <c r="G4182">
        <v>56</v>
      </c>
      <c r="I4182">
        <v>56</v>
      </c>
    </row>
    <row r="4183" spans="1:17" x14ac:dyDescent="0.2">
      <c r="A4183" s="121">
        <v>40633</v>
      </c>
      <c r="B4183" t="s">
        <v>406</v>
      </c>
      <c r="C4183" t="s">
        <v>594</v>
      </c>
      <c r="D4183" t="s">
        <v>597</v>
      </c>
      <c r="E4183" t="s">
        <v>598</v>
      </c>
      <c r="F4183" t="s">
        <v>413</v>
      </c>
      <c r="G4183">
        <v>513</v>
      </c>
      <c r="H4183">
        <v>513</v>
      </c>
      <c r="I4183">
        <v>495</v>
      </c>
      <c r="J4183">
        <v>495</v>
      </c>
      <c r="K4183">
        <v>129</v>
      </c>
      <c r="L4183">
        <v>0</v>
      </c>
      <c r="M4183">
        <v>363</v>
      </c>
      <c r="N4183">
        <v>16</v>
      </c>
      <c r="O4183">
        <v>5</v>
      </c>
      <c r="P4183">
        <v>0</v>
      </c>
      <c r="Q4183">
        <v>0</v>
      </c>
    </row>
    <row r="4184" spans="1:17" x14ac:dyDescent="0.2">
      <c r="A4184" s="121">
        <v>40633</v>
      </c>
      <c r="B4184" t="s">
        <v>406</v>
      </c>
      <c r="C4184" t="s">
        <v>594</v>
      </c>
      <c r="D4184" t="s">
        <v>599</v>
      </c>
      <c r="E4184" t="s">
        <v>600</v>
      </c>
      <c r="F4184" t="s">
        <v>410</v>
      </c>
      <c r="G4184">
        <v>80</v>
      </c>
      <c r="I4184">
        <v>80</v>
      </c>
    </row>
    <row r="4185" spans="1:17" x14ac:dyDescent="0.2">
      <c r="A4185" s="121">
        <v>40663</v>
      </c>
      <c r="B4185" t="s">
        <v>406</v>
      </c>
      <c r="C4185" t="s">
        <v>407</v>
      </c>
      <c r="D4185" t="s">
        <v>408</v>
      </c>
      <c r="E4185" t="s">
        <v>409</v>
      </c>
      <c r="F4185" t="s">
        <v>410</v>
      </c>
      <c r="G4185">
        <v>245</v>
      </c>
      <c r="I4185">
        <v>245</v>
      </c>
    </row>
    <row r="4186" spans="1:17" x14ac:dyDescent="0.2">
      <c r="A4186" s="121">
        <v>40663</v>
      </c>
      <c r="B4186" t="s">
        <v>406</v>
      </c>
      <c r="C4186" t="s">
        <v>407</v>
      </c>
      <c r="D4186" t="s">
        <v>601</v>
      </c>
      <c r="E4186" t="s">
        <v>602</v>
      </c>
      <c r="F4186" t="s">
        <v>410</v>
      </c>
      <c r="G4186">
        <v>61</v>
      </c>
      <c r="I4186">
        <v>61</v>
      </c>
    </row>
    <row r="4187" spans="1:17" x14ac:dyDescent="0.2">
      <c r="A4187" s="121">
        <v>40663</v>
      </c>
      <c r="B4187" t="s">
        <v>406</v>
      </c>
      <c r="C4187" t="s">
        <v>407</v>
      </c>
      <c r="D4187" t="s">
        <v>411</v>
      </c>
      <c r="E4187" t="s">
        <v>412</v>
      </c>
      <c r="F4187" t="s">
        <v>413</v>
      </c>
      <c r="G4187">
        <v>6011</v>
      </c>
      <c r="H4187">
        <v>6011</v>
      </c>
      <c r="I4187">
        <v>5850</v>
      </c>
      <c r="J4187">
        <v>5850</v>
      </c>
      <c r="K4187">
        <v>2229</v>
      </c>
      <c r="L4187">
        <v>10</v>
      </c>
      <c r="M4187">
        <v>3351</v>
      </c>
      <c r="N4187">
        <v>209</v>
      </c>
      <c r="O4187">
        <v>212</v>
      </c>
      <c r="P4187">
        <v>5</v>
      </c>
      <c r="Q4187">
        <v>1</v>
      </c>
    </row>
    <row r="4188" spans="1:17" x14ac:dyDescent="0.2">
      <c r="A4188" s="121">
        <v>40663</v>
      </c>
      <c r="B4188" t="s">
        <v>406</v>
      </c>
      <c r="C4188" t="s">
        <v>407</v>
      </c>
      <c r="D4188" t="s">
        <v>416</v>
      </c>
      <c r="E4188" t="s">
        <v>417</v>
      </c>
      <c r="F4188" t="s">
        <v>413</v>
      </c>
      <c r="G4188">
        <v>3813</v>
      </c>
      <c r="H4188">
        <v>3813</v>
      </c>
      <c r="I4188">
        <v>3705</v>
      </c>
      <c r="J4188">
        <v>3705</v>
      </c>
      <c r="K4188">
        <v>1246</v>
      </c>
      <c r="L4188">
        <v>4</v>
      </c>
      <c r="M4188">
        <v>2314</v>
      </c>
      <c r="N4188">
        <v>154</v>
      </c>
      <c r="O4188">
        <v>95</v>
      </c>
      <c r="P4188">
        <v>5</v>
      </c>
      <c r="Q4188">
        <v>0</v>
      </c>
    </row>
    <row r="4189" spans="1:17" x14ac:dyDescent="0.2">
      <c r="A4189" s="121">
        <v>40663</v>
      </c>
      <c r="B4189" t="s">
        <v>406</v>
      </c>
      <c r="C4189" t="s">
        <v>407</v>
      </c>
      <c r="D4189" t="s">
        <v>618</v>
      </c>
      <c r="E4189" t="s">
        <v>619</v>
      </c>
      <c r="F4189" t="s">
        <v>410</v>
      </c>
      <c r="G4189">
        <v>103</v>
      </c>
      <c r="I4189">
        <v>103</v>
      </c>
    </row>
    <row r="4190" spans="1:17" x14ac:dyDescent="0.2">
      <c r="A4190" s="121">
        <v>40663</v>
      </c>
      <c r="B4190" t="s">
        <v>406</v>
      </c>
      <c r="C4190" t="s">
        <v>418</v>
      </c>
      <c r="D4190" t="s">
        <v>419</v>
      </c>
      <c r="E4190" t="s">
        <v>420</v>
      </c>
      <c r="F4190" t="s">
        <v>410</v>
      </c>
      <c r="G4190">
        <v>17</v>
      </c>
      <c r="I4190">
        <v>17</v>
      </c>
    </row>
    <row r="4191" spans="1:17" x14ac:dyDescent="0.2">
      <c r="A4191" s="121">
        <v>40663</v>
      </c>
      <c r="B4191" t="s">
        <v>406</v>
      </c>
      <c r="C4191" t="s">
        <v>418</v>
      </c>
      <c r="D4191" t="s">
        <v>421</v>
      </c>
      <c r="E4191" t="s">
        <v>422</v>
      </c>
      <c r="F4191" t="s">
        <v>410</v>
      </c>
      <c r="G4191">
        <v>119</v>
      </c>
      <c r="I4191">
        <v>119</v>
      </c>
    </row>
    <row r="4192" spans="1:17" x14ac:dyDescent="0.2">
      <c r="A4192" s="121">
        <v>40663</v>
      </c>
      <c r="B4192" t="s">
        <v>406</v>
      </c>
      <c r="C4192" t="s">
        <v>418</v>
      </c>
      <c r="D4192" t="s">
        <v>423</v>
      </c>
      <c r="E4192" t="s">
        <v>424</v>
      </c>
      <c r="F4192" t="s">
        <v>410</v>
      </c>
      <c r="G4192">
        <v>23</v>
      </c>
      <c r="I4192">
        <v>23</v>
      </c>
    </row>
    <row r="4193" spans="1:17" x14ac:dyDescent="0.2">
      <c r="A4193" s="121">
        <v>40663</v>
      </c>
      <c r="B4193" t="s">
        <v>406</v>
      </c>
      <c r="C4193" t="s">
        <v>418</v>
      </c>
      <c r="D4193" t="s">
        <v>425</v>
      </c>
      <c r="E4193" t="s">
        <v>426</v>
      </c>
      <c r="F4193" t="s">
        <v>410</v>
      </c>
      <c r="G4193">
        <v>70</v>
      </c>
      <c r="I4193">
        <v>70</v>
      </c>
    </row>
    <row r="4194" spans="1:17" x14ac:dyDescent="0.2">
      <c r="A4194" s="121">
        <v>40663</v>
      </c>
      <c r="B4194" t="s">
        <v>406</v>
      </c>
      <c r="C4194" t="s">
        <v>418</v>
      </c>
      <c r="D4194" t="s">
        <v>427</v>
      </c>
      <c r="E4194" t="s">
        <v>428</v>
      </c>
      <c r="F4194" t="s">
        <v>413</v>
      </c>
      <c r="G4194">
        <v>2012</v>
      </c>
      <c r="H4194">
        <v>2012</v>
      </c>
      <c r="I4194">
        <v>1982</v>
      </c>
      <c r="J4194">
        <v>1982</v>
      </c>
      <c r="K4194">
        <v>613</v>
      </c>
      <c r="L4194">
        <v>3</v>
      </c>
      <c r="M4194">
        <v>928</v>
      </c>
      <c r="N4194">
        <v>416</v>
      </c>
      <c r="O4194">
        <v>52</v>
      </c>
      <c r="P4194">
        <v>0</v>
      </c>
      <c r="Q4194">
        <v>0</v>
      </c>
    </row>
    <row r="4195" spans="1:17" x14ac:dyDescent="0.2">
      <c r="A4195" s="121">
        <v>40663</v>
      </c>
      <c r="B4195" t="s">
        <v>406</v>
      </c>
      <c r="C4195" t="s">
        <v>429</v>
      </c>
      <c r="D4195" t="s">
        <v>430</v>
      </c>
      <c r="E4195" t="s">
        <v>431</v>
      </c>
      <c r="F4195" t="s">
        <v>410</v>
      </c>
      <c r="G4195">
        <v>51</v>
      </c>
      <c r="I4195">
        <v>51</v>
      </c>
    </row>
    <row r="4196" spans="1:17" x14ac:dyDescent="0.2">
      <c r="A4196" s="121">
        <v>40663</v>
      </c>
      <c r="B4196" t="s">
        <v>406</v>
      </c>
      <c r="C4196" t="s">
        <v>429</v>
      </c>
      <c r="D4196" t="s">
        <v>432</v>
      </c>
      <c r="E4196" t="s">
        <v>433</v>
      </c>
      <c r="F4196" t="s">
        <v>410</v>
      </c>
      <c r="G4196">
        <v>84</v>
      </c>
      <c r="I4196">
        <v>84</v>
      </c>
    </row>
    <row r="4197" spans="1:17" x14ac:dyDescent="0.2">
      <c r="A4197" s="121">
        <v>40663</v>
      </c>
      <c r="B4197" t="s">
        <v>406</v>
      </c>
      <c r="C4197" t="s">
        <v>429</v>
      </c>
      <c r="D4197" t="s">
        <v>434</v>
      </c>
      <c r="E4197" t="s">
        <v>435</v>
      </c>
      <c r="F4197" t="s">
        <v>410</v>
      </c>
      <c r="G4197">
        <v>7</v>
      </c>
      <c r="I4197">
        <v>7</v>
      </c>
    </row>
    <row r="4198" spans="1:17" x14ac:dyDescent="0.2">
      <c r="A4198" s="121">
        <v>40663</v>
      </c>
      <c r="B4198" t="s">
        <v>406</v>
      </c>
      <c r="C4198" t="s">
        <v>429</v>
      </c>
      <c r="D4198" t="s">
        <v>436</v>
      </c>
      <c r="E4198" t="s">
        <v>437</v>
      </c>
      <c r="F4198" t="s">
        <v>410</v>
      </c>
      <c r="G4198">
        <v>45</v>
      </c>
      <c r="I4198">
        <v>45</v>
      </c>
    </row>
    <row r="4199" spans="1:17" x14ac:dyDescent="0.2">
      <c r="A4199" s="121">
        <v>40663</v>
      </c>
      <c r="B4199" t="s">
        <v>406</v>
      </c>
      <c r="C4199" t="s">
        <v>429</v>
      </c>
      <c r="D4199" t="s">
        <v>438</v>
      </c>
      <c r="E4199" t="s">
        <v>439</v>
      </c>
      <c r="F4199" t="s">
        <v>413</v>
      </c>
      <c r="G4199">
        <v>1084</v>
      </c>
      <c r="H4199">
        <v>1084</v>
      </c>
      <c r="I4199">
        <v>1057</v>
      </c>
      <c r="J4199">
        <v>1057</v>
      </c>
      <c r="K4199">
        <v>103</v>
      </c>
      <c r="L4199">
        <v>1</v>
      </c>
      <c r="M4199">
        <v>959</v>
      </c>
      <c r="N4199">
        <v>21</v>
      </c>
      <c r="O4199">
        <v>0</v>
      </c>
      <c r="P4199">
        <v>0</v>
      </c>
      <c r="Q4199">
        <v>0</v>
      </c>
    </row>
    <row r="4200" spans="1:17" x14ac:dyDescent="0.2">
      <c r="A4200" s="121">
        <v>40663</v>
      </c>
      <c r="B4200" t="s">
        <v>406</v>
      </c>
      <c r="C4200" t="s">
        <v>429</v>
      </c>
      <c r="D4200" t="s">
        <v>440</v>
      </c>
      <c r="E4200" t="s">
        <v>441</v>
      </c>
      <c r="F4200" t="s">
        <v>413</v>
      </c>
      <c r="G4200">
        <v>2878</v>
      </c>
      <c r="H4200">
        <v>2878</v>
      </c>
      <c r="I4200">
        <v>2737</v>
      </c>
      <c r="J4200">
        <v>2737</v>
      </c>
      <c r="K4200">
        <v>831</v>
      </c>
      <c r="L4200">
        <v>6</v>
      </c>
      <c r="M4200">
        <v>1954</v>
      </c>
      <c r="N4200">
        <v>87</v>
      </c>
      <c r="O4200">
        <v>0</v>
      </c>
      <c r="P4200">
        <v>1</v>
      </c>
      <c r="Q4200">
        <v>0</v>
      </c>
    </row>
    <row r="4201" spans="1:17" x14ac:dyDescent="0.2">
      <c r="A4201" s="121">
        <v>40663</v>
      </c>
      <c r="B4201" t="s">
        <v>406</v>
      </c>
      <c r="C4201" t="s">
        <v>442</v>
      </c>
      <c r="D4201" t="s">
        <v>443</v>
      </c>
      <c r="E4201" t="s">
        <v>444</v>
      </c>
      <c r="F4201" t="s">
        <v>413</v>
      </c>
      <c r="G4201">
        <v>2991</v>
      </c>
      <c r="H4201">
        <v>2991</v>
      </c>
      <c r="I4201">
        <v>2905</v>
      </c>
      <c r="J4201">
        <v>2905</v>
      </c>
      <c r="K4201">
        <v>266</v>
      </c>
      <c r="L4201">
        <v>4</v>
      </c>
      <c r="M4201">
        <v>2333</v>
      </c>
      <c r="N4201">
        <v>192</v>
      </c>
      <c r="O4201">
        <v>196</v>
      </c>
      <c r="P4201">
        <v>7</v>
      </c>
      <c r="Q4201">
        <v>0</v>
      </c>
    </row>
    <row r="4202" spans="1:17" x14ac:dyDescent="0.2">
      <c r="A4202" s="121">
        <v>40663</v>
      </c>
      <c r="B4202" t="s">
        <v>406</v>
      </c>
      <c r="C4202" t="s">
        <v>442</v>
      </c>
      <c r="D4202" t="s">
        <v>445</v>
      </c>
      <c r="E4202" t="s">
        <v>446</v>
      </c>
      <c r="F4202" t="s">
        <v>410</v>
      </c>
      <c r="G4202">
        <v>107</v>
      </c>
      <c r="I4202">
        <v>107</v>
      </c>
    </row>
    <row r="4203" spans="1:17" x14ac:dyDescent="0.2">
      <c r="A4203" s="121">
        <v>40663</v>
      </c>
      <c r="B4203" t="s">
        <v>406</v>
      </c>
      <c r="C4203" t="s">
        <v>442</v>
      </c>
      <c r="D4203" t="s">
        <v>447</v>
      </c>
      <c r="E4203" t="s">
        <v>448</v>
      </c>
      <c r="F4203" t="s">
        <v>410</v>
      </c>
      <c r="G4203">
        <v>443</v>
      </c>
      <c r="I4203">
        <v>443</v>
      </c>
    </row>
    <row r="4204" spans="1:17" x14ac:dyDescent="0.2">
      <c r="A4204" s="121">
        <v>40663</v>
      </c>
      <c r="B4204" t="s">
        <v>406</v>
      </c>
      <c r="C4204" t="s">
        <v>442</v>
      </c>
      <c r="D4204" t="s">
        <v>449</v>
      </c>
      <c r="E4204" t="s">
        <v>450</v>
      </c>
      <c r="F4204" t="s">
        <v>413</v>
      </c>
      <c r="G4204">
        <v>4397</v>
      </c>
      <c r="H4204">
        <v>4397</v>
      </c>
      <c r="I4204">
        <v>3714</v>
      </c>
      <c r="J4204">
        <v>3714</v>
      </c>
      <c r="K4204">
        <v>934</v>
      </c>
      <c r="L4204">
        <v>7</v>
      </c>
      <c r="M4204">
        <v>3170</v>
      </c>
      <c r="N4204">
        <v>208</v>
      </c>
      <c r="O4204">
        <v>78</v>
      </c>
      <c r="P4204">
        <v>137</v>
      </c>
      <c r="Q4204">
        <v>49</v>
      </c>
    </row>
    <row r="4205" spans="1:17" x14ac:dyDescent="0.2">
      <c r="A4205" s="121">
        <v>40663</v>
      </c>
      <c r="B4205" t="s">
        <v>406</v>
      </c>
      <c r="C4205" t="s">
        <v>451</v>
      </c>
      <c r="D4205" t="s">
        <v>452</v>
      </c>
      <c r="E4205" t="s">
        <v>453</v>
      </c>
      <c r="F4205" t="s">
        <v>410</v>
      </c>
      <c r="G4205">
        <v>1462</v>
      </c>
      <c r="H4205">
        <v>1462</v>
      </c>
      <c r="I4205">
        <v>1462</v>
      </c>
      <c r="J4205">
        <v>1462</v>
      </c>
      <c r="K4205">
        <v>0</v>
      </c>
      <c r="L4205">
        <v>0</v>
      </c>
      <c r="M4205">
        <v>1158</v>
      </c>
      <c r="N4205">
        <v>90</v>
      </c>
      <c r="O4205">
        <v>214</v>
      </c>
      <c r="P4205">
        <v>0</v>
      </c>
      <c r="Q4205">
        <v>0</v>
      </c>
    </row>
    <row r="4206" spans="1:17" x14ac:dyDescent="0.2">
      <c r="A4206" s="121">
        <v>40663</v>
      </c>
      <c r="B4206" t="s">
        <v>406</v>
      </c>
      <c r="C4206" t="s">
        <v>451</v>
      </c>
      <c r="D4206" t="s">
        <v>454</v>
      </c>
      <c r="E4206" t="s">
        <v>455</v>
      </c>
      <c r="F4206" t="s">
        <v>413</v>
      </c>
      <c r="G4206">
        <v>4892</v>
      </c>
      <c r="H4206">
        <v>4892</v>
      </c>
      <c r="I4206">
        <v>4591</v>
      </c>
      <c r="J4206">
        <v>4591</v>
      </c>
      <c r="K4206">
        <v>1280</v>
      </c>
      <c r="L4206">
        <v>11</v>
      </c>
      <c r="M4206">
        <v>2674</v>
      </c>
      <c r="N4206">
        <v>59</v>
      </c>
      <c r="O4206">
        <v>868</v>
      </c>
      <c r="P4206">
        <v>7</v>
      </c>
      <c r="Q4206">
        <v>0</v>
      </c>
    </row>
    <row r="4207" spans="1:17" x14ac:dyDescent="0.2">
      <c r="A4207" s="121">
        <v>40663</v>
      </c>
      <c r="B4207" t="s">
        <v>406</v>
      </c>
      <c r="C4207" t="s">
        <v>456</v>
      </c>
      <c r="D4207" t="s">
        <v>457</v>
      </c>
      <c r="E4207" t="s">
        <v>458</v>
      </c>
      <c r="F4207" t="s">
        <v>413</v>
      </c>
      <c r="G4207">
        <v>5325</v>
      </c>
      <c r="H4207">
        <v>5325</v>
      </c>
      <c r="I4207">
        <v>5216</v>
      </c>
      <c r="J4207">
        <v>5216</v>
      </c>
      <c r="K4207">
        <v>1320</v>
      </c>
      <c r="L4207">
        <v>13</v>
      </c>
      <c r="M4207">
        <v>3878</v>
      </c>
      <c r="N4207">
        <v>71</v>
      </c>
      <c r="O4207">
        <v>43</v>
      </c>
      <c r="P4207">
        <v>11</v>
      </c>
      <c r="Q4207">
        <v>0</v>
      </c>
    </row>
    <row r="4208" spans="1:17" x14ac:dyDescent="0.2">
      <c r="A4208" s="121">
        <v>40663</v>
      </c>
      <c r="B4208" t="s">
        <v>406</v>
      </c>
      <c r="C4208" t="s">
        <v>456</v>
      </c>
      <c r="D4208" t="s">
        <v>459</v>
      </c>
      <c r="E4208" t="s">
        <v>460</v>
      </c>
      <c r="F4208" t="s">
        <v>413</v>
      </c>
      <c r="G4208">
        <v>1708</v>
      </c>
      <c r="H4208">
        <v>1708</v>
      </c>
      <c r="I4208">
        <v>1690</v>
      </c>
      <c r="J4208">
        <v>1690</v>
      </c>
      <c r="K4208">
        <v>432</v>
      </c>
      <c r="L4208">
        <v>0</v>
      </c>
      <c r="M4208">
        <v>1276</v>
      </c>
      <c r="N4208">
        <v>0</v>
      </c>
      <c r="O4208">
        <v>0</v>
      </c>
      <c r="P4208">
        <v>0</v>
      </c>
      <c r="Q4208">
        <v>0</v>
      </c>
    </row>
    <row r="4209" spans="1:17" x14ac:dyDescent="0.2">
      <c r="A4209" s="121">
        <v>40663</v>
      </c>
      <c r="B4209" t="s">
        <v>406</v>
      </c>
      <c r="C4209" t="s">
        <v>456</v>
      </c>
      <c r="D4209" t="s">
        <v>461</v>
      </c>
      <c r="E4209" t="s">
        <v>462</v>
      </c>
      <c r="F4209" t="s">
        <v>410</v>
      </c>
      <c r="G4209">
        <v>121</v>
      </c>
      <c r="I4209">
        <v>121</v>
      </c>
    </row>
    <row r="4210" spans="1:17" x14ac:dyDescent="0.2">
      <c r="A4210" s="121">
        <v>40663</v>
      </c>
      <c r="B4210" t="s">
        <v>406</v>
      </c>
      <c r="C4210" t="s">
        <v>456</v>
      </c>
      <c r="D4210" t="s">
        <v>463</v>
      </c>
      <c r="E4210" t="s">
        <v>464</v>
      </c>
      <c r="F4210" t="s">
        <v>410</v>
      </c>
      <c r="G4210">
        <v>34</v>
      </c>
      <c r="I4210">
        <v>34</v>
      </c>
    </row>
    <row r="4211" spans="1:17" x14ac:dyDescent="0.2">
      <c r="A4211" s="121">
        <v>40663</v>
      </c>
      <c r="B4211" t="s">
        <v>406</v>
      </c>
      <c r="C4211" t="s">
        <v>456</v>
      </c>
      <c r="D4211" t="s">
        <v>465</v>
      </c>
      <c r="E4211" t="s">
        <v>466</v>
      </c>
      <c r="F4211" t="s">
        <v>410</v>
      </c>
      <c r="G4211">
        <v>60</v>
      </c>
      <c r="I4211">
        <v>60</v>
      </c>
    </row>
    <row r="4212" spans="1:17" x14ac:dyDescent="0.2">
      <c r="A4212" s="121">
        <v>40663</v>
      </c>
      <c r="B4212" t="s">
        <v>406</v>
      </c>
      <c r="C4212" t="s">
        <v>456</v>
      </c>
      <c r="D4212" t="s">
        <v>467</v>
      </c>
      <c r="E4212" t="s">
        <v>468</v>
      </c>
      <c r="F4212" t="s">
        <v>410</v>
      </c>
      <c r="G4212">
        <v>1195</v>
      </c>
      <c r="I4212">
        <v>1190</v>
      </c>
    </row>
    <row r="4213" spans="1:17" x14ac:dyDescent="0.2">
      <c r="A4213" s="121">
        <v>40663</v>
      </c>
      <c r="B4213" t="s">
        <v>406</v>
      </c>
      <c r="C4213" t="s">
        <v>456</v>
      </c>
      <c r="D4213" t="s">
        <v>469</v>
      </c>
      <c r="E4213" t="s">
        <v>470</v>
      </c>
      <c r="F4213" t="s">
        <v>410</v>
      </c>
      <c r="G4213">
        <v>778</v>
      </c>
      <c r="I4213">
        <v>778</v>
      </c>
    </row>
    <row r="4214" spans="1:17" x14ac:dyDescent="0.2">
      <c r="A4214" s="121">
        <v>40663</v>
      </c>
      <c r="B4214" t="s">
        <v>406</v>
      </c>
      <c r="C4214" t="s">
        <v>456</v>
      </c>
      <c r="D4214" t="s">
        <v>471</v>
      </c>
      <c r="E4214" t="s">
        <v>472</v>
      </c>
      <c r="F4214" t="s">
        <v>410</v>
      </c>
      <c r="G4214">
        <v>288</v>
      </c>
      <c r="I4214">
        <v>286</v>
      </c>
    </row>
    <row r="4215" spans="1:17" x14ac:dyDescent="0.2">
      <c r="A4215" s="121">
        <v>40663</v>
      </c>
      <c r="B4215" t="s">
        <v>406</v>
      </c>
      <c r="C4215" t="s">
        <v>456</v>
      </c>
      <c r="D4215" t="s">
        <v>473</v>
      </c>
      <c r="E4215" t="s">
        <v>474</v>
      </c>
      <c r="F4215" t="s">
        <v>410</v>
      </c>
      <c r="G4215">
        <v>209</v>
      </c>
      <c r="I4215">
        <v>209</v>
      </c>
    </row>
    <row r="4216" spans="1:17" x14ac:dyDescent="0.2">
      <c r="A4216" s="121">
        <v>40663</v>
      </c>
      <c r="B4216" t="s">
        <v>406</v>
      </c>
      <c r="C4216" t="s">
        <v>456</v>
      </c>
      <c r="D4216" t="s">
        <v>475</v>
      </c>
      <c r="E4216" t="s">
        <v>476</v>
      </c>
      <c r="F4216" t="s">
        <v>410</v>
      </c>
      <c r="G4216">
        <v>358</v>
      </c>
      <c r="I4216">
        <v>358</v>
      </c>
    </row>
    <row r="4217" spans="1:17" x14ac:dyDescent="0.2">
      <c r="A4217" s="121">
        <v>40663</v>
      </c>
      <c r="B4217" t="s">
        <v>406</v>
      </c>
      <c r="C4217" t="s">
        <v>456</v>
      </c>
      <c r="D4217" t="s">
        <v>477</v>
      </c>
      <c r="E4217" t="s">
        <v>478</v>
      </c>
      <c r="F4217" t="s">
        <v>413</v>
      </c>
      <c r="G4217">
        <v>2081</v>
      </c>
      <c r="H4217">
        <v>2081</v>
      </c>
      <c r="I4217">
        <v>1984</v>
      </c>
      <c r="J4217">
        <v>1984</v>
      </c>
      <c r="K4217">
        <v>439</v>
      </c>
      <c r="L4217">
        <v>4</v>
      </c>
      <c r="M4217">
        <v>1587</v>
      </c>
      <c r="N4217">
        <v>25</v>
      </c>
      <c r="O4217">
        <v>26</v>
      </c>
      <c r="P4217">
        <v>7</v>
      </c>
      <c r="Q4217">
        <v>2</v>
      </c>
    </row>
    <row r="4218" spans="1:17" x14ac:dyDescent="0.2">
      <c r="A4218" s="121">
        <v>40663</v>
      </c>
      <c r="B4218" t="s">
        <v>406</v>
      </c>
      <c r="C4218" t="s">
        <v>456</v>
      </c>
      <c r="D4218" t="s">
        <v>479</v>
      </c>
      <c r="E4218" t="s">
        <v>480</v>
      </c>
      <c r="F4218" t="s">
        <v>410</v>
      </c>
      <c r="G4218">
        <v>82</v>
      </c>
      <c r="I4218">
        <v>82</v>
      </c>
    </row>
    <row r="4219" spans="1:17" x14ac:dyDescent="0.2">
      <c r="A4219" s="121">
        <v>40663</v>
      </c>
      <c r="B4219" t="s">
        <v>406</v>
      </c>
      <c r="C4219" t="s">
        <v>456</v>
      </c>
      <c r="D4219" t="s">
        <v>481</v>
      </c>
      <c r="E4219" t="s">
        <v>482</v>
      </c>
      <c r="F4219" t="s">
        <v>410</v>
      </c>
      <c r="G4219">
        <v>37</v>
      </c>
      <c r="I4219">
        <v>37</v>
      </c>
    </row>
    <row r="4220" spans="1:17" x14ac:dyDescent="0.2">
      <c r="A4220" s="121">
        <v>40663</v>
      </c>
      <c r="B4220" t="s">
        <v>406</v>
      </c>
      <c r="C4220" t="s">
        <v>456</v>
      </c>
      <c r="D4220" t="s">
        <v>483</v>
      </c>
      <c r="E4220" t="s">
        <v>484</v>
      </c>
      <c r="F4220" t="s">
        <v>410</v>
      </c>
      <c r="G4220">
        <v>88</v>
      </c>
      <c r="I4220">
        <v>88</v>
      </c>
    </row>
    <row r="4221" spans="1:17" x14ac:dyDescent="0.2">
      <c r="A4221" s="121">
        <v>40663</v>
      </c>
      <c r="B4221" t="s">
        <v>406</v>
      </c>
      <c r="C4221" t="s">
        <v>456</v>
      </c>
      <c r="D4221" t="s">
        <v>485</v>
      </c>
      <c r="E4221" t="s">
        <v>486</v>
      </c>
      <c r="F4221" t="s">
        <v>410</v>
      </c>
      <c r="G4221">
        <v>44</v>
      </c>
      <c r="I4221">
        <v>44</v>
      </c>
    </row>
    <row r="4222" spans="1:17" x14ac:dyDescent="0.2">
      <c r="A4222" s="121">
        <v>40663</v>
      </c>
      <c r="B4222" t="s">
        <v>406</v>
      </c>
      <c r="C4222" t="s">
        <v>456</v>
      </c>
      <c r="D4222" t="s">
        <v>487</v>
      </c>
      <c r="E4222" t="s">
        <v>488</v>
      </c>
      <c r="F4222" t="s">
        <v>410</v>
      </c>
      <c r="G4222">
        <v>23</v>
      </c>
      <c r="I4222">
        <v>23</v>
      </c>
    </row>
    <row r="4223" spans="1:17" x14ac:dyDescent="0.2">
      <c r="A4223" s="121">
        <v>40663</v>
      </c>
      <c r="B4223" t="s">
        <v>406</v>
      </c>
      <c r="C4223" t="s">
        <v>456</v>
      </c>
      <c r="D4223" t="s">
        <v>489</v>
      </c>
      <c r="E4223" t="s">
        <v>490</v>
      </c>
      <c r="F4223" t="s">
        <v>410</v>
      </c>
      <c r="G4223">
        <v>98</v>
      </c>
      <c r="H4223">
        <v>98</v>
      </c>
      <c r="I4223">
        <v>98</v>
      </c>
      <c r="J4223">
        <v>98</v>
      </c>
      <c r="K4223">
        <v>0</v>
      </c>
      <c r="L4223">
        <v>2</v>
      </c>
      <c r="M4223">
        <v>76</v>
      </c>
      <c r="N4223">
        <v>20</v>
      </c>
      <c r="O4223">
        <v>0</v>
      </c>
      <c r="P4223">
        <v>0</v>
      </c>
      <c r="Q4223">
        <v>0</v>
      </c>
    </row>
    <row r="4224" spans="1:17" x14ac:dyDescent="0.2">
      <c r="A4224" s="121">
        <v>40663</v>
      </c>
      <c r="B4224" t="s">
        <v>406</v>
      </c>
      <c r="C4224" t="s">
        <v>491</v>
      </c>
      <c r="D4224" t="s">
        <v>492</v>
      </c>
      <c r="E4224" t="s">
        <v>493</v>
      </c>
      <c r="F4224" t="s">
        <v>410</v>
      </c>
      <c r="G4224">
        <v>1198</v>
      </c>
      <c r="H4224">
        <v>1198</v>
      </c>
      <c r="I4224">
        <v>1183</v>
      </c>
      <c r="J4224">
        <v>1183</v>
      </c>
      <c r="K4224">
        <v>0</v>
      </c>
      <c r="L4224">
        <v>0</v>
      </c>
      <c r="M4224">
        <v>0</v>
      </c>
      <c r="N4224">
        <v>16</v>
      </c>
      <c r="O4224">
        <v>1182</v>
      </c>
      <c r="P4224">
        <v>1</v>
      </c>
      <c r="Q4224">
        <v>0</v>
      </c>
    </row>
    <row r="4225" spans="1:17" x14ac:dyDescent="0.2">
      <c r="A4225" s="121">
        <v>40663</v>
      </c>
      <c r="B4225" t="s">
        <v>406</v>
      </c>
      <c r="C4225" t="s">
        <v>491</v>
      </c>
      <c r="D4225" t="s">
        <v>494</v>
      </c>
      <c r="E4225" t="s">
        <v>495</v>
      </c>
      <c r="F4225" t="s">
        <v>413</v>
      </c>
      <c r="G4225">
        <v>2981</v>
      </c>
      <c r="H4225">
        <v>2981</v>
      </c>
      <c r="I4225">
        <v>2814</v>
      </c>
      <c r="J4225">
        <v>2814</v>
      </c>
      <c r="K4225">
        <v>0</v>
      </c>
      <c r="L4225">
        <v>0</v>
      </c>
      <c r="M4225">
        <v>8</v>
      </c>
      <c r="N4225">
        <v>16</v>
      </c>
      <c r="O4225">
        <v>2957</v>
      </c>
      <c r="P4225">
        <v>3</v>
      </c>
      <c r="Q4225">
        <v>0</v>
      </c>
    </row>
    <row r="4226" spans="1:17" x14ac:dyDescent="0.2">
      <c r="A4226" s="121">
        <v>40663</v>
      </c>
      <c r="B4226" t="s">
        <v>406</v>
      </c>
      <c r="C4226" t="s">
        <v>491</v>
      </c>
      <c r="D4226" t="s">
        <v>496</v>
      </c>
      <c r="E4226" t="s">
        <v>497</v>
      </c>
      <c r="F4226" t="s">
        <v>413</v>
      </c>
      <c r="G4226">
        <v>6296</v>
      </c>
      <c r="H4226">
        <v>6296</v>
      </c>
      <c r="I4226">
        <v>5796</v>
      </c>
      <c r="J4226">
        <v>5796</v>
      </c>
      <c r="K4226">
        <v>789</v>
      </c>
      <c r="L4226">
        <v>0</v>
      </c>
      <c r="M4226">
        <v>24</v>
      </c>
      <c r="N4226">
        <v>86</v>
      </c>
      <c r="O4226">
        <v>5397</v>
      </c>
      <c r="P4226">
        <v>13</v>
      </c>
      <c r="Q4226">
        <v>0</v>
      </c>
    </row>
    <row r="4227" spans="1:17" x14ac:dyDescent="0.2">
      <c r="A4227" s="121">
        <v>40663</v>
      </c>
      <c r="B4227" t="s">
        <v>406</v>
      </c>
      <c r="C4227" t="s">
        <v>491</v>
      </c>
      <c r="D4227" t="s">
        <v>498</v>
      </c>
      <c r="E4227" t="s">
        <v>499</v>
      </c>
      <c r="F4227" t="s">
        <v>413</v>
      </c>
      <c r="G4227">
        <v>7118</v>
      </c>
      <c r="H4227">
        <v>7118</v>
      </c>
      <c r="I4227">
        <v>6770</v>
      </c>
      <c r="J4227">
        <v>6770</v>
      </c>
      <c r="K4227">
        <v>1819</v>
      </c>
      <c r="L4227">
        <v>9</v>
      </c>
      <c r="M4227">
        <v>4780</v>
      </c>
      <c r="N4227">
        <v>132</v>
      </c>
      <c r="O4227">
        <v>378</v>
      </c>
      <c r="P4227">
        <v>5</v>
      </c>
      <c r="Q4227">
        <v>0</v>
      </c>
    </row>
    <row r="4228" spans="1:17" x14ac:dyDescent="0.2">
      <c r="A4228" s="121">
        <v>40663</v>
      </c>
      <c r="B4228" t="s">
        <v>406</v>
      </c>
      <c r="C4228" t="s">
        <v>491</v>
      </c>
      <c r="D4228" t="s">
        <v>500</v>
      </c>
      <c r="E4228" t="s">
        <v>620</v>
      </c>
      <c r="F4228" t="s">
        <v>410</v>
      </c>
      <c r="G4228">
        <v>1271</v>
      </c>
      <c r="H4228">
        <v>1271</v>
      </c>
      <c r="I4228">
        <v>1271</v>
      </c>
      <c r="J4228">
        <v>1271</v>
      </c>
      <c r="K4228">
        <v>6</v>
      </c>
      <c r="L4228">
        <v>0</v>
      </c>
      <c r="M4228">
        <v>1215</v>
      </c>
      <c r="N4228">
        <v>9</v>
      </c>
      <c r="O4228">
        <v>41</v>
      </c>
      <c r="P4228">
        <v>0</v>
      </c>
      <c r="Q4228">
        <v>0</v>
      </c>
    </row>
    <row r="4229" spans="1:17" x14ac:dyDescent="0.2">
      <c r="A4229" s="121">
        <v>40663</v>
      </c>
      <c r="B4229" t="s">
        <v>406</v>
      </c>
      <c r="C4229" t="s">
        <v>491</v>
      </c>
      <c r="D4229" t="s">
        <v>502</v>
      </c>
      <c r="E4229" t="s">
        <v>615</v>
      </c>
      <c r="F4229" t="s">
        <v>410</v>
      </c>
      <c r="G4229">
        <v>1538</v>
      </c>
      <c r="H4229">
        <v>1538</v>
      </c>
      <c r="I4229">
        <v>1538</v>
      </c>
      <c r="J4229">
        <v>1538</v>
      </c>
      <c r="K4229">
        <v>0</v>
      </c>
      <c r="L4229">
        <v>1</v>
      </c>
      <c r="M4229">
        <v>1496</v>
      </c>
      <c r="N4229">
        <v>3</v>
      </c>
      <c r="O4229">
        <v>38</v>
      </c>
      <c r="P4229">
        <v>0</v>
      </c>
      <c r="Q4229">
        <v>0</v>
      </c>
    </row>
    <row r="4230" spans="1:17" x14ac:dyDescent="0.2">
      <c r="A4230" s="121">
        <v>40663</v>
      </c>
      <c r="B4230" t="s">
        <v>406</v>
      </c>
      <c r="C4230" t="s">
        <v>491</v>
      </c>
      <c r="D4230" t="s">
        <v>502</v>
      </c>
      <c r="E4230" t="s">
        <v>503</v>
      </c>
      <c r="F4230" t="s">
        <v>413</v>
      </c>
      <c r="G4230">
        <v>5168</v>
      </c>
      <c r="H4230">
        <v>5168</v>
      </c>
      <c r="I4230">
        <v>4810</v>
      </c>
      <c r="J4230">
        <v>4810</v>
      </c>
      <c r="K4230">
        <v>1503</v>
      </c>
      <c r="L4230">
        <v>13</v>
      </c>
      <c r="M4230">
        <v>3469</v>
      </c>
      <c r="N4230">
        <v>114</v>
      </c>
      <c r="O4230">
        <v>69</v>
      </c>
      <c r="P4230">
        <v>17</v>
      </c>
      <c r="Q4230">
        <v>0</v>
      </c>
    </row>
    <row r="4231" spans="1:17" x14ac:dyDescent="0.2">
      <c r="A4231" s="121">
        <v>40663</v>
      </c>
      <c r="B4231" t="s">
        <v>406</v>
      </c>
      <c r="C4231" t="s">
        <v>491</v>
      </c>
      <c r="D4231" t="s">
        <v>504</v>
      </c>
      <c r="E4231" t="s">
        <v>505</v>
      </c>
      <c r="F4231" t="s">
        <v>413</v>
      </c>
      <c r="G4231">
        <v>4050</v>
      </c>
      <c r="H4231">
        <v>4050</v>
      </c>
      <c r="I4231">
        <v>3972</v>
      </c>
      <c r="J4231">
        <v>3972</v>
      </c>
      <c r="K4231">
        <v>1098</v>
      </c>
      <c r="L4231">
        <v>10</v>
      </c>
      <c r="M4231">
        <v>2780</v>
      </c>
      <c r="N4231">
        <v>92</v>
      </c>
      <c r="O4231">
        <v>70</v>
      </c>
      <c r="P4231">
        <v>1</v>
      </c>
      <c r="Q4231">
        <v>0</v>
      </c>
    </row>
    <row r="4232" spans="1:17" x14ac:dyDescent="0.2">
      <c r="A4232" s="121">
        <v>40663</v>
      </c>
      <c r="B4232" t="s">
        <v>406</v>
      </c>
      <c r="C4232" t="s">
        <v>491</v>
      </c>
      <c r="D4232" t="s">
        <v>506</v>
      </c>
      <c r="E4232" t="s">
        <v>507</v>
      </c>
      <c r="F4232" t="s">
        <v>413</v>
      </c>
      <c r="G4232">
        <v>3933</v>
      </c>
      <c r="H4232">
        <v>3933</v>
      </c>
      <c r="I4232">
        <v>3806</v>
      </c>
      <c r="J4232">
        <v>3806</v>
      </c>
      <c r="K4232">
        <v>532</v>
      </c>
      <c r="L4232">
        <v>0</v>
      </c>
      <c r="M4232">
        <v>3395</v>
      </c>
      <c r="N4232">
        <v>2</v>
      </c>
      <c r="O4232">
        <v>4</v>
      </c>
      <c r="P4232">
        <v>1</v>
      </c>
      <c r="Q4232">
        <v>0</v>
      </c>
    </row>
    <row r="4233" spans="1:17" x14ac:dyDescent="0.2">
      <c r="A4233" s="121">
        <v>40663</v>
      </c>
      <c r="B4233" t="s">
        <v>406</v>
      </c>
      <c r="C4233" t="s">
        <v>491</v>
      </c>
      <c r="D4233" t="s">
        <v>508</v>
      </c>
      <c r="E4233" t="s">
        <v>509</v>
      </c>
      <c r="F4233" t="s">
        <v>413</v>
      </c>
      <c r="G4233">
        <v>4863</v>
      </c>
      <c r="H4233">
        <v>4863</v>
      </c>
      <c r="I4233">
        <v>4493</v>
      </c>
      <c r="J4233">
        <v>4493</v>
      </c>
      <c r="K4233">
        <v>1421</v>
      </c>
      <c r="L4233">
        <v>7</v>
      </c>
      <c r="M4233">
        <v>2978</v>
      </c>
      <c r="N4233">
        <v>152</v>
      </c>
      <c r="O4233">
        <v>305</v>
      </c>
      <c r="P4233">
        <v>57</v>
      </c>
      <c r="Q4233">
        <v>0</v>
      </c>
    </row>
    <row r="4234" spans="1:17" x14ac:dyDescent="0.2">
      <c r="A4234" s="121">
        <v>40663</v>
      </c>
      <c r="B4234" t="s">
        <v>406</v>
      </c>
      <c r="C4234" t="s">
        <v>510</v>
      </c>
      <c r="D4234" t="s">
        <v>513</v>
      </c>
      <c r="E4234" t="s">
        <v>514</v>
      </c>
      <c r="F4234" t="s">
        <v>410</v>
      </c>
      <c r="G4234">
        <v>632</v>
      </c>
      <c r="I4234">
        <v>626</v>
      </c>
    </row>
    <row r="4235" spans="1:17" x14ac:dyDescent="0.2">
      <c r="A4235" s="121">
        <v>40663</v>
      </c>
      <c r="B4235" t="s">
        <v>406</v>
      </c>
      <c r="C4235" t="s">
        <v>510</v>
      </c>
      <c r="D4235" t="s">
        <v>515</v>
      </c>
      <c r="E4235" t="s">
        <v>516</v>
      </c>
      <c r="F4235" t="s">
        <v>410</v>
      </c>
      <c r="G4235">
        <v>97</v>
      </c>
      <c r="I4235">
        <v>95</v>
      </c>
    </row>
    <row r="4236" spans="1:17" x14ac:dyDescent="0.2">
      <c r="A4236" s="121">
        <v>40663</v>
      </c>
      <c r="B4236" t="s">
        <v>406</v>
      </c>
      <c r="C4236" t="s">
        <v>510</v>
      </c>
      <c r="D4236" t="s">
        <v>519</v>
      </c>
      <c r="E4236" t="s">
        <v>520</v>
      </c>
      <c r="F4236" t="s">
        <v>410</v>
      </c>
      <c r="G4236">
        <v>379</v>
      </c>
      <c r="I4236">
        <v>376</v>
      </c>
    </row>
    <row r="4237" spans="1:17" x14ac:dyDescent="0.2">
      <c r="A4237" s="121">
        <v>40663</v>
      </c>
      <c r="B4237" t="s">
        <v>406</v>
      </c>
      <c r="C4237" t="s">
        <v>510</v>
      </c>
      <c r="D4237" t="s">
        <v>521</v>
      </c>
      <c r="E4237" t="s">
        <v>522</v>
      </c>
      <c r="F4237" t="s">
        <v>410</v>
      </c>
      <c r="G4237">
        <v>71</v>
      </c>
      <c r="I4237">
        <v>69</v>
      </c>
    </row>
    <row r="4238" spans="1:17" x14ac:dyDescent="0.2">
      <c r="A4238" s="121">
        <v>40663</v>
      </c>
      <c r="B4238" t="s">
        <v>406</v>
      </c>
      <c r="C4238" t="s">
        <v>510</v>
      </c>
      <c r="D4238" t="s">
        <v>523</v>
      </c>
      <c r="E4238" t="s">
        <v>524</v>
      </c>
      <c r="F4238" t="s">
        <v>413</v>
      </c>
      <c r="G4238">
        <v>582</v>
      </c>
      <c r="I4238">
        <v>578</v>
      </c>
    </row>
    <row r="4239" spans="1:17" x14ac:dyDescent="0.2">
      <c r="A4239" s="121">
        <v>40663</v>
      </c>
      <c r="B4239" t="s">
        <v>406</v>
      </c>
      <c r="C4239" t="s">
        <v>510</v>
      </c>
      <c r="D4239" t="s">
        <v>525</v>
      </c>
      <c r="E4239" t="s">
        <v>526</v>
      </c>
      <c r="F4239" t="s">
        <v>410</v>
      </c>
      <c r="G4239">
        <v>486</v>
      </c>
      <c r="I4239">
        <v>478</v>
      </c>
    </row>
    <row r="4240" spans="1:17" x14ac:dyDescent="0.2">
      <c r="A4240" s="121">
        <v>40663</v>
      </c>
      <c r="B4240" t="s">
        <v>406</v>
      </c>
      <c r="C4240" t="s">
        <v>510</v>
      </c>
      <c r="D4240" t="s">
        <v>527</v>
      </c>
      <c r="E4240" t="s">
        <v>528</v>
      </c>
      <c r="F4240" t="s">
        <v>410</v>
      </c>
      <c r="G4240">
        <v>195</v>
      </c>
      <c r="I4240">
        <v>194</v>
      </c>
    </row>
    <row r="4241" spans="1:17" x14ac:dyDescent="0.2">
      <c r="A4241" s="121">
        <v>40663</v>
      </c>
      <c r="B4241" t="s">
        <v>406</v>
      </c>
      <c r="C4241" t="s">
        <v>510</v>
      </c>
      <c r="D4241" t="s">
        <v>529</v>
      </c>
      <c r="E4241" t="s">
        <v>530</v>
      </c>
      <c r="F4241" t="s">
        <v>413</v>
      </c>
      <c r="G4241">
        <v>516</v>
      </c>
      <c r="H4241">
        <v>516</v>
      </c>
      <c r="I4241">
        <v>511</v>
      </c>
      <c r="J4241">
        <v>511</v>
      </c>
      <c r="K4241">
        <v>135</v>
      </c>
      <c r="L4241">
        <v>0</v>
      </c>
      <c r="M4241">
        <v>380</v>
      </c>
      <c r="N4241">
        <v>1</v>
      </c>
      <c r="O4241">
        <v>0</v>
      </c>
      <c r="P4241">
        <v>0</v>
      </c>
      <c r="Q4241">
        <v>0</v>
      </c>
    </row>
    <row r="4242" spans="1:17" x14ac:dyDescent="0.2">
      <c r="A4242" s="121">
        <v>40663</v>
      </c>
      <c r="B4242" t="s">
        <v>406</v>
      </c>
      <c r="C4242" t="s">
        <v>510</v>
      </c>
      <c r="D4242" t="s">
        <v>531</v>
      </c>
      <c r="E4242" t="s">
        <v>532</v>
      </c>
      <c r="F4242" t="s">
        <v>410</v>
      </c>
      <c r="G4242">
        <v>45</v>
      </c>
      <c r="I4242">
        <v>45</v>
      </c>
    </row>
    <row r="4243" spans="1:17" x14ac:dyDescent="0.2">
      <c r="A4243" s="121">
        <v>40663</v>
      </c>
      <c r="B4243" t="s">
        <v>406</v>
      </c>
      <c r="C4243" t="s">
        <v>510</v>
      </c>
      <c r="D4243" t="s">
        <v>533</v>
      </c>
      <c r="E4243" t="s">
        <v>534</v>
      </c>
      <c r="F4243" t="s">
        <v>413</v>
      </c>
      <c r="G4243">
        <v>2773</v>
      </c>
      <c r="H4243">
        <v>2773</v>
      </c>
      <c r="I4243">
        <v>2723</v>
      </c>
      <c r="J4243">
        <v>2723</v>
      </c>
      <c r="K4243">
        <v>493</v>
      </c>
      <c r="L4243">
        <v>4</v>
      </c>
      <c r="M4243">
        <v>2272</v>
      </c>
      <c r="N4243">
        <v>4</v>
      </c>
      <c r="O4243">
        <v>0</v>
      </c>
      <c r="P4243">
        <v>2</v>
      </c>
      <c r="Q4243">
        <v>0</v>
      </c>
    </row>
    <row r="4244" spans="1:17" x14ac:dyDescent="0.2">
      <c r="A4244" s="121">
        <v>40663</v>
      </c>
      <c r="B4244" t="s">
        <v>406</v>
      </c>
      <c r="C4244" t="s">
        <v>510</v>
      </c>
      <c r="D4244" t="s">
        <v>535</v>
      </c>
      <c r="E4244" t="s">
        <v>536</v>
      </c>
      <c r="F4244" t="s">
        <v>410</v>
      </c>
      <c r="G4244">
        <v>340</v>
      </c>
      <c r="I4244">
        <v>340</v>
      </c>
    </row>
    <row r="4245" spans="1:17" x14ac:dyDescent="0.2">
      <c r="A4245" s="121">
        <v>40663</v>
      </c>
      <c r="B4245" t="s">
        <v>406</v>
      </c>
      <c r="C4245" t="s">
        <v>510</v>
      </c>
      <c r="D4245" t="s">
        <v>537</v>
      </c>
      <c r="E4245" t="s">
        <v>538</v>
      </c>
      <c r="F4245" t="s">
        <v>410</v>
      </c>
      <c r="G4245">
        <v>88</v>
      </c>
      <c r="I4245">
        <v>88</v>
      </c>
    </row>
    <row r="4246" spans="1:17" x14ac:dyDescent="0.2">
      <c r="A4246" s="121">
        <v>40663</v>
      </c>
      <c r="B4246" t="s">
        <v>406</v>
      </c>
      <c r="C4246" t="s">
        <v>510</v>
      </c>
      <c r="D4246" t="s">
        <v>539</v>
      </c>
      <c r="E4246" t="s">
        <v>540</v>
      </c>
      <c r="F4246" t="s">
        <v>413</v>
      </c>
      <c r="G4246">
        <v>776</v>
      </c>
      <c r="H4246">
        <v>776</v>
      </c>
      <c r="I4246">
        <v>761</v>
      </c>
      <c r="J4246">
        <v>761</v>
      </c>
      <c r="K4246">
        <v>0</v>
      </c>
      <c r="L4246">
        <v>0</v>
      </c>
      <c r="M4246">
        <v>13</v>
      </c>
      <c r="N4246">
        <v>0</v>
      </c>
      <c r="O4246">
        <v>763</v>
      </c>
      <c r="P4246">
        <v>0</v>
      </c>
      <c r="Q4246">
        <v>0</v>
      </c>
    </row>
    <row r="4247" spans="1:17" x14ac:dyDescent="0.2">
      <c r="A4247" s="121">
        <v>40663</v>
      </c>
      <c r="B4247" t="s">
        <v>406</v>
      </c>
      <c r="C4247" t="s">
        <v>510</v>
      </c>
      <c r="D4247" t="s">
        <v>541</v>
      </c>
      <c r="E4247" t="s">
        <v>542</v>
      </c>
      <c r="F4247" t="s">
        <v>410</v>
      </c>
      <c r="G4247">
        <v>406</v>
      </c>
      <c r="I4247">
        <v>406</v>
      </c>
    </row>
    <row r="4248" spans="1:17" x14ac:dyDescent="0.2">
      <c r="A4248" s="121">
        <v>40663</v>
      </c>
      <c r="B4248" t="s">
        <v>406</v>
      </c>
      <c r="C4248" t="s">
        <v>510</v>
      </c>
      <c r="D4248" t="s">
        <v>543</v>
      </c>
      <c r="E4248" t="s">
        <v>544</v>
      </c>
      <c r="F4248" t="s">
        <v>410</v>
      </c>
      <c r="G4248">
        <v>293</v>
      </c>
      <c r="I4248">
        <v>293</v>
      </c>
    </row>
    <row r="4249" spans="1:17" x14ac:dyDescent="0.2">
      <c r="A4249" s="121">
        <v>40663</v>
      </c>
      <c r="B4249" t="s">
        <v>406</v>
      </c>
      <c r="C4249" t="s">
        <v>510</v>
      </c>
      <c r="D4249" t="s">
        <v>545</v>
      </c>
      <c r="E4249" t="s">
        <v>546</v>
      </c>
      <c r="F4249" t="s">
        <v>410</v>
      </c>
      <c r="G4249">
        <v>142</v>
      </c>
      <c r="I4249">
        <v>142</v>
      </c>
    </row>
    <row r="4250" spans="1:17" x14ac:dyDescent="0.2">
      <c r="A4250" s="121">
        <v>40663</v>
      </c>
      <c r="B4250" t="s">
        <v>406</v>
      </c>
      <c r="C4250" t="s">
        <v>510</v>
      </c>
      <c r="D4250" t="s">
        <v>547</v>
      </c>
      <c r="E4250" t="s">
        <v>548</v>
      </c>
      <c r="F4250" t="s">
        <v>410</v>
      </c>
      <c r="G4250">
        <v>148</v>
      </c>
      <c r="I4250">
        <v>147</v>
      </c>
    </row>
    <row r="4251" spans="1:17" x14ac:dyDescent="0.2">
      <c r="A4251" s="121">
        <v>40663</v>
      </c>
      <c r="B4251" t="s">
        <v>406</v>
      </c>
      <c r="C4251" t="s">
        <v>510</v>
      </c>
      <c r="D4251" t="s">
        <v>616</v>
      </c>
      <c r="E4251" t="s">
        <v>617</v>
      </c>
      <c r="F4251" t="s">
        <v>410</v>
      </c>
      <c r="G4251">
        <v>320</v>
      </c>
      <c r="I4251">
        <v>318</v>
      </c>
    </row>
    <row r="4252" spans="1:17" x14ac:dyDescent="0.2">
      <c r="A4252" s="121">
        <v>40663</v>
      </c>
      <c r="B4252" t="s">
        <v>406</v>
      </c>
      <c r="C4252" t="s">
        <v>510</v>
      </c>
      <c r="D4252" t="s">
        <v>549</v>
      </c>
      <c r="E4252" t="s">
        <v>550</v>
      </c>
      <c r="F4252" t="s">
        <v>410</v>
      </c>
      <c r="G4252">
        <v>150</v>
      </c>
      <c r="I4252">
        <v>150</v>
      </c>
    </row>
    <row r="4253" spans="1:17" x14ac:dyDescent="0.2">
      <c r="A4253" s="121">
        <v>40663</v>
      </c>
      <c r="B4253" t="s">
        <v>406</v>
      </c>
      <c r="C4253" t="s">
        <v>551</v>
      </c>
      <c r="D4253" t="s">
        <v>552</v>
      </c>
      <c r="E4253" t="s">
        <v>553</v>
      </c>
      <c r="F4253" t="s">
        <v>413</v>
      </c>
      <c r="G4253">
        <v>5658</v>
      </c>
      <c r="H4253">
        <v>5658</v>
      </c>
      <c r="I4253">
        <v>5225</v>
      </c>
      <c r="J4253">
        <v>5225</v>
      </c>
      <c r="K4253">
        <v>1416</v>
      </c>
      <c r="L4253">
        <v>7</v>
      </c>
      <c r="M4253">
        <v>3834</v>
      </c>
      <c r="N4253">
        <v>192</v>
      </c>
      <c r="O4253">
        <v>209</v>
      </c>
      <c r="P4253">
        <v>26</v>
      </c>
      <c r="Q4253">
        <v>4</v>
      </c>
    </row>
    <row r="4254" spans="1:17" x14ac:dyDescent="0.2">
      <c r="A4254" s="121">
        <v>40663</v>
      </c>
      <c r="B4254" t="s">
        <v>406</v>
      </c>
      <c r="C4254" t="s">
        <v>551</v>
      </c>
      <c r="D4254" t="s">
        <v>554</v>
      </c>
      <c r="E4254" t="s">
        <v>555</v>
      </c>
      <c r="F4254" t="s">
        <v>410</v>
      </c>
      <c r="G4254">
        <v>54</v>
      </c>
      <c r="I4254">
        <v>54</v>
      </c>
    </row>
    <row r="4255" spans="1:17" x14ac:dyDescent="0.2">
      <c r="A4255" s="121">
        <v>40663</v>
      </c>
      <c r="B4255" t="s">
        <v>406</v>
      </c>
      <c r="C4255" t="s">
        <v>551</v>
      </c>
      <c r="D4255" t="s">
        <v>556</v>
      </c>
      <c r="E4255" t="s">
        <v>557</v>
      </c>
      <c r="F4255" t="s">
        <v>410</v>
      </c>
      <c r="G4255">
        <v>91</v>
      </c>
      <c r="I4255">
        <v>91</v>
      </c>
    </row>
    <row r="4256" spans="1:17" x14ac:dyDescent="0.2">
      <c r="A4256" s="121">
        <v>40663</v>
      </c>
      <c r="B4256" t="s">
        <v>406</v>
      </c>
      <c r="C4256" t="s">
        <v>551</v>
      </c>
      <c r="D4256" t="s">
        <v>558</v>
      </c>
      <c r="E4256" t="s">
        <v>559</v>
      </c>
      <c r="F4256" t="s">
        <v>413</v>
      </c>
      <c r="G4256">
        <v>4910</v>
      </c>
      <c r="H4256">
        <v>4910</v>
      </c>
      <c r="I4256">
        <v>4589</v>
      </c>
      <c r="J4256">
        <v>4589</v>
      </c>
      <c r="K4256">
        <v>1125</v>
      </c>
      <c r="L4256">
        <v>11</v>
      </c>
      <c r="M4256">
        <v>3459</v>
      </c>
      <c r="N4256">
        <v>167</v>
      </c>
      <c r="O4256">
        <v>148</v>
      </c>
      <c r="P4256">
        <v>35</v>
      </c>
      <c r="Q4256">
        <v>10</v>
      </c>
    </row>
    <row r="4257" spans="1:17" x14ac:dyDescent="0.2">
      <c r="A4257" s="121">
        <v>40663</v>
      </c>
      <c r="B4257" t="s">
        <v>406</v>
      </c>
      <c r="C4257" t="s">
        <v>551</v>
      </c>
      <c r="D4257" t="s">
        <v>560</v>
      </c>
      <c r="E4257" t="s">
        <v>561</v>
      </c>
      <c r="F4257" t="s">
        <v>413</v>
      </c>
      <c r="G4257">
        <v>5578</v>
      </c>
      <c r="H4257">
        <v>5578</v>
      </c>
      <c r="I4257">
        <v>5214</v>
      </c>
      <c r="J4257">
        <v>5214</v>
      </c>
      <c r="K4257">
        <v>1087</v>
      </c>
      <c r="L4257">
        <v>6</v>
      </c>
      <c r="M4257">
        <v>4139</v>
      </c>
      <c r="N4257">
        <v>230</v>
      </c>
      <c r="O4257">
        <v>116</v>
      </c>
      <c r="P4257">
        <v>20</v>
      </c>
      <c r="Q4257">
        <v>3</v>
      </c>
    </row>
    <row r="4258" spans="1:17" x14ac:dyDescent="0.2">
      <c r="A4258" s="121">
        <v>40663</v>
      </c>
      <c r="B4258" t="s">
        <v>406</v>
      </c>
      <c r="C4258" t="s">
        <v>562</v>
      </c>
      <c r="D4258" t="s">
        <v>603</v>
      </c>
      <c r="E4258" t="s">
        <v>604</v>
      </c>
      <c r="F4258" t="s">
        <v>410</v>
      </c>
      <c r="G4258">
        <v>20</v>
      </c>
      <c r="I4258">
        <v>20</v>
      </c>
    </row>
    <row r="4259" spans="1:17" x14ac:dyDescent="0.2">
      <c r="A4259" s="121">
        <v>40663</v>
      </c>
      <c r="B4259" t="s">
        <v>406</v>
      </c>
      <c r="C4259" t="s">
        <v>562</v>
      </c>
      <c r="D4259" t="s">
        <v>605</v>
      </c>
      <c r="E4259" t="s">
        <v>606</v>
      </c>
      <c r="F4259" t="s">
        <v>410</v>
      </c>
      <c r="G4259">
        <v>150</v>
      </c>
      <c r="I4259">
        <v>150</v>
      </c>
    </row>
    <row r="4260" spans="1:17" x14ac:dyDescent="0.2">
      <c r="A4260" s="121">
        <v>40663</v>
      </c>
      <c r="B4260" t="s">
        <v>406</v>
      </c>
      <c r="C4260" t="s">
        <v>562</v>
      </c>
      <c r="D4260" t="s">
        <v>563</v>
      </c>
      <c r="E4260" t="s">
        <v>564</v>
      </c>
      <c r="F4260" t="s">
        <v>410</v>
      </c>
      <c r="G4260">
        <v>3231</v>
      </c>
      <c r="H4260">
        <v>3231</v>
      </c>
      <c r="I4260">
        <v>3133</v>
      </c>
      <c r="J4260">
        <v>3133</v>
      </c>
      <c r="K4260">
        <v>1122</v>
      </c>
      <c r="L4260">
        <v>1</v>
      </c>
      <c r="M4260">
        <v>2075</v>
      </c>
      <c r="N4260">
        <v>33</v>
      </c>
      <c r="O4260">
        <v>0</v>
      </c>
      <c r="P4260">
        <v>5</v>
      </c>
      <c r="Q4260">
        <v>0</v>
      </c>
    </row>
    <row r="4261" spans="1:17" x14ac:dyDescent="0.2">
      <c r="A4261" s="121">
        <v>40663</v>
      </c>
      <c r="B4261" t="s">
        <v>406</v>
      </c>
      <c r="C4261" t="s">
        <v>562</v>
      </c>
      <c r="D4261" t="s">
        <v>565</v>
      </c>
      <c r="E4261" t="s">
        <v>566</v>
      </c>
      <c r="F4261" t="s">
        <v>413</v>
      </c>
      <c r="G4261">
        <v>4419</v>
      </c>
      <c r="H4261">
        <v>4419</v>
      </c>
      <c r="I4261">
        <v>4298</v>
      </c>
      <c r="J4261">
        <v>4298</v>
      </c>
      <c r="K4261">
        <v>996</v>
      </c>
      <c r="L4261">
        <v>4</v>
      </c>
      <c r="M4261">
        <v>3262</v>
      </c>
      <c r="N4261">
        <v>157</v>
      </c>
      <c r="O4261">
        <v>0</v>
      </c>
      <c r="P4261">
        <v>18</v>
      </c>
      <c r="Q4261">
        <v>2</v>
      </c>
    </row>
    <row r="4262" spans="1:17" x14ac:dyDescent="0.2">
      <c r="A4262" s="121">
        <v>40663</v>
      </c>
      <c r="B4262" t="s">
        <v>406</v>
      </c>
      <c r="C4262" t="s">
        <v>562</v>
      </c>
      <c r="D4262" t="s">
        <v>567</v>
      </c>
      <c r="E4262" t="s">
        <v>568</v>
      </c>
      <c r="F4262" t="s">
        <v>413</v>
      </c>
      <c r="G4262">
        <v>9187</v>
      </c>
      <c r="H4262">
        <v>9187</v>
      </c>
      <c r="I4262">
        <v>8793</v>
      </c>
      <c r="J4262">
        <v>8793</v>
      </c>
      <c r="K4262">
        <v>2735</v>
      </c>
      <c r="L4262">
        <v>17</v>
      </c>
      <c r="M4262">
        <v>5990</v>
      </c>
      <c r="N4262">
        <v>445</v>
      </c>
      <c r="O4262">
        <v>0</v>
      </c>
      <c r="P4262">
        <v>14</v>
      </c>
      <c r="Q4262">
        <v>0</v>
      </c>
    </row>
    <row r="4263" spans="1:17" x14ac:dyDescent="0.2">
      <c r="A4263" s="121">
        <v>40663</v>
      </c>
      <c r="B4263" t="s">
        <v>406</v>
      </c>
      <c r="C4263" t="s">
        <v>562</v>
      </c>
      <c r="D4263" t="s">
        <v>569</v>
      </c>
      <c r="E4263" t="s">
        <v>570</v>
      </c>
      <c r="F4263" t="s">
        <v>413</v>
      </c>
      <c r="G4263">
        <v>3527</v>
      </c>
      <c r="H4263">
        <v>3527</v>
      </c>
      <c r="I4263">
        <v>3507</v>
      </c>
      <c r="J4263">
        <v>3507</v>
      </c>
      <c r="K4263">
        <v>452</v>
      </c>
      <c r="L4263">
        <v>0</v>
      </c>
      <c r="M4263">
        <v>3074</v>
      </c>
      <c r="N4263">
        <v>1</v>
      </c>
      <c r="O4263">
        <v>0</v>
      </c>
      <c r="P4263">
        <v>1</v>
      </c>
      <c r="Q4263">
        <v>0</v>
      </c>
    </row>
    <row r="4264" spans="1:17" x14ac:dyDescent="0.2">
      <c r="A4264" s="121">
        <v>40663</v>
      </c>
      <c r="B4264" t="s">
        <v>406</v>
      </c>
      <c r="C4264" t="s">
        <v>571</v>
      </c>
      <c r="D4264" t="s">
        <v>572</v>
      </c>
      <c r="E4264" t="s">
        <v>573</v>
      </c>
      <c r="F4264" t="s">
        <v>410</v>
      </c>
      <c r="G4264">
        <v>262</v>
      </c>
      <c r="I4264">
        <v>260</v>
      </c>
    </row>
    <row r="4265" spans="1:17" x14ac:dyDescent="0.2">
      <c r="A4265" s="121">
        <v>40663</v>
      </c>
      <c r="B4265" t="s">
        <v>406</v>
      </c>
      <c r="C4265" t="s">
        <v>574</v>
      </c>
      <c r="D4265" t="s">
        <v>575</v>
      </c>
      <c r="E4265" t="s">
        <v>576</v>
      </c>
      <c r="F4265" t="s">
        <v>413</v>
      </c>
      <c r="G4265">
        <v>729</v>
      </c>
      <c r="H4265">
        <v>729</v>
      </c>
      <c r="I4265">
        <v>726</v>
      </c>
      <c r="J4265">
        <v>726</v>
      </c>
      <c r="K4265">
        <v>189</v>
      </c>
      <c r="L4265">
        <v>1</v>
      </c>
      <c r="M4265">
        <v>484</v>
      </c>
      <c r="N4265">
        <v>3</v>
      </c>
      <c r="O4265">
        <v>52</v>
      </c>
      <c r="P4265">
        <v>1</v>
      </c>
      <c r="Q4265">
        <v>0</v>
      </c>
    </row>
    <row r="4266" spans="1:17" x14ac:dyDescent="0.2">
      <c r="A4266" s="121">
        <v>40663</v>
      </c>
      <c r="B4266" t="s">
        <v>406</v>
      </c>
      <c r="C4266" t="s">
        <v>577</v>
      </c>
      <c r="D4266" t="s">
        <v>578</v>
      </c>
      <c r="E4266" t="s">
        <v>579</v>
      </c>
      <c r="F4266" t="s">
        <v>413</v>
      </c>
      <c r="G4266">
        <v>4302</v>
      </c>
      <c r="H4266">
        <v>4302</v>
      </c>
      <c r="I4266">
        <v>4196</v>
      </c>
      <c r="J4266">
        <v>4196</v>
      </c>
      <c r="K4266">
        <v>964</v>
      </c>
      <c r="L4266">
        <v>16</v>
      </c>
      <c r="M4266">
        <v>3096</v>
      </c>
      <c r="N4266">
        <v>223</v>
      </c>
      <c r="O4266">
        <v>3</v>
      </c>
      <c r="P4266">
        <v>3</v>
      </c>
      <c r="Q4266">
        <v>0</v>
      </c>
    </row>
    <row r="4267" spans="1:17" x14ac:dyDescent="0.2">
      <c r="A4267" s="121">
        <v>40663</v>
      </c>
      <c r="B4267" t="s">
        <v>406</v>
      </c>
      <c r="C4267" t="s">
        <v>577</v>
      </c>
      <c r="D4267" t="s">
        <v>580</v>
      </c>
      <c r="E4267" t="s">
        <v>581</v>
      </c>
      <c r="F4267" t="s">
        <v>413</v>
      </c>
      <c r="G4267">
        <v>2232</v>
      </c>
      <c r="H4267">
        <v>2232</v>
      </c>
      <c r="I4267">
        <v>2208</v>
      </c>
      <c r="J4267">
        <v>2208</v>
      </c>
      <c r="K4267">
        <v>304</v>
      </c>
      <c r="L4267">
        <v>0</v>
      </c>
      <c r="M4267">
        <v>1562</v>
      </c>
      <c r="N4267">
        <v>293</v>
      </c>
      <c r="O4267">
        <v>73</v>
      </c>
      <c r="P4267">
        <v>0</v>
      </c>
      <c r="Q4267">
        <v>0</v>
      </c>
    </row>
    <row r="4268" spans="1:17" x14ac:dyDescent="0.2">
      <c r="A4268" s="121">
        <v>40663</v>
      </c>
      <c r="B4268" t="s">
        <v>406</v>
      </c>
      <c r="C4268" t="s">
        <v>577</v>
      </c>
      <c r="D4268" t="s">
        <v>609</v>
      </c>
      <c r="E4268" t="s">
        <v>610</v>
      </c>
      <c r="F4268" t="s">
        <v>410</v>
      </c>
      <c r="G4268">
        <v>26</v>
      </c>
      <c r="H4268">
        <v>26</v>
      </c>
      <c r="I4268">
        <v>26</v>
      </c>
      <c r="J4268">
        <v>26</v>
      </c>
      <c r="K4268">
        <v>0</v>
      </c>
      <c r="L4268">
        <v>0</v>
      </c>
      <c r="M4268">
        <v>21</v>
      </c>
      <c r="N4268">
        <v>5</v>
      </c>
      <c r="O4268">
        <v>0</v>
      </c>
      <c r="P4268">
        <v>0</v>
      </c>
      <c r="Q4268">
        <v>0</v>
      </c>
    </row>
    <row r="4269" spans="1:17" x14ac:dyDescent="0.2">
      <c r="A4269" s="121">
        <v>40663</v>
      </c>
      <c r="B4269" t="s">
        <v>406</v>
      </c>
      <c r="C4269" t="s">
        <v>577</v>
      </c>
      <c r="D4269" t="s">
        <v>611</v>
      </c>
      <c r="E4269" t="s">
        <v>612</v>
      </c>
      <c r="F4269" t="s">
        <v>410</v>
      </c>
      <c r="G4269">
        <v>23</v>
      </c>
      <c r="H4269">
        <v>23</v>
      </c>
      <c r="I4269">
        <v>23</v>
      </c>
      <c r="J4269">
        <v>23</v>
      </c>
      <c r="K4269">
        <v>0</v>
      </c>
      <c r="L4269">
        <v>0</v>
      </c>
      <c r="M4269">
        <v>17</v>
      </c>
      <c r="N4269">
        <v>6</v>
      </c>
      <c r="O4269">
        <v>0</v>
      </c>
      <c r="P4269">
        <v>0</v>
      </c>
      <c r="Q4269">
        <v>0</v>
      </c>
    </row>
    <row r="4270" spans="1:17" x14ac:dyDescent="0.2">
      <c r="A4270" s="121">
        <v>40663</v>
      </c>
      <c r="B4270" t="s">
        <v>406</v>
      </c>
      <c r="C4270" t="s">
        <v>577</v>
      </c>
      <c r="D4270" t="s">
        <v>584</v>
      </c>
      <c r="E4270" t="s">
        <v>585</v>
      </c>
      <c r="F4270" t="s">
        <v>410</v>
      </c>
      <c r="G4270">
        <v>321</v>
      </c>
      <c r="H4270">
        <v>321</v>
      </c>
      <c r="I4270">
        <v>321</v>
      </c>
      <c r="J4270">
        <v>321</v>
      </c>
      <c r="K4270">
        <v>0</v>
      </c>
      <c r="L4270">
        <v>0</v>
      </c>
      <c r="M4270">
        <v>295</v>
      </c>
      <c r="N4270">
        <v>22</v>
      </c>
      <c r="O4270">
        <v>4</v>
      </c>
      <c r="P4270">
        <v>0</v>
      </c>
      <c r="Q4270">
        <v>0</v>
      </c>
    </row>
    <row r="4271" spans="1:17" x14ac:dyDescent="0.2">
      <c r="A4271" s="121">
        <v>40663</v>
      </c>
      <c r="B4271" t="s">
        <v>406</v>
      </c>
      <c r="C4271" t="s">
        <v>577</v>
      </c>
      <c r="D4271" t="s">
        <v>586</v>
      </c>
      <c r="E4271" t="s">
        <v>587</v>
      </c>
      <c r="F4271" t="s">
        <v>410</v>
      </c>
      <c r="G4271">
        <v>1400</v>
      </c>
      <c r="H4271">
        <v>1400</v>
      </c>
      <c r="I4271">
        <v>1399</v>
      </c>
      <c r="J4271">
        <v>1399</v>
      </c>
      <c r="K4271">
        <v>0</v>
      </c>
      <c r="L4271">
        <v>0</v>
      </c>
      <c r="M4271">
        <v>1114</v>
      </c>
      <c r="N4271">
        <v>208</v>
      </c>
      <c r="O4271">
        <v>78</v>
      </c>
      <c r="P4271">
        <v>0</v>
      </c>
      <c r="Q4271">
        <v>0</v>
      </c>
    </row>
    <row r="4272" spans="1:17" x14ac:dyDescent="0.2">
      <c r="A4272" s="121">
        <v>40663</v>
      </c>
      <c r="B4272" t="s">
        <v>406</v>
      </c>
      <c r="C4272" t="s">
        <v>577</v>
      </c>
      <c r="D4272" t="s">
        <v>588</v>
      </c>
      <c r="E4272" t="s">
        <v>589</v>
      </c>
      <c r="F4272" t="s">
        <v>410</v>
      </c>
      <c r="G4272">
        <v>306</v>
      </c>
      <c r="H4272">
        <v>306</v>
      </c>
      <c r="I4272">
        <v>306</v>
      </c>
      <c r="J4272">
        <v>306</v>
      </c>
      <c r="K4272">
        <v>0</v>
      </c>
      <c r="L4272">
        <v>0</v>
      </c>
      <c r="M4272">
        <v>264</v>
      </c>
      <c r="N4272">
        <v>31</v>
      </c>
      <c r="O4272">
        <v>11</v>
      </c>
      <c r="P4272">
        <v>0</v>
      </c>
      <c r="Q4272">
        <v>0</v>
      </c>
    </row>
    <row r="4273" spans="1:17" x14ac:dyDescent="0.2">
      <c r="A4273" s="121">
        <v>40663</v>
      </c>
      <c r="B4273" t="s">
        <v>406</v>
      </c>
      <c r="C4273" t="s">
        <v>577</v>
      </c>
      <c r="D4273" t="s">
        <v>613</v>
      </c>
      <c r="E4273" t="s">
        <v>614</v>
      </c>
      <c r="F4273" t="s">
        <v>410</v>
      </c>
      <c r="G4273">
        <v>232</v>
      </c>
      <c r="H4273">
        <v>232</v>
      </c>
      <c r="I4273">
        <v>232</v>
      </c>
      <c r="J4273">
        <v>232</v>
      </c>
      <c r="K4273">
        <v>0</v>
      </c>
      <c r="L4273">
        <v>0</v>
      </c>
      <c r="M4273">
        <v>178</v>
      </c>
      <c r="N4273">
        <v>46</v>
      </c>
      <c r="O4273">
        <v>8</v>
      </c>
      <c r="P4273">
        <v>0</v>
      </c>
      <c r="Q4273">
        <v>0</v>
      </c>
    </row>
    <row r="4274" spans="1:17" x14ac:dyDescent="0.2">
      <c r="A4274" s="121">
        <v>40663</v>
      </c>
      <c r="B4274" t="s">
        <v>406</v>
      </c>
      <c r="C4274" t="s">
        <v>577</v>
      </c>
      <c r="D4274" t="s">
        <v>590</v>
      </c>
      <c r="E4274" t="s">
        <v>591</v>
      </c>
      <c r="F4274" t="s">
        <v>410</v>
      </c>
      <c r="G4274">
        <v>750</v>
      </c>
      <c r="H4274">
        <v>750</v>
      </c>
      <c r="I4274">
        <v>749</v>
      </c>
      <c r="J4274">
        <v>749</v>
      </c>
      <c r="K4274">
        <v>0</v>
      </c>
      <c r="L4274">
        <v>0</v>
      </c>
      <c r="M4274">
        <v>685</v>
      </c>
      <c r="N4274">
        <v>39</v>
      </c>
      <c r="O4274">
        <v>26</v>
      </c>
      <c r="P4274">
        <v>0</v>
      </c>
      <c r="Q4274">
        <v>0</v>
      </c>
    </row>
    <row r="4275" spans="1:17" x14ac:dyDescent="0.2">
      <c r="A4275" s="121">
        <v>40663</v>
      </c>
      <c r="B4275" t="s">
        <v>406</v>
      </c>
      <c r="C4275" t="s">
        <v>577</v>
      </c>
      <c r="D4275" t="s">
        <v>607</v>
      </c>
      <c r="E4275" t="s">
        <v>608</v>
      </c>
      <c r="F4275" t="s">
        <v>410</v>
      </c>
      <c r="G4275">
        <v>183</v>
      </c>
      <c r="H4275">
        <v>183</v>
      </c>
      <c r="I4275">
        <v>183</v>
      </c>
      <c r="J4275">
        <v>183</v>
      </c>
      <c r="K4275">
        <v>0</v>
      </c>
      <c r="L4275">
        <v>0</v>
      </c>
      <c r="M4275">
        <v>152</v>
      </c>
      <c r="N4275">
        <v>27</v>
      </c>
      <c r="O4275">
        <v>4</v>
      </c>
      <c r="P4275">
        <v>0</v>
      </c>
      <c r="Q4275">
        <v>0</v>
      </c>
    </row>
    <row r="4276" spans="1:17" x14ac:dyDescent="0.2">
      <c r="A4276" s="121">
        <v>40663</v>
      </c>
      <c r="B4276" t="s">
        <v>406</v>
      </c>
      <c r="C4276" t="s">
        <v>577</v>
      </c>
      <c r="D4276" t="s">
        <v>592</v>
      </c>
      <c r="E4276" t="s">
        <v>593</v>
      </c>
      <c r="F4276" t="s">
        <v>410</v>
      </c>
      <c r="G4276">
        <v>726</v>
      </c>
      <c r="H4276">
        <v>726</v>
      </c>
      <c r="I4276">
        <v>725</v>
      </c>
      <c r="J4276">
        <v>725</v>
      </c>
      <c r="K4276">
        <v>0</v>
      </c>
      <c r="L4276">
        <v>0</v>
      </c>
      <c r="M4276">
        <v>641</v>
      </c>
      <c r="N4276">
        <v>44</v>
      </c>
      <c r="O4276">
        <v>41</v>
      </c>
      <c r="P4276">
        <v>0</v>
      </c>
      <c r="Q4276">
        <v>0</v>
      </c>
    </row>
    <row r="4277" spans="1:17" x14ac:dyDescent="0.2">
      <c r="A4277" s="121">
        <v>40663</v>
      </c>
      <c r="B4277" t="s">
        <v>406</v>
      </c>
      <c r="C4277" t="s">
        <v>594</v>
      </c>
      <c r="D4277" t="s">
        <v>595</v>
      </c>
      <c r="E4277" t="s">
        <v>596</v>
      </c>
      <c r="F4277" t="s">
        <v>410</v>
      </c>
      <c r="G4277">
        <v>49</v>
      </c>
      <c r="I4277">
        <v>49</v>
      </c>
    </row>
    <row r="4278" spans="1:17" x14ac:dyDescent="0.2">
      <c r="A4278" s="121">
        <v>40663</v>
      </c>
      <c r="B4278" t="s">
        <v>406</v>
      </c>
      <c r="C4278" t="s">
        <v>594</v>
      </c>
      <c r="D4278" t="s">
        <v>597</v>
      </c>
      <c r="E4278" t="s">
        <v>598</v>
      </c>
      <c r="F4278" t="s">
        <v>413</v>
      </c>
      <c r="G4278">
        <v>536</v>
      </c>
      <c r="H4278">
        <v>536</v>
      </c>
      <c r="I4278">
        <v>519</v>
      </c>
      <c r="J4278">
        <v>519</v>
      </c>
      <c r="K4278">
        <v>137</v>
      </c>
      <c r="L4278">
        <v>0</v>
      </c>
      <c r="M4278">
        <v>389</v>
      </c>
      <c r="N4278">
        <v>9</v>
      </c>
      <c r="O4278">
        <v>1</v>
      </c>
      <c r="P4278">
        <v>1</v>
      </c>
      <c r="Q4278">
        <v>0</v>
      </c>
    </row>
    <row r="4279" spans="1:17" x14ac:dyDescent="0.2">
      <c r="A4279" s="121">
        <v>40663</v>
      </c>
      <c r="B4279" t="s">
        <v>406</v>
      </c>
      <c r="C4279" t="s">
        <v>594</v>
      </c>
      <c r="D4279" t="s">
        <v>599</v>
      </c>
      <c r="E4279" t="s">
        <v>600</v>
      </c>
      <c r="F4279" t="s">
        <v>410</v>
      </c>
      <c r="G4279">
        <v>119</v>
      </c>
      <c r="I4279">
        <v>119</v>
      </c>
    </row>
    <row r="4280" spans="1:17" x14ac:dyDescent="0.2">
      <c r="A4280" s="121">
        <v>40694</v>
      </c>
      <c r="B4280" t="s">
        <v>406</v>
      </c>
      <c r="C4280" t="s">
        <v>407</v>
      </c>
      <c r="D4280" t="s">
        <v>408</v>
      </c>
      <c r="E4280" t="s">
        <v>409</v>
      </c>
      <c r="F4280" t="s">
        <v>410</v>
      </c>
      <c r="G4280">
        <v>217</v>
      </c>
      <c r="I4280">
        <v>217</v>
      </c>
    </row>
    <row r="4281" spans="1:17" x14ac:dyDescent="0.2">
      <c r="A4281" s="121">
        <v>40694</v>
      </c>
      <c r="B4281" t="s">
        <v>406</v>
      </c>
      <c r="C4281" t="s">
        <v>407</v>
      </c>
      <c r="D4281" t="s">
        <v>601</v>
      </c>
      <c r="E4281" t="s">
        <v>602</v>
      </c>
      <c r="F4281" t="s">
        <v>410</v>
      </c>
      <c r="G4281">
        <v>55</v>
      </c>
      <c r="I4281">
        <v>55</v>
      </c>
    </row>
    <row r="4282" spans="1:17" x14ac:dyDescent="0.2">
      <c r="A4282" s="121">
        <v>40694</v>
      </c>
      <c r="B4282" t="s">
        <v>406</v>
      </c>
      <c r="C4282" t="s">
        <v>407</v>
      </c>
      <c r="D4282" t="s">
        <v>411</v>
      </c>
      <c r="E4282" t="s">
        <v>412</v>
      </c>
      <c r="F4282" t="s">
        <v>413</v>
      </c>
      <c r="G4282">
        <v>6141</v>
      </c>
      <c r="H4282">
        <v>6141</v>
      </c>
      <c r="I4282">
        <v>5932</v>
      </c>
      <c r="J4282">
        <v>5932</v>
      </c>
      <c r="K4282">
        <v>2361</v>
      </c>
      <c r="L4282">
        <v>5</v>
      </c>
      <c r="M4282">
        <v>3335</v>
      </c>
      <c r="N4282">
        <v>182</v>
      </c>
      <c r="O4282">
        <v>258</v>
      </c>
      <c r="P4282">
        <v>4</v>
      </c>
      <c r="Q4282">
        <v>0</v>
      </c>
    </row>
    <row r="4283" spans="1:17" x14ac:dyDescent="0.2">
      <c r="A4283" s="121">
        <v>40694</v>
      </c>
      <c r="B4283" t="s">
        <v>406</v>
      </c>
      <c r="C4283" t="s">
        <v>407</v>
      </c>
      <c r="D4283" t="s">
        <v>416</v>
      </c>
      <c r="E4283" t="s">
        <v>417</v>
      </c>
      <c r="F4283" t="s">
        <v>413</v>
      </c>
      <c r="G4283">
        <v>3977</v>
      </c>
      <c r="H4283">
        <v>3977</v>
      </c>
      <c r="I4283">
        <v>3854</v>
      </c>
      <c r="J4283">
        <v>3854</v>
      </c>
      <c r="K4283">
        <v>1320</v>
      </c>
      <c r="L4283">
        <v>2</v>
      </c>
      <c r="M4283">
        <v>2449</v>
      </c>
      <c r="N4283">
        <v>137</v>
      </c>
      <c r="O4283">
        <v>69</v>
      </c>
      <c r="P4283">
        <v>2</v>
      </c>
      <c r="Q4283">
        <v>1</v>
      </c>
    </row>
    <row r="4284" spans="1:17" x14ac:dyDescent="0.2">
      <c r="A4284" s="121">
        <v>40694</v>
      </c>
      <c r="B4284" t="s">
        <v>406</v>
      </c>
      <c r="C4284" t="s">
        <v>407</v>
      </c>
      <c r="D4284" t="s">
        <v>618</v>
      </c>
      <c r="E4284" t="s">
        <v>619</v>
      </c>
      <c r="F4284" t="s">
        <v>410</v>
      </c>
      <c r="G4284">
        <v>101</v>
      </c>
      <c r="I4284">
        <v>101</v>
      </c>
    </row>
    <row r="4285" spans="1:17" x14ac:dyDescent="0.2">
      <c r="A4285" s="121">
        <v>40694</v>
      </c>
      <c r="B4285" t="s">
        <v>406</v>
      </c>
      <c r="C4285" t="s">
        <v>418</v>
      </c>
      <c r="D4285" t="s">
        <v>419</v>
      </c>
      <c r="E4285" t="s">
        <v>420</v>
      </c>
      <c r="F4285" t="s">
        <v>410</v>
      </c>
      <c r="G4285">
        <v>33</v>
      </c>
      <c r="I4285">
        <v>33</v>
      </c>
    </row>
    <row r="4286" spans="1:17" x14ac:dyDescent="0.2">
      <c r="A4286" s="121">
        <v>40694</v>
      </c>
      <c r="B4286" t="s">
        <v>406</v>
      </c>
      <c r="C4286" t="s">
        <v>418</v>
      </c>
      <c r="D4286" t="s">
        <v>421</v>
      </c>
      <c r="E4286" t="s">
        <v>422</v>
      </c>
      <c r="F4286" t="s">
        <v>410</v>
      </c>
      <c r="G4286">
        <v>134</v>
      </c>
      <c r="I4286">
        <v>134</v>
      </c>
    </row>
    <row r="4287" spans="1:17" x14ac:dyDescent="0.2">
      <c r="A4287" s="121">
        <v>40694</v>
      </c>
      <c r="B4287" t="s">
        <v>406</v>
      </c>
      <c r="C4287" t="s">
        <v>418</v>
      </c>
      <c r="D4287" t="s">
        <v>423</v>
      </c>
      <c r="E4287" t="s">
        <v>424</v>
      </c>
      <c r="F4287" t="s">
        <v>410</v>
      </c>
      <c r="G4287">
        <v>29</v>
      </c>
      <c r="I4287">
        <v>29</v>
      </c>
    </row>
    <row r="4288" spans="1:17" x14ac:dyDescent="0.2">
      <c r="A4288" s="121">
        <v>40694</v>
      </c>
      <c r="B4288" t="s">
        <v>406</v>
      </c>
      <c r="C4288" t="s">
        <v>418</v>
      </c>
      <c r="D4288" t="s">
        <v>425</v>
      </c>
      <c r="E4288" t="s">
        <v>426</v>
      </c>
      <c r="F4288" t="s">
        <v>410</v>
      </c>
      <c r="G4288">
        <v>83</v>
      </c>
      <c r="I4288">
        <v>83</v>
      </c>
    </row>
    <row r="4289" spans="1:17" x14ac:dyDescent="0.2">
      <c r="A4289" s="121">
        <v>40694</v>
      </c>
      <c r="B4289" t="s">
        <v>406</v>
      </c>
      <c r="C4289" t="s">
        <v>418</v>
      </c>
      <c r="D4289" t="s">
        <v>427</v>
      </c>
      <c r="E4289" t="s">
        <v>428</v>
      </c>
      <c r="F4289" t="s">
        <v>413</v>
      </c>
      <c r="G4289">
        <v>2070</v>
      </c>
      <c r="H4289">
        <v>2070</v>
      </c>
      <c r="I4289">
        <v>2018</v>
      </c>
      <c r="J4289">
        <v>2018</v>
      </c>
      <c r="K4289">
        <v>656</v>
      </c>
      <c r="L4289">
        <v>1</v>
      </c>
      <c r="M4289">
        <v>918</v>
      </c>
      <c r="N4289">
        <v>464</v>
      </c>
      <c r="O4289">
        <v>31</v>
      </c>
      <c r="P4289">
        <v>0</v>
      </c>
      <c r="Q4289">
        <v>0</v>
      </c>
    </row>
    <row r="4290" spans="1:17" x14ac:dyDescent="0.2">
      <c r="A4290" s="121">
        <v>40694</v>
      </c>
      <c r="B4290" t="s">
        <v>406</v>
      </c>
      <c r="C4290" t="s">
        <v>429</v>
      </c>
      <c r="D4290" t="s">
        <v>430</v>
      </c>
      <c r="E4290" t="s">
        <v>431</v>
      </c>
      <c r="F4290" t="s">
        <v>410</v>
      </c>
      <c r="G4290">
        <v>50</v>
      </c>
      <c r="I4290">
        <v>50</v>
      </c>
    </row>
    <row r="4291" spans="1:17" x14ac:dyDescent="0.2">
      <c r="A4291" s="121">
        <v>40694</v>
      </c>
      <c r="B4291" t="s">
        <v>406</v>
      </c>
      <c r="C4291" t="s">
        <v>429</v>
      </c>
      <c r="D4291" t="s">
        <v>432</v>
      </c>
      <c r="E4291" t="s">
        <v>433</v>
      </c>
      <c r="F4291" t="s">
        <v>410</v>
      </c>
      <c r="G4291">
        <v>50</v>
      </c>
      <c r="I4291">
        <v>50</v>
      </c>
    </row>
    <row r="4292" spans="1:17" x14ac:dyDescent="0.2">
      <c r="A4292" s="121">
        <v>40694</v>
      </c>
      <c r="B4292" t="s">
        <v>406</v>
      </c>
      <c r="C4292" t="s">
        <v>429</v>
      </c>
      <c r="D4292" t="s">
        <v>434</v>
      </c>
      <c r="E4292" t="s">
        <v>435</v>
      </c>
      <c r="F4292" t="s">
        <v>410</v>
      </c>
      <c r="G4292">
        <v>7</v>
      </c>
      <c r="I4292">
        <v>7</v>
      </c>
    </row>
    <row r="4293" spans="1:17" x14ac:dyDescent="0.2">
      <c r="A4293" s="121">
        <v>40694</v>
      </c>
      <c r="B4293" t="s">
        <v>406</v>
      </c>
      <c r="C4293" t="s">
        <v>429</v>
      </c>
      <c r="D4293" t="s">
        <v>436</v>
      </c>
      <c r="E4293" t="s">
        <v>437</v>
      </c>
      <c r="F4293" t="s">
        <v>410</v>
      </c>
      <c r="G4293">
        <v>39</v>
      </c>
      <c r="I4293">
        <v>39</v>
      </c>
    </row>
    <row r="4294" spans="1:17" x14ac:dyDescent="0.2">
      <c r="A4294" s="121">
        <v>40694</v>
      </c>
      <c r="B4294" t="s">
        <v>406</v>
      </c>
      <c r="C4294" t="s">
        <v>429</v>
      </c>
      <c r="D4294" t="s">
        <v>438</v>
      </c>
      <c r="E4294" t="s">
        <v>439</v>
      </c>
      <c r="F4294" t="s">
        <v>413</v>
      </c>
      <c r="G4294">
        <v>949</v>
      </c>
      <c r="H4294">
        <v>949</v>
      </c>
      <c r="I4294">
        <v>924</v>
      </c>
      <c r="J4294">
        <v>924</v>
      </c>
      <c r="K4294">
        <v>103</v>
      </c>
      <c r="L4294">
        <v>1</v>
      </c>
      <c r="M4294">
        <v>833</v>
      </c>
      <c r="N4294">
        <v>12</v>
      </c>
      <c r="O4294">
        <v>0</v>
      </c>
      <c r="P4294">
        <v>3</v>
      </c>
      <c r="Q4294">
        <v>1</v>
      </c>
    </row>
    <row r="4295" spans="1:17" x14ac:dyDescent="0.2">
      <c r="A4295" s="121">
        <v>40694</v>
      </c>
      <c r="B4295" t="s">
        <v>406</v>
      </c>
      <c r="C4295" t="s">
        <v>429</v>
      </c>
      <c r="D4295" t="s">
        <v>440</v>
      </c>
      <c r="E4295" t="s">
        <v>441</v>
      </c>
      <c r="F4295" t="s">
        <v>413</v>
      </c>
      <c r="G4295">
        <v>2995</v>
      </c>
      <c r="H4295">
        <v>2995</v>
      </c>
      <c r="I4295">
        <v>2847</v>
      </c>
      <c r="J4295">
        <v>2847</v>
      </c>
      <c r="K4295">
        <v>927</v>
      </c>
      <c r="L4295">
        <v>2</v>
      </c>
      <c r="M4295">
        <v>1967</v>
      </c>
      <c r="N4295">
        <v>99</v>
      </c>
      <c r="O4295">
        <v>0</v>
      </c>
      <c r="P4295">
        <v>1</v>
      </c>
      <c r="Q4295">
        <v>0</v>
      </c>
    </row>
    <row r="4296" spans="1:17" x14ac:dyDescent="0.2">
      <c r="A4296" s="121">
        <v>40694</v>
      </c>
      <c r="B4296" t="s">
        <v>406</v>
      </c>
      <c r="C4296" t="s">
        <v>442</v>
      </c>
      <c r="D4296" t="s">
        <v>443</v>
      </c>
      <c r="E4296" t="s">
        <v>444</v>
      </c>
      <c r="F4296" t="s">
        <v>413</v>
      </c>
      <c r="G4296">
        <v>2886</v>
      </c>
      <c r="H4296">
        <v>2886</v>
      </c>
      <c r="I4296">
        <v>2802</v>
      </c>
      <c r="J4296">
        <v>2802</v>
      </c>
      <c r="K4296">
        <v>265</v>
      </c>
      <c r="L4296">
        <v>2</v>
      </c>
      <c r="M4296">
        <v>2318</v>
      </c>
      <c r="N4296">
        <v>141</v>
      </c>
      <c r="O4296">
        <v>160</v>
      </c>
      <c r="P4296">
        <v>4</v>
      </c>
      <c r="Q4296">
        <v>0</v>
      </c>
    </row>
    <row r="4297" spans="1:17" x14ac:dyDescent="0.2">
      <c r="A4297" s="121">
        <v>40694</v>
      </c>
      <c r="B4297" t="s">
        <v>406</v>
      </c>
      <c r="C4297" t="s">
        <v>442</v>
      </c>
      <c r="D4297" t="s">
        <v>445</v>
      </c>
      <c r="E4297" t="s">
        <v>446</v>
      </c>
      <c r="F4297" t="s">
        <v>410</v>
      </c>
      <c r="G4297">
        <v>126</v>
      </c>
      <c r="I4297">
        <v>126</v>
      </c>
    </row>
    <row r="4298" spans="1:17" x14ac:dyDescent="0.2">
      <c r="A4298" s="121">
        <v>40694</v>
      </c>
      <c r="B4298" t="s">
        <v>406</v>
      </c>
      <c r="C4298" t="s">
        <v>442</v>
      </c>
      <c r="D4298" t="s">
        <v>447</v>
      </c>
      <c r="E4298" t="s">
        <v>448</v>
      </c>
      <c r="F4298" t="s">
        <v>410</v>
      </c>
      <c r="G4298">
        <v>451</v>
      </c>
      <c r="I4298">
        <v>451</v>
      </c>
    </row>
    <row r="4299" spans="1:17" x14ac:dyDescent="0.2">
      <c r="A4299" s="121">
        <v>40694</v>
      </c>
      <c r="B4299" t="s">
        <v>406</v>
      </c>
      <c r="C4299" t="s">
        <v>442</v>
      </c>
      <c r="D4299" t="s">
        <v>449</v>
      </c>
      <c r="E4299" t="s">
        <v>450</v>
      </c>
      <c r="F4299" t="s">
        <v>413</v>
      </c>
      <c r="G4299">
        <v>4497</v>
      </c>
      <c r="H4299">
        <v>4497</v>
      </c>
      <c r="I4299">
        <v>4012</v>
      </c>
      <c r="J4299">
        <v>4012</v>
      </c>
      <c r="K4299">
        <v>947</v>
      </c>
      <c r="L4299">
        <v>4</v>
      </c>
      <c r="M4299">
        <v>3297</v>
      </c>
      <c r="N4299">
        <v>199</v>
      </c>
      <c r="O4299">
        <v>50</v>
      </c>
      <c r="P4299">
        <v>109</v>
      </c>
      <c r="Q4299">
        <v>34</v>
      </c>
    </row>
    <row r="4300" spans="1:17" x14ac:dyDescent="0.2">
      <c r="A4300" s="121">
        <v>40694</v>
      </c>
      <c r="B4300" t="s">
        <v>406</v>
      </c>
      <c r="C4300" t="s">
        <v>451</v>
      </c>
      <c r="D4300" t="s">
        <v>452</v>
      </c>
      <c r="E4300" t="s">
        <v>453</v>
      </c>
      <c r="F4300" t="s">
        <v>410</v>
      </c>
      <c r="G4300">
        <v>1588</v>
      </c>
      <c r="H4300">
        <v>1588</v>
      </c>
      <c r="I4300">
        <v>1588</v>
      </c>
      <c r="J4300">
        <v>1588</v>
      </c>
      <c r="K4300">
        <v>0</v>
      </c>
      <c r="L4300">
        <v>0</v>
      </c>
      <c r="M4300">
        <v>1409</v>
      </c>
      <c r="N4300">
        <v>88</v>
      </c>
      <c r="O4300">
        <v>91</v>
      </c>
      <c r="P4300">
        <v>0</v>
      </c>
      <c r="Q4300">
        <v>0</v>
      </c>
    </row>
    <row r="4301" spans="1:17" x14ac:dyDescent="0.2">
      <c r="A4301" s="121">
        <v>40694</v>
      </c>
      <c r="B4301" t="s">
        <v>406</v>
      </c>
      <c r="C4301" t="s">
        <v>451</v>
      </c>
      <c r="D4301" t="s">
        <v>454</v>
      </c>
      <c r="E4301" t="s">
        <v>455</v>
      </c>
      <c r="F4301" t="s">
        <v>413</v>
      </c>
      <c r="G4301">
        <v>5108</v>
      </c>
      <c r="H4301">
        <v>5108</v>
      </c>
      <c r="I4301">
        <v>4764</v>
      </c>
      <c r="J4301">
        <v>4764</v>
      </c>
      <c r="K4301">
        <v>1319</v>
      </c>
      <c r="L4301">
        <v>14</v>
      </c>
      <c r="M4301">
        <v>3490</v>
      </c>
      <c r="N4301">
        <v>152</v>
      </c>
      <c r="O4301">
        <v>133</v>
      </c>
      <c r="P4301">
        <v>2</v>
      </c>
      <c r="Q4301">
        <v>0</v>
      </c>
    </row>
    <row r="4302" spans="1:17" x14ac:dyDescent="0.2">
      <c r="A4302" s="121">
        <v>40694</v>
      </c>
      <c r="B4302" t="s">
        <v>406</v>
      </c>
      <c r="C4302" t="s">
        <v>456</v>
      </c>
      <c r="D4302" t="s">
        <v>457</v>
      </c>
      <c r="E4302" t="s">
        <v>458</v>
      </c>
      <c r="F4302" t="s">
        <v>413</v>
      </c>
      <c r="G4302">
        <v>5699</v>
      </c>
      <c r="H4302">
        <v>5699</v>
      </c>
      <c r="I4302">
        <v>5575</v>
      </c>
      <c r="J4302">
        <v>5575</v>
      </c>
      <c r="K4302">
        <v>1338</v>
      </c>
      <c r="L4302">
        <v>12</v>
      </c>
      <c r="M4302">
        <v>4211</v>
      </c>
      <c r="N4302">
        <v>87</v>
      </c>
      <c r="O4302">
        <v>51</v>
      </c>
      <c r="P4302">
        <v>8</v>
      </c>
      <c r="Q4302">
        <v>3</v>
      </c>
    </row>
    <row r="4303" spans="1:17" x14ac:dyDescent="0.2">
      <c r="A4303" s="121">
        <v>40694</v>
      </c>
      <c r="B4303" t="s">
        <v>406</v>
      </c>
      <c r="C4303" t="s">
        <v>456</v>
      </c>
      <c r="D4303" t="s">
        <v>459</v>
      </c>
      <c r="E4303" t="s">
        <v>460</v>
      </c>
      <c r="F4303" t="s">
        <v>413</v>
      </c>
      <c r="G4303">
        <v>1713</v>
      </c>
      <c r="H4303">
        <v>1713</v>
      </c>
      <c r="I4303">
        <v>1701</v>
      </c>
      <c r="J4303">
        <v>1701</v>
      </c>
      <c r="K4303">
        <v>395</v>
      </c>
      <c r="L4303">
        <v>1</v>
      </c>
      <c r="M4303">
        <v>1315</v>
      </c>
      <c r="N4303">
        <v>2</v>
      </c>
      <c r="O4303">
        <v>0</v>
      </c>
      <c r="P4303">
        <v>1</v>
      </c>
      <c r="Q4303">
        <v>0</v>
      </c>
    </row>
    <row r="4304" spans="1:17" x14ac:dyDescent="0.2">
      <c r="A4304" s="121">
        <v>40694</v>
      </c>
      <c r="B4304" t="s">
        <v>406</v>
      </c>
      <c r="C4304" t="s">
        <v>456</v>
      </c>
      <c r="D4304" t="s">
        <v>461</v>
      </c>
      <c r="E4304" t="s">
        <v>462</v>
      </c>
      <c r="F4304" t="s">
        <v>410</v>
      </c>
      <c r="G4304">
        <v>106</v>
      </c>
      <c r="I4304">
        <v>106</v>
      </c>
    </row>
    <row r="4305" spans="1:17" x14ac:dyDescent="0.2">
      <c r="A4305" s="121">
        <v>40694</v>
      </c>
      <c r="B4305" t="s">
        <v>406</v>
      </c>
      <c r="C4305" t="s">
        <v>456</v>
      </c>
      <c r="D4305" t="s">
        <v>463</v>
      </c>
      <c r="E4305" t="s">
        <v>464</v>
      </c>
      <c r="F4305" t="s">
        <v>410</v>
      </c>
      <c r="G4305">
        <v>35</v>
      </c>
      <c r="I4305">
        <v>35</v>
      </c>
    </row>
    <row r="4306" spans="1:17" x14ac:dyDescent="0.2">
      <c r="A4306" s="121">
        <v>40694</v>
      </c>
      <c r="B4306" t="s">
        <v>406</v>
      </c>
      <c r="C4306" t="s">
        <v>456</v>
      </c>
      <c r="D4306" t="s">
        <v>465</v>
      </c>
      <c r="E4306" t="s">
        <v>466</v>
      </c>
      <c r="F4306" t="s">
        <v>410</v>
      </c>
      <c r="G4306">
        <v>51</v>
      </c>
      <c r="I4306">
        <v>51</v>
      </c>
    </row>
    <row r="4307" spans="1:17" x14ac:dyDescent="0.2">
      <c r="A4307" s="121">
        <v>40694</v>
      </c>
      <c r="B4307" t="s">
        <v>406</v>
      </c>
      <c r="C4307" t="s">
        <v>456</v>
      </c>
      <c r="D4307" t="s">
        <v>467</v>
      </c>
      <c r="E4307" t="s">
        <v>468</v>
      </c>
      <c r="F4307" t="s">
        <v>410</v>
      </c>
      <c r="G4307">
        <v>1172</v>
      </c>
      <c r="I4307">
        <v>1170</v>
      </c>
    </row>
    <row r="4308" spans="1:17" x14ac:dyDescent="0.2">
      <c r="A4308" s="121">
        <v>40694</v>
      </c>
      <c r="B4308" t="s">
        <v>406</v>
      </c>
      <c r="C4308" t="s">
        <v>456</v>
      </c>
      <c r="D4308" t="s">
        <v>469</v>
      </c>
      <c r="E4308" t="s">
        <v>470</v>
      </c>
      <c r="F4308" t="s">
        <v>410</v>
      </c>
      <c r="G4308">
        <v>807</v>
      </c>
      <c r="I4308">
        <v>807</v>
      </c>
    </row>
    <row r="4309" spans="1:17" x14ac:dyDescent="0.2">
      <c r="A4309" s="121">
        <v>40694</v>
      </c>
      <c r="B4309" t="s">
        <v>406</v>
      </c>
      <c r="C4309" t="s">
        <v>456</v>
      </c>
      <c r="D4309" t="s">
        <v>471</v>
      </c>
      <c r="E4309" t="s">
        <v>472</v>
      </c>
      <c r="F4309" t="s">
        <v>410</v>
      </c>
      <c r="G4309">
        <v>298</v>
      </c>
      <c r="I4309">
        <v>298</v>
      </c>
    </row>
    <row r="4310" spans="1:17" x14ac:dyDescent="0.2">
      <c r="A4310" s="121">
        <v>40694</v>
      </c>
      <c r="B4310" t="s">
        <v>406</v>
      </c>
      <c r="C4310" t="s">
        <v>456</v>
      </c>
      <c r="D4310" t="s">
        <v>473</v>
      </c>
      <c r="E4310" t="s">
        <v>474</v>
      </c>
      <c r="F4310" t="s">
        <v>410</v>
      </c>
      <c r="G4310">
        <v>186</v>
      </c>
      <c r="I4310">
        <v>186</v>
      </c>
    </row>
    <row r="4311" spans="1:17" x14ac:dyDescent="0.2">
      <c r="A4311" s="121">
        <v>40694</v>
      </c>
      <c r="B4311" t="s">
        <v>406</v>
      </c>
      <c r="C4311" t="s">
        <v>456</v>
      </c>
      <c r="D4311" t="s">
        <v>475</v>
      </c>
      <c r="E4311" t="s">
        <v>476</v>
      </c>
      <c r="F4311" t="s">
        <v>410</v>
      </c>
      <c r="G4311">
        <v>399</v>
      </c>
      <c r="I4311">
        <v>399</v>
      </c>
    </row>
    <row r="4312" spans="1:17" x14ac:dyDescent="0.2">
      <c r="A4312" s="121">
        <v>40694</v>
      </c>
      <c r="B4312" t="s">
        <v>406</v>
      </c>
      <c r="C4312" t="s">
        <v>456</v>
      </c>
      <c r="D4312" t="s">
        <v>477</v>
      </c>
      <c r="E4312" t="s">
        <v>478</v>
      </c>
      <c r="F4312" t="s">
        <v>413</v>
      </c>
      <c r="G4312">
        <v>2175</v>
      </c>
      <c r="H4312">
        <v>2175</v>
      </c>
      <c r="I4312">
        <v>2073</v>
      </c>
      <c r="J4312">
        <v>2073</v>
      </c>
      <c r="K4312">
        <v>464</v>
      </c>
      <c r="L4312">
        <v>5</v>
      </c>
      <c r="M4312">
        <v>1660</v>
      </c>
      <c r="N4312">
        <v>19</v>
      </c>
      <c r="O4312">
        <v>27</v>
      </c>
      <c r="P4312">
        <v>4</v>
      </c>
      <c r="Q4312">
        <v>0</v>
      </c>
    </row>
    <row r="4313" spans="1:17" x14ac:dyDescent="0.2">
      <c r="A4313" s="121">
        <v>40694</v>
      </c>
      <c r="B4313" t="s">
        <v>406</v>
      </c>
      <c r="C4313" t="s">
        <v>456</v>
      </c>
      <c r="D4313" t="s">
        <v>479</v>
      </c>
      <c r="E4313" t="s">
        <v>480</v>
      </c>
      <c r="F4313" t="s">
        <v>410</v>
      </c>
      <c r="G4313">
        <v>93</v>
      </c>
      <c r="I4313">
        <v>93</v>
      </c>
    </row>
    <row r="4314" spans="1:17" x14ac:dyDescent="0.2">
      <c r="A4314" s="121">
        <v>40694</v>
      </c>
      <c r="B4314" t="s">
        <v>406</v>
      </c>
      <c r="C4314" t="s">
        <v>456</v>
      </c>
      <c r="D4314" t="s">
        <v>481</v>
      </c>
      <c r="E4314" t="s">
        <v>482</v>
      </c>
      <c r="F4314" t="s">
        <v>410</v>
      </c>
      <c r="G4314">
        <v>43</v>
      </c>
      <c r="I4314">
        <v>43</v>
      </c>
    </row>
    <row r="4315" spans="1:17" x14ac:dyDescent="0.2">
      <c r="A4315" s="121">
        <v>40694</v>
      </c>
      <c r="B4315" t="s">
        <v>406</v>
      </c>
      <c r="C4315" t="s">
        <v>456</v>
      </c>
      <c r="D4315" t="s">
        <v>483</v>
      </c>
      <c r="E4315" t="s">
        <v>484</v>
      </c>
      <c r="F4315" t="s">
        <v>410</v>
      </c>
      <c r="G4315">
        <v>64</v>
      </c>
      <c r="I4315">
        <v>64</v>
      </c>
    </row>
    <row r="4316" spans="1:17" x14ac:dyDescent="0.2">
      <c r="A4316" s="121">
        <v>40694</v>
      </c>
      <c r="B4316" t="s">
        <v>406</v>
      </c>
      <c r="C4316" t="s">
        <v>456</v>
      </c>
      <c r="D4316" t="s">
        <v>485</v>
      </c>
      <c r="E4316" t="s">
        <v>486</v>
      </c>
      <c r="F4316" t="s">
        <v>410</v>
      </c>
      <c r="G4316">
        <v>41</v>
      </c>
      <c r="I4316">
        <v>41</v>
      </c>
    </row>
    <row r="4317" spans="1:17" x14ac:dyDescent="0.2">
      <c r="A4317" s="121">
        <v>40694</v>
      </c>
      <c r="B4317" t="s">
        <v>406</v>
      </c>
      <c r="C4317" t="s">
        <v>456</v>
      </c>
      <c r="D4317" t="s">
        <v>487</v>
      </c>
      <c r="E4317" t="s">
        <v>488</v>
      </c>
      <c r="F4317" t="s">
        <v>410</v>
      </c>
      <c r="G4317">
        <v>30</v>
      </c>
      <c r="I4317">
        <v>30</v>
      </c>
    </row>
    <row r="4318" spans="1:17" x14ac:dyDescent="0.2">
      <c r="A4318" s="121">
        <v>40694</v>
      </c>
      <c r="B4318" t="s">
        <v>406</v>
      </c>
      <c r="C4318" t="s">
        <v>456</v>
      </c>
      <c r="D4318" t="s">
        <v>489</v>
      </c>
      <c r="E4318" t="s">
        <v>490</v>
      </c>
      <c r="F4318" t="s">
        <v>410</v>
      </c>
      <c r="G4318">
        <v>131</v>
      </c>
      <c r="H4318">
        <v>131</v>
      </c>
      <c r="I4318">
        <v>131</v>
      </c>
      <c r="J4318">
        <v>131</v>
      </c>
      <c r="K4318">
        <v>0</v>
      </c>
      <c r="L4318">
        <v>1</v>
      </c>
      <c r="M4318">
        <v>106</v>
      </c>
      <c r="N4318">
        <v>23</v>
      </c>
      <c r="O4318">
        <v>1</v>
      </c>
      <c r="P4318">
        <v>0</v>
      </c>
      <c r="Q4318">
        <v>0</v>
      </c>
    </row>
    <row r="4319" spans="1:17" x14ac:dyDescent="0.2">
      <c r="A4319" s="121">
        <v>40694</v>
      </c>
      <c r="B4319" t="s">
        <v>406</v>
      </c>
      <c r="C4319" t="s">
        <v>491</v>
      </c>
      <c r="D4319" t="s">
        <v>492</v>
      </c>
      <c r="E4319" t="s">
        <v>493</v>
      </c>
      <c r="F4319" t="s">
        <v>410</v>
      </c>
      <c r="G4319">
        <v>1281</v>
      </c>
      <c r="H4319">
        <v>1281</v>
      </c>
      <c r="I4319">
        <v>1268</v>
      </c>
      <c r="J4319">
        <v>1268</v>
      </c>
      <c r="K4319">
        <v>9</v>
      </c>
      <c r="L4319">
        <v>0</v>
      </c>
      <c r="M4319">
        <v>0</v>
      </c>
      <c r="N4319">
        <v>11</v>
      </c>
      <c r="O4319">
        <v>1261</v>
      </c>
      <c r="P4319">
        <v>1</v>
      </c>
      <c r="Q4319">
        <v>0</v>
      </c>
    </row>
    <row r="4320" spans="1:17" x14ac:dyDescent="0.2">
      <c r="A4320" s="121">
        <v>40694</v>
      </c>
      <c r="B4320" t="s">
        <v>406</v>
      </c>
      <c r="C4320" t="s">
        <v>491</v>
      </c>
      <c r="D4320" t="s">
        <v>494</v>
      </c>
      <c r="E4320" t="s">
        <v>495</v>
      </c>
      <c r="F4320" t="s">
        <v>413</v>
      </c>
      <c r="G4320">
        <v>3069</v>
      </c>
      <c r="H4320">
        <v>3069</v>
      </c>
      <c r="I4320">
        <v>2928</v>
      </c>
      <c r="J4320">
        <v>2928</v>
      </c>
      <c r="K4320">
        <v>0</v>
      </c>
      <c r="L4320">
        <v>0</v>
      </c>
      <c r="M4320">
        <v>0</v>
      </c>
      <c r="N4320">
        <v>15</v>
      </c>
      <c r="O4320">
        <v>3054</v>
      </c>
      <c r="P4320">
        <v>3</v>
      </c>
      <c r="Q4320">
        <v>0</v>
      </c>
    </row>
    <row r="4321" spans="1:17" x14ac:dyDescent="0.2">
      <c r="A4321" s="121">
        <v>40694</v>
      </c>
      <c r="B4321" t="s">
        <v>406</v>
      </c>
      <c r="C4321" t="s">
        <v>491</v>
      </c>
      <c r="D4321" t="s">
        <v>496</v>
      </c>
      <c r="E4321" t="s">
        <v>497</v>
      </c>
      <c r="F4321" t="s">
        <v>413</v>
      </c>
      <c r="G4321">
        <v>6392</v>
      </c>
      <c r="H4321">
        <v>6392</v>
      </c>
      <c r="I4321">
        <v>5947</v>
      </c>
      <c r="J4321">
        <v>5947</v>
      </c>
      <c r="K4321">
        <v>780</v>
      </c>
      <c r="L4321">
        <v>0</v>
      </c>
      <c r="M4321">
        <v>0</v>
      </c>
      <c r="N4321">
        <v>72</v>
      </c>
      <c r="O4321">
        <v>5540</v>
      </c>
      <c r="P4321">
        <v>15</v>
      </c>
      <c r="Q4321">
        <v>1</v>
      </c>
    </row>
    <row r="4322" spans="1:17" x14ac:dyDescent="0.2">
      <c r="A4322" s="121">
        <v>40694</v>
      </c>
      <c r="B4322" t="s">
        <v>406</v>
      </c>
      <c r="C4322" t="s">
        <v>491</v>
      </c>
      <c r="D4322" t="s">
        <v>498</v>
      </c>
      <c r="E4322" t="s">
        <v>499</v>
      </c>
      <c r="F4322" t="s">
        <v>413</v>
      </c>
      <c r="G4322">
        <v>7392</v>
      </c>
      <c r="H4322">
        <v>7392</v>
      </c>
      <c r="I4322">
        <v>7053</v>
      </c>
      <c r="J4322">
        <v>7053</v>
      </c>
      <c r="K4322">
        <v>1868</v>
      </c>
      <c r="L4322">
        <v>8</v>
      </c>
      <c r="M4322">
        <v>4969</v>
      </c>
      <c r="N4322">
        <v>154</v>
      </c>
      <c r="O4322">
        <v>393</v>
      </c>
      <c r="P4322">
        <v>8</v>
      </c>
      <c r="Q4322">
        <v>0</v>
      </c>
    </row>
    <row r="4323" spans="1:17" x14ac:dyDescent="0.2">
      <c r="A4323" s="121">
        <v>40694</v>
      </c>
      <c r="B4323" t="s">
        <v>406</v>
      </c>
      <c r="C4323" t="s">
        <v>491</v>
      </c>
      <c r="D4323" t="s">
        <v>500</v>
      </c>
      <c r="E4323" t="s">
        <v>620</v>
      </c>
      <c r="F4323" t="s">
        <v>410</v>
      </c>
      <c r="G4323">
        <v>1372</v>
      </c>
      <c r="H4323">
        <v>1372</v>
      </c>
      <c r="I4323">
        <v>1372</v>
      </c>
      <c r="J4323">
        <v>1372</v>
      </c>
      <c r="K4323">
        <v>9</v>
      </c>
      <c r="L4323">
        <v>0</v>
      </c>
      <c r="M4323">
        <v>1249</v>
      </c>
      <c r="N4323">
        <v>12</v>
      </c>
      <c r="O4323">
        <v>102</v>
      </c>
      <c r="P4323">
        <v>0</v>
      </c>
      <c r="Q4323">
        <v>0</v>
      </c>
    </row>
    <row r="4324" spans="1:17" x14ac:dyDescent="0.2">
      <c r="A4324" s="121">
        <v>40694</v>
      </c>
      <c r="B4324" t="s">
        <v>406</v>
      </c>
      <c r="C4324" t="s">
        <v>491</v>
      </c>
      <c r="D4324" t="s">
        <v>502</v>
      </c>
      <c r="E4324" t="s">
        <v>615</v>
      </c>
      <c r="F4324" t="s">
        <v>410</v>
      </c>
      <c r="G4324">
        <v>1603</v>
      </c>
      <c r="H4324">
        <v>1603</v>
      </c>
      <c r="I4324">
        <v>1603</v>
      </c>
      <c r="J4324">
        <v>1603</v>
      </c>
      <c r="K4324">
        <v>0</v>
      </c>
      <c r="L4324">
        <v>1</v>
      </c>
      <c r="M4324">
        <v>1571</v>
      </c>
      <c r="N4324">
        <v>2</v>
      </c>
      <c r="O4324">
        <v>29</v>
      </c>
      <c r="P4324">
        <v>0</v>
      </c>
      <c r="Q4324">
        <v>0</v>
      </c>
    </row>
    <row r="4325" spans="1:17" x14ac:dyDescent="0.2">
      <c r="A4325" s="121">
        <v>40694</v>
      </c>
      <c r="B4325" t="s">
        <v>406</v>
      </c>
      <c r="C4325" t="s">
        <v>491</v>
      </c>
      <c r="D4325" t="s">
        <v>502</v>
      </c>
      <c r="E4325" t="s">
        <v>503</v>
      </c>
      <c r="F4325" t="s">
        <v>413</v>
      </c>
      <c r="G4325">
        <v>5264</v>
      </c>
      <c r="H4325">
        <v>5264</v>
      </c>
      <c r="I4325">
        <v>4974</v>
      </c>
      <c r="J4325">
        <v>4974</v>
      </c>
      <c r="K4325">
        <v>1560</v>
      </c>
      <c r="L4325">
        <v>3</v>
      </c>
      <c r="M4325">
        <v>3484</v>
      </c>
      <c r="N4325">
        <v>116</v>
      </c>
      <c r="O4325">
        <v>101</v>
      </c>
      <c r="P4325">
        <v>19</v>
      </c>
      <c r="Q4325">
        <v>0</v>
      </c>
    </row>
    <row r="4326" spans="1:17" x14ac:dyDescent="0.2">
      <c r="A4326" s="121">
        <v>40694</v>
      </c>
      <c r="B4326" t="s">
        <v>406</v>
      </c>
      <c r="C4326" t="s">
        <v>491</v>
      </c>
      <c r="D4326" t="s">
        <v>504</v>
      </c>
      <c r="E4326" t="s">
        <v>505</v>
      </c>
      <c r="F4326" t="s">
        <v>413</v>
      </c>
      <c r="G4326">
        <v>4297</v>
      </c>
      <c r="H4326">
        <v>4297</v>
      </c>
      <c r="I4326">
        <v>4083</v>
      </c>
      <c r="J4326">
        <v>4083</v>
      </c>
      <c r="K4326">
        <v>1108</v>
      </c>
      <c r="L4326">
        <v>4</v>
      </c>
      <c r="M4326">
        <v>2998</v>
      </c>
      <c r="N4326">
        <v>87</v>
      </c>
      <c r="O4326">
        <v>100</v>
      </c>
      <c r="P4326">
        <v>2</v>
      </c>
      <c r="Q4326">
        <v>0</v>
      </c>
    </row>
    <row r="4327" spans="1:17" x14ac:dyDescent="0.2">
      <c r="A4327" s="121">
        <v>40694</v>
      </c>
      <c r="B4327" t="s">
        <v>406</v>
      </c>
      <c r="C4327" t="s">
        <v>491</v>
      </c>
      <c r="D4327" t="s">
        <v>506</v>
      </c>
      <c r="E4327" t="s">
        <v>507</v>
      </c>
      <c r="F4327" t="s">
        <v>413</v>
      </c>
      <c r="G4327">
        <v>3795</v>
      </c>
      <c r="H4327">
        <v>3795</v>
      </c>
      <c r="I4327">
        <v>3690</v>
      </c>
      <c r="J4327">
        <v>3690</v>
      </c>
      <c r="K4327">
        <v>523</v>
      </c>
      <c r="L4327">
        <v>0</v>
      </c>
      <c r="M4327">
        <v>3259</v>
      </c>
      <c r="N4327">
        <v>2</v>
      </c>
      <c r="O4327">
        <v>11</v>
      </c>
      <c r="P4327">
        <v>1</v>
      </c>
      <c r="Q4327">
        <v>0</v>
      </c>
    </row>
    <row r="4328" spans="1:17" x14ac:dyDescent="0.2">
      <c r="A4328" s="121">
        <v>40694</v>
      </c>
      <c r="B4328" t="s">
        <v>406</v>
      </c>
      <c r="C4328" t="s">
        <v>491</v>
      </c>
      <c r="D4328" t="s">
        <v>508</v>
      </c>
      <c r="E4328" t="s">
        <v>509</v>
      </c>
      <c r="F4328" t="s">
        <v>413</v>
      </c>
      <c r="G4328">
        <v>5173</v>
      </c>
      <c r="H4328">
        <v>5173</v>
      </c>
      <c r="I4328">
        <v>4735</v>
      </c>
      <c r="J4328">
        <v>4735</v>
      </c>
      <c r="K4328">
        <v>1488</v>
      </c>
      <c r="L4328">
        <v>11</v>
      </c>
      <c r="M4328">
        <v>3204</v>
      </c>
      <c r="N4328">
        <v>155</v>
      </c>
      <c r="O4328">
        <v>315</v>
      </c>
      <c r="P4328">
        <v>27</v>
      </c>
      <c r="Q4328">
        <v>0</v>
      </c>
    </row>
    <row r="4329" spans="1:17" x14ac:dyDescent="0.2">
      <c r="A4329" s="121">
        <v>40694</v>
      </c>
      <c r="B4329" t="s">
        <v>406</v>
      </c>
      <c r="C4329" t="s">
        <v>510</v>
      </c>
      <c r="D4329" t="s">
        <v>513</v>
      </c>
      <c r="E4329" t="s">
        <v>514</v>
      </c>
      <c r="F4329" t="s">
        <v>410</v>
      </c>
      <c r="G4329">
        <v>562</v>
      </c>
      <c r="I4329">
        <v>561</v>
      </c>
    </row>
    <row r="4330" spans="1:17" x14ac:dyDescent="0.2">
      <c r="A4330" s="121">
        <v>40694</v>
      </c>
      <c r="B4330" t="s">
        <v>406</v>
      </c>
      <c r="C4330" t="s">
        <v>510</v>
      </c>
      <c r="D4330" t="s">
        <v>515</v>
      </c>
      <c r="E4330" t="s">
        <v>516</v>
      </c>
      <c r="F4330" t="s">
        <v>410</v>
      </c>
      <c r="G4330">
        <v>97</v>
      </c>
      <c r="I4330">
        <v>95</v>
      </c>
    </row>
    <row r="4331" spans="1:17" x14ac:dyDescent="0.2">
      <c r="A4331" s="121">
        <v>40694</v>
      </c>
      <c r="B4331" t="s">
        <v>406</v>
      </c>
      <c r="C4331" t="s">
        <v>510</v>
      </c>
      <c r="D4331" t="s">
        <v>519</v>
      </c>
      <c r="E4331" t="s">
        <v>520</v>
      </c>
      <c r="F4331" t="s">
        <v>410</v>
      </c>
      <c r="G4331">
        <v>352</v>
      </c>
      <c r="I4331">
        <v>345</v>
      </c>
    </row>
    <row r="4332" spans="1:17" x14ac:dyDescent="0.2">
      <c r="A4332" s="121">
        <v>40694</v>
      </c>
      <c r="B4332" t="s">
        <v>406</v>
      </c>
      <c r="C4332" t="s">
        <v>510</v>
      </c>
      <c r="D4332" t="s">
        <v>521</v>
      </c>
      <c r="E4332" t="s">
        <v>522</v>
      </c>
      <c r="F4332" t="s">
        <v>410</v>
      </c>
      <c r="G4332">
        <v>96</v>
      </c>
      <c r="I4332">
        <v>93</v>
      </c>
    </row>
    <row r="4333" spans="1:17" x14ac:dyDescent="0.2">
      <c r="A4333" s="121">
        <v>40694</v>
      </c>
      <c r="B4333" t="s">
        <v>406</v>
      </c>
      <c r="C4333" t="s">
        <v>510</v>
      </c>
      <c r="D4333" t="s">
        <v>523</v>
      </c>
      <c r="E4333" t="s">
        <v>524</v>
      </c>
      <c r="F4333" t="s">
        <v>413</v>
      </c>
      <c r="G4333">
        <v>532</v>
      </c>
      <c r="I4333">
        <v>525</v>
      </c>
    </row>
    <row r="4334" spans="1:17" x14ac:dyDescent="0.2">
      <c r="A4334" s="121">
        <v>40694</v>
      </c>
      <c r="B4334" t="s">
        <v>406</v>
      </c>
      <c r="C4334" t="s">
        <v>510</v>
      </c>
      <c r="D4334" t="s">
        <v>525</v>
      </c>
      <c r="E4334" t="s">
        <v>526</v>
      </c>
      <c r="F4334" t="s">
        <v>410</v>
      </c>
      <c r="G4334">
        <v>444</v>
      </c>
      <c r="I4334">
        <v>436</v>
      </c>
    </row>
    <row r="4335" spans="1:17" x14ac:dyDescent="0.2">
      <c r="A4335" s="121">
        <v>40694</v>
      </c>
      <c r="B4335" t="s">
        <v>406</v>
      </c>
      <c r="C4335" t="s">
        <v>510</v>
      </c>
      <c r="D4335" t="s">
        <v>527</v>
      </c>
      <c r="E4335" t="s">
        <v>528</v>
      </c>
      <c r="F4335" t="s">
        <v>410</v>
      </c>
      <c r="G4335">
        <v>213</v>
      </c>
      <c r="I4335">
        <v>212</v>
      </c>
    </row>
    <row r="4336" spans="1:17" x14ac:dyDescent="0.2">
      <c r="A4336" s="121">
        <v>40694</v>
      </c>
      <c r="B4336" t="s">
        <v>406</v>
      </c>
      <c r="C4336" t="s">
        <v>510</v>
      </c>
      <c r="D4336" t="s">
        <v>529</v>
      </c>
      <c r="E4336" t="s">
        <v>530</v>
      </c>
      <c r="F4336" t="s">
        <v>413</v>
      </c>
      <c r="G4336">
        <v>540</v>
      </c>
      <c r="H4336">
        <v>540</v>
      </c>
      <c r="I4336">
        <v>537</v>
      </c>
      <c r="J4336">
        <v>537</v>
      </c>
      <c r="K4336">
        <v>159</v>
      </c>
      <c r="L4336">
        <v>2</v>
      </c>
      <c r="M4336">
        <v>378</v>
      </c>
      <c r="N4336">
        <v>1</v>
      </c>
      <c r="O4336">
        <v>0</v>
      </c>
      <c r="P4336">
        <v>0</v>
      </c>
      <c r="Q4336">
        <v>0</v>
      </c>
    </row>
    <row r="4337" spans="1:17" x14ac:dyDescent="0.2">
      <c r="A4337" s="121">
        <v>40694</v>
      </c>
      <c r="B4337" t="s">
        <v>406</v>
      </c>
      <c r="C4337" t="s">
        <v>510</v>
      </c>
      <c r="D4337" t="s">
        <v>531</v>
      </c>
      <c r="E4337" t="s">
        <v>532</v>
      </c>
      <c r="F4337" t="s">
        <v>410</v>
      </c>
      <c r="G4337">
        <v>33</v>
      </c>
      <c r="I4337">
        <v>32</v>
      </c>
    </row>
    <row r="4338" spans="1:17" x14ac:dyDescent="0.2">
      <c r="A4338" s="121">
        <v>40694</v>
      </c>
      <c r="B4338" t="s">
        <v>406</v>
      </c>
      <c r="C4338" t="s">
        <v>510</v>
      </c>
      <c r="D4338" t="s">
        <v>533</v>
      </c>
      <c r="E4338" t="s">
        <v>534</v>
      </c>
      <c r="F4338" t="s">
        <v>413</v>
      </c>
      <c r="G4338">
        <v>2878</v>
      </c>
      <c r="H4338">
        <v>2878</v>
      </c>
      <c r="I4338">
        <v>2825</v>
      </c>
      <c r="J4338">
        <v>2825</v>
      </c>
      <c r="K4338">
        <v>541</v>
      </c>
      <c r="L4338">
        <v>7</v>
      </c>
      <c r="M4338">
        <v>2330</v>
      </c>
      <c r="N4338">
        <v>0</v>
      </c>
      <c r="O4338">
        <v>0</v>
      </c>
      <c r="P4338">
        <v>4</v>
      </c>
      <c r="Q4338">
        <v>0</v>
      </c>
    </row>
    <row r="4339" spans="1:17" x14ac:dyDescent="0.2">
      <c r="A4339" s="121">
        <v>40694</v>
      </c>
      <c r="B4339" t="s">
        <v>406</v>
      </c>
      <c r="C4339" t="s">
        <v>510</v>
      </c>
      <c r="D4339" t="s">
        <v>535</v>
      </c>
      <c r="E4339" t="s">
        <v>536</v>
      </c>
      <c r="F4339" t="s">
        <v>410</v>
      </c>
      <c r="G4339">
        <v>319</v>
      </c>
      <c r="I4339">
        <v>319</v>
      </c>
    </row>
    <row r="4340" spans="1:17" x14ac:dyDescent="0.2">
      <c r="A4340" s="121">
        <v>40694</v>
      </c>
      <c r="B4340" t="s">
        <v>406</v>
      </c>
      <c r="C4340" t="s">
        <v>510</v>
      </c>
      <c r="D4340" t="s">
        <v>537</v>
      </c>
      <c r="E4340" t="s">
        <v>538</v>
      </c>
      <c r="F4340" t="s">
        <v>410</v>
      </c>
      <c r="G4340">
        <v>95</v>
      </c>
      <c r="I4340">
        <v>95</v>
      </c>
    </row>
    <row r="4341" spans="1:17" x14ac:dyDescent="0.2">
      <c r="A4341" s="121">
        <v>40694</v>
      </c>
      <c r="B4341" t="s">
        <v>406</v>
      </c>
      <c r="C4341" t="s">
        <v>510</v>
      </c>
      <c r="D4341" t="s">
        <v>539</v>
      </c>
      <c r="E4341" t="s">
        <v>540</v>
      </c>
      <c r="F4341" t="s">
        <v>413</v>
      </c>
      <c r="G4341">
        <v>895</v>
      </c>
      <c r="H4341">
        <v>895</v>
      </c>
      <c r="I4341">
        <v>878</v>
      </c>
      <c r="J4341">
        <v>878</v>
      </c>
      <c r="K4341">
        <v>125</v>
      </c>
      <c r="L4341">
        <v>0</v>
      </c>
      <c r="M4341">
        <v>768</v>
      </c>
      <c r="N4341">
        <v>2</v>
      </c>
      <c r="O4341">
        <v>0</v>
      </c>
      <c r="P4341">
        <v>1</v>
      </c>
      <c r="Q4341">
        <v>0</v>
      </c>
    </row>
    <row r="4342" spans="1:17" x14ac:dyDescent="0.2">
      <c r="A4342" s="121">
        <v>40694</v>
      </c>
      <c r="B4342" t="s">
        <v>406</v>
      </c>
      <c r="C4342" t="s">
        <v>510</v>
      </c>
      <c r="D4342" t="s">
        <v>541</v>
      </c>
      <c r="E4342" t="s">
        <v>542</v>
      </c>
      <c r="F4342" t="s">
        <v>410</v>
      </c>
      <c r="G4342">
        <v>386</v>
      </c>
      <c r="I4342">
        <v>386</v>
      </c>
    </row>
    <row r="4343" spans="1:17" x14ac:dyDescent="0.2">
      <c r="A4343" s="121">
        <v>40694</v>
      </c>
      <c r="B4343" t="s">
        <v>406</v>
      </c>
      <c r="C4343" t="s">
        <v>510</v>
      </c>
      <c r="D4343" t="s">
        <v>543</v>
      </c>
      <c r="E4343" t="s">
        <v>544</v>
      </c>
      <c r="F4343" t="s">
        <v>410</v>
      </c>
      <c r="G4343">
        <v>252</v>
      </c>
      <c r="I4343">
        <v>252</v>
      </c>
    </row>
    <row r="4344" spans="1:17" x14ac:dyDescent="0.2">
      <c r="A4344" s="121">
        <v>40694</v>
      </c>
      <c r="B4344" t="s">
        <v>406</v>
      </c>
      <c r="C4344" t="s">
        <v>510</v>
      </c>
      <c r="D4344" t="s">
        <v>545</v>
      </c>
      <c r="E4344" t="s">
        <v>546</v>
      </c>
      <c r="F4344" t="s">
        <v>410</v>
      </c>
      <c r="G4344">
        <v>182</v>
      </c>
      <c r="I4344">
        <v>182</v>
      </c>
    </row>
    <row r="4345" spans="1:17" x14ac:dyDescent="0.2">
      <c r="A4345" s="121">
        <v>40694</v>
      </c>
      <c r="B4345" t="s">
        <v>406</v>
      </c>
      <c r="C4345" t="s">
        <v>510</v>
      </c>
      <c r="D4345" t="s">
        <v>547</v>
      </c>
      <c r="E4345" t="s">
        <v>548</v>
      </c>
      <c r="F4345" t="s">
        <v>410</v>
      </c>
      <c r="G4345">
        <v>183</v>
      </c>
      <c r="I4345">
        <v>183</v>
      </c>
    </row>
    <row r="4346" spans="1:17" x14ac:dyDescent="0.2">
      <c r="A4346" s="121">
        <v>40694</v>
      </c>
      <c r="B4346" t="s">
        <v>406</v>
      </c>
      <c r="C4346" t="s">
        <v>510</v>
      </c>
      <c r="D4346" t="s">
        <v>616</v>
      </c>
      <c r="E4346" t="s">
        <v>617</v>
      </c>
      <c r="F4346" t="s">
        <v>410</v>
      </c>
      <c r="G4346">
        <v>306</v>
      </c>
      <c r="I4346">
        <v>306</v>
      </c>
    </row>
    <row r="4347" spans="1:17" x14ac:dyDescent="0.2">
      <c r="A4347" s="121">
        <v>40694</v>
      </c>
      <c r="B4347" t="s">
        <v>406</v>
      </c>
      <c r="C4347" t="s">
        <v>510</v>
      </c>
      <c r="D4347" t="s">
        <v>549</v>
      </c>
      <c r="E4347" t="s">
        <v>550</v>
      </c>
      <c r="F4347" t="s">
        <v>410</v>
      </c>
      <c r="G4347">
        <v>196</v>
      </c>
      <c r="I4347">
        <v>196</v>
      </c>
    </row>
    <row r="4348" spans="1:17" x14ac:dyDescent="0.2">
      <c r="A4348" s="121">
        <v>40694</v>
      </c>
      <c r="B4348" t="s">
        <v>406</v>
      </c>
      <c r="C4348" t="s">
        <v>551</v>
      </c>
      <c r="D4348" t="s">
        <v>552</v>
      </c>
      <c r="E4348" t="s">
        <v>553</v>
      </c>
      <c r="F4348" t="s">
        <v>413</v>
      </c>
      <c r="G4348">
        <v>5916</v>
      </c>
      <c r="H4348">
        <v>5916</v>
      </c>
      <c r="I4348">
        <v>5463</v>
      </c>
      <c r="J4348">
        <v>5463</v>
      </c>
      <c r="K4348">
        <v>1558</v>
      </c>
      <c r="L4348">
        <v>12</v>
      </c>
      <c r="M4348">
        <v>3961</v>
      </c>
      <c r="N4348">
        <v>184</v>
      </c>
      <c r="O4348">
        <v>201</v>
      </c>
      <c r="P4348">
        <v>17</v>
      </c>
      <c r="Q4348">
        <v>0</v>
      </c>
    </row>
    <row r="4349" spans="1:17" x14ac:dyDescent="0.2">
      <c r="A4349" s="121">
        <v>40694</v>
      </c>
      <c r="B4349" t="s">
        <v>406</v>
      </c>
      <c r="C4349" t="s">
        <v>551</v>
      </c>
      <c r="D4349" t="s">
        <v>554</v>
      </c>
      <c r="E4349" t="s">
        <v>555</v>
      </c>
      <c r="F4349" t="s">
        <v>410</v>
      </c>
      <c r="G4349">
        <v>49</v>
      </c>
      <c r="I4349">
        <v>49</v>
      </c>
    </row>
    <row r="4350" spans="1:17" x14ac:dyDescent="0.2">
      <c r="A4350" s="121">
        <v>40694</v>
      </c>
      <c r="B4350" t="s">
        <v>406</v>
      </c>
      <c r="C4350" t="s">
        <v>551</v>
      </c>
      <c r="D4350" t="s">
        <v>556</v>
      </c>
      <c r="E4350" t="s">
        <v>557</v>
      </c>
      <c r="F4350" t="s">
        <v>410</v>
      </c>
      <c r="G4350">
        <v>112</v>
      </c>
      <c r="I4350">
        <v>112</v>
      </c>
    </row>
    <row r="4351" spans="1:17" x14ac:dyDescent="0.2">
      <c r="A4351" s="121">
        <v>40694</v>
      </c>
      <c r="B4351" t="s">
        <v>406</v>
      </c>
      <c r="C4351" t="s">
        <v>551</v>
      </c>
      <c r="D4351" t="s">
        <v>558</v>
      </c>
      <c r="E4351" t="s">
        <v>559</v>
      </c>
      <c r="F4351" t="s">
        <v>413</v>
      </c>
      <c r="G4351">
        <v>5101</v>
      </c>
      <c r="H4351">
        <v>5101</v>
      </c>
      <c r="I4351">
        <v>4550</v>
      </c>
      <c r="J4351">
        <v>4550</v>
      </c>
      <c r="K4351">
        <v>1187</v>
      </c>
      <c r="L4351">
        <v>7</v>
      </c>
      <c r="M4351">
        <v>3647</v>
      </c>
      <c r="N4351">
        <v>151</v>
      </c>
      <c r="O4351">
        <v>109</v>
      </c>
      <c r="P4351">
        <v>172</v>
      </c>
      <c r="Q4351">
        <v>75</v>
      </c>
    </row>
    <row r="4352" spans="1:17" x14ac:dyDescent="0.2">
      <c r="A4352" s="121">
        <v>40694</v>
      </c>
      <c r="B4352" t="s">
        <v>406</v>
      </c>
      <c r="C4352" t="s">
        <v>551</v>
      </c>
      <c r="D4352" t="s">
        <v>560</v>
      </c>
      <c r="E4352" t="s">
        <v>561</v>
      </c>
      <c r="F4352" t="s">
        <v>413</v>
      </c>
      <c r="G4352">
        <v>5611</v>
      </c>
      <c r="H4352">
        <v>5611</v>
      </c>
      <c r="I4352">
        <v>5323</v>
      </c>
      <c r="J4352">
        <v>5323</v>
      </c>
      <c r="K4352">
        <v>1132</v>
      </c>
      <c r="L4352">
        <v>4</v>
      </c>
      <c r="M4352">
        <v>4180</v>
      </c>
      <c r="N4352">
        <v>219</v>
      </c>
      <c r="O4352">
        <v>76</v>
      </c>
      <c r="P4352">
        <v>4</v>
      </c>
      <c r="Q4352">
        <v>1</v>
      </c>
    </row>
    <row r="4353" spans="1:17" x14ac:dyDescent="0.2">
      <c r="A4353" s="121">
        <v>40694</v>
      </c>
      <c r="B4353" t="s">
        <v>406</v>
      </c>
      <c r="C4353" t="s">
        <v>562</v>
      </c>
      <c r="D4353" t="s">
        <v>603</v>
      </c>
      <c r="E4353" t="s">
        <v>604</v>
      </c>
      <c r="F4353" t="s">
        <v>410</v>
      </c>
      <c r="G4353">
        <v>8</v>
      </c>
      <c r="I4353">
        <v>8</v>
      </c>
    </row>
    <row r="4354" spans="1:17" x14ac:dyDescent="0.2">
      <c r="A4354" s="121">
        <v>40694</v>
      </c>
      <c r="B4354" t="s">
        <v>406</v>
      </c>
      <c r="C4354" t="s">
        <v>562</v>
      </c>
      <c r="D4354" t="s">
        <v>605</v>
      </c>
      <c r="E4354" t="s">
        <v>606</v>
      </c>
      <c r="F4354" t="s">
        <v>410</v>
      </c>
      <c r="G4354">
        <v>114</v>
      </c>
      <c r="I4354">
        <v>114</v>
      </c>
    </row>
    <row r="4355" spans="1:17" x14ac:dyDescent="0.2">
      <c r="A4355" s="121">
        <v>40694</v>
      </c>
      <c r="B4355" t="s">
        <v>406</v>
      </c>
      <c r="C4355" t="s">
        <v>562</v>
      </c>
      <c r="D4355" t="s">
        <v>563</v>
      </c>
      <c r="E4355" t="s">
        <v>564</v>
      </c>
      <c r="F4355" t="s">
        <v>410</v>
      </c>
      <c r="G4355">
        <v>3331</v>
      </c>
      <c r="H4355">
        <v>3331</v>
      </c>
      <c r="I4355">
        <v>3275</v>
      </c>
      <c r="J4355">
        <v>3275</v>
      </c>
      <c r="K4355">
        <v>1053</v>
      </c>
      <c r="L4355">
        <v>3</v>
      </c>
      <c r="M4355">
        <v>2222</v>
      </c>
      <c r="N4355">
        <v>53</v>
      </c>
      <c r="O4355">
        <v>0</v>
      </c>
      <c r="P4355">
        <v>4</v>
      </c>
      <c r="Q4355">
        <v>0</v>
      </c>
    </row>
    <row r="4356" spans="1:17" x14ac:dyDescent="0.2">
      <c r="A4356" s="121">
        <v>40694</v>
      </c>
      <c r="B4356" t="s">
        <v>406</v>
      </c>
      <c r="C4356" t="s">
        <v>562</v>
      </c>
      <c r="D4356" t="s">
        <v>565</v>
      </c>
      <c r="E4356" t="s">
        <v>566</v>
      </c>
      <c r="F4356" t="s">
        <v>413</v>
      </c>
      <c r="G4356">
        <v>4593</v>
      </c>
      <c r="H4356">
        <v>4593</v>
      </c>
      <c r="I4356">
        <v>4444</v>
      </c>
      <c r="J4356">
        <v>4444</v>
      </c>
      <c r="K4356">
        <v>1071</v>
      </c>
      <c r="L4356">
        <v>3</v>
      </c>
      <c r="M4356">
        <v>3388</v>
      </c>
      <c r="N4356">
        <v>131</v>
      </c>
      <c r="O4356">
        <v>0</v>
      </c>
      <c r="P4356">
        <v>19</v>
      </c>
      <c r="Q4356">
        <v>2</v>
      </c>
    </row>
    <row r="4357" spans="1:17" x14ac:dyDescent="0.2">
      <c r="A4357" s="121">
        <v>40694</v>
      </c>
      <c r="B4357" t="s">
        <v>406</v>
      </c>
      <c r="C4357" t="s">
        <v>562</v>
      </c>
      <c r="D4357" t="s">
        <v>567</v>
      </c>
      <c r="E4357" t="s">
        <v>568</v>
      </c>
      <c r="F4357" t="s">
        <v>413</v>
      </c>
      <c r="G4357">
        <v>9791</v>
      </c>
      <c r="H4357">
        <v>9791</v>
      </c>
      <c r="I4357">
        <v>9411</v>
      </c>
      <c r="J4357">
        <v>9411</v>
      </c>
      <c r="K4357">
        <v>2913</v>
      </c>
      <c r="L4357">
        <v>22</v>
      </c>
      <c r="M4357">
        <v>6443</v>
      </c>
      <c r="N4357">
        <v>413</v>
      </c>
      <c r="O4357">
        <v>0</v>
      </c>
      <c r="P4357">
        <v>26</v>
      </c>
      <c r="Q4357">
        <v>0</v>
      </c>
    </row>
    <row r="4358" spans="1:17" x14ac:dyDescent="0.2">
      <c r="A4358" s="121">
        <v>40694</v>
      </c>
      <c r="B4358" t="s">
        <v>406</v>
      </c>
      <c r="C4358" t="s">
        <v>562</v>
      </c>
      <c r="D4358" t="s">
        <v>569</v>
      </c>
      <c r="E4358" t="s">
        <v>570</v>
      </c>
      <c r="F4358" t="s">
        <v>413</v>
      </c>
      <c r="G4358">
        <v>3562</v>
      </c>
      <c r="H4358">
        <v>3562</v>
      </c>
      <c r="I4358">
        <v>3546</v>
      </c>
      <c r="J4358">
        <v>3546</v>
      </c>
      <c r="K4358">
        <v>470</v>
      </c>
      <c r="L4358">
        <v>0</v>
      </c>
      <c r="M4358">
        <v>3092</v>
      </c>
      <c r="N4358">
        <v>0</v>
      </c>
      <c r="O4358">
        <v>0</v>
      </c>
      <c r="P4358">
        <v>0</v>
      </c>
      <c r="Q4358">
        <v>0</v>
      </c>
    </row>
    <row r="4359" spans="1:17" x14ac:dyDescent="0.2">
      <c r="A4359" s="121">
        <v>40694</v>
      </c>
      <c r="B4359" t="s">
        <v>406</v>
      </c>
      <c r="C4359" t="s">
        <v>571</v>
      </c>
      <c r="D4359" t="s">
        <v>572</v>
      </c>
      <c r="E4359" t="s">
        <v>573</v>
      </c>
      <c r="F4359" t="s">
        <v>410</v>
      </c>
      <c r="G4359">
        <v>301</v>
      </c>
      <c r="I4359">
        <v>301</v>
      </c>
    </row>
    <row r="4360" spans="1:17" x14ac:dyDescent="0.2">
      <c r="A4360" s="121">
        <v>40694</v>
      </c>
      <c r="B4360" t="s">
        <v>406</v>
      </c>
      <c r="C4360" t="s">
        <v>574</v>
      </c>
      <c r="D4360" t="s">
        <v>575</v>
      </c>
      <c r="E4360" t="s">
        <v>576</v>
      </c>
      <c r="F4360" t="s">
        <v>413</v>
      </c>
      <c r="G4360">
        <v>790</v>
      </c>
      <c r="H4360">
        <v>790</v>
      </c>
      <c r="I4360">
        <v>789</v>
      </c>
      <c r="J4360">
        <v>789</v>
      </c>
      <c r="K4360">
        <v>183</v>
      </c>
      <c r="L4360">
        <v>0</v>
      </c>
      <c r="M4360">
        <v>581</v>
      </c>
      <c r="N4360">
        <v>4</v>
      </c>
      <c r="O4360">
        <v>22</v>
      </c>
      <c r="P4360">
        <v>1</v>
      </c>
      <c r="Q4360">
        <v>1</v>
      </c>
    </row>
    <row r="4361" spans="1:17" x14ac:dyDescent="0.2">
      <c r="A4361" s="121">
        <v>40694</v>
      </c>
      <c r="B4361" t="s">
        <v>406</v>
      </c>
      <c r="C4361" t="s">
        <v>577</v>
      </c>
      <c r="D4361" t="s">
        <v>578</v>
      </c>
      <c r="E4361" t="s">
        <v>579</v>
      </c>
      <c r="F4361" t="s">
        <v>413</v>
      </c>
      <c r="G4361">
        <v>4500</v>
      </c>
      <c r="H4361">
        <v>4500</v>
      </c>
      <c r="I4361">
        <v>4413</v>
      </c>
      <c r="J4361">
        <v>4413</v>
      </c>
      <c r="K4361">
        <v>955</v>
      </c>
      <c r="L4361">
        <v>13</v>
      </c>
      <c r="M4361">
        <v>3336</v>
      </c>
      <c r="N4361">
        <v>194</v>
      </c>
      <c r="O4361">
        <v>2</v>
      </c>
      <c r="P4361">
        <v>2</v>
      </c>
      <c r="Q4361">
        <v>0</v>
      </c>
    </row>
    <row r="4362" spans="1:17" x14ac:dyDescent="0.2">
      <c r="A4362" s="121">
        <v>40694</v>
      </c>
      <c r="B4362" t="s">
        <v>406</v>
      </c>
      <c r="C4362" t="s">
        <v>577</v>
      </c>
      <c r="D4362" t="s">
        <v>580</v>
      </c>
      <c r="E4362" t="s">
        <v>581</v>
      </c>
      <c r="F4362" t="s">
        <v>413</v>
      </c>
      <c r="G4362">
        <v>2248</v>
      </c>
      <c r="H4362">
        <v>2248</v>
      </c>
      <c r="I4362">
        <v>2228</v>
      </c>
      <c r="J4362">
        <v>2228</v>
      </c>
      <c r="K4362">
        <v>326</v>
      </c>
      <c r="L4362">
        <v>0</v>
      </c>
      <c r="M4362">
        <v>1538</v>
      </c>
      <c r="N4362">
        <v>324</v>
      </c>
      <c r="O4362">
        <v>60</v>
      </c>
      <c r="P4362">
        <v>0</v>
      </c>
      <c r="Q4362">
        <v>0</v>
      </c>
    </row>
    <row r="4363" spans="1:17" x14ac:dyDescent="0.2">
      <c r="A4363" s="121">
        <v>40694</v>
      </c>
      <c r="B4363" t="s">
        <v>406</v>
      </c>
      <c r="C4363" t="s">
        <v>577</v>
      </c>
      <c r="D4363" t="s">
        <v>609</v>
      </c>
      <c r="E4363" t="s">
        <v>610</v>
      </c>
      <c r="F4363" t="s">
        <v>410</v>
      </c>
      <c r="G4363">
        <v>34</v>
      </c>
      <c r="H4363">
        <v>34</v>
      </c>
      <c r="I4363">
        <v>34</v>
      </c>
      <c r="J4363">
        <v>34</v>
      </c>
      <c r="K4363">
        <v>0</v>
      </c>
      <c r="L4363">
        <v>0</v>
      </c>
      <c r="M4363">
        <v>26</v>
      </c>
      <c r="N4363">
        <v>5</v>
      </c>
      <c r="O4363">
        <v>3</v>
      </c>
      <c r="P4363">
        <v>0</v>
      </c>
      <c r="Q4363">
        <v>0</v>
      </c>
    </row>
    <row r="4364" spans="1:17" x14ac:dyDescent="0.2">
      <c r="A4364" s="121">
        <v>40694</v>
      </c>
      <c r="B4364" t="s">
        <v>406</v>
      </c>
      <c r="C4364" t="s">
        <v>577</v>
      </c>
      <c r="D4364" t="s">
        <v>611</v>
      </c>
      <c r="E4364" t="s">
        <v>612</v>
      </c>
      <c r="F4364" t="s">
        <v>410</v>
      </c>
      <c r="G4364">
        <v>17</v>
      </c>
      <c r="H4364">
        <v>17</v>
      </c>
      <c r="I4364">
        <v>17</v>
      </c>
      <c r="J4364">
        <v>17</v>
      </c>
      <c r="K4364">
        <v>0</v>
      </c>
      <c r="L4364">
        <v>0</v>
      </c>
      <c r="M4364">
        <v>8</v>
      </c>
      <c r="N4364">
        <v>8</v>
      </c>
      <c r="O4364">
        <v>1</v>
      </c>
      <c r="P4364">
        <v>0</v>
      </c>
      <c r="Q4364">
        <v>0</v>
      </c>
    </row>
    <row r="4365" spans="1:17" x14ac:dyDescent="0.2">
      <c r="A4365" s="121">
        <v>40694</v>
      </c>
      <c r="B4365" t="s">
        <v>406</v>
      </c>
      <c r="C4365" t="s">
        <v>577</v>
      </c>
      <c r="D4365" t="s">
        <v>584</v>
      </c>
      <c r="E4365" t="s">
        <v>585</v>
      </c>
      <c r="F4365" t="s">
        <v>410</v>
      </c>
      <c r="G4365">
        <v>280</v>
      </c>
      <c r="H4365">
        <v>280</v>
      </c>
      <c r="I4365">
        <v>280</v>
      </c>
      <c r="J4365">
        <v>280</v>
      </c>
      <c r="K4365">
        <v>0</v>
      </c>
      <c r="L4365">
        <v>0</v>
      </c>
      <c r="M4365">
        <v>242</v>
      </c>
      <c r="N4365">
        <v>32</v>
      </c>
      <c r="O4365">
        <v>6</v>
      </c>
      <c r="P4365">
        <v>0</v>
      </c>
      <c r="Q4365">
        <v>0</v>
      </c>
    </row>
    <row r="4366" spans="1:17" x14ac:dyDescent="0.2">
      <c r="A4366" s="121">
        <v>40694</v>
      </c>
      <c r="B4366" t="s">
        <v>406</v>
      </c>
      <c r="C4366" t="s">
        <v>577</v>
      </c>
      <c r="D4366" t="s">
        <v>586</v>
      </c>
      <c r="E4366" t="s">
        <v>587</v>
      </c>
      <c r="F4366" t="s">
        <v>410</v>
      </c>
      <c r="G4366">
        <v>1272</v>
      </c>
      <c r="H4366">
        <v>1272</v>
      </c>
      <c r="I4366">
        <v>1271</v>
      </c>
      <c r="J4366">
        <v>1271</v>
      </c>
      <c r="K4366">
        <v>0</v>
      </c>
      <c r="L4366">
        <v>0</v>
      </c>
      <c r="M4366">
        <v>1007</v>
      </c>
      <c r="N4366">
        <v>209</v>
      </c>
      <c r="O4366">
        <v>56</v>
      </c>
      <c r="P4366">
        <v>0</v>
      </c>
      <c r="Q4366">
        <v>0</v>
      </c>
    </row>
    <row r="4367" spans="1:17" x14ac:dyDescent="0.2">
      <c r="A4367" s="121">
        <v>40694</v>
      </c>
      <c r="B4367" t="s">
        <v>406</v>
      </c>
      <c r="C4367" t="s">
        <v>577</v>
      </c>
      <c r="D4367" t="s">
        <v>588</v>
      </c>
      <c r="E4367" t="s">
        <v>589</v>
      </c>
      <c r="F4367" t="s">
        <v>410</v>
      </c>
      <c r="G4367">
        <v>322</v>
      </c>
      <c r="H4367">
        <v>322</v>
      </c>
      <c r="I4367">
        <v>322</v>
      </c>
      <c r="J4367">
        <v>322</v>
      </c>
      <c r="K4367">
        <v>0</v>
      </c>
      <c r="L4367">
        <v>0</v>
      </c>
      <c r="M4367">
        <v>268</v>
      </c>
      <c r="N4367">
        <v>39</v>
      </c>
      <c r="O4367">
        <v>15</v>
      </c>
      <c r="P4367">
        <v>0</v>
      </c>
      <c r="Q4367">
        <v>0</v>
      </c>
    </row>
    <row r="4368" spans="1:17" x14ac:dyDescent="0.2">
      <c r="A4368" s="121">
        <v>40694</v>
      </c>
      <c r="B4368" t="s">
        <v>406</v>
      </c>
      <c r="C4368" t="s">
        <v>577</v>
      </c>
      <c r="D4368" t="s">
        <v>613</v>
      </c>
      <c r="E4368" t="s">
        <v>614</v>
      </c>
      <c r="F4368" t="s">
        <v>410</v>
      </c>
      <c r="G4368">
        <v>230</v>
      </c>
      <c r="H4368">
        <v>230</v>
      </c>
      <c r="I4368">
        <v>230</v>
      </c>
      <c r="J4368">
        <v>230</v>
      </c>
      <c r="K4368">
        <v>0</v>
      </c>
      <c r="L4368">
        <v>0</v>
      </c>
      <c r="M4368">
        <v>175</v>
      </c>
      <c r="N4368">
        <v>45</v>
      </c>
      <c r="O4368">
        <v>10</v>
      </c>
      <c r="P4368">
        <v>0</v>
      </c>
      <c r="Q4368">
        <v>0</v>
      </c>
    </row>
    <row r="4369" spans="1:17" x14ac:dyDescent="0.2">
      <c r="A4369" s="121">
        <v>40694</v>
      </c>
      <c r="B4369" t="s">
        <v>406</v>
      </c>
      <c r="C4369" t="s">
        <v>577</v>
      </c>
      <c r="D4369" t="s">
        <v>590</v>
      </c>
      <c r="E4369" t="s">
        <v>591</v>
      </c>
      <c r="F4369" t="s">
        <v>410</v>
      </c>
      <c r="G4369">
        <v>753</v>
      </c>
      <c r="H4369">
        <v>753</v>
      </c>
      <c r="I4369">
        <v>753</v>
      </c>
      <c r="J4369">
        <v>753</v>
      </c>
      <c r="K4369">
        <v>0</v>
      </c>
      <c r="L4369">
        <v>0</v>
      </c>
      <c r="M4369">
        <v>674</v>
      </c>
      <c r="N4369">
        <v>53</v>
      </c>
      <c r="O4369">
        <v>26</v>
      </c>
      <c r="P4369">
        <v>0</v>
      </c>
      <c r="Q4369">
        <v>0</v>
      </c>
    </row>
    <row r="4370" spans="1:17" x14ac:dyDescent="0.2">
      <c r="A4370" s="121">
        <v>40694</v>
      </c>
      <c r="B4370" t="s">
        <v>406</v>
      </c>
      <c r="C4370" t="s">
        <v>577</v>
      </c>
      <c r="D4370" t="s">
        <v>607</v>
      </c>
      <c r="E4370" t="s">
        <v>608</v>
      </c>
      <c r="F4370" t="s">
        <v>410</v>
      </c>
      <c r="G4370">
        <v>174</v>
      </c>
      <c r="H4370">
        <v>174</v>
      </c>
      <c r="I4370">
        <v>174</v>
      </c>
      <c r="J4370">
        <v>174</v>
      </c>
      <c r="K4370">
        <v>0</v>
      </c>
      <c r="L4370">
        <v>0</v>
      </c>
      <c r="M4370">
        <v>150</v>
      </c>
      <c r="N4370">
        <v>21</v>
      </c>
      <c r="O4370">
        <v>3</v>
      </c>
      <c r="P4370">
        <v>0</v>
      </c>
      <c r="Q4370">
        <v>0</v>
      </c>
    </row>
    <row r="4371" spans="1:17" x14ac:dyDescent="0.2">
      <c r="A4371" s="121">
        <v>40694</v>
      </c>
      <c r="B4371" t="s">
        <v>406</v>
      </c>
      <c r="C4371" t="s">
        <v>577</v>
      </c>
      <c r="D4371" t="s">
        <v>592</v>
      </c>
      <c r="E4371" t="s">
        <v>593</v>
      </c>
      <c r="F4371" t="s">
        <v>410</v>
      </c>
      <c r="G4371">
        <v>655</v>
      </c>
      <c r="H4371">
        <v>655</v>
      </c>
      <c r="I4371">
        <v>655</v>
      </c>
      <c r="J4371">
        <v>655</v>
      </c>
      <c r="K4371">
        <v>0</v>
      </c>
      <c r="L4371">
        <v>0</v>
      </c>
      <c r="M4371">
        <v>576</v>
      </c>
      <c r="N4371">
        <v>48</v>
      </c>
      <c r="O4371">
        <v>31</v>
      </c>
      <c r="P4371">
        <v>0</v>
      </c>
      <c r="Q4371">
        <v>0</v>
      </c>
    </row>
    <row r="4372" spans="1:17" x14ac:dyDescent="0.2">
      <c r="A4372" s="121">
        <v>40694</v>
      </c>
      <c r="B4372" t="s">
        <v>406</v>
      </c>
      <c r="C4372" t="s">
        <v>594</v>
      </c>
      <c r="D4372" t="s">
        <v>595</v>
      </c>
      <c r="E4372" t="s">
        <v>596</v>
      </c>
      <c r="F4372" t="s">
        <v>410</v>
      </c>
      <c r="G4372">
        <v>43</v>
      </c>
      <c r="I4372">
        <v>42</v>
      </c>
    </row>
    <row r="4373" spans="1:17" x14ac:dyDescent="0.2">
      <c r="A4373" s="121">
        <v>40694</v>
      </c>
      <c r="B4373" t="s">
        <v>406</v>
      </c>
      <c r="C4373" t="s">
        <v>594</v>
      </c>
      <c r="D4373" t="s">
        <v>597</v>
      </c>
      <c r="E4373" t="s">
        <v>598</v>
      </c>
      <c r="F4373" t="s">
        <v>413</v>
      </c>
      <c r="G4373">
        <v>553</v>
      </c>
      <c r="H4373">
        <v>553</v>
      </c>
      <c r="I4373">
        <v>541</v>
      </c>
      <c r="J4373">
        <v>541</v>
      </c>
      <c r="K4373">
        <v>116</v>
      </c>
      <c r="L4373">
        <v>0</v>
      </c>
      <c r="M4373">
        <v>422</v>
      </c>
      <c r="N4373">
        <v>12</v>
      </c>
      <c r="O4373">
        <v>3</v>
      </c>
      <c r="P4373">
        <v>0</v>
      </c>
      <c r="Q4373">
        <v>0</v>
      </c>
    </row>
    <row r="4374" spans="1:17" x14ac:dyDescent="0.2">
      <c r="A4374" s="121">
        <v>40694</v>
      </c>
      <c r="B4374" t="s">
        <v>406</v>
      </c>
      <c r="C4374" t="s">
        <v>594</v>
      </c>
      <c r="D4374" t="s">
        <v>599</v>
      </c>
      <c r="E4374" t="s">
        <v>600</v>
      </c>
      <c r="F4374" t="s">
        <v>410</v>
      </c>
      <c r="G4374">
        <v>122</v>
      </c>
      <c r="I4374">
        <v>122</v>
      </c>
    </row>
    <row r="4375" spans="1:17" x14ac:dyDescent="0.2">
      <c r="A4375" s="121">
        <v>40724</v>
      </c>
      <c r="B4375" t="s">
        <v>406</v>
      </c>
      <c r="C4375" t="s">
        <v>407</v>
      </c>
      <c r="D4375" t="s">
        <v>408</v>
      </c>
      <c r="E4375" t="s">
        <v>409</v>
      </c>
      <c r="F4375" t="s">
        <v>410</v>
      </c>
      <c r="G4375">
        <v>260</v>
      </c>
      <c r="I4375">
        <v>260</v>
      </c>
    </row>
    <row r="4376" spans="1:17" x14ac:dyDescent="0.2">
      <c r="A4376" s="121">
        <v>40724</v>
      </c>
      <c r="B4376" t="s">
        <v>406</v>
      </c>
      <c r="C4376" t="s">
        <v>407</v>
      </c>
      <c r="D4376" t="s">
        <v>601</v>
      </c>
      <c r="E4376" t="s">
        <v>602</v>
      </c>
      <c r="F4376" t="s">
        <v>410</v>
      </c>
      <c r="G4376">
        <v>44</v>
      </c>
      <c r="I4376">
        <v>44</v>
      </c>
    </row>
    <row r="4377" spans="1:17" x14ac:dyDescent="0.2">
      <c r="A4377" s="121">
        <v>40724</v>
      </c>
      <c r="B4377" t="s">
        <v>406</v>
      </c>
      <c r="C4377" t="s">
        <v>407</v>
      </c>
      <c r="D4377" t="s">
        <v>411</v>
      </c>
      <c r="E4377" t="s">
        <v>412</v>
      </c>
      <c r="F4377" t="s">
        <v>413</v>
      </c>
      <c r="G4377">
        <v>5984</v>
      </c>
      <c r="H4377">
        <v>5984</v>
      </c>
      <c r="I4377">
        <v>5772</v>
      </c>
      <c r="J4377">
        <v>5772</v>
      </c>
      <c r="K4377">
        <v>2364</v>
      </c>
      <c r="L4377">
        <v>7</v>
      </c>
      <c r="M4377">
        <v>3195</v>
      </c>
      <c r="N4377">
        <v>141</v>
      </c>
      <c r="O4377">
        <v>277</v>
      </c>
      <c r="P4377">
        <v>4</v>
      </c>
      <c r="Q4377">
        <v>0</v>
      </c>
    </row>
    <row r="4378" spans="1:17" x14ac:dyDescent="0.2">
      <c r="A4378" s="121">
        <v>40724</v>
      </c>
      <c r="B4378" t="s">
        <v>406</v>
      </c>
      <c r="C4378" t="s">
        <v>407</v>
      </c>
      <c r="D4378" t="s">
        <v>416</v>
      </c>
      <c r="E4378" t="s">
        <v>417</v>
      </c>
      <c r="F4378" t="s">
        <v>413</v>
      </c>
      <c r="G4378">
        <v>3920</v>
      </c>
      <c r="H4378">
        <v>3920</v>
      </c>
      <c r="I4378">
        <v>3734</v>
      </c>
      <c r="J4378">
        <v>3734</v>
      </c>
      <c r="K4378">
        <v>1271</v>
      </c>
      <c r="L4378">
        <v>9</v>
      </c>
      <c r="M4378">
        <v>2438</v>
      </c>
      <c r="N4378">
        <v>138</v>
      </c>
      <c r="O4378">
        <v>64</v>
      </c>
      <c r="P4378">
        <v>7</v>
      </c>
      <c r="Q4378">
        <v>0</v>
      </c>
    </row>
    <row r="4379" spans="1:17" x14ac:dyDescent="0.2">
      <c r="A4379" s="121">
        <v>40724</v>
      </c>
      <c r="B4379" t="s">
        <v>406</v>
      </c>
      <c r="C4379" t="s">
        <v>407</v>
      </c>
      <c r="D4379" t="s">
        <v>618</v>
      </c>
      <c r="E4379" t="s">
        <v>619</v>
      </c>
      <c r="F4379" t="s">
        <v>410</v>
      </c>
      <c r="G4379">
        <v>118</v>
      </c>
      <c r="I4379">
        <v>118</v>
      </c>
    </row>
    <row r="4380" spans="1:17" x14ac:dyDescent="0.2">
      <c r="A4380" s="121">
        <v>40724</v>
      </c>
      <c r="B4380" t="s">
        <v>406</v>
      </c>
      <c r="C4380" t="s">
        <v>418</v>
      </c>
      <c r="D4380" t="s">
        <v>419</v>
      </c>
      <c r="E4380" t="s">
        <v>420</v>
      </c>
      <c r="F4380" t="s">
        <v>410</v>
      </c>
      <c r="G4380">
        <v>20</v>
      </c>
      <c r="I4380">
        <v>20</v>
      </c>
    </row>
    <row r="4381" spans="1:17" x14ac:dyDescent="0.2">
      <c r="A4381" s="121">
        <v>40724</v>
      </c>
      <c r="B4381" t="s">
        <v>406</v>
      </c>
      <c r="C4381" t="s">
        <v>418</v>
      </c>
      <c r="D4381" t="s">
        <v>421</v>
      </c>
      <c r="E4381" t="s">
        <v>422</v>
      </c>
      <c r="F4381" t="s">
        <v>410</v>
      </c>
      <c r="G4381">
        <v>131</v>
      </c>
      <c r="I4381">
        <v>131</v>
      </c>
    </row>
    <row r="4382" spans="1:17" x14ac:dyDescent="0.2">
      <c r="A4382" s="121">
        <v>40724</v>
      </c>
      <c r="B4382" t="s">
        <v>406</v>
      </c>
      <c r="C4382" t="s">
        <v>418</v>
      </c>
      <c r="D4382" t="s">
        <v>423</v>
      </c>
      <c r="E4382" t="s">
        <v>424</v>
      </c>
      <c r="F4382" t="s">
        <v>410</v>
      </c>
      <c r="G4382">
        <v>14</v>
      </c>
      <c r="I4382">
        <v>14</v>
      </c>
    </row>
    <row r="4383" spans="1:17" x14ac:dyDescent="0.2">
      <c r="A4383" s="121">
        <v>40724</v>
      </c>
      <c r="B4383" t="s">
        <v>406</v>
      </c>
      <c r="C4383" t="s">
        <v>418</v>
      </c>
      <c r="D4383" t="s">
        <v>425</v>
      </c>
      <c r="E4383" t="s">
        <v>426</v>
      </c>
      <c r="F4383" t="s">
        <v>410</v>
      </c>
      <c r="G4383">
        <v>74</v>
      </c>
      <c r="I4383">
        <v>74</v>
      </c>
    </row>
    <row r="4384" spans="1:17" x14ac:dyDescent="0.2">
      <c r="A4384" s="121">
        <v>40724</v>
      </c>
      <c r="B4384" t="s">
        <v>406</v>
      </c>
      <c r="C4384" t="s">
        <v>418</v>
      </c>
      <c r="D4384" t="s">
        <v>427</v>
      </c>
      <c r="E4384" t="s">
        <v>428</v>
      </c>
      <c r="F4384" t="s">
        <v>413</v>
      </c>
      <c r="G4384">
        <v>2041</v>
      </c>
      <c r="H4384">
        <v>2041</v>
      </c>
      <c r="I4384">
        <v>2017</v>
      </c>
      <c r="J4384">
        <v>2017</v>
      </c>
      <c r="K4384">
        <v>724</v>
      </c>
      <c r="L4384">
        <v>5</v>
      </c>
      <c r="M4384">
        <v>885</v>
      </c>
      <c r="N4384">
        <v>398</v>
      </c>
      <c r="O4384">
        <v>29</v>
      </c>
      <c r="P4384">
        <v>0</v>
      </c>
      <c r="Q4384">
        <v>0</v>
      </c>
    </row>
    <row r="4385" spans="1:17" x14ac:dyDescent="0.2">
      <c r="A4385" s="121">
        <v>40724</v>
      </c>
      <c r="B4385" t="s">
        <v>406</v>
      </c>
      <c r="C4385" t="s">
        <v>429</v>
      </c>
      <c r="D4385" t="s">
        <v>430</v>
      </c>
      <c r="E4385" t="s">
        <v>431</v>
      </c>
      <c r="F4385" t="s">
        <v>410</v>
      </c>
      <c r="G4385">
        <v>36</v>
      </c>
      <c r="I4385">
        <v>36</v>
      </c>
    </row>
    <row r="4386" spans="1:17" x14ac:dyDescent="0.2">
      <c r="A4386" s="121">
        <v>40724</v>
      </c>
      <c r="B4386" t="s">
        <v>406</v>
      </c>
      <c r="C4386" t="s">
        <v>429</v>
      </c>
      <c r="D4386" t="s">
        <v>432</v>
      </c>
      <c r="E4386" t="s">
        <v>433</v>
      </c>
      <c r="F4386" t="s">
        <v>410</v>
      </c>
      <c r="G4386">
        <v>68</v>
      </c>
      <c r="I4386">
        <v>68</v>
      </c>
    </row>
    <row r="4387" spans="1:17" x14ac:dyDescent="0.2">
      <c r="A4387" s="121">
        <v>40724</v>
      </c>
      <c r="B4387" t="s">
        <v>406</v>
      </c>
      <c r="C4387" t="s">
        <v>429</v>
      </c>
      <c r="D4387" t="s">
        <v>434</v>
      </c>
      <c r="E4387" t="s">
        <v>435</v>
      </c>
      <c r="F4387" t="s">
        <v>410</v>
      </c>
      <c r="G4387">
        <v>5</v>
      </c>
      <c r="I4387">
        <v>5</v>
      </c>
    </row>
    <row r="4388" spans="1:17" x14ac:dyDescent="0.2">
      <c r="A4388" s="121">
        <v>40724</v>
      </c>
      <c r="B4388" t="s">
        <v>406</v>
      </c>
      <c r="C4388" t="s">
        <v>429</v>
      </c>
      <c r="D4388" t="s">
        <v>436</v>
      </c>
      <c r="E4388" t="s">
        <v>437</v>
      </c>
      <c r="F4388" t="s">
        <v>410</v>
      </c>
      <c r="G4388">
        <v>42</v>
      </c>
      <c r="I4388">
        <v>42</v>
      </c>
    </row>
    <row r="4389" spans="1:17" x14ac:dyDescent="0.2">
      <c r="A4389" s="121">
        <v>40724</v>
      </c>
      <c r="B4389" t="s">
        <v>406</v>
      </c>
      <c r="C4389" t="s">
        <v>429</v>
      </c>
      <c r="D4389" t="s">
        <v>438</v>
      </c>
      <c r="E4389" t="s">
        <v>439</v>
      </c>
      <c r="F4389" t="s">
        <v>413</v>
      </c>
      <c r="G4389">
        <v>1071</v>
      </c>
      <c r="H4389">
        <v>1071</v>
      </c>
      <c r="I4389">
        <v>1053</v>
      </c>
      <c r="J4389">
        <v>1053</v>
      </c>
      <c r="K4389">
        <v>109</v>
      </c>
      <c r="L4389">
        <v>0</v>
      </c>
      <c r="M4389">
        <v>940</v>
      </c>
      <c r="N4389">
        <v>22</v>
      </c>
      <c r="O4389">
        <v>0</v>
      </c>
      <c r="P4389">
        <v>1</v>
      </c>
      <c r="Q4389">
        <v>0</v>
      </c>
    </row>
    <row r="4390" spans="1:17" x14ac:dyDescent="0.2">
      <c r="A4390" s="121">
        <v>40724</v>
      </c>
      <c r="B4390" t="s">
        <v>406</v>
      </c>
      <c r="C4390" t="s">
        <v>429</v>
      </c>
      <c r="D4390" t="s">
        <v>440</v>
      </c>
      <c r="E4390" t="s">
        <v>441</v>
      </c>
      <c r="F4390" t="s">
        <v>413</v>
      </c>
      <c r="G4390">
        <v>2801</v>
      </c>
      <c r="H4390">
        <v>2801</v>
      </c>
      <c r="I4390">
        <v>2670</v>
      </c>
      <c r="J4390">
        <v>2670</v>
      </c>
      <c r="K4390">
        <v>816</v>
      </c>
      <c r="L4390">
        <v>3</v>
      </c>
      <c r="M4390">
        <v>1884</v>
      </c>
      <c r="N4390">
        <v>97</v>
      </c>
      <c r="O4390">
        <v>1</v>
      </c>
      <c r="P4390">
        <v>1</v>
      </c>
      <c r="Q4390">
        <v>0</v>
      </c>
    </row>
    <row r="4391" spans="1:17" x14ac:dyDescent="0.2">
      <c r="A4391" s="121">
        <v>40724</v>
      </c>
      <c r="B4391" t="s">
        <v>406</v>
      </c>
      <c r="C4391" t="s">
        <v>442</v>
      </c>
      <c r="D4391" t="s">
        <v>443</v>
      </c>
      <c r="E4391" t="s">
        <v>444</v>
      </c>
      <c r="F4391" t="s">
        <v>413</v>
      </c>
      <c r="G4391">
        <v>2690</v>
      </c>
      <c r="H4391">
        <v>2690</v>
      </c>
      <c r="I4391">
        <v>2648</v>
      </c>
      <c r="J4391">
        <v>2648</v>
      </c>
      <c r="K4391">
        <v>220</v>
      </c>
      <c r="L4391">
        <v>4</v>
      </c>
      <c r="M4391">
        <v>2111</v>
      </c>
      <c r="N4391">
        <v>207</v>
      </c>
      <c r="O4391">
        <v>148</v>
      </c>
      <c r="P4391">
        <v>3</v>
      </c>
      <c r="Q4391">
        <v>0</v>
      </c>
    </row>
    <row r="4392" spans="1:17" x14ac:dyDescent="0.2">
      <c r="A4392" s="121">
        <v>40724</v>
      </c>
      <c r="B4392" t="s">
        <v>406</v>
      </c>
      <c r="C4392" t="s">
        <v>442</v>
      </c>
      <c r="D4392" t="s">
        <v>445</v>
      </c>
      <c r="E4392" t="s">
        <v>446</v>
      </c>
      <c r="F4392" t="s">
        <v>410</v>
      </c>
      <c r="G4392">
        <v>114</v>
      </c>
      <c r="I4392">
        <v>114</v>
      </c>
    </row>
    <row r="4393" spans="1:17" x14ac:dyDescent="0.2">
      <c r="A4393" s="121">
        <v>40724</v>
      </c>
      <c r="B4393" t="s">
        <v>406</v>
      </c>
      <c r="C4393" t="s">
        <v>442</v>
      </c>
      <c r="D4393" t="s">
        <v>447</v>
      </c>
      <c r="E4393" t="s">
        <v>448</v>
      </c>
      <c r="F4393" t="s">
        <v>410</v>
      </c>
      <c r="G4393">
        <v>500</v>
      </c>
      <c r="I4393">
        <v>500</v>
      </c>
    </row>
    <row r="4394" spans="1:17" x14ac:dyDescent="0.2">
      <c r="A4394" s="121">
        <v>40724</v>
      </c>
      <c r="B4394" t="s">
        <v>406</v>
      </c>
      <c r="C4394" t="s">
        <v>442</v>
      </c>
      <c r="D4394" t="s">
        <v>449</v>
      </c>
      <c r="E4394" t="s">
        <v>450</v>
      </c>
      <c r="F4394" t="s">
        <v>413</v>
      </c>
      <c r="G4394">
        <v>4396</v>
      </c>
      <c r="H4394">
        <v>4396</v>
      </c>
      <c r="I4394">
        <v>3890</v>
      </c>
      <c r="J4394">
        <v>3890</v>
      </c>
      <c r="K4394">
        <v>933</v>
      </c>
      <c r="L4394">
        <v>12</v>
      </c>
      <c r="M4394">
        <v>3154</v>
      </c>
      <c r="N4394">
        <v>237</v>
      </c>
      <c r="O4394">
        <v>60</v>
      </c>
      <c r="P4394">
        <v>79</v>
      </c>
      <c r="Q4394">
        <v>20</v>
      </c>
    </row>
    <row r="4395" spans="1:17" x14ac:dyDescent="0.2">
      <c r="A4395" s="121">
        <v>40724</v>
      </c>
      <c r="B4395" t="s">
        <v>406</v>
      </c>
      <c r="C4395" t="s">
        <v>451</v>
      </c>
      <c r="D4395" t="s">
        <v>452</v>
      </c>
      <c r="E4395" t="s">
        <v>453</v>
      </c>
      <c r="F4395" t="s">
        <v>410</v>
      </c>
      <c r="G4395">
        <v>1435</v>
      </c>
      <c r="H4395">
        <v>1435</v>
      </c>
      <c r="I4395">
        <v>1435</v>
      </c>
      <c r="J4395">
        <v>1435</v>
      </c>
      <c r="K4395">
        <v>4</v>
      </c>
      <c r="L4395">
        <v>0</v>
      </c>
      <c r="M4395">
        <v>1250</v>
      </c>
      <c r="N4395">
        <v>94</v>
      </c>
      <c r="O4395">
        <v>87</v>
      </c>
      <c r="P4395">
        <v>0</v>
      </c>
      <c r="Q4395">
        <v>0</v>
      </c>
    </row>
    <row r="4396" spans="1:17" x14ac:dyDescent="0.2">
      <c r="A4396" s="121">
        <v>40724</v>
      </c>
      <c r="B4396" t="s">
        <v>406</v>
      </c>
      <c r="C4396" t="s">
        <v>451</v>
      </c>
      <c r="D4396" t="s">
        <v>454</v>
      </c>
      <c r="E4396" t="s">
        <v>455</v>
      </c>
      <c r="F4396" t="s">
        <v>413</v>
      </c>
      <c r="G4396">
        <v>4768</v>
      </c>
      <c r="H4396">
        <v>4768</v>
      </c>
      <c r="I4396">
        <v>4399</v>
      </c>
      <c r="J4396">
        <v>4399</v>
      </c>
      <c r="K4396">
        <v>1237</v>
      </c>
      <c r="L4396">
        <v>7</v>
      </c>
      <c r="M4396">
        <v>3291</v>
      </c>
      <c r="N4396">
        <v>141</v>
      </c>
      <c r="O4396">
        <v>92</v>
      </c>
      <c r="P4396">
        <v>7</v>
      </c>
      <c r="Q4396">
        <v>0</v>
      </c>
    </row>
    <row r="4397" spans="1:17" x14ac:dyDescent="0.2">
      <c r="A4397" s="121">
        <v>40724</v>
      </c>
      <c r="B4397" t="s">
        <v>406</v>
      </c>
      <c r="C4397" t="s">
        <v>456</v>
      </c>
      <c r="D4397" t="s">
        <v>457</v>
      </c>
      <c r="E4397" t="s">
        <v>458</v>
      </c>
      <c r="F4397" t="s">
        <v>413</v>
      </c>
      <c r="G4397">
        <v>5199</v>
      </c>
      <c r="H4397">
        <v>5199</v>
      </c>
      <c r="I4397">
        <v>5078</v>
      </c>
      <c r="J4397">
        <v>5078</v>
      </c>
      <c r="K4397">
        <v>1317</v>
      </c>
      <c r="L4397">
        <v>18</v>
      </c>
      <c r="M4397">
        <v>3743</v>
      </c>
      <c r="N4397">
        <v>73</v>
      </c>
      <c r="O4397">
        <v>48</v>
      </c>
      <c r="P4397">
        <v>3</v>
      </c>
      <c r="Q4397">
        <v>1</v>
      </c>
    </row>
    <row r="4398" spans="1:17" x14ac:dyDescent="0.2">
      <c r="A4398" s="121">
        <v>40724</v>
      </c>
      <c r="B4398" t="s">
        <v>406</v>
      </c>
      <c r="C4398" t="s">
        <v>456</v>
      </c>
      <c r="D4398" t="s">
        <v>459</v>
      </c>
      <c r="E4398" t="s">
        <v>460</v>
      </c>
      <c r="F4398" t="s">
        <v>413</v>
      </c>
      <c r="G4398">
        <v>1567</v>
      </c>
      <c r="H4398">
        <v>1567</v>
      </c>
      <c r="I4398">
        <v>1562</v>
      </c>
      <c r="J4398">
        <v>1562</v>
      </c>
      <c r="K4398">
        <v>366</v>
      </c>
      <c r="L4398">
        <v>0</v>
      </c>
      <c r="M4398">
        <v>1200</v>
      </c>
      <c r="N4398">
        <v>0</v>
      </c>
      <c r="O4398">
        <v>1</v>
      </c>
      <c r="P4398">
        <v>0</v>
      </c>
      <c r="Q4398">
        <v>0</v>
      </c>
    </row>
    <row r="4399" spans="1:17" x14ac:dyDescent="0.2">
      <c r="A4399" s="121">
        <v>40724</v>
      </c>
      <c r="B4399" t="s">
        <v>406</v>
      </c>
      <c r="C4399" t="s">
        <v>456</v>
      </c>
      <c r="D4399" t="s">
        <v>461</v>
      </c>
      <c r="E4399" t="s">
        <v>462</v>
      </c>
      <c r="F4399" t="s">
        <v>410</v>
      </c>
      <c r="G4399">
        <v>28</v>
      </c>
      <c r="I4399">
        <v>28</v>
      </c>
    </row>
    <row r="4400" spans="1:17" x14ac:dyDescent="0.2">
      <c r="A4400" s="121">
        <v>40724</v>
      </c>
      <c r="B4400" t="s">
        <v>406</v>
      </c>
      <c r="C4400" t="s">
        <v>456</v>
      </c>
      <c r="D4400" t="s">
        <v>463</v>
      </c>
      <c r="E4400" t="s">
        <v>464</v>
      </c>
      <c r="F4400" t="s">
        <v>410</v>
      </c>
      <c r="G4400">
        <v>29</v>
      </c>
      <c r="I4400">
        <v>29</v>
      </c>
    </row>
    <row r="4401" spans="1:17" x14ac:dyDescent="0.2">
      <c r="A4401" s="121">
        <v>40724</v>
      </c>
      <c r="B4401" t="s">
        <v>406</v>
      </c>
      <c r="C4401" t="s">
        <v>456</v>
      </c>
      <c r="D4401" t="s">
        <v>465</v>
      </c>
      <c r="E4401" t="s">
        <v>466</v>
      </c>
      <c r="F4401" t="s">
        <v>410</v>
      </c>
      <c r="G4401">
        <v>58</v>
      </c>
      <c r="I4401">
        <v>58</v>
      </c>
    </row>
    <row r="4402" spans="1:17" x14ac:dyDescent="0.2">
      <c r="A4402" s="121">
        <v>40724</v>
      </c>
      <c r="B4402" t="s">
        <v>406</v>
      </c>
      <c r="C4402" t="s">
        <v>456</v>
      </c>
      <c r="D4402" t="s">
        <v>467</v>
      </c>
      <c r="E4402" t="s">
        <v>468</v>
      </c>
      <c r="F4402" t="s">
        <v>410</v>
      </c>
      <c r="G4402">
        <v>1046</v>
      </c>
      <c r="I4402">
        <v>1045</v>
      </c>
    </row>
    <row r="4403" spans="1:17" x14ac:dyDescent="0.2">
      <c r="A4403" s="121">
        <v>40724</v>
      </c>
      <c r="B4403" t="s">
        <v>406</v>
      </c>
      <c r="C4403" t="s">
        <v>456</v>
      </c>
      <c r="D4403" t="s">
        <v>469</v>
      </c>
      <c r="E4403" t="s">
        <v>470</v>
      </c>
      <c r="F4403" t="s">
        <v>410</v>
      </c>
      <c r="G4403">
        <v>821</v>
      </c>
      <c r="I4403">
        <v>821</v>
      </c>
    </row>
    <row r="4404" spans="1:17" x14ac:dyDescent="0.2">
      <c r="A4404" s="121">
        <v>40724</v>
      </c>
      <c r="B4404" t="s">
        <v>406</v>
      </c>
      <c r="C4404" t="s">
        <v>456</v>
      </c>
      <c r="D4404" t="s">
        <v>471</v>
      </c>
      <c r="E4404" t="s">
        <v>472</v>
      </c>
      <c r="F4404" t="s">
        <v>410</v>
      </c>
      <c r="G4404">
        <v>306</v>
      </c>
      <c r="I4404">
        <v>306</v>
      </c>
    </row>
    <row r="4405" spans="1:17" x14ac:dyDescent="0.2">
      <c r="A4405" s="121">
        <v>40724</v>
      </c>
      <c r="B4405" t="s">
        <v>406</v>
      </c>
      <c r="C4405" t="s">
        <v>456</v>
      </c>
      <c r="D4405" t="s">
        <v>473</v>
      </c>
      <c r="E4405" t="s">
        <v>474</v>
      </c>
      <c r="F4405" t="s">
        <v>410</v>
      </c>
      <c r="G4405">
        <v>186</v>
      </c>
      <c r="I4405">
        <v>186</v>
      </c>
    </row>
    <row r="4406" spans="1:17" x14ac:dyDescent="0.2">
      <c r="A4406" s="121">
        <v>40724</v>
      </c>
      <c r="B4406" t="s">
        <v>406</v>
      </c>
      <c r="C4406" t="s">
        <v>456</v>
      </c>
      <c r="D4406" t="s">
        <v>475</v>
      </c>
      <c r="E4406" t="s">
        <v>476</v>
      </c>
      <c r="F4406" t="s">
        <v>410</v>
      </c>
      <c r="G4406">
        <v>381</v>
      </c>
      <c r="I4406">
        <v>381</v>
      </c>
    </row>
    <row r="4407" spans="1:17" x14ac:dyDescent="0.2">
      <c r="A4407" s="121">
        <v>40724</v>
      </c>
      <c r="B4407" t="s">
        <v>406</v>
      </c>
      <c r="C4407" t="s">
        <v>456</v>
      </c>
      <c r="D4407" t="s">
        <v>477</v>
      </c>
      <c r="E4407" t="s">
        <v>478</v>
      </c>
      <c r="F4407" t="s">
        <v>413</v>
      </c>
      <c r="G4407">
        <v>2041</v>
      </c>
      <c r="H4407">
        <v>2041</v>
      </c>
      <c r="I4407">
        <v>1940</v>
      </c>
      <c r="J4407">
        <v>1940</v>
      </c>
      <c r="K4407">
        <v>414</v>
      </c>
      <c r="L4407">
        <v>6</v>
      </c>
      <c r="M4407">
        <v>1582</v>
      </c>
      <c r="N4407">
        <v>24</v>
      </c>
      <c r="O4407">
        <v>15</v>
      </c>
      <c r="P4407">
        <v>10</v>
      </c>
      <c r="Q4407">
        <v>0</v>
      </c>
    </row>
    <row r="4408" spans="1:17" x14ac:dyDescent="0.2">
      <c r="A4408" s="121">
        <v>40724</v>
      </c>
      <c r="B4408" t="s">
        <v>406</v>
      </c>
      <c r="C4408" t="s">
        <v>456</v>
      </c>
      <c r="D4408" t="s">
        <v>479</v>
      </c>
      <c r="E4408" t="s">
        <v>480</v>
      </c>
      <c r="F4408" t="s">
        <v>410</v>
      </c>
      <c r="G4408">
        <v>83</v>
      </c>
      <c r="I4408">
        <v>83</v>
      </c>
    </row>
    <row r="4409" spans="1:17" x14ac:dyDescent="0.2">
      <c r="A4409" s="121">
        <v>40724</v>
      </c>
      <c r="B4409" t="s">
        <v>406</v>
      </c>
      <c r="C4409" t="s">
        <v>456</v>
      </c>
      <c r="D4409" t="s">
        <v>481</v>
      </c>
      <c r="E4409" t="s">
        <v>482</v>
      </c>
      <c r="F4409" t="s">
        <v>410</v>
      </c>
      <c r="G4409">
        <v>37</v>
      </c>
      <c r="I4409">
        <v>37</v>
      </c>
    </row>
    <row r="4410" spans="1:17" x14ac:dyDescent="0.2">
      <c r="A4410" s="121">
        <v>40724</v>
      </c>
      <c r="B4410" t="s">
        <v>406</v>
      </c>
      <c r="C4410" t="s">
        <v>456</v>
      </c>
      <c r="D4410" t="s">
        <v>483</v>
      </c>
      <c r="E4410" t="s">
        <v>484</v>
      </c>
      <c r="F4410" t="s">
        <v>410</v>
      </c>
      <c r="G4410">
        <v>78</v>
      </c>
      <c r="I4410">
        <v>78</v>
      </c>
    </row>
    <row r="4411" spans="1:17" x14ac:dyDescent="0.2">
      <c r="A4411" s="121">
        <v>40724</v>
      </c>
      <c r="B4411" t="s">
        <v>406</v>
      </c>
      <c r="C4411" t="s">
        <v>456</v>
      </c>
      <c r="D4411" t="s">
        <v>485</v>
      </c>
      <c r="E4411" t="s">
        <v>486</v>
      </c>
      <c r="F4411" t="s">
        <v>410</v>
      </c>
      <c r="G4411">
        <v>51</v>
      </c>
      <c r="I4411">
        <v>51</v>
      </c>
    </row>
    <row r="4412" spans="1:17" x14ac:dyDescent="0.2">
      <c r="A4412" s="121">
        <v>40724</v>
      </c>
      <c r="B4412" t="s">
        <v>406</v>
      </c>
      <c r="C4412" t="s">
        <v>456</v>
      </c>
      <c r="D4412" t="s">
        <v>487</v>
      </c>
      <c r="E4412" t="s">
        <v>488</v>
      </c>
      <c r="F4412" t="s">
        <v>410</v>
      </c>
      <c r="G4412">
        <v>42</v>
      </c>
      <c r="I4412">
        <v>42</v>
      </c>
    </row>
    <row r="4413" spans="1:17" x14ac:dyDescent="0.2">
      <c r="A4413" s="121">
        <v>40724</v>
      </c>
      <c r="B4413" t="s">
        <v>406</v>
      </c>
      <c r="C4413" t="s">
        <v>456</v>
      </c>
      <c r="D4413" t="s">
        <v>489</v>
      </c>
      <c r="E4413" t="s">
        <v>490</v>
      </c>
      <c r="F4413" t="s">
        <v>410</v>
      </c>
      <c r="G4413">
        <v>106</v>
      </c>
      <c r="H4413">
        <v>106</v>
      </c>
      <c r="I4413">
        <v>106</v>
      </c>
      <c r="J4413">
        <v>106</v>
      </c>
      <c r="K4413">
        <v>0</v>
      </c>
      <c r="L4413">
        <v>1</v>
      </c>
      <c r="M4413">
        <v>83</v>
      </c>
      <c r="N4413">
        <v>22</v>
      </c>
      <c r="O4413">
        <v>0</v>
      </c>
      <c r="P4413">
        <v>0</v>
      </c>
      <c r="Q4413">
        <v>0</v>
      </c>
    </row>
    <row r="4414" spans="1:17" x14ac:dyDescent="0.2">
      <c r="A4414" s="121">
        <v>40724</v>
      </c>
      <c r="B4414" t="s">
        <v>406</v>
      </c>
      <c r="C4414" t="s">
        <v>491</v>
      </c>
      <c r="D4414" t="s">
        <v>492</v>
      </c>
      <c r="E4414" t="s">
        <v>493</v>
      </c>
      <c r="F4414" t="s">
        <v>410</v>
      </c>
      <c r="G4414">
        <v>1229</v>
      </c>
      <c r="H4414">
        <v>1229</v>
      </c>
      <c r="I4414">
        <v>1210</v>
      </c>
      <c r="J4414">
        <v>1210</v>
      </c>
      <c r="K4414">
        <v>201</v>
      </c>
      <c r="L4414">
        <v>0</v>
      </c>
      <c r="M4414">
        <v>0</v>
      </c>
      <c r="N4414">
        <v>8</v>
      </c>
      <c r="O4414">
        <v>1020</v>
      </c>
      <c r="P4414">
        <v>0</v>
      </c>
      <c r="Q4414">
        <v>0</v>
      </c>
    </row>
    <row r="4415" spans="1:17" x14ac:dyDescent="0.2">
      <c r="A4415" s="121">
        <v>40724</v>
      </c>
      <c r="B4415" t="s">
        <v>406</v>
      </c>
      <c r="C4415" t="s">
        <v>491</v>
      </c>
      <c r="D4415" t="s">
        <v>494</v>
      </c>
      <c r="E4415" t="s">
        <v>495</v>
      </c>
      <c r="F4415" t="s">
        <v>413</v>
      </c>
      <c r="G4415">
        <v>2920</v>
      </c>
      <c r="H4415">
        <v>2920</v>
      </c>
      <c r="I4415">
        <v>2822</v>
      </c>
      <c r="J4415">
        <v>2822</v>
      </c>
      <c r="K4415">
        <v>0</v>
      </c>
      <c r="L4415">
        <v>0</v>
      </c>
      <c r="M4415">
        <v>6</v>
      </c>
      <c r="N4415">
        <v>16</v>
      </c>
      <c r="O4415">
        <v>2898</v>
      </c>
      <c r="P4415">
        <v>0</v>
      </c>
      <c r="Q4415">
        <v>0</v>
      </c>
    </row>
    <row r="4416" spans="1:17" x14ac:dyDescent="0.2">
      <c r="A4416" s="121">
        <v>40724</v>
      </c>
      <c r="B4416" t="s">
        <v>406</v>
      </c>
      <c r="C4416" t="s">
        <v>491</v>
      </c>
      <c r="D4416" t="s">
        <v>496</v>
      </c>
      <c r="E4416" t="s">
        <v>497</v>
      </c>
      <c r="F4416" t="s">
        <v>413</v>
      </c>
      <c r="G4416">
        <v>6412</v>
      </c>
      <c r="H4416">
        <v>6412</v>
      </c>
      <c r="I4416">
        <v>5887</v>
      </c>
      <c r="J4416">
        <v>5887</v>
      </c>
      <c r="K4416">
        <v>742</v>
      </c>
      <c r="L4416">
        <v>0</v>
      </c>
      <c r="M4416">
        <v>22</v>
      </c>
      <c r="N4416">
        <v>74</v>
      </c>
      <c r="O4416">
        <v>5574</v>
      </c>
      <c r="P4416">
        <v>11</v>
      </c>
      <c r="Q4416">
        <v>0</v>
      </c>
    </row>
    <row r="4417" spans="1:17" x14ac:dyDescent="0.2">
      <c r="A4417" s="121">
        <v>40724</v>
      </c>
      <c r="B4417" t="s">
        <v>406</v>
      </c>
      <c r="C4417" t="s">
        <v>491</v>
      </c>
      <c r="D4417" t="s">
        <v>498</v>
      </c>
      <c r="E4417" t="s">
        <v>499</v>
      </c>
      <c r="F4417" t="s">
        <v>413</v>
      </c>
      <c r="G4417">
        <v>7022</v>
      </c>
      <c r="H4417">
        <v>7022</v>
      </c>
      <c r="I4417">
        <v>6799</v>
      </c>
      <c r="J4417">
        <v>6799</v>
      </c>
      <c r="K4417">
        <v>1749</v>
      </c>
      <c r="L4417">
        <v>20</v>
      </c>
      <c r="M4417">
        <v>4750</v>
      </c>
      <c r="N4417">
        <v>141</v>
      </c>
      <c r="O4417">
        <v>362</v>
      </c>
      <c r="P4417">
        <v>4</v>
      </c>
      <c r="Q4417">
        <v>0</v>
      </c>
    </row>
    <row r="4418" spans="1:17" x14ac:dyDescent="0.2">
      <c r="A4418" s="121">
        <v>40724</v>
      </c>
      <c r="B4418" t="s">
        <v>406</v>
      </c>
      <c r="C4418" t="s">
        <v>491</v>
      </c>
      <c r="D4418" t="s">
        <v>500</v>
      </c>
      <c r="E4418" t="s">
        <v>620</v>
      </c>
      <c r="F4418" t="s">
        <v>410</v>
      </c>
      <c r="G4418">
        <v>1349</v>
      </c>
      <c r="H4418">
        <v>1349</v>
      </c>
      <c r="I4418">
        <v>1349</v>
      </c>
      <c r="J4418">
        <v>1349</v>
      </c>
      <c r="K4418">
        <v>11</v>
      </c>
      <c r="L4418">
        <v>0</v>
      </c>
      <c r="M4418">
        <v>1228</v>
      </c>
      <c r="N4418">
        <v>9</v>
      </c>
      <c r="O4418">
        <v>101</v>
      </c>
      <c r="P4418">
        <v>0</v>
      </c>
      <c r="Q4418">
        <v>0</v>
      </c>
    </row>
    <row r="4419" spans="1:17" x14ac:dyDescent="0.2">
      <c r="A4419" s="121">
        <v>40724</v>
      </c>
      <c r="B4419" t="s">
        <v>406</v>
      </c>
      <c r="C4419" t="s">
        <v>491</v>
      </c>
      <c r="D4419" t="s">
        <v>502</v>
      </c>
      <c r="E4419" t="s">
        <v>615</v>
      </c>
      <c r="F4419" t="s">
        <v>410</v>
      </c>
      <c r="G4419">
        <v>1512</v>
      </c>
      <c r="H4419">
        <v>1512</v>
      </c>
      <c r="I4419">
        <v>1512</v>
      </c>
      <c r="J4419">
        <v>1512</v>
      </c>
      <c r="K4419">
        <v>0</v>
      </c>
      <c r="L4419">
        <v>1</v>
      </c>
      <c r="M4419">
        <v>1490</v>
      </c>
      <c r="N4419">
        <v>1</v>
      </c>
      <c r="O4419">
        <v>20</v>
      </c>
      <c r="P4419">
        <v>0</v>
      </c>
      <c r="Q4419">
        <v>0</v>
      </c>
    </row>
    <row r="4420" spans="1:17" x14ac:dyDescent="0.2">
      <c r="A4420" s="121">
        <v>40724</v>
      </c>
      <c r="B4420" t="s">
        <v>406</v>
      </c>
      <c r="C4420" t="s">
        <v>491</v>
      </c>
      <c r="D4420" t="s">
        <v>502</v>
      </c>
      <c r="E4420" t="s">
        <v>503</v>
      </c>
      <c r="F4420" t="s">
        <v>413</v>
      </c>
      <c r="G4420">
        <v>5183</v>
      </c>
      <c r="H4420">
        <v>5183</v>
      </c>
      <c r="I4420">
        <v>4924</v>
      </c>
      <c r="J4420">
        <v>4924</v>
      </c>
      <c r="K4420">
        <v>1593</v>
      </c>
      <c r="L4420">
        <v>5</v>
      </c>
      <c r="M4420">
        <v>3394</v>
      </c>
      <c r="N4420">
        <v>92</v>
      </c>
      <c r="O4420">
        <v>99</v>
      </c>
      <c r="P4420">
        <v>8</v>
      </c>
      <c r="Q4420">
        <v>0</v>
      </c>
    </row>
    <row r="4421" spans="1:17" x14ac:dyDescent="0.2">
      <c r="A4421" s="121">
        <v>40724</v>
      </c>
      <c r="B4421" t="s">
        <v>406</v>
      </c>
      <c r="C4421" t="s">
        <v>491</v>
      </c>
      <c r="D4421" t="s">
        <v>504</v>
      </c>
      <c r="E4421" t="s">
        <v>505</v>
      </c>
      <c r="F4421" t="s">
        <v>413</v>
      </c>
      <c r="G4421">
        <v>4006</v>
      </c>
      <c r="H4421">
        <v>4006</v>
      </c>
      <c r="I4421">
        <v>3860</v>
      </c>
      <c r="J4421">
        <v>3860</v>
      </c>
      <c r="K4421">
        <v>1110</v>
      </c>
      <c r="L4421">
        <v>5</v>
      </c>
      <c r="M4421">
        <v>2705</v>
      </c>
      <c r="N4421">
        <v>77</v>
      </c>
      <c r="O4421">
        <v>109</v>
      </c>
      <c r="P4421">
        <v>6</v>
      </c>
      <c r="Q4421">
        <v>1</v>
      </c>
    </row>
    <row r="4422" spans="1:17" x14ac:dyDescent="0.2">
      <c r="A4422" s="121">
        <v>40724</v>
      </c>
      <c r="B4422" t="s">
        <v>406</v>
      </c>
      <c r="C4422" t="s">
        <v>491</v>
      </c>
      <c r="D4422" t="s">
        <v>506</v>
      </c>
      <c r="E4422" t="s">
        <v>507</v>
      </c>
      <c r="F4422" t="s">
        <v>413</v>
      </c>
      <c r="G4422">
        <v>3564</v>
      </c>
      <c r="H4422">
        <v>3564</v>
      </c>
      <c r="I4422">
        <v>3470</v>
      </c>
      <c r="J4422">
        <v>3470</v>
      </c>
      <c r="K4422">
        <v>552</v>
      </c>
      <c r="L4422">
        <v>0</v>
      </c>
      <c r="M4422">
        <v>3004</v>
      </c>
      <c r="N4422">
        <v>4</v>
      </c>
      <c r="O4422">
        <v>4</v>
      </c>
      <c r="P4422">
        <v>1</v>
      </c>
      <c r="Q4422">
        <v>0</v>
      </c>
    </row>
    <row r="4423" spans="1:17" x14ac:dyDescent="0.2">
      <c r="A4423" s="121">
        <v>40724</v>
      </c>
      <c r="B4423" t="s">
        <v>406</v>
      </c>
      <c r="C4423" t="s">
        <v>491</v>
      </c>
      <c r="D4423" t="s">
        <v>508</v>
      </c>
      <c r="E4423" t="s">
        <v>509</v>
      </c>
      <c r="F4423" t="s">
        <v>413</v>
      </c>
      <c r="G4423">
        <v>4793</v>
      </c>
      <c r="H4423">
        <v>4793</v>
      </c>
      <c r="I4423">
        <v>4495</v>
      </c>
      <c r="J4423">
        <v>4495</v>
      </c>
      <c r="K4423">
        <v>1406</v>
      </c>
      <c r="L4423">
        <v>10</v>
      </c>
      <c r="M4423">
        <v>2963</v>
      </c>
      <c r="N4423">
        <v>133</v>
      </c>
      <c r="O4423">
        <v>281</v>
      </c>
      <c r="P4423">
        <v>14</v>
      </c>
      <c r="Q4423">
        <v>0</v>
      </c>
    </row>
    <row r="4424" spans="1:17" x14ac:dyDescent="0.2">
      <c r="A4424" s="121">
        <v>40724</v>
      </c>
      <c r="B4424" t="s">
        <v>406</v>
      </c>
      <c r="C4424" t="s">
        <v>510</v>
      </c>
      <c r="D4424" t="s">
        <v>513</v>
      </c>
      <c r="E4424" t="s">
        <v>514</v>
      </c>
      <c r="F4424" t="s">
        <v>410</v>
      </c>
      <c r="G4424">
        <v>610</v>
      </c>
      <c r="I4424">
        <v>607</v>
      </c>
    </row>
    <row r="4425" spans="1:17" x14ac:dyDescent="0.2">
      <c r="A4425" s="121">
        <v>40724</v>
      </c>
      <c r="B4425" t="s">
        <v>406</v>
      </c>
      <c r="C4425" t="s">
        <v>510</v>
      </c>
      <c r="D4425" t="s">
        <v>515</v>
      </c>
      <c r="E4425" t="s">
        <v>516</v>
      </c>
      <c r="F4425" t="s">
        <v>410</v>
      </c>
      <c r="G4425">
        <v>114</v>
      </c>
      <c r="I4425">
        <v>112</v>
      </c>
    </row>
    <row r="4426" spans="1:17" x14ac:dyDescent="0.2">
      <c r="A4426" s="121">
        <v>40724</v>
      </c>
      <c r="B4426" t="s">
        <v>406</v>
      </c>
      <c r="C4426" t="s">
        <v>510</v>
      </c>
      <c r="D4426" t="s">
        <v>519</v>
      </c>
      <c r="E4426" t="s">
        <v>520</v>
      </c>
      <c r="F4426" t="s">
        <v>410</v>
      </c>
      <c r="G4426">
        <v>320</v>
      </c>
      <c r="I4426">
        <v>315</v>
      </c>
    </row>
    <row r="4427" spans="1:17" x14ac:dyDescent="0.2">
      <c r="A4427" s="121">
        <v>40724</v>
      </c>
      <c r="B4427" t="s">
        <v>406</v>
      </c>
      <c r="C4427" t="s">
        <v>510</v>
      </c>
      <c r="D4427" t="s">
        <v>521</v>
      </c>
      <c r="E4427" t="s">
        <v>522</v>
      </c>
      <c r="F4427" t="s">
        <v>410</v>
      </c>
      <c r="G4427">
        <v>77</v>
      </c>
      <c r="I4427">
        <v>75</v>
      </c>
    </row>
    <row r="4428" spans="1:17" x14ac:dyDescent="0.2">
      <c r="A4428" s="121">
        <v>40724</v>
      </c>
      <c r="B4428" t="s">
        <v>406</v>
      </c>
      <c r="C4428" t="s">
        <v>510</v>
      </c>
      <c r="D4428" t="s">
        <v>523</v>
      </c>
      <c r="E4428" t="s">
        <v>524</v>
      </c>
      <c r="F4428" t="s">
        <v>413</v>
      </c>
      <c r="G4428">
        <v>579</v>
      </c>
      <c r="I4428">
        <v>574</v>
      </c>
    </row>
    <row r="4429" spans="1:17" x14ac:dyDescent="0.2">
      <c r="A4429" s="121">
        <v>40724</v>
      </c>
      <c r="B4429" t="s">
        <v>406</v>
      </c>
      <c r="C4429" t="s">
        <v>510</v>
      </c>
      <c r="D4429" t="s">
        <v>525</v>
      </c>
      <c r="E4429" t="s">
        <v>526</v>
      </c>
      <c r="F4429" t="s">
        <v>410</v>
      </c>
      <c r="G4429">
        <v>410</v>
      </c>
      <c r="I4429">
        <v>402</v>
      </c>
    </row>
    <row r="4430" spans="1:17" x14ac:dyDescent="0.2">
      <c r="A4430" s="121">
        <v>40724</v>
      </c>
      <c r="B4430" t="s">
        <v>406</v>
      </c>
      <c r="C4430" t="s">
        <v>510</v>
      </c>
      <c r="D4430" t="s">
        <v>527</v>
      </c>
      <c r="E4430" t="s">
        <v>528</v>
      </c>
      <c r="F4430" t="s">
        <v>410</v>
      </c>
      <c r="G4430">
        <v>203</v>
      </c>
      <c r="I4430">
        <v>203</v>
      </c>
    </row>
    <row r="4431" spans="1:17" x14ac:dyDescent="0.2">
      <c r="A4431" s="121">
        <v>40724</v>
      </c>
      <c r="B4431" t="s">
        <v>406</v>
      </c>
      <c r="C4431" t="s">
        <v>510</v>
      </c>
      <c r="D4431" t="s">
        <v>529</v>
      </c>
      <c r="E4431" t="s">
        <v>530</v>
      </c>
      <c r="F4431" t="s">
        <v>413</v>
      </c>
      <c r="G4431">
        <v>565</v>
      </c>
      <c r="H4431">
        <v>565</v>
      </c>
      <c r="I4431">
        <v>558</v>
      </c>
      <c r="J4431">
        <v>558</v>
      </c>
      <c r="K4431">
        <v>134</v>
      </c>
      <c r="L4431">
        <v>2</v>
      </c>
      <c r="M4431">
        <v>428</v>
      </c>
      <c r="N4431">
        <v>1</v>
      </c>
      <c r="O4431">
        <v>0</v>
      </c>
      <c r="P4431">
        <v>0</v>
      </c>
      <c r="Q4431">
        <v>0</v>
      </c>
    </row>
    <row r="4432" spans="1:17" x14ac:dyDescent="0.2">
      <c r="A4432" s="121">
        <v>40724</v>
      </c>
      <c r="B4432" t="s">
        <v>406</v>
      </c>
      <c r="C4432" t="s">
        <v>510</v>
      </c>
      <c r="D4432" t="s">
        <v>531</v>
      </c>
      <c r="E4432" t="s">
        <v>532</v>
      </c>
      <c r="F4432" t="s">
        <v>410</v>
      </c>
      <c r="G4432">
        <v>35</v>
      </c>
      <c r="I4432">
        <v>33</v>
      </c>
    </row>
    <row r="4433" spans="1:17" x14ac:dyDescent="0.2">
      <c r="A4433" s="121">
        <v>40724</v>
      </c>
      <c r="B4433" t="s">
        <v>406</v>
      </c>
      <c r="C4433" t="s">
        <v>510</v>
      </c>
      <c r="D4433" t="s">
        <v>533</v>
      </c>
      <c r="E4433" t="s">
        <v>534</v>
      </c>
      <c r="F4433" t="s">
        <v>413</v>
      </c>
      <c r="G4433">
        <v>2817</v>
      </c>
      <c r="H4433">
        <v>2817</v>
      </c>
      <c r="I4433">
        <v>2748</v>
      </c>
      <c r="J4433">
        <v>2748</v>
      </c>
      <c r="K4433">
        <v>547</v>
      </c>
      <c r="L4433">
        <v>8</v>
      </c>
      <c r="M4433">
        <v>2260</v>
      </c>
      <c r="N4433">
        <v>2</v>
      </c>
      <c r="O4433">
        <v>0</v>
      </c>
      <c r="P4433">
        <v>6</v>
      </c>
      <c r="Q4433">
        <v>1</v>
      </c>
    </row>
    <row r="4434" spans="1:17" x14ac:dyDescent="0.2">
      <c r="A4434" s="121">
        <v>40724</v>
      </c>
      <c r="B4434" t="s">
        <v>406</v>
      </c>
      <c r="C4434" t="s">
        <v>510</v>
      </c>
      <c r="D4434" t="s">
        <v>535</v>
      </c>
      <c r="E4434" t="s">
        <v>536</v>
      </c>
      <c r="F4434" t="s">
        <v>410</v>
      </c>
      <c r="G4434">
        <v>300</v>
      </c>
      <c r="I4434">
        <v>299</v>
      </c>
    </row>
    <row r="4435" spans="1:17" x14ac:dyDescent="0.2">
      <c r="A4435" s="121">
        <v>40724</v>
      </c>
      <c r="B4435" t="s">
        <v>406</v>
      </c>
      <c r="C4435" t="s">
        <v>510</v>
      </c>
      <c r="D4435" t="s">
        <v>537</v>
      </c>
      <c r="E4435" t="s">
        <v>538</v>
      </c>
      <c r="F4435" t="s">
        <v>410</v>
      </c>
      <c r="G4435">
        <v>109</v>
      </c>
      <c r="I4435">
        <v>109</v>
      </c>
    </row>
    <row r="4436" spans="1:17" x14ac:dyDescent="0.2">
      <c r="A4436" s="121">
        <v>40724</v>
      </c>
      <c r="B4436" t="s">
        <v>406</v>
      </c>
      <c r="C4436" t="s">
        <v>510</v>
      </c>
      <c r="D4436" t="s">
        <v>539</v>
      </c>
      <c r="E4436" t="s">
        <v>540</v>
      </c>
      <c r="F4436" t="s">
        <v>413</v>
      </c>
      <c r="G4436">
        <v>919</v>
      </c>
      <c r="H4436">
        <v>919</v>
      </c>
      <c r="I4436">
        <v>910</v>
      </c>
      <c r="J4436">
        <v>910</v>
      </c>
      <c r="K4436">
        <v>131</v>
      </c>
      <c r="L4436">
        <v>0</v>
      </c>
      <c r="M4436">
        <v>784</v>
      </c>
      <c r="N4436">
        <v>4</v>
      </c>
      <c r="O4436">
        <v>0</v>
      </c>
      <c r="P4436">
        <v>0</v>
      </c>
      <c r="Q4436">
        <v>0</v>
      </c>
    </row>
    <row r="4437" spans="1:17" x14ac:dyDescent="0.2">
      <c r="A4437" s="121">
        <v>40724</v>
      </c>
      <c r="B4437" t="s">
        <v>406</v>
      </c>
      <c r="C4437" t="s">
        <v>510</v>
      </c>
      <c r="D4437" t="s">
        <v>541</v>
      </c>
      <c r="E4437" t="s">
        <v>542</v>
      </c>
      <c r="F4437" t="s">
        <v>410</v>
      </c>
      <c r="G4437">
        <v>399</v>
      </c>
      <c r="I4437">
        <v>399</v>
      </c>
    </row>
    <row r="4438" spans="1:17" x14ac:dyDescent="0.2">
      <c r="A4438" s="121">
        <v>40724</v>
      </c>
      <c r="B4438" t="s">
        <v>406</v>
      </c>
      <c r="C4438" t="s">
        <v>510</v>
      </c>
      <c r="D4438" t="s">
        <v>543</v>
      </c>
      <c r="E4438" t="s">
        <v>544</v>
      </c>
      <c r="F4438" t="s">
        <v>410</v>
      </c>
      <c r="G4438">
        <v>279</v>
      </c>
      <c r="I4438">
        <v>279</v>
      </c>
    </row>
    <row r="4439" spans="1:17" x14ac:dyDescent="0.2">
      <c r="A4439" s="121">
        <v>40724</v>
      </c>
      <c r="B4439" t="s">
        <v>406</v>
      </c>
      <c r="C4439" t="s">
        <v>510</v>
      </c>
      <c r="D4439" t="s">
        <v>545</v>
      </c>
      <c r="E4439" t="s">
        <v>546</v>
      </c>
      <c r="F4439" t="s">
        <v>410</v>
      </c>
      <c r="G4439">
        <v>189</v>
      </c>
      <c r="I4439">
        <v>189</v>
      </c>
    </row>
    <row r="4440" spans="1:17" x14ac:dyDescent="0.2">
      <c r="A4440" s="121">
        <v>40724</v>
      </c>
      <c r="B4440" t="s">
        <v>406</v>
      </c>
      <c r="C4440" t="s">
        <v>510</v>
      </c>
      <c r="D4440" t="s">
        <v>547</v>
      </c>
      <c r="E4440" t="s">
        <v>548</v>
      </c>
      <c r="F4440" t="s">
        <v>410</v>
      </c>
      <c r="G4440">
        <v>160</v>
      </c>
      <c r="I4440">
        <v>160</v>
      </c>
    </row>
    <row r="4441" spans="1:17" x14ac:dyDescent="0.2">
      <c r="A4441" s="121">
        <v>40724</v>
      </c>
      <c r="B4441" t="s">
        <v>406</v>
      </c>
      <c r="C4441" t="s">
        <v>510</v>
      </c>
      <c r="D4441" t="s">
        <v>616</v>
      </c>
      <c r="E4441" t="s">
        <v>617</v>
      </c>
      <c r="F4441" t="s">
        <v>410</v>
      </c>
      <c r="G4441">
        <v>292</v>
      </c>
      <c r="I4441">
        <v>288</v>
      </c>
    </row>
    <row r="4442" spans="1:17" x14ac:dyDescent="0.2">
      <c r="A4442" s="121">
        <v>40724</v>
      </c>
      <c r="B4442" t="s">
        <v>406</v>
      </c>
      <c r="C4442" t="s">
        <v>510</v>
      </c>
      <c r="D4442" t="s">
        <v>549</v>
      </c>
      <c r="E4442" t="s">
        <v>550</v>
      </c>
      <c r="F4442" t="s">
        <v>410</v>
      </c>
      <c r="G4442">
        <v>147</v>
      </c>
      <c r="I4442">
        <v>147</v>
      </c>
    </row>
    <row r="4443" spans="1:17" x14ac:dyDescent="0.2">
      <c r="A4443" s="121">
        <v>40724</v>
      </c>
      <c r="B4443" t="s">
        <v>406</v>
      </c>
      <c r="C4443" t="s">
        <v>551</v>
      </c>
      <c r="D4443" t="s">
        <v>552</v>
      </c>
      <c r="E4443" t="s">
        <v>553</v>
      </c>
      <c r="F4443" t="s">
        <v>413</v>
      </c>
      <c r="G4443">
        <v>5774</v>
      </c>
      <c r="H4443">
        <v>5774</v>
      </c>
      <c r="I4443">
        <v>5297</v>
      </c>
      <c r="J4443">
        <v>5297</v>
      </c>
      <c r="K4443">
        <v>1574</v>
      </c>
      <c r="L4443">
        <v>9</v>
      </c>
      <c r="M4443">
        <v>3727</v>
      </c>
      <c r="N4443">
        <v>205</v>
      </c>
      <c r="O4443">
        <v>259</v>
      </c>
      <c r="P4443">
        <v>15</v>
      </c>
      <c r="Q4443">
        <v>0</v>
      </c>
    </row>
    <row r="4444" spans="1:17" x14ac:dyDescent="0.2">
      <c r="A4444" s="121">
        <v>40724</v>
      </c>
      <c r="B4444" t="s">
        <v>406</v>
      </c>
      <c r="C4444" t="s">
        <v>551</v>
      </c>
      <c r="D4444" t="s">
        <v>554</v>
      </c>
      <c r="E4444" t="s">
        <v>555</v>
      </c>
      <c r="F4444" t="s">
        <v>410</v>
      </c>
      <c r="G4444">
        <v>68</v>
      </c>
      <c r="I4444">
        <v>68</v>
      </c>
    </row>
    <row r="4445" spans="1:17" x14ac:dyDescent="0.2">
      <c r="A4445" s="121">
        <v>40724</v>
      </c>
      <c r="B4445" t="s">
        <v>406</v>
      </c>
      <c r="C4445" t="s">
        <v>551</v>
      </c>
      <c r="D4445" t="s">
        <v>556</v>
      </c>
      <c r="E4445" t="s">
        <v>557</v>
      </c>
      <c r="F4445" t="s">
        <v>410</v>
      </c>
      <c r="G4445">
        <v>106</v>
      </c>
      <c r="I4445">
        <v>106</v>
      </c>
    </row>
    <row r="4446" spans="1:17" x14ac:dyDescent="0.2">
      <c r="A4446" s="121">
        <v>40724</v>
      </c>
      <c r="B4446" t="s">
        <v>406</v>
      </c>
      <c r="C4446" t="s">
        <v>551</v>
      </c>
      <c r="D4446" t="s">
        <v>558</v>
      </c>
      <c r="E4446" t="s">
        <v>559</v>
      </c>
      <c r="F4446" t="s">
        <v>413</v>
      </c>
      <c r="G4446">
        <v>4733</v>
      </c>
      <c r="H4446">
        <v>4733</v>
      </c>
      <c r="I4446">
        <v>4334</v>
      </c>
      <c r="J4446">
        <v>4334</v>
      </c>
      <c r="K4446">
        <v>1176</v>
      </c>
      <c r="L4446">
        <v>7</v>
      </c>
      <c r="M4446">
        <v>3315</v>
      </c>
      <c r="N4446">
        <v>144</v>
      </c>
      <c r="O4446">
        <v>91</v>
      </c>
      <c r="P4446">
        <v>61</v>
      </c>
      <c r="Q4446">
        <v>12</v>
      </c>
    </row>
    <row r="4447" spans="1:17" x14ac:dyDescent="0.2">
      <c r="A4447" s="121">
        <v>40724</v>
      </c>
      <c r="B4447" t="s">
        <v>406</v>
      </c>
      <c r="C4447" t="s">
        <v>551</v>
      </c>
      <c r="D4447" t="s">
        <v>560</v>
      </c>
      <c r="E4447" t="s">
        <v>561</v>
      </c>
      <c r="F4447" t="s">
        <v>413</v>
      </c>
      <c r="G4447">
        <v>5360</v>
      </c>
      <c r="H4447">
        <v>5360</v>
      </c>
      <c r="I4447">
        <v>5056</v>
      </c>
      <c r="J4447">
        <v>5056</v>
      </c>
      <c r="K4447">
        <v>1026</v>
      </c>
      <c r="L4447">
        <v>4</v>
      </c>
      <c r="M4447">
        <v>4003</v>
      </c>
      <c r="N4447">
        <v>240</v>
      </c>
      <c r="O4447">
        <v>87</v>
      </c>
      <c r="P4447">
        <v>4</v>
      </c>
      <c r="Q4447">
        <v>0</v>
      </c>
    </row>
    <row r="4448" spans="1:17" x14ac:dyDescent="0.2">
      <c r="A4448" s="121">
        <v>40724</v>
      </c>
      <c r="B4448" t="s">
        <v>406</v>
      </c>
      <c r="C4448" t="s">
        <v>562</v>
      </c>
      <c r="D4448" t="s">
        <v>603</v>
      </c>
      <c r="E4448" t="s">
        <v>604</v>
      </c>
      <c r="F4448" t="s">
        <v>410</v>
      </c>
      <c r="G4448">
        <v>16</v>
      </c>
      <c r="I4448">
        <v>16</v>
      </c>
    </row>
    <row r="4449" spans="1:17" x14ac:dyDescent="0.2">
      <c r="A4449" s="121">
        <v>40724</v>
      </c>
      <c r="B4449" t="s">
        <v>406</v>
      </c>
      <c r="C4449" t="s">
        <v>562</v>
      </c>
      <c r="D4449" t="s">
        <v>605</v>
      </c>
      <c r="E4449" t="s">
        <v>606</v>
      </c>
      <c r="F4449" t="s">
        <v>410</v>
      </c>
      <c r="G4449">
        <v>147</v>
      </c>
      <c r="I4449">
        <v>147</v>
      </c>
    </row>
    <row r="4450" spans="1:17" x14ac:dyDescent="0.2">
      <c r="A4450" s="121">
        <v>40724</v>
      </c>
      <c r="B4450" t="s">
        <v>406</v>
      </c>
      <c r="C4450" t="s">
        <v>562</v>
      </c>
      <c r="D4450" t="s">
        <v>563</v>
      </c>
      <c r="E4450" t="s">
        <v>564</v>
      </c>
      <c r="F4450" t="s">
        <v>410</v>
      </c>
      <c r="G4450">
        <v>3214</v>
      </c>
      <c r="H4450">
        <v>3214</v>
      </c>
      <c r="I4450">
        <v>3109</v>
      </c>
      <c r="J4450">
        <v>3109</v>
      </c>
      <c r="K4450">
        <v>1037</v>
      </c>
      <c r="L4450">
        <v>1</v>
      </c>
      <c r="M4450">
        <v>2129</v>
      </c>
      <c r="N4450">
        <v>47</v>
      </c>
      <c r="O4450">
        <v>0</v>
      </c>
      <c r="P4450">
        <v>2</v>
      </c>
      <c r="Q4450">
        <v>0</v>
      </c>
    </row>
    <row r="4451" spans="1:17" x14ac:dyDescent="0.2">
      <c r="A4451" s="121">
        <v>40724</v>
      </c>
      <c r="B4451" t="s">
        <v>406</v>
      </c>
      <c r="C4451" t="s">
        <v>562</v>
      </c>
      <c r="D4451" t="s">
        <v>565</v>
      </c>
      <c r="E4451" t="s">
        <v>566</v>
      </c>
      <c r="F4451" t="s">
        <v>413</v>
      </c>
      <c r="G4451">
        <v>4435</v>
      </c>
      <c r="H4451">
        <v>4435</v>
      </c>
      <c r="I4451">
        <v>4264</v>
      </c>
      <c r="J4451">
        <v>4264</v>
      </c>
      <c r="K4451">
        <v>1034</v>
      </c>
      <c r="L4451">
        <v>6</v>
      </c>
      <c r="M4451">
        <v>3255</v>
      </c>
      <c r="N4451">
        <v>140</v>
      </c>
      <c r="O4451">
        <v>0</v>
      </c>
      <c r="P4451">
        <v>25</v>
      </c>
      <c r="Q4451">
        <v>3</v>
      </c>
    </row>
    <row r="4452" spans="1:17" x14ac:dyDescent="0.2">
      <c r="A4452" s="121">
        <v>40724</v>
      </c>
      <c r="B4452" t="s">
        <v>406</v>
      </c>
      <c r="C4452" t="s">
        <v>562</v>
      </c>
      <c r="D4452" t="s">
        <v>567</v>
      </c>
      <c r="E4452" t="s">
        <v>568</v>
      </c>
      <c r="F4452" t="s">
        <v>413</v>
      </c>
      <c r="G4452">
        <v>9325</v>
      </c>
      <c r="H4452">
        <v>9325</v>
      </c>
      <c r="I4452">
        <v>8944</v>
      </c>
      <c r="J4452">
        <v>8944</v>
      </c>
      <c r="K4452">
        <v>2712</v>
      </c>
      <c r="L4452">
        <v>11</v>
      </c>
      <c r="M4452">
        <v>6203</v>
      </c>
      <c r="N4452">
        <v>399</v>
      </c>
      <c r="O4452">
        <v>0</v>
      </c>
      <c r="P4452">
        <v>20</v>
      </c>
      <c r="Q4452">
        <v>0</v>
      </c>
    </row>
    <row r="4453" spans="1:17" x14ac:dyDescent="0.2">
      <c r="A4453" s="121">
        <v>40724</v>
      </c>
      <c r="B4453" t="s">
        <v>406</v>
      </c>
      <c r="C4453" t="s">
        <v>562</v>
      </c>
      <c r="D4453" t="s">
        <v>569</v>
      </c>
      <c r="E4453" t="s">
        <v>570</v>
      </c>
      <c r="F4453" t="s">
        <v>413</v>
      </c>
      <c r="G4453">
        <v>3330</v>
      </c>
      <c r="H4453">
        <v>3330</v>
      </c>
      <c r="I4453">
        <v>3311</v>
      </c>
      <c r="J4453">
        <v>3311</v>
      </c>
      <c r="K4453">
        <v>475</v>
      </c>
      <c r="L4453">
        <v>0</v>
      </c>
      <c r="M4453">
        <v>2854</v>
      </c>
      <c r="N4453">
        <v>1</v>
      </c>
      <c r="O4453">
        <v>0</v>
      </c>
      <c r="P4453">
        <v>1</v>
      </c>
      <c r="Q4453">
        <v>0</v>
      </c>
    </row>
    <row r="4454" spans="1:17" x14ac:dyDescent="0.2">
      <c r="A4454" s="121">
        <v>40724</v>
      </c>
      <c r="B4454" t="s">
        <v>406</v>
      </c>
      <c r="C4454" t="s">
        <v>571</v>
      </c>
      <c r="D4454" t="s">
        <v>572</v>
      </c>
      <c r="E4454" t="s">
        <v>573</v>
      </c>
      <c r="F4454" t="s">
        <v>410</v>
      </c>
      <c r="G4454">
        <v>243</v>
      </c>
      <c r="H4454">
        <v>243</v>
      </c>
      <c r="I4454">
        <v>242</v>
      </c>
      <c r="J4454">
        <v>242</v>
      </c>
      <c r="K4454">
        <v>0</v>
      </c>
      <c r="L4454">
        <v>0</v>
      </c>
      <c r="M4454">
        <v>243</v>
      </c>
      <c r="N4454">
        <v>0</v>
      </c>
      <c r="O4454">
        <v>0</v>
      </c>
      <c r="P4454">
        <v>0</v>
      </c>
      <c r="Q4454">
        <v>0</v>
      </c>
    </row>
    <row r="4455" spans="1:17" x14ac:dyDescent="0.2">
      <c r="A4455" s="121">
        <v>40724</v>
      </c>
      <c r="B4455" t="s">
        <v>406</v>
      </c>
      <c r="C4455" t="s">
        <v>574</v>
      </c>
      <c r="D4455" t="s">
        <v>575</v>
      </c>
      <c r="E4455" t="s">
        <v>576</v>
      </c>
      <c r="F4455" t="s">
        <v>413</v>
      </c>
      <c r="G4455">
        <v>766</v>
      </c>
      <c r="H4455">
        <v>766</v>
      </c>
      <c r="I4455">
        <v>762</v>
      </c>
      <c r="J4455">
        <v>762</v>
      </c>
      <c r="K4455">
        <v>175</v>
      </c>
      <c r="L4455">
        <v>0</v>
      </c>
      <c r="M4455">
        <v>562</v>
      </c>
      <c r="N4455">
        <v>1</v>
      </c>
      <c r="O4455">
        <v>28</v>
      </c>
      <c r="P4455">
        <v>0</v>
      </c>
      <c r="Q4455">
        <v>0</v>
      </c>
    </row>
    <row r="4456" spans="1:17" x14ac:dyDescent="0.2">
      <c r="A4456" s="121">
        <v>40724</v>
      </c>
      <c r="B4456" t="s">
        <v>406</v>
      </c>
      <c r="C4456" t="s">
        <v>577</v>
      </c>
      <c r="D4456" t="s">
        <v>578</v>
      </c>
      <c r="E4456" t="s">
        <v>579</v>
      </c>
      <c r="F4456" t="s">
        <v>413</v>
      </c>
      <c r="G4456">
        <v>4148</v>
      </c>
      <c r="H4456">
        <v>4148</v>
      </c>
      <c r="I4456">
        <v>4044</v>
      </c>
      <c r="J4456">
        <v>4044</v>
      </c>
      <c r="K4456">
        <v>833</v>
      </c>
      <c r="L4456">
        <v>13</v>
      </c>
      <c r="M4456">
        <v>3012</v>
      </c>
      <c r="N4456">
        <v>290</v>
      </c>
      <c r="O4456">
        <v>0</v>
      </c>
      <c r="P4456">
        <v>0</v>
      </c>
      <c r="Q4456">
        <v>0</v>
      </c>
    </row>
    <row r="4457" spans="1:17" x14ac:dyDescent="0.2">
      <c r="A4457" s="121">
        <v>40724</v>
      </c>
      <c r="B4457" t="s">
        <v>406</v>
      </c>
      <c r="C4457" t="s">
        <v>577</v>
      </c>
      <c r="D4457" t="s">
        <v>580</v>
      </c>
      <c r="E4457" t="s">
        <v>581</v>
      </c>
      <c r="F4457" t="s">
        <v>413</v>
      </c>
      <c r="G4457">
        <v>2223</v>
      </c>
      <c r="H4457">
        <v>2223</v>
      </c>
      <c r="I4457">
        <v>2207</v>
      </c>
      <c r="J4457">
        <v>2207</v>
      </c>
      <c r="K4457">
        <v>320</v>
      </c>
      <c r="L4457">
        <v>0</v>
      </c>
      <c r="M4457">
        <v>1533</v>
      </c>
      <c r="N4457">
        <v>325</v>
      </c>
      <c r="O4457">
        <v>45</v>
      </c>
      <c r="P4457">
        <v>0</v>
      </c>
      <c r="Q4457">
        <v>0</v>
      </c>
    </row>
    <row r="4458" spans="1:17" x14ac:dyDescent="0.2">
      <c r="A4458" s="121">
        <v>40724</v>
      </c>
      <c r="B4458" t="s">
        <v>406</v>
      </c>
      <c r="C4458" t="s">
        <v>577</v>
      </c>
      <c r="D4458" t="s">
        <v>609</v>
      </c>
      <c r="E4458" t="s">
        <v>610</v>
      </c>
      <c r="F4458" t="s">
        <v>410</v>
      </c>
      <c r="G4458">
        <v>27</v>
      </c>
      <c r="H4458">
        <v>27</v>
      </c>
      <c r="I4458">
        <v>27</v>
      </c>
      <c r="J4458">
        <v>27</v>
      </c>
      <c r="K4458">
        <v>0</v>
      </c>
      <c r="L4458">
        <v>0</v>
      </c>
      <c r="M4458">
        <v>20</v>
      </c>
      <c r="N4458">
        <v>7</v>
      </c>
      <c r="O4458">
        <v>0</v>
      </c>
      <c r="P4458">
        <v>0</v>
      </c>
      <c r="Q4458">
        <v>0</v>
      </c>
    </row>
    <row r="4459" spans="1:17" x14ac:dyDescent="0.2">
      <c r="A4459" s="121">
        <v>40724</v>
      </c>
      <c r="B4459" t="s">
        <v>406</v>
      </c>
      <c r="C4459" t="s">
        <v>577</v>
      </c>
      <c r="D4459" t="s">
        <v>611</v>
      </c>
      <c r="E4459" t="s">
        <v>612</v>
      </c>
      <c r="F4459" t="s">
        <v>410</v>
      </c>
      <c r="G4459">
        <v>4</v>
      </c>
      <c r="H4459">
        <v>4</v>
      </c>
      <c r="I4459">
        <v>4</v>
      </c>
      <c r="J4459">
        <v>4</v>
      </c>
      <c r="K4459">
        <v>0</v>
      </c>
      <c r="L4459">
        <v>0</v>
      </c>
      <c r="M4459">
        <v>1</v>
      </c>
      <c r="N4459">
        <v>2</v>
      </c>
      <c r="O4459">
        <v>1</v>
      </c>
      <c r="P4459">
        <v>0</v>
      </c>
      <c r="Q4459">
        <v>0</v>
      </c>
    </row>
    <row r="4460" spans="1:17" x14ac:dyDescent="0.2">
      <c r="A4460" s="121">
        <v>40724</v>
      </c>
      <c r="B4460" t="s">
        <v>406</v>
      </c>
      <c r="C4460" t="s">
        <v>577</v>
      </c>
      <c r="D4460" t="s">
        <v>584</v>
      </c>
      <c r="E4460" t="s">
        <v>585</v>
      </c>
      <c r="F4460" t="s">
        <v>410</v>
      </c>
      <c r="G4460">
        <v>282</v>
      </c>
      <c r="H4460">
        <v>282</v>
      </c>
      <c r="I4460">
        <v>282</v>
      </c>
      <c r="J4460">
        <v>282</v>
      </c>
      <c r="K4460">
        <v>0</v>
      </c>
      <c r="L4460">
        <v>0</v>
      </c>
      <c r="M4460">
        <v>250</v>
      </c>
      <c r="N4460">
        <v>27</v>
      </c>
      <c r="O4460">
        <v>5</v>
      </c>
      <c r="P4460">
        <v>0</v>
      </c>
      <c r="Q4460">
        <v>0</v>
      </c>
    </row>
    <row r="4461" spans="1:17" x14ac:dyDescent="0.2">
      <c r="A4461" s="121">
        <v>40724</v>
      </c>
      <c r="B4461" t="s">
        <v>406</v>
      </c>
      <c r="C4461" t="s">
        <v>577</v>
      </c>
      <c r="D4461" t="s">
        <v>586</v>
      </c>
      <c r="E4461" t="s">
        <v>587</v>
      </c>
      <c r="F4461" t="s">
        <v>410</v>
      </c>
      <c r="G4461">
        <v>1105</v>
      </c>
      <c r="H4461">
        <v>1105</v>
      </c>
      <c r="I4461">
        <v>1104</v>
      </c>
      <c r="J4461">
        <v>1104</v>
      </c>
      <c r="K4461">
        <v>0</v>
      </c>
      <c r="L4461">
        <v>0</v>
      </c>
      <c r="M4461">
        <v>890</v>
      </c>
      <c r="N4461">
        <v>174</v>
      </c>
      <c r="O4461">
        <v>41</v>
      </c>
      <c r="P4461">
        <v>0</v>
      </c>
      <c r="Q4461">
        <v>0</v>
      </c>
    </row>
    <row r="4462" spans="1:17" x14ac:dyDescent="0.2">
      <c r="A4462" s="121">
        <v>40724</v>
      </c>
      <c r="B4462" t="s">
        <v>406</v>
      </c>
      <c r="C4462" t="s">
        <v>577</v>
      </c>
      <c r="D4462" t="s">
        <v>588</v>
      </c>
      <c r="E4462" t="s">
        <v>589</v>
      </c>
      <c r="F4462" t="s">
        <v>410</v>
      </c>
      <c r="G4462">
        <v>291</v>
      </c>
      <c r="H4462">
        <v>291</v>
      </c>
      <c r="I4462">
        <v>290</v>
      </c>
      <c r="J4462">
        <v>290</v>
      </c>
      <c r="K4462">
        <v>0</v>
      </c>
      <c r="L4462">
        <v>0</v>
      </c>
      <c r="M4462">
        <v>251</v>
      </c>
      <c r="N4462">
        <v>26</v>
      </c>
      <c r="O4462">
        <v>14</v>
      </c>
      <c r="P4462">
        <v>0</v>
      </c>
      <c r="Q4462">
        <v>0</v>
      </c>
    </row>
    <row r="4463" spans="1:17" x14ac:dyDescent="0.2">
      <c r="A4463" s="121">
        <v>40724</v>
      </c>
      <c r="B4463" t="s">
        <v>406</v>
      </c>
      <c r="C4463" t="s">
        <v>577</v>
      </c>
      <c r="D4463" t="s">
        <v>613</v>
      </c>
      <c r="E4463" t="s">
        <v>614</v>
      </c>
      <c r="F4463" t="s">
        <v>410</v>
      </c>
      <c r="G4463">
        <v>218</v>
      </c>
      <c r="H4463">
        <v>218</v>
      </c>
      <c r="I4463">
        <v>218</v>
      </c>
      <c r="J4463">
        <v>218</v>
      </c>
      <c r="K4463">
        <v>0</v>
      </c>
      <c r="L4463">
        <v>0</v>
      </c>
      <c r="M4463">
        <v>166</v>
      </c>
      <c r="N4463">
        <v>46</v>
      </c>
      <c r="O4463">
        <v>6</v>
      </c>
      <c r="P4463">
        <v>0</v>
      </c>
      <c r="Q4463">
        <v>0</v>
      </c>
    </row>
    <row r="4464" spans="1:17" x14ac:dyDescent="0.2">
      <c r="A4464" s="121">
        <v>40724</v>
      </c>
      <c r="B4464" t="s">
        <v>406</v>
      </c>
      <c r="C4464" t="s">
        <v>577</v>
      </c>
      <c r="D4464" t="s">
        <v>590</v>
      </c>
      <c r="E4464" t="s">
        <v>591</v>
      </c>
      <c r="F4464" t="s">
        <v>410</v>
      </c>
      <c r="G4464">
        <v>623</v>
      </c>
      <c r="H4464">
        <v>623</v>
      </c>
      <c r="I4464">
        <v>623</v>
      </c>
      <c r="J4464">
        <v>623</v>
      </c>
      <c r="K4464">
        <v>0</v>
      </c>
      <c r="L4464">
        <v>0</v>
      </c>
      <c r="M4464">
        <v>573</v>
      </c>
      <c r="N4464">
        <v>33</v>
      </c>
      <c r="O4464">
        <v>17</v>
      </c>
      <c r="P4464">
        <v>0</v>
      </c>
      <c r="Q4464">
        <v>0</v>
      </c>
    </row>
    <row r="4465" spans="1:17" x14ac:dyDescent="0.2">
      <c r="A4465" s="121">
        <v>40724</v>
      </c>
      <c r="B4465" t="s">
        <v>406</v>
      </c>
      <c r="C4465" t="s">
        <v>577</v>
      </c>
      <c r="D4465" t="s">
        <v>607</v>
      </c>
      <c r="E4465" t="s">
        <v>608</v>
      </c>
      <c r="F4465" t="s">
        <v>410</v>
      </c>
      <c r="G4465">
        <v>161</v>
      </c>
      <c r="H4465">
        <v>161</v>
      </c>
      <c r="I4465">
        <v>161</v>
      </c>
      <c r="J4465">
        <v>161</v>
      </c>
      <c r="K4465">
        <v>0</v>
      </c>
      <c r="L4465">
        <v>0</v>
      </c>
      <c r="M4465">
        <v>135</v>
      </c>
      <c r="N4465">
        <v>23</v>
      </c>
      <c r="O4465">
        <v>3</v>
      </c>
      <c r="P4465">
        <v>0</v>
      </c>
      <c r="Q4465">
        <v>0</v>
      </c>
    </row>
    <row r="4466" spans="1:17" x14ac:dyDescent="0.2">
      <c r="A4466" s="121">
        <v>40724</v>
      </c>
      <c r="B4466" t="s">
        <v>406</v>
      </c>
      <c r="C4466" t="s">
        <v>577</v>
      </c>
      <c r="D4466" t="s">
        <v>592</v>
      </c>
      <c r="E4466" t="s">
        <v>593</v>
      </c>
      <c r="F4466" t="s">
        <v>410</v>
      </c>
      <c r="G4466">
        <v>607</v>
      </c>
      <c r="H4466">
        <v>607</v>
      </c>
      <c r="I4466">
        <v>607</v>
      </c>
      <c r="J4466">
        <v>607</v>
      </c>
      <c r="K4466">
        <v>0</v>
      </c>
      <c r="L4466">
        <v>0</v>
      </c>
      <c r="M4466">
        <v>505</v>
      </c>
      <c r="N4466">
        <v>67</v>
      </c>
      <c r="O4466">
        <v>35</v>
      </c>
      <c r="P4466">
        <v>0</v>
      </c>
      <c r="Q4466">
        <v>0</v>
      </c>
    </row>
    <row r="4467" spans="1:17" x14ac:dyDescent="0.2">
      <c r="A4467" s="121">
        <v>40724</v>
      </c>
      <c r="B4467" t="s">
        <v>406</v>
      </c>
      <c r="C4467" t="s">
        <v>594</v>
      </c>
      <c r="D4467" t="s">
        <v>595</v>
      </c>
      <c r="E4467" t="s">
        <v>596</v>
      </c>
      <c r="F4467" t="s">
        <v>410</v>
      </c>
      <c r="G4467">
        <v>45</v>
      </c>
      <c r="I4467">
        <v>44</v>
      </c>
    </row>
    <row r="4468" spans="1:17" x14ac:dyDescent="0.2">
      <c r="A4468" s="121">
        <v>40724</v>
      </c>
      <c r="B4468" t="s">
        <v>406</v>
      </c>
      <c r="C4468" t="s">
        <v>594</v>
      </c>
      <c r="D4468" t="s">
        <v>597</v>
      </c>
      <c r="E4468" t="s">
        <v>598</v>
      </c>
      <c r="F4468" t="s">
        <v>413</v>
      </c>
      <c r="G4468">
        <v>580</v>
      </c>
      <c r="H4468">
        <v>580</v>
      </c>
      <c r="I4468">
        <v>570</v>
      </c>
      <c r="J4468">
        <v>570</v>
      </c>
      <c r="K4468">
        <v>125</v>
      </c>
      <c r="L4468">
        <v>0</v>
      </c>
      <c r="M4468">
        <v>429</v>
      </c>
      <c r="N4468">
        <v>10</v>
      </c>
      <c r="O4468">
        <v>16</v>
      </c>
      <c r="P4468">
        <v>0</v>
      </c>
      <c r="Q4468">
        <v>0</v>
      </c>
    </row>
    <row r="4469" spans="1:17" x14ac:dyDescent="0.2">
      <c r="A4469" s="121">
        <v>40724</v>
      </c>
      <c r="B4469" t="s">
        <v>406</v>
      </c>
      <c r="C4469" t="s">
        <v>594</v>
      </c>
      <c r="D4469" t="s">
        <v>599</v>
      </c>
      <c r="E4469" t="s">
        <v>600</v>
      </c>
      <c r="F4469" t="s">
        <v>410</v>
      </c>
      <c r="G4469">
        <v>117</v>
      </c>
      <c r="I4469">
        <v>117</v>
      </c>
    </row>
    <row r="4470" spans="1:17" x14ac:dyDescent="0.2">
      <c r="A4470" s="121">
        <v>40755</v>
      </c>
      <c r="B4470" t="s">
        <v>406</v>
      </c>
      <c r="C4470" t="s">
        <v>407</v>
      </c>
      <c r="D4470" t="s">
        <v>408</v>
      </c>
      <c r="E4470" t="s">
        <v>409</v>
      </c>
      <c r="F4470" t="s">
        <v>410</v>
      </c>
      <c r="G4470">
        <v>313</v>
      </c>
      <c r="I4470">
        <v>313</v>
      </c>
    </row>
    <row r="4471" spans="1:17" x14ac:dyDescent="0.2">
      <c r="A4471" s="121">
        <v>40755</v>
      </c>
      <c r="B4471" t="s">
        <v>406</v>
      </c>
      <c r="C4471" t="s">
        <v>407</v>
      </c>
      <c r="D4471" t="s">
        <v>601</v>
      </c>
      <c r="E4471" t="s">
        <v>602</v>
      </c>
      <c r="F4471" t="s">
        <v>410</v>
      </c>
      <c r="G4471">
        <v>105</v>
      </c>
      <c r="I4471">
        <v>105</v>
      </c>
    </row>
    <row r="4472" spans="1:17" x14ac:dyDescent="0.2">
      <c r="A4472" s="121">
        <v>40755</v>
      </c>
      <c r="B4472" t="s">
        <v>406</v>
      </c>
      <c r="C4472" t="s">
        <v>407</v>
      </c>
      <c r="D4472" t="s">
        <v>411</v>
      </c>
      <c r="E4472" t="s">
        <v>412</v>
      </c>
      <c r="F4472" t="s">
        <v>413</v>
      </c>
      <c r="G4472">
        <v>6031</v>
      </c>
      <c r="H4472">
        <v>6031</v>
      </c>
      <c r="I4472">
        <v>5863</v>
      </c>
      <c r="J4472">
        <v>5863</v>
      </c>
      <c r="K4472">
        <v>2259</v>
      </c>
      <c r="L4472">
        <v>3</v>
      </c>
      <c r="M4472">
        <v>3411</v>
      </c>
      <c r="N4472">
        <v>169</v>
      </c>
      <c r="O4472">
        <v>189</v>
      </c>
      <c r="P4472">
        <v>1</v>
      </c>
      <c r="Q4472">
        <v>0</v>
      </c>
    </row>
    <row r="4473" spans="1:17" x14ac:dyDescent="0.2">
      <c r="A4473" s="121">
        <v>40755</v>
      </c>
      <c r="B4473" t="s">
        <v>406</v>
      </c>
      <c r="C4473" t="s">
        <v>407</v>
      </c>
      <c r="D4473" t="s">
        <v>416</v>
      </c>
      <c r="E4473" t="s">
        <v>417</v>
      </c>
      <c r="F4473" t="s">
        <v>413</v>
      </c>
      <c r="G4473">
        <v>3956</v>
      </c>
      <c r="H4473">
        <v>3956</v>
      </c>
      <c r="I4473">
        <v>3857</v>
      </c>
      <c r="J4473">
        <v>3857</v>
      </c>
      <c r="K4473">
        <v>1296</v>
      </c>
      <c r="L4473">
        <v>2</v>
      </c>
      <c r="M4473">
        <v>2458</v>
      </c>
      <c r="N4473">
        <v>135</v>
      </c>
      <c r="O4473">
        <v>65</v>
      </c>
      <c r="P4473">
        <v>2</v>
      </c>
      <c r="Q4473">
        <v>0</v>
      </c>
    </row>
    <row r="4474" spans="1:17" x14ac:dyDescent="0.2">
      <c r="A4474" s="121">
        <v>40755</v>
      </c>
      <c r="B4474" t="s">
        <v>406</v>
      </c>
      <c r="C4474" t="s">
        <v>407</v>
      </c>
      <c r="D4474" t="s">
        <v>618</v>
      </c>
      <c r="E4474" t="s">
        <v>619</v>
      </c>
      <c r="F4474" t="s">
        <v>410</v>
      </c>
      <c r="G4474">
        <v>135</v>
      </c>
      <c r="I4474">
        <v>135</v>
      </c>
    </row>
    <row r="4475" spans="1:17" x14ac:dyDescent="0.2">
      <c r="A4475" s="121">
        <v>40755</v>
      </c>
      <c r="B4475" t="s">
        <v>406</v>
      </c>
      <c r="C4475" t="s">
        <v>418</v>
      </c>
      <c r="D4475" t="s">
        <v>419</v>
      </c>
      <c r="E4475" t="s">
        <v>420</v>
      </c>
      <c r="F4475" t="s">
        <v>410</v>
      </c>
      <c r="G4475">
        <v>18</v>
      </c>
      <c r="I4475">
        <v>18</v>
      </c>
    </row>
    <row r="4476" spans="1:17" x14ac:dyDescent="0.2">
      <c r="A4476" s="121">
        <v>40755</v>
      </c>
      <c r="B4476" t="s">
        <v>406</v>
      </c>
      <c r="C4476" t="s">
        <v>418</v>
      </c>
      <c r="D4476" t="s">
        <v>421</v>
      </c>
      <c r="E4476" t="s">
        <v>422</v>
      </c>
      <c r="F4476" t="s">
        <v>410</v>
      </c>
      <c r="G4476">
        <v>120</v>
      </c>
      <c r="I4476">
        <v>120</v>
      </c>
    </row>
    <row r="4477" spans="1:17" x14ac:dyDescent="0.2">
      <c r="A4477" s="121">
        <v>40755</v>
      </c>
      <c r="B4477" t="s">
        <v>406</v>
      </c>
      <c r="C4477" t="s">
        <v>418</v>
      </c>
      <c r="D4477" t="s">
        <v>423</v>
      </c>
      <c r="E4477" t="s">
        <v>424</v>
      </c>
      <c r="F4477" t="s">
        <v>410</v>
      </c>
      <c r="G4477">
        <v>25</v>
      </c>
      <c r="I4477">
        <v>25</v>
      </c>
    </row>
    <row r="4478" spans="1:17" x14ac:dyDescent="0.2">
      <c r="A4478" s="121">
        <v>40755</v>
      </c>
      <c r="B4478" t="s">
        <v>406</v>
      </c>
      <c r="C4478" t="s">
        <v>418</v>
      </c>
      <c r="D4478" t="s">
        <v>425</v>
      </c>
      <c r="E4478" t="s">
        <v>426</v>
      </c>
      <c r="F4478" t="s">
        <v>410</v>
      </c>
      <c r="G4478">
        <v>53</v>
      </c>
      <c r="I4478">
        <v>53</v>
      </c>
    </row>
    <row r="4479" spans="1:17" x14ac:dyDescent="0.2">
      <c r="A4479" s="121">
        <v>40755</v>
      </c>
      <c r="B4479" t="s">
        <v>406</v>
      </c>
      <c r="C4479" t="s">
        <v>418</v>
      </c>
      <c r="D4479" t="s">
        <v>427</v>
      </c>
      <c r="E4479" t="s">
        <v>428</v>
      </c>
      <c r="F4479" t="s">
        <v>413</v>
      </c>
      <c r="G4479">
        <v>1997</v>
      </c>
      <c r="H4479">
        <v>1997</v>
      </c>
      <c r="I4479">
        <v>1987</v>
      </c>
      <c r="J4479">
        <v>1987</v>
      </c>
      <c r="K4479">
        <v>637</v>
      </c>
      <c r="L4479">
        <v>1</v>
      </c>
      <c r="M4479">
        <v>928</v>
      </c>
      <c r="N4479">
        <v>380</v>
      </c>
      <c r="O4479">
        <v>51</v>
      </c>
      <c r="P4479">
        <v>0</v>
      </c>
      <c r="Q4479">
        <v>0</v>
      </c>
    </row>
    <row r="4480" spans="1:17" x14ac:dyDescent="0.2">
      <c r="A4480" s="121">
        <v>40755</v>
      </c>
      <c r="B4480" t="s">
        <v>406</v>
      </c>
      <c r="C4480" t="s">
        <v>429</v>
      </c>
      <c r="D4480" t="s">
        <v>430</v>
      </c>
      <c r="E4480" t="s">
        <v>431</v>
      </c>
      <c r="F4480" t="s">
        <v>410</v>
      </c>
      <c r="G4480">
        <v>67</v>
      </c>
      <c r="I4480">
        <v>67</v>
      </c>
    </row>
    <row r="4481" spans="1:17" x14ac:dyDescent="0.2">
      <c r="A4481" s="121">
        <v>40755</v>
      </c>
      <c r="B4481" t="s">
        <v>406</v>
      </c>
      <c r="C4481" t="s">
        <v>429</v>
      </c>
      <c r="D4481" t="s">
        <v>432</v>
      </c>
      <c r="E4481" t="s">
        <v>433</v>
      </c>
      <c r="F4481" t="s">
        <v>410</v>
      </c>
      <c r="G4481">
        <v>70</v>
      </c>
      <c r="I4481">
        <v>70</v>
      </c>
    </row>
    <row r="4482" spans="1:17" x14ac:dyDescent="0.2">
      <c r="A4482" s="121">
        <v>40755</v>
      </c>
      <c r="B4482" t="s">
        <v>406</v>
      </c>
      <c r="C4482" t="s">
        <v>429</v>
      </c>
      <c r="D4482" t="s">
        <v>434</v>
      </c>
      <c r="E4482" t="s">
        <v>435</v>
      </c>
      <c r="F4482" t="s">
        <v>410</v>
      </c>
      <c r="G4482">
        <v>9</v>
      </c>
      <c r="I4482">
        <v>9</v>
      </c>
    </row>
    <row r="4483" spans="1:17" x14ac:dyDescent="0.2">
      <c r="A4483" s="121">
        <v>40755</v>
      </c>
      <c r="B4483" t="s">
        <v>406</v>
      </c>
      <c r="C4483" t="s">
        <v>429</v>
      </c>
      <c r="D4483" t="s">
        <v>436</v>
      </c>
      <c r="E4483" t="s">
        <v>437</v>
      </c>
      <c r="F4483" t="s">
        <v>410</v>
      </c>
      <c r="G4483">
        <v>42</v>
      </c>
      <c r="I4483">
        <v>42</v>
      </c>
    </row>
    <row r="4484" spans="1:17" x14ac:dyDescent="0.2">
      <c r="A4484" s="121">
        <v>40755</v>
      </c>
      <c r="B4484" t="s">
        <v>406</v>
      </c>
      <c r="C4484" t="s">
        <v>429</v>
      </c>
      <c r="D4484" t="s">
        <v>438</v>
      </c>
      <c r="E4484" t="s">
        <v>439</v>
      </c>
      <c r="F4484" t="s">
        <v>413</v>
      </c>
      <c r="G4484">
        <v>1141</v>
      </c>
      <c r="H4484">
        <v>1141</v>
      </c>
      <c r="I4484">
        <v>1119</v>
      </c>
      <c r="J4484">
        <v>1119</v>
      </c>
      <c r="K4484">
        <v>105</v>
      </c>
      <c r="L4484">
        <v>0</v>
      </c>
      <c r="M4484">
        <v>988</v>
      </c>
      <c r="N4484">
        <v>48</v>
      </c>
      <c r="O4484">
        <v>0</v>
      </c>
      <c r="P4484">
        <v>1</v>
      </c>
      <c r="Q4484">
        <v>0</v>
      </c>
    </row>
    <row r="4485" spans="1:17" x14ac:dyDescent="0.2">
      <c r="A4485" s="121">
        <v>40755</v>
      </c>
      <c r="B4485" t="s">
        <v>406</v>
      </c>
      <c r="C4485" t="s">
        <v>429</v>
      </c>
      <c r="D4485" t="s">
        <v>440</v>
      </c>
      <c r="E4485" t="s">
        <v>441</v>
      </c>
      <c r="F4485" t="s">
        <v>413</v>
      </c>
      <c r="G4485">
        <v>2915</v>
      </c>
      <c r="H4485">
        <v>2915</v>
      </c>
      <c r="I4485">
        <v>2807</v>
      </c>
      <c r="J4485">
        <v>2807</v>
      </c>
      <c r="K4485">
        <v>882</v>
      </c>
      <c r="L4485">
        <v>5</v>
      </c>
      <c r="M4485">
        <v>1950</v>
      </c>
      <c r="N4485">
        <v>78</v>
      </c>
      <c r="O4485">
        <v>0</v>
      </c>
      <c r="P4485">
        <v>1</v>
      </c>
      <c r="Q4485">
        <v>0</v>
      </c>
    </row>
    <row r="4486" spans="1:17" x14ac:dyDescent="0.2">
      <c r="A4486" s="121">
        <v>40755</v>
      </c>
      <c r="B4486" t="s">
        <v>406</v>
      </c>
      <c r="C4486" t="s">
        <v>442</v>
      </c>
      <c r="D4486" t="s">
        <v>443</v>
      </c>
      <c r="E4486" t="s">
        <v>444</v>
      </c>
      <c r="F4486" t="s">
        <v>413</v>
      </c>
      <c r="G4486">
        <v>2861</v>
      </c>
      <c r="H4486">
        <v>2861</v>
      </c>
      <c r="I4486">
        <v>2807</v>
      </c>
      <c r="J4486">
        <v>2807</v>
      </c>
      <c r="K4486">
        <v>248</v>
      </c>
      <c r="L4486">
        <v>3</v>
      </c>
      <c r="M4486">
        <v>2222</v>
      </c>
      <c r="N4486">
        <v>187</v>
      </c>
      <c r="O4486">
        <v>201</v>
      </c>
      <c r="P4486">
        <v>2</v>
      </c>
      <c r="Q4486">
        <v>0</v>
      </c>
    </row>
    <row r="4487" spans="1:17" x14ac:dyDescent="0.2">
      <c r="A4487" s="121">
        <v>40755</v>
      </c>
      <c r="B4487" t="s">
        <v>406</v>
      </c>
      <c r="C4487" t="s">
        <v>442</v>
      </c>
      <c r="D4487" t="s">
        <v>445</v>
      </c>
      <c r="E4487" t="s">
        <v>446</v>
      </c>
      <c r="F4487" t="s">
        <v>410</v>
      </c>
      <c r="G4487">
        <v>113</v>
      </c>
      <c r="I4487">
        <v>113</v>
      </c>
    </row>
    <row r="4488" spans="1:17" x14ac:dyDescent="0.2">
      <c r="A4488" s="121">
        <v>40755</v>
      </c>
      <c r="B4488" t="s">
        <v>406</v>
      </c>
      <c r="C4488" t="s">
        <v>442</v>
      </c>
      <c r="D4488" t="s">
        <v>447</v>
      </c>
      <c r="E4488" t="s">
        <v>448</v>
      </c>
      <c r="F4488" t="s">
        <v>410</v>
      </c>
      <c r="G4488">
        <v>569</v>
      </c>
      <c r="I4488">
        <v>569</v>
      </c>
    </row>
    <row r="4489" spans="1:17" x14ac:dyDescent="0.2">
      <c r="A4489" s="121">
        <v>40755</v>
      </c>
      <c r="B4489" t="s">
        <v>406</v>
      </c>
      <c r="C4489" t="s">
        <v>442</v>
      </c>
      <c r="D4489" t="s">
        <v>449</v>
      </c>
      <c r="E4489" t="s">
        <v>450</v>
      </c>
      <c r="F4489" t="s">
        <v>413</v>
      </c>
      <c r="G4489">
        <v>4467</v>
      </c>
      <c r="H4489">
        <v>4467</v>
      </c>
      <c r="I4489">
        <v>4137</v>
      </c>
      <c r="J4489">
        <v>4137</v>
      </c>
      <c r="K4489">
        <v>936</v>
      </c>
      <c r="L4489">
        <v>12</v>
      </c>
      <c r="M4489">
        <v>3289</v>
      </c>
      <c r="N4489">
        <v>180</v>
      </c>
      <c r="O4489">
        <v>50</v>
      </c>
      <c r="P4489">
        <v>24</v>
      </c>
      <c r="Q4489">
        <v>9</v>
      </c>
    </row>
    <row r="4490" spans="1:17" x14ac:dyDescent="0.2">
      <c r="A4490" s="121">
        <v>40755</v>
      </c>
      <c r="B4490" t="s">
        <v>406</v>
      </c>
      <c r="C4490" t="s">
        <v>451</v>
      </c>
      <c r="D4490" t="s">
        <v>452</v>
      </c>
      <c r="E4490" t="s">
        <v>453</v>
      </c>
      <c r="F4490" t="s">
        <v>410</v>
      </c>
      <c r="G4490">
        <v>554</v>
      </c>
      <c r="H4490">
        <v>554</v>
      </c>
      <c r="I4490">
        <v>546</v>
      </c>
      <c r="J4490">
        <v>546</v>
      </c>
      <c r="K4490">
        <v>0</v>
      </c>
      <c r="L4490">
        <v>0</v>
      </c>
      <c r="M4490">
        <v>439</v>
      </c>
      <c r="N4490">
        <v>20</v>
      </c>
      <c r="O4490">
        <v>95</v>
      </c>
      <c r="P4490">
        <v>0</v>
      </c>
      <c r="Q4490">
        <v>0</v>
      </c>
    </row>
    <row r="4491" spans="1:17" x14ac:dyDescent="0.2">
      <c r="A4491" s="121">
        <v>40755</v>
      </c>
      <c r="B4491" t="s">
        <v>406</v>
      </c>
      <c r="C4491" t="s">
        <v>451</v>
      </c>
      <c r="D4491" t="s">
        <v>454</v>
      </c>
      <c r="E4491" t="s">
        <v>621</v>
      </c>
      <c r="F4491" t="s">
        <v>410</v>
      </c>
      <c r="G4491">
        <v>795</v>
      </c>
      <c r="H4491">
        <v>795</v>
      </c>
      <c r="I4491">
        <v>795</v>
      </c>
      <c r="J4491">
        <v>795</v>
      </c>
      <c r="K4491">
        <v>0</v>
      </c>
      <c r="L4491">
        <v>0</v>
      </c>
      <c r="M4491">
        <v>588</v>
      </c>
      <c r="N4491">
        <v>21</v>
      </c>
      <c r="O4491">
        <v>186</v>
      </c>
      <c r="P4491">
        <v>0</v>
      </c>
      <c r="Q4491">
        <v>0</v>
      </c>
    </row>
    <row r="4492" spans="1:17" x14ac:dyDescent="0.2">
      <c r="A4492" s="121">
        <v>40755</v>
      </c>
      <c r="B4492" t="s">
        <v>406</v>
      </c>
      <c r="C4492" t="s">
        <v>451</v>
      </c>
      <c r="D4492" t="s">
        <v>454</v>
      </c>
      <c r="E4492" t="s">
        <v>455</v>
      </c>
      <c r="F4492" t="s">
        <v>413</v>
      </c>
      <c r="G4492">
        <v>1821</v>
      </c>
      <c r="H4492">
        <v>1821</v>
      </c>
      <c r="I4492">
        <v>1650</v>
      </c>
      <c r="J4492">
        <v>1650</v>
      </c>
      <c r="K4492">
        <v>409</v>
      </c>
      <c r="L4492">
        <v>3</v>
      </c>
      <c r="M4492">
        <v>961</v>
      </c>
      <c r="N4492">
        <v>22</v>
      </c>
      <c r="O4492">
        <v>426</v>
      </c>
      <c r="P4492">
        <v>2</v>
      </c>
      <c r="Q4492">
        <v>0</v>
      </c>
    </row>
    <row r="4493" spans="1:17" x14ac:dyDescent="0.2">
      <c r="A4493" s="121">
        <v>40755</v>
      </c>
      <c r="B4493" t="s">
        <v>406</v>
      </c>
      <c r="C4493" t="s">
        <v>451</v>
      </c>
      <c r="D4493" t="s">
        <v>622</v>
      </c>
      <c r="E4493" t="s">
        <v>623</v>
      </c>
      <c r="F4493" t="s">
        <v>413</v>
      </c>
      <c r="G4493">
        <v>3271</v>
      </c>
      <c r="H4493">
        <v>3271</v>
      </c>
      <c r="I4493">
        <v>3045</v>
      </c>
      <c r="J4493">
        <v>3045</v>
      </c>
      <c r="K4493">
        <v>20</v>
      </c>
      <c r="L4493">
        <v>7</v>
      </c>
      <c r="M4493">
        <v>1914</v>
      </c>
      <c r="N4493">
        <v>36</v>
      </c>
      <c r="O4493">
        <v>1294</v>
      </c>
      <c r="P4493">
        <v>10</v>
      </c>
      <c r="Q4493">
        <v>0</v>
      </c>
    </row>
    <row r="4494" spans="1:17" x14ac:dyDescent="0.2">
      <c r="A4494" s="121">
        <v>40755</v>
      </c>
      <c r="B4494" t="s">
        <v>406</v>
      </c>
      <c r="C4494" t="s">
        <v>456</v>
      </c>
      <c r="D4494" t="s">
        <v>457</v>
      </c>
      <c r="E4494" t="s">
        <v>458</v>
      </c>
      <c r="F4494" t="s">
        <v>413</v>
      </c>
      <c r="G4494">
        <v>5188</v>
      </c>
      <c r="H4494">
        <v>5188</v>
      </c>
      <c r="I4494">
        <v>5087</v>
      </c>
      <c r="J4494">
        <v>5087</v>
      </c>
      <c r="K4494">
        <v>1315</v>
      </c>
      <c r="L4494">
        <v>11</v>
      </c>
      <c r="M4494">
        <v>3721</v>
      </c>
      <c r="N4494">
        <v>79</v>
      </c>
      <c r="O4494">
        <v>62</v>
      </c>
      <c r="P4494">
        <v>3</v>
      </c>
      <c r="Q4494">
        <v>0</v>
      </c>
    </row>
    <row r="4495" spans="1:17" x14ac:dyDescent="0.2">
      <c r="A4495" s="121">
        <v>40755</v>
      </c>
      <c r="B4495" t="s">
        <v>406</v>
      </c>
      <c r="C4495" t="s">
        <v>456</v>
      </c>
      <c r="D4495" t="s">
        <v>459</v>
      </c>
      <c r="E4495" t="s">
        <v>460</v>
      </c>
      <c r="F4495" t="s">
        <v>413</v>
      </c>
      <c r="G4495">
        <v>1346</v>
      </c>
      <c r="H4495">
        <v>1346</v>
      </c>
      <c r="I4495">
        <v>1342</v>
      </c>
      <c r="J4495">
        <v>1342</v>
      </c>
      <c r="K4495">
        <v>331</v>
      </c>
      <c r="L4495">
        <v>0</v>
      </c>
      <c r="M4495">
        <v>1014</v>
      </c>
      <c r="N4495">
        <v>1</v>
      </c>
      <c r="O4495">
        <v>0</v>
      </c>
      <c r="P4495">
        <v>0</v>
      </c>
      <c r="Q4495">
        <v>0</v>
      </c>
    </row>
    <row r="4496" spans="1:17" x14ac:dyDescent="0.2">
      <c r="A4496" s="121">
        <v>40755</v>
      </c>
      <c r="B4496" t="s">
        <v>406</v>
      </c>
      <c r="C4496" t="s">
        <v>456</v>
      </c>
      <c r="D4496" t="s">
        <v>461</v>
      </c>
      <c r="E4496" t="s">
        <v>462</v>
      </c>
      <c r="F4496" t="s">
        <v>410</v>
      </c>
      <c r="G4496">
        <v>99</v>
      </c>
      <c r="I4496">
        <v>99</v>
      </c>
    </row>
    <row r="4497" spans="1:17" x14ac:dyDescent="0.2">
      <c r="A4497" s="121">
        <v>40755</v>
      </c>
      <c r="B4497" t="s">
        <v>406</v>
      </c>
      <c r="C4497" t="s">
        <v>456</v>
      </c>
      <c r="D4497" t="s">
        <v>463</v>
      </c>
      <c r="E4497" t="s">
        <v>464</v>
      </c>
      <c r="F4497" t="s">
        <v>410</v>
      </c>
      <c r="G4497">
        <v>41</v>
      </c>
      <c r="I4497">
        <v>41</v>
      </c>
    </row>
    <row r="4498" spans="1:17" x14ac:dyDescent="0.2">
      <c r="A4498" s="121">
        <v>40755</v>
      </c>
      <c r="B4498" t="s">
        <v>406</v>
      </c>
      <c r="C4498" t="s">
        <v>456</v>
      </c>
      <c r="D4498" t="s">
        <v>465</v>
      </c>
      <c r="E4498" t="s">
        <v>466</v>
      </c>
      <c r="F4498" t="s">
        <v>410</v>
      </c>
      <c r="G4498">
        <v>62</v>
      </c>
      <c r="I4498">
        <v>62</v>
      </c>
    </row>
    <row r="4499" spans="1:17" x14ac:dyDescent="0.2">
      <c r="A4499" s="121">
        <v>40755</v>
      </c>
      <c r="B4499" t="s">
        <v>406</v>
      </c>
      <c r="C4499" t="s">
        <v>456</v>
      </c>
      <c r="D4499" t="s">
        <v>467</v>
      </c>
      <c r="E4499" t="s">
        <v>468</v>
      </c>
      <c r="F4499" t="s">
        <v>410</v>
      </c>
      <c r="G4499">
        <v>1130</v>
      </c>
      <c r="I4499">
        <v>1130</v>
      </c>
    </row>
    <row r="4500" spans="1:17" x14ac:dyDescent="0.2">
      <c r="A4500" s="121">
        <v>40755</v>
      </c>
      <c r="B4500" t="s">
        <v>406</v>
      </c>
      <c r="C4500" t="s">
        <v>456</v>
      </c>
      <c r="D4500" t="s">
        <v>469</v>
      </c>
      <c r="E4500" t="s">
        <v>470</v>
      </c>
      <c r="F4500" t="s">
        <v>410</v>
      </c>
      <c r="G4500">
        <v>1086</v>
      </c>
      <c r="I4500">
        <v>1083</v>
      </c>
    </row>
    <row r="4501" spans="1:17" x14ac:dyDescent="0.2">
      <c r="A4501" s="121">
        <v>40755</v>
      </c>
      <c r="B4501" t="s">
        <v>406</v>
      </c>
      <c r="C4501" t="s">
        <v>456</v>
      </c>
      <c r="D4501" t="s">
        <v>471</v>
      </c>
      <c r="E4501" t="s">
        <v>472</v>
      </c>
      <c r="F4501" t="s">
        <v>410</v>
      </c>
      <c r="G4501">
        <v>289</v>
      </c>
      <c r="I4501">
        <v>288</v>
      </c>
    </row>
    <row r="4502" spans="1:17" x14ac:dyDescent="0.2">
      <c r="A4502" s="121">
        <v>40755</v>
      </c>
      <c r="B4502" t="s">
        <v>406</v>
      </c>
      <c r="C4502" t="s">
        <v>456</v>
      </c>
      <c r="D4502" t="s">
        <v>473</v>
      </c>
      <c r="E4502" t="s">
        <v>474</v>
      </c>
      <c r="F4502" t="s">
        <v>410</v>
      </c>
      <c r="G4502">
        <v>194</v>
      </c>
      <c r="I4502">
        <v>194</v>
      </c>
    </row>
    <row r="4503" spans="1:17" x14ac:dyDescent="0.2">
      <c r="A4503" s="121">
        <v>40755</v>
      </c>
      <c r="B4503" t="s">
        <v>406</v>
      </c>
      <c r="C4503" t="s">
        <v>456</v>
      </c>
      <c r="D4503" t="s">
        <v>475</v>
      </c>
      <c r="E4503" t="s">
        <v>476</v>
      </c>
      <c r="F4503" t="s">
        <v>410</v>
      </c>
      <c r="G4503">
        <v>331</v>
      </c>
      <c r="I4503">
        <v>331</v>
      </c>
    </row>
    <row r="4504" spans="1:17" x14ac:dyDescent="0.2">
      <c r="A4504" s="121">
        <v>40755</v>
      </c>
      <c r="B4504" t="s">
        <v>406</v>
      </c>
      <c r="C4504" t="s">
        <v>456</v>
      </c>
      <c r="D4504" t="s">
        <v>477</v>
      </c>
      <c r="E4504" t="s">
        <v>478</v>
      </c>
      <c r="F4504" t="s">
        <v>413</v>
      </c>
      <c r="G4504">
        <v>2111</v>
      </c>
      <c r="H4504">
        <v>2111</v>
      </c>
      <c r="I4504">
        <v>2023</v>
      </c>
      <c r="J4504">
        <v>2023</v>
      </c>
      <c r="K4504">
        <v>501</v>
      </c>
      <c r="L4504">
        <v>1</v>
      </c>
      <c r="M4504">
        <v>1565</v>
      </c>
      <c r="N4504">
        <v>25</v>
      </c>
      <c r="O4504">
        <v>19</v>
      </c>
      <c r="P4504">
        <v>5</v>
      </c>
      <c r="Q4504">
        <v>0</v>
      </c>
    </row>
    <row r="4505" spans="1:17" x14ac:dyDescent="0.2">
      <c r="A4505" s="121">
        <v>40755</v>
      </c>
      <c r="B4505" t="s">
        <v>406</v>
      </c>
      <c r="C4505" t="s">
        <v>456</v>
      </c>
      <c r="D4505" t="s">
        <v>479</v>
      </c>
      <c r="E4505" t="s">
        <v>480</v>
      </c>
      <c r="F4505" t="s">
        <v>410</v>
      </c>
      <c r="G4505">
        <v>112</v>
      </c>
      <c r="I4505">
        <v>112</v>
      </c>
    </row>
    <row r="4506" spans="1:17" x14ac:dyDescent="0.2">
      <c r="A4506" s="121">
        <v>40755</v>
      </c>
      <c r="B4506" t="s">
        <v>406</v>
      </c>
      <c r="C4506" t="s">
        <v>456</v>
      </c>
      <c r="D4506" t="s">
        <v>481</v>
      </c>
      <c r="E4506" t="s">
        <v>482</v>
      </c>
      <c r="F4506" t="s">
        <v>410</v>
      </c>
      <c r="G4506">
        <v>44</v>
      </c>
      <c r="I4506">
        <v>44</v>
      </c>
    </row>
    <row r="4507" spans="1:17" x14ac:dyDescent="0.2">
      <c r="A4507" s="121">
        <v>40755</v>
      </c>
      <c r="B4507" t="s">
        <v>406</v>
      </c>
      <c r="C4507" t="s">
        <v>456</v>
      </c>
      <c r="D4507" t="s">
        <v>483</v>
      </c>
      <c r="E4507" t="s">
        <v>484</v>
      </c>
      <c r="F4507" t="s">
        <v>410</v>
      </c>
      <c r="G4507">
        <v>80</v>
      </c>
      <c r="I4507">
        <v>80</v>
      </c>
    </row>
    <row r="4508" spans="1:17" x14ac:dyDescent="0.2">
      <c r="A4508" s="121">
        <v>40755</v>
      </c>
      <c r="B4508" t="s">
        <v>406</v>
      </c>
      <c r="C4508" t="s">
        <v>456</v>
      </c>
      <c r="D4508" t="s">
        <v>485</v>
      </c>
      <c r="E4508" t="s">
        <v>486</v>
      </c>
      <c r="F4508" t="s">
        <v>410</v>
      </c>
      <c r="G4508">
        <v>2</v>
      </c>
      <c r="I4508">
        <v>2</v>
      </c>
    </row>
    <row r="4509" spans="1:17" x14ac:dyDescent="0.2">
      <c r="A4509" s="121">
        <v>40755</v>
      </c>
      <c r="B4509" t="s">
        <v>406</v>
      </c>
      <c r="C4509" t="s">
        <v>456</v>
      </c>
      <c r="D4509" t="s">
        <v>487</v>
      </c>
      <c r="E4509" t="s">
        <v>488</v>
      </c>
      <c r="F4509" t="s">
        <v>410</v>
      </c>
      <c r="G4509">
        <v>33</v>
      </c>
      <c r="I4509">
        <v>33</v>
      </c>
    </row>
    <row r="4510" spans="1:17" x14ac:dyDescent="0.2">
      <c r="A4510" s="121">
        <v>40755</v>
      </c>
      <c r="B4510" t="s">
        <v>406</v>
      </c>
      <c r="C4510" t="s">
        <v>456</v>
      </c>
      <c r="D4510" t="s">
        <v>489</v>
      </c>
      <c r="E4510" t="s">
        <v>490</v>
      </c>
      <c r="F4510" t="s">
        <v>410</v>
      </c>
      <c r="G4510">
        <v>103</v>
      </c>
      <c r="H4510">
        <v>103</v>
      </c>
      <c r="I4510">
        <v>103</v>
      </c>
      <c r="J4510">
        <v>103</v>
      </c>
      <c r="K4510">
        <v>0</v>
      </c>
      <c r="L4510">
        <v>1</v>
      </c>
      <c r="M4510">
        <v>84</v>
      </c>
      <c r="N4510">
        <v>18</v>
      </c>
      <c r="O4510">
        <v>0</v>
      </c>
      <c r="P4510">
        <v>0</v>
      </c>
      <c r="Q4510">
        <v>0</v>
      </c>
    </row>
    <row r="4511" spans="1:17" x14ac:dyDescent="0.2">
      <c r="A4511" s="121">
        <v>40755</v>
      </c>
      <c r="B4511" t="s">
        <v>406</v>
      </c>
      <c r="C4511" t="s">
        <v>491</v>
      </c>
      <c r="D4511" t="s">
        <v>492</v>
      </c>
      <c r="E4511" t="s">
        <v>493</v>
      </c>
      <c r="F4511" t="s">
        <v>410</v>
      </c>
      <c r="G4511">
        <v>1419</v>
      </c>
      <c r="H4511">
        <v>1419</v>
      </c>
      <c r="I4511">
        <v>1409</v>
      </c>
      <c r="J4511">
        <v>1409</v>
      </c>
      <c r="K4511">
        <v>178</v>
      </c>
      <c r="L4511">
        <v>0</v>
      </c>
      <c r="M4511">
        <v>1</v>
      </c>
      <c r="N4511">
        <v>16</v>
      </c>
      <c r="O4511">
        <v>1224</v>
      </c>
      <c r="P4511">
        <v>0</v>
      </c>
      <c r="Q4511">
        <v>0</v>
      </c>
    </row>
    <row r="4512" spans="1:17" x14ac:dyDescent="0.2">
      <c r="A4512" s="121">
        <v>40755</v>
      </c>
      <c r="B4512" t="s">
        <v>406</v>
      </c>
      <c r="C4512" t="s">
        <v>491</v>
      </c>
      <c r="D4512" t="s">
        <v>494</v>
      </c>
      <c r="E4512" t="s">
        <v>495</v>
      </c>
      <c r="F4512" t="s">
        <v>413</v>
      </c>
      <c r="G4512">
        <v>3038</v>
      </c>
      <c r="H4512">
        <v>3038</v>
      </c>
      <c r="I4512">
        <v>2979</v>
      </c>
      <c r="J4512">
        <v>2979</v>
      </c>
      <c r="K4512">
        <v>0</v>
      </c>
      <c r="L4512">
        <v>0</v>
      </c>
      <c r="M4512">
        <v>7</v>
      </c>
      <c r="N4512">
        <v>18</v>
      </c>
      <c r="O4512">
        <v>3013</v>
      </c>
      <c r="P4512">
        <v>2</v>
      </c>
      <c r="Q4512">
        <v>0</v>
      </c>
    </row>
    <row r="4513" spans="1:17" x14ac:dyDescent="0.2">
      <c r="A4513" s="121">
        <v>40755</v>
      </c>
      <c r="B4513" t="s">
        <v>406</v>
      </c>
      <c r="C4513" t="s">
        <v>491</v>
      </c>
      <c r="D4513" t="s">
        <v>496</v>
      </c>
      <c r="E4513" t="s">
        <v>497</v>
      </c>
      <c r="F4513" t="s">
        <v>413</v>
      </c>
      <c r="G4513">
        <v>6438</v>
      </c>
      <c r="H4513">
        <v>6438</v>
      </c>
      <c r="I4513">
        <v>6046</v>
      </c>
      <c r="J4513">
        <v>6046</v>
      </c>
      <c r="K4513">
        <v>768</v>
      </c>
      <c r="L4513">
        <v>0</v>
      </c>
      <c r="M4513">
        <v>25</v>
      </c>
      <c r="N4513">
        <v>69</v>
      </c>
      <c r="O4513">
        <v>5576</v>
      </c>
      <c r="P4513">
        <v>11</v>
      </c>
      <c r="Q4513">
        <v>0</v>
      </c>
    </row>
    <row r="4514" spans="1:17" x14ac:dyDescent="0.2">
      <c r="A4514" s="121">
        <v>40755</v>
      </c>
      <c r="B4514" t="s">
        <v>406</v>
      </c>
      <c r="C4514" t="s">
        <v>491</v>
      </c>
      <c r="D4514" t="s">
        <v>498</v>
      </c>
      <c r="E4514" t="s">
        <v>499</v>
      </c>
      <c r="F4514" t="s">
        <v>413</v>
      </c>
      <c r="G4514">
        <v>7451</v>
      </c>
      <c r="H4514">
        <v>7451</v>
      </c>
      <c r="I4514">
        <v>7263</v>
      </c>
      <c r="J4514">
        <v>7263</v>
      </c>
      <c r="K4514">
        <v>1924</v>
      </c>
      <c r="L4514">
        <v>14</v>
      </c>
      <c r="M4514">
        <v>4945</v>
      </c>
      <c r="N4514">
        <v>151</v>
      </c>
      <c r="O4514">
        <v>417</v>
      </c>
      <c r="P4514">
        <v>1</v>
      </c>
      <c r="Q4514">
        <v>0</v>
      </c>
    </row>
    <row r="4515" spans="1:17" x14ac:dyDescent="0.2">
      <c r="A4515" s="121">
        <v>40755</v>
      </c>
      <c r="B4515" t="s">
        <v>406</v>
      </c>
      <c r="C4515" t="s">
        <v>491</v>
      </c>
      <c r="D4515" t="s">
        <v>500</v>
      </c>
      <c r="E4515" t="s">
        <v>620</v>
      </c>
      <c r="F4515" t="s">
        <v>410</v>
      </c>
      <c r="G4515">
        <v>1363</v>
      </c>
      <c r="H4515">
        <v>1363</v>
      </c>
      <c r="I4515">
        <v>1362</v>
      </c>
      <c r="J4515">
        <v>1362</v>
      </c>
      <c r="K4515">
        <v>13</v>
      </c>
      <c r="L4515">
        <v>0</v>
      </c>
      <c r="M4515">
        <v>1210</v>
      </c>
      <c r="N4515">
        <v>12</v>
      </c>
      <c r="O4515">
        <v>128</v>
      </c>
      <c r="P4515">
        <v>0</v>
      </c>
      <c r="Q4515">
        <v>0</v>
      </c>
    </row>
    <row r="4516" spans="1:17" x14ac:dyDescent="0.2">
      <c r="A4516" s="121">
        <v>40755</v>
      </c>
      <c r="B4516" t="s">
        <v>406</v>
      </c>
      <c r="C4516" t="s">
        <v>491</v>
      </c>
      <c r="D4516" t="s">
        <v>502</v>
      </c>
      <c r="E4516" t="s">
        <v>615</v>
      </c>
      <c r="F4516" t="s">
        <v>410</v>
      </c>
      <c r="G4516">
        <v>1602</v>
      </c>
      <c r="H4516">
        <v>1602</v>
      </c>
      <c r="I4516">
        <v>1602</v>
      </c>
      <c r="J4516">
        <v>1602</v>
      </c>
      <c r="K4516">
        <v>0</v>
      </c>
      <c r="L4516">
        <v>1</v>
      </c>
      <c r="M4516">
        <v>1562</v>
      </c>
      <c r="N4516">
        <v>3</v>
      </c>
      <c r="O4516">
        <v>36</v>
      </c>
      <c r="P4516">
        <v>0</v>
      </c>
      <c r="Q4516">
        <v>0</v>
      </c>
    </row>
    <row r="4517" spans="1:17" x14ac:dyDescent="0.2">
      <c r="A4517" s="121">
        <v>40755</v>
      </c>
      <c r="B4517" t="s">
        <v>406</v>
      </c>
      <c r="C4517" t="s">
        <v>491</v>
      </c>
      <c r="D4517" t="s">
        <v>502</v>
      </c>
      <c r="E4517" t="s">
        <v>503</v>
      </c>
      <c r="F4517" t="s">
        <v>413</v>
      </c>
      <c r="G4517">
        <v>5341</v>
      </c>
      <c r="H4517">
        <v>5341</v>
      </c>
      <c r="I4517">
        <v>5201</v>
      </c>
      <c r="J4517">
        <v>5201</v>
      </c>
      <c r="K4517">
        <v>1685</v>
      </c>
      <c r="L4517">
        <v>6</v>
      </c>
      <c r="M4517">
        <v>3458</v>
      </c>
      <c r="N4517">
        <v>97</v>
      </c>
      <c r="O4517">
        <v>95</v>
      </c>
      <c r="P4517">
        <v>1</v>
      </c>
      <c r="Q4517">
        <v>0</v>
      </c>
    </row>
    <row r="4518" spans="1:17" x14ac:dyDescent="0.2">
      <c r="A4518" s="121">
        <v>40755</v>
      </c>
      <c r="B4518" t="s">
        <v>406</v>
      </c>
      <c r="C4518" t="s">
        <v>491</v>
      </c>
      <c r="D4518" t="s">
        <v>504</v>
      </c>
      <c r="E4518" t="s">
        <v>505</v>
      </c>
      <c r="F4518" t="s">
        <v>413</v>
      </c>
      <c r="G4518">
        <v>4174</v>
      </c>
      <c r="H4518">
        <v>4174</v>
      </c>
      <c r="I4518">
        <v>4049</v>
      </c>
      <c r="J4518">
        <v>4049</v>
      </c>
      <c r="K4518">
        <v>1178</v>
      </c>
      <c r="L4518">
        <v>9</v>
      </c>
      <c r="M4518">
        <v>2832</v>
      </c>
      <c r="N4518">
        <v>56</v>
      </c>
      <c r="O4518">
        <v>99</v>
      </c>
      <c r="P4518">
        <v>0</v>
      </c>
      <c r="Q4518">
        <v>0</v>
      </c>
    </row>
    <row r="4519" spans="1:17" x14ac:dyDescent="0.2">
      <c r="A4519" s="121">
        <v>40755</v>
      </c>
      <c r="B4519" t="s">
        <v>406</v>
      </c>
      <c r="C4519" t="s">
        <v>491</v>
      </c>
      <c r="D4519" t="s">
        <v>506</v>
      </c>
      <c r="E4519" t="s">
        <v>507</v>
      </c>
      <c r="F4519" t="s">
        <v>413</v>
      </c>
      <c r="G4519">
        <v>3344</v>
      </c>
      <c r="H4519">
        <v>3344</v>
      </c>
      <c r="I4519">
        <v>3259</v>
      </c>
      <c r="J4519">
        <v>3259</v>
      </c>
      <c r="K4519">
        <v>519</v>
      </c>
      <c r="L4519">
        <v>1</v>
      </c>
      <c r="M4519">
        <v>2814</v>
      </c>
      <c r="N4519">
        <v>6</v>
      </c>
      <c r="O4519">
        <v>4</v>
      </c>
      <c r="P4519">
        <v>1</v>
      </c>
      <c r="Q4519">
        <v>0</v>
      </c>
    </row>
    <row r="4520" spans="1:17" x14ac:dyDescent="0.2">
      <c r="A4520" s="121">
        <v>40755</v>
      </c>
      <c r="B4520" t="s">
        <v>406</v>
      </c>
      <c r="C4520" t="s">
        <v>491</v>
      </c>
      <c r="D4520" t="s">
        <v>508</v>
      </c>
      <c r="E4520" t="s">
        <v>509</v>
      </c>
      <c r="F4520" t="s">
        <v>413</v>
      </c>
      <c r="G4520">
        <v>5162</v>
      </c>
      <c r="H4520">
        <v>5162</v>
      </c>
      <c r="I4520">
        <v>5045</v>
      </c>
      <c r="J4520">
        <v>5045</v>
      </c>
      <c r="K4520">
        <v>1490</v>
      </c>
      <c r="L4520">
        <v>6</v>
      </c>
      <c r="M4520">
        <v>3261</v>
      </c>
      <c r="N4520">
        <v>111</v>
      </c>
      <c r="O4520">
        <v>294</v>
      </c>
      <c r="P4520">
        <v>1</v>
      </c>
      <c r="Q4520">
        <v>0</v>
      </c>
    </row>
    <row r="4521" spans="1:17" x14ac:dyDescent="0.2">
      <c r="A4521" s="121">
        <v>40755</v>
      </c>
      <c r="B4521" t="s">
        <v>406</v>
      </c>
      <c r="C4521" t="s">
        <v>510</v>
      </c>
      <c r="D4521" t="s">
        <v>513</v>
      </c>
      <c r="E4521" t="s">
        <v>514</v>
      </c>
      <c r="F4521" t="s">
        <v>410</v>
      </c>
      <c r="G4521">
        <v>683</v>
      </c>
      <c r="I4521">
        <v>683</v>
      </c>
    </row>
    <row r="4522" spans="1:17" x14ac:dyDescent="0.2">
      <c r="A4522" s="121">
        <v>40755</v>
      </c>
      <c r="B4522" t="s">
        <v>406</v>
      </c>
      <c r="C4522" t="s">
        <v>510</v>
      </c>
      <c r="D4522" t="s">
        <v>515</v>
      </c>
      <c r="E4522" t="s">
        <v>516</v>
      </c>
      <c r="F4522" t="s">
        <v>410</v>
      </c>
      <c r="G4522">
        <v>115</v>
      </c>
      <c r="I4522">
        <v>114</v>
      </c>
    </row>
    <row r="4523" spans="1:17" x14ac:dyDescent="0.2">
      <c r="A4523" s="121">
        <v>40755</v>
      </c>
      <c r="B4523" t="s">
        <v>406</v>
      </c>
      <c r="C4523" t="s">
        <v>510</v>
      </c>
      <c r="D4523" t="s">
        <v>519</v>
      </c>
      <c r="E4523" t="s">
        <v>520</v>
      </c>
      <c r="F4523" t="s">
        <v>410</v>
      </c>
      <c r="G4523">
        <v>406</v>
      </c>
      <c r="I4523">
        <v>400</v>
      </c>
    </row>
    <row r="4524" spans="1:17" x14ac:dyDescent="0.2">
      <c r="A4524" s="121">
        <v>40755</v>
      </c>
      <c r="B4524" t="s">
        <v>406</v>
      </c>
      <c r="C4524" t="s">
        <v>510</v>
      </c>
      <c r="D4524" t="s">
        <v>521</v>
      </c>
      <c r="E4524" t="s">
        <v>522</v>
      </c>
      <c r="F4524" t="s">
        <v>410</v>
      </c>
      <c r="G4524">
        <v>79</v>
      </c>
      <c r="I4524">
        <v>77</v>
      </c>
    </row>
    <row r="4525" spans="1:17" x14ac:dyDescent="0.2">
      <c r="A4525" s="121">
        <v>40755</v>
      </c>
      <c r="B4525" t="s">
        <v>406</v>
      </c>
      <c r="C4525" t="s">
        <v>510</v>
      </c>
      <c r="D4525" t="s">
        <v>523</v>
      </c>
      <c r="E4525" t="s">
        <v>524</v>
      </c>
      <c r="F4525" t="s">
        <v>413</v>
      </c>
      <c r="G4525">
        <v>629</v>
      </c>
      <c r="I4525">
        <v>619</v>
      </c>
    </row>
    <row r="4526" spans="1:17" x14ac:dyDescent="0.2">
      <c r="A4526" s="121">
        <v>40755</v>
      </c>
      <c r="B4526" t="s">
        <v>406</v>
      </c>
      <c r="C4526" t="s">
        <v>510</v>
      </c>
      <c r="D4526" t="s">
        <v>525</v>
      </c>
      <c r="E4526" t="s">
        <v>526</v>
      </c>
      <c r="F4526" t="s">
        <v>410</v>
      </c>
      <c r="G4526">
        <v>495</v>
      </c>
      <c r="I4526">
        <v>486</v>
      </c>
    </row>
    <row r="4527" spans="1:17" x14ac:dyDescent="0.2">
      <c r="A4527" s="121">
        <v>40755</v>
      </c>
      <c r="B4527" t="s">
        <v>406</v>
      </c>
      <c r="C4527" t="s">
        <v>510</v>
      </c>
      <c r="D4527" t="s">
        <v>527</v>
      </c>
      <c r="E4527" t="s">
        <v>528</v>
      </c>
      <c r="F4527" t="s">
        <v>410</v>
      </c>
      <c r="G4527">
        <v>270</v>
      </c>
      <c r="I4527">
        <v>270</v>
      </c>
    </row>
    <row r="4528" spans="1:17" x14ac:dyDescent="0.2">
      <c r="A4528" s="121">
        <v>40755</v>
      </c>
      <c r="B4528" t="s">
        <v>406</v>
      </c>
      <c r="C4528" t="s">
        <v>510</v>
      </c>
      <c r="D4528" t="s">
        <v>529</v>
      </c>
      <c r="E4528" t="s">
        <v>530</v>
      </c>
      <c r="F4528" t="s">
        <v>413</v>
      </c>
      <c r="G4528">
        <v>556</v>
      </c>
      <c r="H4528">
        <v>556</v>
      </c>
      <c r="I4528">
        <v>552</v>
      </c>
      <c r="J4528">
        <v>552</v>
      </c>
      <c r="K4528">
        <v>134</v>
      </c>
      <c r="L4528">
        <v>0</v>
      </c>
      <c r="M4528">
        <v>421</v>
      </c>
      <c r="N4528">
        <v>1</v>
      </c>
      <c r="O4528">
        <v>0</v>
      </c>
      <c r="P4528">
        <v>0</v>
      </c>
      <c r="Q4528">
        <v>0</v>
      </c>
    </row>
    <row r="4529" spans="1:17" x14ac:dyDescent="0.2">
      <c r="A4529" s="121">
        <v>40755</v>
      </c>
      <c r="B4529" t="s">
        <v>406</v>
      </c>
      <c r="C4529" t="s">
        <v>510</v>
      </c>
      <c r="D4529" t="s">
        <v>531</v>
      </c>
      <c r="E4529" t="s">
        <v>532</v>
      </c>
      <c r="F4529" t="s">
        <v>410</v>
      </c>
      <c r="G4529">
        <v>41</v>
      </c>
      <c r="I4529">
        <v>41</v>
      </c>
    </row>
    <row r="4530" spans="1:17" x14ac:dyDescent="0.2">
      <c r="A4530" s="121">
        <v>40755</v>
      </c>
      <c r="B4530" t="s">
        <v>406</v>
      </c>
      <c r="C4530" t="s">
        <v>510</v>
      </c>
      <c r="D4530" t="s">
        <v>533</v>
      </c>
      <c r="E4530" t="s">
        <v>534</v>
      </c>
      <c r="F4530" t="s">
        <v>413</v>
      </c>
      <c r="G4530">
        <v>2812</v>
      </c>
      <c r="H4530">
        <v>2812</v>
      </c>
      <c r="I4530">
        <v>2764</v>
      </c>
      <c r="J4530">
        <v>2764</v>
      </c>
      <c r="K4530">
        <v>545</v>
      </c>
      <c r="L4530">
        <v>4</v>
      </c>
      <c r="M4530">
        <v>2263</v>
      </c>
      <c r="N4530">
        <v>0</v>
      </c>
      <c r="O4530">
        <v>0</v>
      </c>
      <c r="P4530">
        <v>3</v>
      </c>
      <c r="Q4530">
        <v>0</v>
      </c>
    </row>
    <row r="4531" spans="1:17" x14ac:dyDescent="0.2">
      <c r="A4531" s="121">
        <v>40755</v>
      </c>
      <c r="B4531" t="s">
        <v>406</v>
      </c>
      <c r="C4531" t="s">
        <v>510</v>
      </c>
      <c r="D4531" t="s">
        <v>535</v>
      </c>
      <c r="E4531" t="s">
        <v>536</v>
      </c>
      <c r="F4531" t="s">
        <v>410</v>
      </c>
      <c r="G4531">
        <v>385</v>
      </c>
      <c r="I4531">
        <v>385</v>
      </c>
    </row>
    <row r="4532" spans="1:17" x14ac:dyDescent="0.2">
      <c r="A4532" s="121">
        <v>40755</v>
      </c>
      <c r="B4532" t="s">
        <v>406</v>
      </c>
      <c r="C4532" t="s">
        <v>510</v>
      </c>
      <c r="D4532" t="s">
        <v>537</v>
      </c>
      <c r="E4532" t="s">
        <v>538</v>
      </c>
      <c r="F4532" t="s">
        <v>410</v>
      </c>
      <c r="G4532">
        <v>149</v>
      </c>
      <c r="I4532">
        <v>149</v>
      </c>
    </row>
    <row r="4533" spans="1:17" x14ac:dyDescent="0.2">
      <c r="A4533" s="121">
        <v>40755</v>
      </c>
      <c r="B4533" t="s">
        <v>406</v>
      </c>
      <c r="C4533" t="s">
        <v>510</v>
      </c>
      <c r="D4533" t="s">
        <v>539</v>
      </c>
      <c r="E4533" t="s">
        <v>540</v>
      </c>
      <c r="F4533" t="s">
        <v>413</v>
      </c>
      <c r="G4533">
        <v>989</v>
      </c>
      <c r="H4533">
        <v>989</v>
      </c>
      <c r="I4533">
        <v>976</v>
      </c>
      <c r="J4533">
        <v>976</v>
      </c>
      <c r="K4533">
        <v>138</v>
      </c>
      <c r="L4533">
        <v>0</v>
      </c>
      <c r="M4533">
        <v>848</v>
      </c>
      <c r="N4533">
        <v>3</v>
      </c>
      <c r="O4533">
        <v>0</v>
      </c>
      <c r="P4533">
        <v>0</v>
      </c>
      <c r="Q4533">
        <v>0</v>
      </c>
    </row>
    <row r="4534" spans="1:17" x14ac:dyDescent="0.2">
      <c r="A4534" s="121">
        <v>40755</v>
      </c>
      <c r="B4534" t="s">
        <v>406</v>
      </c>
      <c r="C4534" t="s">
        <v>510</v>
      </c>
      <c r="D4534" t="s">
        <v>541</v>
      </c>
      <c r="E4534" t="s">
        <v>542</v>
      </c>
      <c r="F4534" t="s">
        <v>410</v>
      </c>
      <c r="G4534">
        <v>393</v>
      </c>
      <c r="I4534">
        <v>393</v>
      </c>
    </row>
    <row r="4535" spans="1:17" x14ac:dyDescent="0.2">
      <c r="A4535" s="121">
        <v>40755</v>
      </c>
      <c r="B4535" t="s">
        <v>406</v>
      </c>
      <c r="C4535" t="s">
        <v>510</v>
      </c>
      <c r="D4535" t="s">
        <v>543</v>
      </c>
      <c r="E4535" t="s">
        <v>544</v>
      </c>
      <c r="F4535" t="s">
        <v>410</v>
      </c>
      <c r="G4535">
        <v>302</v>
      </c>
      <c r="I4535">
        <v>302</v>
      </c>
    </row>
    <row r="4536" spans="1:17" x14ac:dyDescent="0.2">
      <c r="A4536" s="121">
        <v>40755</v>
      </c>
      <c r="B4536" t="s">
        <v>406</v>
      </c>
      <c r="C4536" t="s">
        <v>510</v>
      </c>
      <c r="D4536" t="s">
        <v>545</v>
      </c>
      <c r="E4536" t="s">
        <v>546</v>
      </c>
      <c r="F4536" t="s">
        <v>410</v>
      </c>
      <c r="G4536">
        <v>168</v>
      </c>
      <c r="I4536">
        <v>168</v>
      </c>
    </row>
    <row r="4537" spans="1:17" x14ac:dyDescent="0.2">
      <c r="A4537" s="121">
        <v>40755</v>
      </c>
      <c r="B4537" t="s">
        <v>406</v>
      </c>
      <c r="C4537" t="s">
        <v>510</v>
      </c>
      <c r="D4537" t="s">
        <v>547</v>
      </c>
      <c r="E4537" t="s">
        <v>548</v>
      </c>
      <c r="F4537" t="s">
        <v>410</v>
      </c>
      <c r="G4537">
        <v>163</v>
      </c>
      <c r="I4537">
        <v>163</v>
      </c>
    </row>
    <row r="4538" spans="1:17" x14ac:dyDescent="0.2">
      <c r="A4538" s="121">
        <v>40755</v>
      </c>
      <c r="B4538" t="s">
        <v>406</v>
      </c>
      <c r="C4538" t="s">
        <v>510</v>
      </c>
      <c r="D4538" t="s">
        <v>616</v>
      </c>
      <c r="E4538" t="s">
        <v>617</v>
      </c>
      <c r="F4538" t="s">
        <v>410</v>
      </c>
      <c r="G4538">
        <v>347</v>
      </c>
      <c r="I4538">
        <v>347</v>
      </c>
    </row>
    <row r="4539" spans="1:17" x14ac:dyDescent="0.2">
      <c r="A4539" s="121">
        <v>40755</v>
      </c>
      <c r="B4539" t="s">
        <v>406</v>
      </c>
      <c r="C4539" t="s">
        <v>510</v>
      </c>
      <c r="D4539" t="s">
        <v>549</v>
      </c>
      <c r="E4539" t="s">
        <v>550</v>
      </c>
      <c r="F4539" t="s">
        <v>410</v>
      </c>
      <c r="G4539">
        <v>210</v>
      </c>
      <c r="I4539">
        <v>209</v>
      </c>
    </row>
    <row r="4540" spans="1:17" x14ac:dyDescent="0.2">
      <c r="A4540" s="121">
        <v>40755</v>
      </c>
      <c r="B4540" t="s">
        <v>406</v>
      </c>
      <c r="C4540" t="s">
        <v>551</v>
      </c>
      <c r="D4540" t="s">
        <v>552</v>
      </c>
      <c r="E4540" t="s">
        <v>553</v>
      </c>
      <c r="F4540" t="s">
        <v>413</v>
      </c>
      <c r="G4540">
        <v>5804</v>
      </c>
      <c r="H4540">
        <v>5804</v>
      </c>
      <c r="I4540">
        <v>5657</v>
      </c>
      <c r="J4540">
        <v>5657</v>
      </c>
      <c r="K4540">
        <v>1479</v>
      </c>
      <c r="L4540">
        <v>3</v>
      </c>
      <c r="M4540">
        <v>3932</v>
      </c>
      <c r="N4540">
        <v>220</v>
      </c>
      <c r="O4540">
        <v>170</v>
      </c>
      <c r="P4540">
        <v>2</v>
      </c>
      <c r="Q4540">
        <v>0</v>
      </c>
    </row>
    <row r="4541" spans="1:17" x14ac:dyDescent="0.2">
      <c r="A4541" s="121">
        <v>40755</v>
      </c>
      <c r="B4541" t="s">
        <v>406</v>
      </c>
      <c r="C4541" t="s">
        <v>551</v>
      </c>
      <c r="D4541" t="s">
        <v>554</v>
      </c>
      <c r="E4541" t="s">
        <v>555</v>
      </c>
      <c r="F4541" t="s">
        <v>410</v>
      </c>
      <c r="G4541">
        <v>56</v>
      </c>
      <c r="I4541">
        <v>56</v>
      </c>
    </row>
    <row r="4542" spans="1:17" x14ac:dyDescent="0.2">
      <c r="A4542" s="121">
        <v>40755</v>
      </c>
      <c r="B4542" t="s">
        <v>406</v>
      </c>
      <c r="C4542" t="s">
        <v>551</v>
      </c>
      <c r="D4542" t="s">
        <v>556</v>
      </c>
      <c r="E4542" t="s">
        <v>557</v>
      </c>
      <c r="F4542" t="s">
        <v>410</v>
      </c>
      <c r="G4542">
        <v>105</v>
      </c>
      <c r="I4542">
        <v>105</v>
      </c>
    </row>
    <row r="4543" spans="1:17" x14ac:dyDescent="0.2">
      <c r="A4543" s="121">
        <v>40755</v>
      </c>
      <c r="B4543" t="s">
        <v>406</v>
      </c>
      <c r="C4543" t="s">
        <v>551</v>
      </c>
      <c r="D4543" t="s">
        <v>558</v>
      </c>
      <c r="E4543" t="s">
        <v>559</v>
      </c>
      <c r="F4543" t="s">
        <v>413</v>
      </c>
      <c r="G4543">
        <v>4897</v>
      </c>
      <c r="H4543">
        <v>4897</v>
      </c>
      <c r="I4543">
        <v>4689</v>
      </c>
      <c r="J4543">
        <v>4689</v>
      </c>
      <c r="K4543">
        <v>1254</v>
      </c>
      <c r="L4543">
        <v>6</v>
      </c>
      <c r="M4543">
        <v>3378</v>
      </c>
      <c r="N4543">
        <v>163</v>
      </c>
      <c r="O4543">
        <v>96</v>
      </c>
      <c r="P4543">
        <v>19</v>
      </c>
      <c r="Q4543">
        <v>7</v>
      </c>
    </row>
    <row r="4544" spans="1:17" x14ac:dyDescent="0.2">
      <c r="A4544" s="121">
        <v>40755</v>
      </c>
      <c r="B4544" t="s">
        <v>406</v>
      </c>
      <c r="C4544" t="s">
        <v>551</v>
      </c>
      <c r="D4544" t="s">
        <v>560</v>
      </c>
      <c r="E4544" t="s">
        <v>561</v>
      </c>
      <c r="F4544" t="s">
        <v>413</v>
      </c>
      <c r="G4544">
        <v>5411</v>
      </c>
      <c r="H4544">
        <v>5411</v>
      </c>
      <c r="I4544">
        <v>5155</v>
      </c>
      <c r="J4544">
        <v>5155</v>
      </c>
      <c r="K4544">
        <v>1124</v>
      </c>
      <c r="L4544">
        <v>6</v>
      </c>
      <c r="M4544">
        <v>3896</v>
      </c>
      <c r="N4544">
        <v>276</v>
      </c>
      <c r="O4544">
        <v>109</v>
      </c>
      <c r="P4544">
        <v>7</v>
      </c>
      <c r="Q4544">
        <v>0</v>
      </c>
    </row>
    <row r="4545" spans="1:17" x14ac:dyDescent="0.2">
      <c r="A4545" s="121">
        <v>40755</v>
      </c>
      <c r="B4545" t="s">
        <v>406</v>
      </c>
      <c r="C4545" t="s">
        <v>562</v>
      </c>
      <c r="D4545" t="s">
        <v>603</v>
      </c>
      <c r="E4545" t="s">
        <v>604</v>
      </c>
      <c r="F4545" t="s">
        <v>410</v>
      </c>
      <c r="G4545">
        <v>12</v>
      </c>
      <c r="I4545">
        <v>12</v>
      </c>
    </row>
    <row r="4546" spans="1:17" x14ac:dyDescent="0.2">
      <c r="A4546" s="121">
        <v>40755</v>
      </c>
      <c r="B4546" t="s">
        <v>406</v>
      </c>
      <c r="C4546" t="s">
        <v>562</v>
      </c>
      <c r="D4546" t="s">
        <v>605</v>
      </c>
      <c r="E4546" t="s">
        <v>606</v>
      </c>
      <c r="F4546" t="s">
        <v>410</v>
      </c>
      <c r="G4546">
        <v>219</v>
      </c>
      <c r="I4546">
        <v>219</v>
      </c>
    </row>
    <row r="4547" spans="1:17" x14ac:dyDescent="0.2">
      <c r="A4547" s="121">
        <v>40755</v>
      </c>
      <c r="B4547" t="s">
        <v>406</v>
      </c>
      <c r="C4547" t="s">
        <v>562</v>
      </c>
      <c r="D4547" t="s">
        <v>563</v>
      </c>
      <c r="E4547" t="s">
        <v>564</v>
      </c>
      <c r="F4547" t="s">
        <v>410</v>
      </c>
      <c r="G4547">
        <v>3072</v>
      </c>
      <c r="H4547">
        <v>3072</v>
      </c>
      <c r="I4547">
        <v>3042</v>
      </c>
      <c r="J4547">
        <v>3042</v>
      </c>
      <c r="K4547">
        <v>957</v>
      </c>
      <c r="L4547">
        <v>1</v>
      </c>
      <c r="M4547">
        <v>2085</v>
      </c>
      <c r="N4547">
        <v>29</v>
      </c>
      <c r="O4547">
        <v>0</v>
      </c>
      <c r="P4547">
        <v>0</v>
      </c>
      <c r="Q4547">
        <v>0</v>
      </c>
    </row>
    <row r="4548" spans="1:17" x14ac:dyDescent="0.2">
      <c r="A4548" s="121">
        <v>40755</v>
      </c>
      <c r="B4548" t="s">
        <v>406</v>
      </c>
      <c r="C4548" t="s">
        <v>562</v>
      </c>
      <c r="D4548" t="s">
        <v>565</v>
      </c>
      <c r="E4548" t="s">
        <v>566</v>
      </c>
      <c r="F4548" t="s">
        <v>413</v>
      </c>
      <c r="G4548">
        <v>4459</v>
      </c>
      <c r="H4548">
        <v>4459</v>
      </c>
      <c r="I4548">
        <v>4217</v>
      </c>
      <c r="J4548">
        <v>4217</v>
      </c>
      <c r="K4548">
        <v>1104</v>
      </c>
      <c r="L4548">
        <v>2</v>
      </c>
      <c r="M4548">
        <v>3208</v>
      </c>
      <c r="N4548">
        <v>145</v>
      </c>
      <c r="O4548">
        <v>0</v>
      </c>
      <c r="P4548">
        <v>36</v>
      </c>
      <c r="Q4548">
        <v>6</v>
      </c>
    </row>
    <row r="4549" spans="1:17" x14ac:dyDescent="0.2">
      <c r="A4549" s="121">
        <v>40755</v>
      </c>
      <c r="B4549" t="s">
        <v>406</v>
      </c>
      <c r="C4549" t="s">
        <v>562</v>
      </c>
      <c r="D4549" t="s">
        <v>567</v>
      </c>
      <c r="E4549" t="s">
        <v>568</v>
      </c>
      <c r="F4549" t="s">
        <v>413</v>
      </c>
      <c r="G4549">
        <v>9723</v>
      </c>
      <c r="H4549">
        <v>9723</v>
      </c>
      <c r="I4549">
        <v>9337</v>
      </c>
      <c r="J4549">
        <v>9337</v>
      </c>
      <c r="K4549">
        <v>2764</v>
      </c>
      <c r="L4549">
        <v>23</v>
      </c>
      <c r="M4549">
        <v>6474</v>
      </c>
      <c r="N4549">
        <v>462</v>
      </c>
      <c r="O4549">
        <v>0</v>
      </c>
      <c r="P4549">
        <v>12</v>
      </c>
      <c r="Q4549">
        <v>0</v>
      </c>
    </row>
    <row r="4550" spans="1:17" x14ac:dyDescent="0.2">
      <c r="A4550" s="121">
        <v>40755</v>
      </c>
      <c r="B4550" t="s">
        <v>406</v>
      </c>
      <c r="C4550" t="s">
        <v>562</v>
      </c>
      <c r="D4550" t="s">
        <v>569</v>
      </c>
      <c r="E4550" t="s">
        <v>570</v>
      </c>
      <c r="F4550" t="s">
        <v>413</v>
      </c>
      <c r="G4550">
        <v>2902</v>
      </c>
      <c r="H4550">
        <v>2902</v>
      </c>
      <c r="I4550">
        <v>2884</v>
      </c>
      <c r="J4550">
        <v>2884</v>
      </c>
      <c r="K4550">
        <v>416</v>
      </c>
      <c r="L4550">
        <v>1</v>
      </c>
      <c r="M4550">
        <v>2485</v>
      </c>
      <c r="N4550">
        <v>0</v>
      </c>
      <c r="O4550">
        <v>0</v>
      </c>
      <c r="P4550">
        <v>0</v>
      </c>
      <c r="Q4550">
        <v>0</v>
      </c>
    </row>
    <row r="4551" spans="1:17" x14ac:dyDescent="0.2">
      <c r="A4551" s="121">
        <v>40755</v>
      </c>
      <c r="B4551" t="s">
        <v>406</v>
      </c>
      <c r="C4551" t="s">
        <v>571</v>
      </c>
      <c r="D4551" t="s">
        <v>572</v>
      </c>
      <c r="E4551" t="s">
        <v>573</v>
      </c>
      <c r="F4551" t="s">
        <v>410</v>
      </c>
      <c r="G4551">
        <v>256</v>
      </c>
      <c r="H4551">
        <v>256</v>
      </c>
      <c r="I4551">
        <v>255</v>
      </c>
      <c r="J4551">
        <v>255</v>
      </c>
      <c r="K4551">
        <v>2</v>
      </c>
      <c r="L4551">
        <v>0</v>
      </c>
      <c r="M4551">
        <v>254</v>
      </c>
      <c r="N4551">
        <v>0</v>
      </c>
      <c r="O4551">
        <v>0</v>
      </c>
      <c r="P4551">
        <v>0</v>
      </c>
      <c r="Q4551">
        <v>0</v>
      </c>
    </row>
    <row r="4552" spans="1:17" x14ac:dyDescent="0.2">
      <c r="A4552" s="121">
        <v>40755</v>
      </c>
      <c r="B4552" t="s">
        <v>406</v>
      </c>
      <c r="C4552" t="s">
        <v>574</v>
      </c>
      <c r="D4552" t="s">
        <v>575</v>
      </c>
      <c r="E4552" t="s">
        <v>576</v>
      </c>
      <c r="F4552" t="s">
        <v>413</v>
      </c>
      <c r="G4552">
        <v>803</v>
      </c>
      <c r="H4552">
        <v>803</v>
      </c>
      <c r="I4552">
        <v>801</v>
      </c>
      <c r="J4552">
        <v>801</v>
      </c>
      <c r="K4552">
        <v>163</v>
      </c>
      <c r="L4552">
        <v>4</v>
      </c>
      <c r="M4552">
        <v>602</v>
      </c>
      <c r="N4552">
        <v>0</v>
      </c>
      <c r="O4552">
        <v>34</v>
      </c>
      <c r="P4552">
        <v>0</v>
      </c>
      <c r="Q4552">
        <v>0</v>
      </c>
    </row>
    <row r="4553" spans="1:17" x14ac:dyDescent="0.2">
      <c r="A4553" s="121">
        <v>40755</v>
      </c>
      <c r="B4553" t="s">
        <v>406</v>
      </c>
      <c r="C4553" t="s">
        <v>577</v>
      </c>
      <c r="D4553" t="s">
        <v>578</v>
      </c>
      <c r="E4553" t="s">
        <v>579</v>
      </c>
      <c r="F4553" t="s">
        <v>413</v>
      </c>
      <c r="G4553">
        <v>4230</v>
      </c>
      <c r="H4553">
        <v>4230</v>
      </c>
      <c r="I4553">
        <v>4148</v>
      </c>
      <c r="J4553">
        <v>4148</v>
      </c>
      <c r="K4553">
        <v>871</v>
      </c>
      <c r="L4553">
        <v>20</v>
      </c>
      <c r="M4553">
        <v>3082</v>
      </c>
      <c r="N4553">
        <v>247</v>
      </c>
      <c r="O4553">
        <v>10</v>
      </c>
      <c r="P4553">
        <v>2</v>
      </c>
      <c r="Q4553">
        <v>0</v>
      </c>
    </row>
    <row r="4554" spans="1:17" x14ac:dyDescent="0.2">
      <c r="A4554" s="121">
        <v>40755</v>
      </c>
      <c r="B4554" t="s">
        <v>406</v>
      </c>
      <c r="C4554" t="s">
        <v>577</v>
      </c>
      <c r="D4554" t="s">
        <v>580</v>
      </c>
      <c r="E4554" t="s">
        <v>581</v>
      </c>
      <c r="F4554" t="s">
        <v>413</v>
      </c>
      <c r="G4554">
        <v>2215</v>
      </c>
      <c r="H4554">
        <v>2215</v>
      </c>
      <c r="I4554">
        <v>2184</v>
      </c>
      <c r="J4554">
        <v>2184</v>
      </c>
      <c r="K4554">
        <v>321</v>
      </c>
      <c r="L4554">
        <v>0</v>
      </c>
      <c r="M4554">
        <v>1461</v>
      </c>
      <c r="N4554">
        <v>359</v>
      </c>
      <c r="O4554">
        <v>74</v>
      </c>
      <c r="P4554">
        <v>1</v>
      </c>
      <c r="Q4554">
        <v>0</v>
      </c>
    </row>
    <row r="4555" spans="1:17" x14ac:dyDescent="0.2">
      <c r="A4555" s="121">
        <v>40755</v>
      </c>
      <c r="B4555" t="s">
        <v>406</v>
      </c>
      <c r="C4555" t="s">
        <v>577</v>
      </c>
      <c r="D4555" t="s">
        <v>609</v>
      </c>
      <c r="E4555" t="s">
        <v>610</v>
      </c>
      <c r="F4555" t="s">
        <v>410</v>
      </c>
      <c r="G4555">
        <v>39</v>
      </c>
      <c r="H4555">
        <v>39</v>
      </c>
      <c r="I4555">
        <v>39</v>
      </c>
      <c r="J4555">
        <v>39</v>
      </c>
      <c r="K4555">
        <v>0</v>
      </c>
      <c r="L4555">
        <v>0</v>
      </c>
      <c r="M4555">
        <v>35</v>
      </c>
      <c r="N4555">
        <v>3</v>
      </c>
      <c r="O4555">
        <v>1</v>
      </c>
      <c r="P4555">
        <v>0</v>
      </c>
      <c r="Q4555">
        <v>0</v>
      </c>
    </row>
    <row r="4556" spans="1:17" x14ac:dyDescent="0.2">
      <c r="A4556" s="121">
        <v>40755</v>
      </c>
      <c r="B4556" t="s">
        <v>406</v>
      </c>
      <c r="C4556" t="s">
        <v>577</v>
      </c>
      <c r="D4556" t="s">
        <v>611</v>
      </c>
      <c r="E4556" t="s">
        <v>612</v>
      </c>
      <c r="F4556" t="s">
        <v>410</v>
      </c>
      <c r="G4556">
        <v>7</v>
      </c>
      <c r="H4556">
        <v>7</v>
      </c>
      <c r="I4556">
        <v>7</v>
      </c>
      <c r="J4556">
        <v>7</v>
      </c>
      <c r="K4556">
        <v>0</v>
      </c>
      <c r="L4556">
        <v>0</v>
      </c>
      <c r="M4556">
        <v>3</v>
      </c>
      <c r="N4556">
        <v>3</v>
      </c>
      <c r="O4556">
        <v>1</v>
      </c>
      <c r="P4556">
        <v>0</v>
      </c>
      <c r="Q4556">
        <v>0</v>
      </c>
    </row>
    <row r="4557" spans="1:17" x14ac:dyDescent="0.2">
      <c r="A4557" s="121">
        <v>40755</v>
      </c>
      <c r="B4557" t="s">
        <v>406</v>
      </c>
      <c r="C4557" t="s">
        <v>577</v>
      </c>
      <c r="D4557" t="s">
        <v>584</v>
      </c>
      <c r="E4557" t="s">
        <v>585</v>
      </c>
      <c r="F4557" t="s">
        <v>410</v>
      </c>
      <c r="G4557">
        <v>287</v>
      </c>
      <c r="H4557">
        <v>287</v>
      </c>
      <c r="I4557">
        <v>287</v>
      </c>
      <c r="J4557">
        <v>287</v>
      </c>
      <c r="K4557">
        <v>0</v>
      </c>
      <c r="L4557">
        <v>0</v>
      </c>
      <c r="M4557">
        <v>257</v>
      </c>
      <c r="N4557">
        <v>28</v>
      </c>
      <c r="O4557">
        <v>2</v>
      </c>
      <c r="P4557">
        <v>0</v>
      </c>
      <c r="Q4557">
        <v>0</v>
      </c>
    </row>
    <row r="4558" spans="1:17" x14ac:dyDescent="0.2">
      <c r="A4558" s="121">
        <v>40755</v>
      </c>
      <c r="B4558" t="s">
        <v>406</v>
      </c>
      <c r="C4558" t="s">
        <v>577</v>
      </c>
      <c r="D4558" t="s">
        <v>586</v>
      </c>
      <c r="E4558" t="s">
        <v>587</v>
      </c>
      <c r="F4558" t="s">
        <v>410</v>
      </c>
      <c r="G4558">
        <v>1253</v>
      </c>
      <c r="H4558">
        <v>1253</v>
      </c>
      <c r="I4558">
        <v>1252</v>
      </c>
      <c r="J4558">
        <v>1252</v>
      </c>
      <c r="K4558">
        <v>0</v>
      </c>
      <c r="L4558">
        <v>0</v>
      </c>
      <c r="M4558">
        <v>978</v>
      </c>
      <c r="N4558">
        <v>212</v>
      </c>
      <c r="O4558">
        <v>63</v>
      </c>
      <c r="P4558">
        <v>0</v>
      </c>
      <c r="Q4558">
        <v>0</v>
      </c>
    </row>
    <row r="4559" spans="1:17" x14ac:dyDescent="0.2">
      <c r="A4559" s="121">
        <v>40755</v>
      </c>
      <c r="B4559" t="s">
        <v>406</v>
      </c>
      <c r="C4559" t="s">
        <v>577</v>
      </c>
      <c r="D4559" t="s">
        <v>588</v>
      </c>
      <c r="E4559" t="s">
        <v>589</v>
      </c>
      <c r="F4559" t="s">
        <v>410</v>
      </c>
      <c r="G4559">
        <v>301</v>
      </c>
      <c r="H4559">
        <v>301</v>
      </c>
      <c r="I4559">
        <v>301</v>
      </c>
      <c r="J4559">
        <v>301</v>
      </c>
      <c r="K4559">
        <v>0</v>
      </c>
      <c r="L4559">
        <v>0</v>
      </c>
      <c r="M4559">
        <v>263</v>
      </c>
      <c r="N4559">
        <v>23</v>
      </c>
      <c r="O4559">
        <v>15</v>
      </c>
      <c r="P4559">
        <v>0</v>
      </c>
      <c r="Q4559">
        <v>0</v>
      </c>
    </row>
    <row r="4560" spans="1:17" x14ac:dyDescent="0.2">
      <c r="A4560" s="121">
        <v>40755</v>
      </c>
      <c r="B4560" t="s">
        <v>406</v>
      </c>
      <c r="C4560" t="s">
        <v>577</v>
      </c>
      <c r="D4560" t="s">
        <v>613</v>
      </c>
      <c r="E4560" t="s">
        <v>614</v>
      </c>
      <c r="F4560" t="s">
        <v>410</v>
      </c>
      <c r="G4560">
        <v>234</v>
      </c>
      <c r="H4560">
        <v>234</v>
      </c>
      <c r="I4560">
        <v>234</v>
      </c>
      <c r="J4560">
        <v>234</v>
      </c>
      <c r="K4560">
        <v>0</v>
      </c>
      <c r="L4560">
        <v>0</v>
      </c>
      <c r="M4560">
        <v>189</v>
      </c>
      <c r="N4560">
        <v>38</v>
      </c>
      <c r="O4560">
        <v>7</v>
      </c>
      <c r="P4560">
        <v>0</v>
      </c>
      <c r="Q4560">
        <v>0</v>
      </c>
    </row>
    <row r="4561" spans="1:17" x14ac:dyDescent="0.2">
      <c r="A4561" s="121">
        <v>40755</v>
      </c>
      <c r="B4561" t="s">
        <v>406</v>
      </c>
      <c r="C4561" t="s">
        <v>577</v>
      </c>
      <c r="D4561" t="s">
        <v>590</v>
      </c>
      <c r="E4561" t="s">
        <v>591</v>
      </c>
      <c r="F4561" t="s">
        <v>410</v>
      </c>
      <c r="G4561">
        <v>609</v>
      </c>
      <c r="H4561">
        <v>609</v>
      </c>
      <c r="I4561">
        <v>609</v>
      </c>
      <c r="J4561">
        <v>609</v>
      </c>
      <c r="K4561">
        <v>0</v>
      </c>
      <c r="L4561">
        <v>0</v>
      </c>
      <c r="M4561">
        <v>553</v>
      </c>
      <c r="N4561">
        <v>40</v>
      </c>
      <c r="O4561">
        <v>16</v>
      </c>
      <c r="P4561">
        <v>0</v>
      </c>
      <c r="Q4561">
        <v>0</v>
      </c>
    </row>
    <row r="4562" spans="1:17" x14ac:dyDescent="0.2">
      <c r="A4562" s="121">
        <v>40755</v>
      </c>
      <c r="B4562" t="s">
        <v>406</v>
      </c>
      <c r="C4562" t="s">
        <v>577</v>
      </c>
      <c r="D4562" t="s">
        <v>607</v>
      </c>
      <c r="E4562" t="s">
        <v>608</v>
      </c>
      <c r="F4562" t="s">
        <v>410</v>
      </c>
      <c r="G4562">
        <v>218</v>
      </c>
      <c r="H4562">
        <v>218</v>
      </c>
      <c r="I4562">
        <v>216</v>
      </c>
      <c r="J4562">
        <v>216</v>
      </c>
      <c r="K4562">
        <v>0</v>
      </c>
      <c r="L4562">
        <v>0</v>
      </c>
      <c r="M4562">
        <v>186</v>
      </c>
      <c r="N4562">
        <v>30</v>
      </c>
      <c r="O4562">
        <v>2</v>
      </c>
      <c r="P4562">
        <v>0</v>
      </c>
      <c r="Q4562">
        <v>0</v>
      </c>
    </row>
    <row r="4563" spans="1:17" x14ac:dyDescent="0.2">
      <c r="A4563" s="121">
        <v>40755</v>
      </c>
      <c r="B4563" t="s">
        <v>406</v>
      </c>
      <c r="C4563" t="s">
        <v>577</v>
      </c>
      <c r="D4563" t="s">
        <v>592</v>
      </c>
      <c r="E4563" t="s">
        <v>593</v>
      </c>
      <c r="F4563" t="s">
        <v>410</v>
      </c>
      <c r="G4563">
        <v>635</v>
      </c>
      <c r="H4563">
        <v>635</v>
      </c>
      <c r="I4563">
        <v>635</v>
      </c>
      <c r="J4563">
        <v>635</v>
      </c>
      <c r="K4563">
        <v>0</v>
      </c>
      <c r="L4563">
        <v>0</v>
      </c>
      <c r="M4563">
        <v>530</v>
      </c>
      <c r="N4563">
        <v>68</v>
      </c>
      <c r="O4563">
        <v>37</v>
      </c>
      <c r="P4563">
        <v>0</v>
      </c>
      <c r="Q4563">
        <v>0</v>
      </c>
    </row>
    <row r="4564" spans="1:17" x14ac:dyDescent="0.2">
      <c r="A4564" s="121">
        <v>40755</v>
      </c>
      <c r="B4564" t="s">
        <v>406</v>
      </c>
      <c r="C4564" t="s">
        <v>594</v>
      </c>
      <c r="D4564" t="s">
        <v>595</v>
      </c>
      <c r="E4564" t="s">
        <v>596</v>
      </c>
      <c r="F4564" t="s">
        <v>410</v>
      </c>
      <c r="G4564">
        <v>103</v>
      </c>
      <c r="I4564">
        <v>99</v>
      </c>
    </row>
    <row r="4565" spans="1:17" x14ac:dyDescent="0.2">
      <c r="A4565" s="121">
        <v>40755</v>
      </c>
      <c r="B4565" t="s">
        <v>406</v>
      </c>
      <c r="C4565" t="s">
        <v>594</v>
      </c>
      <c r="D4565" t="s">
        <v>597</v>
      </c>
      <c r="E4565" t="s">
        <v>598</v>
      </c>
      <c r="F4565" t="s">
        <v>413</v>
      </c>
      <c r="G4565">
        <v>689</v>
      </c>
      <c r="H4565">
        <v>689</v>
      </c>
      <c r="I4565">
        <v>671</v>
      </c>
      <c r="J4565">
        <v>671</v>
      </c>
      <c r="K4565">
        <v>147</v>
      </c>
      <c r="L4565">
        <v>0</v>
      </c>
      <c r="M4565">
        <v>517</v>
      </c>
      <c r="N4565">
        <v>18</v>
      </c>
      <c r="O4565">
        <v>7</v>
      </c>
      <c r="P4565">
        <v>0</v>
      </c>
      <c r="Q4565">
        <v>0</v>
      </c>
    </row>
    <row r="4566" spans="1:17" x14ac:dyDescent="0.2">
      <c r="A4566" s="121">
        <v>40755</v>
      </c>
      <c r="B4566" t="s">
        <v>406</v>
      </c>
      <c r="C4566" t="s">
        <v>594</v>
      </c>
      <c r="D4566" t="s">
        <v>599</v>
      </c>
      <c r="E4566" t="s">
        <v>600</v>
      </c>
      <c r="F4566" t="s">
        <v>410</v>
      </c>
      <c r="G4566">
        <v>137</v>
      </c>
      <c r="I4566">
        <v>137</v>
      </c>
    </row>
    <row r="4567" spans="1:17" x14ac:dyDescent="0.2">
      <c r="A4567" s="121">
        <v>40786</v>
      </c>
      <c r="B4567" t="s">
        <v>406</v>
      </c>
      <c r="C4567" t="s">
        <v>407</v>
      </c>
      <c r="D4567" t="s">
        <v>408</v>
      </c>
      <c r="E4567" t="s">
        <v>409</v>
      </c>
      <c r="F4567" t="s">
        <v>410</v>
      </c>
      <c r="G4567">
        <v>316</v>
      </c>
      <c r="I4567">
        <v>316</v>
      </c>
    </row>
    <row r="4568" spans="1:17" x14ac:dyDescent="0.2">
      <c r="A4568" s="121">
        <v>40786</v>
      </c>
      <c r="B4568" t="s">
        <v>406</v>
      </c>
      <c r="C4568" t="s">
        <v>407</v>
      </c>
      <c r="D4568" t="s">
        <v>601</v>
      </c>
      <c r="E4568" t="s">
        <v>602</v>
      </c>
      <c r="F4568" t="s">
        <v>410</v>
      </c>
      <c r="G4568">
        <v>63</v>
      </c>
      <c r="I4568">
        <v>63</v>
      </c>
    </row>
    <row r="4569" spans="1:17" x14ac:dyDescent="0.2">
      <c r="A4569" s="121">
        <v>40786</v>
      </c>
      <c r="B4569" t="s">
        <v>406</v>
      </c>
      <c r="C4569" t="s">
        <v>407</v>
      </c>
      <c r="D4569" t="s">
        <v>411</v>
      </c>
      <c r="E4569" t="s">
        <v>412</v>
      </c>
      <c r="F4569" t="s">
        <v>413</v>
      </c>
      <c r="G4569">
        <v>6042</v>
      </c>
      <c r="H4569">
        <v>6042</v>
      </c>
      <c r="I4569">
        <v>5881</v>
      </c>
      <c r="J4569">
        <v>5881</v>
      </c>
      <c r="K4569">
        <v>2263</v>
      </c>
      <c r="L4569">
        <v>3</v>
      </c>
      <c r="M4569">
        <v>3394</v>
      </c>
      <c r="N4569">
        <v>138</v>
      </c>
      <c r="O4569">
        <v>244</v>
      </c>
      <c r="P4569">
        <v>1</v>
      </c>
      <c r="Q4569">
        <v>0</v>
      </c>
    </row>
    <row r="4570" spans="1:17" x14ac:dyDescent="0.2">
      <c r="A4570" s="121">
        <v>40786</v>
      </c>
      <c r="B4570" t="s">
        <v>406</v>
      </c>
      <c r="C4570" t="s">
        <v>407</v>
      </c>
      <c r="D4570" t="s">
        <v>416</v>
      </c>
      <c r="E4570" t="s">
        <v>417</v>
      </c>
      <c r="F4570" t="s">
        <v>413</v>
      </c>
      <c r="G4570">
        <v>3892</v>
      </c>
      <c r="H4570">
        <v>3892</v>
      </c>
      <c r="I4570">
        <v>3648</v>
      </c>
      <c r="J4570">
        <v>3648</v>
      </c>
      <c r="K4570">
        <v>1392</v>
      </c>
      <c r="L4570">
        <v>6</v>
      </c>
      <c r="M4570">
        <v>82</v>
      </c>
      <c r="N4570">
        <v>86</v>
      </c>
      <c r="O4570">
        <v>2326</v>
      </c>
      <c r="P4570">
        <v>9</v>
      </c>
      <c r="Q4570">
        <v>2</v>
      </c>
    </row>
    <row r="4571" spans="1:17" x14ac:dyDescent="0.2">
      <c r="A4571" s="121">
        <v>40786</v>
      </c>
      <c r="B4571" t="s">
        <v>406</v>
      </c>
      <c r="C4571" t="s">
        <v>407</v>
      </c>
      <c r="D4571" t="s">
        <v>618</v>
      </c>
      <c r="E4571" t="s">
        <v>619</v>
      </c>
      <c r="F4571" t="s">
        <v>410</v>
      </c>
      <c r="G4571">
        <v>116</v>
      </c>
      <c r="I4571">
        <v>116</v>
      </c>
    </row>
    <row r="4572" spans="1:17" x14ac:dyDescent="0.2">
      <c r="A4572" s="121">
        <v>40786</v>
      </c>
      <c r="B4572" t="s">
        <v>406</v>
      </c>
      <c r="C4572" t="s">
        <v>418</v>
      </c>
      <c r="D4572" t="s">
        <v>419</v>
      </c>
      <c r="E4572" t="s">
        <v>420</v>
      </c>
      <c r="F4572" t="s">
        <v>410</v>
      </c>
      <c r="G4572">
        <v>17</v>
      </c>
      <c r="I4572">
        <v>17</v>
      </c>
    </row>
    <row r="4573" spans="1:17" x14ac:dyDescent="0.2">
      <c r="A4573" s="121">
        <v>40786</v>
      </c>
      <c r="B4573" t="s">
        <v>406</v>
      </c>
      <c r="C4573" t="s">
        <v>418</v>
      </c>
      <c r="D4573" t="s">
        <v>421</v>
      </c>
      <c r="E4573" t="s">
        <v>422</v>
      </c>
      <c r="F4573" t="s">
        <v>410</v>
      </c>
      <c r="G4573">
        <v>117</v>
      </c>
      <c r="I4573">
        <v>117</v>
      </c>
    </row>
    <row r="4574" spans="1:17" x14ac:dyDescent="0.2">
      <c r="A4574" s="121">
        <v>40786</v>
      </c>
      <c r="B4574" t="s">
        <v>406</v>
      </c>
      <c r="C4574" t="s">
        <v>418</v>
      </c>
      <c r="D4574" t="s">
        <v>423</v>
      </c>
      <c r="E4574" t="s">
        <v>424</v>
      </c>
      <c r="F4574" t="s">
        <v>410</v>
      </c>
      <c r="G4574">
        <v>22</v>
      </c>
      <c r="I4574">
        <v>22</v>
      </c>
    </row>
    <row r="4575" spans="1:17" x14ac:dyDescent="0.2">
      <c r="A4575" s="121">
        <v>40786</v>
      </c>
      <c r="B4575" t="s">
        <v>406</v>
      </c>
      <c r="C4575" t="s">
        <v>418</v>
      </c>
      <c r="D4575" t="s">
        <v>425</v>
      </c>
      <c r="E4575" t="s">
        <v>426</v>
      </c>
      <c r="F4575" t="s">
        <v>410</v>
      </c>
      <c r="G4575">
        <v>91</v>
      </c>
      <c r="I4575">
        <v>91</v>
      </c>
    </row>
    <row r="4576" spans="1:17" x14ac:dyDescent="0.2">
      <c r="A4576" s="121">
        <v>40786</v>
      </c>
      <c r="B4576" t="s">
        <v>406</v>
      </c>
      <c r="C4576" t="s">
        <v>418</v>
      </c>
      <c r="D4576" t="s">
        <v>427</v>
      </c>
      <c r="E4576" t="s">
        <v>428</v>
      </c>
      <c r="F4576" t="s">
        <v>413</v>
      </c>
      <c r="G4576">
        <v>2070</v>
      </c>
      <c r="H4576">
        <v>2070</v>
      </c>
      <c r="I4576">
        <v>2045</v>
      </c>
      <c r="J4576">
        <v>2045</v>
      </c>
      <c r="K4576">
        <v>613</v>
      </c>
      <c r="L4576">
        <v>1</v>
      </c>
      <c r="M4576">
        <v>861</v>
      </c>
      <c r="N4576">
        <v>520</v>
      </c>
      <c r="O4576">
        <v>75</v>
      </c>
      <c r="P4576">
        <v>1</v>
      </c>
      <c r="Q4576">
        <v>0</v>
      </c>
    </row>
    <row r="4577" spans="1:17" x14ac:dyDescent="0.2">
      <c r="A4577" s="121">
        <v>40786</v>
      </c>
      <c r="B4577" t="s">
        <v>406</v>
      </c>
      <c r="C4577" t="s">
        <v>429</v>
      </c>
      <c r="D4577" t="s">
        <v>430</v>
      </c>
      <c r="E4577" t="s">
        <v>431</v>
      </c>
      <c r="F4577" t="s">
        <v>410</v>
      </c>
      <c r="G4577">
        <v>75</v>
      </c>
      <c r="I4577">
        <v>75</v>
      </c>
    </row>
    <row r="4578" spans="1:17" x14ac:dyDescent="0.2">
      <c r="A4578" s="121">
        <v>40786</v>
      </c>
      <c r="B4578" t="s">
        <v>406</v>
      </c>
      <c r="C4578" t="s">
        <v>429</v>
      </c>
      <c r="D4578" t="s">
        <v>432</v>
      </c>
      <c r="E4578" t="s">
        <v>433</v>
      </c>
      <c r="F4578" t="s">
        <v>410</v>
      </c>
      <c r="G4578">
        <v>73</v>
      </c>
      <c r="I4578">
        <v>73</v>
      </c>
    </row>
    <row r="4579" spans="1:17" x14ac:dyDescent="0.2">
      <c r="A4579" s="121">
        <v>40786</v>
      </c>
      <c r="B4579" t="s">
        <v>406</v>
      </c>
      <c r="C4579" t="s">
        <v>429</v>
      </c>
      <c r="D4579" t="s">
        <v>434</v>
      </c>
      <c r="E4579" t="s">
        <v>435</v>
      </c>
      <c r="F4579" t="s">
        <v>410</v>
      </c>
      <c r="G4579">
        <v>10</v>
      </c>
      <c r="I4579">
        <v>10</v>
      </c>
    </row>
    <row r="4580" spans="1:17" x14ac:dyDescent="0.2">
      <c r="A4580" s="121">
        <v>40786</v>
      </c>
      <c r="B4580" t="s">
        <v>406</v>
      </c>
      <c r="C4580" t="s">
        <v>429</v>
      </c>
      <c r="D4580" t="s">
        <v>436</v>
      </c>
      <c r="E4580" t="s">
        <v>437</v>
      </c>
      <c r="F4580" t="s">
        <v>410</v>
      </c>
      <c r="G4580">
        <v>38</v>
      </c>
      <c r="I4580">
        <v>38</v>
      </c>
    </row>
    <row r="4581" spans="1:17" x14ac:dyDescent="0.2">
      <c r="A4581" s="121">
        <v>40786</v>
      </c>
      <c r="B4581" t="s">
        <v>406</v>
      </c>
      <c r="C4581" t="s">
        <v>429</v>
      </c>
      <c r="D4581" t="s">
        <v>438</v>
      </c>
      <c r="E4581" t="s">
        <v>439</v>
      </c>
      <c r="F4581" t="s">
        <v>413</v>
      </c>
      <c r="G4581">
        <v>1084</v>
      </c>
      <c r="H4581">
        <v>1084</v>
      </c>
      <c r="I4581">
        <v>1060</v>
      </c>
      <c r="J4581">
        <v>1060</v>
      </c>
      <c r="K4581">
        <v>110</v>
      </c>
      <c r="L4581">
        <v>0</v>
      </c>
      <c r="M4581">
        <v>956</v>
      </c>
      <c r="N4581">
        <v>18</v>
      </c>
      <c r="O4581">
        <v>0</v>
      </c>
      <c r="P4581">
        <v>3</v>
      </c>
      <c r="Q4581">
        <v>1</v>
      </c>
    </row>
    <row r="4582" spans="1:17" x14ac:dyDescent="0.2">
      <c r="A4582" s="121">
        <v>40786</v>
      </c>
      <c r="B4582" t="s">
        <v>406</v>
      </c>
      <c r="C4582" t="s">
        <v>429</v>
      </c>
      <c r="D4582" t="s">
        <v>440</v>
      </c>
      <c r="E4582" t="s">
        <v>441</v>
      </c>
      <c r="F4582" t="s">
        <v>413</v>
      </c>
      <c r="G4582">
        <v>2953</v>
      </c>
      <c r="H4582">
        <v>2953</v>
      </c>
      <c r="I4582">
        <v>2815</v>
      </c>
      <c r="J4582">
        <v>2815</v>
      </c>
      <c r="K4582">
        <v>839</v>
      </c>
      <c r="L4582">
        <v>3</v>
      </c>
      <c r="M4582">
        <v>2018</v>
      </c>
      <c r="N4582">
        <v>93</v>
      </c>
      <c r="O4582">
        <v>0</v>
      </c>
      <c r="P4582">
        <v>1</v>
      </c>
      <c r="Q4582">
        <v>0</v>
      </c>
    </row>
    <row r="4583" spans="1:17" x14ac:dyDescent="0.2">
      <c r="A4583" s="121">
        <v>40786</v>
      </c>
      <c r="B4583" t="s">
        <v>406</v>
      </c>
      <c r="C4583" t="s">
        <v>442</v>
      </c>
      <c r="D4583" t="s">
        <v>443</v>
      </c>
      <c r="E4583" t="s">
        <v>444</v>
      </c>
      <c r="F4583" t="s">
        <v>413</v>
      </c>
      <c r="G4583">
        <v>2785</v>
      </c>
      <c r="H4583">
        <v>2785</v>
      </c>
      <c r="I4583">
        <v>2727</v>
      </c>
      <c r="J4583">
        <v>2727</v>
      </c>
      <c r="K4583">
        <v>257</v>
      </c>
      <c r="L4583">
        <v>7</v>
      </c>
      <c r="M4583">
        <v>2173</v>
      </c>
      <c r="N4583">
        <v>168</v>
      </c>
      <c r="O4583">
        <v>180</v>
      </c>
      <c r="P4583">
        <v>1</v>
      </c>
      <c r="Q4583">
        <v>0</v>
      </c>
    </row>
    <row r="4584" spans="1:17" x14ac:dyDescent="0.2">
      <c r="A4584" s="121">
        <v>40786</v>
      </c>
      <c r="B4584" t="s">
        <v>406</v>
      </c>
      <c r="C4584" t="s">
        <v>442</v>
      </c>
      <c r="D4584" t="s">
        <v>445</v>
      </c>
      <c r="E4584" t="s">
        <v>446</v>
      </c>
      <c r="F4584" t="s">
        <v>410</v>
      </c>
      <c r="G4584">
        <v>144</v>
      </c>
      <c r="I4584">
        <v>144</v>
      </c>
    </row>
    <row r="4585" spans="1:17" x14ac:dyDescent="0.2">
      <c r="A4585" s="121">
        <v>40786</v>
      </c>
      <c r="B4585" t="s">
        <v>406</v>
      </c>
      <c r="C4585" t="s">
        <v>442</v>
      </c>
      <c r="D4585" t="s">
        <v>447</v>
      </c>
      <c r="E4585" t="s">
        <v>448</v>
      </c>
      <c r="F4585" t="s">
        <v>410</v>
      </c>
      <c r="G4585">
        <v>456</v>
      </c>
      <c r="I4585">
        <v>456</v>
      </c>
    </row>
    <row r="4586" spans="1:17" x14ac:dyDescent="0.2">
      <c r="A4586" s="121">
        <v>40786</v>
      </c>
      <c r="B4586" t="s">
        <v>406</v>
      </c>
      <c r="C4586" t="s">
        <v>442</v>
      </c>
      <c r="D4586" t="s">
        <v>449</v>
      </c>
      <c r="E4586" t="s">
        <v>450</v>
      </c>
      <c r="F4586" t="s">
        <v>413</v>
      </c>
      <c r="G4586">
        <v>4344</v>
      </c>
      <c r="H4586">
        <v>4344</v>
      </c>
      <c r="I4586">
        <v>4077</v>
      </c>
      <c r="J4586">
        <v>4077</v>
      </c>
      <c r="K4586">
        <v>948</v>
      </c>
      <c r="L4586">
        <v>12</v>
      </c>
      <c r="M4586">
        <v>3220</v>
      </c>
      <c r="N4586">
        <v>126</v>
      </c>
      <c r="O4586">
        <v>38</v>
      </c>
      <c r="P4586">
        <v>19</v>
      </c>
      <c r="Q4586">
        <v>0</v>
      </c>
    </row>
    <row r="4587" spans="1:17" x14ac:dyDescent="0.2">
      <c r="A4587" s="121">
        <v>40786</v>
      </c>
      <c r="B4587" t="s">
        <v>406</v>
      </c>
      <c r="C4587" t="s">
        <v>451</v>
      </c>
      <c r="D4587" t="s">
        <v>454</v>
      </c>
      <c r="E4587" t="s">
        <v>621</v>
      </c>
      <c r="F4587" t="s">
        <v>410</v>
      </c>
      <c r="G4587">
        <v>1214</v>
      </c>
      <c r="H4587">
        <v>1214</v>
      </c>
      <c r="I4587">
        <v>1214</v>
      </c>
      <c r="J4587">
        <v>1214</v>
      </c>
      <c r="K4587">
        <v>0</v>
      </c>
      <c r="L4587">
        <v>0</v>
      </c>
      <c r="M4587">
        <v>861</v>
      </c>
      <c r="N4587">
        <v>31</v>
      </c>
      <c r="O4587">
        <v>322</v>
      </c>
      <c r="P4587">
        <v>0</v>
      </c>
      <c r="Q4587">
        <v>0</v>
      </c>
    </row>
    <row r="4588" spans="1:17" x14ac:dyDescent="0.2">
      <c r="A4588" s="121">
        <v>40786</v>
      </c>
      <c r="B4588" t="s">
        <v>406</v>
      </c>
      <c r="C4588" t="s">
        <v>451</v>
      </c>
      <c r="D4588" t="s">
        <v>622</v>
      </c>
      <c r="E4588" t="s">
        <v>623</v>
      </c>
      <c r="F4588" t="s">
        <v>413</v>
      </c>
      <c r="G4588">
        <v>5002</v>
      </c>
      <c r="H4588">
        <v>5002</v>
      </c>
      <c r="I4588">
        <v>4686</v>
      </c>
      <c r="J4588">
        <v>4686</v>
      </c>
      <c r="K4588">
        <v>37</v>
      </c>
      <c r="L4588">
        <v>12</v>
      </c>
      <c r="M4588">
        <v>2985</v>
      </c>
      <c r="N4588">
        <v>131</v>
      </c>
      <c r="O4588">
        <v>1837</v>
      </c>
      <c r="P4588">
        <v>6</v>
      </c>
      <c r="Q4588">
        <v>0</v>
      </c>
    </row>
    <row r="4589" spans="1:17" x14ac:dyDescent="0.2">
      <c r="A4589" s="121">
        <v>40786</v>
      </c>
      <c r="B4589" t="s">
        <v>406</v>
      </c>
      <c r="C4589" t="s">
        <v>456</v>
      </c>
      <c r="D4589" t="s">
        <v>457</v>
      </c>
      <c r="E4589" t="s">
        <v>458</v>
      </c>
      <c r="F4589" t="s">
        <v>413</v>
      </c>
      <c r="G4589">
        <v>5425</v>
      </c>
      <c r="H4589">
        <v>5425</v>
      </c>
      <c r="I4589">
        <v>5246</v>
      </c>
      <c r="J4589">
        <v>5246</v>
      </c>
      <c r="K4589">
        <v>1438</v>
      </c>
      <c r="L4589">
        <v>16</v>
      </c>
      <c r="M4589">
        <v>3836</v>
      </c>
      <c r="N4589">
        <v>58</v>
      </c>
      <c r="O4589">
        <v>77</v>
      </c>
      <c r="P4589">
        <v>4</v>
      </c>
      <c r="Q4589">
        <v>1</v>
      </c>
    </row>
    <row r="4590" spans="1:17" x14ac:dyDescent="0.2">
      <c r="A4590" s="121">
        <v>40786</v>
      </c>
      <c r="B4590" t="s">
        <v>406</v>
      </c>
      <c r="C4590" t="s">
        <v>456</v>
      </c>
      <c r="D4590" t="s">
        <v>459</v>
      </c>
      <c r="E4590" t="s">
        <v>460</v>
      </c>
      <c r="F4590" t="s">
        <v>413</v>
      </c>
      <c r="G4590">
        <v>1448</v>
      </c>
      <c r="H4590">
        <v>1448</v>
      </c>
      <c r="I4590">
        <v>1441</v>
      </c>
      <c r="J4590">
        <v>1441</v>
      </c>
      <c r="K4590">
        <v>378</v>
      </c>
      <c r="L4590">
        <v>0</v>
      </c>
      <c r="M4590">
        <v>1068</v>
      </c>
      <c r="N4590">
        <v>1</v>
      </c>
      <c r="O4590">
        <v>1</v>
      </c>
      <c r="P4590">
        <v>0</v>
      </c>
      <c r="Q4590">
        <v>0</v>
      </c>
    </row>
    <row r="4591" spans="1:17" x14ac:dyDescent="0.2">
      <c r="A4591" s="121">
        <v>40786</v>
      </c>
      <c r="B4591" t="s">
        <v>406</v>
      </c>
      <c r="C4591" t="s">
        <v>456</v>
      </c>
      <c r="D4591" t="s">
        <v>461</v>
      </c>
      <c r="E4591" t="s">
        <v>462</v>
      </c>
      <c r="F4591" t="s">
        <v>410</v>
      </c>
      <c r="G4591">
        <v>123</v>
      </c>
      <c r="I4591">
        <v>123</v>
      </c>
    </row>
    <row r="4592" spans="1:17" x14ac:dyDescent="0.2">
      <c r="A4592" s="121">
        <v>40786</v>
      </c>
      <c r="B4592" t="s">
        <v>406</v>
      </c>
      <c r="C4592" t="s">
        <v>456</v>
      </c>
      <c r="D4592" t="s">
        <v>463</v>
      </c>
      <c r="E4592" t="s">
        <v>464</v>
      </c>
      <c r="F4592" t="s">
        <v>410</v>
      </c>
      <c r="G4592">
        <v>35</v>
      </c>
      <c r="I4592">
        <v>35</v>
      </c>
    </row>
    <row r="4593" spans="1:17" x14ac:dyDescent="0.2">
      <c r="A4593" s="121">
        <v>40786</v>
      </c>
      <c r="B4593" t="s">
        <v>406</v>
      </c>
      <c r="C4593" t="s">
        <v>456</v>
      </c>
      <c r="D4593" t="s">
        <v>465</v>
      </c>
      <c r="E4593" t="s">
        <v>466</v>
      </c>
      <c r="F4593" t="s">
        <v>410</v>
      </c>
      <c r="G4593">
        <v>48</v>
      </c>
      <c r="I4593">
        <v>48</v>
      </c>
    </row>
    <row r="4594" spans="1:17" x14ac:dyDescent="0.2">
      <c r="A4594" s="121">
        <v>40786</v>
      </c>
      <c r="B4594" t="s">
        <v>406</v>
      </c>
      <c r="C4594" t="s">
        <v>456</v>
      </c>
      <c r="D4594" t="s">
        <v>467</v>
      </c>
      <c r="E4594" t="s">
        <v>468</v>
      </c>
      <c r="F4594" t="s">
        <v>410</v>
      </c>
      <c r="G4594">
        <v>1049</v>
      </c>
      <c r="I4594">
        <v>1048</v>
      </c>
    </row>
    <row r="4595" spans="1:17" x14ac:dyDescent="0.2">
      <c r="A4595" s="121">
        <v>40786</v>
      </c>
      <c r="B4595" t="s">
        <v>406</v>
      </c>
      <c r="C4595" t="s">
        <v>456</v>
      </c>
      <c r="D4595" t="s">
        <v>469</v>
      </c>
      <c r="E4595" t="s">
        <v>470</v>
      </c>
      <c r="F4595" t="s">
        <v>410</v>
      </c>
      <c r="G4595">
        <v>963</v>
      </c>
      <c r="I4595">
        <v>962</v>
      </c>
    </row>
    <row r="4596" spans="1:17" x14ac:dyDescent="0.2">
      <c r="A4596" s="121">
        <v>40786</v>
      </c>
      <c r="B4596" t="s">
        <v>406</v>
      </c>
      <c r="C4596" t="s">
        <v>456</v>
      </c>
      <c r="D4596" t="s">
        <v>471</v>
      </c>
      <c r="E4596" t="s">
        <v>472</v>
      </c>
      <c r="F4596" t="s">
        <v>410</v>
      </c>
      <c r="G4596">
        <v>271</v>
      </c>
      <c r="I4596">
        <v>271</v>
      </c>
    </row>
    <row r="4597" spans="1:17" x14ac:dyDescent="0.2">
      <c r="A4597" s="121">
        <v>40786</v>
      </c>
      <c r="B4597" t="s">
        <v>406</v>
      </c>
      <c r="C4597" t="s">
        <v>456</v>
      </c>
      <c r="D4597" t="s">
        <v>473</v>
      </c>
      <c r="E4597" t="s">
        <v>474</v>
      </c>
      <c r="F4597" t="s">
        <v>410</v>
      </c>
      <c r="G4597">
        <v>211</v>
      </c>
      <c r="I4597">
        <v>211</v>
      </c>
    </row>
    <row r="4598" spans="1:17" x14ac:dyDescent="0.2">
      <c r="A4598" s="121">
        <v>40786</v>
      </c>
      <c r="B4598" t="s">
        <v>406</v>
      </c>
      <c r="C4598" t="s">
        <v>456</v>
      </c>
      <c r="D4598" t="s">
        <v>475</v>
      </c>
      <c r="E4598" t="s">
        <v>476</v>
      </c>
      <c r="F4598" t="s">
        <v>410</v>
      </c>
      <c r="G4598">
        <v>339</v>
      </c>
      <c r="I4598">
        <v>339</v>
      </c>
    </row>
    <row r="4599" spans="1:17" x14ac:dyDescent="0.2">
      <c r="A4599" s="121">
        <v>40786</v>
      </c>
      <c r="B4599" t="s">
        <v>406</v>
      </c>
      <c r="C4599" t="s">
        <v>456</v>
      </c>
      <c r="D4599" t="s">
        <v>477</v>
      </c>
      <c r="E4599" t="s">
        <v>478</v>
      </c>
      <c r="F4599" t="s">
        <v>413</v>
      </c>
      <c r="G4599">
        <v>2043</v>
      </c>
      <c r="H4599">
        <v>2043</v>
      </c>
      <c r="I4599">
        <v>1951</v>
      </c>
      <c r="J4599">
        <v>1951</v>
      </c>
      <c r="K4599">
        <v>444</v>
      </c>
      <c r="L4599">
        <v>5</v>
      </c>
      <c r="M4599">
        <v>1540</v>
      </c>
      <c r="N4599">
        <v>24</v>
      </c>
      <c r="O4599">
        <v>30</v>
      </c>
      <c r="P4599">
        <v>4</v>
      </c>
      <c r="Q4599">
        <v>0</v>
      </c>
    </row>
    <row r="4600" spans="1:17" x14ac:dyDescent="0.2">
      <c r="A4600" s="121">
        <v>40786</v>
      </c>
      <c r="B4600" t="s">
        <v>406</v>
      </c>
      <c r="C4600" t="s">
        <v>456</v>
      </c>
      <c r="D4600" t="s">
        <v>479</v>
      </c>
      <c r="E4600" t="s">
        <v>480</v>
      </c>
      <c r="F4600" t="s">
        <v>410</v>
      </c>
      <c r="G4600">
        <v>95</v>
      </c>
      <c r="I4600">
        <v>95</v>
      </c>
    </row>
    <row r="4601" spans="1:17" x14ac:dyDescent="0.2">
      <c r="A4601" s="121">
        <v>40786</v>
      </c>
      <c r="B4601" t="s">
        <v>406</v>
      </c>
      <c r="C4601" t="s">
        <v>456</v>
      </c>
      <c r="D4601" t="s">
        <v>481</v>
      </c>
      <c r="E4601" t="s">
        <v>482</v>
      </c>
      <c r="F4601" t="s">
        <v>410</v>
      </c>
      <c r="G4601">
        <v>39</v>
      </c>
      <c r="I4601">
        <v>39</v>
      </c>
    </row>
    <row r="4602" spans="1:17" x14ac:dyDescent="0.2">
      <c r="A4602" s="121">
        <v>40786</v>
      </c>
      <c r="B4602" t="s">
        <v>406</v>
      </c>
      <c r="C4602" t="s">
        <v>456</v>
      </c>
      <c r="D4602" t="s">
        <v>483</v>
      </c>
      <c r="E4602" t="s">
        <v>484</v>
      </c>
      <c r="F4602" t="s">
        <v>410</v>
      </c>
      <c r="G4602">
        <v>86</v>
      </c>
      <c r="I4602">
        <v>86</v>
      </c>
    </row>
    <row r="4603" spans="1:17" x14ac:dyDescent="0.2">
      <c r="A4603" s="121">
        <v>40786</v>
      </c>
      <c r="B4603" t="s">
        <v>406</v>
      </c>
      <c r="C4603" t="s">
        <v>456</v>
      </c>
      <c r="D4603" t="s">
        <v>485</v>
      </c>
      <c r="E4603" t="s">
        <v>486</v>
      </c>
      <c r="F4603" t="s">
        <v>410</v>
      </c>
      <c r="G4603">
        <v>43</v>
      </c>
      <c r="I4603">
        <v>43</v>
      </c>
    </row>
    <row r="4604" spans="1:17" x14ac:dyDescent="0.2">
      <c r="A4604" s="121">
        <v>40786</v>
      </c>
      <c r="B4604" t="s">
        <v>406</v>
      </c>
      <c r="C4604" t="s">
        <v>456</v>
      </c>
      <c r="D4604" t="s">
        <v>487</v>
      </c>
      <c r="E4604" t="s">
        <v>488</v>
      </c>
      <c r="F4604" t="s">
        <v>410</v>
      </c>
      <c r="G4604">
        <v>31</v>
      </c>
      <c r="I4604">
        <v>31</v>
      </c>
    </row>
    <row r="4605" spans="1:17" x14ac:dyDescent="0.2">
      <c r="A4605" s="121">
        <v>40786</v>
      </c>
      <c r="B4605" t="s">
        <v>406</v>
      </c>
      <c r="C4605" t="s">
        <v>456</v>
      </c>
      <c r="D4605" t="s">
        <v>489</v>
      </c>
      <c r="E4605" t="s">
        <v>490</v>
      </c>
      <c r="F4605" t="s">
        <v>410</v>
      </c>
      <c r="G4605">
        <v>129</v>
      </c>
      <c r="H4605">
        <v>129</v>
      </c>
      <c r="I4605">
        <v>129</v>
      </c>
      <c r="J4605">
        <v>129</v>
      </c>
      <c r="K4605">
        <v>0</v>
      </c>
      <c r="L4605">
        <v>2</v>
      </c>
      <c r="M4605">
        <v>103</v>
      </c>
      <c r="N4605">
        <v>24</v>
      </c>
      <c r="O4605">
        <v>0</v>
      </c>
      <c r="P4605">
        <v>0</v>
      </c>
      <c r="Q4605">
        <v>0</v>
      </c>
    </row>
    <row r="4606" spans="1:17" x14ac:dyDescent="0.2">
      <c r="A4606" s="121">
        <v>40786</v>
      </c>
      <c r="B4606" t="s">
        <v>406</v>
      </c>
      <c r="C4606" t="s">
        <v>491</v>
      </c>
      <c r="D4606" t="s">
        <v>492</v>
      </c>
      <c r="E4606" t="s">
        <v>493</v>
      </c>
      <c r="F4606" t="s">
        <v>410</v>
      </c>
      <c r="G4606">
        <v>1278</v>
      </c>
      <c r="H4606">
        <v>1278</v>
      </c>
      <c r="I4606">
        <v>1259</v>
      </c>
      <c r="J4606">
        <v>1259</v>
      </c>
      <c r="K4606">
        <v>182</v>
      </c>
      <c r="L4606">
        <v>0</v>
      </c>
      <c r="M4606">
        <v>0</v>
      </c>
      <c r="N4606">
        <v>19</v>
      </c>
      <c r="O4606">
        <v>1077</v>
      </c>
      <c r="P4606">
        <v>0</v>
      </c>
      <c r="Q4606">
        <v>0</v>
      </c>
    </row>
    <row r="4607" spans="1:17" x14ac:dyDescent="0.2">
      <c r="A4607" s="121">
        <v>40786</v>
      </c>
      <c r="B4607" t="s">
        <v>406</v>
      </c>
      <c r="C4607" t="s">
        <v>491</v>
      </c>
      <c r="D4607" t="s">
        <v>494</v>
      </c>
      <c r="E4607" t="s">
        <v>495</v>
      </c>
      <c r="F4607" t="s">
        <v>413</v>
      </c>
      <c r="G4607">
        <v>2913</v>
      </c>
      <c r="H4607">
        <v>2913</v>
      </c>
      <c r="I4607">
        <v>2836</v>
      </c>
      <c r="J4607">
        <v>2836</v>
      </c>
      <c r="K4607">
        <v>0</v>
      </c>
      <c r="L4607">
        <v>0</v>
      </c>
      <c r="M4607">
        <v>11</v>
      </c>
      <c r="N4607">
        <v>18</v>
      </c>
      <c r="O4607">
        <v>2884</v>
      </c>
      <c r="P4607">
        <v>0</v>
      </c>
      <c r="Q4607">
        <v>0</v>
      </c>
    </row>
    <row r="4608" spans="1:17" x14ac:dyDescent="0.2">
      <c r="A4608" s="121">
        <v>40786</v>
      </c>
      <c r="B4608" t="s">
        <v>406</v>
      </c>
      <c r="C4608" t="s">
        <v>491</v>
      </c>
      <c r="D4608" t="s">
        <v>496</v>
      </c>
      <c r="E4608" t="s">
        <v>497</v>
      </c>
      <c r="F4608" t="s">
        <v>413</v>
      </c>
      <c r="G4608">
        <v>6549</v>
      </c>
      <c r="H4608">
        <v>6549</v>
      </c>
      <c r="I4608">
        <v>6280</v>
      </c>
      <c r="J4608">
        <v>6280</v>
      </c>
      <c r="K4608">
        <v>781</v>
      </c>
      <c r="L4608">
        <v>0</v>
      </c>
      <c r="M4608">
        <v>19</v>
      </c>
      <c r="N4608">
        <v>80</v>
      </c>
      <c r="O4608">
        <v>5669</v>
      </c>
      <c r="P4608">
        <v>3</v>
      </c>
      <c r="Q4608">
        <v>0</v>
      </c>
    </row>
    <row r="4609" spans="1:17" x14ac:dyDescent="0.2">
      <c r="A4609" s="121">
        <v>40786</v>
      </c>
      <c r="B4609" t="s">
        <v>406</v>
      </c>
      <c r="C4609" t="s">
        <v>491</v>
      </c>
      <c r="D4609" t="s">
        <v>498</v>
      </c>
      <c r="E4609" t="s">
        <v>499</v>
      </c>
      <c r="F4609" t="s">
        <v>413</v>
      </c>
      <c r="G4609">
        <v>7255</v>
      </c>
      <c r="H4609">
        <v>7255</v>
      </c>
      <c r="I4609">
        <v>7089</v>
      </c>
      <c r="J4609">
        <v>7089</v>
      </c>
      <c r="K4609">
        <v>1981</v>
      </c>
      <c r="L4609">
        <v>12</v>
      </c>
      <c r="M4609">
        <v>4785</v>
      </c>
      <c r="N4609">
        <v>168</v>
      </c>
      <c r="O4609">
        <v>309</v>
      </c>
      <c r="P4609">
        <v>2</v>
      </c>
      <c r="Q4609">
        <v>0</v>
      </c>
    </row>
    <row r="4610" spans="1:17" x14ac:dyDescent="0.2">
      <c r="A4610" s="121">
        <v>40786</v>
      </c>
      <c r="B4610" t="s">
        <v>406</v>
      </c>
      <c r="C4610" t="s">
        <v>491</v>
      </c>
      <c r="D4610" t="s">
        <v>500</v>
      </c>
      <c r="E4610" t="s">
        <v>620</v>
      </c>
      <c r="F4610" t="s">
        <v>410</v>
      </c>
      <c r="G4610">
        <v>1407</v>
      </c>
      <c r="H4610">
        <v>1407</v>
      </c>
      <c r="I4610">
        <v>1407</v>
      </c>
      <c r="J4610">
        <v>1407</v>
      </c>
      <c r="K4610">
        <v>14</v>
      </c>
      <c r="L4610">
        <v>0</v>
      </c>
      <c r="M4610">
        <v>1263</v>
      </c>
      <c r="N4610">
        <v>18</v>
      </c>
      <c r="O4610">
        <v>112</v>
      </c>
      <c r="P4610">
        <v>0</v>
      </c>
      <c r="Q4610">
        <v>0</v>
      </c>
    </row>
    <row r="4611" spans="1:17" x14ac:dyDescent="0.2">
      <c r="A4611" s="121">
        <v>40786</v>
      </c>
      <c r="B4611" t="s">
        <v>406</v>
      </c>
      <c r="C4611" t="s">
        <v>491</v>
      </c>
      <c r="D4611" t="s">
        <v>502</v>
      </c>
      <c r="E4611" t="s">
        <v>615</v>
      </c>
      <c r="F4611" t="s">
        <v>410</v>
      </c>
      <c r="G4611">
        <v>1608</v>
      </c>
      <c r="H4611">
        <v>1608</v>
      </c>
      <c r="I4611">
        <v>1608</v>
      </c>
      <c r="J4611">
        <v>1608</v>
      </c>
      <c r="K4611">
        <v>0</v>
      </c>
      <c r="L4611">
        <v>0</v>
      </c>
      <c r="M4611">
        <v>1581</v>
      </c>
      <c r="N4611">
        <v>2</v>
      </c>
      <c r="O4611">
        <v>25</v>
      </c>
      <c r="P4611">
        <v>0</v>
      </c>
      <c r="Q4611">
        <v>0</v>
      </c>
    </row>
    <row r="4612" spans="1:17" x14ac:dyDescent="0.2">
      <c r="A4612" s="121">
        <v>40786</v>
      </c>
      <c r="B4612" t="s">
        <v>406</v>
      </c>
      <c r="C4612" t="s">
        <v>491</v>
      </c>
      <c r="D4612" t="s">
        <v>502</v>
      </c>
      <c r="E4612" t="s">
        <v>503</v>
      </c>
      <c r="F4612" t="s">
        <v>413</v>
      </c>
      <c r="G4612">
        <v>5093</v>
      </c>
      <c r="H4612">
        <v>5093</v>
      </c>
      <c r="I4612">
        <v>4974</v>
      </c>
      <c r="J4612">
        <v>4974</v>
      </c>
      <c r="K4612">
        <v>1693</v>
      </c>
      <c r="L4612">
        <v>6</v>
      </c>
      <c r="M4612">
        <v>3231</v>
      </c>
      <c r="N4612">
        <v>98</v>
      </c>
      <c r="O4612">
        <v>65</v>
      </c>
      <c r="P4612">
        <v>4</v>
      </c>
      <c r="Q4612">
        <v>0</v>
      </c>
    </row>
    <row r="4613" spans="1:17" x14ac:dyDescent="0.2">
      <c r="A4613" s="121">
        <v>40786</v>
      </c>
      <c r="B4613" t="s">
        <v>406</v>
      </c>
      <c r="C4613" t="s">
        <v>491</v>
      </c>
      <c r="D4613" t="s">
        <v>504</v>
      </c>
      <c r="E4613" t="s">
        <v>505</v>
      </c>
      <c r="F4613" t="s">
        <v>413</v>
      </c>
      <c r="G4613">
        <v>4155</v>
      </c>
      <c r="H4613">
        <v>4155</v>
      </c>
      <c r="I4613">
        <v>3990</v>
      </c>
      <c r="J4613">
        <v>3990</v>
      </c>
      <c r="K4613">
        <v>1107</v>
      </c>
      <c r="L4613">
        <v>6</v>
      </c>
      <c r="M4613">
        <v>2935</v>
      </c>
      <c r="N4613">
        <v>61</v>
      </c>
      <c r="O4613">
        <v>46</v>
      </c>
      <c r="P4613">
        <v>1</v>
      </c>
      <c r="Q4613">
        <v>0</v>
      </c>
    </row>
    <row r="4614" spans="1:17" x14ac:dyDescent="0.2">
      <c r="A4614" s="121">
        <v>40786</v>
      </c>
      <c r="B4614" t="s">
        <v>406</v>
      </c>
      <c r="C4614" t="s">
        <v>491</v>
      </c>
      <c r="D4614" t="s">
        <v>506</v>
      </c>
      <c r="E4614" t="s">
        <v>507</v>
      </c>
      <c r="F4614" t="s">
        <v>413</v>
      </c>
      <c r="G4614">
        <v>3377</v>
      </c>
      <c r="H4614">
        <v>3377</v>
      </c>
      <c r="I4614">
        <v>3287</v>
      </c>
      <c r="J4614">
        <v>3287</v>
      </c>
      <c r="K4614">
        <v>558</v>
      </c>
      <c r="L4614">
        <v>0</v>
      </c>
      <c r="M4614">
        <v>2807</v>
      </c>
      <c r="N4614">
        <v>4</v>
      </c>
      <c r="O4614">
        <v>8</v>
      </c>
      <c r="P4614">
        <v>2</v>
      </c>
      <c r="Q4614">
        <v>0</v>
      </c>
    </row>
    <row r="4615" spans="1:17" x14ac:dyDescent="0.2">
      <c r="A4615" s="121">
        <v>40786</v>
      </c>
      <c r="B4615" t="s">
        <v>406</v>
      </c>
      <c r="C4615" t="s">
        <v>491</v>
      </c>
      <c r="D4615" t="s">
        <v>508</v>
      </c>
      <c r="E4615" t="s">
        <v>509</v>
      </c>
      <c r="F4615" t="s">
        <v>413</v>
      </c>
      <c r="G4615">
        <v>5125</v>
      </c>
      <c r="H4615">
        <v>5125</v>
      </c>
      <c r="I4615">
        <v>4910</v>
      </c>
      <c r="J4615">
        <v>4910</v>
      </c>
      <c r="K4615">
        <v>1630</v>
      </c>
      <c r="L4615">
        <v>5</v>
      </c>
      <c r="M4615">
        <v>3037</v>
      </c>
      <c r="N4615">
        <v>132</v>
      </c>
      <c r="O4615">
        <v>321</v>
      </c>
      <c r="P4615">
        <v>5</v>
      </c>
      <c r="Q4615">
        <v>0</v>
      </c>
    </row>
    <row r="4616" spans="1:17" x14ac:dyDescent="0.2">
      <c r="A4616" s="121">
        <v>40786</v>
      </c>
      <c r="B4616" t="s">
        <v>406</v>
      </c>
      <c r="C4616" t="s">
        <v>510</v>
      </c>
      <c r="D4616" t="s">
        <v>513</v>
      </c>
      <c r="E4616" t="s">
        <v>514</v>
      </c>
      <c r="F4616" t="s">
        <v>410</v>
      </c>
      <c r="G4616">
        <v>705</v>
      </c>
      <c r="I4616">
        <v>704</v>
      </c>
    </row>
    <row r="4617" spans="1:17" x14ac:dyDescent="0.2">
      <c r="A4617" s="121">
        <v>40786</v>
      </c>
      <c r="B4617" t="s">
        <v>406</v>
      </c>
      <c r="C4617" t="s">
        <v>510</v>
      </c>
      <c r="D4617" t="s">
        <v>515</v>
      </c>
      <c r="E4617" t="s">
        <v>516</v>
      </c>
      <c r="F4617" t="s">
        <v>410</v>
      </c>
      <c r="G4617">
        <v>148</v>
      </c>
      <c r="I4617">
        <v>148</v>
      </c>
    </row>
    <row r="4618" spans="1:17" x14ac:dyDescent="0.2">
      <c r="A4618" s="121">
        <v>40786</v>
      </c>
      <c r="B4618" t="s">
        <v>406</v>
      </c>
      <c r="C4618" t="s">
        <v>510</v>
      </c>
      <c r="D4618" t="s">
        <v>519</v>
      </c>
      <c r="E4618" t="s">
        <v>520</v>
      </c>
      <c r="F4618" t="s">
        <v>410</v>
      </c>
      <c r="G4618">
        <v>373</v>
      </c>
      <c r="I4618">
        <v>363</v>
      </c>
    </row>
    <row r="4619" spans="1:17" x14ac:dyDescent="0.2">
      <c r="A4619" s="121">
        <v>40786</v>
      </c>
      <c r="B4619" t="s">
        <v>406</v>
      </c>
      <c r="C4619" t="s">
        <v>510</v>
      </c>
      <c r="D4619" t="s">
        <v>521</v>
      </c>
      <c r="E4619" t="s">
        <v>522</v>
      </c>
      <c r="F4619" t="s">
        <v>410</v>
      </c>
      <c r="G4619">
        <v>75</v>
      </c>
      <c r="I4619">
        <v>74</v>
      </c>
    </row>
    <row r="4620" spans="1:17" x14ac:dyDescent="0.2">
      <c r="A4620" s="121">
        <v>40786</v>
      </c>
      <c r="B4620" t="s">
        <v>406</v>
      </c>
      <c r="C4620" t="s">
        <v>510</v>
      </c>
      <c r="D4620" t="s">
        <v>523</v>
      </c>
      <c r="E4620" t="s">
        <v>524</v>
      </c>
      <c r="F4620" t="s">
        <v>413</v>
      </c>
      <c r="G4620">
        <v>598</v>
      </c>
      <c r="I4620">
        <v>593</v>
      </c>
    </row>
    <row r="4621" spans="1:17" x14ac:dyDescent="0.2">
      <c r="A4621" s="121">
        <v>40786</v>
      </c>
      <c r="B4621" t="s">
        <v>406</v>
      </c>
      <c r="C4621" t="s">
        <v>510</v>
      </c>
      <c r="D4621" t="s">
        <v>525</v>
      </c>
      <c r="E4621" t="s">
        <v>526</v>
      </c>
      <c r="F4621" t="s">
        <v>410</v>
      </c>
      <c r="G4621">
        <v>452</v>
      </c>
      <c r="I4621">
        <v>442</v>
      </c>
    </row>
    <row r="4622" spans="1:17" x14ac:dyDescent="0.2">
      <c r="A4622" s="121">
        <v>40786</v>
      </c>
      <c r="B4622" t="s">
        <v>406</v>
      </c>
      <c r="C4622" t="s">
        <v>510</v>
      </c>
      <c r="D4622" t="s">
        <v>527</v>
      </c>
      <c r="E4622" t="s">
        <v>528</v>
      </c>
      <c r="F4622" t="s">
        <v>410</v>
      </c>
      <c r="G4622">
        <v>224</v>
      </c>
      <c r="I4622">
        <v>223</v>
      </c>
    </row>
    <row r="4623" spans="1:17" x14ac:dyDescent="0.2">
      <c r="A4623" s="121">
        <v>40786</v>
      </c>
      <c r="B4623" t="s">
        <v>406</v>
      </c>
      <c r="C4623" t="s">
        <v>510</v>
      </c>
      <c r="D4623" t="s">
        <v>529</v>
      </c>
      <c r="E4623" t="s">
        <v>530</v>
      </c>
      <c r="F4623" t="s">
        <v>413</v>
      </c>
      <c r="G4623">
        <v>535</v>
      </c>
      <c r="H4623">
        <v>535</v>
      </c>
      <c r="I4623">
        <v>529</v>
      </c>
      <c r="J4623">
        <v>529</v>
      </c>
      <c r="K4623">
        <v>172</v>
      </c>
      <c r="L4623">
        <v>1</v>
      </c>
      <c r="M4623">
        <v>359</v>
      </c>
      <c r="N4623">
        <v>3</v>
      </c>
      <c r="O4623">
        <v>0</v>
      </c>
      <c r="P4623">
        <v>0</v>
      </c>
      <c r="Q4623">
        <v>0</v>
      </c>
    </row>
    <row r="4624" spans="1:17" x14ac:dyDescent="0.2">
      <c r="A4624" s="121">
        <v>40786</v>
      </c>
      <c r="B4624" t="s">
        <v>406</v>
      </c>
      <c r="C4624" t="s">
        <v>510</v>
      </c>
      <c r="D4624" t="s">
        <v>531</v>
      </c>
      <c r="E4624" t="s">
        <v>532</v>
      </c>
      <c r="F4624" t="s">
        <v>410</v>
      </c>
      <c r="G4624">
        <v>45</v>
      </c>
      <c r="I4624">
        <v>45</v>
      </c>
    </row>
    <row r="4625" spans="1:17" x14ac:dyDescent="0.2">
      <c r="A4625" s="121">
        <v>40786</v>
      </c>
      <c r="B4625" t="s">
        <v>406</v>
      </c>
      <c r="C4625" t="s">
        <v>510</v>
      </c>
      <c r="D4625" t="s">
        <v>533</v>
      </c>
      <c r="E4625" t="s">
        <v>534</v>
      </c>
      <c r="F4625" t="s">
        <v>413</v>
      </c>
      <c r="G4625">
        <v>2938</v>
      </c>
      <c r="H4625">
        <v>2938</v>
      </c>
      <c r="I4625">
        <v>2895</v>
      </c>
      <c r="J4625">
        <v>2895</v>
      </c>
      <c r="K4625">
        <v>539</v>
      </c>
      <c r="L4625">
        <v>2</v>
      </c>
      <c r="M4625">
        <v>2396</v>
      </c>
      <c r="N4625">
        <v>1</v>
      </c>
      <c r="O4625">
        <v>0</v>
      </c>
      <c r="P4625">
        <v>2</v>
      </c>
      <c r="Q4625">
        <v>0</v>
      </c>
    </row>
    <row r="4626" spans="1:17" x14ac:dyDescent="0.2">
      <c r="A4626" s="121">
        <v>40786</v>
      </c>
      <c r="B4626" t="s">
        <v>406</v>
      </c>
      <c r="C4626" t="s">
        <v>510</v>
      </c>
      <c r="D4626" t="s">
        <v>535</v>
      </c>
      <c r="E4626" t="s">
        <v>536</v>
      </c>
      <c r="F4626" t="s">
        <v>410</v>
      </c>
      <c r="G4626">
        <v>377</v>
      </c>
      <c r="I4626">
        <v>376</v>
      </c>
    </row>
    <row r="4627" spans="1:17" x14ac:dyDescent="0.2">
      <c r="A4627" s="121">
        <v>40786</v>
      </c>
      <c r="B4627" t="s">
        <v>406</v>
      </c>
      <c r="C4627" t="s">
        <v>510</v>
      </c>
      <c r="D4627" t="s">
        <v>537</v>
      </c>
      <c r="E4627" t="s">
        <v>538</v>
      </c>
      <c r="F4627" t="s">
        <v>410</v>
      </c>
      <c r="G4627">
        <v>126</v>
      </c>
      <c r="I4627">
        <v>126</v>
      </c>
    </row>
    <row r="4628" spans="1:17" x14ac:dyDescent="0.2">
      <c r="A4628" s="121">
        <v>40786</v>
      </c>
      <c r="B4628" t="s">
        <v>406</v>
      </c>
      <c r="C4628" t="s">
        <v>510</v>
      </c>
      <c r="D4628" t="s">
        <v>539</v>
      </c>
      <c r="E4628" t="s">
        <v>540</v>
      </c>
      <c r="F4628" t="s">
        <v>413</v>
      </c>
      <c r="G4628">
        <v>837</v>
      </c>
      <c r="H4628">
        <v>837</v>
      </c>
      <c r="I4628">
        <v>813</v>
      </c>
      <c r="J4628">
        <v>813</v>
      </c>
      <c r="K4628">
        <v>141</v>
      </c>
      <c r="L4628">
        <v>0</v>
      </c>
      <c r="M4628">
        <v>691</v>
      </c>
      <c r="N4628">
        <v>5</v>
      </c>
      <c r="O4628">
        <v>0</v>
      </c>
      <c r="P4628">
        <v>1</v>
      </c>
      <c r="Q4628">
        <v>0</v>
      </c>
    </row>
    <row r="4629" spans="1:17" x14ac:dyDescent="0.2">
      <c r="A4629" s="121">
        <v>40786</v>
      </c>
      <c r="B4629" t="s">
        <v>406</v>
      </c>
      <c r="C4629" t="s">
        <v>510</v>
      </c>
      <c r="D4629" t="s">
        <v>541</v>
      </c>
      <c r="E4629" t="s">
        <v>542</v>
      </c>
      <c r="F4629" t="s">
        <v>410</v>
      </c>
      <c r="G4629">
        <v>310</v>
      </c>
      <c r="I4629">
        <v>309</v>
      </c>
    </row>
    <row r="4630" spans="1:17" x14ac:dyDescent="0.2">
      <c r="A4630" s="121">
        <v>40786</v>
      </c>
      <c r="B4630" t="s">
        <v>406</v>
      </c>
      <c r="C4630" t="s">
        <v>510</v>
      </c>
      <c r="D4630" t="s">
        <v>543</v>
      </c>
      <c r="E4630" t="s">
        <v>544</v>
      </c>
      <c r="F4630" t="s">
        <v>410</v>
      </c>
      <c r="G4630">
        <v>280</v>
      </c>
      <c r="I4630">
        <v>280</v>
      </c>
    </row>
    <row r="4631" spans="1:17" x14ac:dyDescent="0.2">
      <c r="A4631" s="121">
        <v>40786</v>
      </c>
      <c r="B4631" t="s">
        <v>406</v>
      </c>
      <c r="C4631" t="s">
        <v>510</v>
      </c>
      <c r="D4631" t="s">
        <v>545</v>
      </c>
      <c r="E4631" t="s">
        <v>546</v>
      </c>
      <c r="F4631" t="s">
        <v>410</v>
      </c>
      <c r="G4631">
        <v>205</v>
      </c>
      <c r="I4631">
        <v>204</v>
      </c>
    </row>
    <row r="4632" spans="1:17" x14ac:dyDescent="0.2">
      <c r="A4632" s="121">
        <v>40786</v>
      </c>
      <c r="B4632" t="s">
        <v>406</v>
      </c>
      <c r="C4632" t="s">
        <v>510</v>
      </c>
      <c r="D4632" t="s">
        <v>547</v>
      </c>
      <c r="E4632" t="s">
        <v>548</v>
      </c>
      <c r="F4632" t="s">
        <v>410</v>
      </c>
      <c r="G4632">
        <v>159</v>
      </c>
      <c r="I4632">
        <v>159</v>
      </c>
    </row>
    <row r="4633" spans="1:17" x14ac:dyDescent="0.2">
      <c r="A4633" s="121">
        <v>40786</v>
      </c>
      <c r="B4633" t="s">
        <v>406</v>
      </c>
      <c r="C4633" t="s">
        <v>510</v>
      </c>
      <c r="D4633" t="s">
        <v>616</v>
      </c>
      <c r="E4633" t="s">
        <v>617</v>
      </c>
      <c r="F4633" t="s">
        <v>410</v>
      </c>
      <c r="G4633">
        <v>314</v>
      </c>
      <c r="I4633">
        <v>312</v>
      </c>
    </row>
    <row r="4634" spans="1:17" x14ac:dyDescent="0.2">
      <c r="A4634" s="121">
        <v>40786</v>
      </c>
      <c r="B4634" t="s">
        <v>406</v>
      </c>
      <c r="C4634" t="s">
        <v>510</v>
      </c>
      <c r="D4634" t="s">
        <v>549</v>
      </c>
      <c r="E4634" t="s">
        <v>550</v>
      </c>
      <c r="F4634" t="s">
        <v>410</v>
      </c>
      <c r="G4634">
        <v>205</v>
      </c>
      <c r="I4634">
        <v>205</v>
      </c>
    </row>
    <row r="4635" spans="1:17" x14ac:dyDescent="0.2">
      <c r="A4635" s="121">
        <v>40786</v>
      </c>
      <c r="B4635" t="s">
        <v>406</v>
      </c>
      <c r="C4635" t="s">
        <v>551</v>
      </c>
      <c r="D4635" t="s">
        <v>552</v>
      </c>
      <c r="E4635" t="s">
        <v>553</v>
      </c>
      <c r="F4635" t="s">
        <v>413</v>
      </c>
      <c r="G4635">
        <v>5763</v>
      </c>
      <c r="H4635">
        <v>5763</v>
      </c>
      <c r="I4635">
        <v>5333</v>
      </c>
      <c r="J4635">
        <v>5333</v>
      </c>
      <c r="K4635">
        <v>1728</v>
      </c>
      <c r="L4635">
        <v>8</v>
      </c>
      <c r="M4635">
        <v>3614</v>
      </c>
      <c r="N4635">
        <v>193</v>
      </c>
      <c r="O4635">
        <v>220</v>
      </c>
      <c r="P4635">
        <v>28</v>
      </c>
      <c r="Q4635">
        <v>2</v>
      </c>
    </row>
    <row r="4636" spans="1:17" x14ac:dyDescent="0.2">
      <c r="A4636" s="121">
        <v>40786</v>
      </c>
      <c r="B4636" t="s">
        <v>406</v>
      </c>
      <c r="C4636" t="s">
        <v>551</v>
      </c>
      <c r="D4636" t="s">
        <v>554</v>
      </c>
      <c r="E4636" t="s">
        <v>555</v>
      </c>
      <c r="F4636" t="s">
        <v>410</v>
      </c>
      <c r="G4636">
        <v>65</v>
      </c>
      <c r="I4636">
        <v>65</v>
      </c>
    </row>
    <row r="4637" spans="1:17" x14ac:dyDescent="0.2">
      <c r="A4637" s="121">
        <v>40786</v>
      </c>
      <c r="B4637" t="s">
        <v>406</v>
      </c>
      <c r="C4637" t="s">
        <v>551</v>
      </c>
      <c r="D4637" t="s">
        <v>556</v>
      </c>
      <c r="E4637" t="s">
        <v>557</v>
      </c>
      <c r="F4637" t="s">
        <v>410</v>
      </c>
      <c r="G4637">
        <v>86</v>
      </c>
      <c r="I4637">
        <v>86</v>
      </c>
    </row>
    <row r="4638" spans="1:17" x14ac:dyDescent="0.2">
      <c r="A4638" s="121">
        <v>40786</v>
      </c>
      <c r="B4638" t="s">
        <v>406</v>
      </c>
      <c r="C4638" t="s">
        <v>551</v>
      </c>
      <c r="D4638" t="s">
        <v>558</v>
      </c>
      <c r="E4638" t="s">
        <v>559</v>
      </c>
      <c r="F4638" t="s">
        <v>413</v>
      </c>
      <c r="G4638">
        <v>4944</v>
      </c>
      <c r="H4638">
        <v>4944</v>
      </c>
      <c r="I4638">
        <v>4766</v>
      </c>
      <c r="J4638">
        <v>4766</v>
      </c>
      <c r="K4638">
        <v>1246</v>
      </c>
      <c r="L4638">
        <v>7</v>
      </c>
      <c r="M4638">
        <v>3456</v>
      </c>
      <c r="N4638">
        <v>145</v>
      </c>
      <c r="O4638">
        <v>90</v>
      </c>
      <c r="P4638">
        <v>8</v>
      </c>
      <c r="Q4638">
        <v>1</v>
      </c>
    </row>
    <row r="4639" spans="1:17" x14ac:dyDescent="0.2">
      <c r="A4639" s="121">
        <v>40786</v>
      </c>
      <c r="B4639" t="s">
        <v>406</v>
      </c>
      <c r="C4639" t="s">
        <v>551</v>
      </c>
      <c r="D4639" t="s">
        <v>560</v>
      </c>
      <c r="E4639" t="s">
        <v>561</v>
      </c>
      <c r="F4639" t="s">
        <v>413</v>
      </c>
      <c r="G4639">
        <v>5650</v>
      </c>
      <c r="H4639">
        <v>5650</v>
      </c>
      <c r="I4639">
        <v>5399</v>
      </c>
      <c r="J4639">
        <v>5399</v>
      </c>
      <c r="K4639">
        <v>1210</v>
      </c>
      <c r="L4639">
        <v>8</v>
      </c>
      <c r="M4639">
        <v>4032</v>
      </c>
      <c r="N4639">
        <v>260</v>
      </c>
      <c r="O4639">
        <v>140</v>
      </c>
      <c r="P4639">
        <v>14</v>
      </c>
      <c r="Q4639">
        <v>4</v>
      </c>
    </row>
    <row r="4640" spans="1:17" x14ac:dyDescent="0.2">
      <c r="A4640" s="121">
        <v>40786</v>
      </c>
      <c r="B4640" t="s">
        <v>406</v>
      </c>
      <c r="C4640" t="s">
        <v>562</v>
      </c>
      <c r="D4640" t="s">
        <v>603</v>
      </c>
      <c r="E4640" t="s">
        <v>604</v>
      </c>
      <c r="F4640" t="s">
        <v>410</v>
      </c>
      <c r="G4640">
        <v>17</v>
      </c>
      <c r="I4640">
        <v>17</v>
      </c>
    </row>
    <row r="4641" spans="1:17" x14ac:dyDescent="0.2">
      <c r="A4641" s="121">
        <v>40786</v>
      </c>
      <c r="B4641" t="s">
        <v>406</v>
      </c>
      <c r="C4641" t="s">
        <v>562</v>
      </c>
      <c r="D4641" t="s">
        <v>605</v>
      </c>
      <c r="E4641" t="s">
        <v>606</v>
      </c>
      <c r="F4641" t="s">
        <v>410</v>
      </c>
      <c r="G4641">
        <v>167</v>
      </c>
      <c r="I4641">
        <v>167</v>
      </c>
    </row>
    <row r="4642" spans="1:17" x14ac:dyDescent="0.2">
      <c r="A4642" s="121">
        <v>40786</v>
      </c>
      <c r="B4642" t="s">
        <v>406</v>
      </c>
      <c r="C4642" t="s">
        <v>562</v>
      </c>
      <c r="D4642" t="s">
        <v>563</v>
      </c>
      <c r="E4642" t="s">
        <v>564</v>
      </c>
      <c r="F4642" t="s">
        <v>410</v>
      </c>
      <c r="G4642">
        <v>3462</v>
      </c>
      <c r="H4642">
        <v>3462</v>
      </c>
      <c r="I4642">
        <v>3408</v>
      </c>
      <c r="J4642">
        <v>3408</v>
      </c>
      <c r="K4642">
        <v>1125</v>
      </c>
      <c r="L4642">
        <v>2</v>
      </c>
      <c r="M4642">
        <v>2307</v>
      </c>
      <c r="N4642">
        <v>28</v>
      </c>
      <c r="O4642">
        <v>0</v>
      </c>
      <c r="P4642">
        <v>0</v>
      </c>
      <c r="Q4642">
        <v>0</v>
      </c>
    </row>
    <row r="4643" spans="1:17" x14ac:dyDescent="0.2">
      <c r="A4643" s="121">
        <v>40786</v>
      </c>
      <c r="B4643" t="s">
        <v>406</v>
      </c>
      <c r="C4643" t="s">
        <v>562</v>
      </c>
      <c r="D4643" t="s">
        <v>565</v>
      </c>
      <c r="E4643" t="s">
        <v>566</v>
      </c>
      <c r="F4643" t="s">
        <v>413</v>
      </c>
      <c r="G4643">
        <v>4418</v>
      </c>
      <c r="H4643">
        <v>4418</v>
      </c>
      <c r="I4643">
        <v>4277</v>
      </c>
      <c r="J4643">
        <v>4277</v>
      </c>
      <c r="K4643">
        <v>1024</v>
      </c>
      <c r="L4643">
        <v>4</v>
      </c>
      <c r="M4643">
        <v>3249</v>
      </c>
      <c r="N4643">
        <v>141</v>
      </c>
      <c r="O4643">
        <v>0</v>
      </c>
      <c r="P4643">
        <v>17</v>
      </c>
      <c r="Q4643">
        <v>7</v>
      </c>
    </row>
    <row r="4644" spans="1:17" x14ac:dyDescent="0.2">
      <c r="A4644" s="121">
        <v>40786</v>
      </c>
      <c r="B4644" t="s">
        <v>406</v>
      </c>
      <c r="C4644" t="s">
        <v>562</v>
      </c>
      <c r="D4644" t="s">
        <v>567</v>
      </c>
      <c r="E4644" t="s">
        <v>568</v>
      </c>
      <c r="F4644" t="s">
        <v>413</v>
      </c>
      <c r="G4644">
        <v>9833</v>
      </c>
      <c r="H4644">
        <v>9833</v>
      </c>
      <c r="I4644">
        <v>9562</v>
      </c>
      <c r="J4644">
        <v>9562</v>
      </c>
      <c r="K4644">
        <v>2805</v>
      </c>
      <c r="L4644">
        <v>11</v>
      </c>
      <c r="M4644">
        <v>6514</v>
      </c>
      <c r="N4644">
        <v>503</v>
      </c>
      <c r="O4644">
        <v>0</v>
      </c>
      <c r="P4644">
        <v>18</v>
      </c>
      <c r="Q4644">
        <v>1</v>
      </c>
    </row>
    <row r="4645" spans="1:17" x14ac:dyDescent="0.2">
      <c r="A4645" s="121">
        <v>40786</v>
      </c>
      <c r="B4645" t="s">
        <v>406</v>
      </c>
      <c r="C4645" t="s">
        <v>562</v>
      </c>
      <c r="D4645" t="s">
        <v>569</v>
      </c>
      <c r="E4645" t="s">
        <v>570</v>
      </c>
      <c r="F4645" t="s">
        <v>413</v>
      </c>
      <c r="G4645">
        <v>2965</v>
      </c>
      <c r="H4645">
        <v>2965</v>
      </c>
      <c r="I4645">
        <v>2936</v>
      </c>
      <c r="J4645">
        <v>2936</v>
      </c>
      <c r="K4645">
        <v>458</v>
      </c>
      <c r="L4645">
        <v>0</v>
      </c>
      <c r="M4645">
        <v>2506</v>
      </c>
      <c r="N4645">
        <v>1</v>
      </c>
      <c r="O4645">
        <v>0</v>
      </c>
      <c r="P4645">
        <v>0</v>
      </c>
      <c r="Q4645">
        <v>0</v>
      </c>
    </row>
    <row r="4646" spans="1:17" x14ac:dyDescent="0.2">
      <c r="A4646" s="121">
        <v>40786</v>
      </c>
      <c r="B4646" t="s">
        <v>406</v>
      </c>
      <c r="C4646" t="s">
        <v>571</v>
      </c>
      <c r="D4646" t="s">
        <v>572</v>
      </c>
      <c r="E4646" t="s">
        <v>573</v>
      </c>
      <c r="F4646" t="s">
        <v>410</v>
      </c>
      <c r="G4646">
        <v>215</v>
      </c>
      <c r="H4646">
        <v>215</v>
      </c>
      <c r="I4646">
        <v>214</v>
      </c>
      <c r="J4646">
        <v>214</v>
      </c>
      <c r="K4646">
        <v>3</v>
      </c>
      <c r="L4646">
        <v>0</v>
      </c>
      <c r="M4646">
        <v>210</v>
      </c>
      <c r="N4646">
        <v>2</v>
      </c>
      <c r="O4646">
        <v>0</v>
      </c>
      <c r="P4646">
        <v>0</v>
      </c>
      <c r="Q4646">
        <v>0</v>
      </c>
    </row>
    <row r="4647" spans="1:17" x14ac:dyDescent="0.2">
      <c r="A4647" s="121">
        <v>40786</v>
      </c>
      <c r="B4647" t="s">
        <v>406</v>
      </c>
      <c r="C4647" t="s">
        <v>574</v>
      </c>
      <c r="D4647" t="s">
        <v>575</v>
      </c>
      <c r="E4647" t="s">
        <v>576</v>
      </c>
      <c r="F4647" t="s">
        <v>413</v>
      </c>
      <c r="G4647">
        <v>692</v>
      </c>
      <c r="H4647">
        <v>692</v>
      </c>
      <c r="I4647">
        <v>684</v>
      </c>
      <c r="J4647">
        <v>684</v>
      </c>
      <c r="K4647">
        <v>163</v>
      </c>
      <c r="L4647">
        <v>3</v>
      </c>
      <c r="M4647">
        <v>500</v>
      </c>
      <c r="N4647">
        <v>2</v>
      </c>
      <c r="O4647">
        <v>24</v>
      </c>
      <c r="P4647">
        <v>0</v>
      </c>
      <c r="Q4647">
        <v>0</v>
      </c>
    </row>
    <row r="4648" spans="1:17" x14ac:dyDescent="0.2">
      <c r="A4648" s="121">
        <v>40786</v>
      </c>
      <c r="B4648" t="s">
        <v>406</v>
      </c>
      <c r="C4648" t="s">
        <v>577</v>
      </c>
      <c r="D4648" t="s">
        <v>578</v>
      </c>
      <c r="E4648" t="s">
        <v>579</v>
      </c>
      <c r="F4648" t="s">
        <v>413</v>
      </c>
      <c r="G4648">
        <v>4308</v>
      </c>
      <c r="H4648">
        <v>4308</v>
      </c>
      <c r="I4648">
        <v>4220</v>
      </c>
      <c r="J4648">
        <v>4220</v>
      </c>
      <c r="K4648">
        <v>918</v>
      </c>
      <c r="L4648">
        <v>11</v>
      </c>
      <c r="M4648">
        <v>3147</v>
      </c>
      <c r="N4648">
        <v>219</v>
      </c>
      <c r="O4648">
        <v>13</v>
      </c>
      <c r="P4648">
        <v>0</v>
      </c>
      <c r="Q4648">
        <v>0</v>
      </c>
    </row>
    <row r="4649" spans="1:17" x14ac:dyDescent="0.2">
      <c r="A4649" s="121">
        <v>40786</v>
      </c>
      <c r="B4649" t="s">
        <v>406</v>
      </c>
      <c r="C4649" t="s">
        <v>577</v>
      </c>
      <c r="D4649" t="s">
        <v>580</v>
      </c>
      <c r="E4649" t="s">
        <v>581</v>
      </c>
      <c r="F4649" t="s">
        <v>413</v>
      </c>
      <c r="G4649">
        <v>2162</v>
      </c>
      <c r="H4649">
        <v>2162</v>
      </c>
      <c r="I4649">
        <v>2147</v>
      </c>
      <c r="J4649">
        <v>2147</v>
      </c>
      <c r="K4649">
        <v>289</v>
      </c>
      <c r="L4649">
        <v>0</v>
      </c>
      <c r="M4649">
        <v>1487</v>
      </c>
      <c r="N4649">
        <v>322</v>
      </c>
      <c r="O4649">
        <v>64</v>
      </c>
      <c r="P4649">
        <v>0</v>
      </c>
      <c r="Q4649">
        <v>0</v>
      </c>
    </row>
    <row r="4650" spans="1:17" x14ac:dyDescent="0.2">
      <c r="A4650" s="121">
        <v>40786</v>
      </c>
      <c r="B4650" t="s">
        <v>406</v>
      </c>
      <c r="C4650" t="s">
        <v>577</v>
      </c>
      <c r="D4650" t="s">
        <v>609</v>
      </c>
      <c r="E4650" t="s">
        <v>610</v>
      </c>
      <c r="F4650" t="s">
        <v>410</v>
      </c>
      <c r="G4650">
        <v>49</v>
      </c>
      <c r="H4650">
        <v>49</v>
      </c>
      <c r="I4650">
        <v>49</v>
      </c>
      <c r="J4650">
        <v>49</v>
      </c>
      <c r="K4650">
        <v>0</v>
      </c>
      <c r="L4650">
        <v>0</v>
      </c>
      <c r="M4650">
        <v>39</v>
      </c>
      <c r="N4650">
        <v>6</v>
      </c>
      <c r="O4650">
        <v>4</v>
      </c>
      <c r="P4650">
        <v>0</v>
      </c>
      <c r="Q4650">
        <v>0</v>
      </c>
    </row>
    <row r="4651" spans="1:17" x14ac:dyDescent="0.2">
      <c r="A4651" s="121">
        <v>40786</v>
      </c>
      <c r="B4651" t="s">
        <v>406</v>
      </c>
      <c r="C4651" t="s">
        <v>577</v>
      </c>
      <c r="D4651" t="s">
        <v>611</v>
      </c>
      <c r="E4651" t="s">
        <v>612</v>
      </c>
      <c r="F4651" t="s">
        <v>410</v>
      </c>
      <c r="G4651">
        <v>7</v>
      </c>
      <c r="H4651">
        <v>7</v>
      </c>
      <c r="I4651">
        <v>7</v>
      </c>
      <c r="J4651">
        <v>7</v>
      </c>
      <c r="K4651">
        <v>0</v>
      </c>
      <c r="L4651">
        <v>0</v>
      </c>
      <c r="M4651">
        <v>6</v>
      </c>
      <c r="N4651">
        <v>0</v>
      </c>
      <c r="O4651">
        <v>1</v>
      </c>
      <c r="P4651">
        <v>0</v>
      </c>
      <c r="Q4651">
        <v>0</v>
      </c>
    </row>
    <row r="4652" spans="1:17" x14ac:dyDescent="0.2">
      <c r="A4652" s="121">
        <v>40786</v>
      </c>
      <c r="B4652" t="s">
        <v>406</v>
      </c>
      <c r="C4652" t="s">
        <v>577</v>
      </c>
      <c r="D4652" t="s">
        <v>584</v>
      </c>
      <c r="E4652" t="s">
        <v>585</v>
      </c>
      <c r="F4652" t="s">
        <v>410</v>
      </c>
      <c r="G4652">
        <v>282</v>
      </c>
      <c r="H4652">
        <v>282</v>
      </c>
      <c r="I4652">
        <v>282</v>
      </c>
      <c r="J4652">
        <v>282</v>
      </c>
      <c r="K4652">
        <v>0</v>
      </c>
      <c r="L4652">
        <v>0</v>
      </c>
      <c r="M4652">
        <v>247</v>
      </c>
      <c r="N4652">
        <v>32</v>
      </c>
      <c r="O4652">
        <v>3</v>
      </c>
      <c r="P4652">
        <v>0</v>
      </c>
      <c r="Q4652">
        <v>0</v>
      </c>
    </row>
    <row r="4653" spans="1:17" x14ac:dyDescent="0.2">
      <c r="A4653" s="121">
        <v>40786</v>
      </c>
      <c r="B4653" t="s">
        <v>406</v>
      </c>
      <c r="C4653" t="s">
        <v>577</v>
      </c>
      <c r="D4653" t="s">
        <v>586</v>
      </c>
      <c r="E4653" t="s">
        <v>587</v>
      </c>
      <c r="F4653" t="s">
        <v>410</v>
      </c>
      <c r="G4653">
        <v>1142</v>
      </c>
      <c r="H4653">
        <v>1142</v>
      </c>
      <c r="I4653">
        <v>1142</v>
      </c>
      <c r="J4653">
        <v>1142</v>
      </c>
      <c r="K4653">
        <v>0</v>
      </c>
      <c r="L4653">
        <v>0</v>
      </c>
      <c r="M4653">
        <v>894</v>
      </c>
      <c r="N4653">
        <v>197</v>
      </c>
      <c r="O4653">
        <v>51</v>
      </c>
      <c r="P4653">
        <v>0</v>
      </c>
      <c r="Q4653">
        <v>0</v>
      </c>
    </row>
    <row r="4654" spans="1:17" x14ac:dyDescent="0.2">
      <c r="A4654" s="121">
        <v>40786</v>
      </c>
      <c r="B4654" t="s">
        <v>406</v>
      </c>
      <c r="C4654" t="s">
        <v>577</v>
      </c>
      <c r="D4654" t="s">
        <v>588</v>
      </c>
      <c r="E4654" t="s">
        <v>589</v>
      </c>
      <c r="F4654" t="s">
        <v>410</v>
      </c>
      <c r="G4654">
        <v>266</v>
      </c>
      <c r="H4654">
        <v>266</v>
      </c>
      <c r="I4654">
        <v>266</v>
      </c>
      <c r="J4654">
        <v>266</v>
      </c>
      <c r="K4654">
        <v>0</v>
      </c>
      <c r="L4654">
        <v>0</v>
      </c>
      <c r="M4654">
        <v>224</v>
      </c>
      <c r="N4654">
        <v>28</v>
      </c>
      <c r="O4654">
        <v>14</v>
      </c>
      <c r="P4654">
        <v>0</v>
      </c>
      <c r="Q4654">
        <v>0</v>
      </c>
    </row>
    <row r="4655" spans="1:17" x14ac:dyDescent="0.2">
      <c r="A4655" s="121">
        <v>40786</v>
      </c>
      <c r="B4655" t="s">
        <v>406</v>
      </c>
      <c r="C4655" t="s">
        <v>577</v>
      </c>
      <c r="D4655" t="s">
        <v>613</v>
      </c>
      <c r="E4655" t="s">
        <v>614</v>
      </c>
      <c r="F4655" t="s">
        <v>410</v>
      </c>
      <c r="G4655">
        <v>231</v>
      </c>
      <c r="H4655">
        <v>231</v>
      </c>
      <c r="I4655">
        <v>230</v>
      </c>
      <c r="J4655">
        <v>230</v>
      </c>
      <c r="K4655">
        <v>0</v>
      </c>
      <c r="L4655">
        <v>0</v>
      </c>
      <c r="M4655">
        <v>189</v>
      </c>
      <c r="N4655">
        <v>22</v>
      </c>
      <c r="O4655">
        <v>20</v>
      </c>
      <c r="P4655">
        <v>0</v>
      </c>
      <c r="Q4655">
        <v>0</v>
      </c>
    </row>
    <row r="4656" spans="1:17" x14ac:dyDescent="0.2">
      <c r="A4656" s="121">
        <v>40786</v>
      </c>
      <c r="B4656" t="s">
        <v>406</v>
      </c>
      <c r="C4656" t="s">
        <v>577</v>
      </c>
      <c r="D4656" t="s">
        <v>590</v>
      </c>
      <c r="E4656" t="s">
        <v>591</v>
      </c>
      <c r="F4656" t="s">
        <v>410</v>
      </c>
      <c r="G4656">
        <v>647</v>
      </c>
      <c r="H4656">
        <v>647</v>
      </c>
      <c r="I4656">
        <v>647</v>
      </c>
      <c r="J4656">
        <v>647</v>
      </c>
      <c r="K4656">
        <v>0</v>
      </c>
      <c r="L4656">
        <v>0</v>
      </c>
      <c r="M4656">
        <v>584</v>
      </c>
      <c r="N4656">
        <v>47</v>
      </c>
      <c r="O4656">
        <v>16</v>
      </c>
      <c r="P4656">
        <v>0</v>
      </c>
      <c r="Q4656">
        <v>0</v>
      </c>
    </row>
    <row r="4657" spans="1:17" x14ac:dyDescent="0.2">
      <c r="A4657" s="121">
        <v>40786</v>
      </c>
      <c r="B4657" t="s">
        <v>406</v>
      </c>
      <c r="C4657" t="s">
        <v>577</v>
      </c>
      <c r="D4657" t="s">
        <v>607</v>
      </c>
      <c r="E4657" t="s">
        <v>608</v>
      </c>
      <c r="F4657" t="s">
        <v>410</v>
      </c>
      <c r="G4657">
        <v>184</v>
      </c>
      <c r="H4657">
        <v>184</v>
      </c>
      <c r="I4657">
        <v>184</v>
      </c>
      <c r="J4657">
        <v>184</v>
      </c>
      <c r="K4657">
        <v>0</v>
      </c>
      <c r="L4657">
        <v>0</v>
      </c>
      <c r="M4657">
        <v>163</v>
      </c>
      <c r="N4657">
        <v>15</v>
      </c>
      <c r="O4657">
        <v>6</v>
      </c>
      <c r="P4657">
        <v>0</v>
      </c>
      <c r="Q4657">
        <v>0</v>
      </c>
    </row>
    <row r="4658" spans="1:17" x14ac:dyDescent="0.2">
      <c r="A4658" s="121">
        <v>40786</v>
      </c>
      <c r="B4658" t="s">
        <v>406</v>
      </c>
      <c r="C4658" t="s">
        <v>577</v>
      </c>
      <c r="D4658" t="s">
        <v>592</v>
      </c>
      <c r="E4658" t="s">
        <v>593</v>
      </c>
      <c r="F4658" t="s">
        <v>410</v>
      </c>
      <c r="G4658">
        <v>707</v>
      </c>
      <c r="H4658">
        <v>707</v>
      </c>
      <c r="I4658">
        <v>707</v>
      </c>
      <c r="J4658">
        <v>707</v>
      </c>
      <c r="K4658">
        <v>0</v>
      </c>
      <c r="L4658">
        <v>0</v>
      </c>
      <c r="M4658">
        <v>618</v>
      </c>
      <c r="N4658">
        <v>59</v>
      </c>
      <c r="O4658">
        <v>30</v>
      </c>
      <c r="P4658">
        <v>0</v>
      </c>
      <c r="Q4658">
        <v>0</v>
      </c>
    </row>
    <row r="4659" spans="1:17" x14ac:dyDescent="0.2">
      <c r="A4659" s="121">
        <v>40786</v>
      </c>
      <c r="B4659" t="s">
        <v>406</v>
      </c>
      <c r="C4659" t="s">
        <v>594</v>
      </c>
      <c r="D4659" t="s">
        <v>595</v>
      </c>
      <c r="E4659" t="s">
        <v>596</v>
      </c>
      <c r="F4659" t="s">
        <v>410</v>
      </c>
      <c r="G4659">
        <v>54</v>
      </c>
      <c r="I4659">
        <v>54</v>
      </c>
    </row>
    <row r="4660" spans="1:17" x14ac:dyDescent="0.2">
      <c r="A4660" s="121">
        <v>40786</v>
      </c>
      <c r="B4660" t="s">
        <v>406</v>
      </c>
      <c r="C4660" t="s">
        <v>594</v>
      </c>
      <c r="D4660" t="s">
        <v>597</v>
      </c>
      <c r="E4660" t="s">
        <v>598</v>
      </c>
      <c r="F4660" t="s">
        <v>413</v>
      </c>
      <c r="G4660">
        <v>689</v>
      </c>
      <c r="H4660">
        <v>689</v>
      </c>
      <c r="I4660">
        <v>679</v>
      </c>
      <c r="J4660">
        <v>679</v>
      </c>
      <c r="K4660">
        <v>158</v>
      </c>
      <c r="L4660">
        <v>0</v>
      </c>
      <c r="M4660">
        <v>497</v>
      </c>
      <c r="N4660">
        <v>23</v>
      </c>
      <c r="O4660">
        <v>11</v>
      </c>
      <c r="P4660">
        <v>0</v>
      </c>
      <c r="Q4660">
        <v>0</v>
      </c>
    </row>
    <row r="4661" spans="1:17" x14ac:dyDescent="0.2">
      <c r="A4661" s="121">
        <v>40786</v>
      </c>
      <c r="B4661" t="s">
        <v>406</v>
      </c>
      <c r="C4661" t="s">
        <v>594</v>
      </c>
      <c r="D4661" t="s">
        <v>599</v>
      </c>
      <c r="E4661" t="s">
        <v>600</v>
      </c>
      <c r="F4661" t="s">
        <v>410</v>
      </c>
      <c r="G4661">
        <v>104</v>
      </c>
      <c r="I4661">
        <v>104</v>
      </c>
    </row>
    <row r="4662" spans="1:17" x14ac:dyDescent="0.2">
      <c r="A4662" s="121">
        <v>40816</v>
      </c>
      <c r="B4662" t="s">
        <v>406</v>
      </c>
      <c r="C4662" t="s">
        <v>407</v>
      </c>
      <c r="D4662" t="s">
        <v>408</v>
      </c>
      <c r="E4662" t="s">
        <v>409</v>
      </c>
      <c r="F4662" t="s">
        <v>410</v>
      </c>
      <c r="G4662">
        <v>183</v>
      </c>
      <c r="I4662">
        <v>180</v>
      </c>
    </row>
    <row r="4663" spans="1:17" x14ac:dyDescent="0.2">
      <c r="A4663" s="121">
        <v>40816</v>
      </c>
      <c r="B4663" t="s">
        <v>406</v>
      </c>
      <c r="C4663" t="s">
        <v>407</v>
      </c>
      <c r="D4663" t="s">
        <v>601</v>
      </c>
      <c r="E4663" t="s">
        <v>602</v>
      </c>
      <c r="F4663" t="s">
        <v>410</v>
      </c>
      <c r="G4663">
        <v>58</v>
      </c>
      <c r="I4663">
        <v>58</v>
      </c>
    </row>
    <row r="4664" spans="1:17" x14ac:dyDescent="0.2">
      <c r="A4664" s="121">
        <v>40816</v>
      </c>
      <c r="B4664" t="s">
        <v>406</v>
      </c>
      <c r="C4664" t="s">
        <v>407</v>
      </c>
      <c r="D4664" t="s">
        <v>411</v>
      </c>
      <c r="E4664" t="s">
        <v>412</v>
      </c>
      <c r="F4664" t="s">
        <v>413</v>
      </c>
      <c r="G4664">
        <v>5821</v>
      </c>
      <c r="H4664">
        <v>5821</v>
      </c>
      <c r="I4664">
        <v>5591</v>
      </c>
      <c r="J4664">
        <v>5591</v>
      </c>
      <c r="K4664">
        <v>2321</v>
      </c>
      <c r="L4664">
        <v>10</v>
      </c>
      <c r="M4664">
        <v>3072</v>
      </c>
      <c r="N4664">
        <v>159</v>
      </c>
      <c r="O4664">
        <v>259</v>
      </c>
      <c r="P4664">
        <v>4</v>
      </c>
      <c r="Q4664">
        <v>1</v>
      </c>
    </row>
    <row r="4665" spans="1:17" x14ac:dyDescent="0.2">
      <c r="A4665" s="121">
        <v>40816</v>
      </c>
      <c r="B4665" t="s">
        <v>406</v>
      </c>
      <c r="C4665" t="s">
        <v>407</v>
      </c>
      <c r="D4665" t="s">
        <v>416</v>
      </c>
      <c r="E4665" t="s">
        <v>417</v>
      </c>
      <c r="F4665" t="s">
        <v>413</v>
      </c>
      <c r="G4665">
        <v>3825</v>
      </c>
      <c r="H4665">
        <v>3825</v>
      </c>
      <c r="I4665">
        <v>3561</v>
      </c>
      <c r="J4665">
        <v>3561</v>
      </c>
      <c r="K4665">
        <v>1319</v>
      </c>
      <c r="L4665">
        <v>4</v>
      </c>
      <c r="M4665">
        <v>2214</v>
      </c>
      <c r="N4665">
        <v>133</v>
      </c>
      <c r="O4665">
        <v>155</v>
      </c>
      <c r="P4665">
        <v>7</v>
      </c>
      <c r="Q4665">
        <v>0</v>
      </c>
    </row>
    <row r="4666" spans="1:17" x14ac:dyDescent="0.2">
      <c r="A4666" s="121">
        <v>40816</v>
      </c>
      <c r="B4666" t="s">
        <v>406</v>
      </c>
      <c r="C4666" t="s">
        <v>407</v>
      </c>
      <c r="D4666" t="s">
        <v>618</v>
      </c>
      <c r="E4666" t="s">
        <v>619</v>
      </c>
      <c r="F4666" t="s">
        <v>410</v>
      </c>
      <c r="G4666">
        <v>132</v>
      </c>
      <c r="I4666">
        <v>132</v>
      </c>
    </row>
    <row r="4667" spans="1:17" x14ac:dyDescent="0.2">
      <c r="A4667" s="121">
        <v>40816</v>
      </c>
      <c r="B4667" t="s">
        <v>406</v>
      </c>
      <c r="C4667" t="s">
        <v>418</v>
      </c>
      <c r="D4667" t="s">
        <v>419</v>
      </c>
      <c r="E4667" t="s">
        <v>420</v>
      </c>
      <c r="F4667" t="s">
        <v>410</v>
      </c>
      <c r="G4667">
        <v>24</v>
      </c>
      <c r="I4667">
        <v>24</v>
      </c>
    </row>
    <row r="4668" spans="1:17" x14ac:dyDescent="0.2">
      <c r="A4668" s="121">
        <v>40816</v>
      </c>
      <c r="B4668" t="s">
        <v>406</v>
      </c>
      <c r="C4668" t="s">
        <v>418</v>
      </c>
      <c r="D4668" t="s">
        <v>421</v>
      </c>
      <c r="E4668" t="s">
        <v>422</v>
      </c>
      <c r="F4668" t="s">
        <v>410</v>
      </c>
      <c r="G4668">
        <v>119</v>
      </c>
      <c r="I4668">
        <v>119</v>
      </c>
    </row>
    <row r="4669" spans="1:17" x14ac:dyDescent="0.2">
      <c r="A4669" s="121">
        <v>40816</v>
      </c>
      <c r="B4669" t="s">
        <v>406</v>
      </c>
      <c r="C4669" t="s">
        <v>418</v>
      </c>
      <c r="D4669" t="s">
        <v>423</v>
      </c>
      <c r="E4669" t="s">
        <v>424</v>
      </c>
      <c r="F4669" t="s">
        <v>410</v>
      </c>
      <c r="G4669">
        <v>9</v>
      </c>
      <c r="I4669">
        <v>9</v>
      </c>
    </row>
    <row r="4670" spans="1:17" x14ac:dyDescent="0.2">
      <c r="A4670" s="121">
        <v>40816</v>
      </c>
      <c r="B4670" t="s">
        <v>406</v>
      </c>
      <c r="C4670" t="s">
        <v>418</v>
      </c>
      <c r="D4670" t="s">
        <v>425</v>
      </c>
      <c r="E4670" t="s">
        <v>426</v>
      </c>
      <c r="F4670" t="s">
        <v>410</v>
      </c>
      <c r="G4670">
        <v>65</v>
      </c>
      <c r="I4670">
        <v>65</v>
      </c>
    </row>
    <row r="4671" spans="1:17" x14ac:dyDescent="0.2">
      <c r="A4671" s="121">
        <v>40816</v>
      </c>
      <c r="B4671" t="s">
        <v>406</v>
      </c>
      <c r="C4671" t="s">
        <v>418</v>
      </c>
      <c r="D4671" t="s">
        <v>427</v>
      </c>
      <c r="E4671" t="s">
        <v>428</v>
      </c>
      <c r="F4671" t="s">
        <v>413</v>
      </c>
      <c r="G4671">
        <v>1970</v>
      </c>
      <c r="H4671">
        <v>1970</v>
      </c>
      <c r="I4671">
        <v>1918</v>
      </c>
      <c r="J4671">
        <v>1918</v>
      </c>
      <c r="K4671">
        <v>602</v>
      </c>
      <c r="L4671">
        <v>3</v>
      </c>
      <c r="M4671">
        <v>788</v>
      </c>
      <c r="N4671">
        <v>499</v>
      </c>
      <c r="O4671">
        <v>78</v>
      </c>
      <c r="P4671">
        <v>0</v>
      </c>
      <c r="Q4671">
        <v>0</v>
      </c>
    </row>
    <row r="4672" spans="1:17" x14ac:dyDescent="0.2">
      <c r="A4672" s="121">
        <v>40816</v>
      </c>
      <c r="B4672" t="s">
        <v>406</v>
      </c>
      <c r="C4672" t="s">
        <v>429</v>
      </c>
      <c r="D4672" t="s">
        <v>430</v>
      </c>
      <c r="E4672" t="s">
        <v>431</v>
      </c>
      <c r="F4672" t="s">
        <v>410</v>
      </c>
      <c r="G4672">
        <v>46</v>
      </c>
      <c r="I4672">
        <v>46</v>
      </c>
    </row>
    <row r="4673" spans="1:17" x14ac:dyDescent="0.2">
      <c r="A4673" s="121">
        <v>40816</v>
      </c>
      <c r="B4673" t="s">
        <v>406</v>
      </c>
      <c r="C4673" t="s">
        <v>429</v>
      </c>
      <c r="D4673" t="s">
        <v>432</v>
      </c>
      <c r="E4673" t="s">
        <v>433</v>
      </c>
      <c r="F4673" t="s">
        <v>410</v>
      </c>
      <c r="G4673">
        <v>47</v>
      </c>
      <c r="I4673">
        <v>47</v>
      </c>
    </row>
    <row r="4674" spans="1:17" x14ac:dyDescent="0.2">
      <c r="A4674" s="121">
        <v>40816</v>
      </c>
      <c r="B4674" t="s">
        <v>406</v>
      </c>
      <c r="C4674" t="s">
        <v>429</v>
      </c>
      <c r="D4674" t="s">
        <v>434</v>
      </c>
      <c r="E4674" t="s">
        <v>435</v>
      </c>
      <c r="F4674" t="s">
        <v>410</v>
      </c>
      <c r="G4674">
        <v>10</v>
      </c>
      <c r="I4674">
        <v>10</v>
      </c>
    </row>
    <row r="4675" spans="1:17" x14ac:dyDescent="0.2">
      <c r="A4675" s="121">
        <v>40816</v>
      </c>
      <c r="B4675" t="s">
        <v>406</v>
      </c>
      <c r="C4675" t="s">
        <v>429</v>
      </c>
      <c r="D4675" t="s">
        <v>436</v>
      </c>
      <c r="E4675" t="s">
        <v>437</v>
      </c>
      <c r="F4675" t="s">
        <v>410</v>
      </c>
      <c r="G4675">
        <v>38</v>
      </c>
      <c r="I4675">
        <v>38</v>
      </c>
    </row>
    <row r="4676" spans="1:17" x14ac:dyDescent="0.2">
      <c r="A4676" s="121">
        <v>40816</v>
      </c>
      <c r="B4676" t="s">
        <v>406</v>
      </c>
      <c r="C4676" t="s">
        <v>429</v>
      </c>
      <c r="D4676" t="s">
        <v>438</v>
      </c>
      <c r="E4676" t="s">
        <v>439</v>
      </c>
      <c r="F4676" t="s">
        <v>413</v>
      </c>
      <c r="G4676">
        <v>893</v>
      </c>
      <c r="H4676">
        <v>893</v>
      </c>
      <c r="I4676">
        <v>867</v>
      </c>
      <c r="J4676">
        <v>867</v>
      </c>
      <c r="K4676">
        <v>89</v>
      </c>
      <c r="L4676">
        <v>0</v>
      </c>
      <c r="M4676">
        <v>771</v>
      </c>
      <c r="N4676">
        <v>33</v>
      </c>
      <c r="O4676">
        <v>0</v>
      </c>
      <c r="P4676">
        <v>1</v>
      </c>
      <c r="Q4676">
        <v>0</v>
      </c>
    </row>
    <row r="4677" spans="1:17" x14ac:dyDescent="0.2">
      <c r="A4677" s="121">
        <v>40816</v>
      </c>
      <c r="B4677" t="s">
        <v>406</v>
      </c>
      <c r="C4677" t="s">
        <v>429</v>
      </c>
      <c r="D4677" t="s">
        <v>440</v>
      </c>
      <c r="E4677" t="s">
        <v>441</v>
      </c>
      <c r="F4677" t="s">
        <v>413</v>
      </c>
      <c r="G4677">
        <v>2885</v>
      </c>
      <c r="H4677">
        <v>2885</v>
      </c>
      <c r="I4677">
        <v>2709</v>
      </c>
      <c r="J4677">
        <v>2709</v>
      </c>
      <c r="K4677">
        <v>951</v>
      </c>
      <c r="L4677">
        <v>0</v>
      </c>
      <c r="M4677">
        <v>1869</v>
      </c>
      <c r="N4677">
        <v>65</v>
      </c>
      <c r="O4677">
        <v>0</v>
      </c>
      <c r="P4677">
        <v>1</v>
      </c>
      <c r="Q4677">
        <v>0</v>
      </c>
    </row>
    <row r="4678" spans="1:17" x14ac:dyDescent="0.2">
      <c r="A4678" s="121">
        <v>40816</v>
      </c>
      <c r="B4678" t="s">
        <v>406</v>
      </c>
      <c r="C4678" t="s">
        <v>442</v>
      </c>
      <c r="D4678" t="s">
        <v>443</v>
      </c>
      <c r="E4678" t="s">
        <v>444</v>
      </c>
      <c r="F4678" t="s">
        <v>413</v>
      </c>
      <c r="G4678">
        <v>2800</v>
      </c>
      <c r="H4678">
        <v>2800</v>
      </c>
      <c r="I4678">
        <v>2660</v>
      </c>
      <c r="J4678">
        <v>2660</v>
      </c>
      <c r="K4678">
        <v>288</v>
      </c>
      <c r="L4678">
        <v>6</v>
      </c>
      <c r="M4678">
        <v>2170</v>
      </c>
      <c r="N4678">
        <v>147</v>
      </c>
      <c r="O4678">
        <v>189</v>
      </c>
      <c r="P4678">
        <v>4</v>
      </c>
      <c r="Q4678">
        <v>0</v>
      </c>
    </row>
    <row r="4679" spans="1:17" x14ac:dyDescent="0.2">
      <c r="A4679" s="121">
        <v>40816</v>
      </c>
      <c r="B4679" t="s">
        <v>406</v>
      </c>
      <c r="C4679" t="s">
        <v>442</v>
      </c>
      <c r="D4679" t="s">
        <v>445</v>
      </c>
      <c r="E4679" t="s">
        <v>446</v>
      </c>
      <c r="F4679" t="s">
        <v>410</v>
      </c>
      <c r="G4679">
        <v>128</v>
      </c>
      <c r="I4679">
        <v>128</v>
      </c>
    </row>
    <row r="4680" spans="1:17" x14ac:dyDescent="0.2">
      <c r="A4680" s="121">
        <v>40816</v>
      </c>
      <c r="B4680" t="s">
        <v>406</v>
      </c>
      <c r="C4680" t="s">
        <v>442</v>
      </c>
      <c r="D4680" t="s">
        <v>447</v>
      </c>
      <c r="E4680" t="s">
        <v>448</v>
      </c>
      <c r="F4680" t="s">
        <v>410</v>
      </c>
      <c r="G4680">
        <v>573</v>
      </c>
      <c r="I4680">
        <v>573</v>
      </c>
    </row>
    <row r="4681" spans="1:17" x14ac:dyDescent="0.2">
      <c r="A4681" s="121">
        <v>40816</v>
      </c>
      <c r="B4681" t="s">
        <v>406</v>
      </c>
      <c r="C4681" t="s">
        <v>442</v>
      </c>
      <c r="D4681" t="s">
        <v>449</v>
      </c>
      <c r="E4681" t="s">
        <v>450</v>
      </c>
      <c r="F4681" t="s">
        <v>413</v>
      </c>
      <c r="G4681">
        <v>4261</v>
      </c>
      <c r="H4681">
        <v>4261</v>
      </c>
      <c r="I4681">
        <v>3846</v>
      </c>
      <c r="J4681">
        <v>3846</v>
      </c>
      <c r="K4681">
        <v>903</v>
      </c>
      <c r="L4681">
        <v>9</v>
      </c>
      <c r="M4681">
        <v>3183</v>
      </c>
      <c r="N4681">
        <v>95</v>
      </c>
      <c r="O4681">
        <v>71</v>
      </c>
      <c r="P4681">
        <v>79</v>
      </c>
      <c r="Q4681">
        <v>15</v>
      </c>
    </row>
    <row r="4682" spans="1:17" x14ac:dyDescent="0.2">
      <c r="A4682" s="121">
        <v>40816</v>
      </c>
      <c r="B4682" t="s">
        <v>406</v>
      </c>
      <c r="C4682" t="s">
        <v>451</v>
      </c>
      <c r="D4682" t="s">
        <v>454</v>
      </c>
      <c r="E4682" t="s">
        <v>621</v>
      </c>
      <c r="F4682" t="s">
        <v>410</v>
      </c>
      <c r="G4682">
        <v>1208</v>
      </c>
      <c r="H4682">
        <v>1208</v>
      </c>
      <c r="I4682">
        <v>1206</v>
      </c>
      <c r="J4682">
        <v>1206</v>
      </c>
      <c r="K4682">
        <v>0</v>
      </c>
      <c r="L4682">
        <v>0</v>
      </c>
      <c r="M4682">
        <v>907</v>
      </c>
      <c r="N4682">
        <v>9</v>
      </c>
      <c r="O4682">
        <v>292</v>
      </c>
      <c r="P4682">
        <v>0</v>
      </c>
      <c r="Q4682">
        <v>0</v>
      </c>
    </row>
    <row r="4683" spans="1:17" x14ac:dyDescent="0.2">
      <c r="A4683" s="121">
        <v>40816</v>
      </c>
      <c r="B4683" t="s">
        <v>406</v>
      </c>
      <c r="C4683" t="s">
        <v>451</v>
      </c>
      <c r="D4683" t="s">
        <v>622</v>
      </c>
      <c r="E4683" t="s">
        <v>623</v>
      </c>
      <c r="F4683" t="s">
        <v>413</v>
      </c>
      <c r="G4683">
        <v>5010</v>
      </c>
      <c r="H4683">
        <v>5010</v>
      </c>
      <c r="I4683">
        <v>4512</v>
      </c>
      <c r="J4683">
        <v>4512</v>
      </c>
      <c r="K4683">
        <v>38</v>
      </c>
      <c r="L4683">
        <v>10</v>
      </c>
      <c r="M4683">
        <v>2922</v>
      </c>
      <c r="N4683">
        <v>25</v>
      </c>
      <c r="O4683">
        <v>2015</v>
      </c>
      <c r="P4683">
        <v>26</v>
      </c>
      <c r="Q4683">
        <v>0</v>
      </c>
    </row>
    <row r="4684" spans="1:17" x14ac:dyDescent="0.2">
      <c r="A4684" s="121">
        <v>40816</v>
      </c>
      <c r="B4684" t="s">
        <v>406</v>
      </c>
      <c r="C4684" t="s">
        <v>456</v>
      </c>
      <c r="D4684" t="s">
        <v>457</v>
      </c>
      <c r="E4684" t="s">
        <v>458</v>
      </c>
      <c r="F4684" t="s">
        <v>413</v>
      </c>
      <c r="G4684">
        <v>5331</v>
      </c>
      <c r="H4684">
        <v>5331</v>
      </c>
      <c r="I4684">
        <v>5102</v>
      </c>
      <c r="J4684">
        <v>5102</v>
      </c>
      <c r="K4684">
        <v>1411</v>
      </c>
      <c r="L4684">
        <v>12</v>
      </c>
      <c r="M4684">
        <v>3790</v>
      </c>
      <c r="N4684">
        <v>73</v>
      </c>
      <c r="O4684">
        <v>45</v>
      </c>
      <c r="P4684">
        <v>16</v>
      </c>
      <c r="Q4684">
        <v>1</v>
      </c>
    </row>
    <row r="4685" spans="1:17" x14ac:dyDescent="0.2">
      <c r="A4685" s="121">
        <v>40816</v>
      </c>
      <c r="B4685" t="s">
        <v>406</v>
      </c>
      <c r="C4685" t="s">
        <v>456</v>
      </c>
      <c r="D4685" t="s">
        <v>459</v>
      </c>
      <c r="E4685" t="s">
        <v>460</v>
      </c>
      <c r="F4685" t="s">
        <v>413</v>
      </c>
      <c r="G4685">
        <v>1561</v>
      </c>
      <c r="H4685">
        <v>1561</v>
      </c>
      <c r="I4685">
        <v>1541</v>
      </c>
      <c r="J4685">
        <v>1541</v>
      </c>
      <c r="K4685">
        <v>385</v>
      </c>
      <c r="L4685">
        <v>0</v>
      </c>
      <c r="M4685">
        <v>1173</v>
      </c>
      <c r="N4685">
        <v>2</v>
      </c>
      <c r="O4685">
        <v>1</v>
      </c>
      <c r="P4685">
        <v>0</v>
      </c>
      <c r="Q4685">
        <v>0</v>
      </c>
    </row>
    <row r="4686" spans="1:17" x14ac:dyDescent="0.2">
      <c r="A4686" s="121">
        <v>40816</v>
      </c>
      <c r="B4686" t="s">
        <v>406</v>
      </c>
      <c r="C4686" t="s">
        <v>456</v>
      </c>
      <c r="D4686" t="s">
        <v>461</v>
      </c>
      <c r="E4686" t="s">
        <v>462</v>
      </c>
      <c r="F4686" t="s">
        <v>410</v>
      </c>
      <c r="G4686">
        <v>105</v>
      </c>
      <c r="I4686">
        <v>105</v>
      </c>
    </row>
    <row r="4687" spans="1:17" x14ac:dyDescent="0.2">
      <c r="A4687" s="121">
        <v>40816</v>
      </c>
      <c r="B4687" t="s">
        <v>406</v>
      </c>
      <c r="C4687" t="s">
        <v>456</v>
      </c>
      <c r="D4687" t="s">
        <v>463</v>
      </c>
      <c r="E4687" t="s">
        <v>464</v>
      </c>
      <c r="F4687" t="s">
        <v>410</v>
      </c>
      <c r="G4687">
        <v>25</v>
      </c>
      <c r="I4687">
        <v>25</v>
      </c>
    </row>
    <row r="4688" spans="1:17" x14ac:dyDescent="0.2">
      <c r="A4688" s="121">
        <v>40816</v>
      </c>
      <c r="B4688" t="s">
        <v>406</v>
      </c>
      <c r="C4688" t="s">
        <v>456</v>
      </c>
      <c r="D4688" t="s">
        <v>465</v>
      </c>
      <c r="E4688" t="s">
        <v>466</v>
      </c>
      <c r="F4688" t="s">
        <v>410</v>
      </c>
      <c r="G4688">
        <v>64</v>
      </c>
      <c r="I4688">
        <v>64</v>
      </c>
    </row>
    <row r="4689" spans="1:17" x14ac:dyDescent="0.2">
      <c r="A4689" s="121">
        <v>40816</v>
      </c>
      <c r="B4689" t="s">
        <v>406</v>
      </c>
      <c r="C4689" t="s">
        <v>456</v>
      </c>
      <c r="D4689" t="s">
        <v>467</v>
      </c>
      <c r="E4689" t="s">
        <v>468</v>
      </c>
      <c r="F4689" t="s">
        <v>410</v>
      </c>
      <c r="G4689">
        <v>1124</v>
      </c>
      <c r="I4689">
        <v>1122</v>
      </c>
    </row>
    <row r="4690" spans="1:17" x14ac:dyDescent="0.2">
      <c r="A4690" s="121">
        <v>40816</v>
      </c>
      <c r="B4690" t="s">
        <v>406</v>
      </c>
      <c r="C4690" t="s">
        <v>456</v>
      </c>
      <c r="D4690" t="s">
        <v>469</v>
      </c>
      <c r="E4690" t="s">
        <v>470</v>
      </c>
      <c r="F4690" t="s">
        <v>410</v>
      </c>
      <c r="G4690">
        <v>969</v>
      </c>
      <c r="I4690">
        <v>966</v>
      </c>
    </row>
    <row r="4691" spans="1:17" x14ac:dyDescent="0.2">
      <c r="A4691" s="121">
        <v>40816</v>
      </c>
      <c r="B4691" t="s">
        <v>406</v>
      </c>
      <c r="C4691" t="s">
        <v>456</v>
      </c>
      <c r="D4691" t="s">
        <v>471</v>
      </c>
      <c r="E4691" t="s">
        <v>472</v>
      </c>
      <c r="F4691" t="s">
        <v>410</v>
      </c>
      <c r="G4691">
        <v>336</v>
      </c>
      <c r="I4691">
        <v>335</v>
      </c>
    </row>
    <row r="4692" spans="1:17" x14ac:dyDescent="0.2">
      <c r="A4692" s="121">
        <v>40816</v>
      </c>
      <c r="B4692" t="s">
        <v>406</v>
      </c>
      <c r="C4692" t="s">
        <v>456</v>
      </c>
      <c r="D4692" t="s">
        <v>473</v>
      </c>
      <c r="E4692" t="s">
        <v>474</v>
      </c>
      <c r="F4692" t="s">
        <v>410</v>
      </c>
      <c r="G4692">
        <v>200</v>
      </c>
      <c r="I4692">
        <v>200</v>
      </c>
    </row>
    <row r="4693" spans="1:17" x14ac:dyDescent="0.2">
      <c r="A4693" s="121">
        <v>40816</v>
      </c>
      <c r="B4693" t="s">
        <v>406</v>
      </c>
      <c r="C4693" t="s">
        <v>456</v>
      </c>
      <c r="D4693" t="s">
        <v>475</v>
      </c>
      <c r="E4693" t="s">
        <v>476</v>
      </c>
      <c r="F4693" t="s">
        <v>410</v>
      </c>
      <c r="G4693">
        <v>350</v>
      </c>
      <c r="I4693">
        <v>350</v>
      </c>
    </row>
    <row r="4694" spans="1:17" x14ac:dyDescent="0.2">
      <c r="A4694" s="121">
        <v>40816</v>
      </c>
      <c r="B4694" t="s">
        <v>406</v>
      </c>
      <c r="C4694" t="s">
        <v>456</v>
      </c>
      <c r="D4694" t="s">
        <v>477</v>
      </c>
      <c r="E4694" t="s">
        <v>478</v>
      </c>
      <c r="F4694" t="s">
        <v>413</v>
      </c>
      <c r="G4694">
        <v>2075</v>
      </c>
      <c r="H4694">
        <v>2075</v>
      </c>
      <c r="I4694">
        <v>1985</v>
      </c>
      <c r="J4694">
        <v>1985</v>
      </c>
      <c r="K4694">
        <v>463</v>
      </c>
      <c r="L4694">
        <v>7</v>
      </c>
      <c r="M4694">
        <v>1560</v>
      </c>
      <c r="N4694">
        <v>24</v>
      </c>
      <c r="O4694">
        <v>21</v>
      </c>
      <c r="P4694">
        <v>11</v>
      </c>
      <c r="Q4694">
        <v>3</v>
      </c>
    </row>
    <row r="4695" spans="1:17" x14ac:dyDescent="0.2">
      <c r="A4695" s="121">
        <v>40816</v>
      </c>
      <c r="B4695" t="s">
        <v>406</v>
      </c>
      <c r="C4695" t="s">
        <v>456</v>
      </c>
      <c r="D4695" t="s">
        <v>479</v>
      </c>
      <c r="E4695" t="s">
        <v>480</v>
      </c>
      <c r="F4695" t="s">
        <v>410</v>
      </c>
      <c r="G4695">
        <v>99</v>
      </c>
      <c r="I4695">
        <v>99</v>
      </c>
    </row>
    <row r="4696" spans="1:17" x14ac:dyDescent="0.2">
      <c r="A4696" s="121">
        <v>40816</v>
      </c>
      <c r="B4696" t="s">
        <v>406</v>
      </c>
      <c r="C4696" t="s">
        <v>456</v>
      </c>
      <c r="D4696" t="s">
        <v>481</v>
      </c>
      <c r="E4696" t="s">
        <v>482</v>
      </c>
      <c r="F4696" t="s">
        <v>410</v>
      </c>
      <c r="G4696">
        <v>54</v>
      </c>
      <c r="I4696">
        <v>54</v>
      </c>
    </row>
    <row r="4697" spans="1:17" x14ac:dyDescent="0.2">
      <c r="A4697" s="121">
        <v>40816</v>
      </c>
      <c r="B4697" t="s">
        <v>406</v>
      </c>
      <c r="C4697" t="s">
        <v>456</v>
      </c>
      <c r="D4697" t="s">
        <v>483</v>
      </c>
      <c r="E4697" t="s">
        <v>484</v>
      </c>
      <c r="F4697" t="s">
        <v>410</v>
      </c>
      <c r="G4697">
        <v>74</v>
      </c>
      <c r="I4697">
        <v>74</v>
      </c>
    </row>
    <row r="4698" spans="1:17" x14ac:dyDescent="0.2">
      <c r="A4698" s="121">
        <v>40816</v>
      </c>
      <c r="B4698" t="s">
        <v>406</v>
      </c>
      <c r="C4698" t="s">
        <v>456</v>
      </c>
      <c r="D4698" t="s">
        <v>485</v>
      </c>
      <c r="E4698" t="s">
        <v>486</v>
      </c>
      <c r="F4698" t="s">
        <v>410</v>
      </c>
      <c r="G4698">
        <v>35</v>
      </c>
      <c r="I4698">
        <v>35</v>
      </c>
    </row>
    <row r="4699" spans="1:17" x14ac:dyDescent="0.2">
      <c r="A4699" s="121">
        <v>40816</v>
      </c>
      <c r="B4699" t="s">
        <v>406</v>
      </c>
      <c r="C4699" t="s">
        <v>456</v>
      </c>
      <c r="D4699" t="s">
        <v>487</v>
      </c>
      <c r="E4699" t="s">
        <v>488</v>
      </c>
      <c r="F4699" t="s">
        <v>410</v>
      </c>
      <c r="G4699">
        <v>25</v>
      </c>
      <c r="I4699">
        <v>25</v>
      </c>
    </row>
    <row r="4700" spans="1:17" x14ac:dyDescent="0.2">
      <c r="A4700" s="121">
        <v>40816</v>
      </c>
      <c r="B4700" t="s">
        <v>406</v>
      </c>
      <c r="C4700" t="s">
        <v>456</v>
      </c>
      <c r="D4700" t="s">
        <v>489</v>
      </c>
      <c r="E4700" t="s">
        <v>490</v>
      </c>
      <c r="F4700" t="s">
        <v>410</v>
      </c>
      <c r="G4700">
        <v>110</v>
      </c>
      <c r="H4700">
        <v>110</v>
      </c>
      <c r="I4700">
        <v>110</v>
      </c>
      <c r="J4700">
        <v>110</v>
      </c>
      <c r="K4700">
        <v>0</v>
      </c>
      <c r="L4700">
        <v>0</v>
      </c>
      <c r="M4700">
        <v>90</v>
      </c>
      <c r="N4700">
        <v>20</v>
      </c>
      <c r="O4700">
        <v>0</v>
      </c>
      <c r="P4700">
        <v>0</v>
      </c>
      <c r="Q4700">
        <v>0</v>
      </c>
    </row>
    <row r="4701" spans="1:17" x14ac:dyDescent="0.2">
      <c r="A4701" s="121">
        <v>40816</v>
      </c>
      <c r="B4701" t="s">
        <v>406</v>
      </c>
      <c r="C4701" t="s">
        <v>491</v>
      </c>
      <c r="D4701" t="s">
        <v>492</v>
      </c>
      <c r="E4701" t="s">
        <v>493</v>
      </c>
      <c r="F4701" t="s">
        <v>410</v>
      </c>
      <c r="G4701">
        <v>1217</v>
      </c>
      <c r="H4701">
        <v>1217</v>
      </c>
      <c r="I4701">
        <v>1187</v>
      </c>
      <c r="J4701">
        <v>1187</v>
      </c>
      <c r="K4701">
        <v>0</v>
      </c>
      <c r="L4701">
        <v>0</v>
      </c>
      <c r="M4701">
        <v>0</v>
      </c>
      <c r="N4701">
        <v>0</v>
      </c>
      <c r="O4701">
        <v>1217</v>
      </c>
      <c r="P4701">
        <v>0</v>
      </c>
      <c r="Q4701">
        <v>0</v>
      </c>
    </row>
    <row r="4702" spans="1:17" x14ac:dyDescent="0.2">
      <c r="A4702" s="121">
        <v>40816</v>
      </c>
      <c r="B4702" t="s">
        <v>406</v>
      </c>
      <c r="C4702" t="s">
        <v>491</v>
      </c>
      <c r="D4702" t="s">
        <v>494</v>
      </c>
      <c r="E4702" t="s">
        <v>495</v>
      </c>
      <c r="F4702" t="s">
        <v>413</v>
      </c>
      <c r="G4702">
        <v>2603</v>
      </c>
      <c r="H4702">
        <v>2603</v>
      </c>
      <c r="I4702">
        <v>2505</v>
      </c>
      <c r="J4702">
        <v>2505</v>
      </c>
      <c r="K4702">
        <v>259</v>
      </c>
      <c r="L4702">
        <v>5</v>
      </c>
      <c r="M4702">
        <v>727</v>
      </c>
      <c r="N4702">
        <v>23</v>
      </c>
      <c r="O4702">
        <v>1589</v>
      </c>
      <c r="P4702">
        <v>2</v>
      </c>
      <c r="Q4702">
        <v>0</v>
      </c>
    </row>
    <row r="4703" spans="1:17" x14ac:dyDescent="0.2">
      <c r="A4703" s="121">
        <v>40816</v>
      </c>
      <c r="B4703" t="s">
        <v>406</v>
      </c>
      <c r="C4703" t="s">
        <v>491</v>
      </c>
      <c r="D4703" t="s">
        <v>496</v>
      </c>
      <c r="E4703" t="s">
        <v>497</v>
      </c>
      <c r="F4703" t="s">
        <v>413</v>
      </c>
      <c r="G4703">
        <v>6458</v>
      </c>
      <c r="H4703">
        <v>6458</v>
      </c>
      <c r="I4703">
        <v>6110</v>
      </c>
      <c r="J4703">
        <v>6110</v>
      </c>
      <c r="K4703">
        <v>0</v>
      </c>
      <c r="L4703">
        <v>0</v>
      </c>
      <c r="M4703">
        <v>0</v>
      </c>
      <c r="N4703">
        <v>0</v>
      </c>
      <c r="O4703">
        <v>6458</v>
      </c>
      <c r="P4703">
        <v>5</v>
      </c>
      <c r="Q4703">
        <v>0</v>
      </c>
    </row>
    <row r="4704" spans="1:17" x14ac:dyDescent="0.2">
      <c r="A4704" s="121">
        <v>40816</v>
      </c>
      <c r="B4704" t="s">
        <v>406</v>
      </c>
      <c r="C4704" t="s">
        <v>491</v>
      </c>
      <c r="D4704" t="s">
        <v>498</v>
      </c>
      <c r="E4704" t="s">
        <v>499</v>
      </c>
      <c r="F4704" t="s">
        <v>413</v>
      </c>
      <c r="G4704">
        <v>7313</v>
      </c>
      <c r="H4704">
        <v>7313</v>
      </c>
      <c r="I4704">
        <v>7142</v>
      </c>
      <c r="J4704">
        <v>7142</v>
      </c>
      <c r="K4704">
        <v>1991</v>
      </c>
      <c r="L4704">
        <v>12</v>
      </c>
      <c r="M4704">
        <v>4788</v>
      </c>
      <c r="N4704">
        <v>161</v>
      </c>
      <c r="O4704">
        <v>361</v>
      </c>
      <c r="P4704">
        <v>2</v>
      </c>
      <c r="Q4704">
        <v>0</v>
      </c>
    </row>
    <row r="4705" spans="1:17" x14ac:dyDescent="0.2">
      <c r="A4705" s="121">
        <v>40816</v>
      </c>
      <c r="B4705" t="s">
        <v>406</v>
      </c>
      <c r="C4705" t="s">
        <v>491</v>
      </c>
      <c r="D4705" t="s">
        <v>500</v>
      </c>
      <c r="E4705" t="s">
        <v>620</v>
      </c>
      <c r="F4705" t="s">
        <v>410</v>
      </c>
      <c r="G4705">
        <v>1393</v>
      </c>
      <c r="H4705">
        <v>1393</v>
      </c>
      <c r="I4705">
        <v>1392</v>
      </c>
      <c r="J4705">
        <v>1392</v>
      </c>
      <c r="K4705">
        <v>11</v>
      </c>
      <c r="L4705">
        <v>0</v>
      </c>
      <c r="M4705">
        <v>1257</v>
      </c>
      <c r="N4705">
        <v>22</v>
      </c>
      <c r="O4705">
        <v>103</v>
      </c>
      <c r="P4705">
        <v>0</v>
      </c>
      <c r="Q4705">
        <v>0</v>
      </c>
    </row>
    <row r="4706" spans="1:17" x14ac:dyDescent="0.2">
      <c r="A4706" s="121">
        <v>40816</v>
      </c>
      <c r="B4706" t="s">
        <v>406</v>
      </c>
      <c r="C4706" t="s">
        <v>491</v>
      </c>
      <c r="D4706" t="s">
        <v>502</v>
      </c>
      <c r="E4706" t="s">
        <v>615</v>
      </c>
      <c r="F4706" t="s">
        <v>410</v>
      </c>
      <c r="G4706">
        <v>1623</v>
      </c>
      <c r="H4706">
        <v>1623</v>
      </c>
      <c r="I4706">
        <v>1623</v>
      </c>
      <c r="J4706">
        <v>1623</v>
      </c>
      <c r="K4706">
        <v>2</v>
      </c>
      <c r="L4706">
        <v>0</v>
      </c>
      <c r="M4706">
        <v>1597</v>
      </c>
      <c r="N4706">
        <v>1</v>
      </c>
      <c r="O4706">
        <v>23</v>
      </c>
      <c r="P4706">
        <v>0</v>
      </c>
      <c r="Q4706">
        <v>0</v>
      </c>
    </row>
    <row r="4707" spans="1:17" x14ac:dyDescent="0.2">
      <c r="A4707" s="121">
        <v>40816</v>
      </c>
      <c r="B4707" t="s">
        <v>406</v>
      </c>
      <c r="C4707" t="s">
        <v>491</v>
      </c>
      <c r="D4707" t="s">
        <v>502</v>
      </c>
      <c r="E4707" t="s">
        <v>503</v>
      </c>
      <c r="F4707" t="s">
        <v>413</v>
      </c>
      <c r="G4707">
        <v>5180</v>
      </c>
      <c r="H4707">
        <v>5180</v>
      </c>
      <c r="I4707">
        <v>4944</v>
      </c>
      <c r="J4707">
        <v>4944</v>
      </c>
      <c r="K4707">
        <v>1584</v>
      </c>
      <c r="L4707">
        <v>7</v>
      </c>
      <c r="M4707">
        <v>3405</v>
      </c>
      <c r="N4707">
        <v>107</v>
      </c>
      <c r="O4707">
        <v>77</v>
      </c>
      <c r="P4707">
        <v>6</v>
      </c>
      <c r="Q4707">
        <v>0</v>
      </c>
    </row>
    <row r="4708" spans="1:17" x14ac:dyDescent="0.2">
      <c r="A4708" s="121">
        <v>40816</v>
      </c>
      <c r="B4708" t="s">
        <v>406</v>
      </c>
      <c r="C4708" t="s">
        <v>491</v>
      </c>
      <c r="D4708" t="s">
        <v>504</v>
      </c>
      <c r="E4708" t="s">
        <v>505</v>
      </c>
      <c r="F4708" t="s">
        <v>413</v>
      </c>
      <c r="G4708">
        <v>4227</v>
      </c>
      <c r="H4708">
        <v>4227</v>
      </c>
      <c r="I4708">
        <v>4067</v>
      </c>
      <c r="J4708">
        <v>4067</v>
      </c>
      <c r="K4708">
        <v>1063</v>
      </c>
      <c r="L4708">
        <v>7</v>
      </c>
      <c r="M4708">
        <v>3008</v>
      </c>
      <c r="N4708">
        <v>71</v>
      </c>
      <c r="O4708">
        <v>78</v>
      </c>
      <c r="P4708">
        <v>0</v>
      </c>
      <c r="Q4708">
        <v>0</v>
      </c>
    </row>
    <row r="4709" spans="1:17" x14ac:dyDescent="0.2">
      <c r="A4709" s="121">
        <v>40816</v>
      </c>
      <c r="B4709" t="s">
        <v>406</v>
      </c>
      <c r="C4709" t="s">
        <v>491</v>
      </c>
      <c r="D4709" t="s">
        <v>506</v>
      </c>
      <c r="E4709" t="s">
        <v>507</v>
      </c>
      <c r="F4709" t="s">
        <v>413</v>
      </c>
      <c r="G4709">
        <v>3581</v>
      </c>
      <c r="H4709">
        <v>3581</v>
      </c>
      <c r="I4709">
        <v>3449</v>
      </c>
      <c r="J4709">
        <v>3449</v>
      </c>
      <c r="K4709">
        <v>536</v>
      </c>
      <c r="L4709">
        <v>0</v>
      </c>
      <c r="M4709">
        <v>3035</v>
      </c>
      <c r="N4709">
        <v>5</v>
      </c>
      <c r="O4709">
        <v>5</v>
      </c>
      <c r="P4709">
        <v>0</v>
      </c>
      <c r="Q4709">
        <v>0</v>
      </c>
    </row>
    <row r="4710" spans="1:17" x14ac:dyDescent="0.2">
      <c r="A4710" s="121">
        <v>40816</v>
      </c>
      <c r="B4710" t="s">
        <v>406</v>
      </c>
      <c r="C4710" t="s">
        <v>491</v>
      </c>
      <c r="D4710" t="s">
        <v>508</v>
      </c>
      <c r="E4710" t="s">
        <v>509</v>
      </c>
      <c r="F4710" t="s">
        <v>413</v>
      </c>
      <c r="G4710">
        <v>5315</v>
      </c>
      <c r="H4710">
        <v>5315</v>
      </c>
      <c r="I4710">
        <v>4959</v>
      </c>
      <c r="J4710">
        <v>4959</v>
      </c>
      <c r="K4710">
        <v>1642</v>
      </c>
      <c r="L4710">
        <v>9</v>
      </c>
      <c r="M4710">
        <v>3103</v>
      </c>
      <c r="N4710">
        <v>128</v>
      </c>
      <c r="O4710">
        <v>433</v>
      </c>
      <c r="P4710">
        <v>25</v>
      </c>
      <c r="Q4710">
        <v>0</v>
      </c>
    </row>
    <row r="4711" spans="1:17" x14ac:dyDescent="0.2">
      <c r="A4711" s="121">
        <v>40816</v>
      </c>
      <c r="B4711" t="s">
        <v>406</v>
      </c>
      <c r="C4711" t="s">
        <v>510</v>
      </c>
      <c r="D4711" t="s">
        <v>513</v>
      </c>
      <c r="E4711" t="s">
        <v>514</v>
      </c>
      <c r="F4711" t="s">
        <v>410</v>
      </c>
      <c r="G4711">
        <v>708</v>
      </c>
      <c r="I4711">
        <v>706</v>
      </c>
    </row>
    <row r="4712" spans="1:17" x14ac:dyDescent="0.2">
      <c r="A4712" s="121">
        <v>40816</v>
      </c>
      <c r="B4712" t="s">
        <v>406</v>
      </c>
      <c r="C4712" t="s">
        <v>510</v>
      </c>
      <c r="D4712" t="s">
        <v>515</v>
      </c>
      <c r="E4712" t="s">
        <v>516</v>
      </c>
      <c r="F4712" t="s">
        <v>410</v>
      </c>
      <c r="G4712">
        <v>109</v>
      </c>
      <c r="I4712">
        <v>108</v>
      </c>
    </row>
    <row r="4713" spans="1:17" x14ac:dyDescent="0.2">
      <c r="A4713" s="121">
        <v>40816</v>
      </c>
      <c r="B4713" t="s">
        <v>406</v>
      </c>
      <c r="C4713" t="s">
        <v>510</v>
      </c>
      <c r="D4713" t="s">
        <v>519</v>
      </c>
      <c r="E4713" t="s">
        <v>520</v>
      </c>
      <c r="F4713" t="s">
        <v>410</v>
      </c>
      <c r="G4713">
        <v>518</v>
      </c>
      <c r="I4713">
        <v>505</v>
      </c>
    </row>
    <row r="4714" spans="1:17" x14ac:dyDescent="0.2">
      <c r="A4714" s="121">
        <v>40816</v>
      </c>
      <c r="B4714" t="s">
        <v>406</v>
      </c>
      <c r="C4714" t="s">
        <v>510</v>
      </c>
      <c r="D4714" t="s">
        <v>521</v>
      </c>
      <c r="E4714" t="s">
        <v>522</v>
      </c>
      <c r="F4714" t="s">
        <v>410</v>
      </c>
      <c r="G4714">
        <v>64</v>
      </c>
      <c r="I4714">
        <v>64</v>
      </c>
    </row>
    <row r="4715" spans="1:17" x14ac:dyDescent="0.2">
      <c r="A4715" s="121">
        <v>40816</v>
      </c>
      <c r="B4715" t="s">
        <v>406</v>
      </c>
      <c r="C4715" t="s">
        <v>510</v>
      </c>
      <c r="D4715" t="s">
        <v>523</v>
      </c>
      <c r="E4715" t="s">
        <v>524</v>
      </c>
      <c r="F4715" t="s">
        <v>413</v>
      </c>
      <c r="G4715">
        <v>610</v>
      </c>
      <c r="I4715">
        <v>606</v>
      </c>
    </row>
    <row r="4716" spans="1:17" x14ac:dyDescent="0.2">
      <c r="A4716" s="121">
        <v>40816</v>
      </c>
      <c r="B4716" t="s">
        <v>406</v>
      </c>
      <c r="C4716" t="s">
        <v>510</v>
      </c>
      <c r="D4716" t="s">
        <v>525</v>
      </c>
      <c r="E4716" t="s">
        <v>526</v>
      </c>
      <c r="F4716" t="s">
        <v>410</v>
      </c>
      <c r="G4716">
        <v>474</v>
      </c>
      <c r="I4716">
        <v>467</v>
      </c>
    </row>
    <row r="4717" spans="1:17" x14ac:dyDescent="0.2">
      <c r="A4717" s="121">
        <v>40816</v>
      </c>
      <c r="B4717" t="s">
        <v>406</v>
      </c>
      <c r="C4717" t="s">
        <v>510</v>
      </c>
      <c r="D4717" t="s">
        <v>527</v>
      </c>
      <c r="E4717" t="s">
        <v>528</v>
      </c>
      <c r="F4717" t="s">
        <v>410</v>
      </c>
      <c r="G4717">
        <v>225</v>
      </c>
      <c r="I4717">
        <v>225</v>
      </c>
    </row>
    <row r="4718" spans="1:17" x14ac:dyDescent="0.2">
      <c r="A4718" s="121">
        <v>40816</v>
      </c>
      <c r="B4718" t="s">
        <v>406</v>
      </c>
      <c r="C4718" t="s">
        <v>510</v>
      </c>
      <c r="D4718" t="s">
        <v>529</v>
      </c>
      <c r="E4718" t="s">
        <v>530</v>
      </c>
      <c r="F4718" t="s">
        <v>413</v>
      </c>
      <c r="G4718">
        <v>498</v>
      </c>
      <c r="H4718">
        <v>498</v>
      </c>
      <c r="I4718">
        <v>495</v>
      </c>
      <c r="J4718">
        <v>495</v>
      </c>
      <c r="K4718">
        <v>148</v>
      </c>
      <c r="L4718">
        <v>0</v>
      </c>
      <c r="M4718">
        <v>347</v>
      </c>
      <c r="N4718">
        <v>3</v>
      </c>
      <c r="O4718">
        <v>0</v>
      </c>
      <c r="P4718">
        <v>0</v>
      </c>
      <c r="Q4718">
        <v>0</v>
      </c>
    </row>
    <row r="4719" spans="1:17" x14ac:dyDescent="0.2">
      <c r="A4719" s="121">
        <v>40816</v>
      </c>
      <c r="B4719" t="s">
        <v>406</v>
      </c>
      <c r="C4719" t="s">
        <v>510</v>
      </c>
      <c r="D4719" t="s">
        <v>531</v>
      </c>
      <c r="E4719" t="s">
        <v>532</v>
      </c>
      <c r="F4719" t="s">
        <v>410</v>
      </c>
      <c r="G4719">
        <v>25</v>
      </c>
      <c r="I4719">
        <v>25</v>
      </c>
    </row>
    <row r="4720" spans="1:17" x14ac:dyDescent="0.2">
      <c r="A4720" s="121">
        <v>40816</v>
      </c>
      <c r="B4720" t="s">
        <v>406</v>
      </c>
      <c r="C4720" t="s">
        <v>510</v>
      </c>
      <c r="D4720" t="s">
        <v>533</v>
      </c>
      <c r="E4720" t="s">
        <v>534</v>
      </c>
      <c r="F4720" t="s">
        <v>413</v>
      </c>
      <c r="G4720">
        <v>2776</v>
      </c>
      <c r="H4720">
        <v>2776</v>
      </c>
      <c r="I4720">
        <v>2715</v>
      </c>
      <c r="J4720">
        <v>2715</v>
      </c>
      <c r="K4720">
        <v>540</v>
      </c>
      <c r="L4720">
        <v>5</v>
      </c>
      <c r="M4720">
        <v>2229</v>
      </c>
      <c r="N4720">
        <v>2</v>
      </c>
      <c r="O4720">
        <v>0</v>
      </c>
      <c r="P4720">
        <v>1</v>
      </c>
      <c r="Q4720">
        <v>0</v>
      </c>
    </row>
    <row r="4721" spans="1:17" x14ac:dyDescent="0.2">
      <c r="A4721" s="121">
        <v>40816</v>
      </c>
      <c r="B4721" t="s">
        <v>406</v>
      </c>
      <c r="C4721" t="s">
        <v>510</v>
      </c>
      <c r="D4721" t="s">
        <v>535</v>
      </c>
      <c r="E4721" t="s">
        <v>536</v>
      </c>
      <c r="F4721" t="s">
        <v>410</v>
      </c>
      <c r="G4721">
        <v>386</v>
      </c>
      <c r="I4721">
        <v>386</v>
      </c>
    </row>
    <row r="4722" spans="1:17" x14ac:dyDescent="0.2">
      <c r="A4722" s="121">
        <v>40816</v>
      </c>
      <c r="B4722" t="s">
        <v>406</v>
      </c>
      <c r="C4722" t="s">
        <v>510</v>
      </c>
      <c r="D4722" t="s">
        <v>537</v>
      </c>
      <c r="E4722" t="s">
        <v>538</v>
      </c>
      <c r="F4722" t="s">
        <v>410</v>
      </c>
      <c r="G4722">
        <v>117</v>
      </c>
      <c r="I4722">
        <v>117</v>
      </c>
    </row>
    <row r="4723" spans="1:17" x14ac:dyDescent="0.2">
      <c r="A4723" s="121">
        <v>40816</v>
      </c>
      <c r="B4723" t="s">
        <v>406</v>
      </c>
      <c r="C4723" t="s">
        <v>510</v>
      </c>
      <c r="D4723" t="s">
        <v>539</v>
      </c>
      <c r="E4723" t="s">
        <v>540</v>
      </c>
      <c r="F4723" t="s">
        <v>413</v>
      </c>
      <c r="G4723">
        <v>725</v>
      </c>
      <c r="H4723">
        <v>725</v>
      </c>
      <c r="I4723">
        <v>704</v>
      </c>
      <c r="J4723">
        <v>704</v>
      </c>
      <c r="K4723">
        <v>130</v>
      </c>
      <c r="L4723">
        <v>0</v>
      </c>
      <c r="M4723">
        <v>595</v>
      </c>
      <c r="N4723">
        <v>0</v>
      </c>
      <c r="O4723">
        <v>0</v>
      </c>
      <c r="P4723">
        <v>1</v>
      </c>
      <c r="Q4723">
        <v>0</v>
      </c>
    </row>
    <row r="4724" spans="1:17" x14ac:dyDescent="0.2">
      <c r="A4724" s="121">
        <v>40816</v>
      </c>
      <c r="B4724" t="s">
        <v>406</v>
      </c>
      <c r="C4724" t="s">
        <v>510</v>
      </c>
      <c r="D4724" t="s">
        <v>541</v>
      </c>
      <c r="E4724" t="s">
        <v>542</v>
      </c>
      <c r="F4724" t="s">
        <v>410</v>
      </c>
      <c r="G4724">
        <v>443</v>
      </c>
      <c r="I4724">
        <v>443</v>
      </c>
    </row>
    <row r="4725" spans="1:17" x14ac:dyDescent="0.2">
      <c r="A4725" s="121">
        <v>40816</v>
      </c>
      <c r="B4725" t="s">
        <v>406</v>
      </c>
      <c r="C4725" t="s">
        <v>510</v>
      </c>
      <c r="D4725" t="s">
        <v>543</v>
      </c>
      <c r="E4725" t="s">
        <v>544</v>
      </c>
      <c r="F4725" t="s">
        <v>410</v>
      </c>
      <c r="G4725">
        <v>247</v>
      </c>
      <c r="I4725">
        <v>247</v>
      </c>
    </row>
    <row r="4726" spans="1:17" x14ac:dyDescent="0.2">
      <c r="A4726" s="121">
        <v>40816</v>
      </c>
      <c r="B4726" t="s">
        <v>406</v>
      </c>
      <c r="C4726" t="s">
        <v>510</v>
      </c>
      <c r="D4726" t="s">
        <v>545</v>
      </c>
      <c r="E4726" t="s">
        <v>546</v>
      </c>
      <c r="F4726" t="s">
        <v>410</v>
      </c>
      <c r="G4726">
        <v>169</v>
      </c>
      <c r="I4726">
        <v>169</v>
      </c>
    </row>
    <row r="4727" spans="1:17" x14ac:dyDescent="0.2">
      <c r="A4727" s="121">
        <v>40816</v>
      </c>
      <c r="B4727" t="s">
        <v>406</v>
      </c>
      <c r="C4727" t="s">
        <v>510</v>
      </c>
      <c r="D4727" t="s">
        <v>547</v>
      </c>
      <c r="E4727" t="s">
        <v>548</v>
      </c>
      <c r="F4727" t="s">
        <v>410</v>
      </c>
      <c r="G4727">
        <v>133</v>
      </c>
      <c r="I4727">
        <v>133</v>
      </c>
    </row>
    <row r="4728" spans="1:17" x14ac:dyDescent="0.2">
      <c r="A4728" s="121">
        <v>40816</v>
      </c>
      <c r="B4728" t="s">
        <v>406</v>
      </c>
      <c r="C4728" t="s">
        <v>510</v>
      </c>
      <c r="D4728" t="s">
        <v>616</v>
      </c>
      <c r="E4728" t="s">
        <v>617</v>
      </c>
      <c r="F4728" t="s">
        <v>410</v>
      </c>
      <c r="G4728">
        <v>415</v>
      </c>
      <c r="I4728">
        <v>413</v>
      </c>
    </row>
    <row r="4729" spans="1:17" x14ac:dyDescent="0.2">
      <c r="A4729" s="121">
        <v>40816</v>
      </c>
      <c r="B4729" t="s">
        <v>406</v>
      </c>
      <c r="C4729" t="s">
        <v>510</v>
      </c>
      <c r="D4729" t="s">
        <v>549</v>
      </c>
      <c r="E4729" t="s">
        <v>550</v>
      </c>
      <c r="F4729" t="s">
        <v>410</v>
      </c>
      <c r="G4729">
        <v>188</v>
      </c>
      <c r="I4729">
        <v>187</v>
      </c>
    </row>
    <row r="4730" spans="1:17" x14ac:dyDescent="0.2">
      <c r="A4730" s="121">
        <v>40816</v>
      </c>
      <c r="B4730" t="s">
        <v>406</v>
      </c>
      <c r="C4730" t="s">
        <v>551</v>
      </c>
      <c r="D4730" t="s">
        <v>552</v>
      </c>
      <c r="E4730" t="s">
        <v>553</v>
      </c>
      <c r="F4730" t="s">
        <v>413</v>
      </c>
      <c r="G4730">
        <v>5742</v>
      </c>
      <c r="H4730">
        <v>5742</v>
      </c>
      <c r="I4730">
        <v>5250</v>
      </c>
      <c r="J4730">
        <v>5250</v>
      </c>
      <c r="K4730">
        <v>1638</v>
      </c>
      <c r="L4730">
        <v>5</v>
      </c>
      <c r="M4730">
        <v>3682</v>
      </c>
      <c r="N4730">
        <v>201</v>
      </c>
      <c r="O4730">
        <v>216</v>
      </c>
      <c r="P4730">
        <v>26</v>
      </c>
      <c r="Q4730">
        <v>1</v>
      </c>
    </row>
    <row r="4731" spans="1:17" x14ac:dyDescent="0.2">
      <c r="A4731" s="121">
        <v>40816</v>
      </c>
      <c r="B4731" t="s">
        <v>406</v>
      </c>
      <c r="C4731" t="s">
        <v>551</v>
      </c>
      <c r="D4731" t="s">
        <v>554</v>
      </c>
      <c r="E4731" t="s">
        <v>555</v>
      </c>
      <c r="F4731" t="s">
        <v>410</v>
      </c>
      <c r="G4731">
        <v>70</v>
      </c>
      <c r="I4731">
        <v>70</v>
      </c>
    </row>
    <row r="4732" spans="1:17" x14ac:dyDescent="0.2">
      <c r="A4732" s="121">
        <v>40816</v>
      </c>
      <c r="B4732" t="s">
        <v>406</v>
      </c>
      <c r="C4732" t="s">
        <v>551</v>
      </c>
      <c r="D4732" t="s">
        <v>556</v>
      </c>
      <c r="E4732" t="s">
        <v>557</v>
      </c>
      <c r="F4732" t="s">
        <v>410</v>
      </c>
      <c r="G4732">
        <v>86</v>
      </c>
      <c r="I4732">
        <v>86</v>
      </c>
    </row>
    <row r="4733" spans="1:17" x14ac:dyDescent="0.2">
      <c r="A4733" s="121">
        <v>40816</v>
      </c>
      <c r="B4733" t="s">
        <v>406</v>
      </c>
      <c r="C4733" t="s">
        <v>551</v>
      </c>
      <c r="D4733" t="s">
        <v>558</v>
      </c>
      <c r="E4733" t="s">
        <v>559</v>
      </c>
      <c r="F4733" t="s">
        <v>413</v>
      </c>
      <c r="G4733">
        <v>4752</v>
      </c>
      <c r="H4733">
        <v>4752</v>
      </c>
      <c r="I4733">
        <v>4596</v>
      </c>
      <c r="J4733">
        <v>4596</v>
      </c>
      <c r="K4733">
        <v>1220</v>
      </c>
      <c r="L4733">
        <v>9</v>
      </c>
      <c r="M4733">
        <v>3306</v>
      </c>
      <c r="N4733">
        <v>145</v>
      </c>
      <c r="O4733">
        <v>72</v>
      </c>
      <c r="P4733">
        <v>10</v>
      </c>
      <c r="Q4733">
        <v>1</v>
      </c>
    </row>
    <row r="4734" spans="1:17" x14ac:dyDescent="0.2">
      <c r="A4734" s="121">
        <v>40816</v>
      </c>
      <c r="B4734" t="s">
        <v>406</v>
      </c>
      <c r="C4734" t="s">
        <v>551</v>
      </c>
      <c r="D4734" t="s">
        <v>560</v>
      </c>
      <c r="E4734" t="s">
        <v>561</v>
      </c>
      <c r="F4734" t="s">
        <v>413</v>
      </c>
      <c r="G4734">
        <v>5626</v>
      </c>
      <c r="H4734">
        <v>5626</v>
      </c>
      <c r="I4734">
        <v>5246</v>
      </c>
      <c r="J4734">
        <v>5246</v>
      </c>
      <c r="K4734">
        <v>1162</v>
      </c>
      <c r="L4734">
        <v>6</v>
      </c>
      <c r="M4734">
        <v>4003</v>
      </c>
      <c r="N4734">
        <v>295</v>
      </c>
      <c r="O4734">
        <v>160</v>
      </c>
      <c r="P4734">
        <v>20</v>
      </c>
      <c r="Q4734">
        <v>9</v>
      </c>
    </row>
    <row r="4735" spans="1:17" x14ac:dyDescent="0.2">
      <c r="A4735" s="121">
        <v>40816</v>
      </c>
      <c r="B4735" t="s">
        <v>406</v>
      </c>
      <c r="C4735" t="s">
        <v>562</v>
      </c>
      <c r="D4735" t="s">
        <v>603</v>
      </c>
      <c r="E4735" t="s">
        <v>604</v>
      </c>
      <c r="F4735" t="s">
        <v>410</v>
      </c>
      <c r="G4735">
        <v>23</v>
      </c>
      <c r="I4735">
        <v>23</v>
      </c>
    </row>
    <row r="4736" spans="1:17" x14ac:dyDescent="0.2">
      <c r="A4736" s="121">
        <v>40816</v>
      </c>
      <c r="B4736" t="s">
        <v>406</v>
      </c>
      <c r="C4736" t="s">
        <v>562</v>
      </c>
      <c r="D4736" t="s">
        <v>605</v>
      </c>
      <c r="E4736" t="s">
        <v>606</v>
      </c>
      <c r="F4736" t="s">
        <v>410</v>
      </c>
      <c r="G4736">
        <v>125</v>
      </c>
      <c r="I4736">
        <v>125</v>
      </c>
    </row>
    <row r="4737" spans="1:17" x14ac:dyDescent="0.2">
      <c r="A4737" s="121">
        <v>40816</v>
      </c>
      <c r="B4737" t="s">
        <v>406</v>
      </c>
      <c r="C4737" t="s">
        <v>562</v>
      </c>
      <c r="D4737" t="s">
        <v>563</v>
      </c>
      <c r="E4737" t="s">
        <v>564</v>
      </c>
      <c r="F4737" t="s">
        <v>410</v>
      </c>
      <c r="G4737">
        <v>3211</v>
      </c>
      <c r="H4737">
        <v>3211</v>
      </c>
      <c r="I4737">
        <v>3140</v>
      </c>
      <c r="J4737">
        <v>3140</v>
      </c>
      <c r="K4737">
        <v>1063</v>
      </c>
      <c r="L4737">
        <v>1</v>
      </c>
      <c r="M4737">
        <v>2134</v>
      </c>
      <c r="N4737">
        <v>13</v>
      </c>
      <c r="O4737">
        <v>0</v>
      </c>
      <c r="P4737">
        <v>2</v>
      </c>
      <c r="Q4737">
        <v>0</v>
      </c>
    </row>
    <row r="4738" spans="1:17" x14ac:dyDescent="0.2">
      <c r="A4738" s="121">
        <v>40816</v>
      </c>
      <c r="B4738" t="s">
        <v>406</v>
      </c>
      <c r="C4738" t="s">
        <v>562</v>
      </c>
      <c r="D4738" t="s">
        <v>565</v>
      </c>
      <c r="E4738" t="s">
        <v>566</v>
      </c>
      <c r="F4738" t="s">
        <v>413</v>
      </c>
      <c r="G4738">
        <v>4470</v>
      </c>
      <c r="H4738">
        <v>4470</v>
      </c>
      <c r="I4738">
        <v>4271</v>
      </c>
      <c r="J4738">
        <v>4271</v>
      </c>
      <c r="K4738">
        <v>1092</v>
      </c>
      <c r="L4738">
        <v>5</v>
      </c>
      <c r="M4738">
        <v>3242</v>
      </c>
      <c r="N4738">
        <v>131</v>
      </c>
      <c r="O4738">
        <v>0</v>
      </c>
      <c r="P4738">
        <v>30</v>
      </c>
      <c r="Q4738">
        <v>8</v>
      </c>
    </row>
    <row r="4739" spans="1:17" x14ac:dyDescent="0.2">
      <c r="A4739" s="121">
        <v>40816</v>
      </c>
      <c r="B4739" t="s">
        <v>406</v>
      </c>
      <c r="C4739" t="s">
        <v>562</v>
      </c>
      <c r="D4739" t="s">
        <v>567</v>
      </c>
      <c r="E4739" t="s">
        <v>568</v>
      </c>
      <c r="F4739" t="s">
        <v>413</v>
      </c>
      <c r="G4739">
        <v>9561</v>
      </c>
      <c r="H4739">
        <v>9561</v>
      </c>
      <c r="I4739">
        <v>9253</v>
      </c>
      <c r="J4739">
        <v>9253</v>
      </c>
      <c r="K4739">
        <v>2703</v>
      </c>
      <c r="L4739">
        <v>12</v>
      </c>
      <c r="M4739">
        <v>6477</v>
      </c>
      <c r="N4739">
        <v>369</v>
      </c>
      <c r="O4739">
        <v>0</v>
      </c>
      <c r="P4739">
        <v>17</v>
      </c>
      <c r="Q4739">
        <v>0</v>
      </c>
    </row>
    <row r="4740" spans="1:17" x14ac:dyDescent="0.2">
      <c r="A4740" s="121">
        <v>40816</v>
      </c>
      <c r="B4740" t="s">
        <v>406</v>
      </c>
      <c r="C4740" t="s">
        <v>562</v>
      </c>
      <c r="D4740" t="s">
        <v>569</v>
      </c>
      <c r="E4740" t="s">
        <v>570</v>
      </c>
      <c r="F4740" t="s">
        <v>413</v>
      </c>
      <c r="G4740">
        <v>3239</v>
      </c>
      <c r="H4740">
        <v>3239</v>
      </c>
      <c r="I4740">
        <v>3213</v>
      </c>
      <c r="J4740">
        <v>3213</v>
      </c>
      <c r="K4740">
        <v>451</v>
      </c>
      <c r="L4740">
        <v>1</v>
      </c>
      <c r="M4740">
        <v>2786</v>
      </c>
      <c r="N4740">
        <v>1</v>
      </c>
      <c r="O4740">
        <v>0</v>
      </c>
      <c r="P4740">
        <v>0</v>
      </c>
      <c r="Q4740">
        <v>0</v>
      </c>
    </row>
    <row r="4741" spans="1:17" x14ac:dyDescent="0.2">
      <c r="A4741" s="121">
        <v>40816</v>
      </c>
      <c r="B4741" t="s">
        <v>406</v>
      </c>
      <c r="C4741" t="s">
        <v>571</v>
      </c>
      <c r="D4741" t="s">
        <v>572</v>
      </c>
      <c r="E4741" t="s">
        <v>573</v>
      </c>
      <c r="F4741" t="s">
        <v>410</v>
      </c>
      <c r="G4741">
        <v>142</v>
      </c>
      <c r="H4741">
        <v>142</v>
      </c>
      <c r="I4741">
        <v>141</v>
      </c>
      <c r="J4741">
        <v>141</v>
      </c>
      <c r="K4741">
        <v>2</v>
      </c>
      <c r="L4741">
        <v>0</v>
      </c>
      <c r="M4741">
        <v>139</v>
      </c>
      <c r="N4741">
        <v>1</v>
      </c>
      <c r="O4741">
        <v>0</v>
      </c>
      <c r="P4741">
        <v>0</v>
      </c>
      <c r="Q4741">
        <v>0</v>
      </c>
    </row>
    <row r="4742" spans="1:17" x14ac:dyDescent="0.2">
      <c r="A4742" s="121">
        <v>40816</v>
      </c>
      <c r="B4742" t="s">
        <v>406</v>
      </c>
      <c r="C4742" t="s">
        <v>574</v>
      </c>
      <c r="D4742" t="s">
        <v>575</v>
      </c>
      <c r="E4742" t="s">
        <v>576</v>
      </c>
      <c r="F4742" t="s">
        <v>413</v>
      </c>
      <c r="G4742">
        <v>637</v>
      </c>
      <c r="H4742">
        <v>637</v>
      </c>
      <c r="I4742">
        <v>635</v>
      </c>
      <c r="J4742">
        <v>635</v>
      </c>
      <c r="K4742">
        <v>136</v>
      </c>
      <c r="L4742">
        <v>0</v>
      </c>
      <c r="M4742">
        <v>469</v>
      </c>
      <c r="N4742">
        <v>3</v>
      </c>
      <c r="O4742">
        <v>29</v>
      </c>
      <c r="P4742">
        <v>0</v>
      </c>
      <c r="Q4742">
        <v>0</v>
      </c>
    </row>
    <row r="4743" spans="1:17" x14ac:dyDescent="0.2">
      <c r="A4743" s="121">
        <v>40816</v>
      </c>
      <c r="B4743" t="s">
        <v>406</v>
      </c>
      <c r="C4743" t="s">
        <v>577</v>
      </c>
      <c r="D4743" t="s">
        <v>578</v>
      </c>
      <c r="E4743" t="s">
        <v>579</v>
      </c>
      <c r="F4743" t="s">
        <v>413</v>
      </c>
      <c r="G4743">
        <v>4241</v>
      </c>
      <c r="H4743">
        <v>4241</v>
      </c>
      <c r="I4743">
        <v>4153</v>
      </c>
      <c r="J4743">
        <v>4153</v>
      </c>
      <c r="K4743">
        <v>831</v>
      </c>
      <c r="L4743">
        <v>7</v>
      </c>
      <c r="M4743">
        <v>3285</v>
      </c>
      <c r="N4743">
        <v>116</v>
      </c>
      <c r="O4743">
        <v>2</v>
      </c>
      <c r="P4743">
        <v>0</v>
      </c>
      <c r="Q4743">
        <v>0</v>
      </c>
    </row>
    <row r="4744" spans="1:17" x14ac:dyDescent="0.2">
      <c r="A4744" s="121">
        <v>40816</v>
      </c>
      <c r="B4744" t="s">
        <v>406</v>
      </c>
      <c r="C4744" t="s">
        <v>577</v>
      </c>
      <c r="D4744" t="s">
        <v>580</v>
      </c>
      <c r="E4744" t="s">
        <v>581</v>
      </c>
      <c r="F4744" t="s">
        <v>413</v>
      </c>
      <c r="G4744">
        <v>2151</v>
      </c>
      <c r="H4744">
        <v>2151</v>
      </c>
      <c r="I4744">
        <v>2108</v>
      </c>
      <c r="J4744">
        <v>2108</v>
      </c>
      <c r="K4744">
        <v>319</v>
      </c>
      <c r="L4744">
        <v>0</v>
      </c>
      <c r="M4744">
        <v>1537</v>
      </c>
      <c r="N4744">
        <v>231</v>
      </c>
      <c r="O4744">
        <v>64</v>
      </c>
      <c r="P4744">
        <v>0</v>
      </c>
      <c r="Q4744">
        <v>0</v>
      </c>
    </row>
    <row r="4745" spans="1:17" x14ac:dyDescent="0.2">
      <c r="A4745" s="121">
        <v>40816</v>
      </c>
      <c r="B4745" t="s">
        <v>406</v>
      </c>
      <c r="C4745" t="s">
        <v>577</v>
      </c>
      <c r="D4745" t="s">
        <v>609</v>
      </c>
      <c r="E4745" t="s">
        <v>610</v>
      </c>
      <c r="F4745" t="s">
        <v>410</v>
      </c>
      <c r="G4745">
        <v>52</v>
      </c>
      <c r="H4745">
        <v>52</v>
      </c>
      <c r="I4745">
        <v>52</v>
      </c>
      <c r="J4745">
        <v>52</v>
      </c>
      <c r="K4745">
        <v>0</v>
      </c>
      <c r="L4745">
        <v>0</v>
      </c>
      <c r="M4745">
        <v>41</v>
      </c>
      <c r="N4745">
        <v>8</v>
      </c>
      <c r="O4745">
        <v>3</v>
      </c>
      <c r="P4745">
        <v>0</v>
      </c>
      <c r="Q4745">
        <v>0</v>
      </c>
    </row>
    <row r="4746" spans="1:17" x14ac:dyDescent="0.2">
      <c r="A4746" s="121">
        <v>40816</v>
      </c>
      <c r="B4746" t="s">
        <v>406</v>
      </c>
      <c r="C4746" t="s">
        <v>577</v>
      </c>
      <c r="D4746" t="s">
        <v>611</v>
      </c>
      <c r="E4746" t="s">
        <v>612</v>
      </c>
      <c r="F4746" t="s">
        <v>410</v>
      </c>
      <c r="G4746">
        <v>6</v>
      </c>
      <c r="H4746">
        <v>6</v>
      </c>
      <c r="I4746">
        <v>6</v>
      </c>
      <c r="J4746">
        <v>6</v>
      </c>
      <c r="K4746">
        <v>0</v>
      </c>
      <c r="L4746">
        <v>0</v>
      </c>
      <c r="M4746">
        <v>2</v>
      </c>
      <c r="N4746">
        <v>0</v>
      </c>
      <c r="O4746">
        <v>4</v>
      </c>
      <c r="P4746">
        <v>0</v>
      </c>
      <c r="Q4746">
        <v>0</v>
      </c>
    </row>
    <row r="4747" spans="1:17" x14ac:dyDescent="0.2">
      <c r="A4747" s="121">
        <v>40816</v>
      </c>
      <c r="B4747" t="s">
        <v>406</v>
      </c>
      <c r="C4747" t="s">
        <v>577</v>
      </c>
      <c r="D4747" t="s">
        <v>584</v>
      </c>
      <c r="E4747" t="s">
        <v>585</v>
      </c>
      <c r="F4747" t="s">
        <v>410</v>
      </c>
      <c r="G4747">
        <v>257</v>
      </c>
      <c r="H4747">
        <v>257</v>
      </c>
      <c r="I4747">
        <v>257</v>
      </c>
      <c r="J4747">
        <v>257</v>
      </c>
      <c r="K4747">
        <v>0</v>
      </c>
      <c r="L4747">
        <v>0</v>
      </c>
      <c r="M4747">
        <v>234</v>
      </c>
      <c r="N4747">
        <v>20</v>
      </c>
      <c r="O4747">
        <v>3</v>
      </c>
      <c r="P4747">
        <v>0</v>
      </c>
      <c r="Q4747">
        <v>0</v>
      </c>
    </row>
    <row r="4748" spans="1:17" x14ac:dyDescent="0.2">
      <c r="A4748" s="121">
        <v>40816</v>
      </c>
      <c r="B4748" t="s">
        <v>406</v>
      </c>
      <c r="C4748" t="s">
        <v>577</v>
      </c>
      <c r="D4748" t="s">
        <v>586</v>
      </c>
      <c r="E4748" t="s">
        <v>587</v>
      </c>
      <c r="F4748" t="s">
        <v>410</v>
      </c>
      <c r="G4748">
        <v>1185</v>
      </c>
      <c r="H4748">
        <v>1185</v>
      </c>
      <c r="I4748">
        <v>1184</v>
      </c>
      <c r="J4748">
        <v>1184</v>
      </c>
      <c r="K4748">
        <v>0</v>
      </c>
      <c r="L4748">
        <v>0</v>
      </c>
      <c r="M4748">
        <v>924</v>
      </c>
      <c r="N4748">
        <v>203</v>
      </c>
      <c r="O4748">
        <v>58</v>
      </c>
      <c r="P4748">
        <v>0</v>
      </c>
      <c r="Q4748">
        <v>0</v>
      </c>
    </row>
    <row r="4749" spans="1:17" x14ac:dyDescent="0.2">
      <c r="A4749" s="121">
        <v>40816</v>
      </c>
      <c r="B4749" t="s">
        <v>406</v>
      </c>
      <c r="C4749" t="s">
        <v>577</v>
      </c>
      <c r="D4749" t="s">
        <v>588</v>
      </c>
      <c r="E4749" t="s">
        <v>589</v>
      </c>
      <c r="F4749" t="s">
        <v>410</v>
      </c>
      <c r="G4749">
        <v>270</v>
      </c>
      <c r="H4749">
        <v>270</v>
      </c>
      <c r="I4749">
        <v>270</v>
      </c>
      <c r="J4749">
        <v>270</v>
      </c>
      <c r="K4749">
        <v>0</v>
      </c>
      <c r="L4749">
        <v>0</v>
      </c>
      <c r="M4749">
        <v>235</v>
      </c>
      <c r="N4749">
        <v>23</v>
      </c>
      <c r="O4749">
        <v>12</v>
      </c>
      <c r="P4749">
        <v>0</v>
      </c>
      <c r="Q4749">
        <v>0</v>
      </c>
    </row>
    <row r="4750" spans="1:17" x14ac:dyDescent="0.2">
      <c r="A4750" s="121">
        <v>40816</v>
      </c>
      <c r="B4750" t="s">
        <v>406</v>
      </c>
      <c r="C4750" t="s">
        <v>577</v>
      </c>
      <c r="D4750" t="s">
        <v>613</v>
      </c>
      <c r="E4750" t="s">
        <v>614</v>
      </c>
      <c r="F4750" t="s">
        <v>410</v>
      </c>
      <c r="G4750">
        <v>202</v>
      </c>
      <c r="H4750">
        <v>202</v>
      </c>
      <c r="I4750">
        <v>200</v>
      </c>
      <c r="J4750">
        <v>200</v>
      </c>
      <c r="K4750">
        <v>0</v>
      </c>
      <c r="L4750">
        <v>0</v>
      </c>
      <c r="M4750">
        <v>165</v>
      </c>
      <c r="N4750">
        <v>17</v>
      </c>
      <c r="O4750">
        <v>20</v>
      </c>
      <c r="P4750">
        <v>0</v>
      </c>
      <c r="Q4750">
        <v>0</v>
      </c>
    </row>
    <row r="4751" spans="1:17" x14ac:dyDescent="0.2">
      <c r="A4751" s="121">
        <v>40816</v>
      </c>
      <c r="B4751" t="s">
        <v>406</v>
      </c>
      <c r="C4751" t="s">
        <v>577</v>
      </c>
      <c r="D4751" t="s">
        <v>590</v>
      </c>
      <c r="E4751" t="s">
        <v>591</v>
      </c>
      <c r="F4751" t="s">
        <v>410</v>
      </c>
      <c r="G4751">
        <v>603</v>
      </c>
      <c r="H4751">
        <v>603</v>
      </c>
      <c r="I4751">
        <v>603</v>
      </c>
      <c r="J4751">
        <v>603</v>
      </c>
      <c r="K4751">
        <v>0</v>
      </c>
      <c r="L4751">
        <v>0</v>
      </c>
      <c r="M4751">
        <v>549</v>
      </c>
      <c r="N4751">
        <v>42</v>
      </c>
      <c r="O4751">
        <v>12</v>
      </c>
      <c r="P4751">
        <v>0</v>
      </c>
      <c r="Q4751">
        <v>0</v>
      </c>
    </row>
    <row r="4752" spans="1:17" x14ac:dyDescent="0.2">
      <c r="A4752" s="121">
        <v>40816</v>
      </c>
      <c r="B4752" t="s">
        <v>406</v>
      </c>
      <c r="C4752" t="s">
        <v>577</v>
      </c>
      <c r="D4752" t="s">
        <v>607</v>
      </c>
      <c r="E4752" t="s">
        <v>608</v>
      </c>
      <c r="F4752" t="s">
        <v>410</v>
      </c>
      <c r="G4752">
        <v>191</v>
      </c>
      <c r="H4752">
        <v>191</v>
      </c>
      <c r="I4752">
        <v>191</v>
      </c>
      <c r="J4752">
        <v>191</v>
      </c>
      <c r="K4752">
        <v>0</v>
      </c>
      <c r="L4752">
        <v>0</v>
      </c>
      <c r="M4752">
        <v>176</v>
      </c>
      <c r="N4752">
        <v>14</v>
      </c>
      <c r="O4752">
        <v>1</v>
      </c>
      <c r="P4752">
        <v>0</v>
      </c>
      <c r="Q4752">
        <v>0</v>
      </c>
    </row>
    <row r="4753" spans="1:17" x14ac:dyDescent="0.2">
      <c r="A4753" s="121">
        <v>40816</v>
      </c>
      <c r="B4753" t="s">
        <v>406</v>
      </c>
      <c r="C4753" t="s">
        <v>577</v>
      </c>
      <c r="D4753" t="s">
        <v>592</v>
      </c>
      <c r="E4753" t="s">
        <v>593</v>
      </c>
      <c r="F4753" t="s">
        <v>410</v>
      </c>
      <c r="G4753">
        <v>624</v>
      </c>
      <c r="H4753">
        <v>624</v>
      </c>
      <c r="I4753">
        <v>624</v>
      </c>
      <c r="J4753">
        <v>624</v>
      </c>
      <c r="K4753">
        <v>0</v>
      </c>
      <c r="L4753">
        <v>0</v>
      </c>
      <c r="M4753">
        <v>524</v>
      </c>
      <c r="N4753">
        <v>71</v>
      </c>
      <c r="O4753">
        <v>29</v>
      </c>
      <c r="P4753">
        <v>0</v>
      </c>
      <c r="Q4753">
        <v>0</v>
      </c>
    </row>
    <row r="4754" spans="1:17" x14ac:dyDescent="0.2">
      <c r="A4754" s="121">
        <v>40816</v>
      </c>
      <c r="B4754" t="s">
        <v>406</v>
      </c>
      <c r="C4754" t="s">
        <v>594</v>
      </c>
      <c r="D4754" t="s">
        <v>595</v>
      </c>
      <c r="E4754" t="s">
        <v>596</v>
      </c>
      <c r="F4754" t="s">
        <v>410</v>
      </c>
      <c r="G4754">
        <v>43</v>
      </c>
      <c r="I4754">
        <v>40</v>
      </c>
    </row>
    <row r="4755" spans="1:17" x14ac:dyDescent="0.2">
      <c r="A4755" s="121">
        <v>40816</v>
      </c>
      <c r="B4755" t="s">
        <v>406</v>
      </c>
      <c r="C4755" t="s">
        <v>594</v>
      </c>
      <c r="D4755" t="s">
        <v>597</v>
      </c>
      <c r="E4755" t="s">
        <v>598</v>
      </c>
      <c r="F4755" t="s">
        <v>413</v>
      </c>
      <c r="G4755">
        <v>592</v>
      </c>
      <c r="H4755">
        <v>592</v>
      </c>
      <c r="I4755">
        <v>574</v>
      </c>
      <c r="J4755">
        <v>574</v>
      </c>
      <c r="K4755">
        <v>154</v>
      </c>
      <c r="L4755">
        <v>0</v>
      </c>
      <c r="M4755">
        <v>402</v>
      </c>
      <c r="N4755">
        <v>30</v>
      </c>
      <c r="O4755">
        <v>6</v>
      </c>
      <c r="P4755">
        <v>0</v>
      </c>
      <c r="Q4755">
        <v>0</v>
      </c>
    </row>
    <row r="4756" spans="1:17" x14ac:dyDescent="0.2">
      <c r="A4756" s="121">
        <v>40816</v>
      </c>
      <c r="B4756" t="s">
        <v>406</v>
      </c>
      <c r="C4756" t="s">
        <v>594</v>
      </c>
      <c r="D4756" t="s">
        <v>599</v>
      </c>
      <c r="E4756" t="s">
        <v>600</v>
      </c>
      <c r="F4756" t="s">
        <v>410</v>
      </c>
      <c r="G4756">
        <v>78</v>
      </c>
      <c r="I4756">
        <v>78</v>
      </c>
    </row>
    <row r="4757" spans="1:17" x14ac:dyDescent="0.2">
      <c r="A4757" s="121">
        <v>40847</v>
      </c>
      <c r="B4757" t="s">
        <v>406</v>
      </c>
      <c r="C4757" t="s">
        <v>407</v>
      </c>
      <c r="D4757" t="s">
        <v>408</v>
      </c>
      <c r="E4757" t="s">
        <v>409</v>
      </c>
      <c r="F4757" t="s">
        <v>410</v>
      </c>
      <c r="G4757">
        <v>189</v>
      </c>
      <c r="I4757">
        <v>185</v>
      </c>
    </row>
    <row r="4758" spans="1:17" x14ac:dyDescent="0.2">
      <c r="A4758" s="121">
        <v>40847</v>
      </c>
      <c r="B4758" t="s">
        <v>406</v>
      </c>
      <c r="C4758" t="s">
        <v>407</v>
      </c>
      <c r="D4758" t="s">
        <v>601</v>
      </c>
      <c r="E4758" t="s">
        <v>602</v>
      </c>
      <c r="F4758" t="s">
        <v>410</v>
      </c>
      <c r="G4758">
        <v>51</v>
      </c>
      <c r="I4758">
        <v>51</v>
      </c>
    </row>
    <row r="4759" spans="1:17" x14ac:dyDescent="0.2">
      <c r="A4759" s="121">
        <v>40847</v>
      </c>
      <c r="B4759" t="s">
        <v>406</v>
      </c>
      <c r="C4759" t="s">
        <v>407</v>
      </c>
      <c r="D4759" t="s">
        <v>411</v>
      </c>
      <c r="E4759" t="s">
        <v>412</v>
      </c>
      <c r="F4759" t="s">
        <v>413</v>
      </c>
      <c r="G4759">
        <v>5580</v>
      </c>
      <c r="H4759">
        <v>5580</v>
      </c>
      <c r="I4759">
        <v>5429</v>
      </c>
      <c r="J4759">
        <v>5429</v>
      </c>
      <c r="K4759">
        <v>2243</v>
      </c>
      <c r="L4759">
        <v>4</v>
      </c>
      <c r="M4759">
        <v>2948</v>
      </c>
      <c r="N4759">
        <v>154</v>
      </c>
      <c r="O4759">
        <v>231</v>
      </c>
      <c r="P4759">
        <v>3</v>
      </c>
      <c r="Q4759">
        <v>0</v>
      </c>
    </row>
    <row r="4760" spans="1:17" x14ac:dyDescent="0.2">
      <c r="A4760" s="121">
        <v>40847</v>
      </c>
      <c r="B4760" t="s">
        <v>406</v>
      </c>
      <c r="C4760" t="s">
        <v>407</v>
      </c>
      <c r="D4760" t="s">
        <v>416</v>
      </c>
      <c r="E4760" t="s">
        <v>417</v>
      </c>
      <c r="F4760" t="s">
        <v>413</v>
      </c>
      <c r="G4760">
        <v>3701</v>
      </c>
      <c r="H4760">
        <v>3701</v>
      </c>
      <c r="I4760">
        <v>3385</v>
      </c>
      <c r="J4760">
        <v>3385</v>
      </c>
      <c r="K4760">
        <v>1297</v>
      </c>
      <c r="L4760">
        <v>3</v>
      </c>
      <c r="M4760">
        <v>41</v>
      </c>
      <c r="N4760">
        <v>18</v>
      </c>
      <c r="O4760">
        <v>2342</v>
      </c>
      <c r="P4760">
        <v>8</v>
      </c>
      <c r="Q4760">
        <v>2</v>
      </c>
    </row>
    <row r="4761" spans="1:17" x14ac:dyDescent="0.2">
      <c r="A4761" s="121">
        <v>40847</v>
      </c>
      <c r="B4761" t="s">
        <v>406</v>
      </c>
      <c r="C4761" t="s">
        <v>407</v>
      </c>
      <c r="D4761" t="s">
        <v>618</v>
      </c>
      <c r="E4761" t="s">
        <v>619</v>
      </c>
      <c r="F4761" t="s">
        <v>410</v>
      </c>
      <c r="G4761">
        <v>86</v>
      </c>
      <c r="I4761">
        <v>86</v>
      </c>
    </row>
    <row r="4762" spans="1:17" x14ac:dyDescent="0.2">
      <c r="A4762" s="121">
        <v>40847</v>
      </c>
      <c r="B4762" t="s">
        <v>406</v>
      </c>
      <c r="C4762" t="s">
        <v>418</v>
      </c>
      <c r="D4762" t="s">
        <v>419</v>
      </c>
      <c r="E4762" t="s">
        <v>420</v>
      </c>
      <c r="F4762" t="s">
        <v>410</v>
      </c>
      <c r="G4762">
        <v>17</v>
      </c>
      <c r="I4762">
        <v>17</v>
      </c>
    </row>
    <row r="4763" spans="1:17" x14ac:dyDescent="0.2">
      <c r="A4763" s="121">
        <v>40847</v>
      </c>
      <c r="B4763" t="s">
        <v>406</v>
      </c>
      <c r="C4763" t="s">
        <v>418</v>
      </c>
      <c r="D4763" t="s">
        <v>421</v>
      </c>
      <c r="E4763" t="s">
        <v>422</v>
      </c>
      <c r="F4763" t="s">
        <v>410</v>
      </c>
      <c r="G4763">
        <v>123</v>
      </c>
      <c r="I4763">
        <v>123</v>
      </c>
    </row>
    <row r="4764" spans="1:17" x14ac:dyDescent="0.2">
      <c r="A4764" s="121">
        <v>40847</v>
      </c>
      <c r="B4764" t="s">
        <v>406</v>
      </c>
      <c r="C4764" t="s">
        <v>418</v>
      </c>
      <c r="D4764" t="s">
        <v>423</v>
      </c>
      <c r="E4764" t="s">
        <v>424</v>
      </c>
      <c r="F4764" t="s">
        <v>410</v>
      </c>
      <c r="G4764">
        <v>18</v>
      </c>
      <c r="I4764">
        <v>18</v>
      </c>
    </row>
    <row r="4765" spans="1:17" x14ac:dyDescent="0.2">
      <c r="A4765" s="121">
        <v>40847</v>
      </c>
      <c r="B4765" t="s">
        <v>406</v>
      </c>
      <c r="C4765" t="s">
        <v>418</v>
      </c>
      <c r="D4765" t="s">
        <v>425</v>
      </c>
      <c r="E4765" t="s">
        <v>426</v>
      </c>
      <c r="F4765" t="s">
        <v>410</v>
      </c>
      <c r="G4765">
        <v>66</v>
      </c>
      <c r="I4765">
        <v>66</v>
      </c>
    </row>
    <row r="4766" spans="1:17" x14ac:dyDescent="0.2">
      <c r="A4766" s="121">
        <v>40847</v>
      </c>
      <c r="B4766" t="s">
        <v>406</v>
      </c>
      <c r="C4766" t="s">
        <v>418</v>
      </c>
      <c r="D4766" t="s">
        <v>427</v>
      </c>
      <c r="E4766" t="s">
        <v>428</v>
      </c>
      <c r="F4766" t="s">
        <v>413</v>
      </c>
      <c r="G4766">
        <v>2055</v>
      </c>
      <c r="H4766">
        <v>2055</v>
      </c>
      <c r="I4766">
        <v>2016</v>
      </c>
      <c r="J4766">
        <v>2016</v>
      </c>
      <c r="K4766">
        <v>664</v>
      </c>
      <c r="L4766">
        <v>7</v>
      </c>
      <c r="M4766">
        <v>790</v>
      </c>
      <c r="N4766">
        <v>524</v>
      </c>
      <c r="O4766">
        <v>70</v>
      </c>
      <c r="P4766">
        <v>2</v>
      </c>
      <c r="Q4766">
        <v>0</v>
      </c>
    </row>
    <row r="4767" spans="1:17" x14ac:dyDescent="0.2">
      <c r="A4767" s="121">
        <v>40847</v>
      </c>
      <c r="B4767" t="s">
        <v>406</v>
      </c>
      <c r="C4767" t="s">
        <v>429</v>
      </c>
      <c r="D4767" t="s">
        <v>430</v>
      </c>
      <c r="E4767" t="s">
        <v>431</v>
      </c>
      <c r="F4767" t="s">
        <v>410</v>
      </c>
      <c r="G4767">
        <v>49</v>
      </c>
      <c r="I4767">
        <v>49</v>
      </c>
    </row>
    <row r="4768" spans="1:17" x14ac:dyDescent="0.2">
      <c r="A4768" s="121">
        <v>40847</v>
      </c>
      <c r="B4768" t="s">
        <v>406</v>
      </c>
      <c r="C4768" t="s">
        <v>429</v>
      </c>
      <c r="D4768" t="s">
        <v>432</v>
      </c>
      <c r="E4768" t="s">
        <v>433</v>
      </c>
      <c r="F4768" t="s">
        <v>410</v>
      </c>
      <c r="G4768">
        <v>54</v>
      </c>
      <c r="I4768">
        <v>54</v>
      </c>
    </row>
    <row r="4769" spans="1:17" x14ac:dyDescent="0.2">
      <c r="A4769" s="121">
        <v>40847</v>
      </c>
      <c r="B4769" t="s">
        <v>406</v>
      </c>
      <c r="C4769" t="s">
        <v>429</v>
      </c>
      <c r="D4769" t="s">
        <v>434</v>
      </c>
      <c r="E4769" t="s">
        <v>435</v>
      </c>
      <c r="F4769" t="s">
        <v>410</v>
      </c>
      <c r="G4769">
        <v>2</v>
      </c>
      <c r="I4769">
        <v>2</v>
      </c>
    </row>
    <row r="4770" spans="1:17" x14ac:dyDescent="0.2">
      <c r="A4770" s="121">
        <v>40847</v>
      </c>
      <c r="B4770" t="s">
        <v>406</v>
      </c>
      <c r="C4770" t="s">
        <v>429</v>
      </c>
      <c r="D4770" t="s">
        <v>436</v>
      </c>
      <c r="E4770" t="s">
        <v>437</v>
      </c>
      <c r="F4770" t="s">
        <v>410</v>
      </c>
      <c r="G4770">
        <v>38</v>
      </c>
      <c r="I4770">
        <v>38</v>
      </c>
    </row>
    <row r="4771" spans="1:17" x14ac:dyDescent="0.2">
      <c r="A4771" s="121">
        <v>40847</v>
      </c>
      <c r="B4771" t="s">
        <v>406</v>
      </c>
      <c r="C4771" t="s">
        <v>429</v>
      </c>
      <c r="D4771" t="s">
        <v>438</v>
      </c>
      <c r="E4771" t="s">
        <v>439</v>
      </c>
      <c r="F4771" t="s">
        <v>413</v>
      </c>
      <c r="G4771">
        <v>911</v>
      </c>
      <c r="H4771">
        <v>911</v>
      </c>
      <c r="I4771">
        <v>900</v>
      </c>
      <c r="J4771">
        <v>900</v>
      </c>
      <c r="K4771">
        <v>114</v>
      </c>
      <c r="L4771">
        <v>1</v>
      </c>
      <c r="M4771">
        <v>775</v>
      </c>
      <c r="N4771">
        <v>21</v>
      </c>
      <c r="O4771">
        <v>0</v>
      </c>
      <c r="P4771">
        <v>1</v>
      </c>
      <c r="Q4771">
        <v>0</v>
      </c>
    </row>
    <row r="4772" spans="1:17" x14ac:dyDescent="0.2">
      <c r="A4772" s="121">
        <v>40847</v>
      </c>
      <c r="B4772" t="s">
        <v>406</v>
      </c>
      <c r="C4772" t="s">
        <v>429</v>
      </c>
      <c r="D4772" t="s">
        <v>440</v>
      </c>
      <c r="E4772" t="s">
        <v>441</v>
      </c>
      <c r="F4772" t="s">
        <v>413</v>
      </c>
      <c r="G4772">
        <v>2734</v>
      </c>
      <c r="H4772">
        <v>2734</v>
      </c>
      <c r="I4772">
        <v>2628</v>
      </c>
      <c r="J4772">
        <v>2628</v>
      </c>
      <c r="K4772">
        <v>888</v>
      </c>
      <c r="L4772">
        <v>1</v>
      </c>
      <c r="M4772">
        <v>1794</v>
      </c>
      <c r="N4772">
        <v>51</v>
      </c>
      <c r="O4772">
        <v>0</v>
      </c>
      <c r="P4772">
        <v>0</v>
      </c>
      <c r="Q4772">
        <v>0</v>
      </c>
    </row>
    <row r="4773" spans="1:17" x14ac:dyDescent="0.2">
      <c r="A4773" s="121">
        <v>40847</v>
      </c>
      <c r="B4773" t="s">
        <v>406</v>
      </c>
      <c r="C4773" t="s">
        <v>442</v>
      </c>
      <c r="D4773" t="s">
        <v>443</v>
      </c>
      <c r="E4773" t="s">
        <v>444</v>
      </c>
      <c r="F4773" t="s">
        <v>413</v>
      </c>
      <c r="G4773">
        <v>2572</v>
      </c>
      <c r="H4773">
        <v>2572</v>
      </c>
      <c r="I4773">
        <v>2486</v>
      </c>
      <c r="J4773">
        <v>2486</v>
      </c>
      <c r="K4773">
        <v>255</v>
      </c>
      <c r="L4773">
        <v>5</v>
      </c>
      <c r="M4773">
        <v>1970</v>
      </c>
      <c r="N4773">
        <v>176</v>
      </c>
      <c r="O4773">
        <v>166</v>
      </c>
      <c r="P4773">
        <v>5</v>
      </c>
      <c r="Q4773">
        <v>0</v>
      </c>
    </row>
    <row r="4774" spans="1:17" x14ac:dyDescent="0.2">
      <c r="A4774" s="121">
        <v>40847</v>
      </c>
      <c r="B4774" t="s">
        <v>406</v>
      </c>
      <c r="C4774" t="s">
        <v>442</v>
      </c>
      <c r="D4774" t="s">
        <v>445</v>
      </c>
      <c r="E4774" t="s">
        <v>446</v>
      </c>
      <c r="F4774" t="s">
        <v>410</v>
      </c>
      <c r="G4774">
        <v>84</v>
      </c>
      <c r="I4774">
        <v>84</v>
      </c>
    </row>
    <row r="4775" spans="1:17" x14ac:dyDescent="0.2">
      <c r="A4775" s="121">
        <v>40847</v>
      </c>
      <c r="B4775" t="s">
        <v>406</v>
      </c>
      <c r="C4775" t="s">
        <v>442</v>
      </c>
      <c r="D4775" t="s">
        <v>447</v>
      </c>
      <c r="E4775" t="s">
        <v>448</v>
      </c>
      <c r="F4775" t="s">
        <v>410</v>
      </c>
      <c r="G4775">
        <v>445</v>
      </c>
      <c r="I4775">
        <v>445</v>
      </c>
    </row>
    <row r="4776" spans="1:17" x14ac:dyDescent="0.2">
      <c r="A4776" s="121">
        <v>40847</v>
      </c>
      <c r="B4776" t="s">
        <v>406</v>
      </c>
      <c r="C4776" t="s">
        <v>442</v>
      </c>
      <c r="D4776" t="s">
        <v>449</v>
      </c>
      <c r="E4776" t="s">
        <v>450</v>
      </c>
      <c r="F4776" t="s">
        <v>413</v>
      </c>
      <c r="G4776">
        <v>4319</v>
      </c>
      <c r="H4776">
        <v>4319</v>
      </c>
      <c r="I4776">
        <v>3818</v>
      </c>
      <c r="J4776">
        <v>3818</v>
      </c>
      <c r="K4776">
        <v>950</v>
      </c>
      <c r="L4776">
        <v>12</v>
      </c>
      <c r="M4776">
        <v>3194</v>
      </c>
      <c r="N4776">
        <v>110</v>
      </c>
      <c r="O4776">
        <v>53</v>
      </c>
      <c r="P4776">
        <v>100</v>
      </c>
      <c r="Q4776">
        <v>33</v>
      </c>
    </row>
    <row r="4777" spans="1:17" x14ac:dyDescent="0.2">
      <c r="A4777" s="121">
        <v>40847</v>
      </c>
      <c r="B4777" t="s">
        <v>406</v>
      </c>
      <c r="C4777" t="s">
        <v>451</v>
      </c>
      <c r="D4777" t="s">
        <v>454</v>
      </c>
      <c r="E4777" t="s">
        <v>621</v>
      </c>
      <c r="F4777" t="s">
        <v>410</v>
      </c>
      <c r="G4777">
        <v>1015</v>
      </c>
      <c r="H4777">
        <v>1015</v>
      </c>
      <c r="I4777">
        <v>1015</v>
      </c>
      <c r="J4777">
        <v>1015</v>
      </c>
      <c r="K4777">
        <v>0</v>
      </c>
      <c r="L4777">
        <v>0</v>
      </c>
      <c r="M4777">
        <v>748</v>
      </c>
      <c r="N4777">
        <v>17</v>
      </c>
      <c r="O4777">
        <v>250</v>
      </c>
      <c r="P4777">
        <v>0</v>
      </c>
      <c r="Q4777">
        <v>0</v>
      </c>
    </row>
    <row r="4778" spans="1:17" x14ac:dyDescent="0.2">
      <c r="A4778" s="121">
        <v>40847</v>
      </c>
      <c r="B4778" t="s">
        <v>406</v>
      </c>
      <c r="C4778" t="s">
        <v>451</v>
      </c>
      <c r="D4778" t="s">
        <v>622</v>
      </c>
      <c r="E4778" t="s">
        <v>623</v>
      </c>
      <c r="F4778" t="s">
        <v>413</v>
      </c>
      <c r="G4778">
        <v>4977</v>
      </c>
      <c r="H4778">
        <v>4977</v>
      </c>
      <c r="I4778">
        <v>4683</v>
      </c>
      <c r="J4778">
        <v>4683</v>
      </c>
      <c r="K4778">
        <v>24</v>
      </c>
      <c r="L4778">
        <v>6</v>
      </c>
      <c r="M4778">
        <v>2988</v>
      </c>
      <c r="N4778">
        <v>32</v>
      </c>
      <c r="O4778">
        <v>1927</v>
      </c>
      <c r="P4778">
        <v>9</v>
      </c>
      <c r="Q4778">
        <v>0</v>
      </c>
    </row>
    <row r="4779" spans="1:17" x14ac:dyDescent="0.2">
      <c r="A4779" s="121">
        <v>40847</v>
      </c>
      <c r="B4779" t="s">
        <v>406</v>
      </c>
      <c r="C4779" t="s">
        <v>456</v>
      </c>
      <c r="D4779" t="s">
        <v>457</v>
      </c>
      <c r="E4779" t="s">
        <v>458</v>
      </c>
      <c r="F4779" t="s">
        <v>413</v>
      </c>
      <c r="G4779">
        <v>5465</v>
      </c>
      <c r="H4779">
        <v>5465</v>
      </c>
      <c r="I4779">
        <v>5244</v>
      </c>
      <c r="J4779">
        <v>5244</v>
      </c>
      <c r="K4779">
        <v>1430</v>
      </c>
      <c r="L4779">
        <v>16</v>
      </c>
      <c r="M4779">
        <v>3885</v>
      </c>
      <c r="N4779">
        <v>71</v>
      </c>
      <c r="O4779">
        <v>63</v>
      </c>
      <c r="P4779">
        <v>21</v>
      </c>
      <c r="Q4779">
        <v>4</v>
      </c>
    </row>
    <row r="4780" spans="1:17" x14ac:dyDescent="0.2">
      <c r="A4780" s="121">
        <v>40847</v>
      </c>
      <c r="B4780" t="s">
        <v>406</v>
      </c>
      <c r="C4780" t="s">
        <v>456</v>
      </c>
      <c r="D4780" t="s">
        <v>459</v>
      </c>
      <c r="E4780" t="s">
        <v>460</v>
      </c>
      <c r="F4780" t="s">
        <v>413</v>
      </c>
      <c r="G4780">
        <v>1323</v>
      </c>
      <c r="H4780">
        <v>1323</v>
      </c>
      <c r="I4780">
        <v>1310</v>
      </c>
      <c r="J4780">
        <v>1310</v>
      </c>
      <c r="K4780">
        <v>374</v>
      </c>
      <c r="L4780">
        <v>1</v>
      </c>
      <c r="M4780">
        <v>944</v>
      </c>
      <c r="N4780">
        <v>0</v>
      </c>
      <c r="O4780">
        <v>4</v>
      </c>
      <c r="P4780">
        <v>0</v>
      </c>
      <c r="Q4780">
        <v>0</v>
      </c>
    </row>
    <row r="4781" spans="1:17" x14ac:dyDescent="0.2">
      <c r="A4781" s="121">
        <v>40847</v>
      </c>
      <c r="B4781" t="s">
        <v>406</v>
      </c>
      <c r="C4781" t="s">
        <v>456</v>
      </c>
      <c r="D4781" t="s">
        <v>461</v>
      </c>
      <c r="E4781" t="s">
        <v>462</v>
      </c>
      <c r="F4781" t="s">
        <v>410</v>
      </c>
      <c r="G4781">
        <v>79</v>
      </c>
      <c r="I4781">
        <v>79</v>
      </c>
    </row>
    <row r="4782" spans="1:17" x14ac:dyDescent="0.2">
      <c r="A4782" s="121">
        <v>40847</v>
      </c>
      <c r="B4782" t="s">
        <v>406</v>
      </c>
      <c r="C4782" t="s">
        <v>456</v>
      </c>
      <c r="D4782" t="s">
        <v>463</v>
      </c>
      <c r="E4782" t="s">
        <v>464</v>
      </c>
      <c r="F4782" t="s">
        <v>410</v>
      </c>
      <c r="G4782">
        <v>28</v>
      </c>
      <c r="I4782">
        <v>28</v>
      </c>
    </row>
    <row r="4783" spans="1:17" x14ac:dyDescent="0.2">
      <c r="A4783" s="121">
        <v>40847</v>
      </c>
      <c r="B4783" t="s">
        <v>406</v>
      </c>
      <c r="C4783" t="s">
        <v>456</v>
      </c>
      <c r="D4783" t="s">
        <v>465</v>
      </c>
      <c r="E4783" t="s">
        <v>466</v>
      </c>
      <c r="F4783" t="s">
        <v>410</v>
      </c>
      <c r="G4783">
        <v>39</v>
      </c>
      <c r="I4783">
        <v>39</v>
      </c>
    </row>
    <row r="4784" spans="1:17" x14ac:dyDescent="0.2">
      <c r="A4784" s="121">
        <v>40847</v>
      </c>
      <c r="B4784" t="s">
        <v>406</v>
      </c>
      <c r="C4784" t="s">
        <v>456</v>
      </c>
      <c r="D4784" t="s">
        <v>467</v>
      </c>
      <c r="E4784" t="s">
        <v>468</v>
      </c>
      <c r="F4784" t="s">
        <v>410</v>
      </c>
      <c r="G4784">
        <v>1025</v>
      </c>
      <c r="I4784">
        <v>1024</v>
      </c>
    </row>
    <row r="4785" spans="1:17" x14ac:dyDescent="0.2">
      <c r="A4785" s="121">
        <v>40847</v>
      </c>
      <c r="B4785" t="s">
        <v>406</v>
      </c>
      <c r="C4785" t="s">
        <v>456</v>
      </c>
      <c r="D4785" t="s">
        <v>469</v>
      </c>
      <c r="E4785" t="s">
        <v>470</v>
      </c>
      <c r="F4785" t="s">
        <v>410</v>
      </c>
      <c r="G4785">
        <v>927</v>
      </c>
      <c r="I4785">
        <v>927</v>
      </c>
    </row>
    <row r="4786" spans="1:17" x14ac:dyDescent="0.2">
      <c r="A4786" s="121">
        <v>40847</v>
      </c>
      <c r="B4786" t="s">
        <v>406</v>
      </c>
      <c r="C4786" t="s">
        <v>456</v>
      </c>
      <c r="D4786" t="s">
        <v>471</v>
      </c>
      <c r="E4786" t="s">
        <v>472</v>
      </c>
      <c r="F4786" t="s">
        <v>410</v>
      </c>
      <c r="G4786">
        <v>273</v>
      </c>
      <c r="I4786">
        <v>273</v>
      </c>
    </row>
    <row r="4787" spans="1:17" x14ac:dyDescent="0.2">
      <c r="A4787" s="121">
        <v>40847</v>
      </c>
      <c r="B4787" t="s">
        <v>406</v>
      </c>
      <c r="C4787" t="s">
        <v>456</v>
      </c>
      <c r="D4787" t="s">
        <v>473</v>
      </c>
      <c r="E4787" t="s">
        <v>474</v>
      </c>
      <c r="F4787" t="s">
        <v>410</v>
      </c>
      <c r="G4787">
        <v>175</v>
      </c>
      <c r="I4787">
        <v>175</v>
      </c>
    </row>
    <row r="4788" spans="1:17" x14ac:dyDescent="0.2">
      <c r="A4788" s="121">
        <v>40847</v>
      </c>
      <c r="B4788" t="s">
        <v>406</v>
      </c>
      <c r="C4788" t="s">
        <v>456</v>
      </c>
      <c r="D4788" t="s">
        <v>475</v>
      </c>
      <c r="E4788" t="s">
        <v>476</v>
      </c>
      <c r="F4788" t="s">
        <v>410</v>
      </c>
      <c r="G4788">
        <v>265</v>
      </c>
      <c r="I4788">
        <v>265</v>
      </c>
    </row>
    <row r="4789" spans="1:17" x14ac:dyDescent="0.2">
      <c r="A4789" s="121">
        <v>40847</v>
      </c>
      <c r="B4789" t="s">
        <v>406</v>
      </c>
      <c r="C4789" t="s">
        <v>456</v>
      </c>
      <c r="D4789" t="s">
        <v>477</v>
      </c>
      <c r="E4789" t="s">
        <v>478</v>
      </c>
      <c r="F4789" t="s">
        <v>413</v>
      </c>
      <c r="G4789">
        <v>1955</v>
      </c>
      <c r="H4789">
        <v>1955</v>
      </c>
      <c r="I4789">
        <v>1879</v>
      </c>
      <c r="J4789">
        <v>1879</v>
      </c>
      <c r="K4789">
        <v>452</v>
      </c>
      <c r="L4789">
        <v>2</v>
      </c>
      <c r="M4789">
        <v>1467</v>
      </c>
      <c r="N4789">
        <v>10</v>
      </c>
      <c r="O4789">
        <v>24</v>
      </c>
      <c r="P4789">
        <v>1</v>
      </c>
      <c r="Q4789">
        <v>0</v>
      </c>
    </row>
    <row r="4790" spans="1:17" x14ac:dyDescent="0.2">
      <c r="A4790" s="121">
        <v>40847</v>
      </c>
      <c r="B4790" t="s">
        <v>406</v>
      </c>
      <c r="C4790" t="s">
        <v>456</v>
      </c>
      <c r="D4790" t="s">
        <v>479</v>
      </c>
      <c r="E4790" t="s">
        <v>480</v>
      </c>
      <c r="F4790" t="s">
        <v>410</v>
      </c>
      <c r="G4790">
        <v>77</v>
      </c>
      <c r="I4790">
        <v>77</v>
      </c>
    </row>
    <row r="4791" spans="1:17" x14ac:dyDescent="0.2">
      <c r="A4791" s="121">
        <v>40847</v>
      </c>
      <c r="B4791" t="s">
        <v>406</v>
      </c>
      <c r="C4791" t="s">
        <v>456</v>
      </c>
      <c r="D4791" t="s">
        <v>481</v>
      </c>
      <c r="E4791" t="s">
        <v>482</v>
      </c>
      <c r="F4791" t="s">
        <v>410</v>
      </c>
      <c r="G4791">
        <v>52</v>
      </c>
      <c r="I4791">
        <v>52</v>
      </c>
    </row>
    <row r="4792" spans="1:17" x14ac:dyDescent="0.2">
      <c r="A4792" s="121">
        <v>40847</v>
      </c>
      <c r="B4792" t="s">
        <v>406</v>
      </c>
      <c r="C4792" t="s">
        <v>456</v>
      </c>
      <c r="D4792" t="s">
        <v>483</v>
      </c>
      <c r="E4792" t="s">
        <v>484</v>
      </c>
      <c r="F4792" t="s">
        <v>410</v>
      </c>
      <c r="G4792">
        <v>61</v>
      </c>
      <c r="I4792">
        <v>61</v>
      </c>
    </row>
    <row r="4793" spans="1:17" x14ac:dyDescent="0.2">
      <c r="A4793" s="121">
        <v>40847</v>
      </c>
      <c r="B4793" t="s">
        <v>406</v>
      </c>
      <c r="C4793" t="s">
        <v>456</v>
      </c>
      <c r="D4793" t="s">
        <v>485</v>
      </c>
      <c r="E4793" t="s">
        <v>486</v>
      </c>
      <c r="F4793" t="s">
        <v>410</v>
      </c>
      <c r="G4793">
        <v>31</v>
      </c>
      <c r="I4793">
        <v>31</v>
      </c>
    </row>
    <row r="4794" spans="1:17" x14ac:dyDescent="0.2">
      <c r="A4794" s="121">
        <v>40847</v>
      </c>
      <c r="B4794" t="s">
        <v>406</v>
      </c>
      <c r="C4794" t="s">
        <v>456</v>
      </c>
      <c r="D4794" t="s">
        <v>487</v>
      </c>
      <c r="E4794" t="s">
        <v>488</v>
      </c>
      <c r="F4794" t="s">
        <v>410</v>
      </c>
      <c r="G4794">
        <v>33</v>
      </c>
      <c r="I4794">
        <v>33</v>
      </c>
    </row>
    <row r="4795" spans="1:17" x14ac:dyDescent="0.2">
      <c r="A4795" s="121">
        <v>40847</v>
      </c>
      <c r="B4795" t="s">
        <v>406</v>
      </c>
      <c r="C4795" t="s">
        <v>456</v>
      </c>
      <c r="D4795" t="s">
        <v>489</v>
      </c>
      <c r="E4795" t="s">
        <v>490</v>
      </c>
      <c r="F4795" t="s">
        <v>410</v>
      </c>
      <c r="G4795">
        <v>92</v>
      </c>
      <c r="H4795">
        <v>92</v>
      </c>
      <c r="I4795">
        <v>92</v>
      </c>
      <c r="J4795">
        <v>92</v>
      </c>
      <c r="K4795">
        <v>0</v>
      </c>
      <c r="L4795">
        <v>1</v>
      </c>
      <c r="M4795">
        <v>63</v>
      </c>
      <c r="N4795">
        <v>28</v>
      </c>
      <c r="O4795">
        <v>0</v>
      </c>
      <c r="P4795">
        <v>0</v>
      </c>
      <c r="Q4795">
        <v>0</v>
      </c>
    </row>
    <row r="4796" spans="1:17" x14ac:dyDescent="0.2">
      <c r="A4796" s="121">
        <v>40847</v>
      </c>
      <c r="B4796" t="s">
        <v>406</v>
      </c>
      <c r="C4796" t="s">
        <v>491</v>
      </c>
      <c r="D4796" t="s">
        <v>492</v>
      </c>
      <c r="E4796" t="s">
        <v>493</v>
      </c>
      <c r="F4796" t="s">
        <v>410</v>
      </c>
      <c r="G4796">
        <v>1176</v>
      </c>
      <c r="H4796">
        <v>1176</v>
      </c>
      <c r="I4796">
        <v>1150</v>
      </c>
      <c r="J4796">
        <v>1150</v>
      </c>
      <c r="K4796">
        <v>181</v>
      </c>
      <c r="L4796">
        <v>0</v>
      </c>
      <c r="M4796">
        <v>2</v>
      </c>
      <c r="N4796">
        <v>14</v>
      </c>
      <c r="O4796">
        <v>979</v>
      </c>
      <c r="P4796">
        <v>0</v>
      </c>
      <c r="Q4796">
        <v>0</v>
      </c>
    </row>
    <row r="4797" spans="1:17" x14ac:dyDescent="0.2">
      <c r="A4797" s="121">
        <v>40847</v>
      </c>
      <c r="B4797" t="s">
        <v>406</v>
      </c>
      <c r="C4797" t="s">
        <v>491</v>
      </c>
      <c r="D4797" t="s">
        <v>494</v>
      </c>
      <c r="E4797" t="s">
        <v>495</v>
      </c>
      <c r="F4797" t="s">
        <v>413</v>
      </c>
      <c r="G4797">
        <v>2634</v>
      </c>
      <c r="H4797">
        <v>2634</v>
      </c>
      <c r="I4797">
        <v>2525</v>
      </c>
      <c r="J4797">
        <v>2525</v>
      </c>
      <c r="K4797">
        <v>731</v>
      </c>
      <c r="L4797">
        <v>13</v>
      </c>
      <c r="M4797">
        <v>1710</v>
      </c>
      <c r="N4797">
        <v>50</v>
      </c>
      <c r="O4797">
        <v>130</v>
      </c>
      <c r="P4797">
        <v>1</v>
      </c>
      <c r="Q4797">
        <v>0</v>
      </c>
    </row>
    <row r="4798" spans="1:17" x14ac:dyDescent="0.2">
      <c r="A4798" s="121">
        <v>40847</v>
      </c>
      <c r="B4798" t="s">
        <v>406</v>
      </c>
      <c r="C4798" t="s">
        <v>491</v>
      </c>
      <c r="D4798" t="s">
        <v>496</v>
      </c>
      <c r="E4798" t="s">
        <v>497</v>
      </c>
      <c r="F4798" t="s">
        <v>413</v>
      </c>
      <c r="G4798">
        <v>6294</v>
      </c>
      <c r="H4798">
        <v>6294</v>
      </c>
      <c r="I4798">
        <v>5765</v>
      </c>
      <c r="J4798">
        <v>5765</v>
      </c>
      <c r="K4798">
        <v>804</v>
      </c>
      <c r="L4798">
        <v>0</v>
      </c>
      <c r="M4798">
        <v>18</v>
      </c>
      <c r="N4798">
        <v>83</v>
      </c>
      <c r="O4798">
        <v>5389</v>
      </c>
      <c r="P4798">
        <v>14</v>
      </c>
      <c r="Q4798">
        <v>0</v>
      </c>
    </row>
    <row r="4799" spans="1:17" x14ac:dyDescent="0.2">
      <c r="A4799" s="121">
        <v>40847</v>
      </c>
      <c r="B4799" t="s">
        <v>406</v>
      </c>
      <c r="C4799" t="s">
        <v>491</v>
      </c>
      <c r="D4799" t="s">
        <v>498</v>
      </c>
      <c r="E4799" t="s">
        <v>499</v>
      </c>
      <c r="F4799" t="s">
        <v>413</v>
      </c>
      <c r="G4799">
        <v>7421</v>
      </c>
      <c r="H4799">
        <v>7421</v>
      </c>
      <c r="I4799">
        <v>7271</v>
      </c>
      <c r="J4799">
        <v>7271</v>
      </c>
      <c r="K4799">
        <v>2030</v>
      </c>
      <c r="L4799">
        <v>11</v>
      </c>
      <c r="M4799">
        <v>4882</v>
      </c>
      <c r="N4799">
        <v>141</v>
      </c>
      <c r="O4799">
        <v>357</v>
      </c>
      <c r="P4799">
        <v>4</v>
      </c>
      <c r="Q4799">
        <v>0</v>
      </c>
    </row>
    <row r="4800" spans="1:17" x14ac:dyDescent="0.2">
      <c r="A4800" s="121">
        <v>40847</v>
      </c>
      <c r="B4800" t="s">
        <v>406</v>
      </c>
      <c r="C4800" t="s">
        <v>491</v>
      </c>
      <c r="D4800" t="s">
        <v>500</v>
      </c>
      <c r="E4800" t="s">
        <v>620</v>
      </c>
      <c r="F4800" t="s">
        <v>410</v>
      </c>
      <c r="G4800">
        <v>1213</v>
      </c>
      <c r="H4800">
        <v>1213</v>
      </c>
      <c r="I4800">
        <v>1212</v>
      </c>
      <c r="J4800">
        <v>1212</v>
      </c>
      <c r="K4800">
        <v>13</v>
      </c>
      <c r="L4800">
        <v>0</v>
      </c>
      <c r="M4800">
        <v>1098</v>
      </c>
      <c r="N4800">
        <v>17</v>
      </c>
      <c r="O4800">
        <v>85</v>
      </c>
      <c r="P4800">
        <v>0</v>
      </c>
      <c r="Q4800">
        <v>0</v>
      </c>
    </row>
    <row r="4801" spans="1:17" x14ac:dyDescent="0.2">
      <c r="A4801" s="121">
        <v>40847</v>
      </c>
      <c r="B4801" t="s">
        <v>406</v>
      </c>
      <c r="C4801" t="s">
        <v>491</v>
      </c>
      <c r="D4801" t="s">
        <v>502</v>
      </c>
      <c r="E4801" t="s">
        <v>615</v>
      </c>
      <c r="F4801" t="s">
        <v>410</v>
      </c>
      <c r="G4801">
        <v>1631</v>
      </c>
      <c r="H4801">
        <v>1631</v>
      </c>
      <c r="I4801">
        <v>1631</v>
      </c>
      <c r="J4801">
        <v>1631</v>
      </c>
      <c r="K4801">
        <v>0</v>
      </c>
      <c r="L4801">
        <v>0</v>
      </c>
      <c r="M4801">
        <v>1593</v>
      </c>
      <c r="N4801">
        <v>8</v>
      </c>
      <c r="O4801">
        <v>30</v>
      </c>
      <c r="P4801">
        <v>0</v>
      </c>
      <c r="Q4801">
        <v>0</v>
      </c>
    </row>
    <row r="4802" spans="1:17" x14ac:dyDescent="0.2">
      <c r="A4802" s="121">
        <v>40847</v>
      </c>
      <c r="B4802" t="s">
        <v>406</v>
      </c>
      <c r="C4802" t="s">
        <v>491</v>
      </c>
      <c r="D4802" t="s">
        <v>502</v>
      </c>
      <c r="E4802" t="s">
        <v>503</v>
      </c>
      <c r="F4802" t="s">
        <v>413</v>
      </c>
      <c r="G4802">
        <v>5002</v>
      </c>
      <c r="H4802">
        <v>5002</v>
      </c>
      <c r="I4802">
        <v>4594</v>
      </c>
      <c r="J4802">
        <v>4594</v>
      </c>
      <c r="K4802">
        <v>1560</v>
      </c>
      <c r="L4802">
        <v>9</v>
      </c>
      <c r="M4802">
        <v>3201</v>
      </c>
      <c r="N4802">
        <v>115</v>
      </c>
      <c r="O4802">
        <v>117</v>
      </c>
      <c r="P4802">
        <v>46</v>
      </c>
      <c r="Q4802">
        <v>0</v>
      </c>
    </row>
    <row r="4803" spans="1:17" x14ac:dyDescent="0.2">
      <c r="A4803" s="121">
        <v>40847</v>
      </c>
      <c r="B4803" t="s">
        <v>406</v>
      </c>
      <c r="C4803" t="s">
        <v>491</v>
      </c>
      <c r="D4803" t="s">
        <v>504</v>
      </c>
      <c r="E4803" t="s">
        <v>505</v>
      </c>
      <c r="F4803" t="s">
        <v>413</v>
      </c>
      <c r="G4803">
        <v>4214</v>
      </c>
      <c r="H4803">
        <v>4214</v>
      </c>
      <c r="I4803">
        <v>3977</v>
      </c>
      <c r="J4803">
        <v>3977</v>
      </c>
      <c r="K4803">
        <v>1144</v>
      </c>
      <c r="L4803">
        <v>10</v>
      </c>
      <c r="M4803">
        <v>2929</v>
      </c>
      <c r="N4803">
        <v>62</v>
      </c>
      <c r="O4803">
        <v>69</v>
      </c>
      <c r="P4803">
        <v>2</v>
      </c>
      <c r="Q4803">
        <v>0</v>
      </c>
    </row>
    <row r="4804" spans="1:17" x14ac:dyDescent="0.2">
      <c r="A4804" s="121">
        <v>40847</v>
      </c>
      <c r="B4804" t="s">
        <v>406</v>
      </c>
      <c r="C4804" t="s">
        <v>491</v>
      </c>
      <c r="D4804" t="s">
        <v>506</v>
      </c>
      <c r="E4804" t="s">
        <v>507</v>
      </c>
      <c r="F4804" t="s">
        <v>413</v>
      </c>
      <c r="G4804">
        <v>3413</v>
      </c>
      <c r="H4804">
        <v>3413</v>
      </c>
      <c r="I4804">
        <v>3329</v>
      </c>
      <c r="J4804">
        <v>3329</v>
      </c>
      <c r="K4804">
        <v>486</v>
      </c>
      <c r="L4804">
        <v>0</v>
      </c>
      <c r="M4804">
        <v>2918</v>
      </c>
      <c r="N4804">
        <v>3</v>
      </c>
      <c r="O4804">
        <v>6</v>
      </c>
      <c r="P4804">
        <v>2</v>
      </c>
      <c r="Q4804">
        <v>1</v>
      </c>
    </row>
    <row r="4805" spans="1:17" x14ac:dyDescent="0.2">
      <c r="A4805" s="121">
        <v>40847</v>
      </c>
      <c r="B4805" t="s">
        <v>406</v>
      </c>
      <c r="C4805" t="s">
        <v>491</v>
      </c>
      <c r="D4805" t="s">
        <v>508</v>
      </c>
      <c r="E4805" t="s">
        <v>509</v>
      </c>
      <c r="F4805" t="s">
        <v>413</v>
      </c>
      <c r="G4805">
        <v>5091</v>
      </c>
      <c r="H4805">
        <v>5091</v>
      </c>
      <c r="I4805">
        <v>4599</v>
      </c>
      <c r="J4805">
        <v>4599</v>
      </c>
      <c r="K4805">
        <v>1631</v>
      </c>
      <c r="L4805">
        <v>7</v>
      </c>
      <c r="M4805">
        <v>3017</v>
      </c>
      <c r="N4805">
        <v>76</v>
      </c>
      <c r="O4805">
        <v>360</v>
      </c>
      <c r="P4805">
        <v>56</v>
      </c>
      <c r="Q4805">
        <v>0</v>
      </c>
    </row>
    <row r="4806" spans="1:17" x14ac:dyDescent="0.2">
      <c r="A4806" s="121">
        <v>40847</v>
      </c>
      <c r="B4806" t="s">
        <v>406</v>
      </c>
      <c r="C4806" t="s">
        <v>510</v>
      </c>
      <c r="D4806" t="s">
        <v>513</v>
      </c>
      <c r="E4806" t="s">
        <v>514</v>
      </c>
      <c r="F4806" t="s">
        <v>410</v>
      </c>
      <c r="G4806">
        <v>562</v>
      </c>
      <c r="I4806">
        <v>557</v>
      </c>
    </row>
    <row r="4807" spans="1:17" x14ac:dyDescent="0.2">
      <c r="A4807" s="121">
        <v>40847</v>
      </c>
      <c r="B4807" t="s">
        <v>406</v>
      </c>
      <c r="C4807" t="s">
        <v>510</v>
      </c>
      <c r="D4807" t="s">
        <v>515</v>
      </c>
      <c r="E4807" t="s">
        <v>516</v>
      </c>
      <c r="F4807" t="s">
        <v>410</v>
      </c>
      <c r="G4807">
        <v>83</v>
      </c>
      <c r="I4807">
        <v>82</v>
      </c>
    </row>
    <row r="4808" spans="1:17" x14ac:dyDescent="0.2">
      <c r="A4808" s="121">
        <v>40847</v>
      </c>
      <c r="B4808" t="s">
        <v>406</v>
      </c>
      <c r="C4808" t="s">
        <v>510</v>
      </c>
      <c r="D4808" t="s">
        <v>519</v>
      </c>
      <c r="E4808" t="s">
        <v>520</v>
      </c>
      <c r="F4808" t="s">
        <v>410</v>
      </c>
      <c r="G4808">
        <v>311</v>
      </c>
      <c r="I4808">
        <v>294</v>
      </c>
    </row>
    <row r="4809" spans="1:17" x14ac:dyDescent="0.2">
      <c r="A4809" s="121">
        <v>40847</v>
      </c>
      <c r="B4809" t="s">
        <v>406</v>
      </c>
      <c r="C4809" t="s">
        <v>510</v>
      </c>
      <c r="D4809" t="s">
        <v>521</v>
      </c>
      <c r="E4809" t="s">
        <v>522</v>
      </c>
      <c r="F4809" t="s">
        <v>410</v>
      </c>
      <c r="G4809">
        <v>64</v>
      </c>
      <c r="I4809">
        <v>62</v>
      </c>
    </row>
    <row r="4810" spans="1:17" x14ac:dyDescent="0.2">
      <c r="A4810" s="121">
        <v>40847</v>
      </c>
      <c r="B4810" t="s">
        <v>406</v>
      </c>
      <c r="C4810" t="s">
        <v>510</v>
      </c>
      <c r="D4810" t="s">
        <v>523</v>
      </c>
      <c r="E4810" t="s">
        <v>524</v>
      </c>
      <c r="F4810" t="s">
        <v>413</v>
      </c>
      <c r="G4810">
        <v>487</v>
      </c>
      <c r="I4810">
        <v>480</v>
      </c>
    </row>
    <row r="4811" spans="1:17" x14ac:dyDescent="0.2">
      <c r="A4811" s="121">
        <v>40847</v>
      </c>
      <c r="B4811" t="s">
        <v>406</v>
      </c>
      <c r="C4811" t="s">
        <v>510</v>
      </c>
      <c r="D4811" t="s">
        <v>525</v>
      </c>
      <c r="E4811" t="s">
        <v>526</v>
      </c>
      <c r="F4811" t="s">
        <v>410</v>
      </c>
      <c r="G4811">
        <v>407</v>
      </c>
      <c r="I4811">
        <v>400</v>
      </c>
    </row>
    <row r="4812" spans="1:17" x14ac:dyDescent="0.2">
      <c r="A4812" s="121">
        <v>40847</v>
      </c>
      <c r="B4812" t="s">
        <v>406</v>
      </c>
      <c r="C4812" t="s">
        <v>510</v>
      </c>
      <c r="D4812" t="s">
        <v>527</v>
      </c>
      <c r="E4812" t="s">
        <v>528</v>
      </c>
      <c r="F4812" t="s">
        <v>410</v>
      </c>
      <c r="G4812">
        <v>208</v>
      </c>
      <c r="I4812">
        <v>208</v>
      </c>
    </row>
    <row r="4813" spans="1:17" x14ac:dyDescent="0.2">
      <c r="A4813" s="121">
        <v>40847</v>
      </c>
      <c r="B4813" t="s">
        <v>406</v>
      </c>
      <c r="C4813" t="s">
        <v>510</v>
      </c>
      <c r="D4813" t="s">
        <v>529</v>
      </c>
      <c r="E4813" t="s">
        <v>530</v>
      </c>
      <c r="F4813" t="s">
        <v>413</v>
      </c>
      <c r="G4813">
        <v>499</v>
      </c>
      <c r="H4813">
        <v>499</v>
      </c>
      <c r="I4813">
        <v>492</v>
      </c>
      <c r="J4813">
        <v>492</v>
      </c>
      <c r="K4813">
        <v>159</v>
      </c>
      <c r="L4813">
        <v>0</v>
      </c>
      <c r="M4813">
        <v>339</v>
      </c>
      <c r="N4813">
        <v>1</v>
      </c>
      <c r="O4813">
        <v>0</v>
      </c>
      <c r="P4813">
        <v>1</v>
      </c>
      <c r="Q4813">
        <v>0</v>
      </c>
    </row>
    <row r="4814" spans="1:17" x14ac:dyDescent="0.2">
      <c r="A4814" s="121">
        <v>40847</v>
      </c>
      <c r="B4814" t="s">
        <v>406</v>
      </c>
      <c r="C4814" t="s">
        <v>510</v>
      </c>
      <c r="D4814" t="s">
        <v>531</v>
      </c>
      <c r="E4814" t="s">
        <v>532</v>
      </c>
      <c r="F4814" t="s">
        <v>410</v>
      </c>
      <c r="G4814">
        <v>44</v>
      </c>
      <c r="I4814">
        <v>44</v>
      </c>
    </row>
    <row r="4815" spans="1:17" x14ac:dyDescent="0.2">
      <c r="A4815" s="121">
        <v>40847</v>
      </c>
      <c r="B4815" t="s">
        <v>406</v>
      </c>
      <c r="C4815" t="s">
        <v>510</v>
      </c>
      <c r="D4815" t="s">
        <v>533</v>
      </c>
      <c r="E4815" t="s">
        <v>534</v>
      </c>
      <c r="F4815" t="s">
        <v>413</v>
      </c>
      <c r="G4815">
        <v>2537</v>
      </c>
      <c r="H4815">
        <v>2537</v>
      </c>
      <c r="I4815">
        <v>2489</v>
      </c>
      <c r="J4815">
        <v>2489</v>
      </c>
      <c r="K4815">
        <v>554</v>
      </c>
      <c r="L4815">
        <v>2</v>
      </c>
      <c r="M4815">
        <v>1981</v>
      </c>
      <c r="N4815">
        <v>0</v>
      </c>
      <c r="O4815">
        <v>0</v>
      </c>
      <c r="P4815">
        <v>1</v>
      </c>
      <c r="Q4815">
        <v>0</v>
      </c>
    </row>
    <row r="4816" spans="1:17" x14ac:dyDescent="0.2">
      <c r="A4816" s="121">
        <v>40847</v>
      </c>
      <c r="B4816" t="s">
        <v>406</v>
      </c>
      <c r="C4816" t="s">
        <v>510</v>
      </c>
      <c r="D4816" t="s">
        <v>535</v>
      </c>
      <c r="E4816" t="s">
        <v>536</v>
      </c>
      <c r="F4816" t="s">
        <v>410</v>
      </c>
      <c r="G4816">
        <v>318</v>
      </c>
      <c r="I4816">
        <v>318</v>
      </c>
    </row>
    <row r="4817" spans="1:17" x14ac:dyDescent="0.2">
      <c r="A4817" s="121">
        <v>40847</v>
      </c>
      <c r="B4817" t="s">
        <v>406</v>
      </c>
      <c r="C4817" t="s">
        <v>510</v>
      </c>
      <c r="D4817" t="s">
        <v>537</v>
      </c>
      <c r="E4817" t="s">
        <v>538</v>
      </c>
      <c r="F4817" t="s">
        <v>410</v>
      </c>
      <c r="G4817">
        <v>102</v>
      </c>
      <c r="I4817">
        <v>102</v>
      </c>
    </row>
    <row r="4818" spans="1:17" x14ac:dyDescent="0.2">
      <c r="A4818" s="121">
        <v>40847</v>
      </c>
      <c r="B4818" t="s">
        <v>406</v>
      </c>
      <c r="C4818" t="s">
        <v>510</v>
      </c>
      <c r="D4818" t="s">
        <v>539</v>
      </c>
      <c r="E4818" t="s">
        <v>540</v>
      </c>
      <c r="F4818" t="s">
        <v>413</v>
      </c>
      <c r="G4818">
        <v>703</v>
      </c>
      <c r="H4818">
        <v>703</v>
      </c>
      <c r="I4818">
        <v>670</v>
      </c>
      <c r="J4818">
        <v>670</v>
      </c>
      <c r="K4818">
        <v>154</v>
      </c>
      <c r="L4818">
        <v>0</v>
      </c>
      <c r="M4818">
        <v>547</v>
      </c>
      <c r="N4818">
        <v>2</v>
      </c>
      <c r="O4818">
        <v>0</v>
      </c>
      <c r="P4818">
        <v>2</v>
      </c>
      <c r="Q4818">
        <v>0</v>
      </c>
    </row>
    <row r="4819" spans="1:17" x14ac:dyDescent="0.2">
      <c r="A4819" s="121">
        <v>40847</v>
      </c>
      <c r="B4819" t="s">
        <v>406</v>
      </c>
      <c r="C4819" t="s">
        <v>510</v>
      </c>
      <c r="D4819" t="s">
        <v>541</v>
      </c>
      <c r="E4819" t="s">
        <v>542</v>
      </c>
      <c r="F4819" t="s">
        <v>410</v>
      </c>
      <c r="G4819">
        <v>328</v>
      </c>
      <c r="I4819">
        <v>328</v>
      </c>
    </row>
    <row r="4820" spans="1:17" x14ac:dyDescent="0.2">
      <c r="A4820" s="121">
        <v>40847</v>
      </c>
      <c r="B4820" t="s">
        <v>406</v>
      </c>
      <c r="C4820" t="s">
        <v>510</v>
      </c>
      <c r="D4820" t="s">
        <v>543</v>
      </c>
      <c r="E4820" t="s">
        <v>544</v>
      </c>
      <c r="F4820" t="s">
        <v>410</v>
      </c>
      <c r="G4820">
        <v>227</v>
      </c>
      <c r="I4820">
        <v>227</v>
      </c>
    </row>
    <row r="4821" spans="1:17" x14ac:dyDescent="0.2">
      <c r="A4821" s="121">
        <v>40847</v>
      </c>
      <c r="B4821" t="s">
        <v>406</v>
      </c>
      <c r="C4821" t="s">
        <v>510</v>
      </c>
      <c r="D4821" t="s">
        <v>545</v>
      </c>
      <c r="E4821" t="s">
        <v>546</v>
      </c>
      <c r="F4821" t="s">
        <v>410</v>
      </c>
      <c r="G4821">
        <v>132</v>
      </c>
      <c r="I4821">
        <v>132</v>
      </c>
    </row>
    <row r="4822" spans="1:17" x14ac:dyDescent="0.2">
      <c r="A4822" s="121">
        <v>40847</v>
      </c>
      <c r="B4822" t="s">
        <v>406</v>
      </c>
      <c r="C4822" t="s">
        <v>510</v>
      </c>
      <c r="D4822" t="s">
        <v>547</v>
      </c>
      <c r="E4822" t="s">
        <v>548</v>
      </c>
      <c r="F4822" t="s">
        <v>410</v>
      </c>
      <c r="G4822">
        <v>139</v>
      </c>
      <c r="I4822">
        <v>139</v>
      </c>
    </row>
    <row r="4823" spans="1:17" x14ac:dyDescent="0.2">
      <c r="A4823" s="121">
        <v>40847</v>
      </c>
      <c r="B4823" t="s">
        <v>406</v>
      </c>
      <c r="C4823" t="s">
        <v>510</v>
      </c>
      <c r="D4823" t="s">
        <v>616</v>
      </c>
      <c r="E4823" t="s">
        <v>617</v>
      </c>
      <c r="F4823" t="s">
        <v>410</v>
      </c>
      <c r="G4823">
        <v>294</v>
      </c>
      <c r="I4823">
        <v>293</v>
      </c>
    </row>
    <row r="4824" spans="1:17" x14ac:dyDescent="0.2">
      <c r="A4824" s="121">
        <v>40847</v>
      </c>
      <c r="B4824" t="s">
        <v>406</v>
      </c>
      <c r="C4824" t="s">
        <v>510</v>
      </c>
      <c r="D4824" t="s">
        <v>549</v>
      </c>
      <c r="E4824" t="s">
        <v>550</v>
      </c>
      <c r="F4824" t="s">
        <v>410</v>
      </c>
      <c r="G4824">
        <v>171</v>
      </c>
      <c r="I4824">
        <v>171</v>
      </c>
    </row>
    <row r="4825" spans="1:17" x14ac:dyDescent="0.2">
      <c r="A4825" s="121">
        <v>40847</v>
      </c>
      <c r="B4825" t="s">
        <v>406</v>
      </c>
      <c r="C4825" t="s">
        <v>551</v>
      </c>
      <c r="D4825" t="s">
        <v>552</v>
      </c>
      <c r="E4825" t="s">
        <v>553</v>
      </c>
      <c r="F4825" t="s">
        <v>413</v>
      </c>
      <c r="G4825">
        <v>5668</v>
      </c>
      <c r="H4825">
        <v>5668</v>
      </c>
      <c r="I4825">
        <v>5334</v>
      </c>
      <c r="J4825">
        <v>5334</v>
      </c>
      <c r="K4825">
        <v>1742</v>
      </c>
      <c r="L4825">
        <v>11</v>
      </c>
      <c r="M4825">
        <v>3500</v>
      </c>
      <c r="N4825">
        <v>235</v>
      </c>
      <c r="O4825">
        <v>180</v>
      </c>
      <c r="P4825">
        <v>15</v>
      </c>
      <c r="Q4825">
        <v>2</v>
      </c>
    </row>
    <row r="4826" spans="1:17" x14ac:dyDescent="0.2">
      <c r="A4826" s="121">
        <v>40847</v>
      </c>
      <c r="B4826" t="s">
        <v>406</v>
      </c>
      <c r="C4826" t="s">
        <v>551</v>
      </c>
      <c r="D4826" t="s">
        <v>554</v>
      </c>
      <c r="E4826" t="s">
        <v>555</v>
      </c>
      <c r="F4826" t="s">
        <v>410</v>
      </c>
      <c r="G4826">
        <v>47</v>
      </c>
      <c r="I4826">
        <v>47</v>
      </c>
    </row>
    <row r="4827" spans="1:17" x14ac:dyDescent="0.2">
      <c r="A4827" s="121">
        <v>40847</v>
      </c>
      <c r="B4827" t="s">
        <v>406</v>
      </c>
      <c r="C4827" t="s">
        <v>551</v>
      </c>
      <c r="D4827" t="s">
        <v>556</v>
      </c>
      <c r="E4827" t="s">
        <v>557</v>
      </c>
      <c r="F4827" t="s">
        <v>410</v>
      </c>
      <c r="G4827">
        <v>86</v>
      </c>
      <c r="I4827">
        <v>86</v>
      </c>
    </row>
    <row r="4828" spans="1:17" x14ac:dyDescent="0.2">
      <c r="A4828" s="121">
        <v>40847</v>
      </c>
      <c r="B4828" t="s">
        <v>406</v>
      </c>
      <c r="C4828" t="s">
        <v>551</v>
      </c>
      <c r="D4828" t="s">
        <v>558</v>
      </c>
      <c r="E4828" t="s">
        <v>559</v>
      </c>
      <c r="F4828" t="s">
        <v>413</v>
      </c>
      <c r="G4828">
        <v>4829</v>
      </c>
      <c r="H4828">
        <v>4829</v>
      </c>
      <c r="I4828">
        <v>4581</v>
      </c>
      <c r="J4828">
        <v>4581</v>
      </c>
      <c r="K4828">
        <v>1293</v>
      </c>
      <c r="L4828">
        <v>11</v>
      </c>
      <c r="M4828">
        <v>3291</v>
      </c>
      <c r="N4828">
        <v>159</v>
      </c>
      <c r="O4828">
        <v>75</v>
      </c>
      <c r="P4828">
        <v>21</v>
      </c>
      <c r="Q4828">
        <v>3</v>
      </c>
    </row>
    <row r="4829" spans="1:17" x14ac:dyDescent="0.2">
      <c r="A4829" s="121">
        <v>40847</v>
      </c>
      <c r="B4829" t="s">
        <v>406</v>
      </c>
      <c r="C4829" t="s">
        <v>551</v>
      </c>
      <c r="D4829" t="s">
        <v>560</v>
      </c>
      <c r="E4829" t="s">
        <v>561</v>
      </c>
      <c r="F4829" t="s">
        <v>413</v>
      </c>
      <c r="G4829">
        <v>5379</v>
      </c>
      <c r="H4829">
        <v>5379</v>
      </c>
      <c r="I4829">
        <v>5194</v>
      </c>
      <c r="J4829">
        <v>5194</v>
      </c>
      <c r="K4829">
        <v>1171</v>
      </c>
      <c r="L4829">
        <v>10</v>
      </c>
      <c r="M4829">
        <v>3799</v>
      </c>
      <c r="N4829">
        <v>292</v>
      </c>
      <c r="O4829">
        <v>107</v>
      </c>
      <c r="P4829">
        <v>2</v>
      </c>
      <c r="Q4829">
        <v>0</v>
      </c>
    </row>
    <row r="4830" spans="1:17" x14ac:dyDescent="0.2">
      <c r="A4830" s="121">
        <v>40847</v>
      </c>
      <c r="B4830" t="s">
        <v>406</v>
      </c>
      <c r="C4830" t="s">
        <v>562</v>
      </c>
      <c r="D4830" t="s">
        <v>603</v>
      </c>
      <c r="E4830" t="s">
        <v>604</v>
      </c>
      <c r="F4830" t="s">
        <v>410</v>
      </c>
      <c r="G4830">
        <v>17</v>
      </c>
      <c r="I4830">
        <v>17</v>
      </c>
    </row>
    <row r="4831" spans="1:17" x14ac:dyDescent="0.2">
      <c r="A4831" s="121">
        <v>40847</v>
      </c>
      <c r="B4831" t="s">
        <v>406</v>
      </c>
      <c r="C4831" t="s">
        <v>562</v>
      </c>
      <c r="D4831" t="s">
        <v>605</v>
      </c>
      <c r="E4831" t="s">
        <v>606</v>
      </c>
      <c r="F4831" t="s">
        <v>410</v>
      </c>
      <c r="G4831">
        <v>97</v>
      </c>
      <c r="I4831">
        <v>97</v>
      </c>
    </row>
    <row r="4832" spans="1:17" x14ac:dyDescent="0.2">
      <c r="A4832" s="121">
        <v>40847</v>
      </c>
      <c r="B4832" t="s">
        <v>406</v>
      </c>
      <c r="C4832" t="s">
        <v>562</v>
      </c>
      <c r="D4832" t="s">
        <v>563</v>
      </c>
      <c r="E4832" t="s">
        <v>564</v>
      </c>
      <c r="F4832" t="s">
        <v>410</v>
      </c>
      <c r="G4832">
        <v>3264</v>
      </c>
      <c r="H4832">
        <v>3264</v>
      </c>
      <c r="I4832">
        <v>3190</v>
      </c>
      <c r="J4832">
        <v>3190</v>
      </c>
      <c r="K4832">
        <v>1076</v>
      </c>
      <c r="L4832">
        <v>1</v>
      </c>
      <c r="M4832">
        <v>2172</v>
      </c>
      <c r="N4832">
        <v>15</v>
      </c>
      <c r="O4832">
        <v>0</v>
      </c>
      <c r="P4832">
        <v>5</v>
      </c>
      <c r="Q4832">
        <v>0</v>
      </c>
    </row>
    <row r="4833" spans="1:17" x14ac:dyDescent="0.2">
      <c r="A4833" s="121">
        <v>40847</v>
      </c>
      <c r="B4833" t="s">
        <v>406</v>
      </c>
      <c r="C4833" t="s">
        <v>562</v>
      </c>
      <c r="D4833" t="s">
        <v>565</v>
      </c>
      <c r="E4833" t="s">
        <v>566</v>
      </c>
      <c r="F4833" t="s">
        <v>413</v>
      </c>
      <c r="G4833">
        <v>4446</v>
      </c>
      <c r="H4833">
        <v>4446</v>
      </c>
      <c r="I4833">
        <v>4221</v>
      </c>
      <c r="J4833">
        <v>4221</v>
      </c>
      <c r="K4833">
        <v>1148</v>
      </c>
      <c r="L4833">
        <v>7</v>
      </c>
      <c r="M4833">
        <v>3142</v>
      </c>
      <c r="N4833">
        <v>149</v>
      </c>
      <c r="O4833">
        <v>0</v>
      </c>
      <c r="P4833">
        <v>25</v>
      </c>
      <c r="Q4833">
        <v>4</v>
      </c>
    </row>
    <row r="4834" spans="1:17" x14ac:dyDescent="0.2">
      <c r="A4834" s="121">
        <v>40847</v>
      </c>
      <c r="B4834" t="s">
        <v>406</v>
      </c>
      <c r="C4834" t="s">
        <v>562</v>
      </c>
      <c r="D4834" t="s">
        <v>567</v>
      </c>
      <c r="E4834" t="s">
        <v>568</v>
      </c>
      <c r="F4834" t="s">
        <v>413</v>
      </c>
      <c r="G4834">
        <v>9677</v>
      </c>
      <c r="H4834">
        <v>9677</v>
      </c>
      <c r="I4834">
        <v>9329</v>
      </c>
      <c r="J4834">
        <v>9329</v>
      </c>
      <c r="K4834">
        <v>2781</v>
      </c>
      <c r="L4834">
        <v>16</v>
      </c>
      <c r="M4834">
        <v>6487</v>
      </c>
      <c r="N4834">
        <v>393</v>
      </c>
      <c r="O4834">
        <v>0</v>
      </c>
      <c r="P4834">
        <v>17</v>
      </c>
      <c r="Q4834">
        <v>0</v>
      </c>
    </row>
    <row r="4835" spans="1:17" x14ac:dyDescent="0.2">
      <c r="A4835" s="121">
        <v>40847</v>
      </c>
      <c r="B4835" t="s">
        <v>406</v>
      </c>
      <c r="C4835" t="s">
        <v>562</v>
      </c>
      <c r="D4835" t="s">
        <v>569</v>
      </c>
      <c r="E4835" t="s">
        <v>570</v>
      </c>
      <c r="F4835" t="s">
        <v>413</v>
      </c>
      <c r="G4835">
        <v>3116</v>
      </c>
      <c r="H4835">
        <v>3116</v>
      </c>
      <c r="I4835">
        <v>3083</v>
      </c>
      <c r="J4835">
        <v>3083</v>
      </c>
      <c r="K4835">
        <v>426</v>
      </c>
      <c r="L4835">
        <v>0</v>
      </c>
      <c r="M4835">
        <v>2690</v>
      </c>
      <c r="N4835">
        <v>0</v>
      </c>
      <c r="O4835">
        <v>0</v>
      </c>
      <c r="P4835">
        <v>1</v>
      </c>
      <c r="Q4835">
        <v>0</v>
      </c>
    </row>
    <row r="4836" spans="1:17" x14ac:dyDescent="0.2">
      <c r="A4836" s="121">
        <v>40847</v>
      </c>
      <c r="B4836" t="s">
        <v>406</v>
      </c>
      <c r="C4836" t="s">
        <v>571</v>
      </c>
      <c r="D4836" t="s">
        <v>572</v>
      </c>
      <c r="E4836" t="s">
        <v>573</v>
      </c>
      <c r="F4836" t="s">
        <v>410</v>
      </c>
      <c r="G4836">
        <v>142</v>
      </c>
      <c r="H4836">
        <v>142</v>
      </c>
      <c r="I4836">
        <v>142</v>
      </c>
      <c r="J4836">
        <v>142</v>
      </c>
      <c r="K4836">
        <v>0</v>
      </c>
      <c r="L4836">
        <v>0</v>
      </c>
      <c r="M4836">
        <v>140</v>
      </c>
      <c r="N4836">
        <v>0</v>
      </c>
      <c r="O4836">
        <v>2</v>
      </c>
      <c r="P4836">
        <v>0</v>
      </c>
      <c r="Q4836">
        <v>0</v>
      </c>
    </row>
    <row r="4837" spans="1:17" x14ac:dyDescent="0.2">
      <c r="A4837" s="121">
        <v>40847</v>
      </c>
      <c r="B4837" t="s">
        <v>406</v>
      </c>
      <c r="C4837" t="s">
        <v>574</v>
      </c>
      <c r="D4837" t="s">
        <v>575</v>
      </c>
      <c r="E4837" t="s">
        <v>576</v>
      </c>
      <c r="F4837" t="s">
        <v>413</v>
      </c>
      <c r="G4837">
        <v>648</v>
      </c>
      <c r="H4837">
        <v>648</v>
      </c>
      <c r="I4837">
        <v>643</v>
      </c>
      <c r="J4837">
        <v>643</v>
      </c>
      <c r="K4837">
        <v>160</v>
      </c>
      <c r="L4837">
        <v>0</v>
      </c>
      <c r="M4837">
        <v>464</v>
      </c>
      <c r="N4837">
        <v>0</v>
      </c>
      <c r="O4837">
        <v>24</v>
      </c>
      <c r="P4837">
        <v>0</v>
      </c>
      <c r="Q4837">
        <v>0</v>
      </c>
    </row>
    <row r="4838" spans="1:17" x14ac:dyDescent="0.2">
      <c r="A4838" s="121">
        <v>40847</v>
      </c>
      <c r="B4838" t="s">
        <v>406</v>
      </c>
      <c r="C4838" t="s">
        <v>577</v>
      </c>
      <c r="D4838" t="s">
        <v>578</v>
      </c>
      <c r="E4838" t="s">
        <v>579</v>
      </c>
      <c r="F4838" t="s">
        <v>413</v>
      </c>
      <c r="G4838">
        <v>4217</v>
      </c>
      <c r="H4838">
        <v>4217</v>
      </c>
      <c r="I4838">
        <v>4165</v>
      </c>
      <c r="J4838">
        <v>4165</v>
      </c>
      <c r="K4838">
        <v>953</v>
      </c>
      <c r="L4838">
        <v>12</v>
      </c>
      <c r="M4838">
        <v>3009</v>
      </c>
      <c r="N4838">
        <v>241</v>
      </c>
      <c r="O4838">
        <v>2</v>
      </c>
      <c r="P4838">
        <v>0</v>
      </c>
      <c r="Q4838">
        <v>0</v>
      </c>
    </row>
    <row r="4839" spans="1:17" x14ac:dyDescent="0.2">
      <c r="A4839" s="121">
        <v>40847</v>
      </c>
      <c r="B4839" t="s">
        <v>406</v>
      </c>
      <c r="C4839" t="s">
        <v>577</v>
      </c>
      <c r="D4839" t="s">
        <v>580</v>
      </c>
      <c r="E4839" t="s">
        <v>581</v>
      </c>
      <c r="F4839" t="s">
        <v>413</v>
      </c>
      <c r="G4839">
        <v>2104</v>
      </c>
      <c r="H4839">
        <v>2104</v>
      </c>
      <c r="I4839">
        <v>2096</v>
      </c>
      <c r="J4839">
        <v>2096</v>
      </c>
      <c r="K4839">
        <v>329</v>
      </c>
      <c r="L4839">
        <v>0</v>
      </c>
      <c r="M4839">
        <v>1422</v>
      </c>
      <c r="N4839">
        <v>315</v>
      </c>
      <c r="O4839">
        <v>38</v>
      </c>
      <c r="P4839">
        <v>0</v>
      </c>
      <c r="Q4839">
        <v>0</v>
      </c>
    </row>
    <row r="4840" spans="1:17" x14ac:dyDescent="0.2">
      <c r="A4840" s="121">
        <v>40847</v>
      </c>
      <c r="B4840" t="s">
        <v>406</v>
      </c>
      <c r="C4840" t="s">
        <v>577</v>
      </c>
      <c r="D4840" t="s">
        <v>609</v>
      </c>
      <c r="E4840" t="s">
        <v>610</v>
      </c>
      <c r="F4840" t="s">
        <v>410</v>
      </c>
      <c r="G4840">
        <v>32</v>
      </c>
      <c r="H4840">
        <v>32</v>
      </c>
      <c r="I4840">
        <v>32</v>
      </c>
      <c r="J4840">
        <v>32</v>
      </c>
      <c r="K4840">
        <v>0</v>
      </c>
      <c r="L4840">
        <v>0</v>
      </c>
      <c r="M4840">
        <v>29</v>
      </c>
      <c r="N4840">
        <v>2</v>
      </c>
      <c r="O4840">
        <v>1</v>
      </c>
      <c r="P4840">
        <v>0</v>
      </c>
      <c r="Q4840">
        <v>0</v>
      </c>
    </row>
    <row r="4841" spans="1:17" x14ac:dyDescent="0.2">
      <c r="A4841" s="121">
        <v>40847</v>
      </c>
      <c r="B4841" t="s">
        <v>406</v>
      </c>
      <c r="C4841" t="s">
        <v>577</v>
      </c>
      <c r="D4841" t="s">
        <v>611</v>
      </c>
      <c r="E4841" t="s">
        <v>612</v>
      </c>
      <c r="F4841" t="s">
        <v>410</v>
      </c>
      <c r="G4841">
        <v>7</v>
      </c>
      <c r="H4841">
        <v>7</v>
      </c>
      <c r="I4841">
        <v>7</v>
      </c>
      <c r="J4841">
        <v>7</v>
      </c>
      <c r="K4841">
        <v>0</v>
      </c>
      <c r="L4841">
        <v>0</v>
      </c>
      <c r="M4841">
        <v>4</v>
      </c>
      <c r="N4841">
        <v>0</v>
      </c>
      <c r="O4841">
        <v>3</v>
      </c>
      <c r="P4841">
        <v>0</v>
      </c>
      <c r="Q4841">
        <v>0</v>
      </c>
    </row>
    <row r="4842" spans="1:17" x14ac:dyDescent="0.2">
      <c r="A4842" s="121">
        <v>40847</v>
      </c>
      <c r="B4842" t="s">
        <v>406</v>
      </c>
      <c r="C4842" t="s">
        <v>577</v>
      </c>
      <c r="D4842" t="s">
        <v>584</v>
      </c>
      <c r="E4842" t="s">
        <v>585</v>
      </c>
      <c r="F4842" t="s">
        <v>410</v>
      </c>
      <c r="G4842">
        <v>276</v>
      </c>
      <c r="H4842">
        <v>276</v>
      </c>
      <c r="I4842">
        <v>275</v>
      </c>
      <c r="J4842">
        <v>275</v>
      </c>
      <c r="K4842">
        <v>0</v>
      </c>
      <c r="L4842">
        <v>0</v>
      </c>
      <c r="M4842">
        <v>253</v>
      </c>
      <c r="N4842">
        <v>17</v>
      </c>
      <c r="O4842">
        <v>6</v>
      </c>
      <c r="P4842">
        <v>0</v>
      </c>
      <c r="Q4842">
        <v>0</v>
      </c>
    </row>
    <row r="4843" spans="1:17" x14ac:dyDescent="0.2">
      <c r="A4843" s="121">
        <v>40847</v>
      </c>
      <c r="B4843" t="s">
        <v>406</v>
      </c>
      <c r="C4843" t="s">
        <v>577</v>
      </c>
      <c r="D4843" t="s">
        <v>586</v>
      </c>
      <c r="E4843" t="s">
        <v>587</v>
      </c>
      <c r="F4843" t="s">
        <v>410</v>
      </c>
      <c r="G4843">
        <v>1122</v>
      </c>
      <c r="H4843">
        <v>1122</v>
      </c>
      <c r="I4843">
        <v>1122</v>
      </c>
      <c r="J4843">
        <v>1122</v>
      </c>
      <c r="K4843">
        <v>0</v>
      </c>
      <c r="L4843">
        <v>0</v>
      </c>
      <c r="M4843">
        <v>884</v>
      </c>
      <c r="N4843">
        <v>192</v>
      </c>
      <c r="O4843">
        <v>46</v>
      </c>
      <c r="P4843">
        <v>0</v>
      </c>
      <c r="Q4843">
        <v>0</v>
      </c>
    </row>
    <row r="4844" spans="1:17" x14ac:dyDescent="0.2">
      <c r="A4844" s="121">
        <v>40847</v>
      </c>
      <c r="B4844" t="s">
        <v>406</v>
      </c>
      <c r="C4844" t="s">
        <v>577</v>
      </c>
      <c r="D4844" t="s">
        <v>588</v>
      </c>
      <c r="E4844" t="s">
        <v>589</v>
      </c>
      <c r="F4844" t="s">
        <v>410</v>
      </c>
      <c r="G4844">
        <v>231</v>
      </c>
      <c r="H4844">
        <v>231</v>
      </c>
      <c r="I4844">
        <v>231</v>
      </c>
      <c r="J4844">
        <v>231</v>
      </c>
      <c r="K4844">
        <v>0</v>
      </c>
      <c r="L4844">
        <v>0</v>
      </c>
      <c r="M4844">
        <v>184</v>
      </c>
      <c r="N4844">
        <v>21</v>
      </c>
      <c r="O4844">
        <v>26</v>
      </c>
      <c r="P4844">
        <v>0</v>
      </c>
      <c r="Q4844">
        <v>0</v>
      </c>
    </row>
    <row r="4845" spans="1:17" x14ac:dyDescent="0.2">
      <c r="A4845" s="121">
        <v>40847</v>
      </c>
      <c r="B4845" t="s">
        <v>406</v>
      </c>
      <c r="C4845" t="s">
        <v>577</v>
      </c>
      <c r="D4845" t="s">
        <v>613</v>
      </c>
      <c r="E4845" t="s">
        <v>614</v>
      </c>
      <c r="F4845" t="s">
        <v>410</v>
      </c>
      <c r="G4845">
        <v>189</v>
      </c>
      <c r="H4845">
        <v>189</v>
      </c>
      <c r="I4845">
        <v>189</v>
      </c>
      <c r="J4845">
        <v>189</v>
      </c>
      <c r="K4845">
        <v>0</v>
      </c>
      <c r="L4845">
        <v>0</v>
      </c>
      <c r="M4845">
        <v>147</v>
      </c>
      <c r="N4845">
        <v>20</v>
      </c>
      <c r="O4845">
        <v>22</v>
      </c>
      <c r="P4845">
        <v>0</v>
      </c>
      <c r="Q4845">
        <v>0</v>
      </c>
    </row>
    <row r="4846" spans="1:17" x14ac:dyDescent="0.2">
      <c r="A4846" s="121">
        <v>40847</v>
      </c>
      <c r="B4846" t="s">
        <v>406</v>
      </c>
      <c r="C4846" t="s">
        <v>577</v>
      </c>
      <c r="D4846" t="s">
        <v>590</v>
      </c>
      <c r="E4846" t="s">
        <v>591</v>
      </c>
      <c r="F4846" t="s">
        <v>410</v>
      </c>
      <c r="G4846">
        <v>578</v>
      </c>
      <c r="H4846">
        <v>578</v>
      </c>
      <c r="I4846">
        <v>578</v>
      </c>
      <c r="J4846">
        <v>578</v>
      </c>
      <c r="K4846">
        <v>0</v>
      </c>
      <c r="L4846">
        <v>0</v>
      </c>
      <c r="M4846">
        <v>522</v>
      </c>
      <c r="N4846">
        <v>47</v>
      </c>
      <c r="O4846">
        <v>9</v>
      </c>
      <c r="P4846">
        <v>0</v>
      </c>
      <c r="Q4846">
        <v>0</v>
      </c>
    </row>
    <row r="4847" spans="1:17" x14ac:dyDescent="0.2">
      <c r="A4847" s="121">
        <v>40847</v>
      </c>
      <c r="B4847" t="s">
        <v>406</v>
      </c>
      <c r="C4847" t="s">
        <v>577</v>
      </c>
      <c r="D4847" t="s">
        <v>607</v>
      </c>
      <c r="E4847" t="s">
        <v>608</v>
      </c>
      <c r="F4847" t="s">
        <v>410</v>
      </c>
      <c r="G4847">
        <v>211</v>
      </c>
      <c r="H4847">
        <v>211</v>
      </c>
      <c r="I4847">
        <v>211</v>
      </c>
      <c r="J4847">
        <v>211</v>
      </c>
      <c r="K4847">
        <v>0</v>
      </c>
      <c r="L4847">
        <v>0</v>
      </c>
      <c r="M4847">
        <v>196</v>
      </c>
      <c r="N4847">
        <v>13</v>
      </c>
      <c r="O4847">
        <v>2</v>
      </c>
      <c r="P4847">
        <v>0</v>
      </c>
      <c r="Q4847">
        <v>0</v>
      </c>
    </row>
    <row r="4848" spans="1:17" x14ac:dyDescent="0.2">
      <c r="A4848" s="121">
        <v>40847</v>
      </c>
      <c r="B4848" t="s">
        <v>406</v>
      </c>
      <c r="C4848" t="s">
        <v>577</v>
      </c>
      <c r="D4848" t="s">
        <v>592</v>
      </c>
      <c r="E4848" t="s">
        <v>593</v>
      </c>
      <c r="F4848" t="s">
        <v>410</v>
      </c>
      <c r="G4848">
        <v>572</v>
      </c>
      <c r="H4848">
        <v>572</v>
      </c>
      <c r="I4848">
        <v>572</v>
      </c>
      <c r="J4848">
        <v>572</v>
      </c>
      <c r="K4848">
        <v>0</v>
      </c>
      <c r="L4848">
        <v>0</v>
      </c>
      <c r="M4848">
        <v>487</v>
      </c>
      <c r="N4848">
        <v>47</v>
      </c>
      <c r="O4848">
        <v>38</v>
      </c>
      <c r="P4848">
        <v>0</v>
      </c>
      <c r="Q4848">
        <v>0</v>
      </c>
    </row>
    <row r="4849" spans="1:17" x14ac:dyDescent="0.2">
      <c r="A4849" s="121">
        <v>40847</v>
      </c>
      <c r="B4849" t="s">
        <v>406</v>
      </c>
      <c r="C4849" t="s">
        <v>594</v>
      </c>
      <c r="D4849" t="s">
        <v>595</v>
      </c>
      <c r="E4849" t="s">
        <v>596</v>
      </c>
      <c r="F4849" t="s">
        <v>410</v>
      </c>
      <c r="G4849">
        <v>21</v>
      </c>
      <c r="I4849">
        <v>21</v>
      </c>
    </row>
    <row r="4850" spans="1:17" x14ac:dyDescent="0.2">
      <c r="A4850" s="121">
        <v>40847</v>
      </c>
      <c r="B4850" t="s">
        <v>406</v>
      </c>
      <c r="C4850" t="s">
        <v>594</v>
      </c>
      <c r="D4850" t="s">
        <v>597</v>
      </c>
      <c r="E4850" t="s">
        <v>598</v>
      </c>
      <c r="F4850" t="s">
        <v>413</v>
      </c>
      <c r="G4850">
        <v>570</v>
      </c>
      <c r="H4850">
        <v>570</v>
      </c>
      <c r="I4850">
        <v>548</v>
      </c>
      <c r="J4850">
        <v>548</v>
      </c>
      <c r="K4850">
        <v>162</v>
      </c>
      <c r="L4850">
        <v>0</v>
      </c>
      <c r="M4850">
        <v>371</v>
      </c>
      <c r="N4850">
        <v>30</v>
      </c>
      <c r="O4850">
        <v>7</v>
      </c>
      <c r="P4850">
        <v>0</v>
      </c>
      <c r="Q4850">
        <v>0</v>
      </c>
    </row>
    <row r="4851" spans="1:17" x14ac:dyDescent="0.2">
      <c r="A4851" s="121">
        <v>40847</v>
      </c>
      <c r="B4851" t="s">
        <v>406</v>
      </c>
      <c r="C4851" t="s">
        <v>594</v>
      </c>
      <c r="D4851" t="s">
        <v>599</v>
      </c>
      <c r="E4851" t="s">
        <v>600</v>
      </c>
      <c r="F4851" t="s">
        <v>410</v>
      </c>
      <c r="G4851">
        <v>92</v>
      </c>
      <c r="I4851">
        <v>92</v>
      </c>
    </row>
    <row r="4852" spans="1:17" x14ac:dyDescent="0.2">
      <c r="A4852" s="121">
        <v>40877</v>
      </c>
      <c r="B4852" t="s">
        <v>406</v>
      </c>
      <c r="C4852" t="s">
        <v>407</v>
      </c>
      <c r="D4852" t="s">
        <v>408</v>
      </c>
      <c r="E4852" t="s">
        <v>409</v>
      </c>
      <c r="F4852" t="s">
        <v>410</v>
      </c>
      <c r="G4852">
        <v>162</v>
      </c>
      <c r="I4852">
        <v>161</v>
      </c>
    </row>
    <row r="4853" spans="1:17" x14ac:dyDescent="0.2">
      <c r="A4853" s="121">
        <v>40877</v>
      </c>
      <c r="B4853" t="s">
        <v>406</v>
      </c>
      <c r="C4853" t="s">
        <v>407</v>
      </c>
      <c r="D4853" t="s">
        <v>601</v>
      </c>
      <c r="E4853" t="s">
        <v>602</v>
      </c>
      <c r="F4853" t="s">
        <v>410</v>
      </c>
      <c r="G4853">
        <v>45</v>
      </c>
      <c r="I4853">
        <v>45</v>
      </c>
    </row>
    <row r="4854" spans="1:17" x14ac:dyDescent="0.2">
      <c r="A4854" s="121">
        <v>40877</v>
      </c>
      <c r="B4854" t="s">
        <v>406</v>
      </c>
      <c r="C4854" t="s">
        <v>407</v>
      </c>
      <c r="D4854" t="s">
        <v>411</v>
      </c>
      <c r="E4854" t="s">
        <v>412</v>
      </c>
      <c r="F4854" t="s">
        <v>413</v>
      </c>
      <c r="G4854">
        <v>5507</v>
      </c>
      <c r="H4854">
        <v>5507</v>
      </c>
      <c r="I4854">
        <v>5418</v>
      </c>
      <c r="J4854">
        <v>5418</v>
      </c>
      <c r="K4854">
        <v>2234</v>
      </c>
      <c r="L4854">
        <v>5</v>
      </c>
      <c r="M4854">
        <v>2958</v>
      </c>
      <c r="N4854">
        <v>118</v>
      </c>
      <c r="O4854">
        <v>192</v>
      </c>
      <c r="P4854">
        <v>1</v>
      </c>
      <c r="Q4854">
        <v>0</v>
      </c>
    </row>
    <row r="4855" spans="1:17" x14ac:dyDescent="0.2">
      <c r="A4855" s="121">
        <v>40877</v>
      </c>
      <c r="B4855" t="s">
        <v>406</v>
      </c>
      <c r="C4855" t="s">
        <v>407</v>
      </c>
      <c r="D4855" t="s">
        <v>416</v>
      </c>
      <c r="E4855" t="s">
        <v>417</v>
      </c>
      <c r="F4855" t="s">
        <v>413</v>
      </c>
      <c r="G4855">
        <v>3332</v>
      </c>
      <c r="H4855">
        <v>3332</v>
      </c>
      <c r="I4855">
        <v>3214</v>
      </c>
      <c r="J4855">
        <v>3214</v>
      </c>
      <c r="K4855">
        <v>1157</v>
      </c>
      <c r="L4855">
        <v>3</v>
      </c>
      <c r="M4855">
        <v>2014</v>
      </c>
      <c r="N4855">
        <v>95</v>
      </c>
      <c r="O4855">
        <v>63</v>
      </c>
      <c r="P4855">
        <v>4</v>
      </c>
      <c r="Q4855">
        <v>0</v>
      </c>
    </row>
    <row r="4856" spans="1:17" x14ac:dyDescent="0.2">
      <c r="A4856" s="121">
        <v>40877</v>
      </c>
      <c r="B4856" t="s">
        <v>406</v>
      </c>
      <c r="C4856" t="s">
        <v>407</v>
      </c>
      <c r="D4856" t="s">
        <v>618</v>
      </c>
      <c r="E4856" t="s">
        <v>619</v>
      </c>
      <c r="F4856" t="s">
        <v>410</v>
      </c>
      <c r="G4856">
        <v>94</v>
      </c>
      <c r="I4856">
        <v>94</v>
      </c>
    </row>
    <row r="4857" spans="1:17" x14ac:dyDescent="0.2">
      <c r="A4857" s="121">
        <v>40877</v>
      </c>
      <c r="B4857" t="s">
        <v>406</v>
      </c>
      <c r="C4857" t="s">
        <v>418</v>
      </c>
      <c r="D4857" t="s">
        <v>419</v>
      </c>
      <c r="E4857" t="s">
        <v>420</v>
      </c>
      <c r="F4857" t="s">
        <v>410</v>
      </c>
      <c r="G4857">
        <v>12</v>
      </c>
      <c r="I4857">
        <v>12</v>
      </c>
    </row>
    <row r="4858" spans="1:17" x14ac:dyDescent="0.2">
      <c r="A4858" s="121">
        <v>40877</v>
      </c>
      <c r="B4858" t="s">
        <v>406</v>
      </c>
      <c r="C4858" t="s">
        <v>418</v>
      </c>
      <c r="D4858" t="s">
        <v>421</v>
      </c>
      <c r="E4858" t="s">
        <v>422</v>
      </c>
      <c r="F4858" t="s">
        <v>410</v>
      </c>
      <c r="G4858">
        <v>97</v>
      </c>
      <c r="I4858">
        <v>97</v>
      </c>
    </row>
    <row r="4859" spans="1:17" x14ac:dyDescent="0.2">
      <c r="A4859" s="121">
        <v>40877</v>
      </c>
      <c r="B4859" t="s">
        <v>406</v>
      </c>
      <c r="C4859" t="s">
        <v>418</v>
      </c>
      <c r="D4859" t="s">
        <v>423</v>
      </c>
      <c r="E4859" t="s">
        <v>424</v>
      </c>
      <c r="F4859" t="s">
        <v>410</v>
      </c>
      <c r="G4859">
        <v>37</v>
      </c>
      <c r="I4859">
        <v>37</v>
      </c>
    </row>
    <row r="4860" spans="1:17" x14ac:dyDescent="0.2">
      <c r="A4860" s="121">
        <v>40877</v>
      </c>
      <c r="B4860" t="s">
        <v>406</v>
      </c>
      <c r="C4860" t="s">
        <v>418</v>
      </c>
      <c r="D4860" t="s">
        <v>425</v>
      </c>
      <c r="E4860" t="s">
        <v>426</v>
      </c>
      <c r="F4860" t="s">
        <v>410</v>
      </c>
      <c r="G4860">
        <v>100</v>
      </c>
      <c r="I4860">
        <v>100</v>
      </c>
    </row>
    <row r="4861" spans="1:17" x14ac:dyDescent="0.2">
      <c r="A4861" s="121">
        <v>40877</v>
      </c>
      <c r="B4861" t="s">
        <v>406</v>
      </c>
      <c r="C4861" t="s">
        <v>418</v>
      </c>
      <c r="D4861" t="s">
        <v>427</v>
      </c>
      <c r="E4861" t="s">
        <v>428</v>
      </c>
      <c r="F4861" t="s">
        <v>413</v>
      </c>
      <c r="G4861">
        <v>1733</v>
      </c>
      <c r="H4861">
        <v>1733</v>
      </c>
      <c r="I4861">
        <v>1716</v>
      </c>
      <c r="J4861">
        <v>1716</v>
      </c>
      <c r="K4861">
        <v>624</v>
      </c>
      <c r="L4861">
        <v>3</v>
      </c>
      <c r="M4861">
        <v>819</v>
      </c>
      <c r="N4861">
        <v>267</v>
      </c>
      <c r="O4861">
        <v>20</v>
      </c>
      <c r="P4861">
        <v>0</v>
      </c>
      <c r="Q4861">
        <v>0</v>
      </c>
    </row>
    <row r="4862" spans="1:17" x14ac:dyDescent="0.2">
      <c r="A4862" s="121">
        <v>40877</v>
      </c>
      <c r="B4862" t="s">
        <v>406</v>
      </c>
      <c r="C4862" t="s">
        <v>429</v>
      </c>
      <c r="D4862" t="s">
        <v>430</v>
      </c>
      <c r="E4862" t="s">
        <v>431</v>
      </c>
      <c r="F4862" t="s">
        <v>410</v>
      </c>
      <c r="G4862">
        <v>29</v>
      </c>
      <c r="I4862">
        <v>29</v>
      </c>
    </row>
    <row r="4863" spans="1:17" x14ac:dyDescent="0.2">
      <c r="A4863" s="121">
        <v>40877</v>
      </c>
      <c r="B4863" t="s">
        <v>406</v>
      </c>
      <c r="C4863" t="s">
        <v>429</v>
      </c>
      <c r="D4863" t="s">
        <v>432</v>
      </c>
      <c r="E4863" t="s">
        <v>433</v>
      </c>
      <c r="F4863" t="s">
        <v>410</v>
      </c>
      <c r="G4863">
        <v>44</v>
      </c>
      <c r="I4863">
        <v>44</v>
      </c>
    </row>
    <row r="4864" spans="1:17" x14ac:dyDescent="0.2">
      <c r="A4864" s="121">
        <v>40877</v>
      </c>
      <c r="B4864" t="s">
        <v>406</v>
      </c>
      <c r="C4864" t="s">
        <v>429</v>
      </c>
      <c r="D4864" t="s">
        <v>434</v>
      </c>
      <c r="E4864" t="s">
        <v>435</v>
      </c>
      <c r="F4864" t="s">
        <v>410</v>
      </c>
      <c r="G4864">
        <v>1</v>
      </c>
      <c r="I4864">
        <v>1</v>
      </c>
    </row>
    <row r="4865" spans="1:17" x14ac:dyDescent="0.2">
      <c r="A4865" s="121">
        <v>40877</v>
      </c>
      <c r="B4865" t="s">
        <v>406</v>
      </c>
      <c r="C4865" t="s">
        <v>429</v>
      </c>
      <c r="D4865" t="s">
        <v>436</v>
      </c>
      <c r="E4865" t="s">
        <v>437</v>
      </c>
      <c r="F4865" t="s">
        <v>410</v>
      </c>
      <c r="G4865">
        <v>38</v>
      </c>
      <c r="I4865">
        <v>38</v>
      </c>
    </row>
    <row r="4866" spans="1:17" x14ac:dyDescent="0.2">
      <c r="A4866" s="121">
        <v>40877</v>
      </c>
      <c r="B4866" t="s">
        <v>406</v>
      </c>
      <c r="C4866" t="s">
        <v>429</v>
      </c>
      <c r="D4866" t="s">
        <v>438</v>
      </c>
      <c r="E4866" t="s">
        <v>439</v>
      </c>
      <c r="F4866" t="s">
        <v>413</v>
      </c>
      <c r="G4866">
        <v>830</v>
      </c>
      <c r="H4866">
        <v>830</v>
      </c>
      <c r="I4866">
        <v>816</v>
      </c>
      <c r="J4866">
        <v>816</v>
      </c>
      <c r="K4866">
        <v>110</v>
      </c>
      <c r="L4866">
        <v>3</v>
      </c>
      <c r="M4866">
        <v>694</v>
      </c>
      <c r="N4866">
        <v>23</v>
      </c>
      <c r="O4866">
        <v>0</v>
      </c>
      <c r="P4866">
        <v>3</v>
      </c>
      <c r="Q4866">
        <v>0</v>
      </c>
    </row>
    <row r="4867" spans="1:17" x14ac:dyDescent="0.2">
      <c r="A4867" s="121">
        <v>40877</v>
      </c>
      <c r="B4867" t="s">
        <v>406</v>
      </c>
      <c r="C4867" t="s">
        <v>429</v>
      </c>
      <c r="D4867" t="s">
        <v>440</v>
      </c>
      <c r="E4867" t="s">
        <v>441</v>
      </c>
      <c r="F4867" t="s">
        <v>413</v>
      </c>
      <c r="G4867">
        <v>2553</v>
      </c>
      <c r="H4867">
        <v>2553</v>
      </c>
      <c r="I4867">
        <v>2449</v>
      </c>
      <c r="J4867">
        <v>2449</v>
      </c>
      <c r="K4867">
        <v>846</v>
      </c>
      <c r="L4867">
        <v>6</v>
      </c>
      <c r="M4867">
        <v>1650</v>
      </c>
      <c r="N4867">
        <v>51</v>
      </c>
      <c r="O4867">
        <v>0</v>
      </c>
      <c r="P4867">
        <v>1</v>
      </c>
      <c r="Q4867">
        <v>0</v>
      </c>
    </row>
    <row r="4868" spans="1:17" x14ac:dyDescent="0.2">
      <c r="A4868" s="121">
        <v>40877</v>
      </c>
      <c r="B4868" t="s">
        <v>406</v>
      </c>
      <c r="C4868" t="s">
        <v>442</v>
      </c>
      <c r="D4868" t="s">
        <v>443</v>
      </c>
      <c r="E4868" t="s">
        <v>444</v>
      </c>
      <c r="F4868" t="s">
        <v>413</v>
      </c>
      <c r="G4868">
        <v>2370</v>
      </c>
      <c r="H4868">
        <v>2370</v>
      </c>
      <c r="I4868">
        <v>2241</v>
      </c>
      <c r="J4868">
        <v>2241</v>
      </c>
      <c r="K4868">
        <v>292</v>
      </c>
      <c r="L4868">
        <v>5</v>
      </c>
      <c r="M4868">
        <v>1774</v>
      </c>
      <c r="N4868">
        <v>146</v>
      </c>
      <c r="O4868">
        <v>153</v>
      </c>
      <c r="P4868">
        <v>7</v>
      </c>
      <c r="Q4868">
        <v>0</v>
      </c>
    </row>
    <row r="4869" spans="1:17" x14ac:dyDescent="0.2">
      <c r="A4869" s="121">
        <v>40877</v>
      </c>
      <c r="B4869" t="s">
        <v>406</v>
      </c>
      <c r="C4869" t="s">
        <v>442</v>
      </c>
      <c r="D4869" t="s">
        <v>445</v>
      </c>
      <c r="E4869" t="s">
        <v>446</v>
      </c>
      <c r="F4869" t="s">
        <v>410</v>
      </c>
      <c r="G4869">
        <v>116</v>
      </c>
      <c r="I4869">
        <v>116</v>
      </c>
    </row>
    <row r="4870" spans="1:17" x14ac:dyDescent="0.2">
      <c r="A4870" s="121">
        <v>40877</v>
      </c>
      <c r="B4870" t="s">
        <v>406</v>
      </c>
      <c r="C4870" t="s">
        <v>442</v>
      </c>
      <c r="D4870" t="s">
        <v>447</v>
      </c>
      <c r="E4870" t="s">
        <v>448</v>
      </c>
      <c r="F4870" t="s">
        <v>410</v>
      </c>
      <c r="G4870">
        <v>403</v>
      </c>
      <c r="I4870">
        <v>403</v>
      </c>
    </row>
    <row r="4871" spans="1:17" x14ac:dyDescent="0.2">
      <c r="A4871" s="121">
        <v>40877</v>
      </c>
      <c r="B4871" t="s">
        <v>406</v>
      </c>
      <c r="C4871" t="s">
        <v>442</v>
      </c>
      <c r="D4871" t="s">
        <v>449</v>
      </c>
      <c r="E4871" t="s">
        <v>450</v>
      </c>
      <c r="F4871" t="s">
        <v>413</v>
      </c>
      <c r="G4871">
        <v>3938</v>
      </c>
      <c r="H4871">
        <v>3938</v>
      </c>
      <c r="I4871">
        <v>3557</v>
      </c>
      <c r="J4871">
        <v>3557</v>
      </c>
      <c r="K4871">
        <v>917</v>
      </c>
      <c r="L4871">
        <v>16</v>
      </c>
      <c r="M4871">
        <v>2835</v>
      </c>
      <c r="N4871">
        <v>124</v>
      </c>
      <c r="O4871">
        <v>46</v>
      </c>
      <c r="P4871">
        <v>59</v>
      </c>
      <c r="Q4871">
        <v>20</v>
      </c>
    </row>
    <row r="4872" spans="1:17" x14ac:dyDescent="0.2">
      <c r="A4872" s="121">
        <v>40877</v>
      </c>
      <c r="B4872" t="s">
        <v>406</v>
      </c>
      <c r="C4872" t="s">
        <v>451</v>
      </c>
      <c r="D4872" t="s">
        <v>454</v>
      </c>
      <c r="E4872" t="s">
        <v>621</v>
      </c>
      <c r="F4872" t="s">
        <v>410</v>
      </c>
      <c r="G4872">
        <v>1005</v>
      </c>
      <c r="H4872">
        <v>1005</v>
      </c>
      <c r="I4872">
        <v>1005</v>
      </c>
      <c r="J4872">
        <v>1005</v>
      </c>
      <c r="K4872">
        <v>1</v>
      </c>
      <c r="L4872">
        <v>0</v>
      </c>
      <c r="M4872">
        <v>795</v>
      </c>
      <c r="N4872">
        <v>103</v>
      </c>
      <c r="O4872">
        <v>106</v>
      </c>
      <c r="P4872">
        <v>0</v>
      </c>
      <c r="Q4872">
        <v>0</v>
      </c>
    </row>
    <row r="4873" spans="1:17" x14ac:dyDescent="0.2">
      <c r="A4873" s="121">
        <v>40877</v>
      </c>
      <c r="B4873" t="s">
        <v>406</v>
      </c>
      <c r="C4873" t="s">
        <v>451</v>
      </c>
      <c r="D4873" t="s">
        <v>622</v>
      </c>
      <c r="E4873" t="s">
        <v>623</v>
      </c>
      <c r="F4873" t="s">
        <v>413</v>
      </c>
      <c r="G4873">
        <v>4616</v>
      </c>
      <c r="H4873">
        <v>4616</v>
      </c>
      <c r="I4873">
        <v>4473</v>
      </c>
      <c r="J4873">
        <v>4473</v>
      </c>
      <c r="K4873">
        <v>1152</v>
      </c>
      <c r="L4873">
        <v>7</v>
      </c>
      <c r="M4873">
        <v>2681</v>
      </c>
      <c r="N4873">
        <v>411</v>
      </c>
      <c r="O4873">
        <v>365</v>
      </c>
      <c r="P4873">
        <v>1</v>
      </c>
      <c r="Q4873">
        <v>0</v>
      </c>
    </row>
    <row r="4874" spans="1:17" x14ac:dyDescent="0.2">
      <c r="A4874" s="121">
        <v>40877</v>
      </c>
      <c r="B4874" t="s">
        <v>406</v>
      </c>
      <c r="C4874" t="s">
        <v>456</v>
      </c>
      <c r="D4874" t="s">
        <v>457</v>
      </c>
      <c r="E4874" t="s">
        <v>458</v>
      </c>
      <c r="F4874" t="s">
        <v>413</v>
      </c>
      <c r="G4874">
        <v>5145</v>
      </c>
      <c r="H4874">
        <v>5145</v>
      </c>
      <c r="I4874">
        <v>4931</v>
      </c>
      <c r="J4874">
        <v>4931</v>
      </c>
      <c r="K4874">
        <v>1264</v>
      </c>
      <c r="L4874">
        <v>21</v>
      </c>
      <c r="M4874">
        <v>3710</v>
      </c>
      <c r="N4874">
        <v>63</v>
      </c>
      <c r="O4874">
        <v>87</v>
      </c>
      <c r="P4874">
        <v>19</v>
      </c>
      <c r="Q4874">
        <v>3</v>
      </c>
    </row>
    <row r="4875" spans="1:17" x14ac:dyDescent="0.2">
      <c r="A4875" s="121">
        <v>40877</v>
      </c>
      <c r="B4875" t="s">
        <v>406</v>
      </c>
      <c r="C4875" t="s">
        <v>456</v>
      </c>
      <c r="D4875" t="s">
        <v>459</v>
      </c>
      <c r="E4875" t="s">
        <v>460</v>
      </c>
      <c r="F4875" t="s">
        <v>413</v>
      </c>
      <c r="G4875">
        <v>1450</v>
      </c>
      <c r="H4875">
        <v>1450</v>
      </c>
      <c r="I4875">
        <v>1443</v>
      </c>
      <c r="J4875">
        <v>1443</v>
      </c>
      <c r="K4875">
        <v>460</v>
      </c>
      <c r="L4875">
        <v>1</v>
      </c>
      <c r="M4875">
        <v>983</v>
      </c>
      <c r="N4875">
        <v>6</v>
      </c>
      <c r="O4875">
        <v>0</v>
      </c>
      <c r="P4875">
        <v>0</v>
      </c>
      <c r="Q4875">
        <v>0</v>
      </c>
    </row>
    <row r="4876" spans="1:17" x14ac:dyDescent="0.2">
      <c r="A4876" s="121">
        <v>40877</v>
      </c>
      <c r="B4876" t="s">
        <v>406</v>
      </c>
      <c r="C4876" t="s">
        <v>456</v>
      </c>
      <c r="D4876" t="s">
        <v>461</v>
      </c>
      <c r="E4876" t="s">
        <v>462</v>
      </c>
      <c r="F4876" t="s">
        <v>410</v>
      </c>
      <c r="G4876">
        <v>55</v>
      </c>
      <c r="I4876">
        <v>55</v>
      </c>
    </row>
    <row r="4877" spans="1:17" x14ac:dyDescent="0.2">
      <c r="A4877" s="121">
        <v>40877</v>
      </c>
      <c r="B4877" t="s">
        <v>406</v>
      </c>
      <c r="C4877" t="s">
        <v>456</v>
      </c>
      <c r="D4877" t="s">
        <v>463</v>
      </c>
      <c r="E4877" t="s">
        <v>464</v>
      </c>
      <c r="F4877" t="s">
        <v>410</v>
      </c>
      <c r="G4877">
        <v>24</v>
      </c>
      <c r="I4877">
        <v>24</v>
      </c>
    </row>
    <row r="4878" spans="1:17" x14ac:dyDescent="0.2">
      <c r="A4878" s="121">
        <v>40877</v>
      </c>
      <c r="B4878" t="s">
        <v>406</v>
      </c>
      <c r="C4878" t="s">
        <v>456</v>
      </c>
      <c r="D4878" t="s">
        <v>465</v>
      </c>
      <c r="E4878" t="s">
        <v>466</v>
      </c>
      <c r="F4878" t="s">
        <v>410</v>
      </c>
      <c r="G4878">
        <v>38</v>
      </c>
      <c r="I4878">
        <v>38</v>
      </c>
    </row>
    <row r="4879" spans="1:17" x14ac:dyDescent="0.2">
      <c r="A4879" s="121">
        <v>40877</v>
      </c>
      <c r="B4879" t="s">
        <v>406</v>
      </c>
      <c r="C4879" t="s">
        <v>456</v>
      </c>
      <c r="D4879" t="s">
        <v>467</v>
      </c>
      <c r="E4879" t="s">
        <v>468</v>
      </c>
      <c r="F4879" t="s">
        <v>410</v>
      </c>
      <c r="G4879">
        <v>993</v>
      </c>
      <c r="I4879">
        <v>993</v>
      </c>
    </row>
    <row r="4880" spans="1:17" x14ac:dyDescent="0.2">
      <c r="A4880" s="121">
        <v>40877</v>
      </c>
      <c r="B4880" t="s">
        <v>406</v>
      </c>
      <c r="C4880" t="s">
        <v>456</v>
      </c>
      <c r="D4880" t="s">
        <v>469</v>
      </c>
      <c r="E4880" t="s">
        <v>470</v>
      </c>
      <c r="F4880" t="s">
        <v>410</v>
      </c>
      <c r="G4880">
        <v>865</v>
      </c>
      <c r="I4880">
        <v>865</v>
      </c>
    </row>
    <row r="4881" spans="1:17" x14ac:dyDescent="0.2">
      <c r="A4881" s="121">
        <v>40877</v>
      </c>
      <c r="B4881" t="s">
        <v>406</v>
      </c>
      <c r="C4881" t="s">
        <v>456</v>
      </c>
      <c r="D4881" t="s">
        <v>471</v>
      </c>
      <c r="E4881" t="s">
        <v>472</v>
      </c>
      <c r="F4881" t="s">
        <v>410</v>
      </c>
      <c r="G4881">
        <v>269</v>
      </c>
      <c r="I4881">
        <v>269</v>
      </c>
    </row>
    <row r="4882" spans="1:17" x14ac:dyDescent="0.2">
      <c r="A4882" s="121">
        <v>40877</v>
      </c>
      <c r="B4882" t="s">
        <v>406</v>
      </c>
      <c r="C4882" t="s">
        <v>456</v>
      </c>
      <c r="D4882" t="s">
        <v>473</v>
      </c>
      <c r="E4882" t="s">
        <v>474</v>
      </c>
      <c r="F4882" t="s">
        <v>410</v>
      </c>
      <c r="G4882">
        <v>170</v>
      </c>
      <c r="I4882">
        <v>170</v>
      </c>
    </row>
    <row r="4883" spans="1:17" x14ac:dyDescent="0.2">
      <c r="A4883" s="121">
        <v>40877</v>
      </c>
      <c r="B4883" t="s">
        <v>406</v>
      </c>
      <c r="C4883" t="s">
        <v>456</v>
      </c>
      <c r="D4883" t="s">
        <v>475</v>
      </c>
      <c r="E4883" t="s">
        <v>476</v>
      </c>
      <c r="F4883" t="s">
        <v>410</v>
      </c>
      <c r="G4883">
        <v>277</v>
      </c>
      <c r="I4883">
        <v>277</v>
      </c>
    </row>
    <row r="4884" spans="1:17" x14ac:dyDescent="0.2">
      <c r="A4884" s="121">
        <v>40877</v>
      </c>
      <c r="B4884" t="s">
        <v>406</v>
      </c>
      <c r="C4884" t="s">
        <v>456</v>
      </c>
      <c r="D4884" t="s">
        <v>477</v>
      </c>
      <c r="E4884" t="s">
        <v>478</v>
      </c>
      <c r="F4884" t="s">
        <v>413</v>
      </c>
      <c r="G4884">
        <v>1820</v>
      </c>
      <c r="H4884">
        <v>1820</v>
      </c>
      <c r="I4884">
        <v>1750</v>
      </c>
      <c r="J4884">
        <v>1750</v>
      </c>
      <c r="K4884">
        <v>459</v>
      </c>
      <c r="L4884">
        <v>3</v>
      </c>
      <c r="M4884">
        <v>1332</v>
      </c>
      <c r="N4884">
        <v>16</v>
      </c>
      <c r="O4884">
        <v>10</v>
      </c>
      <c r="P4884">
        <v>4</v>
      </c>
      <c r="Q4884">
        <v>1</v>
      </c>
    </row>
    <row r="4885" spans="1:17" x14ac:dyDescent="0.2">
      <c r="A4885" s="121">
        <v>40877</v>
      </c>
      <c r="B4885" t="s">
        <v>406</v>
      </c>
      <c r="C4885" t="s">
        <v>456</v>
      </c>
      <c r="D4885" t="s">
        <v>479</v>
      </c>
      <c r="E4885" t="s">
        <v>480</v>
      </c>
      <c r="F4885" t="s">
        <v>410</v>
      </c>
      <c r="G4885">
        <v>90</v>
      </c>
      <c r="I4885">
        <v>90</v>
      </c>
    </row>
    <row r="4886" spans="1:17" x14ac:dyDescent="0.2">
      <c r="A4886" s="121">
        <v>40877</v>
      </c>
      <c r="B4886" t="s">
        <v>406</v>
      </c>
      <c r="C4886" t="s">
        <v>456</v>
      </c>
      <c r="D4886" t="s">
        <v>481</v>
      </c>
      <c r="E4886" t="s">
        <v>482</v>
      </c>
      <c r="F4886" t="s">
        <v>410</v>
      </c>
      <c r="G4886">
        <v>35</v>
      </c>
      <c r="I4886">
        <v>35</v>
      </c>
    </row>
    <row r="4887" spans="1:17" x14ac:dyDescent="0.2">
      <c r="A4887" s="121">
        <v>40877</v>
      </c>
      <c r="B4887" t="s">
        <v>406</v>
      </c>
      <c r="C4887" t="s">
        <v>456</v>
      </c>
      <c r="D4887" t="s">
        <v>483</v>
      </c>
      <c r="E4887" t="s">
        <v>484</v>
      </c>
      <c r="F4887" t="s">
        <v>410</v>
      </c>
      <c r="G4887">
        <v>104</v>
      </c>
      <c r="I4887">
        <v>104</v>
      </c>
    </row>
    <row r="4888" spans="1:17" x14ac:dyDescent="0.2">
      <c r="A4888" s="121">
        <v>40877</v>
      </c>
      <c r="B4888" t="s">
        <v>406</v>
      </c>
      <c r="C4888" t="s">
        <v>456</v>
      </c>
      <c r="D4888" t="s">
        <v>485</v>
      </c>
      <c r="E4888" t="s">
        <v>486</v>
      </c>
      <c r="F4888" t="s">
        <v>410</v>
      </c>
      <c r="G4888">
        <v>34</v>
      </c>
      <c r="I4888">
        <v>34</v>
      </c>
    </row>
    <row r="4889" spans="1:17" x14ac:dyDescent="0.2">
      <c r="A4889" s="121">
        <v>40877</v>
      </c>
      <c r="B4889" t="s">
        <v>406</v>
      </c>
      <c r="C4889" t="s">
        <v>456</v>
      </c>
      <c r="D4889" t="s">
        <v>487</v>
      </c>
      <c r="E4889" t="s">
        <v>488</v>
      </c>
      <c r="F4889" t="s">
        <v>410</v>
      </c>
      <c r="G4889">
        <v>22</v>
      </c>
      <c r="I4889">
        <v>22</v>
      </c>
    </row>
    <row r="4890" spans="1:17" x14ac:dyDescent="0.2">
      <c r="A4890" s="121">
        <v>40877</v>
      </c>
      <c r="B4890" t="s">
        <v>406</v>
      </c>
      <c r="C4890" t="s">
        <v>456</v>
      </c>
      <c r="D4890" t="s">
        <v>489</v>
      </c>
      <c r="E4890" t="s">
        <v>490</v>
      </c>
      <c r="F4890" t="s">
        <v>410</v>
      </c>
      <c r="G4890">
        <v>82</v>
      </c>
      <c r="H4890">
        <v>82</v>
      </c>
      <c r="I4890">
        <v>82</v>
      </c>
      <c r="J4890">
        <v>82</v>
      </c>
      <c r="K4890">
        <v>0</v>
      </c>
      <c r="L4890">
        <v>0</v>
      </c>
      <c r="M4890">
        <v>75</v>
      </c>
      <c r="N4890">
        <v>6</v>
      </c>
      <c r="O4890">
        <v>1</v>
      </c>
      <c r="P4890">
        <v>0</v>
      </c>
      <c r="Q4890">
        <v>0</v>
      </c>
    </row>
    <row r="4891" spans="1:17" x14ac:dyDescent="0.2">
      <c r="A4891" s="121">
        <v>40877</v>
      </c>
      <c r="B4891" t="s">
        <v>406</v>
      </c>
      <c r="C4891" t="s">
        <v>491</v>
      </c>
      <c r="D4891" t="s">
        <v>492</v>
      </c>
      <c r="E4891" t="s">
        <v>493</v>
      </c>
      <c r="F4891" t="s">
        <v>410</v>
      </c>
      <c r="G4891">
        <v>1189</v>
      </c>
      <c r="H4891">
        <v>1189</v>
      </c>
      <c r="I4891">
        <v>1158</v>
      </c>
      <c r="J4891">
        <v>1158</v>
      </c>
      <c r="K4891">
        <v>216</v>
      </c>
      <c r="L4891">
        <v>0</v>
      </c>
      <c r="M4891">
        <v>0</v>
      </c>
      <c r="N4891">
        <v>23</v>
      </c>
      <c r="O4891">
        <v>950</v>
      </c>
      <c r="P4891">
        <v>1</v>
      </c>
      <c r="Q4891">
        <v>0</v>
      </c>
    </row>
    <row r="4892" spans="1:17" x14ac:dyDescent="0.2">
      <c r="A4892" s="121">
        <v>40877</v>
      </c>
      <c r="B4892" t="s">
        <v>406</v>
      </c>
      <c r="C4892" t="s">
        <v>491</v>
      </c>
      <c r="D4892" t="s">
        <v>494</v>
      </c>
      <c r="E4892" t="s">
        <v>495</v>
      </c>
      <c r="F4892" t="s">
        <v>413</v>
      </c>
      <c r="G4892">
        <v>2424</v>
      </c>
      <c r="H4892">
        <v>2424</v>
      </c>
      <c r="I4892">
        <v>2327</v>
      </c>
      <c r="J4892">
        <v>2327</v>
      </c>
      <c r="K4892">
        <v>646</v>
      </c>
      <c r="L4892">
        <v>13</v>
      </c>
      <c r="M4892">
        <v>1628</v>
      </c>
      <c r="N4892">
        <v>33</v>
      </c>
      <c r="O4892">
        <v>104</v>
      </c>
      <c r="P4892">
        <v>1</v>
      </c>
      <c r="Q4892">
        <v>0</v>
      </c>
    </row>
    <row r="4893" spans="1:17" x14ac:dyDescent="0.2">
      <c r="A4893" s="121">
        <v>40877</v>
      </c>
      <c r="B4893" t="s">
        <v>406</v>
      </c>
      <c r="C4893" t="s">
        <v>491</v>
      </c>
      <c r="D4893" t="s">
        <v>496</v>
      </c>
      <c r="E4893" t="s">
        <v>497</v>
      </c>
      <c r="F4893" t="s">
        <v>413</v>
      </c>
      <c r="G4893">
        <v>6025</v>
      </c>
      <c r="H4893">
        <v>6025</v>
      </c>
      <c r="I4893">
        <v>5647</v>
      </c>
      <c r="J4893">
        <v>5647</v>
      </c>
      <c r="K4893">
        <v>757</v>
      </c>
      <c r="L4893">
        <v>0</v>
      </c>
      <c r="M4893">
        <v>25</v>
      </c>
      <c r="N4893">
        <v>64</v>
      </c>
      <c r="O4893">
        <v>5179</v>
      </c>
      <c r="P4893">
        <v>9</v>
      </c>
      <c r="Q4893">
        <v>0</v>
      </c>
    </row>
    <row r="4894" spans="1:17" x14ac:dyDescent="0.2">
      <c r="A4894" s="121">
        <v>40877</v>
      </c>
      <c r="B4894" t="s">
        <v>406</v>
      </c>
      <c r="C4894" t="s">
        <v>491</v>
      </c>
      <c r="D4894" t="s">
        <v>498</v>
      </c>
      <c r="E4894" t="s">
        <v>499</v>
      </c>
      <c r="F4894" t="s">
        <v>413</v>
      </c>
      <c r="G4894">
        <v>6929</v>
      </c>
      <c r="H4894">
        <v>6929</v>
      </c>
      <c r="I4894">
        <v>6721</v>
      </c>
      <c r="J4894">
        <v>6721</v>
      </c>
      <c r="K4894">
        <v>1966</v>
      </c>
      <c r="L4894">
        <v>15</v>
      </c>
      <c r="M4894">
        <v>4540</v>
      </c>
      <c r="N4894">
        <v>160</v>
      </c>
      <c r="O4894">
        <v>248</v>
      </c>
      <c r="P4894">
        <v>2</v>
      </c>
      <c r="Q4894">
        <v>0</v>
      </c>
    </row>
    <row r="4895" spans="1:17" x14ac:dyDescent="0.2">
      <c r="A4895" s="121">
        <v>40877</v>
      </c>
      <c r="B4895" t="s">
        <v>406</v>
      </c>
      <c r="C4895" t="s">
        <v>491</v>
      </c>
      <c r="D4895" t="s">
        <v>500</v>
      </c>
      <c r="E4895" t="s">
        <v>620</v>
      </c>
      <c r="F4895" t="s">
        <v>410</v>
      </c>
      <c r="G4895">
        <v>1223</v>
      </c>
      <c r="H4895">
        <v>1223</v>
      </c>
      <c r="I4895">
        <v>1223</v>
      </c>
      <c r="J4895">
        <v>1223</v>
      </c>
      <c r="K4895">
        <v>3</v>
      </c>
      <c r="L4895">
        <v>0</v>
      </c>
      <c r="M4895">
        <v>1107</v>
      </c>
      <c r="N4895">
        <v>17</v>
      </c>
      <c r="O4895">
        <v>96</v>
      </c>
      <c r="P4895">
        <v>0</v>
      </c>
      <c r="Q4895">
        <v>0</v>
      </c>
    </row>
    <row r="4896" spans="1:17" x14ac:dyDescent="0.2">
      <c r="A4896" s="121">
        <v>40877</v>
      </c>
      <c r="B4896" t="s">
        <v>406</v>
      </c>
      <c r="C4896" t="s">
        <v>491</v>
      </c>
      <c r="D4896" t="s">
        <v>502</v>
      </c>
      <c r="E4896" t="s">
        <v>615</v>
      </c>
      <c r="F4896" t="s">
        <v>410</v>
      </c>
      <c r="G4896">
        <v>1411</v>
      </c>
      <c r="H4896">
        <v>1411</v>
      </c>
      <c r="I4896">
        <v>1411</v>
      </c>
      <c r="J4896">
        <v>1411</v>
      </c>
      <c r="K4896">
        <v>0</v>
      </c>
      <c r="L4896">
        <v>4</v>
      </c>
      <c r="M4896">
        <v>1390</v>
      </c>
      <c r="N4896">
        <v>2</v>
      </c>
      <c r="O4896">
        <v>15</v>
      </c>
      <c r="P4896">
        <v>0</v>
      </c>
      <c r="Q4896">
        <v>0</v>
      </c>
    </row>
    <row r="4897" spans="1:17" x14ac:dyDescent="0.2">
      <c r="A4897" s="121">
        <v>40877</v>
      </c>
      <c r="B4897" t="s">
        <v>406</v>
      </c>
      <c r="C4897" t="s">
        <v>491</v>
      </c>
      <c r="D4897" t="s">
        <v>502</v>
      </c>
      <c r="E4897" t="s">
        <v>503</v>
      </c>
      <c r="F4897" t="s">
        <v>413</v>
      </c>
      <c r="G4897">
        <v>4970</v>
      </c>
      <c r="H4897">
        <v>4970</v>
      </c>
      <c r="I4897">
        <v>4663</v>
      </c>
      <c r="J4897">
        <v>4663</v>
      </c>
      <c r="K4897">
        <v>1551</v>
      </c>
      <c r="L4897">
        <v>8</v>
      </c>
      <c r="M4897">
        <v>3249</v>
      </c>
      <c r="N4897">
        <v>104</v>
      </c>
      <c r="O4897">
        <v>58</v>
      </c>
      <c r="P4897">
        <v>9</v>
      </c>
      <c r="Q4897">
        <v>0</v>
      </c>
    </row>
    <row r="4898" spans="1:17" x14ac:dyDescent="0.2">
      <c r="A4898" s="121">
        <v>40877</v>
      </c>
      <c r="B4898" t="s">
        <v>406</v>
      </c>
      <c r="C4898" t="s">
        <v>491</v>
      </c>
      <c r="D4898" t="s">
        <v>504</v>
      </c>
      <c r="E4898" t="s">
        <v>505</v>
      </c>
      <c r="F4898" t="s">
        <v>413</v>
      </c>
      <c r="G4898">
        <v>3773</v>
      </c>
      <c r="H4898">
        <v>3773</v>
      </c>
      <c r="I4898">
        <v>3553</v>
      </c>
      <c r="J4898">
        <v>3553</v>
      </c>
      <c r="K4898">
        <v>1041</v>
      </c>
      <c r="L4898">
        <v>2</v>
      </c>
      <c r="M4898">
        <v>2612</v>
      </c>
      <c r="N4898">
        <v>68</v>
      </c>
      <c r="O4898">
        <v>50</v>
      </c>
      <c r="P4898">
        <v>2</v>
      </c>
      <c r="Q4898">
        <v>0</v>
      </c>
    </row>
    <row r="4899" spans="1:17" x14ac:dyDescent="0.2">
      <c r="A4899" s="121">
        <v>40877</v>
      </c>
      <c r="B4899" t="s">
        <v>406</v>
      </c>
      <c r="C4899" t="s">
        <v>491</v>
      </c>
      <c r="D4899" t="s">
        <v>506</v>
      </c>
      <c r="E4899" t="s">
        <v>507</v>
      </c>
      <c r="F4899" t="s">
        <v>413</v>
      </c>
      <c r="G4899">
        <v>3800</v>
      </c>
      <c r="H4899">
        <v>3800</v>
      </c>
      <c r="I4899">
        <v>3699</v>
      </c>
      <c r="J4899">
        <v>3699</v>
      </c>
      <c r="K4899">
        <v>573</v>
      </c>
      <c r="L4899">
        <v>0</v>
      </c>
      <c r="M4899">
        <v>3222</v>
      </c>
      <c r="N4899">
        <v>0</v>
      </c>
      <c r="O4899">
        <v>5</v>
      </c>
      <c r="P4899">
        <v>1</v>
      </c>
      <c r="Q4899">
        <v>0</v>
      </c>
    </row>
    <row r="4900" spans="1:17" x14ac:dyDescent="0.2">
      <c r="A4900" s="121">
        <v>40877</v>
      </c>
      <c r="B4900" t="s">
        <v>406</v>
      </c>
      <c r="C4900" t="s">
        <v>491</v>
      </c>
      <c r="D4900" t="s">
        <v>508</v>
      </c>
      <c r="E4900" t="s">
        <v>509</v>
      </c>
      <c r="F4900" t="s">
        <v>413</v>
      </c>
      <c r="G4900">
        <v>4818</v>
      </c>
      <c r="H4900">
        <v>4818</v>
      </c>
      <c r="I4900">
        <v>4579</v>
      </c>
      <c r="J4900">
        <v>4579</v>
      </c>
      <c r="K4900">
        <v>1476</v>
      </c>
      <c r="L4900">
        <v>11</v>
      </c>
      <c r="M4900">
        <v>2946</v>
      </c>
      <c r="N4900">
        <v>95</v>
      </c>
      <c r="O4900">
        <v>290</v>
      </c>
      <c r="P4900">
        <v>12</v>
      </c>
      <c r="Q4900">
        <v>0</v>
      </c>
    </row>
    <row r="4901" spans="1:17" x14ac:dyDescent="0.2">
      <c r="A4901" s="121">
        <v>40877</v>
      </c>
      <c r="B4901" t="s">
        <v>406</v>
      </c>
      <c r="C4901" t="s">
        <v>510</v>
      </c>
      <c r="D4901" t="s">
        <v>513</v>
      </c>
      <c r="E4901" t="s">
        <v>514</v>
      </c>
      <c r="F4901" t="s">
        <v>410</v>
      </c>
      <c r="G4901">
        <v>503</v>
      </c>
      <c r="I4901">
        <v>501</v>
      </c>
    </row>
    <row r="4902" spans="1:17" x14ac:dyDescent="0.2">
      <c r="A4902" s="121">
        <v>40877</v>
      </c>
      <c r="B4902" t="s">
        <v>406</v>
      </c>
      <c r="C4902" t="s">
        <v>510</v>
      </c>
      <c r="D4902" t="s">
        <v>515</v>
      </c>
      <c r="E4902" t="s">
        <v>516</v>
      </c>
      <c r="F4902" t="s">
        <v>410</v>
      </c>
      <c r="G4902">
        <v>91</v>
      </c>
      <c r="I4902">
        <v>88</v>
      </c>
    </row>
    <row r="4903" spans="1:17" x14ac:dyDescent="0.2">
      <c r="A4903" s="121">
        <v>40877</v>
      </c>
      <c r="B4903" t="s">
        <v>406</v>
      </c>
      <c r="C4903" t="s">
        <v>510</v>
      </c>
      <c r="D4903" t="s">
        <v>519</v>
      </c>
      <c r="E4903" t="s">
        <v>520</v>
      </c>
      <c r="F4903" t="s">
        <v>410</v>
      </c>
      <c r="G4903">
        <v>301</v>
      </c>
      <c r="I4903">
        <v>297</v>
      </c>
    </row>
    <row r="4904" spans="1:17" x14ac:dyDescent="0.2">
      <c r="A4904" s="121">
        <v>40877</v>
      </c>
      <c r="B4904" t="s">
        <v>406</v>
      </c>
      <c r="C4904" t="s">
        <v>510</v>
      </c>
      <c r="D4904" t="s">
        <v>521</v>
      </c>
      <c r="E4904" t="s">
        <v>522</v>
      </c>
      <c r="F4904" t="s">
        <v>410</v>
      </c>
      <c r="G4904">
        <v>27</v>
      </c>
      <c r="I4904">
        <v>26</v>
      </c>
    </row>
    <row r="4905" spans="1:17" x14ac:dyDescent="0.2">
      <c r="A4905" s="121">
        <v>40877</v>
      </c>
      <c r="B4905" t="s">
        <v>406</v>
      </c>
      <c r="C4905" t="s">
        <v>510</v>
      </c>
      <c r="D4905" t="s">
        <v>523</v>
      </c>
      <c r="E4905" t="s">
        <v>524</v>
      </c>
      <c r="F4905" t="s">
        <v>413</v>
      </c>
      <c r="G4905">
        <v>411</v>
      </c>
      <c r="I4905">
        <v>408</v>
      </c>
    </row>
    <row r="4906" spans="1:17" x14ac:dyDescent="0.2">
      <c r="A4906" s="121">
        <v>40877</v>
      </c>
      <c r="B4906" t="s">
        <v>406</v>
      </c>
      <c r="C4906" t="s">
        <v>510</v>
      </c>
      <c r="D4906" t="s">
        <v>525</v>
      </c>
      <c r="E4906" t="s">
        <v>526</v>
      </c>
      <c r="F4906" t="s">
        <v>410</v>
      </c>
      <c r="G4906">
        <v>378</v>
      </c>
      <c r="I4906">
        <v>372</v>
      </c>
    </row>
    <row r="4907" spans="1:17" x14ac:dyDescent="0.2">
      <c r="A4907" s="121">
        <v>40877</v>
      </c>
      <c r="B4907" t="s">
        <v>406</v>
      </c>
      <c r="C4907" t="s">
        <v>510</v>
      </c>
      <c r="D4907" t="s">
        <v>527</v>
      </c>
      <c r="E4907" t="s">
        <v>528</v>
      </c>
      <c r="F4907" t="s">
        <v>410</v>
      </c>
      <c r="G4907">
        <v>215</v>
      </c>
      <c r="I4907">
        <v>215</v>
      </c>
    </row>
    <row r="4908" spans="1:17" x14ac:dyDescent="0.2">
      <c r="A4908" s="121">
        <v>40877</v>
      </c>
      <c r="B4908" t="s">
        <v>406</v>
      </c>
      <c r="C4908" t="s">
        <v>510</v>
      </c>
      <c r="D4908" t="s">
        <v>529</v>
      </c>
      <c r="E4908" t="s">
        <v>530</v>
      </c>
      <c r="F4908" t="s">
        <v>413</v>
      </c>
      <c r="G4908">
        <v>525</v>
      </c>
      <c r="H4908">
        <v>525</v>
      </c>
      <c r="I4908">
        <v>522</v>
      </c>
      <c r="J4908">
        <v>522</v>
      </c>
      <c r="K4908">
        <v>145</v>
      </c>
      <c r="L4908">
        <v>2</v>
      </c>
      <c r="M4908">
        <v>377</v>
      </c>
      <c r="N4908">
        <v>1</v>
      </c>
      <c r="O4908">
        <v>0</v>
      </c>
      <c r="P4908">
        <v>1</v>
      </c>
      <c r="Q4908">
        <v>0</v>
      </c>
    </row>
    <row r="4909" spans="1:17" x14ac:dyDescent="0.2">
      <c r="A4909" s="121">
        <v>40877</v>
      </c>
      <c r="B4909" t="s">
        <v>406</v>
      </c>
      <c r="C4909" t="s">
        <v>510</v>
      </c>
      <c r="D4909" t="s">
        <v>531</v>
      </c>
      <c r="E4909" t="s">
        <v>532</v>
      </c>
      <c r="F4909" t="s">
        <v>410</v>
      </c>
      <c r="G4909">
        <v>36</v>
      </c>
      <c r="I4909">
        <v>36</v>
      </c>
    </row>
    <row r="4910" spans="1:17" x14ac:dyDescent="0.2">
      <c r="A4910" s="121">
        <v>40877</v>
      </c>
      <c r="B4910" t="s">
        <v>406</v>
      </c>
      <c r="C4910" t="s">
        <v>510</v>
      </c>
      <c r="D4910" t="s">
        <v>533</v>
      </c>
      <c r="E4910" t="s">
        <v>534</v>
      </c>
      <c r="F4910" t="s">
        <v>413</v>
      </c>
      <c r="G4910">
        <v>2351</v>
      </c>
      <c r="H4910">
        <v>2351</v>
      </c>
      <c r="I4910">
        <v>2303</v>
      </c>
      <c r="J4910">
        <v>2303</v>
      </c>
      <c r="K4910">
        <v>535</v>
      </c>
      <c r="L4910">
        <v>1</v>
      </c>
      <c r="M4910">
        <v>1809</v>
      </c>
      <c r="N4910">
        <v>6</v>
      </c>
      <c r="O4910">
        <v>0</v>
      </c>
      <c r="P4910">
        <v>2</v>
      </c>
      <c r="Q4910">
        <v>0</v>
      </c>
    </row>
    <row r="4911" spans="1:17" x14ac:dyDescent="0.2">
      <c r="A4911" s="121">
        <v>40877</v>
      </c>
      <c r="B4911" t="s">
        <v>406</v>
      </c>
      <c r="C4911" t="s">
        <v>510</v>
      </c>
      <c r="D4911" t="s">
        <v>535</v>
      </c>
      <c r="E4911" t="s">
        <v>536</v>
      </c>
      <c r="F4911" t="s">
        <v>410</v>
      </c>
      <c r="G4911">
        <v>286</v>
      </c>
      <c r="I4911">
        <v>286</v>
      </c>
    </row>
    <row r="4912" spans="1:17" x14ac:dyDescent="0.2">
      <c r="A4912" s="121">
        <v>40877</v>
      </c>
      <c r="B4912" t="s">
        <v>406</v>
      </c>
      <c r="C4912" t="s">
        <v>510</v>
      </c>
      <c r="D4912" t="s">
        <v>537</v>
      </c>
      <c r="E4912" t="s">
        <v>538</v>
      </c>
      <c r="F4912" t="s">
        <v>410</v>
      </c>
      <c r="G4912">
        <v>99</v>
      </c>
      <c r="I4912">
        <v>99</v>
      </c>
    </row>
    <row r="4913" spans="1:17" x14ac:dyDescent="0.2">
      <c r="A4913" s="121">
        <v>40877</v>
      </c>
      <c r="B4913" t="s">
        <v>406</v>
      </c>
      <c r="C4913" t="s">
        <v>510</v>
      </c>
      <c r="D4913" t="s">
        <v>539</v>
      </c>
      <c r="E4913" t="s">
        <v>540</v>
      </c>
      <c r="F4913" t="s">
        <v>413</v>
      </c>
      <c r="G4913">
        <v>631</v>
      </c>
      <c r="H4913">
        <v>631</v>
      </c>
      <c r="I4913">
        <v>623</v>
      </c>
      <c r="J4913">
        <v>623</v>
      </c>
      <c r="K4913">
        <v>117</v>
      </c>
      <c r="L4913">
        <v>3</v>
      </c>
      <c r="M4913">
        <v>509</v>
      </c>
      <c r="N4913">
        <v>2</v>
      </c>
      <c r="O4913">
        <v>0</v>
      </c>
      <c r="P4913">
        <v>1</v>
      </c>
      <c r="Q4913">
        <v>0</v>
      </c>
    </row>
    <row r="4914" spans="1:17" x14ac:dyDescent="0.2">
      <c r="A4914" s="121">
        <v>40877</v>
      </c>
      <c r="B4914" t="s">
        <v>406</v>
      </c>
      <c r="C4914" t="s">
        <v>510</v>
      </c>
      <c r="D4914" t="s">
        <v>541</v>
      </c>
      <c r="E4914" t="s">
        <v>542</v>
      </c>
      <c r="F4914" t="s">
        <v>410</v>
      </c>
      <c r="G4914">
        <v>301</v>
      </c>
      <c r="I4914">
        <v>301</v>
      </c>
    </row>
    <row r="4915" spans="1:17" x14ac:dyDescent="0.2">
      <c r="A4915" s="121">
        <v>40877</v>
      </c>
      <c r="B4915" t="s">
        <v>406</v>
      </c>
      <c r="C4915" t="s">
        <v>510</v>
      </c>
      <c r="D4915" t="s">
        <v>543</v>
      </c>
      <c r="E4915" t="s">
        <v>544</v>
      </c>
      <c r="F4915" t="s">
        <v>410</v>
      </c>
      <c r="G4915">
        <v>206</v>
      </c>
      <c r="I4915">
        <v>206</v>
      </c>
    </row>
    <row r="4916" spans="1:17" x14ac:dyDescent="0.2">
      <c r="A4916" s="121">
        <v>40877</v>
      </c>
      <c r="B4916" t="s">
        <v>406</v>
      </c>
      <c r="C4916" t="s">
        <v>510</v>
      </c>
      <c r="D4916" t="s">
        <v>545</v>
      </c>
      <c r="E4916" t="s">
        <v>546</v>
      </c>
      <c r="F4916" t="s">
        <v>410</v>
      </c>
      <c r="G4916">
        <v>146</v>
      </c>
      <c r="I4916">
        <v>146</v>
      </c>
    </row>
    <row r="4917" spans="1:17" x14ac:dyDescent="0.2">
      <c r="A4917" s="121">
        <v>40877</v>
      </c>
      <c r="B4917" t="s">
        <v>406</v>
      </c>
      <c r="C4917" t="s">
        <v>510</v>
      </c>
      <c r="D4917" t="s">
        <v>547</v>
      </c>
      <c r="E4917" t="s">
        <v>548</v>
      </c>
      <c r="F4917" t="s">
        <v>410</v>
      </c>
      <c r="G4917">
        <v>118</v>
      </c>
      <c r="I4917">
        <v>118</v>
      </c>
    </row>
    <row r="4918" spans="1:17" x14ac:dyDescent="0.2">
      <c r="A4918" s="121">
        <v>40877</v>
      </c>
      <c r="B4918" t="s">
        <v>406</v>
      </c>
      <c r="C4918" t="s">
        <v>510</v>
      </c>
      <c r="D4918" t="s">
        <v>616</v>
      </c>
      <c r="E4918" t="s">
        <v>617</v>
      </c>
      <c r="F4918" t="s">
        <v>410</v>
      </c>
      <c r="G4918">
        <v>265</v>
      </c>
      <c r="I4918">
        <v>261</v>
      </c>
    </row>
    <row r="4919" spans="1:17" x14ac:dyDescent="0.2">
      <c r="A4919" s="121">
        <v>40877</v>
      </c>
      <c r="B4919" t="s">
        <v>406</v>
      </c>
      <c r="C4919" t="s">
        <v>510</v>
      </c>
      <c r="D4919" t="s">
        <v>549</v>
      </c>
      <c r="E4919" t="s">
        <v>550</v>
      </c>
      <c r="F4919" t="s">
        <v>410</v>
      </c>
      <c r="G4919">
        <v>127</v>
      </c>
      <c r="I4919">
        <v>126</v>
      </c>
    </row>
    <row r="4920" spans="1:17" x14ac:dyDescent="0.2">
      <c r="A4920" s="121">
        <v>40877</v>
      </c>
      <c r="B4920" t="s">
        <v>406</v>
      </c>
      <c r="C4920" t="s">
        <v>551</v>
      </c>
      <c r="D4920" t="s">
        <v>552</v>
      </c>
      <c r="E4920" t="s">
        <v>553</v>
      </c>
      <c r="F4920" t="s">
        <v>413</v>
      </c>
      <c r="G4920">
        <v>5348</v>
      </c>
      <c r="H4920">
        <v>5348</v>
      </c>
      <c r="I4920">
        <v>5180</v>
      </c>
      <c r="J4920">
        <v>5180</v>
      </c>
      <c r="K4920">
        <v>1624</v>
      </c>
      <c r="L4920">
        <v>11</v>
      </c>
      <c r="M4920">
        <v>3391</v>
      </c>
      <c r="N4920">
        <v>199</v>
      </c>
      <c r="O4920">
        <v>123</v>
      </c>
      <c r="P4920">
        <v>5</v>
      </c>
      <c r="Q4920">
        <v>0</v>
      </c>
    </row>
    <row r="4921" spans="1:17" x14ac:dyDescent="0.2">
      <c r="A4921" s="121">
        <v>40877</v>
      </c>
      <c r="B4921" t="s">
        <v>406</v>
      </c>
      <c r="C4921" t="s">
        <v>551</v>
      </c>
      <c r="D4921" t="s">
        <v>554</v>
      </c>
      <c r="E4921" t="s">
        <v>555</v>
      </c>
      <c r="F4921" t="s">
        <v>410</v>
      </c>
      <c r="G4921">
        <v>52</v>
      </c>
      <c r="I4921">
        <v>52</v>
      </c>
    </row>
    <row r="4922" spans="1:17" x14ac:dyDescent="0.2">
      <c r="A4922" s="121">
        <v>40877</v>
      </c>
      <c r="B4922" t="s">
        <v>406</v>
      </c>
      <c r="C4922" t="s">
        <v>551</v>
      </c>
      <c r="D4922" t="s">
        <v>556</v>
      </c>
      <c r="E4922" t="s">
        <v>557</v>
      </c>
      <c r="F4922" t="s">
        <v>410</v>
      </c>
      <c r="G4922">
        <v>77</v>
      </c>
      <c r="I4922">
        <v>77</v>
      </c>
    </row>
    <row r="4923" spans="1:17" x14ac:dyDescent="0.2">
      <c r="A4923" s="121">
        <v>40877</v>
      </c>
      <c r="B4923" t="s">
        <v>406</v>
      </c>
      <c r="C4923" t="s">
        <v>551</v>
      </c>
      <c r="D4923" t="s">
        <v>558</v>
      </c>
      <c r="E4923" t="s">
        <v>559</v>
      </c>
      <c r="F4923" t="s">
        <v>413</v>
      </c>
      <c r="G4923">
        <v>4461</v>
      </c>
      <c r="H4923">
        <v>4461</v>
      </c>
      <c r="I4923">
        <v>4167</v>
      </c>
      <c r="J4923">
        <v>4167</v>
      </c>
      <c r="K4923">
        <v>1215</v>
      </c>
      <c r="L4923">
        <v>11</v>
      </c>
      <c r="M4923">
        <v>3050</v>
      </c>
      <c r="N4923">
        <v>139</v>
      </c>
      <c r="O4923">
        <v>46</v>
      </c>
      <c r="P4923">
        <v>78</v>
      </c>
      <c r="Q4923">
        <v>12</v>
      </c>
    </row>
    <row r="4924" spans="1:17" x14ac:dyDescent="0.2">
      <c r="A4924" s="121">
        <v>40877</v>
      </c>
      <c r="B4924" t="s">
        <v>406</v>
      </c>
      <c r="C4924" t="s">
        <v>551</v>
      </c>
      <c r="D4924" t="s">
        <v>560</v>
      </c>
      <c r="E4924" t="s">
        <v>561</v>
      </c>
      <c r="F4924" t="s">
        <v>413</v>
      </c>
      <c r="G4924">
        <v>5185</v>
      </c>
      <c r="H4924">
        <v>5185</v>
      </c>
      <c r="I4924">
        <v>5053</v>
      </c>
      <c r="J4924">
        <v>5053</v>
      </c>
      <c r="K4924">
        <v>1267</v>
      </c>
      <c r="L4924">
        <v>9</v>
      </c>
      <c r="M4924">
        <v>3595</v>
      </c>
      <c r="N4924">
        <v>231</v>
      </c>
      <c r="O4924">
        <v>83</v>
      </c>
      <c r="P4924">
        <v>2</v>
      </c>
      <c r="Q4924">
        <v>0</v>
      </c>
    </row>
    <row r="4925" spans="1:17" x14ac:dyDescent="0.2">
      <c r="A4925" s="121">
        <v>40877</v>
      </c>
      <c r="B4925" t="s">
        <v>406</v>
      </c>
      <c r="C4925" t="s">
        <v>562</v>
      </c>
      <c r="D4925" t="s">
        <v>603</v>
      </c>
      <c r="E4925" t="s">
        <v>604</v>
      </c>
      <c r="F4925" t="s">
        <v>410</v>
      </c>
      <c r="G4925">
        <v>10</v>
      </c>
      <c r="I4925">
        <v>10</v>
      </c>
    </row>
    <row r="4926" spans="1:17" x14ac:dyDescent="0.2">
      <c r="A4926" s="121">
        <v>40877</v>
      </c>
      <c r="B4926" t="s">
        <v>406</v>
      </c>
      <c r="C4926" t="s">
        <v>562</v>
      </c>
      <c r="D4926" t="s">
        <v>605</v>
      </c>
      <c r="E4926" t="s">
        <v>606</v>
      </c>
      <c r="F4926" t="s">
        <v>410</v>
      </c>
      <c r="G4926">
        <v>111</v>
      </c>
      <c r="I4926">
        <v>111</v>
      </c>
    </row>
    <row r="4927" spans="1:17" x14ac:dyDescent="0.2">
      <c r="A4927" s="121">
        <v>40877</v>
      </c>
      <c r="B4927" t="s">
        <v>406</v>
      </c>
      <c r="C4927" t="s">
        <v>562</v>
      </c>
      <c r="D4927" t="s">
        <v>563</v>
      </c>
      <c r="E4927" t="s">
        <v>564</v>
      </c>
      <c r="F4927" t="s">
        <v>410</v>
      </c>
      <c r="G4927">
        <v>3158</v>
      </c>
      <c r="H4927">
        <v>3158</v>
      </c>
      <c r="I4927">
        <v>3061</v>
      </c>
      <c r="J4927">
        <v>3061</v>
      </c>
      <c r="K4927">
        <v>1037</v>
      </c>
      <c r="L4927">
        <v>4</v>
      </c>
      <c r="M4927">
        <v>2089</v>
      </c>
      <c r="N4927">
        <v>28</v>
      </c>
      <c r="O4927">
        <v>0</v>
      </c>
      <c r="P4927">
        <v>10</v>
      </c>
      <c r="Q4927">
        <v>7</v>
      </c>
    </row>
    <row r="4928" spans="1:17" x14ac:dyDescent="0.2">
      <c r="A4928" s="121">
        <v>40877</v>
      </c>
      <c r="B4928" t="s">
        <v>406</v>
      </c>
      <c r="C4928" t="s">
        <v>562</v>
      </c>
      <c r="D4928" t="s">
        <v>565</v>
      </c>
      <c r="E4928" t="s">
        <v>566</v>
      </c>
      <c r="F4928" t="s">
        <v>413</v>
      </c>
      <c r="G4928">
        <v>4248</v>
      </c>
      <c r="H4928">
        <v>4248</v>
      </c>
      <c r="I4928">
        <v>4047</v>
      </c>
      <c r="J4928">
        <v>4047</v>
      </c>
      <c r="K4928">
        <v>1152</v>
      </c>
      <c r="L4928">
        <v>5</v>
      </c>
      <c r="M4928">
        <v>2972</v>
      </c>
      <c r="N4928">
        <v>119</v>
      </c>
      <c r="O4928">
        <v>0</v>
      </c>
      <c r="P4928">
        <v>19</v>
      </c>
      <c r="Q4928">
        <v>3</v>
      </c>
    </row>
    <row r="4929" spans="1:17" x14ac:dyDescent="0.2">
      <c r="A4929" s="121">
        <v>40877</v>
      </c>
      <c r="B4929" t="s">
        <v>406</v>
      </c>
      <c r="C4929" t="s">
        <v>562</v>
      </c>
      <c r="D4929" t="s">
        <v>567</v>
      </c>
      <c r="E4929" t="s">
        <v>568</v>
      </c>
      <c r="F4929" t="s">
        <v>413</v>
      </c>
      <c r="G4929">
        <v>9146</v>
      </c>
      <c r="H4929">
        <v>9146</v>
      </c>
      <c r="I4929">
        <v>8418</v>
      </c>
      <c r="J4929">
        <v>8418</v>
      </c>
      <c r="K4929">
        <v>2633</v>
      </c>
      <c r="L4929">
        <v>29</v>
      </c>
      <c r="M4929">
        <v>6115</v>
      </c>
      <c r="N4929">
        <v>369</v>
      </c>
      <c r="O4929">
        <v>0</v>
      </c>
      <c r="P4929">
        <v>73</v>
      </c>
      <c r="Q4929">
        <v>1</v>
      </c>
    </row>
    <row r="4930" spans="1:17" x14ac:dyDescent="0.2">
      <c r="A4930" s="121">
        <v>40877</v>
      </c>
      <c r="B4930" t="s">
        <v>406</v>
      </c>
      <c r="C4930" t="s">
        <v>562</v>
      </c>
      <c r="D4930" t="s">
        <v>569</v>
      </c>
      <c r="E4930" t="s">
        <v>570</v>
      </c>
      <c r="F4930" t="s">
        <v>413</v>
      </c>
      <c r="G4930">
        <v>3442</v>
      </c>
      <c r="H4930">
        <v>3442</v>
      </c>
      <c r="I4930">
        <v>3396</v>
      </c>
      <c r="J4930">
        <v>3396</v>
      </c>
      <c r="K4930">
        <v>441</v>
      </c>
      <c r="L4930">
        <v>1</v>
      </c>
      <c r="M4930">
        <v>3000</v>
      </c>
      <c r="N4930">
        <v>0</v>
      </c>
      <c r="O4930">
        <v>0</v>
      </c>
      <c r="P4930">
        <v>1</v>
      </c>
      <c r="Q4930">
        <v>0</v>
      </c>
    </row>
    <row r="4931" spans="1:17" x14ac:dyDescent="0.2">
      <c r="A4931" s="121">
        <v>40877</v>
      </c>
      <c r="B4931" t="s">
        <v>406</v>
      </c>
      <c r="C4931" t="s">
        <v>571</v>
      </c>
      <c r="D4931" t="s">
        <v>572</v>
      </c>
      <c r="E4931" t="s">
        <v>573</v>
      </c>
      <c r="F4931" t="s">
        <v>410</v>
      </c>
      <c r="G4931">
        <v>167</v>
      </c>
      <c r="H4931">
        <v>167</v>
      </c>
      <c r="I4931">
        <v>163</v>
      </c>
      <c r="J4931">
        <v>163</v>
      </c>
      <c r="K4931">
        <v>3</v>
      </c>
      <c r="L4931">
        <v>0</v>
      </c>
      <c r="M4931">
        <v>164</v>
      </c>
      <c r="N4931">
        <v>0</v>
      </c>
      <c r="O4931">
        <v>0</v>
      </c>
      <c r="P4931">
        <v>0</v>
      </c>
      <c r="Q4931">
        <v>0</v>
      </c>
    </row>
    <row r="4932" spans="1:17" x14ac:dyDescent="0.2">
      <c r="A4932" s="121">
        <v>40877</v>
      </c>
      <c r="B4932" t="s">
        <v>406</v>
      </c>
      <c r="C4932" t="s">
        <v>574</v>
      </c>
      <c r="D4932" t="s">
        <v>575</v>
      </c>
      <c r="E4932" t="s">
        <v>576</v>
      </c>
      <c r="F4932" t="s">
        <v>413</v>
      </c>
      <c r="G4932">
        <v>631</v>
      </c>
      <c r="H4932">
        <v>631</v>
      </c>
      <c r="I4932">
        <v>629</v>
      </c>
      <c r="J4932">
        <v>629</v>
      </c>
      <c r="K4932">
        <v>182</v>
      </c>
      <c r="L4932">
        <v>1</v>
      </c>
      <c r="M4932">
        <v>418</v>
      </c>
      <c r="N4932">
        <v>1</v>
      </c>
      <c r="O4932">
        <v>29</v>
      </c>
      <c r="P4932">
        <v>0</v>
      </c>
      <c r="Q4932">
        <v>0</v>
      </c>
    </row>
    <row r="4933" spans="1:17" x14ac:dyDescent="0.2">
      <c r="A4933" s="121">
        <v>40877</v>
      </c>
      <c r="B4933" t="s">
        <v>406</v>
      </c>
      <c r="C4933" t="s">
        <v>577</v>
      </c>
      <c r="D4933" t="s">
        <v>578</v>
      </c>
      <c r="E4933" t="s">
        <v>579</v>
      </c>
      <c r="F4933" t="s">
        <v>413</v>
      </c>
      <c r="G4933">
        <v>3840</v>
      </c>
      <c r="H4933">
        <v>3840</v>
      </c>
      <c r="I4933">
        <v>3734</v>
      </c>
      <c r="J4933">
        <v>3734</v>
      </c>
      <c r="K4933">
        <v>877</v>
      </c>
      <c r="L4933">
        <v>15</v>
      </c>
      <c r="M4933">
        <v>2844</v>
      </c>
      <c r="N4933">
        <v>101</v>
      </c>
      <c r="O4933">
        <v>3</v>
      </c>
      <c r="P4933">
        <v>2</v>
      </c>
      <c r="Q4933">
        <v>0</v>
      </c>
    </row>
    <row r="4934" spans="1:17" x14ac:dyDescent="0.2">
      <c r="A4934" s="121">
        <v>40877</v>
      </c>
      <c r="B4934" t="s">
        <v>406</v>
      </c>
      <c r="C4934" t="s">
        <v>577</v>
      </c>
      <c r="D4934" t="s">
        <v>580</v>
      </c>
      <c r="E4934" t="s">
        <v>581</v>
      </c>
      <c r="F4934" t="s">
        <v>413</v>
      </c>
      <c r="G4934">
        <v>1908</v>
      </c>
      <c r="H4934">
        <v>1908</v>
      </c>
      <c r="I4934">
        <v>1893</v>
      </c>
      <c r="J4934">
        <v>1893</v>
      </c>
      <c r="K4934">
        <v>324</v>
      </c>
      <c r="L4934">
        <v>0</v>
      </c>
      <c r="M4934">
        <v>1295</v>
      </c>
      <c r="N4934">
        <v>258</v>
      </c>
      <c r="O4934">
        <v>31</v>
      </c>
      <c r="P4934">
        <v>0</v>
      </c>
      <c r="Q4934">
        <v>0</v>
      </c>
    </row>
    <row r="4935" spans="1:17" x14ac:dyDescent="0.2">
      <c r="A4935" s="121">
        <v>40877</v>
      </c>
      <c r="B4935" t="s">
        <v>406</v>
      </c>
      <c r="C4935" t="s">
        <v>577</v>
      </c>
      <c r="D4935" t="s">
        <v>609</v>
      </c>
      <c r="E4935" t="s">
        <v>610</v>
      </c>
      <c r="F4935" t="s">
        <v>410</v>
      </c>
      <c r="G4935">
        <v>21</v>
      </c>
      <c r="H4935">
        <v>21</v>
      </c>
      <c r="I4935">
        <v>21</v>
      </c>
      <c r="J4935">
        <v>21</v>
      </c>
      <c r="K4935">
        <v>0</v>
      </c>
      <c r="L4935">
        <v>0</v>
      </c>
      <c r="M4935">
        <v>16</v>
      </c>
      <c r="N4935">
        <v>5</v>
      </c>
      <c r="O4935">
        <v>0</v>
      </c>
      <c r="P4935">
        <v>0</v>
      </c>
      <c r="Q4935">
        <v>0</v>
      </c>
    </row>
    <row r="4936" spans="1:17" x14ac:dyDescent="0.2">
      <c r="A4936" s="121">
        <v>40877</v>
      </c>
      <c r="B4936" t="s">
        <v>406</v>
      </c>
      <c r="C4936" t="s">
        <v>577</v>
      </c>
      <c r="D4936" t="s">
        <v>611</v>
      </c>
      <c r="E4936" t="s">
        <v>612</v>
      </c>
      <c r="F4936" t="s">
        <v>410</v>
      </c>
      <c r="G4936">
        <v>8</v>
      </c>
      <c r="H4936">
        <v>8</v>
      </c>
      <c r="I4936">
        <v>8</v>
      </c>
      <c r="J4936">
        <v>8</v>
      </c>
      <c r="K4936">
        <v>0</v>
      </c>
      <c r="L4936">
        <v>0</v>
      </c>
      <c r="M4936">
        <v>2</v>
      </c>
      <c r="N4936">
        <v>0</v>
      </c>
      <c r="O4936">
        <v>6</v>
      </c>
      <c r="P4936">
        <v>0</v>
      </c>
      <c r="Q4936">
        <v>0</v>
      </c>
    </row>
    <row r="4937" spans="1:17" x14ac:dyDescent="0.2">
      <c r="A4937" s="121">
        <v>40877</v>
      </c>
      <c r="B4937" t="s">
        <v>406</v>
      </c>
      <c r="C4937" t="s">
        <v>577</v>
      </c>
      <c r="D4937" t="s">
        <v>584</v>
      </c>
      <c r="E4937" t="s">
        <v>585</v>
      </c>
      <c r="F4937" t="s">
        <v>410</v>
      </c>
      <c r="G4937">
        <v>254</v>
      </c>
      <c r="H4937">
        <v>254</v>
      </c>
      <c r="I4937">
        <v>254</v>
      </c>
      <c r="J4937">
        <v>254</v>
      </c>
      <c r="K4937">
        <v>0</v>
      </c>
      <c r="L4937">
        <v>0</v>
      </c>
      <c r="M4937">
        <v>235</v>
      </c>
      <c r="N4937">
        <v>16</v>
      </c>
      <c r="O4937">
        <v>3</v>
      </c>
      <c r="P4937">
        <v>0</v>
      </c>
      <c r="Q4937">
        <v>0</v>
      </c>
    </row>
    <row r="4938" spans="1:17" x14ac:dyDescent="0.2">
      <c r="A4938" s="121">
        <v>40877</v>
      </c>
      <c r="B4938" t="s">
        <v>406</v>
      </c>
      <c r="C4938" t="s">
        <v>577</v>
      </c>
      <c r="D4938" t="s">
        <v>586</v>
      </c>
      <c r="E4938" t="s">
        <v>587</v>
      </c>
      <c r="F4938" t="s">
        <v>410</v>
      </c>
      <c r="G4938">
        <v>975</v>
      </c>
      <c r="H4938">
        <v>975</v>
      </c>
      <c r="I4938">
        <v>974</v>
      </c>
      <c r="J4938">
        <v>974</v>
      </c>
      <c r="K4938">
        <v>0</v>
      </c>
      <c r="L4938">
        <v>0</v>
      </c>
      <c r="M4938">
        <v>765</v>
      </c>
      <c r="N4938">
        <v>172</v>
      </c>
      <c r="O4938">
        <v>38</v>
      </c>
      <c r="P4938">
        <v>0</v>
      </c>
      <c r="Q4938">
        <v>0</v>
      </c>
    </row>
    <row r="4939" spans="1:17" x14ac:dyDescent="0.2">
      <c r="A4939" s="121">
        <v>40877</v>
      </c>
      <c r="B4939" t="s">
        <v>406</v>
      </c>
      <c r="C4939" t="s">
        <v>577</v>
      </c>
      <c r="D4939" t="s">
        <v>588</v>
      </c>
      <c r="E4939" t="s">
        <v>589</v>
      </c>
      <c r="F4939" t="s">
        <v>410</v>
      </c>
      <c r="G4939">
        <v>229</v>
      </c>
      <c r="H4939">
        <v>229</v>
      </c>
      <c r="I4939">
        <v>229</v>
      </c>
      <c r="J4939">
        <v>229</v>
      </c>
      <c r="K4939">
        <v>0</v>
      </c>
      <c r="L4939">
        <v>0</v>
      </c>
      <c r="M4939">
        <v>197</v>
      </c>
      <c r="N4939">
        <v>22</v>
      </c>
      <c r="O4939">
        <v>10</v>
      </c>
      <c r="P4939">
        <v>0</v>
      </c>
      <c r="Q4939">
        <v>0</v>
      </c>
    </row>
    <row r="4940" spans="1:17" x14ac:dyDescent="0.2">
      <c r="A4940" s="121">
        <v>40877</v>
      </c>
      <c r="B4940" t="s">
        <v>406</v>
      </c>
      <c r="C4940" t="s">
        <v>577</v>
      </c>
      <c r="D4940" t="s">
        <v>613</v>
      </c>
      <c r="E4940" t="s">
        <v>614</v>
      </c>
      <c r="F4940" t="s">
        <v>410</v>
      </c>
      <c r="G4940">
        <v>174</v>
      </c>
      <c r="H4940">
        <v>174</v>
      </c>
      <c r="I4940">
        <v>173</v>
      </c>
      <c r="J4940">
        <v>173</v>
      </c>
      <c r="K4940">
        <v>0</v>
      </c>
      <c r="L4940">
        <v>0</v>
      </c>
      <c r="M4940">
        <v>127</v>
      </c>
      <c r="N4940">
        <v>19</v>
      </c>
      <c r="O4940">
        <v>28</v>
      </c>
      <c r="P4940">
        <v>0</v>
      </c>
      <c r="Q4940">
        <v>0</v>
      </c>
    </row>
    <row r="4941" spans="1:17" x14ac:dyDescent="0.2">
      <c r="A4941" s="121">
        <v>40877</v>
      </c>
      <c r="B4941" t="s">
        <v>406</v>
      </c>
      <c r="C4941" t="s">
        <v>577</v>
      </c>
      <c r="D4941" t="s">
        <v>590</v>
      </c>
      <c r="E4941" t="s">
        <v>591</v>
      </c>
      <c r="F4941" t="s">
        <v>410</v>
      </c>
      <c r="G4941">
        <v>569</v>
      </c>
      <c r="H4941">
        <v>569</v>
      </c>
      <c r="I4941">
        <v>568</v>
      </c>
      <c r="J4941">
        <v>568</v>
      </c>
      <c r="K4941">
        <v>0</v>
      </c>
      <c r="L4941">
        <v>0</v>
      </c>
      <c r="M4941">
        <v>520</v>
      </c>
      <c r="N4941">
        <v>39</v>
      </c>
      <c r="O4941">
        <v>10</v>
      </c>
      <c r="P4941">
        <v>0</v>
      </c>
      <c r="Q4941">
        <v>0</v>
      </c>
    </row>
    <row r="4942" spans="1:17" x14ac:dyDescent="0.2">
      <c r="A4942" s="121">
        <v>40877</v>
      </c>
      <c r="B4942" t="s">
        <v>406</v>
      </c>
      <c r="C4942" t="s">
        <v>577</v>
      </c>
      <c r="D4942" t="s">
        <v>607</v>
      </c>
      <c r="E4942" t="s">
        <v>608</v>
      </c>
      <c r="F4942" t="s">
        <v>410</v>
      </c>
      <c r="G4942">
        <v>119</v>
      </c>
      <c r="H4942">
        <v>119</v>
      </c>
      <c r="I4942">
        <v>119</v>
      </c>
      <c r="J4942">
        <v>119</v>
      </c>
      <c r="K4942">
        <v>0</v>
      </c>
      <c r="L4942">
        <v>0</v>
      </c>
      <c r="M4942">
        <v>112</v>
      </c>
      <c r="N4942">
        <v>7</v>
      </c>
      <c r="O4942">
        <v>0</v>
      </c>
      <c r="P4942">
        <v>0</v>
      </c>
      <c r="Q4942">
        <v>0</v>
      </c>
    </row>
    <row r="4943" spans="1:17" x14ac:dyDescent="0.2">
      <c r="A4943" s="121">
        <v>40877</v>
      </c>
      <c r="B4943" t="s">
        <v>406</v>
      </c>
      <c r="C4943" t="s">
        <v>577</v>
      </c>
      <c r="D4943" t="s">
        <v>592</v>
      </c>
      <c r="E4943" t="s">
        <v>593</v>
      </c>
      <c r="F4943" t="s">
        <v>410</v>
      </c>
      <c r="G4943">
        <v>518</v>
      </c>
      <c r="H4943">
        <v>518</v>
      </c>
      <c r="I4943">
        <v>518</v>
      </c>
      <c r="J4943">
        <v>518</v>
      </c>
      <c r="K4943">
        <v>0</v>
      </c>
      <c r="L4943">
        <v>0</v>
      </c>
      <c r="M4943">
        <v>422</v>
      </c>
      <c r="N4943">
        <v>60</v>
      </c>
      <c r="O4943">
        <v>36</v>
      </c>
      <c r="P4943">
        <v>0</v>
      </c>
      <c r="Q4943">
        <v>0</v>
      </c>
    </row>
    <row r="4944" spans="1:17" x14ac:dyDescent="0.2">
      <c r="A4944" s="121">
        <v>40877</v>
      </c>
      <c r="B4944" t="s">
        <v>406</v>
      </c>
      <c r="C4944" t="s">
        <v>594</v>
      </c>
      <c r="D4944" t="s">
        <v>595</v>
      </c>
      <c r="E4944" t="s">
        <v>596</v>
      </c>
      <c r="F4944" t="s">
        <v>410</v>
      </c>
      <c r="G4944">
        <v>27</v>
      </c>
      <c r="I4944">
        <v>26</v>
      </c>
    </row>
    <row r="4945" spans="1:17" x14ac:dyDescent="0.2">
      <c r="A4945" s="121">
        <v>40877</v>
      </c>
      <c r="B4945" t="s">
        <v>406</v>
      </c>
      <c r="C4945" t="s">
        <v>594</v>
      </c>
      <c r="D4945" t="s">
        <v>597</v>
      </c>
      <c r="E4945" t="s">
        <v>598</v>
      </c>
      <c r="F4945" t="s">
        <v>413</v>
      </c>
      <c r="G4945">
        <v>514</v>
      </c>
      <c r="H4945">
        <v>514</v>
      </c>
      <c r="I4945">
        <v>506</v>
      </c>
      <c r="J4945">
        <v>506</v>
      </c>
      <c r="K4945">
        <v>118</v>
      </c>
      <c r="L4945">
        <v>0</v>
      </c>
      <c r="M4945">
        <v>374</v>
      </c>
      <c r="N4945">
        <v>22</v>
      </c>
      <c r="O4945">
        <v>0</v>
      </c>
      <c r="P4945">
        <v>0</v>
      </c>
      <c r="Q4945">
        <v>0</v>
      </c>
    </row>
    <row r="4946" spans="1:17" x14ac:dyDescent="0.2">
      <c r="A4946" s="121">
        <v>40877</v>
      </c>
      <c r="B4946" t="s">
        <v>406</v>
      </c>
      <c r="C4946" t="s">
        <v>594</v>
      </c>
      <c r="D4946" t="s">
        <v>599</v>
      </c>
      <c r="E4946" t="s">
        <v>600</v>
      </c>
      <c r="F4946" t="s">
        <v>410</v>
      </c>
      <c r="G4946">
        <v>83</v>
      </c>
      <c r="I4946">
        <v>83</v>
      </c>
    </row>
    <row r="4947" spans="1:17" x14ac:dyDescent="0.2">
      <c r="A4947" s="121">
        <v>40908</v>
      </c>
      <c r="B4947" t="s">
        <v>406</v>
      </c>
      <c r="C4947" t="s">
        <v>407</v>
      </c>
      <c r="D4947" t="s">
        <v>408</v>
      </c>
      <c r="E4947" t="s">
        <v>409</v>
      </c>
      <c r="F4947" t="s">
        <v>410</v>
      </c>
      <c r="G4947">
        <v>182</v>
      </c>
      <c r="I4947">
        <v>182</v>
      </c>
    </row>
    <row r="4948" spans="1:17" x14ac:dyDescent="0.2">
      <c r="A4948" s="121">
        <v>40908</v>
      </c>
      <c r="B4948" t="s">
        <v>406</v>
      </c>
      <c r="C4948" t="s">
        <v>407</v>
      </c>
      <c r="D4948" t="s">
        <v>601</v>
      </c>
      <c r="E4948" t="s">
        <v>602</v>
      </c>
      <c r="F4948" t="s">
        <v>410</v>
      </c>
      <c r="G4948">
        <v>37</v>
      </c>
      <c r="I4948">
        <v>37</v>
      </c>
    </row>
    <row r="4949" spans="1:17" x14ac:dyDescent="0.2">
      <c r="A4949" s="121">
        <v>40908</v>
      </c>
      <c r="B4949" t="s">
        <v>406</v>
      </c>
      <c r="C4949" t="s">
        <v>407</v>
      </c>
      <c r="D4949" t="s">
        <v>411</v>
      </c>
      <c r="E4949" t="s">
        <v>412</v>
      </c>
      <c r="F4949" t="s">
        <v>413</v>
      </c>
      <c r="G4949">
        <v>5566</v>
      </c>
      <c r="H4949">
        <v>5566</v>
      </c>
      <c r="I4949">
        <v>5376</v>
      </c>
      <c r="J4949">
        <v>5376</v>
      </c>
      <c r="K4949">
        <v>2390</v>
      </c>
      <c r="L4949">
        <v>8</v>
      </c>
      <c r="M4949">
        <v>2876</v>
      </c>
      <c r="N4949">
        <v>124</v>
      </c>
      <c r="O4949">
        <v>168</v>
      </c>
      <c r="P4949">
        <v>4</v>
      </c>
      <c r="Q4949">
        <v>0</v>
      </c>
    </row>
    <row r="4950" spans="1:17" x14ac:dyDescent="0.2">
      <c r="A4950" s="121">
        <v>40908</v>
      </c>
      <c r="B4950" t="s">
        <v>406</v>
      </c>
      <c r="C4950" t="s">
        <v>407</v>
      </c>
      <c r="D4950" t="s">
        <v>416</v>
      </c>
      <c r="E4950" t="s">
        <v>417</v>
      </c>
      <c r="F4950" t="s">
        <v>413</v>
      </c>
      <c r="G4950">
        <v>3446</v>
      </c>
      <c r="H4950">
        <v>3446</v>
      </c>
      <c r="I4950">
        <v>3117</v>
      </c>
      <c r="J4950">
        <v>3117</v>
      </c>
      <c r="K4950">
        <v>1301</v>
      </c>
      <c r="L4950">
        <v>6</v>
      </c>
      <c r="M4950">
        <v>1992</v>
      </c>
      <c r="N4950">
        <v>103</v>
      </c>
      <c r="O4950">
        <v>44</v>
      </c>
      <c r="P4950">
        <v>23</v>
      </c>
      <c r="Q4950">
        <v>3</v>
      </c>
    </row>
    <row r="4951" spans="1:17" x14ac:dyDescent="0.2">
      <c r="A4951" s="121">
        <v>40908</v>
      </c>
      <c r="B4951" t="s">
        <v>406</v>
      </c>
      <c r="C4951" t="s">
        <v>407</v>
      </c>
      <c r="D4951" t="s">
        <v>618</v>
      </c>
      <c r="E4951" t="s">
        <v>619</v>
      </c>
      <c r="F4951" t="s">
        <v>410</v>
      </c>
      <c r="G4951">
        <v>79</v>
      </c>
      <c r="I4951">
        <v>79</v>
      </c>
    </row>
    <row r="4952" spans="1:17" x14ac:dyDescent="0.2">
      <c r="A4952" s="121">
        <v>40908</v>
      </c>
      <c r="B4952" t="s">
        <v>406</v>
      </c>
      <c r="C4952" t="s">
        <v>418</v>
      </c>
      <c r="D4952" t="s">
        <v>419</v>
      </c>
      <c r="E4952" t="s">
        <v>420</v>
      </c>
      <c r="F4952" t="s">
        <v>410</v>
      </c>
      <c r="G4952">
        <v>7</v>
      </c>
      <c r="I4952">
        <v>7</v>
      </c>
    </row>
    <row r="4953" spans="1:17" x14ac:dyDescent="0.2">
      <c r="A4953" s="121">
        <v>40908</v>
      </c>
      <c r="B4953" t="s">
        <v>406</v>
      </c>
      <c r="C4953" t="s">
        <v>418</v>
      </c>
      <c r="D4953" t="s">
        <v>421</v>
      </c>
      <c r="E4953" t="s">
        <v>422</v>
      </c>
      <c r="F4953" t="s">
        <v>410</v>
      </c>
      <c r="G4953">
        <v>103</v>
      </c>
      <c r="I4953">
        <v>103</v>
      </c>
    </row>
    <row r="4954" spans="1:17" x14ac:dyDescent="0.2">
      <c r="A4954" s="121">
        <v>40908</v>
      </c>
      <c r="B4954" t="s">
        <v>406</v>
      </c>
      <c r="C4954" t="s">
        <v>418</v>
      </c>
      <c r="D4954" t="s">
        <v>423</v>
      </c>
      <c r="E4954" t="s">
        <v>424</v>
      </c>
      <c r="F4954" t="s">
        <v>410</v>
      </c>
      <c r="G4954">
        <v>33</v>
      </c>
      <c r="I4954">
        <v>33</v>
      </c>
    </row>
    <row r="4955" spans="1:17" x14ac:dyDescent="0.2">
      <c r="A4955" s="121">
        <v>40908</v>
      </c>
      <c r="B4955" t="s">
        <v>406</v>
      </c>
      <c r="C4955" t="s">
        <v>418</v>
      </c>
      <c r="D4955" t="s">
        <v>425</v>
      </c>
      <c r="E4955" t="s">
        <v>426</v>
      </c>
      <c r="F4955" t="s">
        <v>410</v>
      </c>
      <c r="G4955">
        <v>79</v>
      </c>
      <c r="I4955">
        <v>79</v>
      </c>
    </row>
    <row r="4956" spans="1:17" x14ac:dyDescent="0.2">
      <c r="A4956" s="121">
        <v>40908</v>
      </c>
      <c r="B4956" t="s">
        <v>406</v>
      </c>
      <c r="C4956" t="s">
        <v>418</v>
      </c>
      <c r="D4956" t="s">
        <v>427</v>
      </c>
      <c r="E4956" t="s">
        <v>428</v>
      </c>
      <c r="F4956" t="s">
        <v>413</v>
      </c>
      <c r="G4956">
        <v>1810</v>
      </c>
      <c r="H4956">
        <v>1810</v>
      </c>
      <c r="I4956">
        <v>1766</v>
      </c>
      <c r="J4956">
        <v>1766</v>
      </c>
      <c r="K4956">
        <v>723</v>
      </c>
      <c r="L4956">
        <v>4</v>
      </c>
      <c r="M4956">
        <v>756</v>
      </c>
      <c r="N4956">
        <v>315</v>
      </c>
      <c r="O4956">
        <v>12</v>
      </c>
      <c r="P4956">
        <v>0</v>
      </c>
      <c r="Q4956">
        <v>0</v>
      </c>
    </row>
    <row r="4957" spans="1:17" x14ac:dyDescent="0.2">
      <c r="A4957" s="121">
        <v>40908</v>
      </c>
      <c r="B4957" t="s">
        <v>406</v>
      </c>
      <c r="C4957" t="s">
        <v>429</v>
      </c>
      <c r="D4957" t="s">
        <v>430</v>
      </c>
      <c r="E4957" t="s">
        <v>431</v>
      </c>
      <c r="F4957" t="s">
        <v>410</v>
      </c>
      <c r="G4957">
        <v>26</v>
      </c>
      <c r="I4957">
        <v>26</v>
      </c>
    </row>
    <row r="4958" spans="1:17" x14ac:dyDescent="0.2">
      <c r="A4958" s="121">
        <v>40908</v>
      </c>
      <c r="B4958" t="s">
        <v>406</v>
      </c>
      <c r="C4958" t="s">
        <v>429</v>
      </c>
      <c r="D4958" t="s">
        <v>432</v>
      </c>
      <c r="E4958" t="s">
        <v>433</v>
      </c>
      <c r="F4958" t="s">
        <v>410</v>
      </c>
      <c r="G4958">
        <v>44</v>
      </c>
      <c r="I4958">
        <v>44</v>
      </c>
    </row>
    <row r="4959" spans="1:17" x14ac:dyDescent="0.2">
      <c r="A4959" s="121">
        <v>40908</v>
      </c>
      <c r="B4959" t="s">
        <v>406</v>
      </c>
      <c r="C4959" t="s">
        <v>429</v>
      </c>
      <c r="D4959" t="s">
        <v>434</v>
      </c>
      <c r="E4959" t="s">
        <v>435</v>
      </c>
      <c r="F4959" t="s">
        <v>410</v>
      </c>
      <c r="G4959">
        <v>4</v>
      </c>
      <c r="I4959">
        <v>4</v>
      </c>
    </row>
    <row r="4960" spans="1:17" x14ac:dyDescent="0.2">
      <c r="A4960" s="121">
        <v>40908</v>
      </c>
      <c r="B4960" t="s">
        <v>406</v>
      </c>
      <c r="C4960" t="s">
        <v>429</v>
      </c>
      <c r="D4960" t="s">
        <v>436</v>
      </c>
      <c r="E4960" t="s">
        <v>437</v>
      </c>
      <c r="F4960" t="s">
        <v>410</v>
      </c>
      <c r="G4960">
        <v>19</v>
      </c>
      <c r="I4960">
        <v>19</v>
      </c>
    </row>
    <row r="4961" spans="1:17" x14ac:dyDescent="0.2">
      <c r="A4961" s="121">
        <v>40908</v>
      </c>
      <c r="B4961" t="s">
        <v>406</v>
      </c>
      <c r="C4961" t="s">
        <v>429</v>
      </c>
      <c r="D4961" t="s">
        <v>438</v>
      </c>
      <c r="E4961" t="s">
        <v>439</v>
      </c>
      <c r="F4961" t="s">
        <v>413</v>
      </c>
      <c r="G4961">
        <v>849</v>
      </c>
      <c r="H4961">
        <v>849</v>
      </c>
      <c r="I4961">
        <v>821</v>
      </c>
      <c r="J4961">
        <v>821</v>
      </c>
      <c r="K4961">
        <v>89</v>
      </c>
      <c r="L4961">
        <v>2</v>
      </c>
      <c r="M4961">
        <v>733</v>
      </c>
      <c r="N4961">
        <v>25</v>
      </c>
      <c r="O4961">
        <v>0</v>
      </c>
      <c r="P4961">
        <v>3</v>
      </c>
      <c r="Q4961">
        <v>1</v>
      </c>
    </row>
    <row r="4962" spans="1:17" x14ac:dyDescent="0.2">
      <c r="A4962" s="121">
        <v>40908</v>
      </c>
      <c r="B4962" t="s">
        <v>406</v>
      </c>
      <c r="C4962" t="s">
        <v>429</v>
      </c>
      <c r="D4962" t="s">
        <v>440</v>
      </c>
      <c r="E4962" t="s">
        <v>441</v>
      </c>
      <c r="F4962" t="s">
        <v>413</v>
      </c>
      <c r="G4962">
        <v>2519</v>
      </c>
      <c r="H4962">
        <v>2519</v>
      </c>
      <c r="I4962">
        <v>2414</v>
      </c>
      <c r="J4962">
        <v>2414</v>
      </c>
      <c r="K4962">
        <v>851</v>
      </c>
      <c r="L4962">
        <v>1</v>
      </c>
      <c r="M4962">
        <v>1594</v>
      </c>
      <c r="N4962">
        <v>73</v>
      </c>
      <c r="O4962">
        <v>0</v>
      </c>
      <c r="P4962">
        <v>1</v>
      </c>
      <c r="Q4962">
        <v>0</v>
      </c>
    </row>
    <row r="4963" spans="1:17" x14ac:dyDescent="0.2">
      <c r="A4963" s="121">
        <v>40908</v>
      </c>
      <c r="B4963" t="s">
        <v>406</v>
      </c>
      <c r="C4963" t="s">
        <v>442</v>
      </c>
      <c r="D4963" t="s">
        <v>443</v>
      </c>
      <c r="E4963" t="s">
        <v>444</v>
      </c>
      <c r="F4963" t="s">
        <v>413</v>
      </c>
      <c r="G4963">
        <v>2488</v>
      </c>
      <c r="H4963">
        <v>2488</v>
      </c>
      <c r="I4963">
        <v>2208</v>
      </c>
      <c r="J4963">
        <v>2208</v>
      </c>
      <c r="K4963">
        <v>322</v>
      </c>
      <c r="L4963">
        <v>5</v>
      </c>
      <c r="M4963">
        <v>1804</v>
      </c>
      <c r="N4963">
        <v>168</v>
      </c>
      <c r="O4963">
        <v>189</v>
      </c>
      <c r="P4963">
        <v>43</v>
      </c>
      <c r="Q4963">
        <v>4</v>
      </c>
    </row>
    <row r="4964" spans="1:17" x14ac:dyDescent="0.2">
      <c r="A4964" s="121">
        <v>40908</v>
      </c>
      <c r="B4964" t="s">
        <v>406</v>
      </c>
      <c r="C4964" t="s">
        <v>442</v>
      </c>
      <c r="D4964" t="s">
        <v>445</v>
      </c>
      <c r="E4964" t="s">
        <v>446</v>
      </c>
      <c r="F4964" t="s">
        <v>410</v>
      </c>
      <c r="G4964">
        <v>119</v>
      </c>
      <c r="I4964">
        <v>119</v>
      </c>
    </row>
    <row r="4965" spans="1:17" x14ac:dyDescent="0.2">
      <c r="A4965" s="121">
        <v>40908</v>
      </c>
      <c r="B4965" t="s">
        <v>406</v>
      </c>
      <c r="C4965" t="s">
        <v>442</v>
      </c>
      <c r="D4965" t="s">
        <v>447</v>
      </c>
      <c r="E4965" t="s">
        <v>448</v>
      </c>
      <c r="F4965" t="s">
        <v>410</v>
      </c>
      <c r="G4965">
        <v>352</v>
      </c>
      <c r="I4965">
        <v>352</v>
      </c>
    </row>
    <row r="4966" spans="1:17" x14ac:dyDescent="0.2">
      <c r="A4966" s="121">
        <v>40908</v>
      </c>
      <c r="B4966" t="s">
        <v>406</v>
      </c>
      <c r="C4966" t="s">
        <v>442</v>
      </c>
      <c r="D4966" t="s">
        <v>449</v>
      </c>
      <c r="E4966" t="s">
        <v>450</v>
      </c>
      <c r="F4966" t="s">
        <v>413</v>
      </c>
      <c r="G4966">
        <v>4147</v>
      </c>
      <c r="H4966">
        <v>4147</v>
      </c>
      <c r="I4966">
        <v>3320</v>
      </c>
      <c r="J4966">
        <v>3320</v>
      </c>
      <c r="K4966">
        <v>1039</v>
      </c>
      <c r="L4966">
        <v>13</v>
      </c>
      <c r="M4966">
        <v>2953</v>
      </c>
      <c r="N4966">
        <v>96</v>
      </c>
      <c r="O4966">
        <v>46</v>
      </c>
      <c r="P4966">
        <v>225</v>
      </c>
      <c r="Q4966">
        <v>42</v>
      </c>
    </row>
    <row r="4967" spans="1:17" x14ac:dyDescent="0.2">
      <c r="A4967" s="121">
        <v>40908</v>
      </c>
      <c r="B4967" t="s">
        <v>406</v>
      </c>
      <c r="C4967" t="s">
        <v>451</v>
      </c>
      <c r="D4967" t="s">
        <v>454</v>
      </c>
      <c r="E4967" t="s">
        <v>621</v>
      </c>
      <c r="F4967" t="s">
        <v>410</v>
      </c>
      <c r="G4967">
        <v>985</v>
      </c>
      <c r="H4967">
        <v>985</v>
      </c>
      <c r="I4967">
        <v>974</v>
      </c>
      <c r="J4967">
        <v>974</v>
      </c>
      <c r="K4967">
        <v>3</v>
      </c>
      <c r="L4967">
        <v>0</v>
      </c>
      <c r="M4967">
        <v>697</v>
      </c>
      <c r="N4967">
        <v>124</v>
      </c>
      <c r="O4967">
        <v>161</v>
      </c>
      <c r="P4967">
        <v>0</v>
      </c>
      <c r="Q4967">
        <v>0</v>
      </c>
    </row>
    <row r="4968" spans="1:17" x14ac:dyDescent="0.2">
      <c r="A4968" s="121">
        <v>40908</v>
      </c>
      <c r="B4968" t="s">
        <v>406</v>
      </c>
      <c r="C4968" t="s">
        <v>451</v>
      </c>
      <c r="D4968" t="s">
        <v>622</v>
      </c>
      <c r="E4968" t="s">
        <v>623</v>
      </c>
      <c r="F4968" t="s">
        <v>413</v>
      </c>
      <c r="G4968">
        <v>4733</v>
      </c>
      <c r="H4968">
        <v>4733</v>
      </c>
      <c r="I4968">
        <v>4385</v>
      </c>
      <c r="J4968">
        <v>4385</v>
      </c>
      <c r="K4968">
        <v>1223</v>
      </c>
      <c r="L4968">
        <v>8</v>
      </c>
      <c r="M4968">
        <v>2614</v>
      </c>
      <c r="N4968">
        <v>394</v>
      </c>
      <c r="O4968">
        <v>494</v>
      </c>
      <c r="P4968">
        <v>5</v>
      </c>
      <c r="Q4968">
        <v>0</v>
      </c>
    </row>
    <row r="4969" spans="1:17" x14ac:dyDescent="0.2">
      <c r="A4969" s="121">
        <v>40908</v>
      </c>
      <c r="B4969" t="s">
        <v>406</v>
      </c>
      <c r="C4969" t="s">
        <v>456</v>
      </c>
      <c r="D4969" t="s">
        <v>457</v>
      </c>
      <c r="E4969" t="s">
        <v>458</v>
      </c>
      <c r="F4969" t="s">
        <v>413</v>
      </c>
      <c r="G4969">
        <v>5474</v>
      </c>
      <c r="H4969">
        <v>5474</v>
      </c>
      <c r="I4969">
        <v>5190</v>
      </c>
      <c r="J4969">
        <v>5190</v>
      </c>
      <c r="K4969">
        <v>1476</v>
      </c>
      <c r="L4969">
        <v>22</v>
      </c>
      <c r="M4969">
        <v>3813</v>
      </c>
      <c r="N4969">
        <v>98</v>
      </c>
      <c r="O4969">
        <v>65</v>
      </c>
      <c r="P4969">
        <v>41</v>
      </c>
      <c r="Q4969">
        <v>9</v>
      </c>
    </row>
    <row r="4970" spans="1:17" x14ac:dyDescent="0.2">
      <c r="A4970" s="121">
        <v>40908</v>
      </c>
      <c r="B4970" t="s">
        <v>406</v>
      </c>
      <c r="C4970" t="s">
        <v>456</v>
      </c>
      <c r="D4970" t="s">
        <v>459</v>
      </c>
      <c r="E4970" t="s">
        <v>460</v>
      </c>
      <c r="F4970" t="s">
        <v>413</v>
      </c>
      <c r="G4970">
        <v>1312</v>
      </c>
      <c r="H4970">
        <v>1312</v>
      </c>
      <c r="I4970">
        <v>1306</v>
      </c>
      <c r="J4970">
        <v>1306</v>
      </c>
      <c r="K4970">
        <v>497</v>
      </c>
      <c r="L4970">
        <v>0</v>
      </c>
      <c r="M4970">
        <v>811</v>
      </c>
      <c r="N4970">
        <v>1</v>
      </c>
      <c r="O4970">
        <v>3</v>
      </c>
      <c r="P4970">
        <v>0</v>
      </c>
      <c r="Q4970">
        <v>0</v>
      </c>
    </row>
    <row r="4971" spans="1:17" x14ac:dyDescent="0.2">
      <c r="A4971" s="121">
        <v>40908</v>
      </c>
      <c r="B4971" t="s">
        <v>406</v>
      </c>
      <c r="C4971" t="s">
        <v>456</v>
      </c>
      <c r="D4971" t="s">
        <v>461</v>
      </c>
      <c r="E4971" t="s">
        <v>462</v>
      </c>
      <c r="F4971" t="s">
        <v>410</v>
      </c>
      <c r="G4971">
        <v>69</v>
      </c>
      <c r="I4971">
        <v>69</v>
      </c>
    </row>
    <row r="4972" spans="1:17" x14ac:dyDescent="0.2">
      <c r="A4972" s="121">
        <v>40908</v>
      </c>
      <c r="B4972" t="s">
        <v>406</v>
      </c>
      <c r="C4972" t="s">
        <v>456</v>
      </c>
      <c r="D4972" t="s">
        <v>463</v>
      </c>
      <c r="E4972" t="s">
        <v>464</v>
      </c>
      <c r="F4972" t="s">
        <v>410</v>
      </c>
      <c r="G4972">
        <v>30</v>
      </c>
      <c r="I4972">
        <v>30</v>
      </c>
    </row>
    <row r="4973" spans="1:17" x14ac:dyDescent="0.2">
      <c r="A4973" s="121">
        <v>40908</v>
      </c>
      <c r="B4973" t="s">
        <v>406</v>
      </c>
      <c r="C4973" t="s">
        <v>456</v>
      </c>
      <c r="D4973" t="s">
        <v>465</v>
      </c>
      <c r="E4973" t="s">
        <v>466</v>
      </c>
      <c r="F4973" t="s">
        <v>410</v>
      </c>
      <c r="G4973">
        <v>42</v>
      </c>
      <c r="I4973">
        <v>42</v>
      </c>
    </row>
    <row r="4974" spans="1:17" x14ac:dyDescent="0.2">
      <c r="A4974" s="121">
        <v>40908</v>
      </c>
      <c r="B4974" t="s">
        <v>406</v>
      </c>
      <c r="C4974" t="s">
        <v>456</v>
      </c>
      <c r="D4974" t="s">
        <v>467</v>
      </c>
      <c r="E4974" t="s">
        <v>468</v>
      </c>
      <c r="F4974" t="s">
        <v>410</v>
      </c>
      <c r="G4974">
        <v>1133</v>
      </c>
      <c r="I4974">
        <v>1128</v>
      </c>
    </row>
    <row r="4975" spans="1:17" x14ac:dyDescent="0.2">
      <c r="A4975" s="121">
        <v>40908</v>
      </c>
      <c r="B4975" t="s">
        <v>406</v>
      </c>
      <c r="C4975" t="s">
        <v>456</v>
      </c>
      <c r="D4975" t="s">
        <v>469</v>
      </c>
      <c r="E4975" t="s">
        <v>470</v>
      </c>
      <c r="F4975" t="s">
        <v>410</v>
      </c>
      <c r="G4975">
        <v>882</v>
      </c>
      <c r="I4975">
        <v>882</v>
      </c>
    </row>
    <row r="4976" spans="1:17" x14ac:dyDescent="0.2">
      <c r="A4976" s="121">
        <v>40908</v>
      </c>
      <c r="B4976" t="s">
        <v>406</v>
      </c>
      <c r="C4976" t="s">
        <v>456</v>
      </c>
      <c r="D4976" t="s">
        <v>471</v>
      </c>
      <c r="E4976" t="s">
        <v>472</v>
      </c>
      <c r="F4976" t="s">
        <v>410</v>
      </c>
      <c r="G4976">
        <v>268</v>
      </c>
      <c r="I4976">
        <v>268</v>
      </c>
    </row>
    <row r="4977" spans="1:17" x14ac:dyDescent="0.2">
      <c r="A4977" s="121">
        <v>40908</v>
      </c>
      <c r="B4977" t="s">
        <v>406</v>
      </c>
      <c r="C4977" t="s">
        <v>456</v>
      </c>
      <c r="D4977" t="s">
        <v>473</v>
      </c>
      <c r="E4977" t="s">
        <v>474</v>
      </c>
      <c r="F4977" t="s">
        <v>410</v>
      </c>
      <c r="G4977">
        <v>164</v>
      </c>
      <c r="I4977">
        <v>164</v>
      </c>
    </row>
    <row r="4978" spans="1:17" x14ac:dyDescent="0.2">
      <c r="A4978" s="121">
        <v>40908</v>
      </c>
      <c r="B4978" t="s">
        <v>406</v>
      </c>
      <c r="C4978" t="s">
        <v>456</v>
      </c>
      <c r="D4978" t="s">
        <v>475</v>
      </c>
      <c r="E4978" t="s">
        <v>476</v>
      </c>
      <c r="F4978" t="s">
        <v>410</v>
      </c>
      <c r="G4978">
        <v>271</v>
      </c>
      <c r="I4978">
        <v>271</v>
      </c>
    </row>
    <row r="4979" spans="1:17" x14ac:dyDescent="0.2">
      <c r="A4979" s="121">
        <v>40908</v>
      </c>
      <c r="B4979" t="s">
        <v>406</v>
      </c>
      <c r="C4979" t="s">
        <v>456</v>
      </c>
      <c r="D4979" t="s">
        <v>477</v>
      </c>
      <c r="E4979" t="s">
        <v>478</v>
      </c>
      <c r="F4979" t="s">
        <v>413</v>
      </c>
      <c r="G4979">
        <v>1986</v>
      </c>
      <c r="H4979">
        <v>1986</v>
      </c>
      <c r="I4979">
        <v>1908</v>
      </c>
      <c r="J4979">
        <v>1908</v>
      </c>
      <c r="K4979">
        <v>505</v>
      </c>
      <c r="L4979">
        <v>5</v>
      </c>
      <c r="M4979">
        <v>1429</v>
      </c>
      <c r="N4979">
        <v>22</v>
      </c>
      <c r="O4979">
        <v>25</v>
      </c>
      <c r="P4979">
        <v>5</v>
      </c>
      <c r="Q4979">
        <v>1</v>
      </c>
    </row>
    <row r="4980" spans="1:17" x14ac:dyDescent="0.2">
      <c r="A4980" s="121">
        <v>40908</v>
      </c>
      <c r="B4980" t="s">
        <v>406</v>
      </c>
      <c r="C4980" t="s">
        <v>456</v>
      </c>
      <c r="D4980" t="s">
        <v>479</v>
      </c>
      <c r="E4980" t="s">
        <v>480</v>
      </c>
      <c r="F4980" t="s">
        <v>410</v>
      </c>
      <c r="G4980">
        <v>67</v>
      </c>
      <c r="I4980">
        <v>67</v>
      </c>
    </row>
    <row r="4981" spans="1:17" x14ac:dyDescent="0.2">
      <c r="A4981" s="121">
        <v>40908</v>
      </c>
      <c r="B4981" t="s">
        <v>406</v>
      </c>
      <c r="C4981" t="s">
        <v>456</v>
      </c>
      <c r="D4981" t="s">
        <v>481</v>
      </c>
      <c r="E4981" t="s">
        <v>482</v>
      </c>
      <c r="F4981" t="s">
        <v>410</v>
      </c>
      <c r="G4981">
        <v>27</v>
      </c>
      <c r="I4981">
        <v>27</v>
      </c>
    </row>
    <row r="4982" spans="1:17" x14ac:dyDescent="0.2">
      <c r="A4982" s="121">
        <v>40908</v>
      </c>
      <c r="B4982" t="s">
        <v>406</v>
      </c>
      <c r="C4982" t="s">
        <v>456</v>
      </c>
      <c r="D4982" t="s">
        <v>483</v>
      </c>
      <c r="E4982" t="s">
        <v>484</v>
      </c>
      <c r="F4982" t="s">
        <v>410</v>
      </c>
      <c r="G4982">
        <v>90</v>
      </c>
      <c r="I4982">
        <v>90</v>
      </c>
    </row>
    <row r="4983" spans="1:17" x14ac:dyDescent="0.2">
      <c r="A4983" s="121">
        <v>40908</v>
      </c>
      <c r="B4983" t="s">
        <v>406</v>
      </c>
      <c r="C4983" t="s">
        <v>456</v>
      </c>
      <c r="D4983" t="s">
        <v>485</v>
      </c>
      <c r="E4983" t="s">
        <v>486</v>
      </c>
      <c r="F4983" t="s">
        <v>410</v>
      </c>
      <c r="G4983">
        <v>45</v>
      </c>
      <c r="I4983">
        <v>45</v>
      </c>
    </row>
    <row r="4984" spans="1:17" x14ac:dyDescent="0.2">
      <c r="A4984" s="121">
        <v>40908</v>
      </c>
      <c r="B4984" t="s">
        <v>406</v>
      </c>
      <c r="C4984" t="s">
        <v>456</v>
      </c>
      <c r="D4984" t="s">
        <v>487</v>
      </c>
      <c r="E4984" t="s">
        <v>488</v>
      </c>
      <c r="F4984" t="s">
        <v>410</v>
      </c>
      <c r="G4984">
        <v>20</v>
      </c>
      <c r="I4984">
        <v>20</v>
      </c>
    </row>
    <row r="4985" spans="1:17" x14ac:dyDescent="0.2">
      <c r="A4985" s="121">
        <v>40908</v>
      </c>
      <c r="B4985" t="s">
        <v>406</v>
      </c>
      <c r="C4985" t="s">
        <v>456</v>
      </c>
      <c r="D4985" t="s">
        <v>489</v>
      </c>
      <c r="E4985" t="s">
        <v>490</v>
      </c>
      <c r="F4985" t="s">
        <v>410</v>
      </c>
      <c r="G4985">
        <v>93</v>
      </c>
      <c r="H4985">
        <v>93</v>
      </c>
      <c r="I4985">
        <v>93</v>
      </c>
      <c r="J4985">
        <v>93</v>
      </c>
      <c r="K4985">
        <v>0</v>
      </c>
      <c r="L4985">
        <v>1</v>
      </c>
      <c r="M4985">
        <v>80</v>
      </c>
      <c r="N4985">
        <v>12</v>
      </c>
      <c r="O4985">
        <v>0</v>
      </c>
      <c r="P4985">
        <v>0</v>
      </c>
      <c r="Q4985">
        <v>0</v>
      </c>
    </row>
    <row r="4986" spans="1:17" x14ac:dyDescent="0.2">
      <c r="A4986" s="121">
        <v>40908</v>
      </c>
      <c r="B4986" t="s">
        <v>406</v>
      </c>
      <c r="C4986" t="s">
        <v>491</v>
      </c>
      <c r="D4986" t="s">
        <v>492</v>
      </c>
      <c r="E4986" t="s">
        <v>493</v>
      </c>
      <c r="F4986" t="s">
        <v>410</v>
      </c>
      <c r="G4986">
        <v>1103</v>
      </c>
      <c r="H4986">
        <v>1103</v>
      </c>
      <c r="I4986">
        <v>1059</v>
      </c>
      <c r="J4986">
        <v>1059</v>
      </c>
      <c r="K4986">
        <v>196</v>
      </c>
      <c r="L4986">
        <v>0</v>
      </c>
      <c r="M4986">
        <v>0</v>
      </c>
      <c r="N4986">
        <v>16</v>
      </c>
      <c r="O4986">
        <v>891</v>
      </c>
      <c r="P4986">
        <v>1</v>
      </c>
      <c r="Q4986">
        <v>0</v>
      </c>
    </row>
    <row r="4987" spans="1:17" x14ac:dyDescent="0.2">
      <c r="A4987" s="121">
        <v>40908</v>
      </c>
      <c r="B4987" t="s">
        <v>406</v>
      </c>
      <c r="C4987" t="s">
        <v>491</v>
      </c>
      <c r="D4987" t="s">
        <v>494</v>
      </c>
      <c r="E4987" t="s">
        <v>495</v>
      </c>
      <c r="F4987" t="s">
        <v>413</v>
      </c>
      <c r="G4987">
        <v>2519</v>
      </c>
      <c r="H4987">
        <v>2519</v>
      </c>
      <c r="I4987">
        <v>2425</v>
      </c>
      <c r="J4987">
        <v>2425</v>
      </c>
      <c r="K4987">
        <v>716</v>
      </c>
      <c r="L4987">
        <v>3</v>
      </c>
      <c r="M4987">
        <v>1668</v>
      </c>
      <c r="N4987">
        <v>30</v>
      </c>
      <c r="O4987">
        <v>102</v>
      </c>
      <c r="P4987">
        <v>1</v>
      </c>
      <c r="Q4987">
        <v>0</v>
      </c>
    </row>
    <row r="4988" spans="1:17" x14ac:dyDescent="0.2">
      <c r="A4988" s="121">
        <v>40908</v>
      </c>
      <c r="B4988" t="s">
        <v>406</v>
      </c>
      <c r="C4988" t="s">
        <v>491</v>
      </c>
      <c r="D4988" t="s">
        <v>496</v>
      </c>
      <c r="E4988" t="s">
        <v>497</v>
      </c>
      <c r="F4988" t="s">
        <v>413</v>
      </c>
      <c r="G4988">
        <v>6012</v>
      </c>
      <c r="H4988">
        <v>6012</v>
      </c>
      <c r="I4988">
        <v>5621</v>
      </c>
      <c r="J4988">
        <v>5621</v>
      </c>
      <c r="K4988">
        <v>827</v>
      </c>
      <c r="L4988">
        <v>0</v>
      </c>
      <c r="M4988">
        <v>22</v>
      </c>
      <c r="N4988">
        <v>68</v>
      </c>
      <c r="O4988">
        <v>5095</v>
      </c>
      <c r="P4988">
        <v>6</v>
      </c>
      <c r="Q4988">
        <v>0</v>
      </c>
    </row>
    <row r="4989" spans="1:17" x14ac:dyDescent="0.2">
      <c r="A4989" s="121">
        <v>40908</v>
      </c>
      <c r="B4989" t="s">
        <v>406</v>
      </c>
      <c r="C4989" t="s">
        <v>491</v>
      </c>
      <c r="D4989" t="s">
        <v>498</v>
      </c>
      <c r="E4989" t="s">
        <v>499</v>
      </c>
      <c r="F4989" t="s">
        <v>413</v>
      </c>
      <c r="G4989">
        <v>7085</v>
      </c>
      <c r="H4989">
        <v>7085</v>
      </c>
      <c r="I4989">
        <v>6839</v>
      </c>
      <c r="J4989">
        <v>6839</v>
      </c>
      <c r="K4989">
        <v>1982</v>
      </c>
      <c r="L4989">
        <v>14</v>
      </c>
      <c r="M4989">
        <v>4674</v>
      </c>
      <c r="N4989">
        <v>116</v>
      </c>
      <c r="O4989">
        <v>299</v>
      </c>
      <c r="P4989">
        <v>8</v>
      </c>
      <c r="Q4989">
        <v>0</v>
      </c>
    </row>
    <row r="4990" spans="1:17" x14ac:dyDescent="0.2">
      <c r="A4990" s="121">
        <v>40908</v>
      </c>
      <c r="B4990" t="s">
        <v>406</v>
      </c>
      <c r="C4990" t="s">
        <v>491</v>
      </c>
      <c r="D4990" t="s">
        <v>500</v>
      </c>
      <c r="E4990" t="s">
        <v>620</v>
      </c>
      <c r="F4990" t="s">
        <v>410</v>
      </c>
      <c r="G4990">
        <v>1034</v>
      </c>
      <c r="H4990">
        <v>1034</v>
      </c>
      <c r="I4990">
        <v>1033</v>
      </c>
      <c r="J4990">
        <v>1033</v>
      </c>
      <c r="K4990">
        <v>4</v>
      </c>
      <c r="L4990">
        <v>0</v>
      </c>
      <c r="M4990">
        <v>939</v>
      </c>
      <c r="N4990">
        <v>11</v>
      </c>
      <c r="O4990">
        <v>80</v>
      </c>
      <c r="P4990">
        <v>0</v>
      </c>
      <c r="Q4990">
        <v>0</v>
      </c>
    </row>
    <row r="4991" spans="1:17" x14ac:dyDescent="0.2">
      <c r="A4991" s="121">
        <v>40908</v>
      </c>
      <c r="B4991" t="s">
        <v>406</v>
      </c>
      <c r="C4991" t="s">
        <v>491</v>
      </c>
      <c r="D4991" t="s">
        <v>502</v>
      </c>
      <c r="E4991" t="s">
        <v>615</v>
      </c>
      <c r="F4991" t="s">
        <v>410</v>
      </c>
      <c r="G4991">
        <v>1340</v>
      </c>
      <c r="H4991">
        <v>1340</v>
      </c>
      <c r="I4991">
        <v>1340</v>
      </c>
      <c r="J4991">
        <v>1340</v>
      </c>
      <c r="K4991">
        <v>0</v>
      </c>
      <c r="L4991">
        <v>0</v>
      </c>
      <c r="M4991">
        <v>1309</v>
      </c>
      <c r="N4991">
        <v>5</v>
      </c>
      <c r="O4991">
        <v>26</v>
      </c>
      <c r="P4991">
        <v>0</v>
      </c>
      <c r="Q4991">
        <v>0</v>
      </c>
    </row>
    <row r="4992" spans="1:17" x14ac:dyDescent="0.2">
      <c r="A4992" s="121">
        <v>40908</v>
      </c>
      <c r="B4992" t="s">
        <v>406</v>
      </c>
      <c r="C4992" t="s">
        <v>491</v>
      </c>
      <c r="D4992" t="s">
        <v>502</v>
      </c>
      <c r="E4992" t="s">
        <v>503</v>
      </c>
      <c r="F4992" t="s">
        <v>413</v>
      </c>
      <c r="G4992">
        <v>4977</v>
      </c>
      <c r="H4992">
        <v>4977</v>
      </c>
      <c r="I4992">
        <v>4684</v>
      </c>
      <c r="J4992">
        <v>4684</v>
      </c>
      <c r="K4992">
        <v>1494</v>
      </c>
      <c r="L4992">
        <v>7</v>
      </c>
      <c r="M4992">
        <v>3293</v>
      </c>
      <c r="N4992">
        <v>99</v>
      </c>
      <c r="O4992">
        <v>84</v>
      </c>
      <c r="P4992">
        <v>7</v>
      </c>
      <c r="Q4992">
        <v>0</v>
      </c>
    </row>
    <row r="4993" spans="1:17" x14ac:dyDescent="0.2">
      <c r="A4993" s="121">
        <v>40908</v>
      </c>
      <c r="B4993" t="s">
        <v>406</v>
      </c>
      <c r="C4993" t="s">
        <v>491</v>
      </c>
      <c r="D4993" t="s">
        <v>504</v>
      </c>
      <c r="E4993" t="s">
        <v>505</v>
      </c>
      <c r="F4993" t="s">
        <v>413</v>
      </c>
      <c r="G4993">
        <v>3762</v>
      </c>
      <c r="H4993">
        <v>3762</v>
      </c>
      <c r="I4993">
        <v>3534</v>
      </c>
      <c r="J4993">
        <v>3534</v>
      </c>
      <c r="K4993">
        <v>1051</v>
      </c>
      <c r="L4993">
        <v>3</v>
      </c>
      <c r="M4993">
        <v>2588</v>
      </c>
      <c r="N4993">
        <v>82</v>
      </c>
      <c r="O4993">
        <v>38</v>
      </c>
      <c r="P4993">
        <v>8</v>
      </c>
      <c r="Q4993">
        <v>0</v>
      </c>
    </row>
    <row r="4994" spans="1:17" x14ac:dyDescent="0.2">
      <c r="A4994" s="121">
        <v>40908</v>
      </c>
      <c r="B4994" t="s">
        <v>406</v>
      </c>
      <c r="C4994" t="s">
        <v>491</v>
      </c>
      <c r="D4994" t="s">
        <v>506</v>
      </c>
      <c r="E4994" t="s">
        <v>507</v>
      </c>
      <c r="F4994" t="s">
        <v>413</v>
      </c>
      <c r="G4994">
        <v>3991</v>
      </c>
      <c r="H4994">
        <v>3991</v>
      </c>
      <c r="I4994">
        <v>3843</v>
      </c>
      <c r="J4994">
        <v>3843</v>
      </c>
      <c r="K4994">
        <v>580</v>
      </c>
      <c r="L4994">
        <v>0</v>
      </c>
      <c r="M4994">
        <v>3403</v>
      </c>
      <c r="N4994">
        <v>3</v>
      </c>
      <c r="O4994">
        <v>5</v>
      </c>
      <c r="P4994">
        <v>3</v>
      </c>
      <c r="Q4994">
        <v>0</v>
      </c>
    </row>
    <row r="4995" spans="1:17" x14ac:dyDescent="0.2">
      <c r="A4995" s="121">
        <v>40908</v>
      </c>
      <c r="B4995" t="s">
        <v>406</v>
      </c>
      <c r="C4995" t="s">
        <v>491</v>
      </c>
      <c r="D4995" t="s">
        <v>508</v>
      </c>
      <c r="E4995" t="s">
        <v>509</v>
      </c>
      <c r="F4995" t="s">
        <v>413</v>
      </c>
      <c r="G4995">
        <v>4884</v>
      </c>
      <c r="H4995">
        <v>4884</v>
      </c>
      <c r="I4995">
        <v>4458</v>
      </c>
      <c r="J4995">
        <v>4458</v>
      </c>
      <c r="K4995">
        <v>1693</v>
      </c>
      <c r="L4995">
        <v>13</v>
      </c>
      <c r="M4995">
        <v>2777</v>
      </c>
      <c r="N4995">
        <v>110</v>
      </c>
      <c r="O4995">
        <v>291</v>
      </c>
      <c r="P4995">
        <v>23</v>
      </c>
      <c r="Q4995">
        <v>0</v>
      </c>
    </row>
    <row r="4996" spans="1:17" x14ac:dyDescent="0.2">
      <c r="A4996" s="121">
        <v>40908</v>
      </c>
      <c r="B4996" t="s">
        <v>406</v>
      </c>
      <c r="C4996" t="s">
        <v>510</v>
      </c>
      <c r="D4996" t="s">
        <v>513</v>
      </c>
      <c r="E4996" t="s">
        <v>514</v>
      </c>
      <c r="F4996" t="s">
        <v>410</v>
      </c>
      <c r="G4996">
        <v>520</v>
      </c>
      <c r="I4996">
        <v>514</v>
      </c>
    </row>
    <row r="4997" spans="1:17" x14ac:dyDescent="0.2">
      <c r="A4997" s="121">
        <v>40908</v>
      </c>
      <c r="B4997" t="s">
        <v>406</v>
      </c>
      <c r="C4997" t="s">
        <v>510</v>
      </c>
      <c r="D4997" t="s">
        <v>515</v>
      </c>
      <c r="E4997" t="s">
        <v>516</v>
      </c>
      <c r="F4997" t="s">
        <v>410</v>
      </c>
      <c r="G4997">
        <v>83</v>
      </c>
      <c r="I4997">
        <v>82</v>
      </c>
    </row>
    <row r="4998" spans="1:17" x14ac:dyDescent="0.2">
      <c r="A4998" s="121">
        <v>40908</v>
      </c>
      <c r="B4998" t="s">
        <v>406</v>
      </c>
      <c r="C4998" t="s">
        <v>510</v>
      </c>
      <c r="D4998" t="s">
        <v>519</v>
      </c>
      <c r="E4998" t="s">
        <v>520</v>
      </c>
      <c r="F4998" t="s">
        <v>410</v>
      </c>
      <c r="G4998">
        <v>319</v>
      </c>
      <c r="I4998">
        <v>314</v>
      </c>
    </row>
    <row r="4999" spans="1:17" x14ac:dyDescent="0.2">
      <c r="A4999" s="121">
        <v>40908</v>
      </c>
      <c r="B4999" t="s">
        <v>406</v>
      </c>
      <c r="C4999" t="s">
        <v>510</v>
      </c>
      <c r="D4999" t="s">
        <v>521</v>
      </c>
      <c r="E4999" t="s">
        <v>522</v>
      </c>
      <c r="F4999" t="s">
        <v>410</v>
      </c>
      <c r="G4999">
        <v>35</v>
      </c>
      <c r="I4999">
        <v>34</v>
      </c>
    </row>
    <row r="5000" spans="1:17" x14ac:dyDescent="0.2">
      <c r="A5000" s="121">
        <v>40908</v>
      </c>
      <c r="B5000" t="s">
        <v>406</v>
      </c>
      <c r="C5000" t="s">
        <v>510</v>
      </c>
      <c r="D5000" t="s">
        <v>523</v>
      </c>
      <c r="E5000" t="s">
        <v>524</v>
      </c>
      <c r="F5000" t="s">
        <v>413</v>
      </c>
      <c r="G5000">
        <v>430</v>
      </c>
      <c r="I5000">
        <v>428</v>
      </c>
    </row>
    <row r="5001" spans="1:17" x14ac:dyDescent="0.2">
      <c r="A5001" s="121">
        <v>40908</v>
      </c>
      <c r="B5001" t="s">
        <v>406</v>
      </c>
      <c r="C5001" t="s">
        <v>510</v>
      </c>
      <c r="D5001" t="s">
        <v>525</v>
      </c>
      <c r="E5001" t="s">
        <v>526</v>
      </c>
      <c r="F5001" t="s">
        <v>410</v>
      </c>
      <c r="G5001">
        <v>368</v>
      </c>
      <c r="I5001">
        <v>357</v>
      </c>
    </row>
    <row r="5002" spans="1:17" x14ac:dyDescent="0.2">
      <c r="A5002" s="121">
        <v>40908</v>
      </c>
      <c r="B5002" t="s">
        <v>406</v>
      </c>
      <c r="C5002" t="s">
        <v>510</v>
      </c>
      <c r="D5002" t="s">
        <v>527</v>
      </c>
      <c r="E5002" t="s">
        <v>528</v>
      </c>
      <c r="F5002" t="s">
        <v>410</v>
      </c>
      <c r="G5002">
        <v>233</v>
      </c>
      <c r="I5002">
        <v>231</v>
      </c>
    </row>
    <row r="5003" spans="1:17" x14ac:dyDescent="0.2">
      <c r="A5003" s="121">
        <v>40908</v>
      </c>
      <c r="B5003" t="s">
        <v>406</v>
      </c>
      <c r="C5003" t="s">
        <v>510</v>
      </c>
      <c r="D5003" t="s">
        <v>529</v>
      </c>
      <c r="E5003" t="s">
        <v>530</v>
      </c>
      <c r="F5003" t="s">
        <v>413</v>
      </c>
      <c r="G5003">
        <v>560</v>
      </c>
      <c r="H5003">
        <v>560</v>
      </c>
      <c r="I5003">
        <v>558</v>
      </c>
      <c r="J5003">
        <v>558</v>
      </c>
      <c r="K5003">
        <v>179</v>
      </c>
      <c r="L5003">
        <v>1</v>
      </c>
      <c r="M5003">
        <v>380</v>
      </c>
      <c r="N5003">
        <v>0</v>
      </c>
      <c r="O5003">
        <v>0</v>
      </c>
      <c r="P5003">
        <v>0</v>
      </c>
      <c r="Q5003">
        <v>0</v>
      </c>
    </row>
    <row r="5004" spans="1:17" x14ac:dyDescent="0.2">
      <c r="A5004" s="121">
        <v>40908</v>
      </c>
      <c r="B5004" t="s">
        <v>406</v>
      </c>
      <c r="C5004" t="s">
        <v>510</v>
      </c>
      <c r="D5004" t="s">
        <v>531</v>
      </c>
      <c r="E5004" t="s">
        <v>532</v>
      </c>
      <c r="F5004" t="s">
        <v>410</v>
      </c>
      <c r="G5004">
        <v>36</v>
      </c>
      <c r="I5004">
        <v>36</v>
      </c>
    </row>
    <row r="5005" spans="1:17" x14ac:dyDescent="0.2">
      <c r="A5005" s="121">
        <v>40908</v>
      </c>
      <c r="B5005" t="s">
        <v>406</v>
      </c>
      <c r="C5005" t="s">
        <v>510</v>
      </c>
      <c r="D5005" t="s">
        <v>533</v>
      </c>
      <c r="E5005" t="s">
        <v>534</v>
      </c>
      <c r="F5005" t="s">
        <v>413</v>
      </c>
      <c r="G5005">
        <v>2474</v>
      </c>
      <c r="H5005">
        <v>2474</v>
      </c>
      <c r="I5005">
        <v>2410</v>
      </c>
      <c r="J5005">
        <v>2410</v>
      </c>
      <c r="K5005">
        <v>606</v>
      </c>
      <c r="L5005">
        <v>4</v>
      </c>
      <c r="M5005">
        <v>1864</v>
      </c>
      <c r="N5005">
        <v>0</v>
      </c>
      <c r="O5005">
        <v>0</v>
      </c>
      <c r="P5005">
        <v>2</v>
      </c>
      <c r="Q5005">
        <v>0</v>
      </c>
    </row>
    <row r="5006" spans="1:17" x14ac:dyDescent="0.2">
      <c r="A5006" s="121">
        <v>40908</v>
      </c>
      <c r="B5006" t="s">
        <v>406</v>
      </c>
      <c r="C5006" t="s">
        <v>510</v>
      </c>
      <c r="D5006" t="s">
        <v>535</v>
      </c>
      <c r="E5006" t="s">
        <v>536</v>
      </c>
      <c r="F5006" t="s">
        <v>410</v>
      </c>
      <c r="G5006">
        <v>281</v>
      </c>
      <c r="I5006">
        <v>281</v>
      </c>
    </row>
    <row r="5007" spans="1:17" x14ac:dyDescent="0.2">
      <c r="A5007" s="121">
        <v>40908</v>
      </c>
      <c r="B5007" t="s">
        <v>406</v>
      </c>
      <c r="C5007" t="s">
        <v>510</v>
      </c>
      <c r="D5007" t="s">
        <v>537</v>
      </c>
      <c r="E5007" t="s">
        <v>538</v>
      </c>
      <c r="F5007" t="s">
        <v>410</v>
      </c>
      <c r="G5007">
        <v>77</v>
      </c>
      <c r="I5007">
        <v>77</v>
      </c>
    </row>
    <row r="5008" spans="1:17" x14ac:dyDescent="0.2">
      <c r="A5008" s="121">
        <v>40908</v>
      </c>
      <c r="B5008" t="s">
        <v>406</v>
      </c>
      <c r="C5008" t="s">
        <v>510</v>
      </c>
      <c r="D5008" t="s">
        <v>539</v>
      </c>
      <c r="E5008" t="s">
        <v>540</v>
      </c>
      <c r="F5008" t="s">
        <v>413</v>
      </c>
      <c r="G5008">
        <v>625</v>
      </c>
      <c r="H5008">
        <v>625</v>
      </c>
      <c r="I5008">
        <v>610</v>
      </c>
      <c r="J5008">
        <v>610</v>
      </c>
      <c r="K5008">
        <v>126</v>
      </c>
      <c r="L5008">
        <v>0</v>
      </c>
      <c r="M5008">
        <v>498</v>
      </c>
      <c r="N5008">
        <v>1</v>
      </c>
      <c r="O5008">
        <v>0</v>
      </c>
      <c r="P5008">
        <v>0</v>
      </c>
      <c r="Q5008">
        <v>0</v>
      </c>
    </row>
    <row r="5009" spans="1:17" x14ac:dyDescent="0.2">
      <c r="A5009" s="121">
        <v>40908</v>
      </c>
      <c r="B5009" t="s">
        <v>406</v>
      </c>
      <c r="C5009" t="s">
        <v>510</v>
      </c>
      <c r="D5009" t="s">
        <v>541</v>
      </c>
      <c r="E5009" t="s">
        <v>542</v>
      </c>
      <c r="F5009" t="s">
        <v>410</v>
      </c>
      <c r="G5009">
        <v>306</v>
      </c>
      <c r="I5009">
        <v>306</v>
      </c>
    </row>
    <row r="5010" spans="1:17" x14ac:dyDescent="0.2">
      <c r="A5010" s="121">
        <v>40908</v>
      </c>
      <c r="B5010" t="s">
        <v>406</v>
      </c>
      <c r="C5010" t="s">
        <v>510</v>
      </c>
      <c r="D5010" t="s">
        <v>543</v>
      </c>
      <c r="E5010" t="s">
        <v>544</v>
      </c>
      <c r="F5010" t="s">
        <v>410</v>
      </c>
      <c r="G5010">
        <v>195</v>
      </c>
      <c r="I5010">
        <v>195</v>
      </c>
    </row>
    <row r="5011" spans="1:17" x14ac:dyDescent="0.2">
      <c r="A5011" s="121">
        <v>40908</v>
      </c>
      <c r="B5011" t="s">
        <v>406</v>
      </c>
      <c r="C5011" t="s">
        <v>510</v>
      </c>
      <c r="D5011" t="s">
        <v>545</v>
      </c>
      <c r="E5011" t="s">
        <v>546</v>
      </c>
      <c r="F5011" t="s">
        <v>410</v>
      </c>
      <c r="G5011">
        <v>144</v>
      </c>
      <c r="I5011">
        <v>144</v>
      </c>
    </row>
    <row r="5012" spans="1:17" x14ac:dyDescent="0.2">
      <c r="A5012" s="121">
        <v>40908</v>
      </c>
      <c r="B5012" t="s">
        <v>406</v>
      </c>
      <c r="C5012" t="s">
        <v>510</v>
      </c>
      <c r="D5012" t="s">
        <v>547</v>
      </c>
      <c r="E5012" t="s">
        <v>548</v>
      </c>
      <c r="F5012" t="s">
        <v>410</v>
      </c>
      <c r="G5012">
        <v>110</v>
      </c>
      <c r="I5012">
        <v>109</v>
      </c>
    </row>
    <row r="5013" spans="1:17" x14ac:dyDescent="0.2">
      <c r="A5013" s="121">
        <v>40908</v>
      </c>
      <c r="B5013" t="s">
        <v>406</v>
      </c>
      <c r="C5013" t="s">
        <v>510</v>
      </c>
      <c r="D5013" t="s">
        <v>616</v>
      </c>
      <c r="E5013" t="s">
        <v>617</v>
      </c>
      <c r="F5013" t="s">
        <v>410</v>
      </c>
      <c r="G5013">
        <v>292</v>
      </c>
      <c r="I5013">
        <v>288</v>
      </c>
    </row>
    <row r="5014" spans="1:17" x14ac:dyDescent="0.2">
      <c r="A5014" s="121">
        <v>40908</v>
      </c>
      <c r="B5014" t="s">
        <v>406</v>
      </c>
      <c r="C5014" t="s">
        <v>510</v>
      </c>
      <c r="D5014" t="s">
        <v>549</v>
      </c>
      <c r="E5014" t="s">
        <v>550</v>
      </c>
      <c r="F5014" t="s">
        <v>410</v>
      </c>
      <c r="G5014">
        <v>141</v>
      </c>
      <c r="I5014">
        <v>139</v>
      </c>
    </row>
    <row r="5015" spans="1:17" x14ac:dyDescent="0.2">
      <c r="A5015" s="121">
        <v>40908</v>
      </c>
      <c r="B5015" t="s">
        <v>406</v>
      </c>
      <c r="C5015" t="s">
        <v>551</v>
      </c>
      <c r="D5015" t="s">
        <v>552</v>
      </c>
      <c r="E5015" t="s">
        <v>553</v>
      </c>
      <c r="F5015" t="s">
        <v>413</v>
      </c>
      <c r="G5015">
        <v>5355</v>
      </c>
      <c r="H5015">
        <v>5355</v>
      </c>
      <c r="I5015">
        <v>5061</v>
      </c>
      <c r="J5015">
        <v>5061</v>
      </c>
      <c r="K5015">
        <v>1599</v>
      </c>
      <c r="L5015">
        <v>10</v>
      </c>
      <c r="M5015">
        <v>3323</v>
      </c>
      <c r="N5015">
        <v>271</v>
      </c>
      <c r="O5015">
        <v>152</v>
      </c>
      <c r="P5015">
        <v>8</v>
      </c>
      <c r="Q5015">
        <v>0</v>
      </c>
    </row>
    <row r="5016" spans="1:17" x14ac:dyDescent="0.2">
      <c r="A5016" s="121">
        <v>40908</v>
      </c>
      <c r="B5016" t="s">
        <v>406</v>
      </c>
      <c r="C5016" t="s">
        <v>551</v>
      </c>
      <c r="D5016" t="s">
        <v>554</v>
      </c>
      <c r="E5016" t="s">
        <v>555</v>
      </c>
      <c r="F5016" t="s">
        <v>410</v>
      </c>
      <c r="G5016">
        <v>46</v>
      </c>
      <c r="I5016">
        <v>46</v>
      </c>
    </row>
    <row r="5017" spans="1:17" x14ac:dyDescent="0.2">
      <c r="A5017" s="121">
        <v>40908</v>
      </c>
      <c r="B5017" t="s">
        <v>406</v>
      </c>
      <c r="C5017" t="s">
        <v>551</v>
      </c>
      <c r="D5017" t="s">
        <v>556</v>
      </c>
      <c r="E5017" t="s">
        <v>557</v>
      </c>
      <c r="F5017" t="s">
        <v>410</v>
      </c>
      <c r="G5017">
        <v>83</v>
      </c>
      <c r="I5017">
        <v>83</v>
      </c>
    </row>
    <row r="5018" spans="1:17" x14ac:dyDescent="0.2">
      <c r="A5018" s="121">
        <v>40908</v>
      </c>
      <c r="B5018" t="s">
        <v>406</v>
      </c>
      <c r="C5018" t="s">
        <v>551</v>
      </c>
      <c r="D5018" t="s">
        <v>558</v>
      </c>
      <c r="E5018" t="s">
        <v>559</v>
      </c>
      <c r="F5018" t="s">
        <v>413</v>
      </c>
      <c r="G5018">
        <v>4597</v>
      </c>
      <c r="H5018">
        <v>4597</v>
      </c>
      <c r="I5018">
        <v>4388</v>
      </c>
      <c r="J5018">
        <v>4388</v>
      </c>
      <c r="K5018">
        <v>1280</v>
      </c>
      <c r="L5018">
        <v>11</v>
      </c>
      <c r="M5018">
        <v>3059</v>
      </c>
      <c r="N5018">
        <v>197</v>
      </c>
      <c r="O5018">
        <v>50</v>
      </c>
      <c r="P5018">
        <v>15</v>
      </c>
      <c r="Q5018">
        <v>0</v>
      </c>
    </row>
    <row r="5019" spans="1:17" x14ac:dyDescent="0.2">
      <c r="A5019" s="121">
        <v>40908</v>
      </c>
      <c r="B5019" t="s">
        <v>406</v>
      </c>
      <c r="C5019" t="s">
        <v>551</v>
      </c>
      <c r="D5019" t="s">
        <v>560</v>
      </c>
      <c r="E5019" t="s">
        <v>561</v>
      </c>
      <c r="F5019" t="s">
        <v>413</v>
      </c>
      <c r="G5019">
        <v>5154</v>
      </c>
      <c r="H5019">
        <v>5154</v>
      </c>
      <c r="I5019">
        <v>4893</v>
      </c>
      <c r="J5019">
        <v>4893</v>
      </c>
      <c r="K5019">
        <v>1371</v>
      </c>
      <c r="L5019">
        <v>7</v>
      </c>
      <c r="M5019">
        <v>3430</v>
      </c>
      <c r="N5019">
        <v>280</v>
      </c>
      <c r="O5019">
        <v>66</v>
      </c>
      <c r="P5019">
        <v>17</v>
      </c>
      <c r="Q5019">
        <v>2</v>
      </c>
    </row>
    <row r="5020" spans="1:17" x14ac:dyDescent="0.2">
      <c r="A5020" s="121">
        <v>40908</v>
      </c>
      <c r="B5020" t="s">
        <v>406</v>
      </c>
      <c r="C5020" t="s">
        <v>562</v>
      </c>
      <c r="D5020" t="s">
        <v>603</v>
      </c>
      <c r="E5020" t="s">
        <v>604</v>
      </c>
      <c r="F5020" t="s">
        <v>410</v>
      </c>
      <c r="G5020">
        <v>24</v>
      </c>
      <c r="I5020">
        <v>24</v>
      </c>
    </row>
    <row r="5021" spans="1:17" x14ac:dyDescent="0.2">
      <c r="A5021" s="121">
        <v>40908</v>
      </c>
      <c r="B5021" t="s">
        <v>406</v>
      </c>
      <c r="C5021" t="s">
        <v>562</v>
      </c>
      <c r="D5021" t="s">
        <v>605</v>
      </c>
      <c r="E5021" t="s">
        <v>606</v>
      </c>
      <c r="F5021" t="s">
        <v>410</v>
      </c>
      <c r="G5021">
        <v>119</v>
      </c>
      <c r="I5021">
        <v>119</v>
      </c>
    </row>
    <row r="5022" spans="1:17" x14ac:dyDescent="0.2">
      <c r="A5022" s="121">
        <v>40908</v>
      </c>
      <c r="B5022" t="s">
        <v>406</v>
      </c>
      <c r="C5022" t="s">
        <v>562</v>
      </c>
      <c r="D5022" t="s">
        <v>563</v>
      </c>
      <c r="E5022" t="s">
        <v>564</v>
      </c>
      <c r="F5022" t="s">
        <v>410</v>
      </c>
      <c r="G5022">
        <v>3051</v>
      </c>
      <c r="H5022">
        <v>3051</v>
      </c>
      <c r="I5022">
        <v>2829</v>
      </c>
      <c r="J5022">
        <v>2829</v>
      </c>
      <c r="K5022">
        <v>1108</v>
      </c>
      <c r="L5022">
        <v>4</v>
      </c>
      <c r="M5022">
        <v>1910</v>
      </c>
      <c r="N5022">
        <v>29</v>
      </c>
      <c r="O5022">
        <v>0</v>
      </c>
      <c r="P5022">
        <v>29</v>
      </c>
      <c r="Q5022">
        <v>0</v>
      </c>
    </row>
    <row r="5023" spans="1:17" x14ac:dyDescent="0.2">
      <c r="A5023" s="121">
        <v>40908</v>
      </c>
      <c r="B5023" t="s">
        <v>406</v>
      </c>
      <c r="C5023" t="s">
        <v>562</v>
      </c>
      <c r="D5023" t="s">
        <v>565</v>
      </c>
      <c r="E5023" t="s">
        <v>566</v>
      </c>
      <c r="F5023" t="s">
        <v>413</v>
      </c>
      <c r="G5023">
        <v>4155</v>
      </c>
      <c r="H5023">
        <v>4155</v>
      </c>
      <c r="I5023">
        <v>3880</v>
      </c>
      <c r="J5023">
        <v>3880</v>
      </c>
      <c r="K5023">
        <v>1192</v>
      </c>
      <c r="L5023">
        <v>9</v>
      </c>
      <c r="M5023">
        <v>2785</v>
      </c>
      <c r="N5023">
        <v>169</v>
      </c>
      <c r="O5023">
        <v>0</v>
      </c>
      <c r="P5023">
        <v>35</v>
      </c>
      <c r="Q5023">
        <v>10</v>
      </c>
    </row>
    <row r="5024" spans="1:17" x14ac:dyDescent="0.2">
      <c r="A5024" s="121">
        <v>40908</v>
      </c>
      <c r="B5024" t="s">
        <v>406</v>
      </c>
      <c r="C5024" t="s">
        <v>562</v>
      </c>
      <c r="D5024" t="s">
        <v>567</v>
      </c>
      <c r="E5024" t="s">
        <v>568</v>
      </c>
      <c r="F5024" t="s">
        <v>413</v>
      </c>
      <c r="G5024">
        <v>9086</v>
      </c>
      <c r="H5024">
        <v>9086</v>
      </c>
      <c r="I5024">
        <v>8305</v>
      </c>
      <c r="J5024">
        <v>8305</v>
      </c>
      <c r="K5024">
        <v>2769</v>
      </c>
      <c r="L5024">
        <v>16</v>
      </c>
      <c r="M5024">
        <v>5926</v>
      </c>
      <c r="N5024">
        <v>375</v>
      </c>
      <c r="O5024">
        <v>0</v>
      </c>
      <c r="P5024">
        <v>95</v>
      </c>
      <c r="Q5024">
        <v>6</v>
      </c>
    </row>
    <row r="5025" spans="1:17" x14ac:dyDescent="0.2">
      <c r="A5025" s="121">
        <v>40908</v>
      </c>
      <c r="B5025" t="s">
        <v>406</v>
      </c>
      <c r="C5025" t="s">
        <v>562</v>
      </c>
      <c r="D5025" t="s">
        <v>569</v>
      </c>
      <c r="E5025" t="s">
        <v>570</v>
      </c>
      <c r="F5025" t="s">
        <v>413</v>
      </c>
      <c r="G5025">
        <v>3309</v>
      </c>
      <c r="H5025">
        <v>3309</v>
      </c>
      <c r="I5025">
        <v>3256</v>
      </c>
      <c r="J5025">
        <v>3256</v>
      </c>
      <c r="K5025">
        <v>480</v>
      </c>
      <c r="L5025">
        <v>1</v>
      </c>
      <c r="M5025">
        <v>2828</v>
      </c>
      <c r="N5025">
        <v>0</v>
      </c>
      <c r="O5025">
        <v>0</v>
      </c>
      <c r="P5025">
        <v>2</v>
      </c>
      <c r="Q5025">
        <v>0</v>
      </c>
    </row>
    <row r="5026" spans="1:17" x14ac:dyDescent="0.2">
      <c r="A5026" s="121">
        <v>40908</v>
      </c>
      <c r="B5026" t="s">
        <v>406</v>
      </c>
      <c r="C5026" t="s">
        <v>571</v>
      </c>
      <c r="D5026" t="s">
        <v>572</v>
      </c>
      <c r="E5026" t="s">
        <v>573</v>
      </c>
      <c r="F5026" t="s">
        <v>410</v>
      </c>
      <c r="G5026">
        <v>170</v>
      </c>
      <c r="H5026">
        <v>170</v>
      </c>
      <c r="I5026">
        <v>168</v>
      </c>
      <c r="J5026">
        <v>168</v>
      </c>
      <c r="K5026">
        <v>0</v>
      </c>
      <c r="L5026">
        <v>1</v>
      </c>
      <c r="M5026">
        <v>169</v>
      </c>
      <c r="N5026">
        <v>0</v>
      </c>
      <c r="O5026">
        <v>0</v>
      </c>
      <c r="P5026">
        <v>0</v>
      </c>
      <c r="Q5026">
        <v>0</v>
      </c>
    </row>
    <row r="5027" spans="1:17" x14ac:dyDescent="0.2">
      <c r="A5027" s="121">
        <v>40908</v>
      </c>
      <c r="B5027" t="s">
        <v>406</v>
      </c>
      <c r="C5027" t="s">
        <v>574</v>
      </c>
      <c r="D5027" t="s">
        <v>575</v>
      </c>
      <c r="E5027" t="s">
        <v>576</v>
      </c>
      <c r="F5027" t="s">
        <v>413</v>
      </c>
      <c r="G5027">
        <v>643</v>
      </c>
      <c r="H5027">
        <v>643</v>
      </c>
      <c r="I5027">
        <v>640</v>
      </c>
      <c r="J5027">
        <v>640</v>
      </c>
      <c r="K5027">
        <v>185</v>
      </c>
      <c r="L5027">
        <v>0</v>
      </c>
      <c r="M5027">
        <v>443</v>
      </c>
      <c r="N5027">
        <v>1</v>
      </c>
      <c r="O5027">
        <v>14</v>
      </c>
      <c r="P5027">
        <v>0</v>
      </c>
      <c r="Q5027">
        <v>0</v>
      </c>
    </row>
    <row r="5028" spans="1:17" x14ac:dyDescent="0.2">
      <c r="A5028" s="121">
        <v>40908</v>
      </c>
      <c r="B5028" t="s">
        <v>406</v>
      </c>
      <c r="C5028" t="s">
        <v>577</v>
      </c>
      <c r="D5028" t="s">
        <v>578</v>
      </c>
      <c r="E5028" t="s">
        <v>579</v>
      </c>
      <c r="F5028" t="s">
        <v>413</v>
      </c>
      <c r="G5028">
        <v>4011</v>
      </c>
      <c r="H5028">
        <v>4011</v>
      </c>
      <c r="I5028">
        <v>3911</v>
      </c>
      <c r="J5028">
        <v>3911</v>
      </c>
      <c r="K5028">
        <v>963</v>
      </c>
      <c r="L5028">
        <v>18</v>
      </c>
      <c r="M5028">
        <v>2797</v>
      </c>
      <c r="N5028">
        <v>217</v>
      </c>
      <c r="O5028">
        <v>16</v>
      </c>
      <c r="P5028">
        <v>5</v>
      </c>
      <c r="Q5028">
        <v>0</v>
      </c>
    </row>
    <row r="5029" spans="1:17" x14ac:dyDescent="0.2">
      <c r="A5029" s="121">
        <v>40908</v>
      </c>
      <c r="B5029" t="s">
        <v>406</v>
      </c>
      <c r="C5029" t="s">
        <v>577</v>
      </c>
      <c r="D5029" t="s">
        <v>580</v>
      </c>
      <c r="E5029" t="s">
        <v>581</v>
      </c>
      <c r="F5029" t="s">
        <v>413</v>
      </c>
      <c r="G5029">
        <v>2038</v>
      </c>
      <c r="H5029">
        <v>2038</v>
      </c>
      <c r="I5029">
        <v>1998</v>
      </c>
      <c r="J5029">
        <v>1998</v>
      </c>
      <c r="K5029">
        <v>384</v>
      </c>
      <c r="L5029">
        <v>0</v>
      </c>
      <c r="M5029">
        <v>1315</v>
      </c>
      <c r="N5029">
        <v>282</v>
      </c>
      <c r="O5029">
        <v>57</v>
      </c>
      <c r="P5029">
        <v>2</v>
      </c>
      <c r="Q5029">
        <v>0</v>
      </c>
    </row>
    <row r="5030" spans="1:17" x14ac:dyDescent="0.2">
      <c r="A5030" s="121">
        <v>40908</v>
      </c>
      <c r="B5030" t="s">
        <v>406</v>
      </c>
      <c r="C5030" t="s">
        <v>577</v>
      </c>
      <c r="D5030" t="s">
        <v>609</v>
      </c>
      <c r="E5030" t="s">
        <v>610</v>
      </c>
      <c r="F5030" t="s">
        <v>410</v>
      </c>
      <c r="G5030">
        <v>23</v>
      </c>
      <c r="H5030">
        <v>23</v>
      </c>
      <c r="I5030">
        <v>23</v>
      </c>
      <c r="J5030">
        <v>23</v>
      </c>
      <c r="K5030">
        <v>0</v>
      </c>
      <c r="L5030">
        <v>0</v>
      </c>
      <c r="M5030">
        <v>22</v>
      </c>
      <c r="N5030">
        <v>1</v>
      </c>
      <c r="O5030">
        <v>0</v>
      </c>
      <c r="P5030">
        <v>0</v>
      </c>
      <c r="Q5030">
        <v>0</v>
      </c>
    </row>
    <row r="5031" spans="1:17" x14ac:dyDescent="0.2">
      <c r="A5031" s="121">
        <v>40908</v>
      </c>
      <c r="B5031" t="s">
        <v>406</v>
      </c>
      <c r="C5031" t="s">
        <v>577</v>
      </c>
      <c r="D5031" t="s">
        <v>611</v>
      </c>
      <c r="E5031" t="s">
        <v>612</v>
      </c>
      <c r="F5031" t="s">
        <v>410</v>
      </c>
      <c r="G5031">
        <v>11</v>
      </c>
      <c r="H5031">
        <v>11</v>
      </c>
      <c r="I5031">
        <v>11</v>
      </c>
      <c r="J5031">
        <v>11</v>
      </c>
      <c r="K5031">
        <v>0</v>
      </c>
      <c r="L5031">
        <v>0</v>
      </c>
      <c r="M5031">
        <v>2</v>
      </c>
      <c r="N5031">
        <v>2</v>
      </c>
      <c r="O5031">
        <v>7</v>
      </c>
      <c r="P5031">
        <v>0</v>
      </c>
      <c r="Q5031">
        <v>0</v>
      </c>
    </row>
    <row r="5032" spans="1:17" x14ac:dyDescent="0.2">
      <c r="A5032" s="121">
        <v>40908</v>
      </c>
      <c r="B5032" t="s">
        <v>406</v>
      </c>
      <c r="C5032" t="s">
        <v>577</v>
      </c>
      <c r="D5032" t="s">
        <v>584</v>
      </c>
      <c r="E5032" t="s">
        <v>585</v>
      </c>
      <c r="F5032" t="s">
        <v>410</v>
      </c>
      <c r="G5032">
        <v>278</v>
      </c>
      <c r="H5032">
        <v>278</v>
      </c>
      <c r="I5032">
        <v>278</v>
      </c>
      <c r="J5032">
        <v>278</v>
      </c>
      <c r="K5032">
        <v>0</v>
      </c>
      <c r="L5032">
        <v>0</v>
      </c>
      <c r="M5032">
        <v>249</v>
      </c>
      <c r="N5032">
        <v>27</v>
      </c>
      <c r="O5032">
        <v>2</v>
      </c>
      <c r="P5032">
        <v>0</v>
      </c>
      <c r="Q5032">
        <v>0</v>
      </c>
    </row>
    <row r="5033" spans="1:17" x14ac:dyDescent="0.2">
      <c r="A5033" s="121">
        <v>40908</v>
      </c>
      <c r="B5033" t="s">
        <v>406</v>
      </c>
      <c r="C5033" t="s">
        <v>577</v>
      </c>
      <c r="D5033" t="s">
        <v>586</v>
      </c>
      <c r="E5033" t="s">
        <v>587</v>
      </c>
      <c r="F5033" t="s">
        <v>410</v>
      </c>
      <c r="G5033">
        <v>1113</v>
      </c>
      <c r="H5033">
        <v>1113</v>
      </c>
      <c r="I5033">
        <v>1112</v>
      </c>
      <c r="J5033">
        <v>1112</v>
      </c>
      <c r="K5033">
        <v>0</v>
      </c>
      <c r="L5033">
        <v>0</v>
      </c>
      <c r="M5033">
        <v>877</v>
      </c>
      <c r="N5033">
        <v>190</v>
      </c>
      <c r="O5033">
        <v>46</v>
      </c>
      <c r="P5033">
        <v>0</v>
      </c>
      <c r="Q5033">
        <v>0</v>
      </c>
    </row>
    <row r="5034" spans="1:17" x14ac:dyDescent="0.2">
      <c r="A5034" s="121">
        <v>40908</v>
      </c>
      <c r="B5034" t="s">
        <v>406</v>
      </c>
      <c r="C5034" t="s">
        <v>577</v>
      </c>
      <c r="D5034" t="s">
        <v>588</v>
      </c>
      <c r="E5034" t="s">
        <v>589</v>
      </c>
      <c r="F5034" t="s">
        <v>410</v>
      </c>
      <c r="G5034">
        <v>255</v>
      </c>
      <c r="H5034">
        <v>255</v>
      </c>
      <c r="I5034">
        <v>254</v>
      </c>
      <c r="J5034">
        <v>254</v>
      </c>
      <c r="K5034">
        <v>0</v>
      </c>
      <c r="L5034">
        <v>0</v>
      </c>
      <c r="M5034">
        <v>209</v>
      </c>
      <c r="N5034">
        <v>31</v>
      </c>
      <c r="O5034">
        <v>15</v>
      </c>
      <c r="P5034">
        <v>0</v>
      </c>
      <c r="Q5034">
        <v>0</v>
      </c>
    </row>
    <row r="5035" spans="1:17" x14ac:dyDescent="0.2">
      <c r="A5035" s="121">
        <v>40908</v>
      </c>
      <c r="B5035" t="s">
        <v>406</v>
      </c>
      <c r="C5035" t="s">
        <v>577</v>
      </c>
      <c r="D5035" t="s">
        <v>613</v>
      </c>
      <c r="E5035" t="s">
        <v>614</v>
      </c>
      <c r="F5035" t="s">
        <v>410</v>
      </c>
      <c r="G5035">
        <v>242</v>
      </c>
      <c r="H5035">
        <v>242</v>
      </c>
      <c r="I5035">
        <v>242</v>
      </c>
      <c r="J5035">
        <v>242</v>
      </c>
      <c r="K5035">
        <v>1</v>
      </c>
      <c r="L5035">
        <v>0</v>
      </c>
      <c r="M5035">
        <v>200</v>
      </c>
      <c r="N5035">
        <v>19</v>
      </c>
      <c r="O5035">
        <v>22</v>
      </c>
      <c r="P5035">
        <v>0</v>
      </c>
      <c r="Q5035">
        <v>0</v>
      </c>
    </row>
    <row r="5036" spans="1:17" x14ac:dyDescent="0.2">
      <c r="A5036" s="121">
        <v>40908</v>
      </c>
      <c r="B5036" t="s">
        <v>406</v>
      </c>
      <c r="C5036" t="s">
        <v>577</v>
      </c>
      <c r="D5036" t="s">
        <v>590</v>
      </c>
      <c r="E5036" t="s">
        <v>591</v>
      </c>
      <c r="F5036" t="s">
        <v>410</v>
      </c>
      <c r="G5036">
        <v>544</v>
      </c>
      <c r="H5036">
        <v>544</v>
      </c>
      <c r="I5036">
        <v>544</v>
      </c>
      <c r="J5036">
        <v>544</v>
      </c>
      <c r="K5036">
        <v>0</v>
      </c>
      <c r="L5036">
        <v>0</v>
      </c>
      <c r="M5036">
        <v>484</v>
      </c>
      <c r="N5036">
        <v>43</v>
      </c>
      <c r="O5036">
        <v>17</v>
      </c>
      <c r="P5036">
        <v>0</v>
      </c>
      <c r="Q5036">
        <v>0</v>
      </c>
    </row>
    <row r="5037" spans="1:17" x14ac:dyDescent="0.2">
      <c r="A5037" s="121">
        <v>40908</v>
      </c>
      <c r="B5037" t="s">
        <v>406</v>
      </c>
      <c r="C5037" t="s">
        <v>577</v>
      </c>
      <c r="D5037" t="s">
        <v>607</v>
      </c>
      <c r="E5037" t="s">
        <v>608</v>
      </c>
      <c r="F5037" t="s">
        <v>410</v>
      </c>
      <c r="G5037">
        <v>126</v>
      </c>
      <c r="H5037">
        <v>126</v>
      </c>
      <c r="I5037">
        <v>126</v>
      </c>
      <c r="J5037">
        <v>126</v>
      </c>
      <c r="K5037">
        <v>0</v>
      </c>
      <c r="L5037">
        <v>0</v>
      </c>
      <c r="M5037">
        <v>112</v>
      </c>
      <c r="N5037">
        <v>14</v>
      </c>
      <c r="O5037">
        <v>0</v>
      </c>
      <c r="P5037">
        <v>0</v>
      </c>
      <c r="Q5037">
        <v>0</v>
      </c>
    </row>
    <row r="5038" spans="1:17" x14ac:dyDescent="0.2">
      <c r="A5038" s="121">
        <v>40908</v>
      </c>
      <c r="B5038" t="s">
        <v>406</v>
      </c>
      <c r="C5038" t="s">
        <v>577</v>
      </c>
      <c r="D5038" t="s">
        <v>592</v>
      </c>
      <c r="E5038" t="s">
        <v>593</v>
      </c>
      <c r="F5038" t="s">
        <v>410</v>
      </c>
      <c r="G5038">
        <v>574</v>
      </c>
      <c r="H5038">
        <v>574</v>
      </c>
      <c r="I5038">
        <v>574</v>
      </c>
      <c r="J5038">
        <v>574</v>
      </c>
      <c r="K5038">
        <v>0</v>
      </c>
      <c r="L5038">
        <v>0</v>
      </c>
      <c r="M5038">
        <v>486</v>
      </c>
      <c r="N5038">
        <v>66</v>
      </c>
      <c r="O5038">
        <v>22</v>
      </c>
      <c r="P5038">
        <v>0</v>
      </c>
      <c r="Q5038">
        <v>0</v>
      </c>
    </row>
    <row r="5039" spans="1:17" x14ac:dyDescent="0.2">
      <c r="A5039" s="121">
        <v>40908</v>
      </c>
      <c r="B5039" t="s">
        <v>406</v>
      </c>
      <c r="C5039" t="s">
        <v>594</v>
      </c>
      <c r="D5039" t="s">
        <v>595</v>
      </c>
      <c r="E5039" t="s">
        <v>596</v>
      </c>
      <c r="F5039" t="s">
        <v>410</v>
      </c>
      <c r="G5039">
        <v>38</v>
      </c>
      <c r="I5039">
        <v>38</v>
      </c>
    </row>
    <row r="5040" spans="1:17" x14ac:dyDescent="0.2">
      <c r="A5040" s="121">
        <v>40908</v>
      </c>
      <c r="B5040" t="s">
        <v>406</v>
      </c>
      <c r="C5040" t="s">
        <v>594</v>
      </c>
      <c r="D5040" t="s">
        <v>597</v>
      </c>
      <c r="E5040" t="s">
        <v>598</v>
      </c>
      <c r="F5040" t="s">
        <v>413</v>
      </c>
      <c r="G5040">
        <v>596</v>
      </c>
      <c r="H5040">
        <v>596</v>
      </c>
      <c r="I5040">
        <v>568</v>
      </c>
      <c r="J5040">
        <v>568</v>
      </c>
      <c r="K5040">
        <v>174</v>
      </c>
      <c r="L5040">
        <v>0</v>
      </c>
      <c r="M5040">
        <v>387</v>
      </c>
      <c r="N5040">
        <v>25</v>
      </c>
      <c r="O5040">
        <v>10</v>
      </c>
      <c r="P5040">
        <v>1</v>
      </c>
      <c r="Q5040">
        <v>0</v>
      </c>
    </row>
    <row r="5041" spans="1:17" x14ac:dyDescent="0.2">
      <c r="A5041" s="121">
        <v>40908</v>
      </c>
      <c r="B5041" t="s">
        <v>406</v>
      </c>
      <c r="C5041" t="s">
        <v>594</v>
      </c>
      <c r="D5041" t="s">
        <v>599</v>
      </c>
      <c r="E5041" t="s">
        <v>600</v>
      </c>
      <c r="F5041" t="s">
        <v>410</v>
      </c>
      <c r="G5041">
        <v>74</v>
      </c>
      <c r="I5041">
        <v>74</v>
      </c>
    </row>
    <row r="5042" spans="1:17" x14ac:dyDescent="0.2">
      <c r="A5042" s="121">
        <v>40939</v>
      </c>
      <c r="B5042" t="s">
        <v>406</v>
      </c>
      <c r="C5042" t="s">
        <v>407</v>
      </c>
      <c r="D5042" t="s">
        <v>408</v>
      </c>
      <c r="E5042" t="s">
        <v>409</v>
      </c>
      <c r="F5042" t="s">
        <v>410</v>
      </c>
      <c r="G5042">
        <v>184</v>
      </c>
      <c r="I5042">
        <v>160</v>
      </c>
    </row>
    <row r="5043" spans="1:17" x14ac:dyDescent="0.2">
      <c r="A5043" s="121">
        <v>40939</v>
      </c>
      <c r="B5043" t="s">
        <v>406</v>
      </c>
      <c r="C5043" t="s">
        <v>407</v>
      </c>
      <c r="D5043" t="s">
        <v>601</v>
      </c>
      <c r="E5043" t="s">
        <v>602</v>
      </c>
      <c r="F5043" t="s">
        <v>410</v>
      </c>
      <c r="G5043">
        <v>32</v>
      </c>
      <c r="I5043">
        <v>30</v>
      </c>
    </row>
    <row r="5044" spans="1:17" x14ac:dyDescent="0.2">
      <c r="A5044" s="121">
        <v>40939</v>
      </c>
      <c r="B5044" t="s">
        <v>406</v>
      </c>
      <c r="C5044" t="s">
        <v>407</v>
      </c>
      <c r="D5044" t="s">
        <v>411</v>
      </c>
      <c r="E5044" t="s">
        <v>412</v>
      </c>
      <c r="F5044" t="s">
        <v>413</v>
      </c>
      <c r="G5044">
        <v>5628</v>
      </c>
      <c r="H5044">
        <v>5628</v>
      </c>
      <c r="I5044">
        <v>5301</v>
      </c>
      <c r="J5044">
        <v>5301</v>
      </c>
      <c r="K5044">
        <v>2475</v>
      </c>
      <c r="L5044">
        <v>5</v>
      </c>
      <c r="M5044">
        <v>2836</v>
      </c>
      <c r="N5044">
        <v>139</v>
      </c>
      <c r="O5044">
        <v>173</v>
      </c>
      <c r="P5044">
        <v>10</v>
      </c>
      <c r="Q5044">
        <v>0</v>
      </c>
    </row>
    <row r="5045" spans="1:17" x14ac:dyDescent="0.2">
      <c r="A5045" s="121">
        <v>40939</v>
      </c>
      <c r="B5045" t="s">
        <v>406</v>
      </c>
      <c r="C5045" t="s">
        <v>407</v>
      </c>
      <c r="D5045" t="s">
        <v>416</v>
      </c>
      <c r="E5045" t="s">
        <v>417</v>
      </c>
      <c r="F5045" t="s">
        <v>413</v>
      </c>
      <c r="G5045">
        <v>3557</v>
      </c>
      <c r="H5045">
        <v>3557</v>
      </c>
      <c r="I5045">
        <v>3351</v>
      </c>
      <c r="J5045">
        <v>3351</v>
      </c>
      <c r="K5045">
        <v>1350</v>
      </c>
      <c r="L5045">
        <v>8</v>
      </c>
      <c r="M5045">
        <v>2027</v>
      </c>
      <c r="N5045">
        <v>113</v>
      </c>
      <c r="O5045">
        <v>59</v>
      </c>
      <c r="P5045">
        <v>5</v>
      </c>
      <c r="Q5045">
        <v>0</v>
      </c>
    </row>
    <row r="5046" spans="1:17" x14ac:dyDescent="0.2">
      <c r="A5046" s="121">
        <v>40939</v>
      </c>
      <c r="B5046" t="s">
        <v>406</v>
      </c>
      <c r="C5046" t="s">
        <v>407</v>
      </c>
      <c r="D5046" t="s">
        <v>618</v>
      </c>
      <c r="E5046" t="s">
        <v>619</v>
      </c>
      <c r="F5046" t="s">
        <v>410</v>
      </c>
      <c r="G5046">
        <v>87</v>
      </c>
      <c r="I5046">
        <v>79</v>
      </c>
    </row>
    <row r="5047" spans="1:17" x14ac:dyDescent="0.2">
      <c r="A5047" s="121">
        <v>40939</v>
      </c>
      <c r="B5047" t="s">
        <v>406</v>
      </c>
      <c r="C5047" t="s">
        <v>418</v>
      </c>
      <c r="D5047" t="s">
        <v>419</v>
      </c>
      <c r="E5047" t="s">
        <v>420</v>
      </c>
      <c r="F5047" t="s">
        <v>410</v>
      </c>
      <c r="G5047">
        <v>21</v>
      </c>
      <c r="I5047">
        <v>21</v>
      </c>
    </row>
    <row r="5048" spans="1:17" x14ac:dyDescent="0.2">
      <c r="A5048" s="121">
        <v>40939</v>
      </c>
      <c r="B5048" t="s">
        <v>406</v>
      </c>
      <c r="C5048" t="s">
        <v>418</v>
      </c>
      <c r="D5048" t="s">
        <v>421</v>
      </c>
      <c r="E5048" t="s">
        <v>422</v>
      </c>
      <c r="F5048" t="s">
        <v>410</v>
      </c>
      <c r="G5048">
        <v>96</v>
      </c>
      <c r="I5048">
        <v>96</v>
      </c>
    </row>
    <row r="5049" spans="1:17" x14ac:dyDescent="0.2">
      <c r="A5049" s="121">
        <v>40939</v>
      </c>
      <c r="B5049" t="s">
        <v>406</v>
      </c>
      <c r="C5049" t="s">
        <v>418</v>
      </c>
      <c r="D5049" t="s">
        <v>423</v>
      </c>
      <c r="E5049" t="s">
        <v>424</v>
      </c>
      <c r="F5049" t="s">
        <v>410</v>
      </c>
      <c r="G5049">
        <v>20</v>
      </c>
      <c r="I5049">
        <v>20</v>
      </c>
    </row>
    <row r="5050" spans="1:17" x14ac:dyDescent="0.2">
      <c r="A5050" s="121">
        <v>40939</v>
      </c>
      <c r="B5050" t="s">
        <v>406</v>
      </c>
      <c r="C5050" t="s">
        <v>418</v>
      </c>
      <c r="D5050" t="s">
        <v>425</v>
      </c>
      <c r="E5050" t="s">
        <v>426</v>
      </c>
      <c r="F5050" t="s">
        <v>410</v>
      </c>
      <c r="G5050">
        <v>79</v>
      </c>
      <c r="I5050">
        <v>79</v>
      </c>
    </row>
    <row r="5051" spans="1:17" x14ac:dyDescent="0.2">
      <c r="A5051" s="121">
        <v>40939</v>
      </c>
      <c r="B5051" t="s">
        <v>406</v>
      </c>
      <c r="C5051" t="s">
        <v>418</v>
      </c>
      <c r="D5051" t="s">
        <v>427</v>
      </c>
      <c r="E5051" t="s">
        <v>428</v>
      </c>
      <c r="F5051" t="s">
        <v>413</v>
      </c>
      <c r="G5051">
        <v>1906</v>
      </c>
      <c r="H5051">
        <v>1906</v>
      </c>
      <c r="I5051">
        <v>1827</v>
      </c>
      <c r="J5051">
        <v>1827</v>
      </c>
      <c r="K5051">
        <v>725</v>
      </c>
      <c r="L5051">
        <v>1</v>
      </c>
      <c r="M5051">
        <v>889</v>
      </c>
      <c r="N5051">
        <v>273</v>
      </c>
      <c r="O5051">
        <v>18</v>
      </c>
      <c r="P5051">
        <v>4</v>
      </c>
      <c r="Q5051">
        <v>0</v>
      </c>
    </row>
    <row r="5052" spans="1:17" x14ac:dyDescent="0.2">
      <c r="A5052" s="121">
        <v>40939</v>
      </c>
      <c r="B5052" t="s">
        <v>406</v>
      </c>
      <c r="C5052" t="s">
        <v>429</v>
      </c>
      <c r="D5052" t="s">
        <v>430</v>
      </c>
      <c r="E5052" t="s">
        <v>431</v>
      </c>
      <c r="F5052" t="s">
        <v>410</v>
      </c>
      <c r="G5052">
        <v>32</v>
      </c>
      <c r="I5052">
        <v>32</v>
      </c>
    </row>
    <row r="5053" spans="1:17" x14ac:dyDescent="0.2">
      <c r="A5053" s="121">
        <v>40939</v>
      </c>
      <c r="B5053" t="s">
        <v>406</v>
      </c>
      <c r="C5053" t="s">
        <v>429</v>
      </c>
      <c r="D5053" t="s">
        <v>432</v>
      </c>
      <c r="E5053" t="s">
        <v>433</v>
      </c>
      <c r="F5053" t="s">
        <v>410</v>
      </c>
      <c r="G5053">
        <v>30</v>
      </c>
      <c r="I5053">
        <v>30</v>
      </c>
    </row>
    <row r="5054" spans="1:17" x14ac:dyDescent="0.2">
      <c r="A5054" s="121">
        <v>40939</v>
      </c>
      <c r="B5054" t="s">
        <v>406</v>
      </c>
      <c r="C5054" t="s">
        <v>429</v>
      </c>
      <c r="D5054" t="s">
        <v>434</v>
      </c>
      <c r="E5054" t="s">
        <v>435</v>
      </c>
      <c r="F5054" t="s">
        <v>410</v>
      </c>
      <c r="G5054">
        <v>3</v>
      </c>
      <c r="I5054">
        <v>3</v>
      </c>
    </row>
    <row r="5055" spans="1:17" x14ac:dyDescent="0.2">
      <c r="A5055" s="121">
        <v>40939</v>
      </c>
      <c r="B5055" t="s">
        <v>406</v>
      </c>
      <c r="C5055" t="s">
        <v>429</v>
      </c>
      <c r="D5055" t="s">
        <v>436</v>
      </c>
      <c r="E5055" t="s">
        <v>437</v>
      </c>
      <c r="F5055" t="s">
        <v>410</v>
      </c>
      <c r="G5055">
        <v>19</v>
      </c>
      <c r="I5055">
        <v>19</v>
      </c>
    </row>
    <row r="5056" spans="1:17" x14ac:dyDescent="0.2">
      <c r="A5056" s="121">
        <v>40939</v>
      </c>
      <c r="B5056" t="s">
        <v>406</v>
      </c>
      <c r="C5056" t="s">
        <v>429</v>
      </c>
      <c r="D5056" t="s">
        <v>438</v>
      </c>
      <c r="E5056" t="s">
        <v>439</v>
      </c>
      <c r="F5056" t="s">
        <v>413</v>
      </c>
      <c r="G5056">
        <v>901</v>
      </c>
      <c r="H5056">
        <v>901</v>
      </c>
      <c r="I5056">
        <v>876</v>
      </c>
      <c r="J5056">
        <v>876</v>
      </c>
      <c r="K5056">
        <v>131</v>
      </c>
      <c r="L5056">
        <v>1</v>
      </c>
      <c r="M5056">
        <v>748</v>
      </c>
      <c r="N5056">
        <v>21</v>
      </c>
      <c r="O5056">
        <v>0</v>
      </c>
      <c r="P5056">
        <v>2</v>
      </c>
      <c r="Q5056">
        <v>0</v>
      </c>
    </row>
    <row r="5057" spans="1:17" x14ac:dyDescent="0.2">
      <c r="A5057" s="121">
        <v>40939</v>
      </c>
      <c r="B5057" t="s">
        <v>406</v>
      </c>
      <c r="C5057" t="s">
        <v>429</v>
      </c>
      <c r="D5057" t="s">
        <v>440</v>
      </c>
      <c r="E5057" t="s">
        <v>441</v>
      </c>
      <c r="F5057" t="s">
        <v>413</v>
      </c>
      <c r="G5057">
        <v>2683</v>
      </c>
      <c r="H5057">
        <v>2683</v>
      </c>
      <c r="I5057">
        <v>2527</v>
      </c>
      <c r="J5057">
        <v>2527</v>
      </c>
      <c r="K5057">
        <v>984</v>
      </c>
      <c r="L5057">
        <v>5</v>
      </c>
      <c r="M5057">
        <v>1614</v>
      </c>
      <c r="N5057">
        <v>80</v>
      </c>
      <c r="O5057">
        <v>0</v>
      </c>
      <c r="P5057">
        <v>1</v>
      </c>
      <c r="Q5057">
        <v>0</v>
      </c>
    </row>
    <row r="5058" spans="1:17" x14ac:dyDescent="0.2">
      <c r="A5058" s="121">
        <v>40939</v>
      </c>
      <c r="B5058" t="s">
        <v>406</v>
      </c>
      <c r="C5058" t="s">
        <v>442</v>
      </c>
      <c r="D5058" t="s">
        <v>443</v>
      </c>
      <c r="E5058" t="s">
        <v>444</v>
      </c>
      <c r="F5058" t="s">
        <v>413</v>
      </c>
      <c r="G5058">
        <v>3590</v>
      </c>
      <c r="H5058">
        <v>3590</v>
      </c>
      <c r="I5058">
        <v>3151</v>
      </c>
      <c r="J5058">
        <v>3151</v>
      </c>
      <c r="K5058">
        <v>660</v>
      </c>
      <c r="L5058">
        <v>11</v>
      </c>
      <c r="M5058">
        <v>2639</v>
      </c>
      <c r="N5058">
        <v>123</v>
      </c>
      <c r="O5058">
        <v>157</v>
      </c>
      <c r="P5058">
        <v>126</v>
      </c>
      <c r="Q5058">
        <v>43</v>
      </c>
    </row>
    <row r="5059" spans="1:17" x14ac:dyDescent="0.2">
      <c r="A5059" s="121">
        <v>40939</v>
      </c>
      <c r="B5059" t="s">
        <v>406</v>
      </c>
      <c r="C5059" t="s">
        <v>442</v>
      </c>
      <c r="D5059" t="s">
        <v>445</v>
      </c>
      <c r="E5059" t="s">
        <v>446</v>
      </c>
      <c r="F5059" t="s">
        <v>410</v>
      </c>
      <c r="G5059">
        <v>114</v>
      </c>
      <c r="I5059">
        <v>114</v>
      </c>
    </row>
    <row r="5060" spans="1:17" x14ac:dyDescent="0.2">
      <c r="A5060" s="121">
        <v>40939</v>
      </c>
      <c r="B5060" t="s">
        <v>406</v>
      </c>
      <c r="C5060" t="s">
        <v>442</v>
      </c>
      <c r="D5060" t="s">
        <v>447</v>
      </c>
      <c r="E5060" t="s">
        <v>448</v>
      </c>
      <c r="F5060" t="s">
        <v>410</v>
      </c>
      <c r="G5060">
        <v>278</v>
      </c>
      <c r="I5060">
        <v>278</v>
      </c>
    </row>
    <row r="5061" spans="1:17" x14ac:dyDescent="0.2">
      <c r="A5061" s="121">
        <v>40939</v>
      </c>
      <c r="B5061" t="s">
        <v>406</v>
      </c>
      <c r="C5061" t="s">
        <v>442</v>
      </c>
      <c r="D5061" t="s">
        <v>449</v>
      </c>
      <c r="E5061" t="s">
        <v>624</v>
      </c>
      <c r="F5061" t="s">
        <v>410</v>
      </c>
      <c r="G5061">
        <v>637</v>
      </c>
      <c r="H5061">
        <v>637</v>
      </c>
      <c r="I5061">
        <v>636</v>
      </c>
      <c r="J5061">
        <v>636</v>
      </c>
      <c r="K5061">
        <v>26</v>
      </c>
      <c r="L5061">
        <v>1</v>
      </c>
      <c r="M5061">
        <v>497</v>
      </c>
      <c r="N5061">
        <v>51</v>
      </c>
      <c r="O5061">
        <v>62</v>
      </c>
      <c r="P5061">
        <v>0</v>
      </c>
      <c r="Q5061">
        <v>0</v>
      </c>
    </row>
    <row r="5062" spans="1:17" x14ac:dyDescent="0.2">
      <c r="A5062" s="121">
        <v>40939</v>
      </c>
      <c r="B5062" t="s">
        <v>406</v>
      </c>
      <c r="C5062" t="s">
        <v>442</v>
      </c>
      <c r="D5062" t="s">
        <v>449</v>
      </c>
      <c r="E5062" t="s">
        <v>450</v>
      </c>
      <c r="F5062" t="s">
        <v>413</v>
      </c>
      <c r="G5062">
        <v>2253</v>
      </c>
      <c r="H5062">
        <v>2253</v>
      </c>
      <c r="I5062">
        <v>1908</v>
      </c>
      <c r="J5062">
        <v>1908</v>
      </c>
      <c r="K5062">
        <v>567</v>
      </c>
      <c r="L5062">
        <v>10</v>
      </c>
      <c r="M5062">
        <v>1593</v>
      </c>
      <c r="N5062">
        <v>51</v>
      </c>
      <c r="O5062">
        <v>32</v>
      </c>
      <c r="P5062">
        <v>74</v>
      </c>
      <c r="Q5062">
        <v>26</v>
      </c>
    </row>
    <row r="5063" spans="1:17" x14ac:dyDescent="0.2">
      <c r="A5063" s="121">
        <v>40939</v>
      </c>
      <c r="B5063" t="s">
        <v>406</v>
      </c>
      <c r="C5063" t="s">
        <v>451</v>
      </c>
      <c r="D5063" t="s">
        <v>454</v>
      </c>
      <c r="E5063" t="s">
        <v>621</v>
      </c>
      <c r="F5063" t="s">
        <v>410</v>
      </c>
      <c r="G5063">
        <v>992</v>
      </c>
      <c r="H5063">
        <v>992</v>
      </c>
      <c r="I5063">
        <v>992</v>
      </c>
      <c r="J5063">
        <v>992</v>
      </c>
      <c r="K5063">
        <v>2</v>
      </c>
      <c r="L5063">
        <v>0</v>
      </c>
      <c r="M5063">
        <v>853</v>
      </c>
      <c r="N5063">
        <v>55</v>
      </c>
      <c r="O5063">
        <v>82</v>
      </c>
      <c r="P5063">
        <v>0</v>
      </c>
      <c r="Q5063">
        <v>0</v>
      </c>
    </row>
    <row r="5064" spans="1:17" x14ac:dyDescent="0.2">
      <c r="A5064" s="121">
        <v>40939</v>
      </c>
      <c r="B5064" t="s">
        <v>406</v>
      </c>
      <c r="C5064" t="s">
        <v>451</v>
      </c>
      <c r="D5064" t="s">
        <v>622</v>
      </c>
      <c r="E5064" t="s">
        <v>623</v>
      </c>
      <c r="F5064" t="s">
        <v>413</v>
      </c>
      <c r="G5064">
        <v>4880</v>
      </c>
      <c r="H5064">
        <v>4880</v>
      </c>
      <c r="I5064">
        <v>4519</v>
      </c>
      <c r="J5064">
        <v>4519</v>
      </c>
      <c r="K5064">
        <v>1299</v>
      </c>
      <c r="L5064">
        <v>11</v>
      </c>
      <c r="M5064">
        <v>3343</v>
      </c>
      <c r="N5064">
        <v>27</v>
      </c>
      <c r="O5064">
        <v>200</v>
      </c>
      <c r="P5064">
        <v>11</v>
      </c>
      <c r="Q5064">
        <v>1</v>
      </c>
    </row>
    <row r="5065" spans="1:17" x14ac:dyDescent="0.2">
      <c r="A5065" s="121">
        <v>40939</v>
      </c>
      <c r="B5065" t="s">
        <v>406</v>
      </c>
      <c r="C5065" t="s">
        <v>456</v>
      </c>
      <c r="D5065" t="s">
        <v>457</v>
      </c>
      <c r="E5065" t="s">
        <v>458</v>
      </c>
      <c r="F5065" t="s">
        <v>413</v>
      </c>
      <c r="G5065">
        <v>5111</v>
      </c>
      <c r="H5065">
        <v>5111</v>
      </c>
      <c r="I5065">
        <v>4756</v>
      </c>
      <c r="J5065">
        <v>4756</v>
      </c>
      <c r="K5065">
        <v>1448</v>
      </c>
      <c r="L5065">
        <v>25</v>
      </c>
      <c r="M5065">
        <v>3498</v>
      </c>
      <c r="N5065">
        <v>71</v>
      </c>
      <c r="O5065">
        <v>69</v>
      </c>
      <c r="P5065">
        <v>54</v>
      </c>
      <c r="Q5065">
        <v>10</v>
      </c>
    </row>
    <row r="5066" spans="1:17" x14ac:dyDescent="0.2">
      <c r="A5066" s="121">
        <v>40939</v>
      </c>
      <c r="B5066" t="s">
        <v>406</v>
      </c>
      <c r="C5066" t="s">
        <v>456</v>
      </c>
      <c r="D5066" t="s">
        <v>459</v>
      </c>
      <c r="E5066" t="s">
        <v>460</v>
      </c>
      <c r="F5066" t="s">
        <v>413</v>
      </c>
      <c r="G5066">
        <v>1302</v>
      </c>
      <c r="H5066">
        <v>1302</v>
      </c>
      <c r="I5066">
        <v>1292</v>
      </c>
      <c r="J5066">
        <v>1292</v>
      </c>
      <c r="K5066">
        <v>406</v>
      </c>
      <c r="L5066">
        <v>1</v>
      </c>
      <c r="M5066">
        <v>892</v>
      </c>
      <c r="N5066">
        <v>2</v>
      </c>
      <c r="O5066">
        <v>1</v>
      </c>
      <c r="P5066">
        <v>0</v>
      </c>
      <c r="Q5066">
        <v>0</v>
      </c>
    </row>
    <row r="5067" spans="1:17" x14ac:dyDescent="0.2">
      <c r="A5067" s="121">
        <v>40939</v>
      </c>
      <c r="B5067" t="s">
        <v>406</v>
      </c>
      <c r="C5067" t="s">
        <v>456</v>
      </c>
      <c r="D5067" t="s">
        <v>461</v>
      </c>
      <c r="E5067" t="s">
        <v>462</v>
      </c>
      <c r="F5067" t="s">
        <v>410</v>
      </c>
      <c r="G5067">
        <v>49</v>
      </c>
      <c r="I5067">
        <v>49</v>
      </c>
    </row>
    <row r="5068" spans="1:17" x14ac:dyDescent="0.2">
      <c r="A5068" s="121">
        <v>40939</v>
      </c>
      <c r="B5068" t="s">
        <v>406</v>
      </c>
      <c r="C5068" t="s">
        <v>456</v>
      </c>
      <c r="D5068" t="s">
        <v>463</v>
      </c>
      <c r="E5068" t="s">
        <v>464</v>
      </c>
      <c r="F5068" t="s">
        <v>410</v>
      </c>
      <c r="G5068">
        <v>22</v>
      </c>
      <c r="I5068">
        <v>22</v>
      </c>
    </row>
    <row r="5069" spans="1:17" x14ac:dyDescent="0.2">
      <c r="A5069" s="121">
        <v>40939</v>
      </c>
      <c r="B5069" t="s">
        <v>406</v>
      </c>
      <c r="C5069" t="s">
        <v>456</v>
      </c>
      <c r="D5069" t="s">
        <v>465</v>
      </c>
      <c r="E5069" t="s">
        <v>466</v>
      </c>
      <c r="F5069" t="s">
        <v>410</v>
      </c>
      <c r="G5069">
        <v>37</v>
      </c>
      <c r="I5069">
        <v>37</v>
      </c>
    </row>
    <row r="5070" spans="1:17" x14ac:dyDescent="0.2">
      <c r="A5070" s="121">
        <v>40939</v>
      </c>
      <c r="B5070" t="s">
        <v>406</v>
      </c>
      <c r="C5070" t="s">
        <v>456</v>
      </c>
      <c r="D5070" t="s">
        <v>467</v>
      </c>
      <c r="E5070" t="s">
        <v>468</v>
      </c>
      <c r="F5070" t="s">
        <v>410</v>
      </c>
      <c r="G5070">
        <v>1054</v>
      </c>
      <c r="I5070">
        <v>1051</v>
      </c>
    </row>
    <row r="5071" spans="1:17" x14ac:dyDescent="0.2">
      <c r="A5071" s="121">
        <v>40939</v>
      </c>
      <c r="B5071" t="s">
        <v>406</v>
      </c>
      <c r="C5071" t="s">
        <v>456</v>
      </c>
      <c r="D5071" t="s">
        <v>469</v>
      </c>
      <c r="E5071" t="s">
        <v>470</v>
      </c>
      <c r="F5071" t="s">
        <v>410</v>
      </c>
      <c r="G5071">
        <v>849</v>
      </c>
      <c r="I5071">
        <v>849</v>
      </c>
    </row>
    <row r="5072" spans="1:17" x14ac:dyDescent="0.2">
      <c r="A5072" s="121">
        <v>40939</v>
      </c>
      <c r="B5072" t="s">
        <v>406</v>
      </c>
      <c r="C5072" t="s">
        <v>456</v>
      </c>
      <c r="D5072" t="s">
        <v>471</v>
      </c>
      <c r="E5072" t="s">
        <v>472</v>
      </c>
      <c r="F5072" t="s">
        <v>410</v>
      </c>
      <c r="G5072">
        <v>235</v>
      </c>
      <c r="I5072">
        <v>233</v>
      </c>
    </row>
    <row r="5073" spans="1:17" x14ac:dyDescent="0.2">
      <c r="A5073" s="121">
        <v>40939</v>
      </c>
      <c r="B5073" t="s">
        <v>406</v>
      </c>
      <c r="C5073" t="s">
        <v>456</v>
      </c>
      <c r="D5073" t="s">
        <v>473</v>
      </c>
      <c r="E5073" t="s">
        <v>474</v>
      </c>
      <c r="F5073" t="s">
        <v>410</v>
      </c>
      <c r="G5073">
        <v>153</v>
      </c>
      <c r="I5073">
        <v>153</v>
      </c>
    </row>
    <row r="5074" spans="1:17" x14ac:dyDescent="0.2">
      <c r="A5074" s="121">
        <v>40939</v>
      </c>
      <c r="B5074" t="s">
        <v>406</v>
      </c>
      <c r="C5074" t="s">
        <v>456</v>
      </c>
      <c r="D5074" t="s">
        <v>475</v>
      </c>
      <c r="E5074" t="s">
        <v>476</v>
      </c>
      <c r="F5074" t="s">
        <v>410</v>
      </c>
      <c r="G5074">
        <v>246</v>
      </c>
      <c r="I5074">
        <v>246</v>
      </c>
    </row>
    <row r="5075" spans="1:17" x14ac:dyDescent="0.2">
      <c r="A5075" s="121">
        <v>40939</v>
      </c>
      <c r="B5075" t="s">
        <v>406</v>
      </c>
      <c r="C5075" t="s">
        <v>456</v>
      </c>
      <c r="D5075" t="s">
        <v>477</v>
      </c>
      <c r="E5075" t="s">
        <v>478</v>
      </c>
      <c r="F5075" t="s">
        <v>413</v>
      </c>
      <c r="G5075">
        <v>1875</v>
      </c>
      <c r="H5075">
        <v>1875</v>
      </c>
      <c r="I5075">
        <v>1752</v>
      </c>
      <c r="J5075">
        <v>1752</v>
      </c>
      <c r="K5075">
        <v>495</v>
      </c>
      <c r="L5075">
        <v>9</v>
      </c>
      <c r="M5075">
        <v>1331</v>
      </c>
      <c r="N5075">
        <v>29</v>
      </c>
      <c r="O5075">
        <v>11</v>
      </c>
      <c r="P5075">
        <v>9</v>
      </c>
      <c r="Q5075">
        <v>1</v>
      </c>
    </row>
    <row r="5076" spans="1:17" x14ac:dyDescent="0.2">
      <c r="A5076" s="121">
        <v>40939</v>
      </c>
      <c r="B5076" t="s">
        <v>406</v>
      </c>
      <c r="C5076" t="s">
        <v>456</v>
      </c>
      <c r="D5076" t="s">
        <v>479</v>
      </c>
      <c r="E5076" t="s">
        <v>480</v>
      </c>
      <c r="F5076" t="s">
        <v>410</v>
      </c>
      <c r="G5076">
        <v>57</v>
      </c>
      <c r="I5076">
        <v>57</v>
      </c>
    </row>
    <row r="5077" spans="1:17" x14ac:dyDescent="0.2">
      <c r="A5077" s="121">
        <v>40939</v>
      </c>
      <c r="B5077" t="s">
        <v>406</v>
      </c>
      <c r="C5077" t="s">
        <v>456</v>
      </c>
      <c r="D5077" t="s">
        <v>481</v>
      </c>
      <c r="E5077" t="s">
        <v>482</v>
      </c>
      <c r="F5077" t="s">
        <v>410</v>
      </c>
      <c r="G5077">
        <v>22</v>
      </c>
      <c r="I5077">
        <v>22</v>
      </c>
    </row>
    <row r="5078" spans="1:17" x14ac:dyDescent="0.2">
      <c r="A5078" s="121">
        <v>40939</v>
      </c>
      <c r="B5078" t="s">
        <v>406</v>
      </c>
      <c r="C5078" t="s">
        <v>456</v>
      </c>
      <c r="D5078" t="s">
        <v>483</v>
      </c>
      <c r="E5078" t="s">
        <v>484</v>
      </c>
      <c r="F5078" t="s">
        <v>410</v>
      </c>
      <c r="G5078">
        <v>94</v>
      </c>
      <c r="I5078">
        <v>94</v>
      </c>
    </row>
    <row r="5079" spans="1:17" x14ac:dyDescent="0.2">
      <c r="A5079" s="121">
        <v>40939</v>
      </c>
      <c r="B5079" t="s">
        <v>406</v>
      </c>
      <c r="C5079" t="s">
        <v>456</v>
      </c>
      <c r="D5079" t="s">
        <v>485</v>
      </c>
      <c r="E5079" t="s">
        <v>486</v>
      </c>
      <c r="F5079" t="s">
        <v>410</v>
      </c>
      <c r="G5079">
        <v>36</v>
      </c>
      <c r="I5079">
        <v>36</v>
      </c>
    </row>
    <row r="5080" spans="1:17" x14ac:dyDescent="0.2">
      <c r="A5080" s="121">
        <v>40939</v>
      </c>
      <c r="B5080" t="s">
        <v>406</v>
      </c>
      <c r="C5080" t="s">
        <v>456</v>
      </c>
      <c r="D5080" t="s">
        <v>487</v>
      </c>
      <c r="E5080" t="s">
        <v>488</v>
      </c>
      <c r="F5080" t="s">
        <v>410</v>
      </c>
      <c r="G5080">
        <v>17</v>
      </c>
      <c r="I5080">
        <v>17</v>
      </c>
    </row>
    <row r="5081" spans="1:17" x14ac:dyDescent="0.2">
      <c r="A5081" s="121">
        <v>40939</v>
      </c>
      <c r="B5081" t="s">
        <v>406</v>
      </c>
      <c r="C5081" t="s">
        <v>456</v>
      </c>
      <c r="D5081" t="s">
        <v>489</v>
      </c>
      <c r="E5081" t="s">
        <v>490</v>
      </c>
      <c r="F5081" t="s">
        <v>410</v>
      </c>
      <c r="G5081">
        <v>81</v>
      </c>
      <c r="H5081">
        <v>81</v>
      </c>
      <c r="I5081">
        <v>81</v>
      </c>
      <c r="J5081">
        <v>81</v>
      </c>
      <c r="K5081">
        <v>0</v>
      </c>
      <c r="L5081">
        <v>0</v>
      </c>
      <c r="M5081">
        <v>72</v>
      </c>
      <c r="N5081">
        <v>9</v>
      </c>
      <c r="O5081">
        <v>0</v>
      </c>
      <c r="P5081">
        <v>0</v>
      </c>
      <c r="Q5081">
        <v>0</v>
      </c>
    </row>
    <row r="5082" spans="1:17" x14ac:dyDescent="0.2">
      <c r="A5082" s="121">
        <v>40939</v>
      </c>
      <c r="B5082" t="s">
        <v>406</v>
      </c>
      <c r="C5082" t="s">
        <v>491</v>
      </c>
      <c r="D5082" t="s">
        <v>492</v>
      </c>
      <c r="E5082" t="s">
        <v>493</v>
      </c>
      <c r="F5082" t="s">
        <v>410</v>
      </c>
      <c r="G5082">
        <v>1087</v>
      </c>
      <c r="H5082">
        <v>1087</v>
      </c>
      <c r="I5082">
        <v>1043</v>
      </c>
      <c r="J5082">
        <v>1043</v>
      </c>
      <c r="K5082">
        <v>173</v>
      </c>
      <c r="L5082">
        <v>0</v>
      </c>
      <c r="M5082">
        <v>2</v>
      </c>
      <c r="N5082">
        <v>22</v>
      </c>
      <c r="O5082">
        <v>890</v>
      </c>
      <c r="P5082">
        <v>1</v>
      </c>
      <c r="Q5082">
        <v>0</v>
      </c>
    </row>
    <row r="5083" spans="1:17" x14ac:dyDescent="0.2">
      <c r="A5083" s="121">
        <v>40939</v>
      </c>
      <c r="B5083" t="s">
        <v>406</v>
      </c>
      <c r="C5083" t="s">
        <v>491</v>
      </c>
      <c r="D5083" t="s">
        <v>494</v>
      </c>
      <c r="E5083" t="s">
        <v>495</v>
      </c>
      <c r="F5083" t="s">
        <v>413</v>
      </c>
      <c r="G5083">
        <v>2648</v>
      </c>
      <c r="H5083">
        <v>2648</v>
      </c>
      <c r="I5083">
        <v>2434</v>
      </c>
      <c r="J5083">
        <v>2434</v>
      </c>
      <c r="K5083">
        <v>797</v>
      </c>
      <c r="L5083">
        <v>10</v>
      </c>
      <c r="M5083">
        <v>1664</v>
      </c>
      <c r="N5083">
        <v>60</v>
      </c>
      <c r="O5083">
        <v>117</v>
      </c>
      <c r="P5083">
        <v>2</v>
      </c>
      <c r="Q5083">
        <v>0</v>
      </c>
    </row>
    <row r="5084" spans="1:17" x14ac:dyDescent="0.2">
      <c r="A5084" s="121">
        <v>40939</v>
      </c>
      <c r="B5084" t="s">
        <v>406</v>
      </c>
      <c r="C5084" t="s">
        <v>491</v>
      </c>
      <c r="D5084" t="s">
        <v>496</v>
      </c>
      <c r="E5084" t="s">
        <v>497</v>
      </c>
      <c r="F5084" t="s">
        <v>413</v>
      </c>
      <c r="G5084">
        <v>6084</v>
      </c>
      <c r="H5084">
        <v>6084</v>
      </c>
      <c r="I5084">
        <v>5551</v>
      </c>
      <c r="J5084">
        <v>5551</v>
      </c>
      <c r="K5084">
        <v>862</v>
      </c>
      <c r="L5084">
        <v>0</v>
      </c>
      <c r="M5084">
        <v>22</v>
      </c>
      <c r="N5084">
        <v>74</v>
      </c>
      <c r="O5084">
        <v>5126</v>
      </c>
      <c r="P5084">
        <v>20</v>
      </c>
      <c r="Q5084">
        <v>0</v>
      </c>
    </row>
    <row r="5085" spans="1:17" x14ac:dyDescent="0.2">
      <c r="A5085" s="121">
        <v>40939</v>
      </c>
      <c r="B5085" t="s">
        <v>406</v>
      </c>
      <c r="C5085" t="s">
        <v>491</v>
      </c>
      <c r="D5085" t="s">
        <v>498</v>
      </c>
      <c r="E5085" t="s">
        <v>499</v>
      </c>
      <c r="F5085" t="s">
        <v>413</v>
      </c>
      <c r="G5085">
        <v>7006</v>
      </c>
      <c r="H5085">
        <v>7006</v>
      </c>
      <c r="I5085">
        <v>6795</v>
      </c>
      <c r="J5085">
        <v>6795</v>
      </c>
      <c r="K5085">
        <v>1961</v>
      </c>
      <c r="L5085">
        <v>23</v>
      </c>
      <c r="M5085">
        <v>4609</v>
      </c>
      <c r="N5085">
        <v>154</v>
      </c>
      <c r="O5085">
        <v>259</v>
      </c>
      <c r="P5085">
        <v>4</v>
      </c>
      <c r="Q5085">
        <v>0</v>
      </c>
    </row>
    <row r="5086" spans="1:17" x14ac:dyDescent="0.2">
      <c r="A5086" s="121">
        <v>40939</v>
      </c>
      <c r="B5086" t="s">
        <v>406</v>
      </c>
      <c r="C5086" t="s">
        <v>491</v>
      </c>
      <c r="D5086" t="s">
        <v>500</v>
      </c>
      <c r="E5086" t="s">
        <v>620</v>
      </c>
      <c r="F5086" t="s">
        <v>410</v>
      </c>
      <c r="G5086">
        <v>1155</v>
      </c>
      <c r="H5086">
        <v>1155</v>
      </c>
      <c r="I5086">
        <v>1155</v>
      </c>
      <c r="J5086">
        <v>1155</v>
      </c>
      <c r="K5086">
        <v>5</v>
      </c>
      <c r="L5086">
        <v>0</v>
      </c>
      <c r="M5086">
        <v>1046</v>
      </c>
      <c r="N5086">
        <v>8</v>
      </c>
      <c r="O5086">
        <v>96</v>
      </c>
      <c r="P5086">
        <v>0</v>
      </c>
      <c r="Q5086">
        <v>0</v>
      </c>
    </row>
    <row r="5087" spans="1:17" x14ac:dyDescent="0.2">
      <c r="A5087" s="121">
        <v>40939</v>
      </c>
      <c r="B5087" t="s">
        <v>406</v>
      </c>
      <c r="C5087" t="s">
        <v>491</v>
      </c>
      <c r="D5087" t="s">
        <v>502</v>
      </c>
      <c r="E5087" t="s">
        <v>615</v>
      </c>
      <c r="F5087" t="s">
        <v>410</v>
      </c>
      <c r="G5087">
        <v>1411</v>
      </c>
      <c r="H5087">
        <v>1411</v>
      </c>
      <c r="I5087">
        <v>1411</v>
      </c>
      <c r="J5087">
        <v>1411</v>
      </c>
      <c r="K5087">
        <v>2</v>
      </c>
      <c r="L5087">
        <v>0</v>
      </c>
      <c r="M5087">
        <v>1368</v>
      </c>
      <c r="N5087">
        <v>8</v>
      </c>
      <c r="O5087">
        <v>33</v>
      </c>
      <c r="P5087">
        <v>0</v>
      </c>
      <c r="Q5087">
        <v>0</v>
      </c>
    </row>
    <row r="5088" spans="1:17" x14ac:dyDescent="0.2">
      <c r="A5088" s="121">
        <v>40939</v>
      </c>
      <c r="B5088" t="s">
        <v>406</v>
      </c>
      <c r="C5088" t="s">
        <v>491</v>
      </c>
      <c r="D5088" t="s">
        <v>502</v>
      </c>
      <c r="E5088" t="s">
        <v>503</v>
      </c>
      <c r="F5088" t="s">
        <v>413</v>
      </c>
      <c r="G5088">
        <v>5080</v>
      </c>
      <c r="H5088">
        <v>5080</v>
      </c>
      <c r="I5088">
        <v>4692</v>
      </c>
      <c r="J5088">
        <v>4692</v>
      </c>
      <c r="K5088">
        <v>1471</v>
      </c>
      <c r="L5088">
        <v>16</v>
      </c>
      <c r="M5088">
        <v>3384</v>
      </c>
      <c r="N5088">
        <v>129</v>
      </c>
      <c r="O5088">
        <v>80</v>
      </c>
      <c r="P5088">
        <v>26</v>
      </c>
      <c r="Q5088">
        <v>2</v>
      </c>
    </row>
    <row r="5089" spans="1:17" x14ac:dyDescent="0.2">
      <c r="A5089" s="121">
        <v>40939</v>
      </c>
      <c r="B5089" t="s">
        <v>406</v>
      </c>
      <c r="C5089" t="s">
        <v>491</v>
      </c>
      <c r="D5089" t="s">
        <v>504</v>
      </c>
      <c r="E5089" t="s">
        <v>505</v>
      </c>
      <c r="F5089" t="s">
        <v>413</v>
      </c>
      <c r="G5089">
        <v>3931</v>
      </c>
      <c r="H5089">
        <v>3931</v>
      </c>
      <c r="I5089">
        <v>3702</v>
      </c>
      <c r="J5089">
        <v>3702</v>
      </c>
      <c r="K5089">
        <v>1135</v>
      </c>
      <c r="L5089">
        <v>7</v>
      </c>
      <c r="M5089">
        <v>2666</v>
      </c>
      <c r="N5089">
        <v>95</v>
      </c>
      <c r="O5089">
        <v>28</v>
      </c>
      <c r="P5089">
        <v>8</v>
      </c>
      <c r="Q5089">
        <v>0</v>
      </c>
    </row>
    <row r="5090" spans="1:17" x14ac:dyDescent="0.2">
      <c r="A5090" s="121">
        <v>40939</v>
      </c>
      <c r="B5090" t="s">
        <v>406</v>
      </c>
      <c r="C5090" t="s">
        <v>491</v>
      </c>
      <c r="D5090" t="s">
        <v>506</v>
      </c>
      <c r="E5090" t="s">
        <v>507</v>
      </c>
      <c r="F5090" t="s">
        <v>413</v>
      </c>
      <c r="G5090">
        <v>3625</v>
      </c>
      <c r="H5090">
        <v>3625</v>
      </c>
      <c r="I5090">
        <v>3523</v>
      </c>
      <c r="J5090">
        <v>3523</v>
      </c>
      <c r="K5090">
        <v>543</v>
      </c>
      <c r="L5090">
        <v>0</v>
      </c>
      <c r="M5090">
        <v>3077</v>
      </c>
      <c r="N5090">
        <v>2</v>
      </c>
      <c r="O5090">
        <v>3</v>
      </c>
      <c r="P5090">
        <v>0</v>
      </c>
      <c r="Q5090">
        <v>0</v>
      </c>
    </row>
    <row r="5091" spans="1:17" x14ac:dyDescent="0.2">
      <c r="A5091" s="121">
        <v>40939</v>
      </c>
      <c r="B5091" t="s">
        <v>406</v>
      </c>
      <c r="C5091" t="s">
        <v>491</v>
      </c>
      <c r="D5091" t="s">
        <v>508</v>
      </c>
      <c r="E5091" t="s">
        <v>509</v>
      </c>
      <c r="F5091" t="s">
        <v>413</v>
      </c>
      <c r="G5091">
        <v>4987</v>
      </c>
      <c r="H5091">
        <v>4987</v>
      </c>
      <c r="I5091">
        <v>4440</v>
      </c>
      <c r="J5091">
        <v>4440</v>
      </c>
      <c r="K5091">
        <v>1628</v>
      </c>
      <c r="L5091">
        <v>11</v>
      </c>
      <c r="M5091">
        <v>2928</v>
      </c>
      <c r="N5091">
        <v>113</v>
      </c>
      <c r="O5091">
        <v>307</v>
      </c>
      <c r="P5091">
        <v>69</v>
      </c>
      <c r="Q5091">
        <v>0</v>
      </c>
    </row>
    <row r="5092" spans="1:17" x14ac:dyDescent="0.2">
      <c r="A5092" s="121">
        <v>40939</v>
      </c>
      <c r="B5092" t="s">
        <v>406</v>
      </c>
      <c r="C5092" t="s">
        <v>510</v>
      </c>
      <c r="D5092" t="s">
        <v>513</v>
      </c>
      <c r="E5092" t="s">
        <v>514</v>
      </c>
      <c r="F5092" t="s">
        <v>410</v>
      </c>
      <c r="G5092">
        <v>501</v>
      </c>
      <c r="I5092">
        <v>491</v>
      </c>
    </row>
    <row r="5093" spans="1:17" x14ac:dyDescent="0.2">
      <c r="A5093" s="121">
        <v>40939</v>
      </c>
      <c r="B5093" t="s">
        <v>406</v>
      </c>
      <c r="C5093" t="s">
        <v>510</v>
      </c>
      <c r="D5093" t="s">
        <v>515</v>
      </c>
      <c r="E5093" t="s">
        <v>516</v>
      </c>
      <c r="F5093" t="s">
        <v>410</v>
      </c>
      <c r="G5093">
        <v>65</v>
      </c>
      <c r="I5093">
        <v>64</v>
      </c>
    </row>
    <row r="5094" spans="1:17" x14ac:dyDescent="0.2">
      <c r="A5094" s="121">
        <v>40939</v>
      </c>
      <c r="B5094" t="s">
        <v>406</v>
      </c>
      <c r="C5094" t="s">
        <v>510</v>
      </c>
      <c r="D5094" t="s">
        <v>519</v>
      </c>
      <c r="E5094" t="s">
        <v>520</v>
      </c>
      <c r="F5094" t="s">
        <v>410</v>
      </c>
      <c r="G5094">
        <v>339</v>
      </c>
      <c r="I5094">
        <v>332</v>
      </c>
    </row>
    <row r="5095" spans="1:17" x14ac:dyDescent="0.2">
      <c r="A5095" s="121">
        <v>40939</v>
      </c>
      <c r="B5095" t="s">
        <v>406</v>
      </c>
      <c r="C5095" t="s">
        <v>510</v>
      </c>
      <c r="D5095" t="s">
        <v>521</v>
      </c>
      <c r="E5095" t="s">
        <v>522</v>
      </c>
      <c r="F5095" t="s">
        <v>410</v>
      </c>
      <c r="G5095">
        <v>30</v>
      </c>
      <c r="I5095">
        <v>30</v>
      </c>
    </row>
    <row r="5096" spans="1:17" x14ac:dyDescent="0.2">
      <c r="A5096" s="121">
        <v>40939</v>
      </c>
      <c r="B5096" t="s">
        <v>406</v>
      </c>
      <c r="C5096" t="s">
        <v>510</v>
      </c>
      <c r="D5096" t="s">
        <v>523</v>
      </c>
      <c r="E5096" t="s">
        <v>524</v>
      </c>
      <c r="F5096" t="s">
        <v>413</v>
      </c>
      <c r="G5096">
        <v>442</v>
      </c>
      <c r="I5096">
        <v>440</v>
      </c>
    </row>
    <row r="5097" spans="1:17" x14ac:dyDescent="0.2">
      <c r="A5097" s="121">
        <v>40939</v>
      </c>
      <c r="B5097" t="s">
        <v>406</v>
      </c>
      <c r="C5097" t="s">
        <v>510</v>
      </c>
      <c r="D5097" t="s">
        <v>525</v>
      </c>
      <c r="E5097" t="s">
        <v>526</v>
      </c>
      <c r="F5097" t="s">
        <v>410</v>
      </c>
      <c r="G5097">
        <v>413</v>
      </c>
      <c r="I5097">
        <v>398</v>
      </c>
    </row>
    <row r="5098" spans="1:17" x14ac:dyDescent="0.2">
      <c r="A5098" s="121">
        <v>40939</v>
      </c>
      <c r="B5098" t="s">
        <v>406</v>
      </c>
      <c r="C5098" t="s">
        <v>510</v>
      </c>
      <c r="D5098" t="s">
        <v>527</v>
      </c>
      <c r="E5098" t="s">
        <v>528</v>
      </c>
      <c r="F5098" t="s">
        <v>410</v>
      </c>
      <c r="G5098">
        <v>201</v>
      </c>
      <c r="I5098">
        <v>199</v>
      </c>
    </row>
    <row r="5099" spans="1:17" x14ac:dyDescent="0.2">
      <c r="A5099" s="121">
        <v>40939</v>
      </c>
      <c r="B5099" t="s">
        <v>406</v>
      </c>
      <c r="C5099" t="s">
        <v>510</v>
      </c>
      <c r="D5099" t="s">
        <v>529</v>
      </c>
      <c r="E5099" t="s">
        <v>530</v>
      </c>
      <c r="F5099" t="s">
        <v>413</v>
      </c>
      <c r="G5099">
        <v>515</v>
      </c>
      <c r="H5099">
        <v>515</v>
      </c>
      <c r="I5099">
        <v>497</v>
      </c>
      <c r="J5099">
        <v>497</v>
      </c>
      <c r="K5099">
        <v>156</v>
      </c>
      <c r="L5099">
        <v>0</v>
      </c>
      <c r="M5099">
        <v>356</v>
      </c>
      <c r="N5099">
        <v>3</v>
      </c>
      <c r="O5099">
        <v>0</v>
      </c>
      <c r="P5099">
        <v>0</v>
      </c>
      <c r="Q5099">
        <v>0</v>
      </c>
    </row>
    <row r="5100" spans="1:17" x14ac:dyDescent="0.2">
      <c r="A5100" s="121">
        <v>40939</v>
      </c>
      <c r="B5100" t="s">
        <v>406</v>
      </c>
      <c r="C5100" t="s">
        <v>510</v>
      </c>
      <c r="D5100" t="s">
        <v>531</v>
      </c>
      <c r="E5100" t="s">
        <v>532</v>
      </c>
      <c r="F5100" t="s">
        <v>410</v>
      </c>
      <c r="G5100">
        <v>19</v>
      </c>
      <c r="I5100">
        <v>19</v>
      </c>
    </row>
    <row r="5101" spans="1:17" x14ac:dyDescent="0.2">
      <c r="A5101" s="121">
        <v>40939</v>
      </c>
      <c r="B5101" t="s">
        <v>406</v>
      </c>
      <c r="C5101" t="s">
        <v>510</v>
      </c>
      <c r="D5101" t="s">
        <v>533</v>
      </c>
      <c r="E5101" t="s">
        <v>534</v>
      </c>
      <c r="F5101" t="s">
        <v>413</v>
      </c>
      <c r="G5101">
        <v>2321</v>
      </c>
      <c r="H5101">
        <v>2321</v>
      </c>
      <c r="I5101">
        <v>2279</v>
      </c>
      <c r="J5101">
        <v>2279</v>
      </c>
      <c r="K5101">
        <v>532</v>
      </c>
      <c r="L5101">
        <v>3</v>
      </c>
      <c r="M5101">
        <v>1785</v>
      </c>
      <c r="N5101">
        <v>1</v>
      </c>
      <c r="O5101">
        <v>0</v>
      </c>
      <c r="P5101">
        <v>0</v>
      </c>
      <c r="Q5101">
        <v>0</v>
      </c>
    </row>
    <row r="5102" spans="1:17" x14ac:dyDescent="0.2">
      <c r="A5102" s="121">
        <v>40939</v>
      </c>
      <c r="B5102" t="s">
        <v>406</v>
      </c>
      <c r="C5102" t="s">
        <v>510</v>
      </c>
      <c r="D5102" t="s">
        <v>535</v>
      </c>
      <c r="E5102" t="s">
        <v>536</v>
      </c>
      <c r="F5102" t="s">
        <v>410</v>
      </c>
      <c r="G5102">
        <v>289</v>
      </c>
      <c r="I5102">
        <v>289</v>
      </c>
    </row>
    <row r="5103" spans="1:17" x14ac:dyDescent="0.2">
      <c r="A5103" s="121">
        <v>40939</v>
      </c>
      <c r="B5103" t="s">
        <v>406</v>
      </c>
      <c r="C5103" t="s">
        <v>510</v>
      </c>
      <c r="D5103" t="s">
        <v>537</v>
      </c>
      <c r="E5103" t="s">
        <v>538</v>
      </c>
      <c r="F5103" t="s">
        <v>410</v>
      </c>
      <c r="G5103">
        <v>73</v>
      </c>
      <c r="I5103">
        <v>73</v>
      </c>
    </row>
    <row r="5104" spans="1:17" x14ac:dyDescent="0.2">
      <c r="A5104" s="121">
        <v>40939</v>
      </c>
      <c r="B5104" t="s">
        <v>406</v>
      </c>
      <c r="C5104" t="s">
        <v>510</v>
      </c>
      <c r="D5104" t="s">
        <v>539</v>
      </c>
      <c r="E5104" t="s">
        <v>540</v>
      </c>
      <c r="F5104" t="s">
        <v>413</v>
      </c>
      <c r="G5104">
        <v>625</v>
      </c>
      <c r="H5104">
        <v>625</v>
      </c>
      <c r="I5104">
        <v>598</v>
      </c>
      <c r="J5104">
        <v>598</v>
      </c>
      <c r="K5104">
        <v>157</v>
      </c>
      <c r="L5104">
        <v>2</v>
      </c>
      <c r="M5104">
        <v>465</v>
      </c>
      <c r="N5104">
        <v>1</v>
      </c>
      <c r="O5104">
        <v>0</v>
      </c>
      <c r="P5104">
        <v>2</v>
      </c>
      <c r="Q5104">
        <v>0</v>
      </c>
    </row>
    <row r="5105" spans="1:17" x14ac:dyDescent="0.2">
      <c r="A5105" s="121">
        <v>40939</v>
      </c>
      <c r="B5105" t="s">
        <v>406</v>
      </c>
      <c r="C5105" t="s">
        <v>510</v>
      </c>
      <c r="D5105" t="s">
        <v>541</v>
      </c>
      <c r="E5105" t="s">
        <v>542</v>
      </c>
      <c r="F5105" t="s">
        <v>410</v>
      </c>
      <c r="G5105">
        <v>291</v>
      </c>
      <c r="I5105">
        <v>291</v>
      </c>
    </row>
    <row r="5106" spans="1:17" x14ac:dyDescent="0.2">
      <c r="A5106" s="121">
        <v>40939</v>
      </c>
      <c r="B5106" t="s">
        <v>406</v>
      </c>
      <c r="C5106" t="s">
        <v>510</v>
      </c>
      <c r="D5106" t="s">
        <v>543</v>
      </c>
      <c r="E5106" t="s">
        <v>544</v>
      </c>
      <c r="F5106" t="s">
        <v>410</v>
      </c>
      <c r="G5106">
        <v>200</v>
      </c>
      <c r="I5106">
        <v>200</v>
      </c>
    </row>
    <row r="5107" spans="1:17" x14ac:dyDescent="0.2">
      <c r="A5107" s="121">
        <v>40939</v>
      </c>
      <c r="B5107" t="s">
        <v>406</v>
      </c>
      <c r="C5107" t="s">
        <v>510</v>
      </c>
      <c r="D5107" t="s">
        <v>545</v>
      </c>
      <c r="E5107" t="s">
        <v>546</v>
      </c>
      <c r="F5107" t="s">
        <v>410</v>
      </c>
      <c r="G5107">
        <v>116</v>
      </c>
      <c r="I5107">
        <v>116</v>
      </c>
    </row>
    <row r="5108" spans="1:17" x14ac:dyDescent="0.2">
      <c r="A5108" s="121">
        <v>40939</v>
      </c>
      <c r="B5108" t="s">
        <v>406</v>
      </c>
      <c r="C5108" t="s">
        <v>510</v>
      </c>
      <c r="D5108" t="s">
        <v>547</v>
      </c>
      <c r="E5108" t="s">
        <v>548</v>
      </c>
      <c r="F5108" t="s">
        <v>410</v>
      </c>
      <c r="G5108">
        <v>117</v>
      </c>
      <c r="I5108">
        <v>117</v>
      </c>
    </row>
    <row r="5109" spans="1:17" x14ac:dyDescent="0.2">
      <c r="A5109" s="121">
        <v>40939</v>
      </c>
      <c r="B5109" t="s">
        <v>406</v>
      </c>
      <c r="C5109" t="s">
        <v>510</v>
      </c>
      <c r="D5109" t="s">
        <v>616</v>
      </c>
      <c r="E5109" t="s">
        <v>617</v>
      </c>
      <c r="F5109" t="s">
        <v>410</v>
      </c>
      <c r="G5109">
        <v>252</v>
      </c>
      <c r="I5109">
        <v>249</v>
      </c>
    </row>
    <row r="5110" spans="1:17" x14ac:dyDescent="0.2">
      <c r="A5110" s="121">
        <v>40939</v>
      </c>
      <c r="B5110" t="s">
        <v>406</v>
      </c>
      <c r="C5110" t="s">
        <v>510</v>
      </c>
      <c r="D5110" t="s">
        <v>549</v>
      </c>
      <c r="E5110" t="s">
        <v>550</v>
      </c>
      <c r="F5110" t="s">
        <v>410</v>
      </c>
      <c r="G5110">
        <v>124</v>
      </c>
      <c r="I5110">
        <v>124</v>
      </c>
    </row>
    <row r="5111" spans="1:17" x14ac:dyDescent="0.2">
      <c r="A5111" s="121">
        <v>40939</v>
      </c>
      <c r="B5111" t="s">
        <v>406</v>
      </c>
      <c r="C5111" t="s">
        <v>551</v>
      </c>
      <c r="D5111" t="s">
        <v>552</v>
      </c>
      <c r="E5111" t="s">
        <v>553</v>
      </c>
      <c r="F5111" t="s">
        <v>413</v>
      </c>
      <c r="G5111">
        <v>5516</v>
      </c>
      <c r="H5111">
        <v>5516</v>
      </c>
      <c r="I5111">
        <v>5296</v>
      </c>
      <c r="J5111">
        <v>5296</v>
      </c>
      <c r="K5111">
        <v>1756</v>
      </c>
      <c r="L5111">
        <v>16</v>
      </c>
      <c r="M5111">
        <v>3336</v>
      </c>
      <c r="N5111">
        <v>264</v>
      </c>
      <c r="O5111">
        <v>144</v>
      </c>
      <c r="P5111">
        <v>6</v>
      </c>
      <c r="Q5111">
        <v>0</v>
      </c>
    </row>
    <row r="5112" spans="1:17" x14ac:dyDescent="0.2">
      <c r="A5112" s="121">
        <v>40939</v>
      </c>
      <c r="B5112" t="s">
        <v>406</v>
      </c>
      <c r="C5112" t="s">
        <v>551</v>
      </c>
      <c r="D5112" t="s">
        <v>554</v>
      </c>
      <c r="E5112" t="s">
        <v>555</v>
      </c>
      <c r="F5112" t="s">
        <v>410</v>
      </c>
      <c r="G5112">
        <v>36</v>
      </c>
      <c r="I5112">
        <v>36</v>
      </c>
    </row>
    <row r="5113" spans="1:17" x14ac:dyDescent="0.2">
      <c r="A5113" s="121">
        <v>40939</v>
      </c>
      <c r="B5113" t="s">
        <v>406</v>
      </c>
      <c r="C5113" t="s">
        <v>551</v>
      </c>
      <c r="D5113" t="s">
        <v>556</v>
      </c>
      <c r="E5113" t="s">
        <v>557</v>
      </c>
      <c r="F5113" t="s">
        <v>410</v>
      </c>
      <c r="G5113">
        <v>81</v>
      </c>
      <c r="I5113">
        <v>81</v>
      </c>
    </row>
    <row r="5114" spans="1:17" x14ac:dyDescent="0.2">
      <c r="A5114" s="121">
        <v>40939</v>
      </c>
      <c r="B5114" t="s">
        <v>406</v>
      </c>
      <c r="C5114" t="s">
        <v>551</v>
      </c>
      <c r="D5114" t="s">
        <v>558</v>
      </c>
      <c r="E5114" t="s">
        <v>559</v>
      </c>
      <c r="F5114" t="s">
        <v>413</v>
      </c>
      <c r="G5114">
        <v>4639</v>
      </c>
      <c r="H5114">
        <v>4639</v>
      </c>
      <c r="I5114">
        <v>4415</v>
      </c>
      <c r="J5114">
        <v>4415</v>
      </c>
      <c r="K5114">
        <v>1360</v>
      </c>
      <c r="L5114">
        <v>10</v>
      </c>
      <c r="M5114">
        <v>3026</v>
      </c>
      <c r="N5114">
        <v>189</v>
      </c>
      <c r="O5114">
        <v>54</v>
      </c>
      <c r="P5114">
        <v>38</v>
      </c>
      <c r="Q5114">
        <v>10</v>
      </c>
    </row>
    <row r="5115" spans="1:17" x14ac:dyDescent="0.2">
      <c r="A5115" s="121">
        <v>40939</v>
      </c>
      <c r="B5115" t="s">
        <v>406</v>
      </c>
      <c r="C5115" t="s">
        <v>551</v>
      </c>
      <c r="D5115" t="s">
        <v>560</v>
      </c>
      <c r="E5115" t="s">
        <v>561</v>
      </c>
      <c r="F5115" t="s">
        <v>413</v>
      </c>
      <c r="G5115">
        <v>5307</v>
      </c>
      <c r="H5115">
        <v>5307</v>
      </c>
      <c r="I5115">
        <v>5037</v>
      </c>
      <c r="J5115">
        <v>5037</v>
      </c>
      <c r="K5115">
        <v>1346</v>
      </c>
      <c r="L5115">
        <v>11</v>
      </c>
      <c r="M5115">
        <v>3516</v>
      </c>
      <c r="N5115">
        <v>354</v>
      </c>
      <c r="O5115">
        <v>80</v>
      </c>
      <c r="P5115">
        <v>10</v>
      </c>
      <c r="Q5115">
        <v>0</v>
      </c>
    </row>
    <row r="5116" spans="1:17" x14ac:dyDescent="0.2">
      <c r="A5116" s="121">
        <v>40939</v>
      </c>
      <c r="B5116" t="s">
        <v>406</v>
      </c>
      <c r="C5116" t="s">
        <v>562</v>
      </c>
      <c r="D5116" t="s">
        <v>603</v>
      </c>
      <c r="E5116" t="s">
        <v>604</v>
      </c>
      <c r="F5116" t="s">
        <v>410</v>
      </c>
      <c r="G5116">
        <v>10</v>
      </c>
      <c r="I5116">
        <v>10</v>
      </c>
    </row>
    <row r="5117" spans="1:17" x14ac:dyDescent="0.2">
      <c r="A5117" s="121">
        <v>40939</v>
      </c>
      <c r="B5117" t="s">
        <v>406</v>
      </c>
      <c r="C5117" t="s">
        <v>562</v>
      </c>
      <c r="D5117" t="s">
        <v>605</v>
      </c>
      <c r="E5117" t="s">
        <v>606</v>
      </c>
      <c r="F5117" t="s">
        <v>410</v>
      </c>
      <c r="G5117">
        <v>84</v>
      </c>
      <c r="I5117">
        <v>84</v>
      </c>
    </row>
    <row r="5118" spans="1:17" x14ac:dyDescent="0.2">
      <c r="A5118" s="121">
        <v>40939</v>
      </c>
      <c r="B5118" t="s">
        <v>406</v>
      </c>
      <c r="C5118" t="s">
        <v>562</v>
      </c>
      <c r="D5118" t="s">
        <v>563</v>
      </c>
      <c r="E5118" t="s">
        <v>564</v>
      </c>
      <c r="F5118" t="s">
        <v>410</v>
      </c>
      <c r="G5118">
        <v>3283</v>
      </c>
      <c r="H5118">
        <v>3283</v>
      </c>
      <c r="I5118">
        <v>3019</v>
      </c>
      <c r="J5118">
        <v>3019</v>
      </c>
      <c r="K5118">
        <v>1157</v>
      </c>
      <c r="L5118">
        <v>5</v>
      </c>
      <c r="M5118">
        <v>2088</v>
      </c>
      <c r="N5118">
        <v>33</v>
      </c>
      <c r="O5118">
        <v>0</v>
      </c>
      <c r="P5118">
        <v>23</v>
      </c>
      <c r="Q5118">
        <v>5</v>
      </c>
    </row>
    <row r="5119" spans="1:17" x14ac:dyDescent="0.2">
      <c r="A5119" s="121">
        <v>40939</v>
      </c>
      <c r="B5119" t="s">
        <v>406</v>
      </c>
      <c r="C5119" t="s">
        <v>562</v>
      </c>
      <c r="D5119" t="s">
        <v>565</v>
      </c>
      <c r="E5119" t="s">
        <v>566</v>
      </c>
      <c r="F5119" t="s">
        <v>413</v>
      </c>
      <c r="G5119">
        <v>4246</v>
      </c>
      <c r="H5119">
        <v>4246</v>
      </c>
      <c r="I5119">
        <v>4042</v>
      </c>
      <c r="J5119">
        <v>4042</v>
      </c>
      <c r="K5119">
        <v>1195</v>
      </c>
      <c r="L5119">
        <v>4</v>
      </c>
      <c r="M5119">
        <v>2925</v>
      </c>
      <c r="N5119">
        <v>122</v>
      </c>
      <c r="O5119">
        <v>0</v>
      </c>
      <c r="P5119">
        <v>16</v>
      </c>
      <c r="Q5119">
        <v>5</v>
      </c>
    </row>
    <row r="5120" spans="1:17" x14ac:dyDescent="0.2">
      <c r="A5120" s="121">
        <v>40939</v>
      </c>
      <c r="B5120" t="s">
        <v>406</v>
      </c>
      <c r="C5120" t="s">
        <v>562</v>
      </c>
      <c r="D5120" t="s">
        <v>567</v>
      </c>
      <c r="E5120" t="s">
        <v>568</v>
      </c>
      <c r="F5120" t="s">
        <v>413</v>
      </c>
      <c r="G5120">
        <v>9264</v>
      </c>
      <c r="H5120">
        <v>9264</v>
      </c>
      <c r="I5120">
        <v>8173</v>
      </c>
      <c r="J5120">
        <v>8173</v>
      </c>
      <c r="K5120">
        <v>2749</v>
      </c>
      <c r="L5120">
        <v>23</v>
      </c>
      <c r="M5120">
        <v>6076</v>
      </c>
      <c r="N5120">
        <v>416</v>
      </c>
      <c r="O5120">
        <v>0</v>
      </c>
      <c r="P5120">
        <v>156</v>
      </c>
      <c r="Q5120">
        <v>24</v>
      </c>
    </row>
    <row r="5121" spans="1:17" x14ac:dyDescent="0.2">
      <c r="A5121" s="121">
        <v>40939</v>
      </c>
      <c r="B5121" t="s">
        <v>406</v>
      </c>
      <c r="C5121" t="s">
        <v>562</v>
      </c>
      <c r="D5121" t="s">
        <v>569</v>
      </c>
      <c r="E5121" t="s">
        <v>570</v>
      </c>
      <c r="F5121" t="s">
        <v>413</v>
      </c>
      <c r="G5121">
        <v>3015</v>
      </c>
      <c r="H5121">
        <v>3015</v>
      </c>
      <c r="I5121">
        <v>2981</v>
      </c>
      <c r="J5121">
        <v>2981</v>
      </c>
      <c r="K5121">
        <v>438</v>
      </c>
      <c r="L5121">
        <v>3</v>
      </c>
      <c r="M5121">
        <v>2574</v>
      </c>
      <c r="N5121">
        <v>0</v>
      </c>
      <c r="O5121">
        <v>0</v>
      </c>
      <c r="P5121">
        <v>1</v>
      </c>
      <c r="Q5121">
        <v>0</v>
      </c>
    </row>
    <row r="5122" spans="1:17" x14ac:dyDescent="0.2">
      <c r="A5122" s="121">
        <v>40939</v>
      </c>
      <c r="B5122" t="s">
        <v>406</v>
      </c>
      <c r="C5122" t="s">
        <v>571</v>
      </c>
      <c r="D5122" t="s">
        <v>572</v>
      </c>
      <c r="E5122" t="s">
        <v>573</v>
      </c>
      <c r="F5122" t="s">
        <v>410</v>
      </c>
      <c r="G5122">
        <v>197</v>
      </c>
      <c r="H5122">
        <v>197</v>
      </c>
      <c r="I5122">
        <v>193</v>
      </c>
      <c r="J5122">
        <v>193</v>
      </c>
      <c r="K5122">
        <v>8</v>
      </c>
      <c r="L5122">
        <v>0</v>
      </c>
      <c r="M5122">
        <v>188</v>
      </c>
      <c r="N5122">
        <v>1</v>
      </c>
      <c r="O5122">
        <v>0</v>
      </c>
      <c r="P5122">
        <v>0</v>
      </c>
      <c r="Q5122">
        <v>0</v>
      </c>
    </row>
    <row r="5123" spans="1:17" x14ac:dyDescent="0.2">
      <c r="A5123" s="121">
        <v>40939</v>
      </c>
      <c r="B5123" t="s">
        <v>406</v>
      </c>
      <c r="C5123" t="s">
        <v>574</v>
      </c>
      <c r="D5123" t="s">
        <v>575</v>
      </c>
      <c r="E5123" t="s">
        <v>576</v>
      </c>
      <c r="F5123" t="s">
        <v>413</v>
      </c>
      <c r="G5123">
        <v>633</v>
      </c>
      <c r="H5123">
        <v>633</v>
      </c>
      <c r="I5123">
        <v>630</v>
      </c>
      <c r="J5123">
        <v>630</v>
      </c>
      <c r="K5123">
        <v>175</v>
      </c>
      <c r="L5123">
        <v>1</v>
      </c>
      <c r="M5123">
        <v>442</v>
      </c>
      <c r="N5123">
        <v>2</v>
      </c>
      <c r="O5123">
        <v>13</v>
      </c>
      <c r="P5123">
        <v>1</v>
      </c>
      <c r="Q5123">
        <v>0</v>
      </c>
    </row>
    <row r="5124" spans="1:17" x14ac:dyDescent="0.2">
      <c r="A5124" s="121">
        <v>40939</v>
      </c>
      <c r="B5124" t="s">
        <v>406</v>
      </c>
      <c r="C5124" t="s">
        <v>577</v>
      </c>
      <c r="D5124" t="s">
        <v>578</v>
      </c>
      <c r="E5124" t="s">
        <v>579</v>
      </c>
      <c r="F5124" t="s">
        <v>413</v>
      </c>
      <c r="G5124">
        <v>3851</v>
      </c>
      <c r="H5124">
        <v>3851</v>
      </c>
      <c r="I5124">
        <v>3766</v>
      </c>
      <c r="J5124">
        <v>3766</v>
      </c>
      <c r="K5124">
        <v>867</v>
      </c>
      <c r="L5124">
        <v>9</v>
      </c>
      <c r="M5124">
        <v>2734</v>
      </c>
      <c r="N5124">
        <v>241</v>
      </c>
      <c r="O5124">
        <v>0</v>
      </c>
      <c r="P5124">
        <v>2</v>
      </c>
      <c r="Q5124">
        <v>0</v>
      </c>
    </row>
    <row r="5125" spans="1:17" x14ac:dyDescent="0.2">
      <c r="A5125" s="121">
        <v>40939</v>
      </c>
      <c r="B5125" t="s">
        <v>406</v>
      </c>
      <c r="C5125" t="s">
        <v>577</v>
      </c>
      <c r="D5125" t="s">
        <v>580</v>
      </c>
      <c r="E5125" t="s">
        <v>581</v>
      </c>
      <c r="F5125" t="s">
        <v>413</v>
      </c>
      <c r="G5125">
        <v>1940</v>
      </c>
      <c r="H5125">
        <v>1940</v>
      </c>
      <c r="I5125">
        <v>1913</v>
      </c>
      <c r="J5125">
        <v>1913</v>
      </c>
      <c r="K5125">
        <v>378</v>
      </c>
      <c r="L5125">
        <v>0</v>
      </c>
      <c r="M5125">
        <v>1152</v>
      </c>
      <c r="N5125">
        <v>364</v>
      </c>
      <c r="O5125">
        <v>46</v>
      </c>
      <c r="P5125">
        <v>1</v>
      </c>
      <c r="Q5125">
        <v>1</v>
      </c>
    </row>
    <row r="5126" spans="1:17" x14ac:dyDescent="0.2">
      <c r="A5126" s="121">
        <v>40939</v>
      </c>
      <c r="B5126" t="s">
        <v>406</v>
      </c>
      <c r="C5126" t="s">
        <v>577</v>
      </c>
      <c r="D5126" t="s">
        <v>609</v>
      </c>
      <c r="E5126" t="s">
        <v>610</v>
      </c>
      <c r="F5126" t="s">
        <v>410</v>
      </c>
      <c r="G5126">
        <v>20</v>
      </c>
      <c r="H5126">
        <v>20</v>
      </c>
      <c r="I5126">
        <v>20</v>
      </c>
      <c r="J5126">
        <v>20</v>
      </c>
      <c r="K5126">
        <v>0</v>
      </c>
      <c r="L5126">
        <v>0</v>
      </c>
      <c r="M5126">
        <v>15</v>
      </c>
      <c r="N5126">
        <v>5</v>
      </c>
      <c r="O5126">
        <v>0</v>
      </c>
      <c r="P5126">
        <v>0</v>
      </c>
      <c r="Q5126">
        <v>0</v>
      </c>
    </row>
    <row r="5127" spans="1:17" x14ac:dyDescent="0.2">
      <c r="A5127" s="121">
        <v>40939</v>
      </c>
      <c r="B5127" t="s">
        <v>406</v>
      </c>
      <c r="C5127" t="s">
        <v>577</v>
      </c>
      <c r="D5127" t="s">
        <v>611</v>
      </c>
      <c r="E5127" t="s">
        <v>612</v>
      </c>
      <c r="F5127" t="s">
        <v>410</v>
      </c>
      <c r="G5127">
        <v>2</v>
      </c>
      <c r="H5127">
        <v>2</v>
      </c>
      <c r="I5127">
        <v>2</v>
      </c>
      <c r="J5127">
        <v>2</v>
      </c>
      <c r="K5127">
        <v>0</v>
      </c>
      <c r="L5127">
        <v>0</v>
      </c>
      <c r="M5127">
        <v>1</v>
      </c>
      <c r="N5127">
        <v>0</v>
      </c>
      <c r="O5127">
        <v>1</v>
      </c>
      <c r="P5127">
        <v>0</v>
      </c>
      <c r="Q5127">
        <v>0</v>
      </c>
    </row>
    <row r="5128" spans="1:17" x14ac:dyDescent="0.2">
      <c r="A5128" s="121">
        <v>40939</v>
      </c>
      <c r="B5128" t="s">
        <v>406</v>
      </c>
      <c r="C5128" t="s">
        <v>577</v>
      </c>
      <c r="D5128" t="s">
        <v>584</v>
      </c>
      <c r="E5128" t="s">
        <v>585</v>
      </c>
      <c r="F5128" t="s">
        <v>410</v>
      </c>
      <c r="G5128">
        <v>245</v>
      </c>
      <c r="H5128">
        <v>245</v>
      </c>
      <c r="I5128">
        <v>245</v>
      </c>
      <c r="J5128">
        <v>245</v>
      </c>
      <c r="K5128">
        <v>2</v>
      </c>
      <c r="L5128">
        <v>0</v>
      </c>
      <c r="M5128">
        <v>218</v>
      </c>
      <c r="N5128">
        <v>20</v>
      </c>
      <c r="O5128">
        <v>5</v>
      </c>
      <c r="P5128">
        <v>0</v>
      </c>
      <c r="Q5128">
        <v>0</v>
      </c>
    </row>
    <row r="5129" spans="1:17" x14ac:dyDescent="0.2">
      <c r="A5129" s="121">
        <v>40939</v>
      </c>
      <c r="B5129" t="s">
        <v>406</v>
      </c>
      <c r="C5129" t="s">
        <v>577</v>
      </c>
      <c r="D5129" t="s">
        <v>586</v>
      </c>
      <c r="E5129" t="s">
        <v>587</v>
      </c>
      <c r="F5129" t="s">
        <v>410</v>
      </c>
      <c r="G5129">
        <v>1172</v>
      </c>
      <c r="H5129">
        <v>1172</v>
      </c>
      <c r="I5129">
        <v>1171</v>
      </c>
      <c r="J5129">
        <v>1171</v>
      </c>
      <c r="K5129">
        <v>0</v>
      </c>
      <c r="L5129">
        <v>1</v>
      </c>
      <c r="M5129">
        <v>1070</v>
      </c>
      <c r="N5129">
        <v>100</v>
      </c>
      <c r="O5129">
        <v>1</v>
      </c>
      <c r="P5129">
        <v>0</v>
      </c>
      <c r="Q5129">
        <v>0</v>
      </c>
    </row>
    <row r="5130" spans="1:17" x14ac:dyDescent="0.2">
      <c r="A5130" s="121">
        <v>40939</v>
      </c>
      <c r="B5130" t="s">
        <v>406</v>
      </c>
      <c r="C5130" t="s">
        <v>577</v>
      </c>
      <c r="D5130" t="s">
        <v>588</v>
      </c>
      <c r="E5130" t="s">
        <v>589</v>
      </c>
      <c r="F5130" t="s">
        <v>410</v>
      </c>
      <c r="G5130">
        <v>240</v>
      </c>
      <c r="H5130">
        <v>240</v>
      </c>
      <c r="I5130">
        <v>240</v>
      </c>
      <c r="J5130">
        <v>240</v>
      </c>
      <c r="K5130">
        <v>0</v>
      </c>
      <c r="L5130">
        <v>0</v>
      </c>
      <c r="M5130">
        <v>204</v>
      </c>
      <c r="N5130">
        <v>22</v>
      </c>
      <c r="O5130">
        <v>14</v>
      </c>
      <c r="P5130">
        <v>0</v>
      </c>
      <c r="Q5130">
        <v>0</v>
      </c>
    </row>
    <row r="5131" spans="1:17" x14ac:dyDescent="0.2">
      <c r="A5131" s="121">
        <v>40939</v>
      </c>
      <c r="B5131" t="s">
        <v>406</v>
      </c>
      <c r="C5131" t="s">
        <v>577</v>
      </c>
      <c r="D5131" t="s">
        <v>613</v>
      </c>
      <c r="E5131" t="s">
        <v>614</v>
      </c>
      <c r="F5131" t="s">
        <v>410</v>
      </c>
      <c r="G5131">
        <v>176</v>
      </c>
      <c r="H5131">
        <v>176</v>
      </c>
      <c r="I5131">
        <v>176</v>
      </c>
      <c r="J5131">
        <v>176</v>
      </c>
      <c r="K5131">
        <v>0</v>
      </c>
      <c r="L5131">
        <v>0</v>
      </c>
      <c r="M5131">
        <v>148</v>
      </c>
      <c r="N5131">
        <v>13</v>
      </c>
      <c r="O5131">
        <v>15</v>
      </c>
      <c r="P5131">
        <v>0</v>
      </c>
      <c r="Q5131">
        <v>0</v>
      </c>
    </row>
    <row r="5132" spans="1:17" x14ac:dyDescent="0.2">
      <c r="A5132" s="121">
        <v>40939</v>
      </c>
      <c r="B5132" t="s">
        <v>406</v>
      </c>
      <c r="C5132" t="s">
        <v>577</v>
      </c>
      <c r="D5132" t="s">
        <v>590</v>
      </c>
      <c r="E5132" t="s">
        <v>591</v>
      </c>
      <c r="F5132" t="s">
        <v>410</v>
      </c>
      <c r="G5132">
        <v>596</v>
      </c>
      <c r="H5132">
        <v>596</v>
      </c>
      <c r="I5132">
        <v>595</v>
      </c>
      <c r="J5132">
        <v>595</v>
      </c>
      <c r="K5132">
        <v>0</v>
      </c>
      <c r="L5132">
        <v>0</v>
      </c>
      <c r="M5132">
        <v>543</v>
      </c>
      <c r="N5132">
        <v>43</v>
      </c>
      <c r="O5132">
        <v>10</v>
      </c>
      <c r="P5132">
        <v>0</v>
      </c>
      <c r="Q5132">
        <v>0</v>
      </c>
    </row>
    <row r="5133" spans="1:17" x14ac:dyDescent="0.2">
      <c r="A5133" s="121">
        <v>40939</v>
      </c>
      <c r="B5133" t="s">
        <v>406</v>
      </c>
      <c r="C5133" t="s">
        <v>577</v>
      </c>
      <c r="D5133" t="s">
        <v>607</v>
      </c>
      <c r="E5133" t="s">
        <v>608</v>
      </c>
      <c r="F5133" t="s">
        <v>410</v>
      </c>
      <c r="G5133">
        <v>121</v>
      </c>
      <c r="H5133">
        <v>121</v>
      </c>
      <c r="I5133">
        <v>121</v>
      </c>
      <c r="J5133">
        <v>121</v>
      </c>
      <c r="K5133">
        <v>0</v>
      </c>
      <c r="L5133">
        <v>0</v>
      </c>
      <c r="M5133">
        <v>109</v>
      </c>
      <c r="N5133">
        <v>12</v>
      </c>
      <c r="O5133">
        <v>0</v>
      </c>
      <c r="P5133">
        <v>0</v>
      </c>
      <c r="Q5133">
        <v>0</v>
      </c>
    </row>
    <row r="5134" spans="1:17" x14ac:dyDescent="0.2">
      <c r="A5134" s="121">
        <v>40939</v>
      </c>
      <c r="B5134" t="s">
        <v>406</v>
      </c>
      <c r="C5134" t="s">
        <v>577</v>
      </c>
      <c r="D5134" t="s">
        <v>592</v>
      </c>
      <c r="E5134" t="s">
        <v>593</v>
      </c>
      <c r="F5134" t="s">
        <v>410</v>
      </c>
      <c r="G5134">
        <v>518</v>
      </c>
      <c r="H5134">
        <v>518</v>
      </c>
      <c r="I5134">
        <v>518</v>
      </c>
      <c r="J5134">
        <v>518</v>
      </c>
      <c r="K5134">
        <v>0</v>
      </c>
      <c r="L5134">
        <v>0</v>
      </c>
      <c r="M5134">
        <v>440</v>
      </c>
      <c r="N5134">
        <v>55</v>
      </c>
      <c r="O5134">
        <v>23</v>
      </c>
      <c r="P5134">
        <v>0</v>
      </c>
      <c r="Q5134">
        <v>0</v>
      </c>
    </row>
    <row r="5135" spans="1:17" x14ac:dyDescent="0.2">
      <c r="A5135" s="121">
        <v>40939</v>
      </c>
      <c r="B5135" t="s">
        <v>406</v>
      </c>
      <c r="C5135" t="s">
        <v>594</v>
      </c>
      <c r="D5135" t="s">
        <v>595</v>
      </c>
      <c r="E5135" t="s">
        <v>596</v>
      </c>
      <c r="F5135" t="s">
        <v>410</v>
      </c>
      <c r="G5135">
        <v>18</v>
      </c>
      <c r="I5135">
        <v>18</v>
      </c>
    </row>
    <row r="5136" spans="1:17" x14ac:dyDescent="0.2">
      <c r="A5136" s="121">
        <v>40939</v>
      </c>
      <c r="B5136" t="s">
        <v>406</v>
      </c>
      <c r="C5136" t="s">
        <v>594</v>
      </c>
      <c r="D5136" t="s">
        <v>597</v>
      </c>
      <c r="E5136" t="s">
        <v>598</v>
      </c>
      <c r="F5136" t="s">
        <v>413</v>
      </c>
      <c r="G5136">
        <v>527</v>
      </c>
      <c r="H5136">
        <v>527</v>
      </c>
      <c r="I5136">
        <v>510</v>
      </c>
      <c r="J5136">
        <v>510</v>
      </c>
      <c r="K5136">
        <v>151</v>
      </c>
      <c r="L5136">
        <v>0</v>
      </c>
      <c r="M5136">
        <v>353</v>
      </c>
      <c r="N5136">
        <v>21</v>
      </c>
      <c r="O5136">
        <v>2</v>
      </c>
      <c r="P5136">
        <v>0</v>
      </c>
      <c r="Q5136">
        <v>0</v>
      </c>
    </row>
    <row r="5137" spans="1:17" x14ac:dyDescent="0.2">
      <c r="A5137" s="121">
        <v>40939</v>
      </c>
      <c r="B5137" t="s">
        <v>406</v>
      </c>
      <c r="C5137" t="s">
        <v>594</v>
      </c>
      <c r="D5137" t="s">
        <v>599</v>
      </c>
      <c r="E5137" t="s">
        <v>600</v>
      </c>
      <c r="F5137" t="s">
        <v>410</v>
      </c>
      <c r="G5137">
        <v>84</v>
      </c>
      <c r="I5137">
        <v>84</v>
      </c>
    </row>
    <row r="5138" spans="1:17" x14ac:dyDescent="0.2">
      <c r="A5138" s="121">
        <v>40968</v>
      </c>
      <c r="B5138" t="s">
        <v>406</v>
      </c>
      <c r="C5138" t="s">
        <v>407</v>
      </c>
      <c r="D5138" t="s">
        <v>408</v>
      </c>
      <c r="E5138" t="s">
        <v>409</v>
      </c>
      <c r="F5138" t="s">
        <v>410</v>
      </c>
      <c r="G5138">
        <v>138</v>
      </c>
      <c r="I5138">
        <v>138</v>
      </c>
    </row>
    <row r="5139" spans="1:17" x14ac:dyDescent="0.2">
      <c r="A5139" s="121">
        <v>40968</v>
      </c>
      <c r="B5139" t="s">
        <v>406</v>
      </c>
      <c r="C5139" t="s">
        <v>407</v>
      </c>
      <c r="D5139" t="s">
        <v>601</v>
      </c>
      <c r="E5139" t="s">
        <v>602</v>
      </c>
      <c r="F5139" t="s">
        <v>410</v>
      </c>
      <c r="G5139">
        <v>42</v>
      </c>
      <c r="I5139">
        <v>42</v>
      </c>
    </row>
    <row r="5140" spans="1:17" x14ac:dyDescent="0.2">
      <c r="A5140" s="121">
        <v>40968</v>
      </c>
      <c r="B5140" t="s">
        <v>406</v>
      </c>
      <c r="C5140" t="s">
        <v>407</v>
      </c>
      <c r="D5140" t="s">
        <v>411</v>
      </c>
      <c r="E5140" t="s">
        <v>412</v>
      </c>
      <c r="F5140" t="s">
        <v>413</v>
      </c>
      <c r="G5140">
        <v>5452</v>
      </c>
      <c r="H5140">
        <v>5452</v>
      </c>
      <c r="I5140">
        <v>5154</v>
      </c>
      <c r="J5140">
        <v>5154</v>
      </c>
      <c r="K5140">
        <v>2251</v>
      </c>
      <c r="L5140">
        <v>9</v>
      </c>
      <c r="M5140">
        <v>2718</v>
      </c>
      <c r="N5140">
        <v>110</v>
      </c>
      <c r="O5140">
        <v>364</v>
      </c>
      <c r="P5140">
        <v>4</v>
      </c>
      <c r="Q5140">
        <v>0</v>
      </c>
    </row>
    <row r="5141" spans="1:17" x14ac:dyDescent="0.2">
      <c r="A5141" s="121">
        <v>40968</v>
      </c>
      <c r="B5141" t="s">
        <v>406</v>
      </c>
      <c r="C5141" t="s">
        <v>407</v>
      </c>
      <c r="D5141" t="s">
        <v>416</v>
      </c>
      <c r="E5141" t="s">
        <v>417</v>
      </c>
      <c r="F5141" t="s">
        <v>413</v>
      </c>
      <c r="G5141">
        <v>3389</v>
      </c>
      <c r="H5141">
        <v>3389</v>
      </c>
      <c r="I5141">
        <v>3262</v>
      </c>
      <c r="J5141">
        <v>3262</v>
      </c>
      <c r="K5141">
        <v>1242</v>
      </c>
      <c r="L5141">
        <v>6</v>
      </c>
      <c r="M5141">
        <v>1928</v>
      </c>
      <c r="N5141">
        <v>125</v>
      </c>
      <c r="O5141">
        <v>88</v>
      </c>
      <c r="P5141">
        <v>3</v>
      </c>
      <c r="Q5141">
        <v>0</v>
      </c>
    </row>
    <row r="5142" spans="1:17" x14ac:dyDescent="0.2">
      <c r="A5142" s="121">
        <v>40968</v>
      </c>
      <c r="B5142" t="s">
        <v>406</v>
      </c>
      <c r="C5142" t="s">
        <v>407</v>
      </c>
      <c r="D5142" t="s">
        <v>618</v>
      </c>
      <c r="E5142" t="s">
        <v>619</v>
      </c>
      <c r="F5142" t="s">
        <v>410</v>
      </c>
      <c r="G5142">
        <v>86</v>
      </c>
      <c r="I5142">
        <v>86</v>
      </c>
    </row>
    <row r="5143" spans="1:17" x14ac:dyDescent="0.2">
      <c r="A5143" s="121">
        <v>40968</v>
      </c>
      <c r="B5143" t="s">
        <v>406</v>
      </c>
      <c r="C5143" t="s">
        <v>418</v>
      </c>
      <c r="D5143" t="s">
        <v>419</v>
      </c>
      <c r="E5143" t="s">
        <v>420</v>
      </c>
      <c r="F5143" t="s">
        <v>410</v>
      </c>
      <c r="G5143">
        <v>16</v>
      </c>
      <c r="I5143">
        <v>16</v>
      </c>
    </row>
    <row r="5144" spans="1:17" x14ac:dyDescent="0.2">
      <c r="A5144" s="121">
        <v>40968</v>
      </c>
      <c r="B5144" t="s">
        <v>406</v>
      </c>
      <c r="C5144" t="s">
        <v>418</v>
      </c>
      <c r="D5144" t="s">
        <v>421</v>
      </c>
      <c r="E5144" t="s">
        <v>422</v>
      </c>
      <c r="F5144" t="s">
        <v>410</v>
      </c>
      <c r="G5144">
        <v>113</v>
      </c>
      <c r="I5144">
        <v>113</v>
      </c>
    </row>
    <row r="5145" spans="1:17" x14ac:dyDescent="0.2">
      <c r="A5145" s="121">
        <v>40968</v>
      </c>
      <c r="B5145" t="s">
        <v>406</v>
      </c>
      <c r="C5145" t="s">
        <v>418</v>
      </c>
      <c r="D5145" t="s">
        <v>423</v>
      </c>
      <c r="E5145" t="s">
        <v>424</v>
      </c>
      <c r="F5145" t="s">
        <v>410</v>
      </c>
      <c r="G5145">
        <v>17</v>
      </c>
      <c r="I5145">
        <v>17</v>
      </c>
    </row>
    <row r="5146" spans="1:17" x14ac:dyDescent="0.2">
      <c r="A5146" s="121">
        <v>40968</v>
      </c>
      <c r="B5146" t="s">
        <v>406</v>
      </c>
      <c r="C5146" t="s">
        <v>418</v>
      </c>
      <c r="D5146" t="s">
        <v>425</v>
      </c>
      <c r="E5146" t="s">
        <v>426</v>
      </c>
      <c r="F5146" t="s">
        <v>410</v>
      </c>
      <c r="G5146">
        <v>78</v>
      </c>
      <c r="I5146">
        <v>78</v>
      </c>
    </row>
    <row r="5147" spans="1:17" x14ac:dyDescent="0.2">
      <c r="A5147" s="121">
        <v>40968</v>
      </c>
      <c r="B5147" t="s">
        <v>406</v>
      </c>
      <c r="C5147" t="s">
        <v>418</v>
      </c>
      <c r="D5147" t="s">
        <v>427</v>
      </c>
      <c r="E5147" t="s">
        <v>428</v>
      </c>
      <c r="F5147" t="s">
        <v>413</v>
      </c>
      <c r="G5147">
        <v>1859</v>
      </c>
      <c r="H5147">
        <v>1859</v>
      </c>
      <c r="I5147">
        <v>1782</v>
      </c>
      <c r="J5147">
        <v>1782</v>
      </c>
      <c r="K5147">
        <v>702</v>
      </c>
      <c r="L5147">
        <v>4</v>
      </c>
      <c r="M5147">
        <v>734</v>
      </c>
      <c r="N5147">
        <v>399</v>
      </c>
      <c r="O5147">
        <v>20</v>
      </c>
      <c r="P5147">
        <v>6</v>
      </c>
      <c r="Q5147">
        <v>0</v>
      </c>
    </row>
    <row r="5148" spans="1:17" x14ac:dyDescent="0.2">
      <c r="A5148" s="121">
        <v>40968</v>
      </c>
      <c r="B5148" t="s">
        <v>406</v>
      </c>
      <c r="C5148" t="s">
        <v>429</v>
      </c>
      <c r="D5148" t="s">
        <v>430</v>
      </c>
      <c r="E5148" t="s">
        <v>431</v>
      </c>
      <c r="F5148" t="s">
        <v>410</v>
      </c>
      <c r="G5148">
        <v>18</v>
      </c>
      <c r="I5148">
        <v>18</v>
      </c>
    </row>
    <row r="5149" spans="1:17" x14ac:dyDescent="0.2">
      <c r="A5149" s="121">
        <v>40968</v>
      </c>
      <c r="B5149" t="s">
        <v>406</v>
      </c>
      <c r="C5149" t="s">
        <v>429</v>
      </c>
      <c r="D5149" t="s">
        <v>432</v>
      </c>
      <c r="E5149" t="s">
        <v>433</v>
      </c>
      <c r="F5149" t="s">
        <v>410</v>
      </c>
      <c r="G5149">
        <v>42</v>
      </c>
      <c r="I5149">
        <v>42</v>
      </c>
    </row>
    <row r="5150" spans="1:17" x14ac:dyDescent="0.2">
      <c r="A5150" s="121">
        <v>40968</v>
      </c>
      <c r="B5150" t="s">
        <v>406</v>
      </c>
      <c r="C5150" t="s">
        <v>429</v>
      </c>
      <c r="D5150" t="s">
        <v>434</v>
      </c>
      <c r="E5150" t="s">
        <v>435</v>
      </c>
      <c r="F5150" t="s">
        <v>410</v>
      </c>
      <c r="G5150">
        <v>5</v>
      </c>
      <c r="I5150">
        <v>5</v>
      </c>
    </row>
    <row r="5151" spans="1:17" x14ac:dyDescent="0.2">
      <c r="A5151" s="121">
        <v>40968</v>
      </c>
      <c r="B5151" t="s">
        <v>406</v>
      </c>
      <c r="C5151" t="s">
        <v>429</v>
      </c>
      <c r="D5151" t="s">
        <v>436</v>
      </c>
      <c r="E5151" t="s">
        <v>437</v>
      </c>
      <c r="F5151" t="s">
        <v>410</v>
      </c>
      <c r="G5151">
        <v>22</v>
      </c>
      <c r="I5151">
        <v>22</v>
      </c>
    </row>
    <row r="5152" spans="1:17" x14ac:dyDescent="0.2">
      <c r="A5152" s="121">
        <v>40968</v>
      </c>
      <c r="B5152" t="s">
        <v>406</v>
      </c>
      <c r="C5152" t="s">
        <v>429</v>
      </c>
      <c r="D5152" t="s">
        <v>438</v>
      </c>
      <c r="E5152" t="s">
        <v>439</v>
      </c>
      <c r="F5152" t="s">
        <v>413</v>
      </c>
      <c r="G5152">
        <v>901</v>
      </c>
      <c r="H5152">
        <v>901</v>
      </c>
      <c r="I5152">
        <v>890</v>
      </c>
      <c r="J5152">
        <v>890</v>
      </c>
      <c r="K5152">
        <v>121</v>
      </c>
      <c r="L5152">
        <v>1</v>
      </c>
      <c r="M5152">
        <v>771</v>
      </c>
      <c r="N5152">
        <v>8</v>
      </c>
      <c r="O5152">
        <v>0</v>
      </c>
      <c r="P5152">
        <v>0</v>
      </c>
      <c r="Q5152">
        <v>0</v>
      </c>
    </row>
    <row r="5153" spans="1:17" x14ac:dyDescent="0.2">
      <c r="A5153" s="121">
        <v>40968</v>
      </c>
      <c r="B5153" t="s">
        <v>406</v>
      </c>
      <c r="C5153" t="s">
        <v>429</v>
      </c>
      <c r="D5153" t="s">
        <v>440</v>
      </c>
      <c r="E5153" t="s">
        <v>441</v>
      </c>
      <c r="F5153" t="s">
        <v>413</v>
      </c>
      <c r="G5153">
        <v>2534</v>
      </c>
      <c r="H5153">
        <v>2534</v>
      </c>
      <c r="I5153">
        <v>2391</v>
      </c>
      <c r="J5153">
        <v>2391</v>
      </c>
      <c r="K5153">
        <v>908</v>
      </c>
      <c r="L5153">
        <v>3</v>
      </c>
      <c r="M5153">
        <v>1540</v>
      </c>
      <c r="N5153">
        <v>83</v>
      </c>
      <c r="O5153">
        <v>0</v>
      </c>
      <c r="P5153">
        <v>0</v>
      </c>
      <c r="Q5153">
        <v>0</v>
      </c>
    </row>
    <row r="5154" spans="1:17" x14ac:dyDescent="0.2">
      <c r="A5154" s="121">
        <v>40968</v>
      </c>
      <c r="B5154" t="s">
        <v>406</v>
      </c>
      <c r="C5154" t="s">
        <v>442</v>
      </c>
      <c r="D5154" t="s">
        <v>443</v>
      </c>
      <c r="E5154" t="s">
        <v>444</v>
      </c>
      <c r="F5154" t="s">
        <v>413</v>
      </c>
      <c r="G5154">
        <v>4771</v>
      </c>
      <c r="H5154">
        <v>4771</v>
      </c>
      <c r="I5154">
        <v>4009</v>
      </c>
      <c r="J5154">
        <v>4009</v>
      </c>
      <c r="K5154">
        <v>1054</v>
      </c>
      <c r="L5154">
        <v>19</v>
      </c>
      <c r="M5154">
        <v>3440</v>
      </c>
      <c r="N5154">
        <v>104</v>
      </c>
      <c r="O5154">
        <v>154</v>
      </c>
      <c r="P5154">
        <v>227</v>
      </c>
      <c r="Q5154">
        <v>54</v>
      </c>
    </row>
    <row r="5155" spans="1:17" x14ac:dyDescent="0.2">
      <c r="A5155" s="121">
        <v>40968</v>
      </c>
      <c r="B5155" t="s">
        <v>406</v>
      </c>
      <c r="C5155" t="s">
        <v>442</v>
      </c>
      <c r="D5155" t="s">
        <v>445</v>
      </c>
      <c r="E5155" t="s">
        <v>446</v>
      </c>
      <c r="F5155" t="s">
        <v>410</v>
      </c>
      <c r="G5155">
        <v>101</v>
      </c>
      <c r="I5155">
        <v>101</v>
      </c>
    </row>
    <row r="5156" spans="1:17" x14ac:dyDescent="0.2">
      <c r="A5156" s="121">
        <v>40968</v>
      </c>
      <c r="B5156" t="s">
        <v>406</v>
      </c>
      <c r="C5156" t="s">
        <v>442</v>
      </c>
      <c r="D5156" t="s">
        <v>447</v>
      </c>
      <c r="E5156" t="s">
        <v>448</v>
      </c>
      <c r="F5156" t="s">
        <v>410</v>
      </c>
      <c r="G5156">
        <v>355</v>
      </c>
      <c r="I5156">
        <v>355</v>
      </c>
    </row>
    <row r="5157" spans="1:17" x14ac:dyDescent="0.2">
      <c r="A5157" s="121">
        <v>40968</v>
      </c>
      <c r="B5157" t="s">
        <v>406</v>
      </c>
      <c r="C5157" t="s">
        <v>442</v>
      </c>
      <c r="D5157" t="s">
        <v>449</v>
      </c>
      <c r="E5157" t="s">
        <v>624</v>
      </c>
      <c r="F5157" t="s">
        <v>410</v>
      </c>
      <c r="G5157">
        <v>1475</v>
      </c>
      <c r="H5157">
        <v>1475</v>
      </c>
      <c r="I5157">
        <v>1469</v>
      </c>
      <c r="J5157">
        <v>1469</v>
      </c>
      <c r="K5157">
        <v>13</v>
      </c>
      <c r="L5157">
        <v>0</v>
      </c>
      <c r="M5157">
        <v>1159</v>
      </c>
      <c r="N5157">
        <v>86</v>
      </c>
      <c r="O5157">
        <v>217</v>
      </c>
      <c r="P5157">
        <v>1</v>
      </c>
      <c r="Q5157">
        <v>1</v>
      </c>
    </row>
    <row r="5158" spans="1:17" x14ac:dyDescent="0.2">
      <c r="A5158" s="121">
        <v>40968</v>
      </c>
      <c r="B5158" t="s">
        <v>406</v>
      </c>
      <c r="C5158" t="s">
        <v>451</v>
      </c>
      <c r="D5158" t="s">
        <v>454</v>
      </c>
      <c r="E5158" t="s">
        <v>621</v>
      </c>
      <c r="F5158" t="s">
        <v>410</v>
      </c>
      <c r="G5158">
        <v>1101</v>
      </c>
      <c r="H5158">
        <v>1101</v>
      </c>
      <c r="I5158">
        <v>1101</v>
      </c>
      <c r="J5158">
        <v>1101</v>
      </c>
      <c r="K5158">
        <v>1</v>
      </c>
      <c r="L5158">
        <v>0</v>
      </c>
      <c r="M5158">
        <v>991</v>
      </c>
      <c r="N5158">
        <v>52</v>
      </c>
      <c r="O5158">
        <v>57</v>
      </c>
      <c r="P5158">
        <v>0</v>
      </c>
      <c r="Q5158">
        <v>0</v>
      </c>
    </row>
    <row r="5159" spans="1:17" x14ac:dyDescent="0.2">
      <c r="A5159" s="121">
        <v>40968</v>
      </c>
      <c r="B5159" t="s">
        <v>406</v>
      </c>
      <c r="C5159" t="s">
        <v>451</v>
      </c>
      <c r="D5159" t="s">
        <v>622</v>
      </c>
      <c r="E5159" t="s">
        <v>623</v>
      </c>
      <c r="F5159" t="s">
        <v>413</v>
      </c>
      <c r="G5159">
        <v>4514</v>
      </c>
      <c r="H5159">
        <v>4514</v>
      </c>
      <c r="I5159">
        <v>4163</v>
      </c>
      <c r="J5159">
        <v>4163</v>
      </c>
      <c r="K5159">
        <v>1067</v>
      </c>
      <c r="L5159">
        <v>11</v>
      </c>
      <c r="M5159">
        <v>3178</v>
      </c>
      <c r="N5159">
        <v>30</v>
      </c>
      <c r="O5159">
        <v>228</v>
      </c>
      <c r="P5159">
        <v>17</v>
      </c>
      <c r="Q5159">
        <v>0</v>
      </c>
    </row>
    <row r="5160" spans="1:17" x14ac:dyDescent="0.2">
      <c r="A5160" s="121">
        <v>40968</v>
      </c>
      <c r="B5160" t="s">
        <v>406</v>
      </c>
      <c r="C5160" t="s">
        <v>456</v>
      </c>
      <c r="D5160" t="s">
        <v>457</v>
      </c>
      <c r="E5160" t="s">
        <v>458</v>
      </c>
      <c r="F5160" t="s">
        <v>413</v>
      </c>
      <c r="G5160">
        <v>5040</v>
      </c>
      <c r="H5160">
        <v>5040</v>
      </c>
      <c r="I5160">
        <v>4759</v>
      </c>
      <c r="J5160">
        <v>4759</v>
      </c>
      <c r="K5160">
        <v>1329</v>
      </c>
      <c r="L5160">
        <v>20</v>
      </c>
      <c r="M5160">
        <v>3558</v>
      </c>
      <c r="N5160">
        <v>70</v>
      </c>
      <c r="O5160">
        <v>63</v>
      </c>
      <c r="P5160">
        <v>49</v>
      </c>
      <c r="Q5160">
        <v>4</v>
      </c>
    </row>
    <row r="5161" spans="1:17" x14ac:dyDescent="0.2">
      <c r="A5161" s="121">
        <v>40968</v>
      </c>
      <c r="B5161" t="s">
        <v>406</v>
      </c>
      <c r="C5161" t="s">
        <v>456</v>
      </c>
      <c r="D5161" t="s">
        <v>459</v>
      </c>
      <c r="E5161" t="s">
        <v>460</v>
      </c>
      <c r="F5161" t="s">
        <v>413</v>
      </c>
      <c r="G5161">
        <v>1573</v>
      </c>
      <c r="H5161">
        <v>1573</v>
      </c>
      <c r="I5161">
        <v>1556</v>
      </c>
      <c r="J5161">
        <v>1556</v>
      </c>
      <c r="K5161">
        <v>460</v>
      </c>
      <c r="L5161">
        <v>2</v>
      </c>
      <c r="M5161">
        <v>1108</v>
      </c>
      <c r="N5161">
        <v>3</v>
      </c>
      <c r="O5161">
        <v>0</v>
      </c>
      <c r="P5161">
        <v>0</v>
      </c>
      <c r="Q5161">
        <v>0</v>
      </c>
    </row>
    <row r="5162" spans="1:17" x14ac:dyDescent="0.2">
      <c r="A5162" s="121">
        <v>40968</v>
      </c>
      <c r="B5162" t="s">
        <v>406</v>
      </c>
      <c r="C5162" t="s">
        <v>456</v>
      </c>
      <c r="D5162" t="s">
        <v>461</v>
      </c>
      <c r="E5162" t="s">
        <v>462</v>
      </c>
      <c r="F5162" t="s">
        <v>410</v>
      </c>
      <c r="G5162">
        <v>65</v>
      </c>
      <c r="I5162">
        <v>65</v>
      </c>
    </row>
    <row r="5163" spans="1:17" x14ac:dyDescent="0.2">
      <c r="A5163" s="121">
        <v>40968</v>
      </c>
      <c r="B5163" t="s">
        <v>406</v>
      </c>
      <c r="C5163" t="s">
        <v>456</v>
      </c>
      <c r="D5163" t="s">
        <v>463</v>
      </c>
      <c r="E5163" t="s">
        <v>464</v>
      </c>
      <c r="F5163" t="s">
        <v>410</v>
      </c>
      <c r="G5163">
        <v>14</v>
      </c>
      <c r="I5163">
        <v>14</v>
      </c>
    </row>
    <row r="5164" spans="1:17" x14ac:dyDescent="0.2">
      <c r="A5164" s="121">
        <v>40968</v>
      </c>
      <c r="B5164" t="s">
        <v>406</v>
      </c>
      <c r="C5164" t="s">
        <v>456</v>
      </c>
      <c r="D5164" t="s">
        <v>465</v>
      </c>
      <c r="E5164" t="s">
        <v>466</v>
      </c>
      <c r="F5164" t="s">
        <v>410</v>
      </c>
      <c r="G5164">
        <v>32</v>
      </c>
      <c r="I5164">
        <v>32</v>
      </c>
    </row>
    <row r="5165" spans="1:17" x14ac:dyDescent="0.2">
      <c r="A5165" s="121">
        <v>40968</v>
      </c>
      <c r="B5165" t="s">
        <v>406</v>
      </c>
      <c r="C5165" t="s">
        <v>456</v>
      </c>
      <c r="D5165" t="s">
        <v>467</v>
      </c>
      <c r="E5165" t="s">
        <v>468</v>
      </c>
      <c r="F5165" t="s">
        <v>410</v>
      </c>
      <c r="G5165">
        <v>963</v>
      </c>
      <c r="I5165">
        <v>961</v>
      </c>
    </row>
    <row r="5166" spans="1:17" x14ac:dyDescent="0.2">
      <c r="A5166" s="121">
        <v>40968</v>
      </c>
      <c r="B5166" t="s">
        <v>406</v>
      </c>
      <c r="C5166" t="s">
        <v>456</v>
      </c>
      <c r="D5166" t="s">
        <v>469</v>
      </c>
      <c r="E5166" t="s">
        <v>470</v>
      </c>
      <c r="F5166" t="s">
        <v>410</v>
      </c>
      <c r="G5166">
        <v>830</v>
      </c>
      <c r="I5166">
        <v>830</v>
      </c>
    </row>
    <row r="5167" spans="1:17" x14ac:dyDescent="0.2">
      <c r="A5167" s="121">
        <v>40968</v>
      </c>
      <c r="B5167" t="s">
        <v>406</v>
      </c>
      <c r="C5167" t="s">
        <v>456</v>
      </c>
      <c r="D5167" t="s">
        <v>471</v>
      </c>
      <c r="E5167" t="s">
        <v>472</v>
      </c>
      <c r="F5167" t="s">
        <v>410</v>
      </c>
      <c r="G5167">
        <v>249</v>
      </c>
      <c r="I5167">
        <v>249</v>
      </c>
    </row>
    <row r="5168" spans="1:17" x14ac:dyDescent="0.2">
      <c r="A5168" s="121">
        <v>40968</v>
      </c>
      <c r="B5168" t="s">
        <v>406</v>
      </c>
      <c r="C5168" t="s">
        <v>456</v>
      </c>
      <c r="D5168" t="s">
        <v>473</v>
      </c>
      <c r="E5168" t="s">
        <v>474</v>
      </c>
      <c r="F5168" t="s">
        <v>410</v>
      </c>
      <c r="G5168">
        <v>164</v>
      </c>
      <c r="I5168">
        <v>164</v>
      </c>
    </row>
    <row r="5169" spans="1:17" x14ac:dyDescent="0.2">
      <c r="A5169" s="121">
        <v>40968</v>
      </c>
      <c r="B5169" t="s">
        <v>406</v>
      </c>
      <c r="C5169" t="s">
        <v>456</v>
      </c>
      <c r="D5169" t="s">
        <v>475</v>
      </c>
      <c r="E5169" t="s">
        <v>476</v>
      </c>
      <c r="F5169" t="s">
        <v>410</v>
      </c>
      <c r="G5169">
        <v>241</v>
      </c>
      <c r="I5169">
        <v>241</v>
      </c>
    </row>
    <row r="5170" spans="1:17" x14ac:dyDescent="0.2">
      <c r="A5170" s="121">
        <v>40968</v>
      </c>
      <c r="B5170" t="s">
        <v>406</v>
      </c>
      <c r="C5170" t="s">
        <v>456</v>
      </c>
      <c r="D5170" t="s">
        <v>477</v>
      </c>
      <c r="E5170" t="s">
        <v>478</v>
      </c>
      <c r="F5170" t="s">
        <v>413</v>
      </c>
      <c r="G5170">
        <v>1820</v>
      </c>
      <c r="H5170">
        <v>1820</v>
      </c>
      <c r="I5170">
        <v>1752</v>
      </c>
      <c r="J5170">
        <v>1752</v>
      </c>
      <c r="K5170">
        <v>446</v>
      </c>
      <c r="L5170">
        <v>10</v>
      </c>
      <c r="M5170">
        <v>1337</v>
      </c>
      <c r="N5170">
        <v>16</v>
      </c>
      <c r="O5170">
        <v>11</v>
      </c>
      <c r="P5170">
        <v>1</v>
      </c>
      <c r="Q5170">
        <v>0</v>
      </c>
    </row>
    <row r="5171" spans="1:17" x14ac:dyDescent="0.2">
      <c r="A5171" s="121">
        <v>40968</v>
      </c>
      <c r="B5171" t="s">
        <v>406</v>
      </c>
      <c r="C5171" t="s">
        <v>456</v>
      </c>
      <c r="D5171" t="s">
        <v>479</v>
      </c>
      <c r="E5171" t="s">
        <v>480</v>
      </c>
      <c r="F5171" t="s">
        <v>410</v>
      </c>
      <c r="G5171">
        <v>61</v>
      </c>
      <c r="I5171">
        <v>61</v>
      </c>
    </row>
    <row r="5172" spans="1:17" x14ac:dyDescent="0.2">
      <c r="A5172" s="121">
        <v>40968</v>
      </c>
      <c r="B5172" t="s">
        <v>406</v>
      </c>
      <c r="C5172" t="s">
        <v>456</v>
      </c>
      <c r="D5172" t="s">
        <v>481</v>
      </c>
      <c r="E5172" t="s">
        <v>482</v>
      </c>
      <c r="F5172" t="s">
        <v>410</v>
      </c>
      <c r="G5172">
        <v>39</v>
      </c>
      <c r="I5172">
        <v>39</v>
      </c>
    </row>
    <row r="5173" spans="1:17" x14ac:dyDescent="0.2">
      <c r="A5173" s="121">
        <v>40968</v>
      </c>
      <c r="B5173" t="s">
        <v>406</v>
      </c>
      <c r="C5173" t="s">
        <v>456</v>
      </c>
      <c r="D5173" t="s">
        <v>483</v>
      </c>
      <c r="E5173" t="s">
        <v>484</v>
      </c>
      <c r="F5173" t="s">
        <v>410</v>
      </c>
      <c r="G5173">
        <v>68</v>
      </c>
      <c r="I5173">
        <v>68</v>
      </c>
    </row>
    <row r="5174" spans="1:17" x14ac:dyDescent="0.2">
      <c r="A5174" s="121">
        <v>40968</v>
      </c>
      <c r="B5174" t="s">
        <v>406</v>
      </c>
      <c r="C5174" t="s">
        <v>456</v>
      </c>
      <c r="D5174" t="s">
        <v>485</v>
      </c>
      <c r="E5174" t="s">
        <v>486</v>
      </c>
      <c r="F5174" t="s">
        <v>410</v>
      </c>
      <c r="G5174">
        <v>41</v>
      </c>
      <c r="I5174">
        <v>41</v>
      </c>
    </row>
    <row r="5175" spans="1:17" x14ac:dyDescent="0.2">
      <c r="A5175" s="121">
        <v>40968</v>
      </c>
      <c r="B5175" t="s">
        <v>406</v>
      </c>
      <c r="C5175" t="s">
        <v>456</v>
      </c>
      <c r="D5175" t="s">
        <v>487</v>
      </c>
      <c r="E5175" t="s">
        <v>488</v>
      </c>
      <c r="F5175" t="s">
        <v>410</v>
      </c>
      <c r="G5175">
        <v>31</v>
      </c>
      <c r="I5175">
        <v>31</v>
      </c>
    </row>
    <row r="5176" spans="1:17" x14ac:dyDescent="0.2">
      <c r="A5176" s="121">
        <v>40968</v>
      </c>
      <c r="B5176" t="s">
        <v>406</v>
      </c>
      <c r="C5176" t="s">
        <v>456</v>
      </c>
      <c r="D5176" t="s">
        <v>489</v>
      </c>
      <c r="E5176" t="s">
        <v>490</v>
      </c>
      <c r="F5176" t="s">
        <v>410</v>
      </c>
      <c r="G5176">
        <v>73</v>
      </c>
      <c r="H5176">
        <v>73</v>
      </c>
      <c r="I5176">
        <v>73</v>
      </c>
      <c r="J5176">
        <v>73</v>
      </c>
      <c r="K5176">
        <v>0</v>
      </c>
      <c r="L5176">
        <v>0</v>
      </c>
      <c r="M5176">
        <v>57</v>
      </c>
      <c r="N5176">
        <v>16</v>
      </c>
      <c r="O5176">
        <v>0</v>
      </c>
      <c r="P5176">
        <v>0</v>
      </c>
      <c r="Q5176">
        <v>0</v>
      </c>
    </row>
    <row r="5177" spans="1:17" x14ac:dyDescent="0.2">
      <c r="A5177" s="121">
        <v>40968</v>
      </c>
      <c r="B5177" t="s">
        <v>406</v>
      </c>
      <c r="C5177" t="s">
        <v>491</v>
      </c>
      <c r="D5177" t="s">
        <v>492</v>
      </c>
      <c r="E5177" t="s">
        <v>493</v>
      </c>
      <c r="F5177" t="s">
        <v>410</v>
      </c>
      <c r="G5177">
        <v>1123</v>
      </c>
      <c r="H5177">
        <v>1123</v>
      </c>
      <c r="I5177">
        <v>1083</v>
      </c>
      <c r="J5177">
        <v>1083</v>
      </c>
      <c r="K5177">
        <v>171</v>
      </c>
      <c r="L5177">
        <v>0</v>
      </c>
      <c r="M5177">
        <v>112</v>
      </c>
      <c r="N5177">
        <v>24</v>
      </c>
      <c r="O5177">
        <v>816</v>
      </c>
      <c r="P5177">
        <v>0</v>
      </c>
      <c r="Q5177">
        <v>0</v>
      </c>
    </row>
    <row r="5178" spans="1:17" x14ac:dyDescent="0.2">
      <c r="A5178" s="121">
        <v>40968</v>
      </c>
      <c r="B5178" t="s">
        <v>406</v>
      </c>
      <c r="C5178" t="s">
        <v>491</v>
      </c>
      <c r="D5178" t="s">
        <v>494</v>
      </c>
      <c r="E5178" t="s">
        <v>495</v>
      </c>
      <c r="F5178" t="s">
        <v>413</v>
      </c>
      <c r="G5178">
        <v>2490</v>
      </c>
      <c r="H5178">
        <v>2490</v>
      </c>
      <c r="I5178">
        <v>2402</v>
      </c>
      <c r="J5178">
        <v>2402</v>
      </c>
      <c r="K5178">
        <v>699</v>
      </c>
      <c r="L5178">
        <v>6</v>
      </c>
      <c r="M5178">
        <v>1648</v>
      </c>
      <c r="N5178">
        <v>41</v>
      </c>
      <c r="O5178">
        <v>96</v>
      </c>
      <c r="P5178">
        <v>1</v>
      </c>
      <c r="Q5178">
        <v>0</v>
      </c>
    </row>
    <row r="5179" spans="1:17" x14ac:dyDescent="0.2">
      <c r="A5179" s="121">
        <v>40968</v>
      </c>
      <c r="B5179" t="s">
        <v>406</v>
      </c>
      <c r="C5179" t="s">
        <v>491</v>
      </c>
      <c r="D5179" t="s">
        <v>496</v>
      </c>
      <c r="E5179" t="s">
        <v>497</v>
      </c>
      <c r="F5179" t="s">
        <v>413</v>
      </c>
      <c r="G5179">
        <v>6043</v>
      </c>
      <c r="H5179">
        <v>6043</v>
      </c>
      <c r="I5179">
        <v>5670</v>
      </c>
      <c r="J5179">
        <v>5670</v>
      </c>
      <c r="K5179">
        <v>819</v>
      </c>
      <c r="L5179">
        <v>0</v>
      </c>
      <c r="M5179">
        <v>6</v>
      </c>
      <c r="N5179">
        <v>51</v>
      </c>
      <c r="O5179">
        <v>5167</v>
      </c>
      <c r="P5179">
        <v>8</v>
      </c>
      <c r="Q5179">
        <v>0</v>
      </c>
    </row>
    <row r="5180" spans="1:17" x14ac:dyDescent="0.2">
      <c r="A5180" s="121">
        <v>40968</v>
      </c>
      <c r="B5180" t="s">
        <v>406</v>
      </c>
      <c r="C5180" t="s">
        <v>491</v>
      </c>
      <c r="D5180" t="s">
        <v>498</v>
      </c>
      <c r="E5180" t="s">
        <v>499</v>
      </c>
      <c r="F5180" t="s">
        <v>413</v>
      </c>
      <c r="G5180">
        <v>6920</v>
      </c>
      <c r="H5180">
        <v>6920</v>
      </c>
      <c r="I5180">
        <v>6686</v>
      </c>
      <c r="J5180">
        <v>6686</v>
      </c>
      <c r="K5180">
        <v>1817</v>
      </c>
      <c r="L5180">
        <v>16</v>
      </c>
      <c r="M5180">
        <v>4628</v>
      </c>
      <c r="N5180">
        <v>147</v>
      </c>
      <c r="O5180">
        <v>312</v>
      </c>
      <c r="P5180">
        <v>3</v>
      </c>
      <c r="Q5180">
        <v>0</v>
      </c>
    </row>
    <row r="5181" spans="1:17" x14ac:dyDescent="0.2">
      <c r="A5181" s="121">
        <v>40968</v>
      </c>
      <c r="B5181" t="s">
        <v>406</v>
      </c>
      <c r="C5181" t="s">
        <v>491</v>
      </c>
      <c r="D5181" t="s">
        <v>500</v>
      </c>
      <c r="E5181" t="s">
        <v>620</v>
      </c>
      <c r="F5181" t="s">
        <v>410</v>
      </c>
      <c r="G5181">
        <v>1222</v>
      </c>
      <c r="H5181">
        <v>1222</v>
      </c>
      <c r="I5181">
        <v>1222</v>
      </c>
      <c r="J5181">
        <v>1222</v>
      </c>
      <c r="K5181">
        <v>8</v>
      </c>
      <c r="L5181">
        <v>0</v>
      </c>
      <c r="M5181">
        <v>1102</v>
      </c>
      <c r="N5181">
        <v>17</v>
      </c>
      <c r="O5181">
        <v>95</v>
      </c>
      <c r="P5181">
        <v>0</v>
      </c>
      <c r="Q5181">
        <v>0</v>
      </c>
    </row>
    <row r="5182" spans="1:17" x14ac:dyDescent="0.2">
      <c r="A5182" s="121">
        <v>40968</v>
      </c>
      <c r="B5182" t="s">
        <v>406</v>
      </c>
      <c r="C5182" t="s">
        <v>491</v>
      </c>
      <c r="D5182" t="s">
        <v>502</v>
      </c>
      <c r="E5182" t="s">
        <v>615</v>
      </c>
      <c r="F5182" t="s">
        <v>410</v>
      </c>
      <c r="G5182">
        <v>1405</v>
      </c>
      <c r="H5182">
        <v>1405</v>
      </c>
      <c r="I5182">
        <v>1405</v>
      </c>
      <c r="J5182">
        <v>1405</v>
      </c>
      <c r="K5182">
        <v>1</v>
      </c>
      <c r="L5182">
        <v>1</v>
      </c>
      <c r="M5182">
        <v>1372</v>
      </c>
      <c r="N5182">
        <v>6</v>
      </c>
      <c r="O5182">
        <v>25</v>
      </c>
      <c r="P5182">
        <v>0</v>
      </c>
      <c r="Q5182">
        <v>0</v>
      </c>
    </row>
    <row r="5183" spans="1:17" x14ac:dyDescent="0.2">
      <c r="A5183" s="121">
        <v>40968</v>
      </c>
      <c r="B5183" t="s">
        <v>406</v>
      </c>
      <c r="C5183" t="s">
        <v>491</v>
      </c>
      <c r="D5183" t="s">
        <v>502</v>
      </c>
      <c r="E5183" t="s">
        <v>503</v>
      </c>
      <c r="F5183" t="s">
        <v>413</v>
      </c>
      <c r="G5183">
        <v>4850</v>
      </c>
      <c r="H5183">
        <v>4850</v>
      </c>
      <c r="I5183">
        <v>4380</v>
      </c>
      <c r="J5183">
        <v>4380</v>
      </c>
      <c r="K5183">
        <v>1359</v>
      </c>
      <c r="L5183">
        <v>7</v>
      </c>
      <c r="M5183">
        <v>3209</v>
      </c>
      <c r="N5183">
        <v>175</v>
      </c>
      <c r="O5183">
        <v>100</v>
      </c>
      <c r="P5183">
        <v>62</v>
      </c>
      <c r="Q5183">
        <v>0</v>
      </c>
    </row>
    <row r="5184" spans="1:17" x14ac:dyDescent="0.2">
      <c r="A5184" s="121">
        <v>40968</v>
      </c>
      <c r="B5184" t="s">
        <v>406</v>
      </c>
      <c r="C5184" t="s">
        <v>491</v>
      </c>
      <c r="D5184" t="s">
        <v>504</v>
      </c>
      <c r="E5184" t="s">
        <v>505</v>
      </c>
      <c r="F5184" t="s">
        <v>413</v>
      </c>
      <c r="G5184">
        <v>3934</v>
      </c>
      <c r="H5184">
        <v>3934</v>
      </c>
      <c r="I5184">
        <v>3685</v>
      </c>
      <c r="J5184">
        <v>3685</v>
      </c>
      <c r="K5184">
        <v>1103</v>
      </c>
      <c r="L5184">
        <v>4</v>
      </c>
      <c r="M5184">
        <v>2736</v>
      </c>
      <c r="N5184">
        <v>68</v>
      </c>
      <c r="O5184">
        <v>23</v>
      </c>
      <c r="P5184">
        <v>9</v>
      </c>
      <c r="Q5184">
        <v>0</v>
      </c>
    </row>
    <row r="5185" spans="1:17" x14ac:dyDescent="0.2">
      <c r="A5185" s="121">
        <v>40968</v>
      </c>
      <c r="B5185" t="s">
        <v>406</v>
      </c>
      <c r="C5185" t="s">
        <v>491</v>
      </c>
      <c r="D5185" t="s">
        <v>506</v>
      </c>
      <c r="E5185" t="s">
        <v>507</v>
      </c>
      <c r="F5185" t="s">
        <v>413</v>
      </c>
      <c r="G5185">
        <v>3961</v>
      </c>
      <c r="H5185">
        <v>3961</v>
      </c>
      <c r="I5185">
        <v>3763</v>
      </c>
      <c r="J5185">
        <v>3763</v>
      </c>
      <c r="K5185">
        <v>555</v>
      </c>
      <c r="L5185">
        <v>0</v>
      </c>
      <c r="M5185">
        <v>3396</v>
      </c>
      <c r="N5185">
        <v>4</v>
      </c>
      <c r="O5185">
        <v>6</v>
      </c>
      <c r="P5185">
        <v>2</v>
      </c>
      <c r="Q5185">
        <v>0</v>
      </c>
    </row>
    <row r="5186" spans="1:17" x14ac:dyDescent="0.2">
      <c r="A5186" s="121">
        <v>40968</v>
      </c>
      <c r="B5186" t="s">
        <v>406</v>
      </c>
      <c r="C5186" t="s">
        <v>491</v>
      </c>
      <c r="D5186" t="s">
        <v>508</v>
      </c>
      <c r="E5186" t="s">
        <v>509</v>
      </c>
      <c r="F5186" t="s">
        <v>413</v>
      </c>
      <c r="G5186">
        <v>4756</v>
      </c>
      <c r="H5186">
        <v>4756</v>
      </c>
      <c r="I5186">
        <v>4336</v>
      </c>
      <c r="J5186">
        <v>4336</v>
      </c>
      <c r="K5186">
        <v>1487</v>
      </c>
      <c r="L5186">
        <v>6</v>
      </c>
      <c r="M5186">
        <v>2850</v>
      </c>
      <c r="N5186">
        <v>118</v>
      </c>
      <c r="O5186">
        <v>295</v>
      </c>
      <c r="P5186">
        <v>61</v>
      </c>
      <c r="Q5186">
        <v>0</v>
      </c>
    </row>
    <row r="5187" spans="1:17" x14ac:dyDescent="0.2">
      <c r="A5187" s="121">
        <v>40968</v>
      </c>
      <c r="B5187" t="s">
        <v>406</v>
      </c>
      <c r="C5187" t="s">
        <v>510</v>
      </c>
      <c r="D5187" t="s">
        <v>513</v>
      </c>
      <c r="E5187" t="s">
        <v>514</v>
      </c>
      <c r="F5187" t="s">
        <v>410</v>
      </c>
      <c r="G5187">
        <v>467</v>
      </c>
      <c r="I5187">
        <v>463</v>
      </c>
    </row>
    <row r="5188" spans="1:17" x14ac:dyDescent="0.2">
      <c r="A5188" s="121">
        <v>40968</v>
      </c>
      <c r="B5188" t="s">
        <v>406</v>
      </c>
      <c r="C5188" t="s">
        <v>510</v>
      </c>
      <c r="D5188" t="s">
        <v>515</v>
      </c>
      <c r="E5188" t="s">
        <v>516</v>
      </c>
      <c r="F5188" t="s">
        <v>410</v>
      </c>
      <c r="G5188">
        <v>79</v>
      </c>
      <c r="I5188">
        <v>77</v>
      </c>
    </row>
    <row r="5189" spans="1:17" x14ac:dyDescent="0.2">
      <c r="A5189" s="121">
        <v>40968</v>
      </c>
      <c r="B5189" t="s">
        <v>406</v>
      </c>
      <c r="C5189" t="s">
        <v>510</v>
      </c>
      <c r="D5189" t="s">
        <v>519</v>
      </c>
      <c r="E5189" t="s">
        <v>520</v>
      </c>
      <c r="F5189" t="s">
        <v>410</v>
      </c>
      <c r="G5189">
        <v>306</v>
      </c>
      <c r="I5189">
        <v>300</v>
      </c>
    </row>
    <row r="5190" spans="1:17" x14ac:dyDescent="0.2">
      <c r="A5190" s="121">
        <v>40968</v>
      </c>
      <c r="B5190" t="s">
        <v>406</v>
      </c>
      <c r="C5190" t="s">
        <v>510</v>
      </c>
      <c r="D5190" t="s">
        <v>521</v>
      </c>
      <c r="E5190" t="s">
        <v>522</v>
      </c>
      <c r="F5190" t="s">
        <v>410</v>
      </c>
      <c r="G5190">
        <v>33</v>
      </c>
      <c r="I5190">
        <v>33</v>
      </c>
    </row>
    <row r="5191" spans="1:17" x14ac:dyDescent="0.2">
      <c r="A5191" s="121">
        <v>40968</v>
      </c>
      <c r="B5191" t="s">
        <v>406</v>
      </c>
      <c r="C5191" t="s">
        <v>510</v>
      </c>
      <c r="D5191" t="s">
        <v>523</v>
      </c>
      <c r="E5191" t="s">
        <v>524</v>
      </c>
      <c r="F5191" t="s">
        <v>413</v>
      </c>
      <c r="G5191">
        <v>423</v>
      </c>
      <c r="I5191">
        <v>415</v>
      </c>
    </row>
    <row r="5192" spans="1:17" x14ac:dyDescent="0.2">
      <c r="A5192" s="121">
        <v>40968</v>
      </c>
      <c r="B5192" t="s">
        <v>406</v>
      </c>
      <c r="C5192" t="s">
        <v>510</v>
      </c>
      <c r="D5192" t="s">
        <v>525</v>
      </c>
      <c r="E5192" t="s">
        <v>526</v>
      </c>
      <c r="F5192" t="s">
        <v>410</v>
      </c>
      <c r="G5192">
        <v>406</v>
      </c>
      <c r="I5192">
        <v>397</v>
      </c>
    </row>
    <row r="5193" spans="1:17" x14ac:dyDescent="0.2">
      <c r="A5193" s="121">
        <v>40968</v>
      </c>
      <c r="B5193" t="s">
        <v>406</v>
      </c>
      <c r="C5193" t="s">
        <v>510</v>
      </c>
      <c r="D5193" t="s">
        <v>527</v>
      </c>
      <c r="E5193" t="s">
        <v>528</v>
      </c>
      <c r="F5193" t="s">
        <v>410</v>
      </c>
      <c r="G5193">
        <v>191</v>
      </c>
      <c r="I5193">
        <v>191</v>
      </c>
    </row>
    <row r="5194" spans="1:17" x14ac:dyDescent="0.2">
      <c r="A5194" s="121">
        <v>40968</v>
      </c>
      <c r="B5194" t="s">
        <v>406</v>
      </c>
      <c r="C5194" t="s">
        <v>510</v>
      </c>
      <c r="D5194" t="s">
        <v>529</v>
      </c>
      <c r="E5194" t="s">
        <v>530</v>
      </c>
      <c r="F5194" t="s">
        <v>413</v>
      </c>
      <c r="G5194">
        <v>443</v>
      </c>
      <c r="H5194">
        <v>443</v>
      </c>
      <c r="I5194">
        <v>434</v>
      </c>
      <c r="J5194">
        <v>434</v>
      </c>
      <c r="K5194">
        <v>129</v>
      </c>
      <c r="L5194">
        <v>0</v>
      </c>
      <c r="M5194">
        <v>311</v>
      </c>
      <c r="N5194">
        <v>3</v>
      </c>
      <c r="O5194">
        <v>0</v>
      </c>
      <c r="P5194">
        <v>0</v>
      </c>
      <c r="Q5194">
        <v>0</v>
      </c>
    </row>
    <row r="5195" spans="1:17" x14ac:dyDescent="0.2">
      <c r="A5195" s="121">
        <v>40968</v>
      </c>
      <c r="B5195" t="s">
        <v>406</v>
      </c>
      <c r="C5195" t="s">
        <v>510</v>
      </c>
      <c r="D5195" t="s">
        <v>531</v>
      </c>
      <c r="E5195" t="s">
        <v>532</v>
      </c>
      <c r="F5195" t="s">
        <v>410</v>
      </c>
      <c r="G5195">
        <v>28</v>
      </c>
      <c r="I5195">
        <v>28</v>
      </c>
    </row>
    <row r="5196" spans="1:17" x14ac:dyDescent="0.2">
      <c r="A5196" s="121">
        <v>40968</v>
      </c>
      <c r="B5196" t="s">
        <v>406</v>
      </c>
      <c r="C5196" t="s">
        <v>510</v>
      </c>
      <c r="D5196" t="s">
        <v>533</v>
      </c>
      <c r="E5196" t="s">
        <v>534</v>
      </c>
      <c r="F5196" t="s">
        <v>413</v>
      </c>
      <c r="G5196">
        <v>2245</v>
      </c>
      <c r="H5196">
        <v>2245</v>
      </c>
      <c r="I5196">
        <v>2154</v>
      </c>
      <c r="J5196">
        <v>2154</v>
      </c>
      <c r="K5196">
        <v>495</v>
      </c>
      <c r="L5196">
        <v>1</v>
      </c>
      <c r="M5196">
        <v>1749</v>
      </c>
      <c r="N5196">
        <v>0</v>
      </c>
      <c r="O5196">
        <v>0</v>
      </c>
      <c r="P5196">
        <v>2</v>
      </c>
      <c r="Q5196">
        <v>0</v>
      </c>
    </row>
    <row r="5197" spans="1:17" x14ac:dyDescent="0.2">
      <c r="A5197" s="121">
        <v>40968</v>
      </c>
      <c r="B5197" t="s">
        <v>406</v>
      </c>
      <c r="C5197" t="s">
        <v>510</v>
      </c>
      <c r="D5197" t="s">
        <v>535</v>
      </c>
      <c r="E5197" t="s">
        <v>536</v>
      </c>
      <c r="F5197" t="s">
        <v>410</v>
      </c>
      <c r="G5197">
        <v>292</v>
      </c>
      <c r="I5197">
        <v>292</v>
      </c>
    </row>
    <row r="5198" spans="1:17" x14ac:dyDescent="0.2">
      <c r="A5198" s="121">
        <v>40968</v>
      </c>
      <c r="B5198" t="s">
        <v>406</v>
      </c>
      <c r="C5198" t="s">
        <v>510</v>
      </c>
      <c r="D5198" t="s">
        <v>537</v>
      </c>
      <c r="E5198" t="s">
        <v>538</v>
      </c>
      <c r="F5198" t="s">
        <v>410</v>
      </c>
      <c r="G5198">
        <v>112</v>
      </c>
      <c r="I5198">
        <v>112</v>
      </c>
    </row>
    <row r="5199" spans="1:17" x14ac:dyDescent="0.2">
      <c r="A5199" s="121">
        <v>40968</v>
      </c>
      <c r="B5199" t="s">
        <v>406</v>
      </c>
      <c r="C5199" t="s">
        <v>510</v>
      </c>
      <c r="D5199" t="s">
        <v>539</v>
      </c>
      <c r="E5199" t="s">
        <v>540</v>
      </c>
      <c r="F5199" t="s">
        <v>413</v>
      </c>
      <c r="G5199">
        <v>599</v>
      </c>
      <c r="H5199">
        <v>599</v>
      </c>
      <c r="I5199">
        <v>573</v>
      </c>
      <c r="J5199">
        <v>573</v>
      </c>
      <c r="K5199">
        <v>125</v>
      </c>
      <c r="L5199">
        <v>0</v>
      </c>
      <c r="M5199">
        <v>472</v>
      </c>
      <c r="N5199">
        <v>2</v>
      </c>
      <c r="O5199">
        <v>0</v>
      </c>
      <c r="P5199">
        <v>2</v>
      </c>
      <c r="Q5199">
        <v>0</v>
      </c>
    </row>
    <row r="5200" spans="1:17" x14ac:dyDescent="0.2">
      <c r="A5200" s="121">
        <v>40968</v>
      </c>
      <c r="B5200" t="s">
        <v>406</v>
      </c>
      <c r="C5200" t="s">
        <v>510</v>
      </c>
      <c r="D5200" t="s">
        <v>541</v>
      </c>
      <c r="E5200" t="s">
        <v>542</v>
      </c>
      <c r="F5200" t="s">
        <v>410</v>
      </c>
      <c r="G5200">
        <v>263</v>
      </c>
      <c r="I5200">
        <v>263</v>
      </c>
    </row>
    <row r="5201" spans="1:17" x14ac:dyDescent="0.2">
      <c r="A5201" s="121">
        <v>40968</v>
      </c>
      <c r="B5201" t="s">
        <v>406</v>
      </c>
      <c r="C5201" t="s">
        <v>510</v>
      </c>
      <c r="D5201" t="s">
        <v>543</v>
      </c>
      <c r="E5201" t="s">
        <v>544</v>
      </c>
      <c r="F5201" t="s">
        <v>410</v>
      </c>
      <c r="G5201">
        <v>180</v>
      </c>
      <c r="I5201">
        <v>180</v>
      </c>
    </row>
    <row r="5202" spans="1:17" x14ac:dyDescent="0.2">
      <c r="A5202" s="121">
        <v>40968</v>
      </c>
      <c r="B5202" t="s">
        <v>406</v>
      </c>
      <c r="C5202" t="s">
        <v>510</v>
      </c>
      <c r="D5202" t="s">
        <v>545</v>
      </c>
      <c r="E5202" t="s">
        <v>546</v>
      </c>
      <c r="F5202" t="s">
        <v>410</v>
      </c>
      <c r="G5202">
        <v>146</v>
      </c>
      <c r="I5202">
        <v>146</v>
      </c>
    </row>
    <row r="5203" spans="1:17" x14ac:dyDescent="0.2">
      <c r="A5203" s="121">
        <v>40968</v>
      </c>
      <c r="B5203" t="s">
        <v>406</v>
      </c>
      <c r="C5203" t="s">
        <v>510</v>
      </c>
      <c r="D5203" t="s">
        <v>547</v>
      </c>
      <c r="E5203" t="s">
        <v>548</v>
      </c>
      <c r="F5203" t="s">
        <v>410</v>
      </c>
      <c r="G5203">
        <v>144</v>
      </c>
      <c r="I5203">
        <v>144</v>
      </c>
    </row>
    <row r="5204" spans="1:17" x14ac:dyDescent="0.2">
      <c r="A5204" s="121">
        <v>40968</v>
      </c>
      <c r="B5204" t="s">
        <v>406</v>
      </c>
      <c r="C5204" t="s">
        <v>510</v>
      </c>
      <c r="D5204" t="s">
        <v>616</v>
      </c>
      <c r="E5204" t="s">
        <v>617</v>
      </c>
      <c r="F5204" t="s">
        <v>410</v>
      </c>
      <c r="G5204">
        <v>260</v>
      </c>
      <c r="I5204">
        <v>255</v>
      </c>
    </row>
    <row r="5205" spans="1:17" x14ac:dyDescent="0.2">
      <c r="A5205" s="121">
        <v>40968</v>
      </c>
      <c r="B5205" t="s">
        <v>406</v>
      </c>
      <c r="C5205" t="s">
        <v>510</v>
      </c>
      <c r="D5205" t="s">
        <v>549</v>
      </c>
      <c r="E5205" t="s">
        <v>550</v>
      </c>
      <c r="F5205" t="s">
        <v>410</v>
      </c>
      <c r="G5205">
        <v>144</v>
      </c>
      <c r="I5205">
        <v>144</v>
      </c>
    </row>
    <row r="5206" spans="1:17" x14ac:dyDescent="0.2">
      <c r="A5206" s="121">
        <v>40968</v>
      </c>
      <c r="B5206" t="s">
        <v>406</v>
      </c>
      <c r="C5206" t="s">
        <v>551</v>
      </c>
      <c r="D5206" t="s">
        <v>552</v>
      </c>
      <c r="E5206" t="s">
        <v>553</v>
      </c>
      <c r="F5206" t="s">
        <v>413</v>
      </c>
      <c r="G5206">
        <v>5332</v>
      </c>
      <c r="H5206">
        <v>5332</v>
      </c>
      <c r="I5206">
        <v>5156</v>
      </c>
      <c r="J5206">
        <v>5156</v>
      </c>
      <c r="K5206">
        <v>1645</v>
      </c>
      <c r="L5206">
        <v>10</v>
      </c>
      <c r="M5206">
        <v>3270</v>
      </c>
      <c r="N5206">
        <v>237</v>
      </c>
      <c r="O5206">
        <v>170</v>
      </c>
      <c r="P5206">
        <v>3</v>
      </c>
      <c r="Q5206">
        <v>0</v>
      </c>
    </row>
    <row r="5207" spans="1:17" x14ac:dyDescent="0.2">
      <c r="A5207" s="121">
        <v>40968</v>
      </c>
      <c r="B5207" t="s">
        <v>406</v>
      </c>
      <c r="C5207" t="s">
        <v>551</v>
      </c>
      <c r="D5207" t="s">
        <v>554</v>
      </c>
      <c r="E5207" t="s">
        <v>555</v>
      </c>
      <c r="F5207" t="s">
        <v>410</v>
      </c>
      <c r="G5207">
        <v>36</v>
      </c>
      <c r="I5207">
        <v>36</v>
      </c>
    </row>
    <row r="5208" spans="1:17" x14ac:dyDescent="0.2">
      <c r="A5208" s="121">
        <v>40968</v>
      </c>
      <c r="B5208" t="s">
        <v>406</v>
      </c>
      <c r="C5208" t="s">
        <v>551</v>
      </c>
      <c r="D5208" t="s">
        <v>556</v>
      </c>
      <c r="E5208" t="s">
        <v>557</v>
      </c>
      <c r="F5208" t="s">
        <v>410</v>
      </c>
      <c r="G5208">
        <v>71</v>
      </c>
      <c r="I5208">
        <v>71</v>
      </c>
    </row>
    <row r="5209" spans="1:17" x14ac:dyDescent="0.2">
      <c r="A5209" s="121">
        <v>40968</v>
      </c>
      <c r="B5209" t="s">
        <v>406</v>
      </c>
      <c r="C5209" t="s">
        <v>551</v>
      </c>
      <c r="D5209" t="s">
        <v>558</v>
      </c>
      <c r="E5209" t="s">
        <v>559</v>
      </c>
      <c r="F5209" t="s">
        <v>413</v>
      </c>
      <c r="G5209">
        <v>4595</v>
      </c>
      <c r="H5209">
        <v>4595</v>
      </c>
      <c r="I5209">
        <v>4321</v>
      </c>
      <c r="J5209">
        <v>4321</v>
      </c>
      <c r="K5209">
        <v>1204</v>
      </c>
      <c r="L5209">
        <v>10</v>
      </c>
      <c r="M5209">
        <v>3206</v>
      </c>
      <c r="N5209">
        <v>119</v>
      </c>
      <c r="O5209">
        <v>56</v>
      </c>
      <c r="P5209">
        <v>51</v>
      </c>
      <c r="Q5209">
        <v>10</v>
      </c>
    </row>
    <row r="5210" spans="1:17" x14ac:dyDescent="0.2">
      <c r="A5210" s="121">
        <v>40968</v>
      </c>
      <c r="B5210" t="s">
        <v>406</v>
      </c>
      <c r="C5210" t="s">
        <v>551</v>
      </c>
      <c r="D5210" t="s">
        <v>560</v>
      </c>
      <c r="E5210" t="s">
        <v>561</v>
      </c>
      <c r="F5210" t="s">
        <v>413</v>
      </c>
      <c r="G5210">
        <v>5390</v>
      </c>
      <c r="H5210">
        <v>5390</v>
      </c>
      <c r="I5210">
        <v>5102</v>
      </c>
      <c r="J5210">
        <v>5102</v>
      </c>
      <c r="K5210">
        <v>1332</v>
      </c>
      <c r="L5210">
        <v>7</v>
      </c>
      <c r="M5210">
        <v>3623</v>
      </c>
      <c r="N5210">
        <v>301</v>
      </c>
      <c r="O5210">
        <v>127</v>
      </c>
      <c r="P5210">
        <v>38</v>
      </c>
      <c r="Q5210">
        <v>12</v>
      </c>
    </row>
    <row r="5211" spans="1:17" x14ac:dyDescent="0.2">
      <c r="A5211" s="121">
        <v>40968</v>
      </c>
      <c r="B5211" t="s">
        <v>406</v>
      </c>
      <c r="C5211" t="s">
        <v>562</v>
      </c>
      <c r="D5211" t="s">
        <v>603</v>
      </c>
      <c r="E5211" t="s">
        <v>604</v>
      </c>
      <c r="F5211" t="s">
        <v>410</v>
      </c>
      <c r="G5211">
        <v>10</v>
      </c>
      <c r="I5211">
        <v>10</v>
      </c>
    </row>
    <row r="5212" spans="1:17" x14ac:dyDescent="0.2">
      <c r="A5212" s="121">
        <v>40968</v>
      </c>
      <c r="B5212" t="s">
        <v>406</v>
      </c>
      <c r="C5212" t="s">
        <v>562</v>
      </c>
      <c r="D5212" t="s">
        <v>605</v>
      </c>
      <c r="E5212" t="s">
        <v>606</v>
      </c>
      <c r="F5212" t="s">
        <v>410</v>
      </c>
      <c r="G5212">
        <v>179</v>
      </c>
      <c r="I5212">
        <v>179</v>
      </c>
    </row>
    <row r="5213" spans="1:17" x14ac:dyDescent="0.2">
      <c r="A5213" s="121">
        <v>40968</v>
      </c>
      <c r="B5213" t="s">
        <v>406</v>
      </c>
      <c r="C5213" t="s">
        <v>562</v>
      </c>
      <c r="D5213" t="s">
        <v>563</v>
      </c>
      <c r="E5213" t="s">
        <v>564</v>
      </c>
      <c r="F5213" t="s">
        <v>410</v>
      </c>
      <c r="G5213">
        <v>3145</v>
      </c>
      <c r="H5213">
        <v>3145</v>
      </c>
      <c r="I5213">
        <v>2851</v>
      </c>
      <c r="J5213">
        <v>2851</v>
      </c>
      <c r="K5213">
        <v>1020</v>
      </c>
      <c r="L5213">
        <v>0</v>
      </c>
      <c r="M5213">
        <v>2100</v>
      </c>
      <c r="N5213">
        <v>25</v>
      </c>
      <c r="O5213">
        <v>0</v>
      </c>
      <c r="P5213">
        <v>33</v>
      </c>
      <c r="Q5213">
        <v>4</v>
      </c>
    </row>
    <row r="5214" spans="1:17" x14ac:dyDescent="0.2">
      <c r="A5214" s="121">
        <v>40968</v>
      </c>
      <c r="B5214" t="s">
        <v>406</v>
      </c>
      <c r="C5214" t="s">
        <v>562</v>
      </c>
      <c r="D5214" t="s">
        <v>565</v>
      </c>
      <c r="E5214" t="s">
        <v>566</v>
      </c>
      <c r="F5214" t="s">
        <v>413</v>
      </c>
      <c r="G5214">
        <v>4180</v>
      </c>
      <c r="H5214">
        <v>4180</v>
      </c>
      <c r="I5214">
        <v>3968</v>
      </c>
      <c r="J5214">
        <v>3968</v>
      </c>
      <c r="K5214">
        <v>1061</v>
      </c>
      <c r="L5214">
        <v>3</v>
      </c>
      <c r="M5214">
        <v>3027</v>
      </c>
      <c r="N5214">
        <v>89</v>
      </c>
      <c r="O5214">
        <v>0</v>
      </c>
      <c r="P5214">
        <v>21</v>
      </c>
      <c r="Q5214">
        <v>10</v>
      </c>
    </row>
    <row r="5215" spans="1:17" x14ac:dyDescent="0.2">
      <c r="A5215" s="121">
        <v>40968</v>
      </c>
      <c r="B5215" t="s">
        <v>406</v>
      </c>
      <c r="C5215" t="s">
        <v>562</v>
      </c>
      <c r="D5215" t="s">
        <v>567</v>
      </c>
      <c r="E5215" t="s">
        <v>568</v>
      </c>
      <c r="F5215" t="s">
        <v>413</v>
      </c>
      <c r="G5215">
        <v>8733</v>
      </c>
      <c r="H5215">
        <v>8733</v>
      </c>
      <c r="I5215">
        <v>7439</v>
      </c>
      <c r="J5215">
        <v>7439</v>
      </c>
      <c r="K5215">
        <v>2602</v>
      </c>
      <c r="L5215">
        <v>17</v>
      </c>
      <c r="M5215">
        <v>5833</v>
      </c>
      <c r="N5215">
        <v>281</v>
      </c>
      <c r="O5215">
        <v>0</v>
      </c>
      <c r="P5215">
        <v>144</v>
      </c>
      <c r="Q5215">
        <v>10</v>
      </c>
    </row>
    <row r="5216" spans="1:17" x14ac:dyDescent="0.2">
      <c r="A5216" s="121">
        <v>40968</v>
      </c>
      <c r="B5216" t="s">
        <v>406</v>
      </c>
      <c r="C5216" t="s">
        <v>562</v>
      </c>
      <c r="D5216" t="s">
        <v>569</v>
      </c>
      <c r="E5216" t="s">
        <v>570</v>
      </c>
      <c r="F5216" t="s">
        <v>413</v>
      </c>
      <c r="G5216">
        <v>3439</v>
      </c>
      <c r="H5216">
        <v>3439</v>
      </c>
      <c r="I5216">
        <v>3379</v>
      </c>
      <c r="J5216">
        <v>3379</v>
      </c>
      <c r="K5216">
        <v>495</v>
      </c>
      <c r="L5216">
        <v>0</v>
      </c>
      <c r="M5216">
        <v>2943</v>
      </c>
      <c r="N5216">
        <v>1</v>
      </c>
      <c r="O5216">
        <v>0</v>
      </c>
      <c r="P5216">
        <v>1</v>
      </c>
      <c r="Q5216">
        <v>0</v>
      </c>
    </row>
    <row r="5217" spans="1:17" x14ac:dyDescent="0.2">
      <c r="A5217" s="121">
        <v>40968</v>
      </c>
      <c r="B5217" t="s">
        <v>406</v>
      </c>
      <c r="C5217" t="s">
        <v>571</v>
      </c>
      <c r="D5217" t="s">
        <v>572</v>
      </c>
      <c r="E5217" t="s">
        <v>573</v>
      </c>
      <c r="F5217" t="s">
        <v>410</v>
      </c>
      <c r="G5217">
        <v>189</v>
      </c>
      <c r="H5217">
        <v>189</v>
      </c>
      <c r="I5217">
        <v>188</v>
      </c>
      <c r="J5217">
        <v>188</v>
      </c>
      <c r="K5217">
        <v>4</v>
      </c>
      <c r="L5217">
        <v>0</v>
      </c>
      <c r="M5217">
        <v>185</v>
      </c>
      <c r="N5217">
        <v>0</v>
      </c>
      <c r="O5217">
        <v>0</v>
      </c>
      <c r="P5217">
        <v>0</v>
      </c>
      <c r="Q5217">
        <v>0</v>
      </c>
    </row>
    <row r="5218" spans="1:17" x14ac:dyDescent="0.2">
      <c r="A5218" s="121">
        <v>40968</v>
      </c>
      <c r="B5218" t="s">
        <v>406</v>
      </c>
      <c r="C5218" t="s">
        <v>574</v>
      </c>
      <c r="D5218" t="s">
        <v>575</v>
      </c>
      <c r="E5218" t="s">
        <v>576</v>
      </c>
      <c r="F5218" t="s">
        <v>413</v>
      </c>
      <c r="G5218">
        <v>603</v>
      </c>
      <c r="H5218">
        <v>603</v>
      </c>
      <c r="I5218">
        <v>601</v>
      </c>
      <c r="J5218">
        <v>601</v>
      </c>
      <c r="K5218">
        <v>174</v>
      </c>
      <c r="L5218">
        <v>0</v>
      </c>
      <c r="M5218">
        <v>409</v>
      </c>
      <c r="N5218">
        <v>2</v>
      </c>
      <c r="O5218">
        <v>18</v>
      </c>
      <c r="P5218">
        <v>1</v>
      </c>
      <c r="Q5218">
        <v>0</v>
      </c>
    </row>
    <row r="5219" spans="1:17" x14ac:dyDescent="0.2">
      <c r="A5219" s="121">
        <v>40968</v>
      </c>
      <c r="B5219" t="s">
        <v>406</v>
      </c>
      <c r="C5219" t="s">
        <v>577</v>
      </c>
      <c r="D5219" t="s">
        <v>578</v>
      </c>
      <c r="E5219" t="s">
        <v>579</v>
      </c>
      <c r="F5219" t="s">
        <v>413</v>
      </c>
      <c r="G5219">
        <v>3721</v>
      </c>
      <c r="H5219">
        <v>3721</v>
      </c>
      <c r="I5219">
        <v>3675</v>
      </c>
      <c r="J5219">
        <v>3675</v>
      </c>
      <c r="K5219">
        <v>786</v>
      </c>
      <c r="L5219">
        <v>11</v>
      </c>
      <c r="M5219">
        <v>2699</v>
      </c>
      <c r="N5219">
        <v>222</v>
      </c>
      <c r="O5219">
        <v>3</v>
      </c>
      <c r="P5219">
        <v>0</v>
      </c>
      <c r="Q5219">
        <v>0</v>
      </c>
    </row>
    <row r="5220" spans="1:17" x14ac:dyDescent="0.2">
      <c r="A5220" s="121">
        <v>40968</v>
      </c>
      <c r="B5220" t="s">
        <v>406</v>
      </c>
      <c r="C5220" t="s">
        <v>577</v>
      </c>
      <c r="D5220" t="s">
        <v>580</v>
      </c>
      <c r="E5220" t="s">
        <v>581</v>
      </c>
      <c r="F5220" t="s">
        <v>413</v>
      </c>
      <c r="G5220">
        <v>1933</v>
      </c>
      <c r="H5220">
        <v>1933</v>
      </c>
      <c r="I5220">
        <v>1910</v>
      </c>
      <c r="J5220">
        <v>1910</v>
      </c>
      <c r="K5220">
        <v>332</v>
      </c>
      <c r="L5220">
        <v>0</v>
      </c>
      <c r="M5220">
        <v>1273</v>
      </c>
      <c r="N5220">
        <v>287</v>
      </c>
      <c r="O5220">
        <v>41</v>
      </c>
      <c r="P5220">
        <v>3</v>
      </c>
      <c r="Q5220">
        <v>1</v>
      </c>
    </row>
    <row r="5221" spans="1:17" x14ac:dyDescent="0.2">
      <c r="A5221" s="121">
        <v>40968</v>
      </c>
      <c r="B5221" t="s">
        <v>406</v>
      </c>
      <c r="C5221" t="s">
        <v>577</v>
      </c>
      <c r="D5221" t="s">
        <v>609</v>
      </c>
      <c r="E5221" t="s">
        <v>610</v>
      </c>
      <c r="F5221" t="s">
        <v>410</v>
      </c>
      <c r="G5221">
        <v>31</v>
      </c>
      <c r="H5221">
        <v>31</v>
      </c>
      <c r="I5221">
        <v>31</v>
      </c>
      <c r="J5221">
        <v>31</v>
      </c>
      <c r="K5221">
        <v>0</v>
      </c>
      <c r="L5221">
        <v>0</v>
      </c>
      <c r="M5221">
        <v>26</v>
      </c>
      <c r="N5221">
        <v>3</v>
      </c>
      <c r="O5221">
        <v>2</v>
      </c>
      <c r="P5221">
        <v>0</v>
      </c>
      <c r="Q5221">
        <v>0</v>
      </c>
    </row>
    <row r="5222" spans="1:17" x14ac:dyDescent="0.2">
      <c r="A5222" s="121">
        <v>40968</v>
      </c>
      <c r="B5222" t="s">
        <v>406</v>
      </c>
      <c r="C5222" t="s">
        <v>577</v>
      </c>
      <c r="D5222" t="s">
        <v>611</v>
      </c>
      <c r="E5222" t="s">
        <v>612</v>
      </c>
      <c r="F5222" t="s">
        <v>410</v>
      </c>
      <c r="G5222">
        <v>6</v>
      </c>
      <c r="H5222">
        <v>6</v>
      </c>
      <c r="I5222">
        <v>6</v>
      </c>
      <c r="J5222">
        <v>6</v>
      </c>
      <c r="K5222">
        <v>0</v>
      </c>
      <c r="L5222">
        <v>0</v>
      </c>
      <c r="M5222">
        <v>3</v>
      </c>
      <c r="N5222">
        <v>0</v>
      </c>
      <c r="O5222">
        <v>3</v>
      </c>
      <c r="P5222">
        <v>0</v>
      </c>
      <c r="Q5222">
        <v>0</v>
      </c>
    </row>
    <row r="5223" spans="1:17" x14ac:dyDescent="0.2">
      <c r="A5223" s="121">
        <v>40968</v>
      </c>
      <c r="B5223" t="s">
        <v>406</v>
      </c>
      <c r="C5223" t="s">
        <v>577</v>
      </c>
      <c r="D5223" t="s">
        <v>584</v>
      </c>
      <c r="E5223" t="s">
        <v>585</v>
      </c>
      <c r="F5223" t="s">
        <v>410</v>
      </c>
      <c r="G5223">
        <v>258</v>
      </c>
      <c r="H5223">
        <v>258</v>
      </c>
      <c r="I5223">
        <v>258</v>
      </c>
      <c r="J5223">
        <v>258</v>
      </c>
      <c r="K5223">
        <v>0</v>
      </c>
      <c r="L5223">
        <v>0</v>
      </c>
      <c r="M5223">
        <v>240</v>
      </c>
      <c r="N5223">
        <v>15</v>
      </c>
      <c r="O5223">
        <v>3</v>
      </c>
      <c r="P5223">
        <v>0</v>
      </c>
      <c r="Q5223">
        <v>0</v>
      </c>
    </row>
    <row r="5224" spans="1:17" x14ac:dyDescent="0.2">
      <c r="A5224" s="121">
        <v>40968</v>
      </c>
      <c r="B5224" t="s">
        <v>406</v>
      </c>
      <c r="C5224" t="s">
        <v>577</v>
      </c>
      <c r="D5224" t="s">
        <v>586</v>
      </c>
      <c r="E5224" t="s">
        <v>587</v>
      </c>
      <c r="F5224" t="s">
        <v>410</v>
      </c>
      <c r="G5224">
        <v>1107</v>
      </c>
      <c r="H5224">
        <v>1107</v>
      </c>
      <c r="I5224">
        <v>1106</v>
      </c>
      <c r="J5224">
        <v>1106</v>
      </c>
      <c r="K5224">
        <v>0</v>
      </c>
      <c r="L5224">
        <v>0</v>
      </c>
      <c r="M5224">
        <v>1029</v>
      </c>
      <c r="N5224">
        <v>71</v>
      </c>
      <c r="O5224">
        <v>7</v>
      </c>
      <c r="P5224">
        <v>0</v>
      </c>
      <c r="Q5224">
        <v>0</v>
      </c>
    </row>
    <row r="5225" spans="1:17" x14ac:dyDescent="0.2">
      <c r="A5225" s="121">
        <v>40968</v>
      </c>
      <c r="B5225" t="s">
        <v>406</v>
      </c>
      <c r="C5225" t="s">
        <v>577</v>
      </c>
      <c r="D5225" t="s">
        <v>588</v>
      </c>
      <c r="E5225" t="s">
        <v>589</v>
      </c>
      <c r="F5225" t="s">
        <v>410</v>
      </c>
      <c r="G5225">
        <v>223</v>
      </c>
      <c r="H5225">
        <v>223</v>
      </c>
      <c r="I5225">
        <v>223</v>
      </c>
      <c r="J5225">
        <v>223</v>
      </c>
      <c r="K5225">
        <v>0</v>
      </c>
      <c r="L5225">
        <v>0</v>
      </c>
      <c r="M5225">
        <v>187</v>
      </c>
      <c r="N5225">
        <v>24</v>
      </c>
      <c r="O5225">
        <v>12</v>
      </c>
      <c r="P5225">
        <v>0</v>
      </c>
      <c r="Q5225">
        <v>0</v>
      </c>
    </row>
    <row r="5226" spans="1:17" x14ac:dyDescent="0.2">
      <c r="A5226" s="121">
        <v>40968</v>
      </c>
      <c r="B5226" t="s">
        <v>406</v>
      </c>
      <c r="C5226" t="s">
        <v>577</v>
      </c>
      <c r="D5226" t="s">
        <v>613</v>
      </c>
      <c r="E5226" t="s">
        <v>614</v>
      </c>
      <c r="F5226" t="s">
        <v>410</v>
      </c>
      <c r="G5226">
        <v>159</v>
      </c>
      <c r="H5226">
        <v>159</v>
      </c>
      <c r="I5226">
        <v>159</v>
      </c>
      <c r="J5226">
        <v>159</v>
      </c>
      <c r="K5226">
        <v>0</v>
      </c>
      <c r="L5226">
        <v>0</v>
      </c>
      <c r="M5226">
        <v>135</v>
      </c>
      <c r="N5226">
        <v>14</v>
      </c>
      <c r="O5226">
        <v>10</v>
      </c>
      <c r="P5226">
        <v>0</v>
      </c>
      <c r="Q5226">
        <v>0</v>
      </c>
    </row>
    <row r="5227" spans="1:17" x14ac:dyDescent="0.2">
      <c r="A5227" s="121">
        <v>40968</v>
      </c>
      <c r="B5227" t="s">
        <v>406</v>
      </c>
      <c r="C5227" t="s">
        <v>577</v>
      </c>
      <c r="D5227" t="s">
        <v>590</v>
      </c>
      <c r="E5227" t="s">
        <v>591</v>
      </c>
      <c r="F5227" t="s">
        <v>410</v>
      </c>
      <c r="G5227">
        <v>542</v>
      </c>
      <c r="H5227">
        <v>542</v>
      </c>
      <c r="I5227">
        <v>542</v>
      </c>
      <c r="J5227">
        <v>542</v>
      </c>
      <c r="K5227">
        <v>0</v>
      </c>
      <c r="L5227">
        <v>0</v>
      </c>
      <c r="M5227">
        <v>481</v>
      </c>
      <c r="N5227">
        <v>41</v>
      </c>
      <c r="O5227">
        <v>20</v>
      </c>
      <c r="P5227">
        <v>0</v>
      </c>
      <c r="Q5227">
        <v>0</v>
      </c>
    </row>
    <row r="5228" spans="1:17" x14ac:dyDescent="0.2">
      <c r="A5228" s="121">
        <v>40968</v>
      </c>
      <c r="B5228" t="s">
        <v>406</v>
      </c>
      <c r="C5228" t="s">
        <v>577</v>
      </c>
      <c r="D5228" t="s">
        <v>607</v>
      </c>
      <c r="E5228" t="s">
        <v>608</v>
      </c>
      <c r="F5228" t="s">
        <v>410</v>
      </c>
      <c r="G5228">
        <v>112</v>
      </c>
      <c r="H5228">
        <v>112</v>
      </c>
      <c r="I5228">
        <v>112</v>
      </c>
      <c r="J5228">
        <v>112</v>
      </c>
      <c r="K5228">
        <v>0</v>
      </c>
      <c r="L5228">
        <v>0</v>
      </c>
      <c r="M5228">
        <v>104</v>
      </c>
      <c r="N5228">
        <v>8</v>
      </c>
      <c r="O5228">
        <v>0</v>
      </c>
      <c r="P5228">
        <v>0</v>
      </c>
      <c r="Q5228">
        <v>0</v>
      </c>
    </row>
    <row r="5229" spans="1:17" x14ac:dyDescent="0.2">
      <c r="A5229" s="121">
        <v>40968</v>
      </c>
      <c r="B5229" t="s">
        <v>406</v>
      </c>
      <c r="C5229" t="s">
        <v>577</v>
      </c>
      <c r="D5229" t="s">
        <v>592</v>
      </c>
      <c r="E5229" t="s">
        <v>593</v>
      </c>
      <c r="F5229" t="s">
        <v>410</v>
      </c>
      <c r="G5229">
        <v>586</v>
      </c>
      <c r="H5229">
        <v>586</v>
      </c>
      <c r="I5229">
        <v>586</v>
      </c>
      <c r="J5229">
        <v>586</v>
      </c>
      <c r="K5229">
        <v>0</v>
      </c>
      <c r="L5229">
        <v>0</v>
      </c>
      <c r="M5229">
        <v>508</v>
      </c>
      <c r="N5229">
        <v>54</v>
      </c>
      <c r="O5229">
        <v>24</v>
      </c>
      <c r="P5229">
        <v>0</v>
      </c>
      <c r="Q5229">
        <v>0</v>
      </c>
    </row>
    <row r="5230" spans="1:17" x14ac:dyDescent="0.2">
      <c r="A5230" s="121">
        <v>40968</v>
      </c>
      <c r="B5230" t="s">
        <v>406</v>
      </c>
      <c r="C5230" t="s">
        <v>594</v>
      </c>
      <c r="D5230" t="s">
        <v>595</v>
      </c>
      <c r="E5230" t="s">
        <v>596</v>
      </c>
      <c r="F5230" t="s">
        <v>410</v>
      </c>
      <c r="G5230">
        <v>41</v>
      </c>
      <c r="I5230">
        <v>39</v>
      </c>
    </row>
    <row r="5231" spans="1:17" x14ac:dyDescent="0.2">
      <c r="A5231" s="121">
        <v>40968</v>
      </c>
      <c r="B5231" t="s">
        <v>406</v>
      </c>
      <c r="C5231" t="s">
        <v>594</v>
      </c>
      <c r="D5231" t="s">
        <v>597</v>
      </c>
      <c r="E5231" t="s">
        <v>598</v>
      </c>
      <c r="F5231" t="s">
        <v>413</v>
      </c>
      <c r="G5231">
        <v>516</v>
      </c>
      <c r="H5231">
        <v>516</v>
      </c>
      <c r="I5231">
        <v>504</v>
      </c>
      <c r="J5231">
        <v>504</v>
      </c>
      <c r="K5231">
        <v>125</v>
      </c>
      <c r="L5231">
        <v>0</v>
      </c>
      <c r="M5231">
        <v>367</v>
      </c>
      <c r="N5231">
        <v>22</v>
      </c>
      <c r="O5231">
        <v>2</v>
      </c>
      <c r="P5231">
        <v>0</v>
      </c>
      <c r="Q5231">
        <v>0</v>
      </c>
    </row>
    <row r="5232" spans="1:17" x14ac:dyDescent="0.2">
      <c r="A5232" s="121">
        <v>40968</v>
      </c>
      <c r="B5232" t="s">
        <v>406</v>
      </c>
      <c r="C5232" t="s">
        <v>594</v>
      </c>
      <c r="D5232" t="s">
        <v>599</v>
      </c>
      <c r="E5232" t="s">
        <v>600</v>
      </c>
      <c r="F5232" t="s">
        <v>410</v>
      </c>
      <c r="G5232">
        <v>77</v>
      </c>
      <c r="I5232">
        <v>77</v>
      </c>
    </row>
    <row r="5233" spans="1:17" x14ac:dyDescent="0.2">
      <c r="A5233" s="121">
        <v>40999</v>
      </c>
      <c r="B5233" t="s">
        <v>406</v>
      </c>
      <c r="C5233" t="s">
        <v>407</v>
      </c>
      <c r="D5233" t="s">
        <v>408</v>
      </c>
      <c r="E5233" t="s">
        <v>409</v>
      </c>
      <c r="F5233" t="s">
        <v>410</v>
      </c>
      <c r="G5233">
        <v>157</v>
      </c>
      <c r="I5233">
        <v>157</v>
      </c>
    </row>
    <row r="5234" spans="1:17" x14ac:dyDescent="0.2">
      <c r="A5234" s="121">
        <v>40999</v>
      </c>
      <c r="B5234" t="s">
        <v>406</v>
      </c>
      <c r="C5234" t="s">
        <v>407</v>
      </c>
      <c r="D5234" t="s">
        <v>601</v>
      </c>
      <c r="E5234" t="s">
        <v>602</v>
      </c>
      <c r="F5234" t="s">
        <v>410</v>
      </c>
      <c r="G5234">
        <v>72</v>
      </c>
      <c r="I5234">
        <v>72</v>
      </c>
    </row>
    <row r="5235" spans="1:17" x14ac:dyDescent="0.2">
      <c r="A5235" s="121">
        <v>40999</v>
      </c>
      <c r="B5235" t="s">
        <v>406</v>
      </c>
      <c r="C5235" t="s">
        <v>407</v>
      </c>
      <c r="D5235" t="s">
        <v>411</v>
      </c>
      <c r="E5235" t="s">
        <v>412</v>
      </c>
      <c r="F5235" t="s">
        <v>413</v>
      </c>
      <c r="G5235">
        <v>6538</v>
      </c>
      <c r="H5235">
        <v>6538</v>
      </c>
      <c r="I5235">
        <v>6194</v>
      </c>
      <c r="J5235">
        <v>6194</v>
      </c>
      <c r="K5235">
        <v>2434</v>
      </c>
      <c r="L5235">
        <v>8</v>
      </c>
      <c r="M5235">
        <v>3635</v>
      </c>
      <c r="N5235">
        <v>144</v>
      </c>
      <c r="O5235">
        <v>317</v>
      </c>
      <c r="P5235">
        <v>3</v>
      </c>
      <c r="Q5235">
        <v>1</v>
      </c>
    </row>
    <row r="5236" spans="1:17" x14ac:dyDescent="0.2">
      <c r="A5236" s="121">
        <v>40999</v>
      </c>
      <c r="B5236" t="s">
        <v>406</v>
      </c>
      <c r="C5236" t="s">
        <v>407</v>
      </c>
      <c r="D5236" t="s">
        <v>416</v>
      </c>
      <c r="E5236" t="s">
        <v>417</v>
      </c>
      <c r="F5236" t="s">
        <v>413</v>
      </c>
      <c r="G5236">
        <v>3970</v>
      </c>
      <c r="H5236">
        <v>3970</v>
      </c>
      <c r="I5236">
        <v>3780</v>
      </c>
      <c r="J5236">
        <v>3780</v>
      </c>
      <c r="K5236">
        <v>1321</v>
      </c>
      <c r="L5236">
        <v>13</v>
      </c>
      <c r="M5236">
        <v>2431</v>
      </c>
      <c r="N5236">
        <v>132</v>
      </c>
      <c r="O5236">
        <v>73</v>
      </c>
      <c r="P5236">
        <v>17</v>
      </c>
      <c r="Q5236">
        <v>11</v>
      </c>
    </row>
    <row r="5237" spans="1:17" x14ac:dyDescent="0.2">
      <c r="A5237" s="121">
        <v>40999</v>
      </c>
      <c r="B5237" t="s">
        <v>406</v>
      </c>
      <c r="C5237" t="s">
        <v>407</v>
      </c>
      <c r="D5237" t="s">
        <v>618</v>
      </c>
      <c r="E5237" t="s">
        <v>619</v>
      </c>
      <c r="F5237" t="s">
        <v>410</v>
      </c>
      <c r="G5237">
        <v>108</v>
      </c>
      <c r="I5237">
        <v>108</v>
      </c>
    </row>
    <row r="5238" spans="1:17" x14ac:dyDescent="0.2">
      <c r="A5238" s="121">
        <v>40999</v>
      </c>
      <c r="B5238" t="s">
        <v>406</v>
      </c>
      <c r="C5238" t="s">
        <v>418</v>
      </c>
      <c r="D5238" t="s">
        <v>419</v>
      </c>
      <c r="E5238" t="s">
        <v>420</v>
      </c>
      <c r="F5238" t="s">
        <v>410</v>
      </c>
      <c r="G5238">
        <v>28</v>
      </c>
      <c r="I5238">
        <v>28</v>
      </c>
    </row>
    <row r="5239" spans="1:17" x14ac:dyDescent="0.2">
      <c r="A5239" s="121">
        <v>40999</v>
      </c>
      <c r="B5239" t="s">
        <v>406</v>
      </c>
      <c r="C5239" t="s">
        <v>418</v>
      </c>
      <c r="D5239" t="s">
        <v>421</v>
      </c>
      <c r="E5239" t="s">
        <v>422</v>
      </c>
      <c r="F5239" t="s">
        <v>410</v>
      </c>
      <c r="G5239">
        <v>120</v>
      </c>
      <c r="I5239">
        <v>120</v>
      </c>
    </row>
    <row r="5240" spans="1:17" x14ac:dyDescent="0.2">
      <c r="A5240" s="121">
        <v>40999</v>
      </c>
      <c r="B5240" t="s">
        <v>406</v>
      </c>
      <c r="C5240" t="s">
        <v>418</v>
      </c>
      <c r="D5240" t="s">
        <v>423</v>
      </c>
      <c r="E5240" t="s">
        <v>424</v>
      </c>
      <c r="F5240" t="s">
        <v>410</v>
      </c>
      <c r="G5240">
        <v>17</v>
      </c>
      <c r="I5240">
        <v>17</v>
      </c>
    </row>
    <row r="5241" spans="1:17" x14ac:dyDescent="0.2">
      <c r="A5241" s="121">
        <v>40999</v>
      </c>
      <c r="B5241" t="s">
        <v>406</v>
      </c>
      <c r="C5241" t="s">
        <v>418</v>
      </c>
      <c r="D5241" t="s">
        <v>425</v>
      </c>
      <c r="E5241" t="s">
        <v>426</v>
      </c>
      <c r="F5241" t="s">
        <v>410</v>
      </c>
      <c r="G5241">
        <v>137</v>
      </c>
      <c r="I5241">
        <v>137</v>
      </c>
    </row>
    <row r="5242" spans="1:17" x14ac:dyDescent="0.2">
      <c r="A5242" s="121">
        <v>40999</v>
      </c>
      <c r="B5242" t="s">
        <v>406</v>
      </c>
      <c r="C5242" t="s">
        <v>418</v>
      </c>
      <c r="D5242" t="s">
        <v>427</v>
      </c>
      <c r="E5242" t="s">
        <v>428</v>
      </c>
      <c r="F5242" t="s">
        <v>413</v>
      </c>
      <c r="G5242">
        <v>2144</v>
      </c>
      <c r="H5242">
        <v>2144</v>
      </c>
      <c r="I5242">
        <v>2056</v>
      </c>
      <c r="J5242">
        <v>2056</v>
      </c>
      <c r="K5242">
        <v>742</v>
      </c>
      <c r="L5242">
        <v>3</v>
      </c>
      <c r="M5242">
        <v>983</v>
      </c>
      <c r="N5242">
        <v>365</v>
      </c>
      <c r="O5242">
        <v>51</v>
      </c>
      <c r="P5242">
        <v>6</v>
      </c>
      <c r="Q5242">
        <v>0</v>
      </c>
    </row>
    <row r="5243" spans="1:17" x14ac:dyDescent="0.2">
      <c r="A5243" s="121">
        <v>40999</v>
      </c>
      <c r="B5243" t="s">
        <v>406</v>
      </c>
      <c r="C5243" t="s">
        <v>429</v>
      </c>
      <c r="D5243" t="s">
        <v>430</v>
      </c>
      <c r="E5243" t="s">
        <v>431</v>
      </c>
      <c r="F5243" t="s">
        <v>410</v>
      </c>
      <c r="G5243">
        <v>23</v>
      </c>
      <c r="I5243">
        <v>23</v>
      </c>
    </row>
    <row r="5244" spans="1:17" x14ac:dyDescent="0.2">
      <c r="A5244" s="121">
        <v>40999</v>
      </c>
      <c r="B5244" t="s">
        <v>406</v>
      </c>
      <c r="C5244" t="s">
        <v>429</v>
      </c>
      <c r="D5244" t="s">
        <v>432</v>
      </c>
      <c r="E5244" t="s">
        <v>433</v>
      </c>
      <c r="F5244" t="s">
        <v>410</v>
      </c>
      <c r="G5244">
        <v>22</v>
      </c>
      <c r="I5244">
        <v>22</v>
      </c>
    </row>
    <row r="5245" spans="1:17" x14ac:dyDescent="0.2">
      <c r="A5245" s="121">
        <v>40999</v>
      </c>
      <c r="B5245" t="s">
        <v>406</v>
      </c>
      <c r="C5245" t="s">
        <v>429</v>
      </c>
      <c r="D5245" t="s">
        <v>434</v>
      </c>
      <c r="E5245" t="s">
        <v>435</v>
      </c>
      <c r="F5245" t="s">
        <v>410</v>
      </c>
      <c r="G5245">
        <v>5</v>
      </c>
      <c r="I5245">
        <v>5</v>
      </c>
    </row>
    <row r="5246" spans="1:17" x14ac:dyDescent="0.2">
      <c r="A5246" s="121">
        <v>40999</v>
      </c>
      <c r="B5246" t="s">
        <v>406</v>
      </c>
      <c r="C5246" t="s">
        <v>429</v>
      </c>
      <c r="D5246" t="s">
        <v>436</v>
      </c>
      <c r="E5246" t="s">
        <v>437</v>
      </c>
      <c r="F5246" t="s">
        <v>410</v>
      </c>
      <c r="G5246">
        <v>22</v>
      </c>
      <c r="H5246">
        <v>22</v>
      </c>
      <c r="I5246">
        <v>22</v>
      </c>
      <c r="J5246">
        <v>22</v>
      </c>
      <c r="K5246">
        <v>0</v>
      </c>
      <c r="L5246">
        <v>0</v>
      </c>
      <c r="M5246">
        <v>14</v>
      </c>
      <c r="N5246">
        <v>8</v>
      </c>
      <c r="O5246">
        <v>0</v>
      </c>
      <c r="P5246">
        <v>0</v>
      </c>
      <c r="Q5246">
        <v>0</v>
      </c>
    </row>
    <row r="5247" spans="1:17" x14ac:dyDescent="0.2">
      <c r="A5247" s="121">
        <v>40999</v>
      </c>
      <c r="B5247" t="s">
        <v>406</v>
      </c>
      <c r="C5247" t="s">
        <v>429</v>
      </c>
      <c r="D5247" t="s">
        <v>438</v>
      </c>
      <c r="E5247" t="s">
        <v>439</v>
      </c>
      <c r="F5247" t="s">
        <v>413</v>
      </c>
      <c r="G5247">
        <v>1053</v>
      </c>
      <c r="H5247">
        <v>1053</v>
      </c>
      <c r="I5247">
        <v>1032</v>
      </c>
      <c r="J5247">
        <v>1032</v>
      </c>
      <c r="K5247">
        <v>130</v>
      </c>
      <c r="L5247">
        <v>1</v>
      </c>
      <c r="M5247">
        <v>891</v>
      </c>
      <c r="N5247">
        <v>31</v>
      </c>
      <c r="O5247">
        <v>0</v>
      </c>
      <c r="P5247">
        <v>3</v>
      </c>
      <c r="Q5247">
        <v>0</v>
      </c>
    </row>
    <row r="5248" spans="1:17" x14ac:dyDescent="0.2">
      <c r="A5248" s="121">
        <v>40999</v>
      </c>
      <c r="B5248" t="s">
        <v>406</v>
      </c>
      <c r="C5248" t="s">
        <v>429</v>
      </c>
      <c r="D5248" t="s">
        <v>440</v>
      </c>
      <c r="E5248" t="s">
        <v>441</v>
      </c>
      <c r="F5248" t="s">
        <v>413</v>
      </c>
      <c r="G5248">
        <v>3096</v>
      </c>
      <c r="H5248">
        <v>3096</v>
      </c>
      <c r="I5248">
        <v>2868</v>
      </c>
      <c r="J5248">
        <v>2868</v>
      </c>
      <c r="K5248">
        <v>1005</v>
      </c>
      <c r="L5248">
        <v>2</v>
      </c>
      <c r="M5248">
        <v>2007</v>
      </c>
      <c r="N5248">
        <v>82</v>
      </c>
      <c r="O5248">
        <v>0</v>
      </c>
      <c r="P5248">
        <v>2</v>
      </c>
      <c r="Q5248">
        <v>0</v>
      </c>
    </row>
    <row r="5249" spans="1:17" x14ac:dyDescent="0.2">
      <c r="A5249" s="121">
        <v>40999</v>
      </c>
      <c r="B5249" t="s">
        <v>406</v>
      </c>
      <c r="C5249" t="s">
        <v>442</v>
      </c>
      <c r="D5249" t="s">
        <v>443</v>
      </c>
      <c r="E5249" t="s">
        <v>444</v>
      </c>
      <c r="F5249" t="s">
        <v>413</v>
      </c>
      <c r="G5249">
        <v>5419</v>
      </c>
      <c r="H5249">
        <v>5419</v>
      </c>
      <c r="I5249">
        <v>4960</v>
      </c>
      <c r="J5249">
        <v>4960</v>
      </c>
      <c r="K5249">
        <v>1156</v>
      </c>
      <c r="L5249">
        <v>8</v>
      </c>
      <c r="M5249">
        <v>4039</v>
      </c>
      <c r="N5249">
        <v>112</v>
      </c>
      <c r="O5249">
        <v>104</v>
      </c>
      <c r="P5249">
        <v>65</v>
      </c>
      <c r="Q5249">
        <v>6</v>
      </c>
    </row>
    <row r="5250" spans="1:17" x14ac:dyDescent="0.2">
      <c r="A5250" s="121">
        <v>40999</v>
      </c>
      <c r="B5250" t="s">
        <v>406</v>
      </c>
      <c r="C5250" t="s">
        <v>442</v>
      </c>
      <c r="D5250" t="s">
        <v>445</v>
      </c>
      <c r="E5250" t="s">
        <v>446</v>
      </c>
      <c r="F5250" t="s">
        <v>410</v>
      </c>
      <c r="G5250">
        <v>140</v>
      </c>
      <c r="I5250">
        <v>140</v>
      </c>
    </row>
    <row r="5251" spans="1:17" x14ac:dyDescent="0.2">
      <c r="A5251" s="121">
        <v>40999</v>
      </c>
      <c r="B5251" t="s">
        <v>406</v>
      </c>
      <c r="C5251" t="s">
        <v>442</v>
      </c>
      <c r="D5251" t="s">
        <v>447</v>
      </c>
      <c r="E5251" t="s">
        <v>448</v>
      </c>
      <c r="F5251" t="s">
        <v>410</v>
      </c>
      <c r="G5251">
        <v>419</v>
      </c>
      <c r="I5251">
        <v>419</v>
      </c>
    </row>
    <row r="5252" spans="1:17" x14ac:dyDescent="0.2">
      <c r="A5252" s="121">
        <v>40999</v>
      </c>
      <c r="B5252" t="s">
        <v>406</v>
      </c>
      <c r="C5252" t="s">
        <v>442</v>
      </c>
      <c r="D5252" t="s">
        <v>449</v>
      </c>
      <c r="E5252" t="s">
        <v>624</v>
      </c>
      <c r="F5252" t="s">
        <v>410</v>
      </c>
      <c r="G5252">
        <v>1793</v>
      </c>
      <c r="H5252">
        <v>1793</v>
      </c>
      <c r="I5252">
        <v>1787</v>
      </c>
      <c r="J5252">
        <v>1787</v>
      </c>
      <c r="K5252">
        <v>12</v>
      </c>
      <c r="L5252">
        <v>0</v>
      </c>
      <c r="M5252">
        <v>1441</v>
      </c>
      <c r="N5252">
        <v>89</v>
      </c>
      <c r="O5252">
        <v>251</v>
      </c>
      <c r="P5252">
        <v>0</v>
      </c>
      <c r="Q5252">
        <v>0</v>
      </c>
    </row>
    <row r="5253" spans="1:17" x14ac:dyDescent="0.2">
      <c r="A5253" s="121">
        <v>40999</v>
      </c>
      <c r="B5253" t="s">
        <v>406</v>
      </c>
      <c r="C5253" t="s">
        <v>451</v>
      </c>
      <c r="D5253" t="s">
        <v>454</v>
      </c>
      <c r="E5253" t="s">
        <v>621</v>
      </c>
      <c r="F5253" t="s">
        <v>410</v>
      </c>
      <c r="G5253">
        <v>1487</v>
      </c>
      <c r="H5253">
        <v>1487</v>
      </c>
      <c r="I5253">
        <v>1486</v>
      </c>
      <c r="J5253">
        <v>1486</v>
      </c>
      <c r="K5253">
        <v>0</v>
      </c>
      <c r="L5253">
        <v>0</v>
      </c>
      <c r="M5253">
        <v>1334</v>
      </c>
      <c r="N5253">
        <v>66</v>
      </c>
      <c r="O5253">
        <v>87</v>
      </c>
      <c r="P5253">
        <v>0</v>
      </c>
      <c r="Q5253">
        <v>0</v>
      </c>
    </row>
    <row r="5254" spans="1:17" x14ac:dyDescent="0.2">
      <c r="A5254" s="121">
        <v>40999</v>
      </c>
      <c r="B5254" t="s">
        <v>406</v>
      </c>
      <c r="C5254" t="s">
        <v>451</v>
      </c>
      <c r="D5254" t="s">
        <v>622</v>
      </c>
      <c r="E5254" t="s">
        <v>623</v>
      </c>
      <c r="F5254" t="s">
        <v>413</v>
      </c>
      <c r="G5254">
        <v>5401</v>
      </c>
      <c r="H5254">
        <v>5401</v>
      </c>
      <c r="I5254">
        <v>4870</v>
      </c>
      <c r="J5254">
        <v>4870</v>
      </c>
      <c r="K5254">
        <v>1215</v>
      </c>
      <c r="L5254">
        <v>16</v>
      </c>
      <c r="M5254">
        <v>3814</v>
      </c>
      <c r="N5254">
        <v>27</v>
      </c>
      <c r="O5254">
        <v>329</v>
      </c>
      <c r="P5254">
        <v>13</v>
      </c>
      <c r="Q5254">
        <v>0</v>
      </c>
    </row>
    <row r="5255" spans="1:17" x14ac:dyDescent="0.2">
      <c r="A5255" s="121">
        <v>40999</v>
      </c>
      <c r="B5255" t="s">
        <v>406</v>
      </c>
      <c r="C5255" t="s">
        <v>456</v>
      </c>
      <c r="D5255" t="s">
        <v>457</v>
      </c>
      <c r="E5255" t="s">
        <v>458</v>
      </c>
      <c r="F5255" t="s">
        <v>413</v>
      </c>
      <c r="G5255">
        <v>5744</v>
      </c>
      <c r="H5255">
        <v>5744</v>
      </c>
      <c r="I5255">
        <v>5495</v>
      </c>
      <c r="J5255">
        <v>5495</v>
      </c>
      <c r="K5255">
        <v>1480</v>
      </c>
      <c r="L5255">
        <v>14</v>
      </c>
      <c r="M5255">
        <v>4088</v>
      </c>
      <c r="N5255">
        <v>69</v>
      </c>
      <c r="O5255">
        <v>93</v>
      </c>
      <c r="P5255">
        <v>15</v>
      </c>
      <c r="Q5255">
        <v>0</v>
      </c>
    </row>
    <row r="5256" spans="1:17" x14ac:dyDescent="0.2">
      <c r="A5256" s="121">
        <v>40999</v>
      </c>
      <c r="B5256" t="s">
        <v>406</v>
      </c>
      <c r="C5256" t="s">
        <v>456</v>
      </c>
      <c r="D5256" t="s">
        <v>459</v>
      </c>
      <c r="E5256" t="s">
        <v>460</v>
      </c>
      <c r="F5256" t="s">
        <v>413</v>
      </c>
      <c r="G5256">
        <v>1941</v>
      </c>
      <c r="H5256">
        <v>1941</v>
      </c>
      <c r="I5256">
        <v>1914</v>
      </c>
      <c r="J5256">
        <v>1914</v>
      </c>
      <c r="K5256">
        <v>511</v>
      </c>
      <c r="L5256">
        <v>1</v>
      </c>
      <c r="M5256">
        <v>1424</v>
      </c>
      <c r="N5256">
        <v>3</v>
      </c>
      <c r="O5256">
        <v>2</v>
      </c>
      <c r="P5256">
        <v>1</v>
      </c>
      <c r="Q5256">
        <v>0</v>
      </c>
    </row>
    <row r="5257" spans="1:17" x14ac:dyDescent="0.2">
      <c r="A5257" s="121">
        <v>40999</v>
      </c>
      <c r="B5257" t="s">
        <v>406</v>
      </c>
      <c r="C5257" t="s">
        <v>456</v>
      </c>
      <c r="D5257" t="s">
        <v>461</v>
      </c>
      <c r="E5257" t="s">
        <v>462</v>
      </c>
      <c r="F5257" t="s">
        <v>410</v>
      </c>
      <c r="G5257">
        <v>76</v>
      </c>
      <c r="I5257">
        <v>76</v>
      </c>
    </row>
    <row r="5258" spans="1:17" x14ac:dyDescent="0.2">
      <c r="A5258" s="121">
        <v>40999</v>
      </c>
      <c r="B5258" t="s">
        <v>406</v>
      </c>
      <c r="C5258" t="s">
        <v>456</v>
      </c>
      <c r="D5258" t="s">
        <v>463</v>
      </c>
      <c r="E5258" t="s">
        <v>464</v>
      </c>
      <c r="F5258" t="s">
        <v>410</v>
      </c>
      <c r="G5258">
        <v>29</v>
      </c>
      <c r="I5258">
        <v>29</v>
      </c>
    </row>
    <row r="5259" spans="1:17" x14ac:dyDescent="0.2">
      <c r="A5259" s="121">
        <v>40999</v>
      </c>
      <c r="B5259" t="s">
        <v>406</v>
      </c>
      <c r="C5259" t="s">
        <v>456</v>
      </c>
      <c r="D5259" t="s">
        <v>465</v>
      </c>
      <c r="E5259" t="s">
        <v>466</v>
      </c>
      <c r="F5259" t="s">
        <v>410</v>
      </c>
      <c r="G5259">
        <v>51</v>
      </c>
      <c r="I5259">
        <v>51</v>
      </c>
    </row>
    <row r="5260" spans="1:17" x14ac:dyDescent="0.2">
      <c r="A5260" s="121">
        <v>40999</v>
      </c>
      <c r="B5260" t="s">
        <v>406</v>
      </c>
      <c r="C5260" t="s">
        <v>456</v>
      </c>
      <c r="D5260" t="s">
        <v>467</v>
      </c>
      <c r="E5260" t="s">
        <v>468</v>
      </c>
      <c r="F5260" t="s">
        <v>410</v>
      </c>
      <c r="G5260">
        <v>1177</v>
      </c>
      <c r="I5260">
        <v>1177</v>
      </c>
    </row>
    <row r="5261" spans="1:17" x14ac:dyDescent="0.2">
      <c r="A5261" s="121">
        <v>40999</v>
      </c>
      <c r="B5261" t="s">
        <v>406</v>
      </c>
      <c r="C5261" t="s">
        <v>456</v>
      </c>
      <c r="D5261" t="s">
        <v>469</v>
      </c>
      <c r="E5261" t="s">
        <v>470</v>
      </c>
      <c r="F5261" t="s">
        <v>410</v>
      </c>
      <c r="G5261">
        <v>895</v>
      </c>
      <c r="I5261">
        <v>895</v>
      </c>
    </row>
    <row r="5262" spans="1:17" x14ac:dyDescent="0.2">
      <c r="A5262" s="121">
        <v>40999</v>
      </c>
      <c r="B5262" t="s">
        <v>406</v>
      </c>
      <c r="C5262" t="s">
        <v>456</v>
      </c>
      <c r="D5262" t="s">
        <v>471</v>
      </c>
      <c r="E5262" t="s">
        <v>472</v>
      </c>
      <c r="F5262" t="s">
        <v>410</v>
      </c>
      <c r="G5262">
        <v>336</v>
      </c>
      <c r="I5262">
        <v>334</v>
      </c>
    </row>
    <row r="5263" spans="1:17" x14ac:dyDescent="0.2">
      <c r="A5263" s="121">
        <v>40999</v>
      </c>
      <c r="B5263" t="s">
        <v>406</v>
      </c>
      <c r="C5263" t="s">
        <v>456</v>
      </c>
      <c r="D5263" t="s">
        <v>473</v>
      </c>
      <c r="E5263" t="s">
        <v>474</v>
      </c>
      <c r="F5263" t="s">
        <v>410</v>
      </c>
      <c r="G5263">
        <v>226</v>
      </c>
      <c r="I5263">
        <v>226</v>
      </c>
    </row>
    <row r="5264" spans="1:17" x14ac:dyDescent="0.2">
      <c r="A5264" s="121">
        <v>40999</v>
      </c>
      <c r="B5264" t="s">
        <v>406</v>
      </c>
      <c r="C5264" t="s">
        <v>456</v>
      </c>
      <c r="D5264" t="s">
        <v>475</v>
      </c>
      <c r="E5264" t="s">
        <v>476</v>
      </c>
      <c r="F5264" t="s">
        <v>410</v>
      </c>
      <c r="G5264">
        <v>298</v>
      </c>
      <c r="I5264">
        <v>298</v>
      </c>
    </row>
    <row r="5265" spans="1:17" x14ac:dyDescent="0.2">
      <c r="A5265" s="121">
        <v>40999</v>
      </c>
      <c r="B5265" t="s">
        <v>406</v>
      </c>
      <c r="C5265" t="s">
        <v>456</v>
      </c>
      <c r="D5265" t="s">
        <v>477</v>
      </c>
      <c r="E5265" t="s">
        <v>478</v>
      </c>
      <c r="F5265" t="s">
        <v>413</v>
      </c>
      <c r="G5265">
        <v>2229</v>
      </c>
      <c r="H5265">
        <v>2229</v>
      </c>
      <c r="I5265">
        <v>2124</v>
      </c>
      <c r="J5265">
        <v>2124</v>
      </c>
      <c r="K5265">
        <v>530</v>
      </c>
      <c r="L5265">
        <v>12</v>
      </c>
      <c r="M5265">
        <v>1647</v>
      </c>
      <c r="N5265">
        <v>25</v>
      </c>
      <c r="O5265">
        <v>15</v>
      </c>
      <c r="P5265">
        <v>6</v>
      </c>
      <c r="Q5265">
        <v>0</v>
      </c>
    </row>
    <row r="5266" spans="1:17" x14ac:dyDescent="0.2">
      <c r="A5266" s="121">
        <v>40999</v>
      </c>
      <c r="B5266" t="s">
        <v>406</v>
      </c>
      <c r="C5266" t="s">
        <v>456</v>
      </c>
      <c r="D5266" t="s">
        <v>479</v>
      </c>
      <c r="E5266" t="s">
        <v>480</v>
      </c>
      <c r="F5266" t="s">
        <v>410</v>
      </c>
      <c r="G5266">
        <v>65</v>
      </c>
      <c r="I5266">
        <v>65</v>
      </c>
    </row>
    <row r="5267" spans="1:17" x14ac:dyDescent="0.2">
      <c r="A5267" s="121">
        <v>40999</v>
      </c>
      <c r="B5267" t="s">
        <v>406</v>
      </c>
      <c r="C5267" t="s">
        <v>456</v>
      </c>
      <c r="D5267" t="s">
        <v>481</v>
      </c>
      <c r="E5267" t="s">
        <v>482</v>
      </c>
      <c r="F5267" t="s">
        <v>410</v>
      </c>
      <c r="G5267">
        <v>41</v>
      </c>
      <c r="I5267">
        <v>41</v>
      </c>
    </row>
    <row r="5268" spans="1:17" x14ac:dyDescent="0.2">
      <c r="A5268" s="121">
        <v>40999</v>
      </c>
      <c r="B5268" t="s">
        <v>406</v>
      </c>
      <c r="C5268" t="s">
        <v>456</v>
      </c>
      <c r="D5268" t="s">
        <v>483</v>
      </c>
      <c r="E5268" t="s">
        <v>484</v>
      </c>
      <c r="F5268" t="s">
        <v>410</v>
      </c>
      <c r="G5268">
        <v>142</v>
      </c>
      <c r="I5268">
        <v>142</v>
      </c>
    </row>
    <row r="5269" spans="1:17" x14ac:dyDescent="0.2">
      <c r="A5269" s="121">
        <v>40999</v>
      </c>
      <c r="B5269" t="s">
        <v>406</v>
      </c>
      <c r="C5269" t="s">
        <v>456</v>
      </c>
      <c r="D5269" t="s">
        <v>485</v>
      </c>
      <c r="E5269" t="s">
        <v>486</v>
      </c>
      <c r="F5269" t="s">
        <v>410</v>
      </c>
      <c r="G5269">
        <v>47</v>
      </c>
      <c r="I5269">
        <v>47</v>
      </c>
    </row>
    <row r="5270" spans="1:17" x14ac:dyDescent="0.2">
      <c r="A5270" s="121">
        <v>40999</v>
      </c>
      <c r="B5270" t="s">
        <v>406</v>
      </c>
      <c r="C5270" t="s">
        <v>456</v>
      </c>
      <c r="D5270" t="s">
        <v>487</v>
      </c>
      <c r="E5270" t="s">
        <v>488</v>
      </c>
      <c r="F5270" t="s">
        <v>410</v>
      </c>
      <c r="G5270">
        <v>30</v>
      </c>
      <c r="I5270">
        <v>30</v>
      </c>
    </row>
    <row r="5271" spans="1:17" x14ac:dyDescent="0.2">
      <c r="A5271" s="121">
        <v>40999</v>
      </c>
      <c r="B5271" t="s">
        <v>406</v>
      </c>
      <c r="C5271" t="s">
        <v>456</v>
      </c>
      <c r="D5271" t="s">
        <v>489</v>
      </c>
      <c r="E5271" t="s">
        <v>490</v>
      </c>
      <c r="F5271" t="s">
        <v>410</v>
      </c>
      <c r="G5271">
        <v>98</v>
      </c>
      <c r="H5271">
        <v>98</v>
      </c>
      <c r="I5271">
        <v>98</v>
      </c>
      <c r="J5271">
        <v>98</v>
      </c>
      <c r="K5271">
        <v>0</v>
      </c>
      <c r="L5271">
        <v>1</v>
      </c>
      <c r="M5271">
        <v>79</v>
      </c>
      <c r="N5271">
        <v>18</v>
      </c>
      <c r="O5271">
        <v>0</v>
      </c>
      <c r="P5271">
        <v>0</v>
      </c>
      <c r="Q5271">
        <v>0</v>
      </c>
    </row>
    <row r="5272" spans="1:17" x14ac:dyDescent="0.2">
      <c r="A5272" s="121">
        <v>40999</v>
      </c>
      <c r="B5272" t="s">
        <v>406</v>
      </c>
      <c r="C5272" t="s">
        <v>491</v>
      </c>
      <c r="D5272" t="s">
        <v>492</v>
      </c>
      <c r="E5272" t="s">
        <v>493</v>
      </c>
      <c r="F5272" t="s">
        <v>410</v>
      </c>
      <c r="G5272">
        <v>1300</v>
      </c>
      <c r="H5272">
        <v>1300</v>
      </c>
      <c r="I5272">
        <v>1247</v>
      </c>
      <c r="J5272">
        <v>1247</v>
      </c>
      <c r="K5272">
        <v>243</v>
      </c>
      <c r="L5272">
        <v>13</v>
      </c>
      <c r="M5272">
        <v>972</v>
      </c>
      <c r="N5272">
        <v>63</v>
      </c>
      <c r="O5272">
        <v>9</v>
      </c>
      <c r="P5272">
        <v>1</v>
      </c>
      <c r="Q5272">
        <v>0</v>
      </c>
    </row>
    <row r="5273" spans="1:17" x14ac:dyDescent="0.2">
      <c r="A5273" s="121">
        <v>40999</v>
      </c>
      <c r="B5273" t="s">
        <v>406</v>
      </c>
      <c r="C5273" t="s">
        <v>491</v>
      </c>
      <c r="D5273" t="s">
        <v>494</v>
      </c>
      <c r="E5273" t="s">
        <v>495</v>
      </c>
      <c r="F5273" t="s">
        <v>413</v>
      </c>
      <c r="G5273">
        <v>2987</v>
      </c>
      <c r="H5273">
        <v>2987</v>
      </c>
      <c r="I5273">
        <v>2871</v>
      </c>
      <c r="J5273">
        <v>2871</v>
      </c>
      <c r="K5273">
        <v>760</v>
      </c>
      <c r="L5273">
        <v>7</v>
      </c>
      <c r="M5273">
        <v>2020</v>
      </c>
      <c r="N5273">
        <v>66</v>
      </c>
      <c r="O5273">
        <v>134</v>
      </c>
      <c r="P5273">
        <v>6</v>
      </c>
      <c r="Q5273">
        <v>0</v>
      </c>
    </row>
    <row r="5274" spans="1:17" x14ac:dyDescent="0.2">
      <c r="A5274" s="121">
        <v>40999</v>
      </c>
      <c r="B5274" t="s">
        <v>406</v>
      </c>
      <c r="C5274" t="s">
        <v>491</v>
      </c>
      <c r="D5274" t="s">
        <v>496</v>
      </c>
      <c r="E5274" t="s">
        <v>497</v>
      </c>
      <c r="F5274" t="s">
        <v>413</v>
      </c>
      <c r="G5274">
        <v>6701</v>
      </c>
      <c r="H5274">
        <v>6701</v>
      </c>
      <c r="I5274">
        <v>6265</v>
      </c>
      <c r="J5274">
        <v>6265</v>
      </c>
      <c r="K5274">
        <v>828</v>
      </c>
      <c r="L5274">
        <v>0</v>
      </c>
      <c r="M5274">
        <v>9</v>
      </c>
      <c r="N5274">
        <v>62</v>
      </c>
      <c r="O5274">
        <v>5802</v>
      </c>
      <c r="P5274">
        <v>10</v>
      </c>
      <c r="Q5274">
        <v>0</v>
      </c>
    </row>
    <row r="5275" spans="1:17" x14ac:dyDescent="0.2">
      <c r="A5275" s="121">
        <v>40999</v>
      </c>
      <c r="B5275" t="s">
        <v>406</v>
      </c>
      <c r="C5275" t="s">
        <v>491</v>
      </c>
      <c r="D5275" t="s">
        <v>498</v>
      </c>
      <c r="E5275" t="s">
        <v>499</v>
      </c>
      <c r="F5275" t="s">
        <v>413</v>
      </c>
      <c r="G5275">
        <v>7644</v>
      </c>
      <c r="H5275">
        <v>7644</v>
      </c>
      <c r="I5275">
        <v>7440</v>
      </c>
      <c r="J5275">
        <v>7440</v>
      </c>
      <c r="K5275">
        <v>1816</v>
      </c>
      <c r="L5275">
        <v>20</v>
      </c>
      <c r="M5275">
        <v>5295</v>
      </c>
      <c r="N5275">
        <v>157</v>
      </c>
      <c r="O5275">
        <v>356</v>
      </c>
      <c r="P5275">
        <v>4</v>
      </c>
      <c r="Q5275">
        <v>0</v>
      </c>
    </row>
    <row r="5276" spans="1:17" x14ac:dyDescent="0.2">
      <c r="A5276" s="121">
        <v>40999</v>
      </c>
      <c r="B5276" t="s">
        <v>406</v>
      </c>
      <c r="C5276" t="s">
        <v>491</v>
      </c>
      <c r="D5276" t="s">
        <v>500</v>
      </c>
      <c r="E5276" t="s">
        <v>620</v>
      </c>
      <c r="F5276" t="s">
        <v>410</v>
      </c>
      <c r="G5276">
        <v>1483</v>
      </c>
      <c r="H5276">
        <v>1483</v>
      </c>
      <c r="I5276">
        <v>1483</v>
      </c>
      <c r="J5276">
        <v>1483</v>
      </c>
      <c r="K5276">
        <v>11</v>
      </c>
      <c r="L5276">
        <v>0</v>
      </c>
      <c r="M5276">
        <v>1316</v>
      </c>
      <c r="N5276">
        <v>7</v>
      </c>
      <c r="O5276">
        <v>149</v>
      </c>
      <c r="P5276">
        <v>0</v>
      </c>
      <c r="Q5276">
        <v>0</v>
      </c>
    </row>
    <row r="5277" spans="1:17" x14ac:dyDescent="0.2">
      <c r="A5277" s="121">
        <v>40999</v>
      </c>
      <c r="B5277" t="s">
        <v>406</v>
      </c>
      <c r="C5277" t="s">
        <v>491</v>
      </c>
      <c r="D5277" t="s">
        <v>502</v>
      </c>
      <c r="E5277" t="s">
        <v>615</v>
      </c>
      <c r="F5277" t="s">
        <v>410</v>
      </c>
      <c r="G5277">
        <v>1751</v>
      </c>
      <c r="H5277">
        <v>1751</v>
      </c>
      <c r="I5277">
        <v>1751</v>
      </c>
      <c r="J5277">
        <v>1751</v>
      </c>
      <c r="K5277">
        <v>1</v>
      </c>
      <c r="L5277">
        <v>0</v>
      </c>
      <c r="M5277">
        <v>1711</v>
      </c>
      <c r="N5277">
        <v>4</v>
      </c>
      <c r="O5277">
        <v>35</v>
      </c>
      <c r="P5277">
        <v>0</v>
      </c>
      <c r="Q5277">
        <v>0</v>
      </c>
    </row>
    <row r="5278" spans="1:17" x14ac:dyDescent="0.2">
      <c r="A5278" s="121">
        <v>40999</v>
      </c>
      <c r="B5278" t="s">
        <v>406</v>
      </c>
      <c r="C5278" t="s">
        <v>491</v>
      </c>
      <c r="D5278" t="s">
        <v>502</v>
      </c>
      <c r="E5278" t="s">
        <v>503</v>
      </c>
      <c r="F5278" t="s">
        <v>413</v>
      </c>
      <c r="G5278">
        <v>5585</v>
      </c>
      <c r="H5278">
        <v>5585</v>
      </c>
      <c r="I5278">
        <v>5161</v>
      </c>
      <c r="J5278">
        <v>5161</v>
      </c>
      <c r="K5278">
        <v>1496</v>
      </c>
      <c r="L5278">
        <v>7</v>
      </c>
      <c r="M5278">
        <v>3830</v>
      </c>
      <c r="N5278">
        <v>137</v>
      </c>
      <c r="O5278">
        <v>115</v>
      </c>
      <c r="P5278">
        <v>27</v>
      </c>
      <c r="Q5278">
        <v>0</v>
      </c>
    </row>
    <row r="5279" spans="1:17" x14ac:dyDescent="0.2">
      <c r="A5279" s="121">
        <v>40999</v>
      </c>
      <c r="B5279" t="s">
        <v>406</v>
      </c>
      <c r="C5279" t="s">
        <v>491</v>
      </c>
      <c r="D5279" t="s">
        <v>504</v>
      </c>
      <c r="E5279" t="s">
        <v>505</v>
      </c>
      <c r="F5279" t="s">
        <v>413</v>
      </c>
      <c r="G5279">
        <v>4298</v>
      </c>
      <c r="H5279">
        <v>4298</v>
      </c>
      <c r="I5279">
        <v>4078</v>
      </c>
      <c r="J5279">
        <v>4078</v>
      </c>
      <c r="K5279">
        <v>1091</v>
      </c>
      <c r="L5279">
        <v>6</v>
      </c>
      <c r="M5279">
        <v>3098</v>
      </c>
      <c r="N5279">
        <v>61</v>
      </c>
      <c r="O5279">
        <v>42</v>
      </c>
      <c r="P5279">
        <v>3</v>
      </c>
      <c r="Q5279">
        <v>0</v>
      </c>
    </row>
    <row r="5280" spans="1:17" x14ac:dyDescent="0.2">
      <c r="A5280" s="121">
        <v>40999</v>
      </c>
      <c r="B5280" t="s">
        <v>406</v>
      </c>
      <c r="C5280" t="s">
        <v>491</v>
      </c>
      <c r="D5280" t="s">
        <v>506</v>
      </c>
      <c r="E5280" t="s">
        <v>507</v>
      </c>
      <c r="F5280" t="s">
        <v>413</v>
      </c>
      <c r="G5280">
        <v>4878</v>
      </c>
      <c r="H5280">
        <v>4878</v>
      </c>
      <c r="I5280">
        <v>4540</v>
      </c>
      <c r="J5280">
        <v>4540</v>
      </c>
      <c r="K5280">
        <v>607</v>
      </c>
      <c r="L5280">
        <v>0</v>
      </c>
      <c r="M5280">
        <v>4256</v>
      </c>
      <c r="N5280">
        <v>3</v>
      </c>
      <c r="O5280">
        <v>12</v>
      </c>
      <c r="P5280">
        <v>8</v>
      </c>
      <c r="Q5280">
        <v>1</v>
      </c>
    </row>
    <row r="5281" spans="1:17" x14ac:dyDescent="0.2">
      <c r="A5281" s="121">
        <v>40999</v>
      </c>
      <c r="B5281" t="s">
        <v>406</v>
      </c>
      <c r="C5281" t="s">
        <v>491</v>
      </c>
      <c r="D5281" t="s">
        <v>508</v>
      </c>
      <c r="E5281" t="s">
        <v>509</v>
      </c>
      <c r="F5281" t="s">
        <v>413</v>
      </c>
      <c r="G5281">
        <v>5463</v>
      </c>
      <c r="H5281">
        <v>5463</v>
      </c>
      <c r="I5281">
        <v>5136</v>
      </c>
      <c r="J5281">
        <v>5136</v>
      </c>
      <c r="K5281">
        <v>1600</v>
      </c>
      <c r="L5281">
        <v>8</v>
      </c>
      <c r="M5281">
        <v>3372</v>
      </c>
      <c r="N5281">
        <v>87</v>
      </c>
      <c r="O5281">
        <v>396</v>
      </c>
      <c r="P5281">
        <v>6</v>
      </c>
      <c r="Q5281">
        <v>0</v>
      </c>
    </row>
    <row r="5282" spans="1:17" x14ac:dyDescent="0.2">
      <c r="A5282" s="121">
        <v>40999</v>
      </c>
      <c r="B5282" t="s">
        <v>406</v>
      </c>
      <c r="C5282" t="s">
        <v>510</v>
      </c>
      <c r="D5282" t="s">
        <v>513</v>
      </c>
      <c r="E5282" t="s">
        <v>514</v>
      </c>
      <c r="F5282" t="s">
        <v>410</v>
      </c>
      <c r="G5282">
        <v>589</v>
      </c>
      <c r="I5282">
        <v>587</v>
      </c>
    </row>
    <row r="5283" spans="1:17" x14ac:dyDescent="0.2">
      <c r="A5283" s="121">
        <v>40999</v>
      </c>
      <c r="B5283" t="s">
        <v>406</v>
      </c>
      <c r="C5283" t="s">
        <v>510</v>
      </c>
      <c r="D5283" t="s">
        <v>515</v>
      </c>
      <c r="E5283" t="s">
        <v>516</v>
      </c>
      <c r="F5283" t="s">
        <v>410</v>
      </c>
      <c r="G5283">
        <v>66</v>
      </c>
      <c r="I5283">
        <v>63</v>
      </c>
    </row>
    <row r="5284" spans="1:17" x14ac:dyDescent="0.2">
      <c r="A5284" s="121">
        <v>40999</v>
      </c>
      <c r="B5284" t="s">
        <v>406</v>
      </c>
      <c r="C5284" t="s">
        <v>510</v>
      </c>
      <c r="D5284" t="s">
        <v>519</v>
      </c>
      <c r="E5284" t="s">
        <v>520</v>
      </c>
      <c r="F5284" t="s">
        <v>410</v>
      </c>
      <c r="G5284">
        <v>356</v>
      </c>
      <c r="I5284">
        <v>342</v>
      </c>
    </row>
    <row r="5285" spans="1:17" x14ac:dyDescent="0.2">
      <c r="A5285" s="121">
        <v>40999</v>
      </c>
      <c r="B5285" t="s">
        <v>406</v>
      </c>
      <c r="C5285" t="s">
        <v>510</v>
      </c>
      <c r="D5285" t="s">
        <v>521</v>
      </c>
      <c r="E5285" t="s">
        <v>522</v>
      </c>
      <c r="F5285" t="s">
        <v>410</v>
      </c>
      <c r="G5285">
        <v>52</v>
      </c>
      <c r="I5285">
        <v>52</v>
      </c>
    </row>
    <row r="5286" spans="1:17" x14ac:dyDescent="0.2">
      <c r="A5286" s="121">
        <v>40999</v>
      </c>
      <c r="B5286" t="s">
        <v>406</v>
      </c>
      <c r="C5286" t="s">
        <v>510</v>
      </c>
      <c r="D5286" t="s">
        <v>523</v>
      </c>
      <c r="E5286" t="s">
        <v>524</v>
      </c>
      <c r="F5286" t="s">
        <v>413</v>
      </c>
      <c r="G5286">
        <v>529</v>
      </c>
      <c r="I5286">
        <v>525</v>
      </c>
    </row>
    <row r="5287" spans="1:17" x14ac:dyDescent="0.2">
      <c r="A5287" s="121">
        <v>40999</v>
      </c>
      <c r="B5287" t="s">
        <v>406</v>
      </c>
      <c r="C5287" t="s">
        <v>510</v>
      </c>
      <c r="D5287" t="s">
        <v>525</v>
      </c>
      <c r="E5287" t="s">
        <v>526</v>
      </c>
      <c r="F5287" t="s">
        <v>410</v>
      </c>
      <c r="G5287">
        <v>512</v>
      </c>
      <c r="I5287">
        <v>504</v>
      </c>
    </row>
    <row r="5288" spans="1:17" x14ac:dyDescent="0.2">
      <c r="A5288" s="121">
        <v>40999</v>
      </c>
      <c r="B5288" t="s">
        <v>406</v>
      </c>
      <c r="C5288" t="s">
        <v>510</v>
      </c>
      <c r="D5288" t="s">
        <v>527</v>
      </c>
      <c r="E5288" t="s">
        <v>528</v>
      </c>
      <c r="F5288" t="s">
        <v>410</v>
      </c>
      <c r="G5288">
        <v>208</v>
      </c>
      <c r="I5288">
        <v>205</v>
      </c>
    </row>
    <row r="5289" spans="1:17" x14ac:dyDescent="0.2">
      <c r="A5289" s="121">
        <v>40999</v>
      </c>
      <c r="B5289" t="s">
        <v>406</v>
      </c>
      <c r="C5289" t="s">
        <v>510</v>
      </c>
      <c r="D5289" t="s">
        <v>529</v>
      </c>
      <c r="E5289" t="s">
        <v>530</v>
      </c>
      <c r="F5289" t="s">
        <v>413</v>
      </c>
      <c r="G5289">
        <v>514</v>
      </c>
      <c r="H5289">
        <v>514</v>
      </c>
      <c r="I5289">
        <v>512</v>
      </c>
      <c r="J5289">
        <v>512</v>
      </c>
      <c r="K5289">
        <v>132</v>
      </c>
      <c r="L5289">
        <v>0</v>
      </c>
      <c r="M5289">
        <v>382</v>
      </c>
      <c r="N5289">
        <v>0</v>
      </c>
      <c r="O5289">
        <v>0</v>
      </c>
      <c r="P5289">
        <v>0</v>
      </c>
      <c r="Q5289">
        <v>0</v>
      </c>
    </row>
    <row r="5290" spans="1:17" x14ac:dyDescent="0.2">
      <c r="A5290" s="121">
        <v>40999</v>
      </c>
      <c r="B5290" t="s">
        <v>406</v>
      </c>
      <c r="C5290" t="s">
        <v>510</v>
      </c>
      <c r="D5290" t="s">
        <v>531</v>
      </c>
      <c r="E5290" t="s">
        <v>532</v>
      </c>
      <c r="F5290" t="s">
        <v>410</v>
      </c>
      <c r="G5290">
        <v>34</v>
      </c>
      <c r="I5290">
        <v>34</v>
      </c>
    </row>
    <row r="5291" spans="1:17" x14ac:dyDescent="0.2">
      <c r="A5291" s="121">
        <v>40999</v>
      </c>
      <c r="B5291" t="s">
        <v>406</v>
      </c>
      <c r="C5291" t="s">
        <v>510</v>
      </c>
      <c r="D5291" t="s">
        <v>533</v>
      </c>
      <c r="E5291" t="s">
        <v>534</v>
      </c>
      <c r="F5291" t="s">
        <v>413</v>
      </c>
      <c r="G5291">
        <v>2638</v>
      </c>
      <c r="H5291">
        <v>2638</v>
      </c>
      <c r="I5291">
        <v>2567</v>
      </c>
      <c r="J5291">
        <v>2567</v>
      </c>
      <c r="K5291">
        <v>589</v>
      </c>
      <c r="L5291">
        <v>6</v>
      </c>
      <c r="M5291">
        <v>2041</v>
      </c>
      <c r="N5291">
        <v>2</v>
      </c>
      <c r="O5291">
        <v>0</v>
      </c>
      <c r="P5291">
        <v>3</v>
      </c>
      <c r="Q5291">
        <v>0</v>
      </c>
    </row>
    <row r="5292" spans="1:17" x14ac:dyDescent="0.2">
      <c r="A5292" s="121">
        <v>40999</v>
      </c>
      <c r="B5292" t="s">
        <v>406</v>
      </c>
      <c r="C5292" t="s">
        <v>510</v>
      </c>
      <c r="D5292" t="s">
        <v>535</v>
      </c>
      <c r="E5292" t="s">
        <v>536</v>
      </c>
      <c r="F5292" t="s">
        <v>410</v>
      </c>
      <c r="G5292">
        <v>364</v>
      </c>
      <c r="I5292">
        <v>364</v>
      </c>
    </row>
    <row r="5293" spans="1:17" x14ac:dyDescent="0.2">
      <c r="A5293" s="121">
        <v>40999</v>
      </c>
      <c r="B5293" t="s">
        <v>406</v>
      </c>
      <c r="C5293" t="s">
        <v>510</v>
      </c>
      <c r="D5293" t="s">
        <v>537</v>
      </c>
      <c r="E5293" t="s">
        <v>538</v>
      </c>
      <c r="F5293" t="s">
        <v>410</v>
      </c>
      <c r="G5293">
        <v>111</v>
      </c>
      <c r="I5293">
        <v>110</v>
      </c>
    </row>
    <row r="5294" spans="1:17" x14ac:dyDescent="0.2">
      <c r="A5294" s="121">
        <v>40999</v>
      </c>
      <c r="B5294" t="s">
        <v>406</v>
      </c>
      <c r="C5294" t="s">
        <v>510</v>
      </c>
      <c r="D5294" t="s">
        <v>539</v>
      </c>
      <c r="E5294" t="s">
        <v>540</v>
      </c>
      <c r="F5294" t="s">
        <v>413</v>
      </c>
      <c r="G5294">
        <v>654</v>
      </c>
      <c r="H5294">
        <v>654</v>
      </c>
      <c r="I5294">
        <v>638</v>
      </c>
      <c r="J5294">
        <v>638</v>
      </c>
      <c r="K5294">
        <v>106</v>
      </c>
      <c r="L5294">
        <v>0</v>
      </c>
      <c r="M5294">
        <v>546</v>
      </c>
      <c r="N5294">
        <v>2</v>
      </c>
      <c r="O5294">
        <v>0</v>
      </c>
      <c r="P5294">
        <v>2</v>
      </c>
      <c r="Q5294">
        <v>0</v>
      </c>
    </row>
    <row r="5295" spans="1:17" x14ac:dyDescent="0.2">
      <c r="A5295" s="121">
        <v>40999</v>
      </c>
      <c r="B5295" t="s">
        <v>406</v>
      </c>
      <c r="C5295" t="s">
        <v>510</v>
      </c>
      <c r="D5295" t="s">
        <v>541</v>
      </c>
      <c r="E5295" t="s">
        <v>542</v>
      </c>
      <c r="F5295" t="s">
        <v>410</v>
      </c>
      <c r="G5295">
        <v>372</v>
      </c>
      <c r="I5295">
        <v>372</v>
      </c>
    </row>
    <row r="5296" spans="1:17" x14ac:dyDescent="0.2">
      <c r="A5296" s="121">
        <v>40999</v>
      </c>
      <c r="B5296" t="s">
        <v>406</v>
      </c>
      <c r="C5296" t="s">
        <v>510</v>
      </c>
      <c r="D5296" t="s">
        <v>543</v>
      </c>
      <c r="E5296" t="s">
        <v>544</v>
      </c>
      <c r="F5296" t="s">
        <v>410</v>
      </c>
      <c r="G5296">
        <v>239</v>
      </c>
      <c r="I5296">
        <v>239</v>
      </c>
    </row>
    <row r="5297" spans="1:17" x14ac:dyDescent="0.2">
      <c r="A5297" s="121">
        <v>40999</v>
      </c>
      <c r="B5297" t="s">
        <v>406</v>
      </c>
      <c r="C5297" t="s">
        <v>510</v>
      </c>
      <c r="D5297" t="s">
        <v>545</v>
      </c>
      <c r="E5297" t="s">
        <v>546</v>
      </c>
      <c r="F5297" t="s">
        <v>410</v>
      </c>
      <c r="G5297">
        <v>175</v>
      </c>
      <c r="I5297">
        <v>175</v>
      </c>
    </row>
    <row r="5298" spans="1:17" x14ac:dyDescent="0.2">
      <c r="A5298" s="121">
        <v>40999</v>
      </c>
      <c r="B5298" t="s">
        <v>406</v>
      </c>
      <c r="C5298" t="s">
        <v>510</v>
      </c>
      <c r="D5298" t="s">
        <v>547</v>
      </c>
      <c r="E5298" t="s">
        <v>548</v>
      </c>
      <c r="F5298" t="s">
        <v>410</v>
      </c>
      <c r="G5298">
        <v>142</v>
      </c>
      <c r="I5298">
        <v>142</v>
      </c>
    </row>
    <row r="5299" spans="1:17" x14ac:dyDescent="0.2">
      <c r="A5299" s="121">
        <v>40999</v>
      </c>
      <c r="B5299" t="s">
        <v>406</v>
      </c>
      <c r="C5299" t="s">
        <v>510</v>
      </c>
      <c r="D5299" t="s">
        <v>616</v>
      </c>
      <c r="E5299" t="s">
        <v>617</v>
      </c>
      <c r="F5299" t="s">
        <v>410</v>
      </c>
      <c r="G5299">
        <v>297</v>
      </c>
      <c r="I5299">
        <v>294</v>
      </c>
    </row>
    <row r="5300" spans="1:17" x14ac:dyDescent="0.2">
      <c r="A5300" s="121">
        <v>40999</v>
      </c>
      <c r="B5300" t="s">
        <v>406</v>
      </c>
      <c r="C5300" t="s">
        <v>510</v>
      </c>
      <c r="D5300" t="s">
        <v>549</v>
      </c>
      <c r="E5300" t="s">
        <v>550</v>
      </c>
      <c r="F5300" t="s">
        <v>410</v>
      </c>
      <c r="G5300">
        <v>154</v>
      </c>
      <c r="I5300">
        <v>154</v>
      </c>
    </row>
    <row r="5301" spans="1:17" x14ac:dyDescent="0.2">
      <c r="A5301" s="121">
        <v>40999</v>
      </c>
      <c r="B5301" t="s">
        <v>406</v>
      </c>
      <c r="C5301" t="s">
        <v>551</v>
      </c>
      <c r="D5301" t="s">
        <v>552</v>
      </c>
      <c r="E5301" t="s">
        <v>553</v>
      </c>
      <c r="F5301" t="s">
        <v>413</v>
      </c>
      <c r="G5301">
        <v>6270</v>
      </c>
      <c r="H5301">
        <v>6270</v>
      </c>
      <c r="I5301">
        <v>5999</v>
      </c>
      <c r="J5301">
        <v>5999</v>
      </c>
      <c r="K5301">
        <v>1832</v>
      </c>
      <c r="L5301">
        <v>9</v>
      </c>
      <c r="M5301">
        <v>4034</v>
      </c>
      <c r="N5301">
        <v>244</v>
      </c>
      <c r="O5301">
        <v>151</v>
      </c>
      <c r="P5301">
        <v>9</v>
      </c>
      <c r="Q5301">
        <v>0</v>
      </c>
    </row>
    <row r="5302" spans="1:17" x14ac:dyDescent="0.2">
      <c r="A5302" s="121">
        <v>40999</v>
      </c>
      <c r="B5302" t="s">
        <v>406</v>
      </c>
      <c r="C5302" t="s">
        <v>551</v>
      </c>
      <c r="D5302" t="s">
        <v>554</v>
      </c>
      <c r="E5302" t="s">
        <v>555</v>
      </c>
      <c r="F5302" t="s">
        <v>410</v>
      </c>
      <c r="G5302">
        <v>55</v>
      </c>
      <c r="I5302">
        <v>55</v>
      </c>
    </row>
    <row r="5303" spans="1:17" x14ac:dyDescent="0.2">
      <c r="A5303" s="121">
        <v>40999</v>
      </c>
      <c r="B5303" t="s">
        <v>406</v>
      </c>
      <c r="C5303" t="s">
        <v>551</v>
      </c>
      <c r="D5303" t="s">
        <v>556</v>
      </c>
      <c r="E5303" t="s">
        <v>557</v>
      </c>
      <c r="F5303" t="s">
        <v>410</v>
      </c>
      <c r="G5303">
        <v>112</v>
      </c>
      <c r="I5303">
        <v>112</v>
      </c>
    </row>
    <row r="5304" spans="1:17" x14ac:dyDescent="0.2">
      <c r="A5304" s="121">
        <v>40999</v>
      </c>
      <c r="B5304" t="s">
        <v>406</v>
      </c>
      <c r="C5304" t="s">
        <v>551</v>
      </c>
      <c r="D5304" t="s">
        <v>558</v>
      </c>
      <c r="E5304" t="s">
        <v>559</v>
      </c>
      <c r="F5304" t="s">
        <v>413</v>
      </c>
      <c r="G5304">
        <v>5271</v>
      </c>
      <c r="H5304">
        <v>5271</v>
      </c>
      <c r="I5304">
        <v>5044</v>
      </c>
      <c r="J5304">
        <v>5044</v>
      </c>
      <c r="K5304">
        <v>1335</v>
      </c>
      <c r="L5304">
        <v>11</v>
      </c>
      <c r="M5304">
        <v>3707</v>
      </c>
      <c r="N5304">
        <v>161</v>
      </c>
      <c r="O5304">
        <v>57</v>
      </c>
      <c r="P5304">
        <v>38</v>
      </c>
      <c r="Q5304">
        <v>7</v>
      </c>
    </row>
    <row r="5305" spans="1:17" x14ac:dyDescent="0.2">
      <c r="A5305" s="121">
        <v>40999</v>
      </c>
      <c r="B5305" t="s">
        <v>406</v>
      </c>
      <c r="C5305" t="s">
        <v>551</v>
      </c>
      <c r="D5305" t="s">
        <v>560</v>
      </c>
      <c r="E5305" t="s">
        <v>561</v>
      </c>
      <c r="F5305" t="s">
        <v>413</v>
      </c>
      <c r="G5305">
        <v>6118</v>
      </c>
      <c r="H5305">
        <v>6118</v>
      </c>
      <c r="I5305">
        <v>5892</v>
      </c>
      <c r="J5305">
        <v>5892</v>
      </c>
      <c r="K5305">
        <v>1399</v>
      </c>
      <c r="L5305">
        <v>14</v>
      </c>
      <c r="M5305">
        <v>4231</v>
      </c>
      <c r="N5305">
        <v>355</v>
      </c>
      <c r="O5305">
        <v>119</v>
      </c>
      <c r="P5305">
        <v>6</v>
      </c>
      <c r="Q5305">
        <v>0</v>
      </c>
    </row>
    <row r="5306" spans="1:17" x14ac:dyDescent="0.2">
      <c r="A5306" s="121">
        <v>40999</v>
      </c>
      <c r="B5306" t="s">
        <v>406</v>
      </c>
      <c r="C5306" t="s">
        <v>562</v>
      </c>
      <c r="D5306" t="s">
        <v>603</v>
      </c>
      <c r="E5306" t="s">
        <v>604</v>
      </c>
      <c r="F5306" t="s">
        <v>410</v>
      </c>
      <c r="G5306">
        <v>15</v>
      </c>
      <c r="I5306">
        <v>15</v>
      </c>
    </row>
    <row r="5307" spans="1:17" x14ac:dyDescent="0.2">
      <c r="A5307" s="121">
        <v>40999</v>
      </c>
      <c r="B5307" t="s">
        <v>406</v>
      </c>
      <c r="C5307" t="s">
        <v>562</v>
      </c>
      <c r="D5307" t="s">
        <v>605</v>
      </c>
      <c r="E5307" t="s">
        <v>606</v>
      </c>
      <c r="F5307" t="s">
        <v>410</v>
      </c>
      <c r="G5307">
        <v>117</v>
      </c>
      <c r="I5307">
        <v>117</v>
      </c>
    </row>
    <row r="5308" spans="1:17" x14ac:dyDescent="0.2">
      <c r="A5308" s="121">
        <v>40999</v>
      </c>
      <c r="B5308" t="s">
        <v>406</v>
      </c>
      <c r="C5308" t="s">
        <v>562</v>
      </c>
      <c r="D5308" t="s">
        <v>563</v>
      </c>
      <c r="E5308" t="s">
        <v>564</v>
      </c>
      <c r="F5308" t="s">
        <v>410</v>
      </c>
      <c r="G5308">
        <v>3552</v>
      </c>
      <c r="H5308">
        <v>3552</v>
      </c>
      <c r="I5308">
        <v>3349</v>
      </c>
      <c r="J5308">
        <v>3349</v>
      </c>
      <c r="K5308">
        <v>1058</v>
      </c>
      <c r="L5308">
        <v>0</v>
      </c>
      <c r="M5308">
        <v>2457</v>
      </c>
      <c r="N5308">
        <v>37</v>
      </c>
      <c r="O5308">
        <v>0</v>
      </c>
      <c r="P5308">
        <v>11</v>
      </c>
      <c r="Q5308">
        <v>0</v>
      </c>
    </row>
    <row r="5309" spans="1:17" x14ac:dyDescent="0.2">
      <c r="A5309" s="121">
        <v>40999</v>
      </c>
      <c r="B5309" t="s">
        <v>406</v>
      </c>
      <c r="C5309" t="s">
        <v>562</v>
      </c>
      <c r="D5309" t="s">
        <v>565</v>
      </c>
      <c r="E5309" t="s">
        <v>566</v>
      </c>
      <c r="F5309" t="s">
        <v>413</v>
      </c>
      <c r="G5309">
        <v>4825</v>
      </c>
      <c r="H5309">
        <v>4825</v>
      </c>
      <c r="I5309">
        <v>4518</v>
      </c>
      <c r="J5309">
        <v>4518</v>
      </c>
      <c r="K5309">
        <v>1121</v>
      </c>
      <c r="L5309">
        <v>6</v>
      </c>
      <c r="M5309">
        <v>3534</v>
      </c>
      <c r="N5309">
        <v>164</v>
      </c>
      <c r="O5309">
        <v>0</v>
      </c>
      <c r="P5309">
        <v>26</v>
      </c>
      <c r="Q5309">
        <v>4</v>
      </c>
    </row>
    <row r="5310" spans="1:17" x14ac:dyDescent="0.2">
      <c r="A5310" s="121">
        <v>40999</v>
      </c>
      <c r="B5310" t="s">
        <v>406</v>
      </c>
      <c r="C5310" t="s">
        <v>562</v>
      </c>
      <c r="D5310" t="s">
        <v>567</v>
      </c>
      <c r="E5310" t="s">
        <v>568</v>
      </c>
      <c r="F5310" t="s">
        <v>413</v>
      </c>
      <c r="G5310">
        <v>9870</v>
      </c>
      <c r="H5310">
        <v>9870</v>
      </c>
      <c r="I5310">
        <v>8938</v>
      </c>
      <c r="J5310">
        <v>8938</v>
      </c>
      <c r="K5310">
        <v>2808</v>
      </c>
      <c r="L5310">
        <v>20</v>
      </c>
      <c r="M5310">
        <v>6693</v>
      </c>
      <c r="N5310">
        <v>349</v>
      </c>
      <c r="O5310">
        <v>0</v>
      </c>
      <c r="P5310">
        <v>97</v>
      </c>
      <c r="Q5310">
        <v>8</v>
      </c>
    </row>
    <row r="5311" spans="1:17" x14ac:dyDescent="0.2">
      <c r="A5311" s="121">
        <v>40999</v>
      </c>
      <c r="B5311" t="s">
        <v>406</v>
      </c>
      <c r="C5311" t="s">
        <v>562</v>
      </c>
      <c r="D5311" t="s">
        <v>569</v>
      </c>
      <c r="E5311" t="s">
        <v>570</v>
      </c>
      <c r="F5311" t="s">
        <v>413</v>
      </c>
      <c r="G5311">
        <v>4336</v>
      </c>
      <c r="H5311">
        <v>4336</v>
      </c>
      <c r="I5311">
        <v>4280</v>
      </c>
      <c r="J5311">
        <v>4280</v>
      </c>
      <c r="K5311">
        <v>567</v>
      </c>
      <c r="L5311">
        <v>2</v>
      </c>
      <c r="M5311">
        <v>3765</v>
      </c>
      <c r="N5311">
        <v>2</v>
      </c>
      <c r="O5311">
        <v>0</v>
      </c>
      <c r="P5311">
        <v>0</v>
      </c>
      <c r="Q5311">
        <v>0</v>
      </c>
    </row>
    <row r="5312" spans="1:17" x14ac:dyDescent="0.2">
      <c r="A5312" s="121">
        <v>40999</v>
      </c>
      <c r="B5312" t="s">
        <v>406</v>
      </c>
      <c r="C5312" t="s">
        <v>571</v>
      </c>
      <c r="D5312" t="s">
        <v>572</v>
      </c>
      <c r="E5312" t="s">
        <v>573</v>
      </c>
      <c r="F5312" t="s">
        <v>410</v>
      </c>
      <c r="G5312">
        <v>207</v>
      </c>
      <c r="H5312">
        <v>207</v>
      </c>
      <c r="I5312">
        <v>206</v>
      </c>
      <c r="J5312">
        <v>206</v>
      </c>
      <c r="K5312">
        <v>5</v>
      </c>
      <c r="L5312">
        <v>0</v>
      </c>
      <c r="M5312">
        <v>201</v>
      </c>
      <c r="N5312">
        <v>0</v>
      </c>
      <c r="O5312">
        <v>1</v>
      </c>
      <c r="P5312">
        <v>1</v>
      </c>
      <c r="Q5312">
        <v>0</v>
      </c>
    </row>
    <row r="5313" spans="1:17" x14ac:dyDescent="0.2">
      <c r="A5313" s="121">
        <v>40999</v>
      </c>
      <c r="B5313" t="s">
        <v>406</v>
      </c>
      <c r="C5313" t="s">
        <v>574</v>
      </c>
      <c r="D5313" t="s">
        <v>575</v>
      </c>
      <c r="E5313" t="s">
        <v>576</v>
      </c>
      <c r="F5313" t="s">
        <v>413</v>
      </c>
      <c r="G5313">
        <v>665</v>
      </c>
      <c r="H5313">
        <v>665</v>
      </c>
      <c r="I5313">
        <v>664</v>
      </c>
      <c r="J5313">
        <v>664</v>
      </c>
      <c r="K5313">
        <v>167</v>
      </c>
      <c r="L5313">
        <v>0</v>
      </c>
      <c r="M5313">
        <v>478</v>
      </c>
      <c r="N5313">
        <v>0</v>
      </c>
      <c r="O5313">
        <v>20</v>
      </c>
      <c r="P5313">
        <v>0</v>
      </c>
      <c r="Q5313">
        <v>0</v>
      </c>
    </row>
    <row r="5314" spans="1:17" x14ac:dyDescent="0.2">
      <c r="A5314" s="121">
        <v>40999</v>
      </c>
      <c r="B5314" t="s">
        <v>406</v>
      </c>
      <c r="C5314" t="s">
        <v>577</v>
      </c>
      <c r="D5314" t="s">
        <v>578</v>
      </c>
      <c r="E5314" t="s">
        <v>579</v>
      </c>
      <c r="F5314" t="s">
        <v>413</v>
      </c>
      <c r="G5314">
        <v>4160</v>
      </c>
      <c r="H5314">
        <v>4160</v>
      </c>
      <c r="I5314">
        <v>4098</v>
      </c>
      <c r="J5314">
        <v>4098</v>
      </c>
      <c r="K5314">
        <v>887</v>
      </c>
      <c r="L5314">
        <v>14</v>
      </c>
      <c r="M5314">
        <v>3002</v>
      </c>
      <c r="N5314">
        <v>253</v>
      </c>
      <c r="O5314">
        <v>4</v>
      </c>
      <c r="P5314">
        <v>0</v>
      </c>
      <c r="Q5314">
        <v>0</v>
      </c>
    </row>
    <row r="5315" spans="1:17" x14ac:dyDescent="0.2">
      <c r="A5315" s="121">
        <v>40999</v>
      </c>
      <c r="B5315" t="s">
        <v>406</v>
      </c>
      <c r="C5315" t="s">
        <v>577</v>
      </c>
      <c r="D5315" t="s">
        <v>580</v>
      </c>
      <c r="E5315" t="s">
        <v>581</v>
      </c>
      <c r="F5315" t="s">
        <v>413</v>
      </c>
      <c r="G5315">
        <v>2259</v>
      </c>
      <c r="H5315">
        <v>2259</v>
      </c>
      <c r="I5315">
        <v>2231</v>
      </c>
      <c r="J5315">
        <v>2231</v>
      </c>
      <c r="K5315">
        <v>381</v>
      </c>
      <c r="L5315">
        <v>1</v>
      </c>
      <c r="M5315">
        <v>1519</v>
      </c>
      <c r="N5315">
        <v>290</v>
      </c>
      <c r="O5315">
        <v>68</v>
      </c>
      <c r="P5315">
        <v>0</v>
      </c>
      <c r="Q5315">
        <v>0</v>
      </c>
    </row>
    <row r="5316" spans="1:17" x14ac:dyDescent="0.2">
      <c r="A5316" s="121">
        <v>40999</v>
      </c>
      <c r="B5316" t="s">
        <v>406</v>
      </c>
      <c r="C5316" t="s">
        <v>577</v>
      </c>
      <c r="D5316" t="s">
        <v>609</v>
      </c>
      <c r="E5316" t="s">
        <v>610</v>
      </c>
      <c r="F5316" t="s">
        <v>410</v>
      </c>
      <c r="G5316">
        <v>39</v>
      </c>
      <c r="H5316">
        <v>39</v>
      </c>
      <c r="I5316">
        <v>39</v>
      </c>
      <c r="J5316">
        <v>39</v>
      </c>
      <c r="K5316">
        <v>0</v>
      </c>
      <c r="L5316">
        <v>0</v>
      </c>
      <c r="M5316">
        <v>33</v>
      </c>
      <c r="N5316">
        <v>4</v>
      </c>
      <c r="O5316">
        <v>2</v>
      </c>
      <c r="P5316">
        <v>0</v>
      </c>
      <c r="Q5316">
        <v>0</v>
      </c>
    </row>
    <row r="5317" spans="1:17" x14ac:dyDescent="0.2">
      <c r="A5317" s="121">
        <v>40999</v>
      </c>
      <c r="B5317" t="s">
        <v>406</v>
      </c>
      <c r="C5317" t="s">
        <v>577</v>
      </c>
      <c r="D5317" t="s">
        <v>611</v>
      </c>
      <c r="E5317" t="s">
        <v>612</v>
      </c>
      <c r="F5317" t="s">
        <v>410</v>
      </c>
      <c r="G5317">
        <v>2</v>
      </c>
      <c r="H5317">
        <v>2</v>
      </c>
      <c r="I5317">
        <v>2</v>
      </c>
      <c r="J5317">
        <v>2</v>
      </c>
      <c r="K5317">
        <v>0</v>
      </c>
      <c r="L5317">
        <v>0</v>
      </c>
      <c r="M5317">
        <v>1</v>
      </c>
      <c r="N5317">
        <v>1</v>
      </c>
      <c r="O5317">
        <v>0</v>
      </c>
      <c r="P5317">
        <v>0</v>
      </c>
      <c r="Q5317">
        <v>0</v>
      </c>
    </row>
    <row r="5318" spans="1:17" x14ac:dyDescent="0.2">
      <c r="A5318" s="121">
        <v>40999</v>
      </c>
      <c r="B5318" t="s">
        <v>406</v>
      </c>
      <c r="C5318" t="s">
        <v>577</v>
      </c>
      <c r="D5318" t="s">
        <v>584</v>
      </c>
      <c r="E5318" t="s">
        <v>585</v>
      </c>
      <c r="F5318" t="s">
        <v>410</v>
      </c>
      <c r="G5318">
        <v>256</v>
      </c>
      <c r="H5318">
        <v>256</v>
      </c>
      <c r="I5318">
        <v>256</v>
      </c>
      <c r="J5318">
        <v>256</v>
      </c>
      <c r="K5318">
        <v>0</v>
      </c>
      <c r="L5318">
        <v>0</v>
      </c>
      <c r="M5318">
        <v>229</v>
      </c>
      <c r="N5318">
        <v>24</v>
      </c>
      <c r="O5318">
        <v>3</v>
      </c>
      <c r="P5318">
        <v>0</v>
      </c>
      <c r="Q5318">
        <v>0</v>
      </c>
    </row>
    <row r="5319" spans="1:17" x14ac:dyDescent="0.2">
      <c r="A5319" s="121">
        <v>40999</v>
      </c>
      <c r="B5319" t="s">
        <v>406</v>
      </c>
      <c r="C5319" t="s">
        <v>577</v>
      </c>
      <c r="D5319" t="s">
        <v>586</v>
      </c>
      <c r="E5319" t="s">
        <v>587</v>
      </c>
      <c r="F5319" t="s">
        <v>410</v>
      </c>
      <c r="G5319">
        <v>1233</v>
      </c>
      <c r="H5319">
        <v>1233</v>
      </c>
      <c r="I5319">
        <v>1230</v>
      </c>
      <c r="J5319">
        <v>1230</v>
      </c>
      <c r="K5319">
        <v>0</v>
      </c>
      <c r="L5319">
        <v>1</v>
      </c>
      <c r="M5319">
        <v>1111</v>
      </c>
      <c r="N5319">
        <v>109</v>
      </c>
      <c r="O5319">
        <v>12</v>
      </c>
      <c r="P5319">
        <v>0</v>
      </c>
      <c r="Q5319">
        <v>0</v>
      </c>
    </row>
    <row r="5320" spans="1:17" x14ac:dyDescent="0.2">
      <c r="A5320" s="121">
        <v>40999</v>
      </c>
      <c r="B5320" t="s">
        <v>406</v>
      </c>
      <c r="C5320" t="s">
        <v>577</v>
      </c>
      <c r="D5320" t="s">
        <v>588</v>
      </c>
      <c r="E5320" t="s">
        <v>589</v>
      </c>
      <c r="F5320" t="s">
        <v>410</v>
      </c>
      <c r="G5320">
        <v>274</v>
      </c>
      <c r="H5320">
        <v>274</v>
      </c>
      <c r="I5320">
        <v>274</v>
      </c>
      <c r="J5320">
        <v>274</v>
      </c>
      <c r="K5320">
        <v>0</v>
      </c>
      <c r="L5320">
        <v>0</v>
      </c>
      <c r="M5320">
        <v>241</v>
      </c>
      <c r="N5320">
        <v>27</v>
      </c>
      <c r="O5320">
        <v>6</v>
      </c>
      <c r="P5320">
        <v>0</v>
      </c>
      <c r="Q5320">
        <v>0</v>
      </c>
    </row>
    <row r="5321" spans="1:17" x14ac:dyDescent="0.2">
      <c r="A5321" s="121">
        <v>40999</v>
      </c>
      <c r="B5321" t="s">
        <v>406</v>
      </c>
      <c r="C5321" t="s">
        <v>577</v>
      </c>
      <c r="D5321" t="s">
        <v>613</v>
      </c>
      <c r="E5321" t="s">
        <v>614</v>
      </c>
      <c r="F5321" t="s">
        <v>410</v>
      </c>
      <c r="G5321">
        <v>215</v>
      </c>
      <c r="H5321">
        <v>215</v>
      </c>
      <c r="I5321">
        <v>215</v>
      </c>
      <c r="J5321">
        <v>215</v>
      </c>
      <c r="K5321">
        <v>0</v>
      </c>
      <c r="L5321">
        <v>0</v>
      </c>
      <c r="M5321">
        <v>186</v>
      </c>
      <c r="N5321">
        <v>19</v>
      </c>
      <c r="O5321">
        <v>10</v>
      </c>
      <c r="P5321">
        <v>0</v>
      </c>
      <c r="Q5321">
        <v>0</v>
      </c>
    </row>
    <row r="5322" spans="1:17" x14ac:dyDescent="0.2">
      <c r="A5322" s="121">
        <v>40999</v>
      </c>
      <c r="B5322" t="s">
        <v>406</v>
      </c>
      <c r="C5322" t="s">
        <v>577</v>
      </c>
      <c r="D5322" t="s">
        <v>590</v>
      </c>
      <c r="E5322" t="s">
        <v>591</v>
      </c>
      <c r="F5322" t="s">
        <v>410</v>
      </c>
      <c r="G5322">
        <v>642</v>
      </c>
      <c r="H5322">
        <v>642</v>
      </c>
      <c r="I5322">
        <v>641</v>
      </c>
      <c r="J5322">
        <v>641</v>
      </c>
      <c r="K5322">
        <v>0</v>
      </c>
      <c r="L5322">
        <v>1</v>
      </c>
      <c r="M5322">
        <v>598</v>
      </c>
      <c r="N5322">
        <v>41</v>
      </c>
      <c r="O5322">
        <v>2</v>
      </c>
      <c r="P5322">
        <v>0</v>
      </c>
      <c r="Q5322">
        <v>0</v>
      </c>
    </row>
    <row r="5323" spans="1:17" x14ac:dyDescent="0.2">
      <c r="A5323" s="121">
        <v>40999</v>
      </c>
      <c r="B5323" t="s">
        <v>406</v>
      </c>
      <c r="C5323" t="s">
        <v>577</v>
      </c>
      <c r="D5323" t="s">
        <v>607</v>
      </c>
      <c r="E5323" t="s">
        <v>608</v>
      </c>
      <c r="F5323" t="s">
        <v>410</v>
      </c>
      <c r="G5323">
        <v>132</v>
      </c>
      <c r="H5323">
        <v>132</v>
      </c>
      <c r="I5323">
        <v>132</v>
      </c>
      <c r="J5323">
        <v>132</v>
      </c>
      <c r="K5323">
        <v>0</v>
      </c>
      <c r="L5323">
        <v>0</v>
      </c>
      <c r="M5323">
        <v>120</v>
      </c>
      <c r="N5323">
        <v>12</v>
      </c>
      <c r="O5323">
        <v>0</v>
      </c>
      <c r="P5323">
        <v>0</v>
      </c>
      <c r="Q5323">
        <v>0</v>
      </c>
    </row>
    <row r="5324" spans="1:17" x14ac:dyDescent="0.2">
      <c r="A5324" s="121">
        <v>40999</v>
      </c>
      <c r="B5324" t="s">
        <v>406</v>
      </c>
      <c r="C5324" t="s">
        <v>577</v>
      </c>
      <c r="D5324" t="s">
        <v>592</v>
      </c>
      <c r="E5324" t="s">
        <v>593</v>
      </c>
      <c r="F5324" t="s">
        <v>410</v>
      </c>
      <c r="G5324">
        <v>612</v>
      </c>
      <c r="H5324">
        <v>612</v>
      </c>
      <c r="I5324">
        <v>612</v>
      </c>
      <c r="J5324">
        <v>612</v>
      </c>
      <c r="K5324">
        <v>0</v>
      </c>
      <c r="L5324">
        <v>3</v>
      </c>
      <c r="M5324">
        <v>564</v>
      </c>
      <c r="N5324">
        <v>38</v>
      </c>
      <c r="O5324">
        <v>7</v>
      </c>
      <c r="P5324">
        <v>0</v>
      </c>
      <c r="Q5324">
        <v>0</v>
      </c>
    </row>
    <row r="5325" spans="1:17" x14ac:dyDescent="0.2">
      <c r="A5325" s="121">
        <v>40999</v>
      </c>
      <c r="B5325" t="s">
        <v>406</v>
      </c>
      <c r="C5325" t="s">
        <v>594</v>
      </c>
      <c r="D5325" t="s">
        <v>595</v>
      </c>
      <c r="E5325" t="s">
        <v>596</v>
      </c>
      <c r="F5325" t="s">
        <v>410</v>
      </c>
      <c r="G5325">
        <v>32</v>
      </c>
      <c r="I5325">
        <v>32</v>
      </c>
    </row>
    <row r="5326" spans="1:17" x14ac:dyDescent="0.2">
      <c r="A5326" s="121">
        <v>40999</v>
      </c>
      <c r="B5326" t="s">
        <v>406</v>
      </c>
      <c r="C5326" t="s">
        <v>594</v>
      </c>
      <c r="D5326" t="s">
        <v>597</v>
      </c>
      <c r="E5326" t="s">
        <v>598</v>
      </c>
      <c r="F5326" t="s">
        <v>413</v>
      </c>
      <c r="G5326">
        <v>593</v>
      </c>
      <c r="H5326">
        <v>593</v>
      </c>
      <c r="I5326">
        <v>576</v>
      </c>
      <c r="J5326">
        <v>576</v>
      </c>
      <c r="K5326">
        <v>140</v>
      </c>
      <c r="L5326">
        <v>0</v>
      </c>
      <c r="M5326">
        <v>427</v>
      </c>
      <c r="N5326">
        <v>22</v>
      </c>
      <c r="O5326">
        <v>4</v>
      </c>
      <c r="P5326">
        <v>0</v>
      </c>
      <c r="Q5326">
        <v>0</v>
      </c>
    </row>
    <row r="5327" spans="1:17" x14ac:dyDescent="0.2">
      <c r="A5327" s="121">
        <v>40999</v>
      </c>
      <c r="B5327" t="s">
        <v>406</v>
      </c>
      <c r="C5327" t="s">
        <v>594</v>
      </c>
      <c r="D5327" t="s">
        <v>599</v>
      </c>
      <c r="E5327" t="s">
        <v>600</v>
      </c>
      <c r="F5327" t="s">
        <v>410</v>
      </c>
      <c r="G5327">
        <v>121</v>
      </c>
      <c r="I5327">
        <v>121</v>
      </c>
    </row>
    <row r="5328" spans="1:17" x14ac:dyDescent="0.2">
      <c r="A5328" s="121">
        <v>41029</v>
      </c>
      <c r="B5328" t="s">
        <v>406</v>
      </c>
      <c r="C5328" t="s">
        <v>407</v>
      </c>
      <c r="D5328" t="s">
        <v>408</v>
      </c>
      <c r="E5328" t="s">
        <v>409</v>
      </c>
      <c r="F5328" t="s">
        <v>410</v>
      </c>
      <c r="G5328">
        <v>225</v>
      </c>
      <c r="I5328">
        <v>225</v>
      </c>
    </row>
    <row r="5329" spans="1:17" x14ac:dyDescent="0.2">
      <c r="A5329" s="121">
        <v>41029</v>
      </c>
      <c r="B5329" t="s">
        <v>406</v>
      </c>
      <c r="C5329" t="s">
        <v>407</v>
      </c>
      <c r="D5329" t="s">
        <v>601</v>
      </c>
      <c r="E5329" t="s">
        <v>602</v>
      </c>
      <c r="F5329" t="s">
        <v>410</v>
      </c>
      <c r="G5329">
        <v>70</v>
      </c>
      <c r="I5329">
        <v>70</v>
      </c>
    </row>
    <row r="5330" spans="1:17" x14ac:dyDescent="0.2">
      <c r="A5330" s="121">
        <v>41029</v>
      </c>
      <c r="B5330" t="s">
        <v>406</v>
      </c>
      <c r="C5330" t="s">
        <v>407</v>
      </c>
      <c r="D5330" t="s">
        <v>411</v>
      </c>
      <c r="E5330" t="s">
        <v>412</v>
      </c>
      <c r="F5330" t="s">
        <v>413</v>
      </c>
      <c r="G5330">
        <v>6153</v>
      </c>
      <c r="H5330">
        <v>6153</v>
      </c>
      <c r="I5330">
        <v>5854</v>
      </c>
      <c r="J5330">
        <v>5854</v>
      </c>
      <c r="K5330">
        <v>2409</v>
      </c>
      <c r="L5330">
        <v>7</v>
      </c>
      <c r="M5330">
        <v>3400</v>
      </c>
      <c r="N5330">
        <v>125</v>
      </c>
      <c r="O5330">
        <v>212</v>
      </c>
      <c r="P5330">
        <v>18</v>
      </c>
      <c r="Q5330">
        <v>2</v>
      </c>
    </row>
    <row r="5331" spans="1:17" x14ac:dyDescent="0.2">
      <c r="A5331" s="121">
        <v>41029</v>
      </c>
      <c r="B5331" t="s">
        <v>406</v>
      </c>
      <c r="C5331" t="s">
        <v>407</v>
      </c>
      <c r="D5331" t="s">
        <v>416</v>
      </c>
      <c r="E5331" t="s">
        <v>417</v>
      </c>
      <c r="F5331" t="s">
        <v>413</v>
      </c>
      <c r="G5331">
        <v>3868</v>
      </c>
      <c r="H5331">
        <v>3868</v>
      </c>
      <c r="I5331">
        <v>3512</v>
      </c>
      <c r="J5331">
        <v>3512</v>
      </c>
      <c r="K5331">
        <v>1388</v>
      </c>
      <c r="L5331">
        <v>6</v>
      </c>
      <c r="M5331">
        <v>2193</v>
      </c>
      <c r="N5331">
        <v>130</v>
      </c>
      <c r="O5331">
        <v>151</v>
      </c>
      <c r="P5331">
        <v>32</v>
      </c>
      <c r="Q5331">
        <v>6</v>
      </c>
    </row>
    <row r="5332" spans="1:17" x14ac:dyDescent="0.2">
      <c r="A5332" s="121">
        <v>41029</v>
      </c>
      <c r="B5332" t="s">
        <v>406</v>
      </c>
      <c r="C5332" t="s">
        <v>407</v>
      </c>
      <c r="D5332" t="s">
        <v>618</v>
      </c>
      <c r="E5332" t="s">
        <v>619</v>
      </c>
      <c r="F5332" t="s">
        <v>410</v>
      </c>
      <c r="G5332">
        <v>91</v>
      </c>
      <c r="I5332">
        <v>91</v>
      </c>
    </row>
    <row r="5333" spans="1:17" x14ac:dyDescent="0.2">
      <c r="A5333" s="121">
        <v>41029</v>
      </c>
      <c r="B5333" t="s">
        <v>406</v>
      </c>
      <c r="C5333" t="s">
        <v>418</v>
      </c>
      <c r="D5333" t="s">
        <v>419</v>
      </c>
      <c r="E5333" t="s">
        <v>420</v>
      </c>
      <c r="F5333" t="s">
        <v>410</v>
      </c>
      <c r="G5333">
        <v>21</v>
      </c>
      <c r="I5333">
        <v>21</v>
      </c>
    </row>
    <row r="5334" spans="1:17" x14ac:dyDescent="0.2">
      <c r="A5334" s="121">
        <v>41029</v>
      </c>
      <c r="B5334" t="s">
        <v>406</v>
      </c>
      <c r="C5334" t="s">
        <v>418</v>
      </c>
      <c r="D5334" t="s">
        <v>421</v>
      </c>
      <c r="E5334" t="s">
        <v>422</v>
      </c>
      <c r="F5334" t="s">
        <v>410</v>
      </c>
      <c r="G5334">
        <v>114</v>
      </c>
      <c r="I5334">
        <v>114</v>
      </c>
    </row>
    <row r="5335" spans="1:17" x14ac:dyDescent="0.2">
      <c r="A5335" s="121">
        <v>41029</v>
      </c>
      <c r="B5335" t="s">
        <v>406</v>
      </c>
      <c r="C5335" t="s">
        <v>418</v>
      </c>
      <c r="D5335" t="s">
        <v>423</v>
      </c>
      <c r="E5335" t="s">
        <v>424</v>
      </c>
      <c r="F5335" t="s">
        <v>410</v>
      </c>
      <c r="G5335">
        <v>22</v>
      </c>
      <c r="I5335">
        <v>22</v>
      </c>
    </row>
    <row r="5336" spans="1:17" x14ac:dyDescent="0.2">
      <c r="A5336" s="121">
        <v>41029</v>
      </c>
      <c r="B5336" t="s">
        <v>406</v>
      </c>
      <c r="C5336" t="s">
        <v>418</v>
      </c>
      <c r="D5336" t="s">
        <v>425</v>
      </c>
      <c r="E5336" t="s">
        <v>426</v>
      </c>
      <c r="F5336" t="s">
        <v>410</v>
      </c>
      <c r="G5336">
        <v>40</v>
      </c>
      <c r="I5336">
        <v>40</v>
      </c>
    </row>
    <row r="5337" spans="1:17" x14ac:dyDescent="0.2">
      <c r="A5337" s="121">
        <v>41029</v>
      </c>
      <c r="B5337" t="s">
        <v>406</v>
      </c>
      <c r="C5337" t="s">
        <v>418</v>
      </c>
      <c r="D5337" t="s">
        <v>427</v>
      </c>
      <c r="E5337" t="s">
        <v>428</v>
      </c>
      <c r="F5337" t="s">
        <v>413</v>
      </c>
      <c r="G5337">
        <v>2027</v>
      </c>
      <c r="H5337">
        <v>2027</v>
      </c>
      <c r="I5337">
        <v>1874</v>
      </c>
      <c r="J5337">
        <v>1874</v>
      </c>
      <c r="K5337">
        <v>687</v>
      </c>
      <c r="L5337">
        <v>3</v>
      </c>
      <c r="M5337">
        <v>851</v>
      </c>
      <c r="N5337">
        <v>376</v>
      </c>
      <c r="O5337">
        <v>110</v>
      </c>
      <c r="P5337">
        <v>11</v>
      </c>
      <c r="Q5337">
        <v>0</v>
      </c>
    </row>
    <row r="5338" spans="1:17" x14ac:dyDescent="0.2">
      <c r="A5338" s="121">
        <v>41029</v>
      </c>
      <c r="B5338" t="s">
        <v>406</v>
      </c>
      <c r="C5338" t="s">
        <v>429</v>
      </c>
      <c r="D5338" t="s">
        <v>430</v>
      </c>
      <c r="E5338" t="s">
        <v>431</v>
      </c>
      <c r="F5338" t="s">
        <v>410</v>
      </c>
      <c r="G5338">
        <v>36</v>
      </c>
      <c r="I5338">
        <v>36</v>
      </c>
    </row>
    <row r="5339" spans="1:17" x14ac:dyDescent="0.2">
      <c r="A5339" s="121">
        <v>41029</v>
      </c>
      <c r="B5339" t="s">
        <v>406</v>
      </c>
      <c r="C5339" t="s">
        <v>429</v>
      </c>
      <c r="D5339" t="s">
        <v>432</v>
      </c>
      <c r="E5339" t="s">
        <v>433</v>
      </c>
      <c r="F5339" t="s">
        <v>410</v>
      </c>
      <c r="G5339">
        <v>22</v>
      </c>
      <c r="I5339">
        <v>22</v>
      </c>
    </row>
    <row r="5340" spans="1:17" x14ac:dyDescent="0.2">
      <c r="A5340" s="121">
        <v>41029</v>
      </c>
      <c r="B5340" t="s">
        <v>406</v>
      </c>
      <c r="C5340" t="s">
        <v>429</v>
      </c>
      <c r="D5340" t="s">
        <v>434</v>
      </c>
      <c r="E5340" t="s">
        <v>435</v>
      </c>
      <c r="F5340" t="s">
        <v>410</v>
      </c>
      <c r="G5340">
        <v>5</v>
      </c>
      <c r="I5340">
        <v>5</v>
      </c>
    </row>
    <row r="5341" spans="1:17" x14ac:dyDescent="0.2">
      <c r="A5341" s="121">
        <v>41029</v>
      </c>
      <c r="B5341" t="s">
        <v>406</v>
      </c>
      <c r="C5341" t="s">
        <v>429</v>
      </c>
      <c r="D5341" t="s">
        <v>436</v>
      </c>
      <c r="E5341" t="s">
        <v>437</v>
      </c>
      <c r="F5341" t="s">
        <v>410</v>
      </c>
      <c r="G5341">
        <v>20</v>
      </c>
      <c r="H5341">
        <v>20</v>
      </c>
      <c r="I5341">
        <v>20</v>
      </c>
      <c r="J5341">
        <v>20</v>
      </c>
      <c r="K5341">
        <v>0</v>
      </c>
      <c r="L5341">
        <v>0</v>
      </c>
      <c r="M5341">
        <v>14</v>
      </c>
      <c r="N5341">
        <v>6</v>
      </c>
      <c r="O5341">
        <v>0</v>
      </c>
      <c r="P5341">
        <v>0</v>
      </c>
      <c r="Q5341">
        <v>0</v>
      </c>
    </row>
    <row r="5342" spans="1:17" x14ac:dyDescent="0.2">
      <c r="A5342" s="121">
        <v>41029</v>
      </c>
      <c r="B5342" t="s">
        <v>406</v>
      </c>
      <c r="C5342" t="s">
        <v>429</v>
      </c>
      <c r="D5342" t="s">
        <v>438</v>
      </c>
      <c r="E5342" t="s">
        <v>439</v>
      </c>
      <c r="F5342" t="s">
        <v>413</v>
      </c>
      <c r="G5342">
        <v>1091</v>
      </c>
      <c r="H5342">
        <v>1091</v>
      </c>
      <c r="I5342">
        <v>1056</v>
      </c>
      <c r="J5342">
        <v>1056</v>
      </c>
      <c r="K5342">
        <v>124</v>
      </c>
      <c r="L5342">
        <v>1</v>
      </c>
      <c r="M5342">
        <v>939</v>
      </c>
      <c r="N5342">
        <v>27</v>
      </c>
      <c r="O5342">
        <v>0</v>
      </c>
      <c r="P5342">
        <v>4</v>
      </c>
      <c r="Q5342">
        <v>0</v>
      </c>
    </row>
    <row r="5343" spans="1:17" x14ac:dyDescent="0.2">
      <c r="A5343" s="121">
        <v>41029</v>
      </c>
      <c r="B5343" t="s">
        <v>406</v>
      </c>
      <c r="C5343" t="s">
        <v>429</v>
      </c>
      <c r="D5343" t="s">
        <v>440</v>
      </c>
      <c r="E5343" t="s">
        <v>441</v>
      </c>
      <c r="F5343" t="s">
        <v>413</v>
      </c>
      <c r="G5343">
        <v>3010</v>
      </c>
      <c r="H5343">
        <v>3010</v>
      </c>
      <c r="I5343">
        <v>2743</v>
      </c>
      <c r="J5343">
        <v>2743</v>
      </c>
      <c r="K5343">
        <v>1016</v>
      </c>
      <c r="L5343">
        <v>2</v>
      </c>
      <c r="M5343">
        <v>1916</v>
      </c>
      <c r="N5343">
        <v>76</v>
      </c>
      <c r="O5343">
        <v>0</v>
      </c>
      <c r="P5343">
        <v>2</v>
      </c>
      <c r="Q5343">
        <v>0</v>
      </c>
    </row>
    <row r="5344" spans="1:17" x14ac:dyDescent="0.2">
      <c r="A5344" s="121">
        <v>41029</v>
      </c>
      <c r="B5344" t="s">
        <v>406</v>
      </c>
      <c r="C5344" t="s">
        <v>442</v>
      </c>
      <c r="D5344" t="s">
        <v>443</v>
      </c>
      <c r="E5344" t="s">
        <v>444</v>
      </c>
      <c r="F5344" t="s">
        <v>413</v>
      </c>
      <c r="G5344">
        <v>5129</v>
      </c>
      <c r="H5344">
        <v>5129</v>
      </c>
      <c r="I5344">
        <v>4584</v>
      </c>
      <c r="J5344">
        <v>4584</v>
      </c>
      <c r="K5344">
        <v>1176</v>
      </c>
      <c r="L5344">
        <v>9</v>
      </c>
      <c r="M5344">
        <v>3489</v>
      </c>
      <c r="N5344">
        <v>288</v>
      </c>
      <c r="O5344">
        <v>167</v>
      </c>
      <c r="P5344">
        <v>81</v>
      </c>
      <c r="Q5344">
        <v>12</v>
      </c>
    </row>
    <row r="5345" spans="1:17" x14ac:dyDescent="0.2">
      <c r="A5345" s="121">
        <v>41029</v>
      </c>
      <c r="B5345" t="s">
        <v>406</v>
      </c>
      <c r="C5345" t="s">
        <v>442</v>
      </c>
      <c r="D5345" t="s">
        <v>445</v>
      </c>
      <c r="E5345" t="s">
        <v>446</v>
      </c>
      <c r="F5345" t="s">
        <v>410</v>
      </c>
      <c r="G5345">
        <v>100</v>
      </c>
      <c r="I5345">
        <v>100</v>
      </c>
    </row>
    <row r="5346" spans="1:17" x14ac:dyDescent="0.2">
      <c r="A5346" s="121">
        <v>41029</v>
      </c>
      <c r="B5346" t="s">
        <v>406</v>
      </c>
      <c r="C5346" t="s">
        <v>442</v>
      </c>
      <c r="D5346" t="s">
        <v>447</v>
      </c>
      <c r="E5346" t="s">
        <v>448</v>
      </c>
      <c r="F5346" t="s">
        <v>410</v>
      </c>
      <c r="G5346">
        <v>386</v>
      </c>
      <c r="I5346">
        <v>386</v>
      </c>
    </row>
    <row r="5347" spans="1:17" x14ac:dyDescent="0.2">
      <c r="A5347" s="121">
        <v>41029</v>
      </c>
      <c r="B5347" t="s">
        <v>406</v>
      </c>
      <c r="C5347" t="s">
        <v>442</v>
      </c>
      <c r="D5347" t="s">
        <v>449</v>
      </c>
      <c r="E5347" t="s">
        <v>624</v>
      </c>
      <c r="F5347" t="s">
        <v>410</v>
      </c>
      <c r="G5347">
        <v>1578</v>
      </c>
      <c r="H5347">
        <v>1578</v>
      </c>
      <c r="I5347">
        <v>1566</v>
      </c>
      <c r="J5347">
        <v>1566</v>
      </c>
      <c r="K5347">
        <v>9</v>
      </c>
      <c r="L5347">
        <v>0</v>
      </c>
      <c r="M5347">
        <v>1287</v>
      </c>
      <c r="N5347">
        <v>275</v>
      </c>
      <c r="O5347">
        <v>7</v>
      </c>
      <c r="P5347">
        <v>0</v>
      </c>
      <c r="Q5347">
        <v>0</v>
      </c>
    </row>
    <row r="5348" spans="1:17" x14ac:dyDescent="0.2">
      <c r="A5348" s="121">
        <v>41029</v>
      </c>
      <c r="B5348" t="s">
        <v>406</v>
      </c>
      <c r="C5348" t="s">
        <v>451</v>
      </c>
      <c r="D5348" t="s">
        <v>454</v>
      </c>
      <c r="E5348" t="s">
        <v>621</v>
      </c>
      <c r="F5348" t="s">
        <v>410</v>
      </c>
      <c r="G5348">
        <v>1372</v>
      </c>
      <c r="H5348">
        <v>1372</v>
      </c>
      <c r="I5348">
        <v>1371</v>
      </c>
      <c r="J5348">
        <v>1371</v>
      </c>
      <c r="K5348">
        <v>1</v>
      </c>
      <c r="L5348">
        <v>0</v>
      </c>
      <c r="M5348">
        <v>1166</v>
      </c>
      <c r="N5348">
        <v>53</v>
      </c>
      <c r="O5348">
        <v>152</v>
      </c>
      <c r="P5348">
        <v>1</v>
      </c>
      <c r="Q5348">
        <v>0</v>
      </c>
    </row>
    <row r="5349" spans="1:17" x14ac:dyDescent="0.2">
      <c r="A5349" s="121">
        <v>41029</v>
      </c>
      <c r="B5349" t="s">
        <v>406</v>
      </c>
      <c r="C5349" t="s">
        <v>451</v>
      </c>
      <c r="D5349" t="s">
        <v>622</v>
      </c>
      <c r="E5349" t="s">
        <v>623</v>
      </c>
      <c r="F5349" t="s">
        <v>413</v>
      </c>
      <c r="G5349">
        <v>4971</v>
      </c>
      <c r="H5349">
        <v>4971</v>
      </c>
      <c r="I5349">
        <v>4556</v>
      </c>
      <c r="J5349">
        <v>4556</v>
      </c>
      <c r="K5349">
        <v>1160</v>
      </c>
      <c r="L5349">
        <v>11</v>
      </c>
      <c r="M5349">
        <v>3524</v>
      </c>
      <c r="N5349">
        <v>30</v>
      </c>
      <c r="O5349">
        <v>246</v>
      </c>
      <c r="P5349">
        <v>14</v>
      </c>
      <c r="Q5349">
        <v>0</v>
      </c>
    </row>
    <row r="5350" spans="1:17" x14ac:dyDescent="0.2">
      <c r="A5350" s="121">
        <v>41029</v>
      </c>
      <c r="B5350" t="s">
        <v>406</v>
      </c>
      <c r="C5350" t="s">
        <v>456</v>
      </c>
      <c r="D5350" t="s">
        <v>457</v>
      </c>
      <c r="E5350" t="s">
        <v>458</v>
      </c>
      <c r="F5350" t="s">
        <v>413</v>
      </c>
      <c r="G5350">
        <v>5095</v>
      </c>
      <c r="H5350">
        <v>5095</v>
      </c>
      <c r="I5350">
        <v>4715</v>
      </c>
      <c r="J5350">
        <v>4715</v>
      </c>
      <c r="K5350">
        <v>1481</v>
      </c>
      <c r="L5350">
        <v>22</v>
      </c>
      <c r="M5350">
        <v>3441</v>
      </c>
      <c r="N5350">
        <v>75</v>
      </c>
      <c r="O5350">
        <v>76</v>
      </c>
      <c r="P5350">
        <v>57</v>
      </c>
      <c r="Q5350">
        <v>5</v>
      </c>
    </row>
    <row r="5351" spans="1:17" x14ac:dyDescent="0.2">
      <c r="A5351" s="121">
        <v>41029</v>
      </c>
      <c r="B5351" t="s">
        <v>406</v>
      </c>
      <c r="C5351" t="s">
        <v>456</v>
      </c>
      <c r="D5351" t="s">
        <v>459</v>
      </c>
      <c r="E5351" t="s">
        <v>460</v>
      </c>
      <c r="F5351" t="s">
        <v>413</v>
      </c>
      <c r="G5351">
        <v>1482</v>
      </c>
      <c r="H5351">
        <v>1482</v>
      </c>
      <c r="I5351">
        <v>1468</v>
      </c>
      <c r="J5351">
        <v>1468</v>
      </c>
      <c r="K5351">
        <v>418</v>
      </c>
      <c r="L5351">
        <v>0</v>
      </c>
      <c r="M5351">
        <v>1062</v>
      </c>
      <c r="N5351">
        <v>2</v>
      </c>
      <c r="O5351">
        <v>0</v>
      </c>
      <c r="P5351">
        <v>0</v>
      </c>
      <c r="Q5351">
        <v>0</v>
      </c>
    </row>
    <row r="5352" spans="1:17" x14ac:dyDescent="0.2">
      <c r="A5352" s="121">
        <v>41029</v>
      </c>
      <c r="B5352" t="s">
        <v>406</v>
      </c>
      <c r="C5352" t="s">
        <v>456</v>
      </c>
      <c r="D5352" t="s">
        <v>461</v>
      </c>
      <c r="E5352" t="s">
        <v>462</v>
      </c>
      <c r="F5352" t="s">
        <v>410</v>
      </c>
      <c r="G5352">
        <v>61</v>
      </c>
      <c r="I5352">
        <v>61</v>
      </c>
    </row>
    <row r="5353" spans="1:17" x14ac:dyDescent="0.2">
      <c r="A5353" s="121">
        <v>41029</v>
      </c>
      <c r="B5353" t="s">
        <v>406</v>
      </c>
      <c r="C5353" t="s">
        <v>456</v>
      </c>
      <c r="D5353" t="s">
        <v>463</v>
      </c>
      <c r="E5353" t="s">
        <v>464</v>
      </c>
      <c r="F5353" t="s">
        <v>410</v>
      </c>
      <c r="G5353">
        <v>26</v>
      </c>
      <c r="I5353">
        <v>26</v>
      </c>
    </row>
    <row r="5354" spans="1:17" x14ac:dyDescent="0.2">
      <c r="A5354" s="121">
        <v>41029</v>
      </c>
      <c r="B5354" t="s">
        <v>406</v>
      </c>
      <c r="C5354" t="s">
        <v>456</v>
      </c>
      <c r="D5354" t="s">
        <v>465</v>
      </c>
      <c r="E5354" t="s">
        <v>466</v>
      </c>
      <c r="F5354" t="s">
        <v>410</v>
      </c>
      <c r="G5354">
        <v>38</v>
      </c>
      <c r="I5354">
        <v>38</v>
      </c>
    </row>
    <row r="5355" spans="1:17" x14ac:dyDescent="0.2">
      <c r="A5355" s="121">
        <v>41029</v>
      </c>
      <c r="B5355" t="s">
        <v>406</v>
      </c>
      <c r="C5355" t="s">
        <v>456</v>
      </c>
      <c r="D5355" t="s">
        <v>467</v>
      </c>
      <c r="E5355" t="s">
        <v>468</v>
      </c>
      <c r="F5355" t="s">
        <v>410</v>
      </c>
      <c r="G5355">
        <v>1047</v>
      </c>
      <c r="I5355">
        <v>1046</v>
      </c>
    </row>
    <row r="5356" spans="1:17" x14ac:dyDescent="0.2">
      <c r="A5356" s="121">
        <v>41029</v>
      </c>
      <c r="B5356" t="s">
        <v>406</v>
      </c>
      <c r="C5356" t="s">
        <v>456</v>
      </c>
      <c r="D5356" t="s">
        <v>469</v>
      </c>
      <c r="E5356" t="s">
        <v>470</v>
      </c>
      <c r="F5356" t="s">
        <v>410</v>
      </c>
      <c r="G5356">
        <v>839</v>
      </c>
      <c r="I5356">
        <v>839</v>
      </c>
    </row>
    <row r="5357" spans="1:17" x14ac:dyDescent="0.2">
      <c r="A5357" s="121">
        <v>41029</v>
      </c>
      <c r="B5357" t="s">
        <v>406</v>
      </c>
      <c r="C5357" t="s">
        <v>456</v>
      </c>
      <c r="D5357" t="s">
        <v>471</v>
      </c>
      <c r="E5357" t="s">
        <v>472</v>
      </c>
      <c r="F5357" t="s">
        <v>410</v>
      </c>
      <c r="G5357">
        <v>280</v>
      </c>
      <c r="I5357">
        <v>280</v>
      </c>
    </row>
    <row r="5358" spans="1:17" x14ac:dyDescent="0.2">
      <c r="A5358" s="121">
        <v>41029</v>
      </c>
      <c r="B5358" t="s">
        <v>406</v>
      </c>
      <c r="C5358" t="s">
        <v>456</v>
      </c>
      <c r="D5358" t="s">
        <v>473</v>
      </c>
      <c r="E5358" t="s">
        <v>474</v>
      </c>
      <c r="F5358" t="s">
        <v>410</v>
      </c>
      <c r="G5358">
        <v>147</v>
      </c>
      <c r="I5358">
        <v>147</v>
      </c>
    </row>
    <row r="5359" spans="1:17" x14ac:dyDescent="0.2">
      <c r="A5359" s="121">
        <v>41029</v>
      </c>
      <c r="B5359" t="s">
        <v>406</v>
      </c>
      <c r="C5359" t="s">
        <v>456</v>
      </c>
      <c r="D5359" t="s">
        <v>475</v>
      </c>
      <c r="E5359" t="s">
        <v>476</v>
      </c>
      <c r="F5359" t="s">
        <v>410</v>
      </c>
      <c r="G5359">
        <v>283</v>
      </c>
      <c r="I5359">
        <v>281</v>
      </c>
    </row>
    <row r="5360" spans="1:17" x14ac:dyDescent="0.2">
      <c r="A5360" s="121">
        <v>41029</v>
      </c>
      <c r="B5360" t="s">
        <v>406</v>
      </c>
      <c r="C5360" t="s">
        <v>456</v>
      </c>
      <c r="D5360" t="s">
        <v>477</v>
      </c>
      <c r="E5360" t="s">
        <v>478</v>
      </c>
      <c r="F5360" t="s">
        <v>413</v>
      </c>
      <c r="G5360">
        <v>1997</v>
      </c>
      <c r="H5360">
        <v>1997</v>
      </c>
      <c r="I5360">
        <v>1933</v>
      </c>
      <c r="J5360">
        <v>1933</v>
      </c>
      <c r="K5360">
        <v>499</v>
      </c>
      <c r="L5360">
        <v>2</v>
      </c>
      <c r="M5360">
        <v>1457</v>
      </c>
      <c r="N5360">
        <v>25</v>
      </c>
      <c r="O5360">
        <v>14</v>
      </c>
      <c r="P5360">
        <v>5</v>
      </c>
      <c r="Q5360">
        <v>2</v>
      </c>
    </row>
    <row r="5361" spans="1:17" x14ac:dyDescent="0.2">
      <c r="A5361" s="121">
        <v>41029</v>
      </c>
      <c r="B5361" t="s">
        <v>406</v>
      </c>
      <c r="C5361" t="s">
        <v>456</v>
      </c>
      <c r="D5361" t="s">
        <v>479</v>
      </c>
      <c r="E5361" t="s">
        <v>480</v>
      </c>
      <c r="F5361" t="s">
        <v>410</v>
      </c>
      <c r="G5361">
        <v>46</v>
      </c>
      <c r="I5361">
        <v>46</v>
      </c>
    </row>
    <row r="5362" spans="1:17" x14ac:dyDescent="0.2">
      <c r="A5362" s="121">
        <v>41029</v>
      </c>
      <c r="B5362" t="s">
        <v>406</v>
      </c>
      <c r="C5362" t="s">
        <v>456</v>
      </c>
      <c r="D5362" t="s">
        <v>481</v>
      </c>
      <c r="E5362" t="s">
        <v>482</v>
      </c>
      <c r="F5362" t="s">
        <v>410</v>
      </c>
      <c r="G5362">
        <v>35</v>
      </c>
      <c r="I5362">
        <v>35</v>
      </c>
    </row>
    <row r="5363" spans="1:17" x14ac:dyDescent="0.2">
      <c r="A5363" s="121">
        <v>41029</v>
      </c>
      <c r="B5363" t="s">
        <v>406</v>
      </c>
      <c r="C5363" t="s">
        <v>456</v>
      </c>
      <c r="D5363" t="s">
        <v>483</v>
      </c>
      <c r="E5363" t="s">
        <v>484</v>
      </c>
      <c r="F5363" t="s">
        <v>410</v>
      </c>
      <c r="G5363">
        <v>84</v>
      </c>
      <c r="I5363">
        <v>84</v>
      </c>
    </row>
    <row r="5364" spans="1:17" x14ac:dyDescent="0.2">
      <c r="A5364" s="121">
        <v>41029</v>
      </c>
      <c r="B5364" t="s">
        <v>406</v>
      </c>
      <c r="C5364" t="s">
        <v>456</v>
      </c>
      <c r="D5364" t="s">
        <v>485</v>
      </c>
      <c r="E5364" t="s">
        <v>486</v>
      </c>
      <c r="F5364" t="s">
        <v>410</v>
      </c>
      <c r="G5364">
        <v>30</v>
      </c>
      <c r="I5364">
        <v>30</v>
      </c>
    </row>
    <row r="5365" spans="1:17" x14ac:dyDescent="0.2">
      <c r="A5365" s="121">
        <v>41029</v>
      </c>
      <c r="B5365" t="s">
        <v>406</v>
      </c>
      <c r="C5365" t="s">
        <v>456</v>
      </c>
      <c r="D5365" t="s">
        <v>487</v>
      </c>
      <c r="E5365" t="s">
        <v>488</v>
      </c>
      <c r="F5365" t="s">
        <v>410</v>
      </c>
      <c r="G5365">
        <v>21</v>
      </c>
      <c r="I5365">
        <v>21</v>
      </c>
    </row>
    <row r="5366" spans="1:17" x14ac:dyDescent="0.2">
      <c r="A5366" s="121">
        <v>41029</v>
      </c>
      <c r="B5366" t="s">
        <v>406</v>
      </c>
      <c r="C5366" t="s">
        <v>456</v>
      </c>
      <c r="D5366" t="s">
        <v>489</v>
      </c>
      <c r="E5366" t="s">
        <v>490</v>
      </c>
      <c r="F5366" t="s">
        <v>410</v>
      </c>
      <c r="G5366">
        <v>59</v>
      </c>
      <c r="H5366">
        <v>59</v>
      </c>
      <c r="I5366">
        <v>59</v>
      </c>
      <c r="J5366">
        <v>59</v>
      </c>
      <c r="K5366">
        <v>0</v>
      </c>
      <c r="L5366">
        <v>0</v>
      </c>
      <c r="M5366">
        <v>46</v>
      </c>
      <c r="N5366">
        <v>13</v>
      </c>
      <c r="O5366">
        <v>0</v>
      </c>
      <c r="P5366">
        <v>0</v>
      </c>
      <c r="Q5366">
        <v>0</v>
      </c>
    </row>
    <row r="5367" spans="1:17" x14ac:dyDescent="0.2">
      <c r="A5367" s="121">
        <v>41029</v>
      </c>
      <c r="B5367" t="s">
        <v>406</v>
      </c>
      <c r="C5367" t="s">
        <v>491</v>
      </c>
      <c r="D5367" t="s">
        <v>492</v>
      </c>
      <c r="E5367" t="s">
        <v>493</v>
      </c>
      <c r="F5367" t="s">
        <v>410</v>
      </c>
      <c r="G5367">
        <v>1319</v>
      </c>
      <c r="H5367">
        <v>1319</v>
      </c>
      <c r="I5367">
        <v>1263</v>
      </c>
      <c r="J5367">
        <v>1263</v>
      </c>
      <c r="K5367">
        <v>261</v>
      </c>
      <c r="L5367">
        <v>16</v>
      </c>
      <c r="M5367">
        <v>980</v>
      </c>
      <c r="N5367">
        <v>54</v>
      </c>
      <c r="O5367">
        <v>8</v>
      </c>
      <c r="P5367">
        <v>3</v>
      </c>
      <c r="Q5367">
        <v>0</v>
      </c>
    </row>
    <row r="5368" spans="1:17" x14ac:dyDescent="0.2">
      <c r="A5368" s="121">
        <v>41029</v>
      </c>
      <c r="B5368" t="s">
        <v>406</v>
      </c>
      <c r="C5368" t="s">
        <v>491</v>
      </c>
      <c r="D5368" t="s">
        <v>494</v>
      </c>
      <c r="E5368" t="s">
        <v>495</v>
      </c>
      <c r="F5368" t="s">
        <v>413</v>
      </c>
      <c r="G5368">
        <v>2827</v>
      </c>
      <c r="H5368">
        <v>2827</v>
      </c>
      <c r="I5368">
        <v>2729</v>
      </c>
      <c r="J5368">
        <v>2729</v>
      </c>
      <c r="K5368">
        <v>743</v>
      </c>
      <c r="L5368">
        <v>5</v>
      </c>
      <c r="M5368">
        <v>1858</v>
      </c>
      <c r="N5368">
        <v>53</v>
      </c>
      <c r="O5368">
        <v>168</v>
      </c>
      <c r="P5368">
        <v>7</v>
      </c>
      <c r="Q5368">
        <v>0</v>
      </c>
    </row>
    <row r="5369" spans="1:17" x14ac:dyDescent="0.2">
      <c r="A5369" s="121">
        <v>41029</v>
      </c>
      <c r="B5369" t="s">
        <v>406</v>
      </c>
      <c r="C5369" t="s">
        <v>491</v>
      </c>
      <c r="D5369" t="s">
        <v>496</v>
      </c>
      <c r="E5369" t="s">
        <v>497</v>
      </c>
      <c r="F5369" t="s">
        <v>413</v>
      </c>
      <c r="G5369">
        <v>6608</v>
      </c>
      <c r="H5369">
        <v>6608</v>
      </c>
      <c r="I5369">
        <v>6217</v>
      </c>
      <c r="J5369">
        <v>6217</v>
      </c>
      <c r="K5369">
        <v>811</v>
      </c>
      <c r="L5369">
        <v>0</v>
      </c>
      <c r="M5369">
        <v>21</v>
      </c>
      <c r="N5369">
        <v>44</v>
      </c>
      <c r="O5369">
        <v>5732</v>
      </c>
      <c r="P5369">
        <v>6</v>
      </c>
      <c r="Q5369">
        <v>0</v>
      </c>
    </row>
    <row r="5370" spans="1:17" x14ac:dyDescent="0.2">
      <c r="A5370" s="121">
        <v>41029</v>
      </c>
      <c r="B5370" t="s">
        <v>406</v>
      </c>
      <c r="C5370" t="s">
        <v>491</v>
      </c>
      <c r="D5370" t="s">
        <v>498</v>
      </c>
      <c r="E5370" t="s">
        <v>499</v>
      </c>
      <c r="F5370" t="s">
        <v>413</v>
      </c>
      <c r="G5370">
        <v>7235</v>
      </c>
      <c r="H5370">
        <v>7235</v>
      </c>
      <c r="I5370">
        <v>6949</v>
      </c>
      <c r="J5370">
        <v>6949</v>
      </c>
      <c r="K5370">
        <v>1732</v>
      </c>
      <c r="L5370">
        <v>10</v>
      </c>
      <c r="M5370">
        <v>4971</v>
      </c>
      <c r="N5370">
        <v>152</v>
      </c>
      <c r="O5370">
        <v>370</v>
      </c>
      <c r="P5370">
        <v>2</v>
      </c>
      <c r="Q5370">
        <v>0</v>
      </c>
    </row>
    <row r="5371" spans="1:17" x14ac:dyDescent="0.2">
      <c r="A5371" s="121">
        <v>41029</v>
      </c>
      <c r="B5371" t="s">
        <v>406</v>
      </c>
      <c r="C5371" t="s">
        <v>491</v>
      </c>
      <c r="D5371" t="s">
        <v>500</v>
      </c>
      <c r="E5371" t="s">
        <v>620</v>
      </c>
      <c r="F5371" t="s">
        <v>410</v>
      </c>
      <c r="G5371">
        <v>1400</v>
      </c>
      <c r="H5371">
        <v>1400</v>
      </c>
      <c r="I5371">
        <v>1398</v>
      </c>
      <c r="J5371">
        <v>1398</v>
      </c>
      <c r="K5371">
        <v>10</v>
      </c>
      <c r="L5371">
        <v>0</v>
      </c>
      <c r="M5371">
        <v>1254</v>
      </c>
      <c r="N5371">
        <v>6</v>
      </c>
      <c r="O5371">
        <v>130</v>
      </c>
      <c r="P5371">
        <v>0</v>
      </c>
      <c r="Q5371">
        <v>0</v>
      </c>
    </row>
    <row r="5372" spans="1:17" x14ac:dyDescent="0.2">
      <c r="A5372" s="121">
        <v>41029</v>
      </c>
      <c r="B5372" t="s">
        <v>406</v>
      </c>
      <c r="C5372" t="s">
        <v>491</v>
      </c>
      <c r="D5372" t="s">
        <v>502</v>
      </c>
      <c r="E5372" t="s">
        <v>615</v>
      </c>
      <c r="F5372" t="s">
        <v>410</v>
      </c>
      <c r="G5372">
        <v>1650</v>
      </c>
      <c r="H5372">
        <v>1650</v>
      </c>
      <c r="I5372">
        <v>1650</v>
      </c>
      <c r="J5372">
        <v>1650</v>
      </c>
      <c r="K5372">
        <v>0</v>
      </c>
      <c r="L5372">
        <v>1</v>
      </c>
      <c r="M5372">
        <v>1619</v>
      </c>
      <c r="N5372">
        <v>6</v>
      </c>
      <c r="O5372">
        <v>24</v>
      </c>
      <c r="P5372">
        <v>0</v>
      </c>
      <c r="Q5372">
        <v>0</v>
      </c>
    </row>
    <row r="5373" spans="1:17" x14ac:dyDescent="0.2">
      <c r="A5373" s="121">
        <v>41029</v>
      </c>
      <c r="B5373" t="s">
        <v>406</v>
      </c>
      <c r="C5373" t="s">
        <v>491</v>
      </c>
      <c r="D5373" t="s">
        <v>502</v>
      </c>
      <c r="E5373" t="s">
        <v>503</v>
      </c>
      <c r="F5373" t="s">
        <v>413</v>
      </c>
      <c r="G5373">
        <v>5286</v>
      </c>
      <c r="H5373">
        <v>5286</v>
      </c>
      <c r="I5373">
        <v>4729</v>
      </c>
      <c r="J5373">
        <v>4729</v>
      </c>
      <c r="K5373">
        <v>1503</v>
      </c>
      <c r="L5373">
        <v>9</v>
      </c>
      <c r="M5373">
        <v>3511</v>
      </c>
      <c r="N5373">
        <v>146</v>
      </c>
      <c r="O5373">
        <v>117</v>
      </c>
      <c r="P5373">
        <v>26</v>
      </c>
      <c r="Q5373">
        <v>1</v>
      </c>
    </row>
    <row r="5374" spans="1:17" x14ac:dyDescent="0.2">
      <c r="A5374" s="121">
        <v>41029</v>
      </c>
      <c r="B5374" t="s">
        <v>406</v>
      </c>
      <c r="C5374" t="s">
        <v>491</v>
      </c>
      <c r="D5374" t="s">
        <v>504</v>
      </c>
      <c r="E5374" t="s">
        <v>505</v>
      </c>
      <c r="F5374" t="s">
        <v>413</v>
      </c>
      <c r="G5374">
        <v>4047</v>
      </c>
      <c r="H5374">
        <v>4047</v>
      </c>
      <c r="I5374">
        <v>3760</v>
      </c>
      <c r="J5374">
        <v>3760</v>
      </c>
      <c r="K5374">
        <v>1090</v>
      </c>
      <c r="L5374">
        <v>13</v>
      </c>
      <c r="M5374">
        <v>2818</v>
      </c>
      <c r="N5374">
        <v>79</v>
      </c>
      <c r="O5374">
        <v>47</v>
      </c>
      <c r="P5374">
        <v>3</v>
      </c>
      <c r="Q5374">
        <v>0</v>
      </c>
    </row>
    <row r="5375" spans="1:17" x14ac:dyDescent="0.2">
      <c r="A5375" s="121">
        <v>41029</v>
      </c>
      <c r="B5375" t="s">
        <v>406</v>
      </c>
      <c r="C5375" t="s">
        <v>491</v>
      </c>
      <c r="D5375" t="s">
        <v>506</v>
      </c>
      <c r="E5375" t="s">
        <v>507</v>
      </c>
      <c r="F5375" t="s">
        <v>413</v>
      </c>
      <c r="G5375">
        <v>4070</v>
      </c>
      <c r="H5375">
        <v>4070</v>
      </c>
      <c r="I5375">
        <v>3897</v>
      </c>
      <c r="J5375">
        <v>3897</v>
      </c>
      <c r="K5375">
        <v>549</v>
      </c>
      <c r="L5375">
        <v>0</v>
      </c>
      <c r="M5375">
        <v>3509</v>
      </c>
      <c r="N5375">
        <v>4</v>
      </c>
      <c r="O5375">
        <v>8</v>
      </c>
      <c r="P5375">
        <v>1</v>
      </c>
      <c r="Q5375">
        <v>0</v>
      </c>
    </row>
    <row r="5376" spans="1:17" x14ac:dyDescent="0.2">
      <c r="A5376" s="121">
        <v>41029</v>
      </c>
      <c r="B5376" t="s">
        <v>406</v>
      </c>
      <c r="C5376" t="s">
        <v>491</v>
      </c>
      <c r="D5376" t="s">
        <v>508</v>
      </c>
      <c r="E5376" t="s">
        <v>509</v>
      </c>
      <c r="F5376" t="s">
        <v>413</v>
      </c>
      <c r="G5376">
        <v>5144</v>
      </c>
      <c r="H5376">
        <v>5144</v>
      </c>
      <c r="I5376">
        <v>4597</v>
      </c>
      <c r="J5376">
        <v>4597</v>
      </c>
      <c r="K5376">
        <v>1606</v>
      </c>
      <c r="L5376">
        <v>9</v>
      </c>
      <c r="M5376">
        <v>3026</v>
      </c>
      <c r="N5376">
        <v>146</v>
      </c>
      <c r="O5376">
        <v>357</v>
      </c>
      <c r="P5376">
        <v>60</v>
      </c>
      <c r="Q5376">
        <v>0</v>
      </c>
    </row>
    <row r="5377" spans="1:17" x14ac:dyDescent="0.2">
      <c r="A5377" s="121">
        <v>41029</v>
      </c>
      <c r="B5377" t="s">
        <v>406</v>
      </c>
      <c r="C5377" t="s">
        <v>510</v>
      </c>
      <c r="D5377" t="s">
        <v>513</v>
      </c>
      <c r="E5377" t="s">
        <v>514</v>
      </c>
      <c r="F5377" t="s">
        <v>410</v>
      </c>
      <c r="G5377">
        <v>676</v>
      </c>
      <c r="I5377">
        <v>670</v>
      </c>
    </row>
    <row r="5378" spans="1:17" x14ac:dyDescent="0.2">
      <c r="A5378" s="121">
        <v>41029</v>
      </c>
      <c r="B5378" t="s">
        <v>406</v>
      </c>
      <c r="C5378" t="s">
        <v>510</v>
      </c>
      <c r="D5378" t="s">
        <v>515</v>
      </c>
      <c r="E5378" t="s">
        <v>516</v>
      </c>
      <c r="F5378" t="s">
        <v>410</v>
      </c>
      <c r="G5378">
        <v>100</v>
      </c>
      <c r="I5378">
        <v>98</v>
      </c>
    </row>
    <row r="5379" spans="1:17" x14ac:dyDescent="0.2">
      <c r="A5379" s="121">
        <v>41029</v>
      </c>
      <c r="B5379" t="s">
        <v>406</v>
      </c>
      <c r="C5379" t="s">
        <v>510</v>
      </c>
      <c r="D5379" t="s">
        <v>519</v>
      </c>
      <c r="E5379" t="s">
        <v>520</v>
      </c>
      <c r="F5379" t="s">
        <v>410</v>
      </c>
      <c r="G5379">
        <v>370</v>
      </c>
      <c r="I5379">
        <v>360</v>
      </c>
    </row>
    <row r="5380" spans="1:17" x14ac:dyDescent="0.2">
      <c r="A5380" s="121">
        <v>41029</v>
      </c>
      <c r="B5380" t="s">
        <v>406</v>
      </c>
      <c r="C5380" t="s">
        <v>510</v>
      </c>
      <c r="D5380" t="s">
        <v>521</v>
      </c>
      <c r="E5380" t="s">
        <v>522</v>
      </c>
      <c r="F5380" t="s">
        <v>410</v>
      </c>
      <c r="G5380">
        <v>48</v>
      </c>
      <c r="I5380">
        <v>47</v>
      </c>
    </row>
    <row r="5381" spans="1:17" x14ac:dyDescent="0.2">
      <c r="A5381" s="121">
        <v>41029</v>
      </c>
      <c r="B5381" t="s">
        <v>406</v>
      </c>
      <c r="C5381" t="s">
        <v>510</v>
      </c>
      <c r="D5381" t="s">
        <v>523</v>
      </c>
      <c r="E5381" t="s">
        <v>524</v>
      </c>
      <c r="F5381" t="s">
        <v>413</v>
      </c>
      <c r="G5381">
        <v>534</v>
      </c>
      <c r="H5381">
        <v>534</v>
      </c>
      <c r="I5381">
        <v>525</v>
      </c>
      <c r="J5381">
        <v>525</v>
      </c>
      <c r="K5381">
        <v>89</v>
      </c>
      <c r="L5381">
        <v>0</v>
      </c>
      <c r="M5381">
        <v>441</v>
      </c>
      <c r="N5381">
        <v>4</v>
      </c>
      <c r="O5381">
        <v>0</v>
      </c>
      <c r="P5381">
        <v>0</v>
      </c>
      <c r="Q5381">
        <v>0</v>
      </c>
    </row>
    <row r="5382" spans="1:17" x14ac:dyDescent="0.2">
      <c r="A5382" s="121">
        <v>41029</v>
      </c>
      <c r="B5382" t="s">
        <v>406</v>
      </c>
      <c r="C5382" t="s">
        <v>510</v>
      </c>
      <c r="D5382" t="s">
        <v>525</v>
      </c>
      <c r="E5382" t="s">
        <v>526</v>
      </c>
      <c r="F5382" t="s">
        <v>410</v>
      </c>
      <c r="G5382">
        <v>460</v>
      </c>
      <c r="I5382">
        <v>439</v>
      </c>
    </row>
    <row r="5383" spans="1:17" x14ac:dyDescent="0.2">
      <c r="A5383" s="121">
        <v>41029</v>
      </c>
      <c r="B5383" t="s">
        <v>406</v>
      </c>
      <c r="C5383" t="s">
        <v>510</v>
      </c>
      <c r="D5383" t="s">
        <v>527</v>
      </c>
      <c r="E5383" t="s">
        <v>528</v>
      </c>
      <c r="F5383" t="s">
        <v>410</v>
      </c>
      <c r="G5383">
        <v>188</v>
      </c>
      <c r="I5383">
        <v>188</v>
      </c>
    </row>
    <row r="5384" spans="1:17" x14ac:dyDescent="0.2">
      <c r="A5384" s="121">
        <v>41029</v>
      </c>
      <c r="B5384" t="s">
        <v>406</v>
      </c>
      <c r="C5384" t="s">
        <v>510</v>
      </c>
      <c r="D5384" t="s">
        <v>529</v>
      </c>
      <c r="E5384" t="s">
        <v>530</v>
      </c>
      <c r="F5384" t="s">
        <v>413</v>
      </c>
      <c r="G5384">
        <v>530</v>
      </c>
      <c r="H5384">
        <v>530</v>
      </c>
      <c r="I5384">
        <v>520</v>
      </c>
      <c r="J5384">
        <v>520</v>
      </c>
      <c r="K5384">
        <v>146</v>
      </c>
      <c r="L5384">
        <v>0</v>
      </c>
      <c r="M5384">
        <v>384</v>
      </c>
      <c r="N5384">
        <v>0</v>
      </c>
      <c r="O5384">
        <v>0</v>
      </c>
      <c r="P5384">
        <v>0</v>
      </c>
      <c r="Q5384">
        <v>0</v>
      </c>
    </row>
    <row r="5385" spans="1:17" x14ac:dyDescent="0.2">
      <c r="A5385" s="121">
        <v>41029</v>
      </c>
      <c r="B5385" t="s">
        <v>406</v>
      </c>
      <c r="C5385" t="s">
        <v>510</v>
      </c>
      <c r="D5385" t="s">
        <v>531</v>
      </c>
      <c r="E5385" t="s">
        <v>532</v>
      </c>
      <c r="F5385" t="s">
        <v>410</v>
      </c>
      <c r="G5385">
        <v>24</v>
      </c>
      <c r="I5385">
        <v>24</v>
      </c>
    </row>
    <row r="5386" spans="1:17" x14ac:dyDescent="0.2">
      <c r="A5386" s="121">
        <v>41029</v>
      </c>
      <c r="B5386" t="s">
        <v>406</v>
      </c>
      <c r="C5386" t="s">
        <v>510</v>
      </c>
      <c r="D5386" t="s">
        <v>533</v>
      </c>
      <c r="E5386" t="s">
        <v>534</v>
      </c>
      <c r="F5386" t="s">
        <v>413</v>
      </c>
      <c r="G5386">
        <v>2549</v>
      </c>
      <c r="H5386">
        <v>2549</v>
      </c>
      <c r="I5386">
        <v>2466</v>
      </c>
      <c r="J5386">
        <v>2466</v>
      </c>
      <c r="K5386">
        <v>579</v>
      </c>
      <c r="L5386">
        <v>1</v>
      </c>
      <c r="M5386">
        <v>1965</v>
      </c>
      <c r="N5386">
        <v>4</v>
      </c>
      <c r="O5386">
        <v>0</v>
      </c>
      <c r="P5386">
        <v>1</v>
      </c>
      <c r="Q5386">
        <v>0</v>
      </c>
    </row>
    <row r="5387" spans="1:17" x14ac:dyDescent="0.2">
      <c r="A5387" s="121">
        <v>41029</v>
      </c>
      <c r="B5387" t="s">
        <v>406</v>
      </c>
      <c r="C5387" t="s">
        <v>510</v>
      </c>
      <c r="D5387" t="s">
        <v>535</v>
      </c>
      <c r="E5387" t="s">
        <v>536</v>
      </c>
      <c r="F5387" t="s">
        <v>410</v>
      </c>
      <c r="G5387">
        <v>347</v>
      </c>
      <c r="I5387">
        <v>347</v>
      </c>
    </row>
    <row r="5388" spans="1:17" x14ac:dyDescent="0.2">
      <c r="A5388" s="121">
        <v>41029</v>
      </c>
      <c r="B5388" t="s">
        <v>406</v>
      </c>
      <c r="C5388" t="s">
        <v>510</v>
      </c>
      <c r="D5388" t="s">
        <v>537</v>
      </c>
      <c r="E5388" t="s">
        <v>538</v>
      </c>
      <c r="F5388" t="s">
        <v>410</v>
      </c>
      <c r="G5388">
        <v>90</v>
      </c>
      <c r="I5388">
        <v>90</v>
      </c>
    </row>
    <row r="5389" spans="1:17" x14ac:dyDescent="0.2">
      <c r="A5389" s="121">
        <v>41029</v>
      </c>
      <c r="B5389" t="s">
        <v>406</v>
      </c>
      <c r="C5389" t="s">
        <v>510</v>
      </c>
      <c r="D5389" t="s">
        <v>539</v>
      </c>
      <c r="E5389" t="s">
        <v>540</v>
      </c>
      <c r="F5389" t="s">
        <v>413</v>
      </c>
      <c r="G5389">
        <v>760</v>
      </c>
      <c r="H5389">
        <v>760</v>
      </c>
      <c r="I5389">
        <v>738</v>
      </c>
      <c r="J5389">
        <v>738</v>
      </c>
      <c r="K5389">
        <v>134</v>
      </c>
      <c r="L5389">
        <v>0</v>
      </c>
      <c r="M5389">
        <v>622</v>
      </c>
      <c r="N5389">
        <v>4</v>
      </c>
      <c r="O5389">
        <v>0</v>
      </c>
      <c r="P5389">
        <v>1</v>
      </c>
      <c r="Q5389">
        <v>0</v>
      </c>
    </row>
    <row r="5390" spans="1:17" x14ac:dyDescent="0.2">
      <c r="A5390" s="121">
        <v>41029</v>
      </c>
      <c r="B5390" t="s">
        <v>406</v>
      </c>
      <c r="C5390" t="s">
        <v>510</v>
      </c>
      <c r="D5390" t="s">
        <v>541</v>
      </c>
      <c r="E5390" t="s">
        <v>542</v>
      </c>
      <c r="F5390" t="s">
        <v>410</v>
      </c>
      <c r="G5390">
        <v>399</v>
      </c>
      <c r="I5390">
        <v>399</v>
      </c>
    </row>
    <row r="5391" spans="1:17" x14ac:dyDescent="0.2">
      <c r="A5391" s="121">
        <v>41029</v>
      </c>
      <c r="B5391" t="s">
        <v>406</v>
      </c>
      <c r="C5391" t="s">
        <v>510</v>
      </c>
      <c r="D5391" t="s">
        <v>543</v>
      </c>
      <c r="E5391" t="s">
        <v>544</v>
      </c>
      <c r="F5391" t="s">
        <v>410</v>
      </c>
      <c r="G5391">
        <v>274</v>
      </c>
      <c r="I5391">
        <v>274</v>
      </c>
    </row>
    <row r="5392" spans="1:17" x14ac:dyDescent="0.2">
      <c r="A5392" s="121">
        <v>41029</v>
      </c>
      <c r="B5392" t="s">
        <v>406</v>
      </c>
      <c r="C5392" t="s">
        <v>510</v>
      </c>
      <c r="D5392" t="s">
        <v>545</v>
      </c>
      <c r="E5392" t="s">
        <v>546</v>
      </c>
      <c r="F5392" t="s">
        <v>410</v>
      </c>
      <c r="G5392">
        <v>119</v>
      </c>
      <c r="I5392">
        <v>119</v>
      </c>
    </row>
    <row r="5393" spans="1:17" x14ac:dyDescent="0.2">
      <c r="A5393" s="121">
        <v>41029</v>
      </c>
      <c r="B5393" t="s">
        <v>406</v>
      </c>
      <c r="C5393" t="s">
        <v>510</v>
      </c>
      <c r="D5393" t="s">
        <v>547</v>
      </c>
      <c r="E5393" t="s">
        <v>548</v>
      </c>
      <c r="F5393" t="s">
        <v>410</v>
      </c>
      <c r="G5393">
        <v>128</v>
      </c>
      <c r="I5393">
        <v>128</v>
      </c>
    </row>
    <row r="5394" spans="1:17" x14ac:dyDescent="0.2">
      <c r="A5394" s="121">
        <v>41029</v>
      </c>
      <c r="B5394" t="s">
        <v>406</v>
      </c>
      <c r="C5394" t="s">
        <v>510</v>
      </c>
      <c r="D5394" t="s">
        <v>616</v>
      </c>
      <c r="E5394" t="s">
        <v>617</v>
      </c>
      <c r="F5394" t="s">
        <v>410</v>
      </c>
      <c r="G5394">
        <v>354</v>
      </c>
      <c r="I5394">
        <v>352</v>
      </c>
    </row>
    <row r="5395" spans="1:17" x14ac:dyDescent="0.2">
      <c r="A5395" s="121">
        <v>41029</v>
      </c>
      <c r="B5395" t="s">
        <v>406</v>
      </c>
      <c r="C5395" t="s">
        <v>510</v>
      </c>
      <c r="D5395" t="s">
        <v>549</v>
      </c>
      <c r="E5395" t="s">
        <v>550</v>
      </c>
      <c r="F5395" t="s">
        <v>410</v>
      </c>
      <c r="G5395">
        <v>173</v>
      </c>
      <c r="I5395">
        <v>173</v>
      </c>
    </row>
    <row r="5396" spans="1:17" x14ac:dyDescent="0.2">
      <c r="A5396" s="121">
        <v>41029</v>
      </c>
      <c r="B5396" t="s">
        <v>406</v>
      </c>
      <c r="C5396" t="s">
        <v>551</v>
      </c>
      <c r="D5396" t="s">
        <v>552</v>
      </c>
      <c r="E5396" t="s">
        <v>553</v>
      </c>
      <c r="F5396" t="s">
        <v>413</v>
      </c>
      <c r="G5396">
        <v>5806</v>
      </c>
      <c r="H5396">
        <v>5806</v>
      </c>
      <c r="I5396">
        <v>5593</v>
      </c>
      <c r="J5396">
        <v>5593</v>
      </c>
      <c r="K5396">
        <v>1743</v>
      </c>
      <c r="L5396">
        <v>2</v>
      </c>
      <c r="M5396">
        <v>3699</v>
      </c>
      <c r="N5396">
        <v>228</v>
      </c>
      <c r="O5396">
        <v>134</v>
      </c>
      <c r="P5396">
        <v>4</v>
      </c>
      <c r="Q5396">
        <v>0</v>
      </c>
    </row>
    <row r="5397" spans="1:17" x14ac:dyDescent="0.2">
      <c r="A5397" s="121">
        <v>41029</v>
      </c>
      <c r="B5397" t="s">
        <v>406</v>
      </c>
      <c r="C5397" t="s">
        <v>551</v>
      </c>
      <c r="D5397" t="s">
        <v>554</v>
      </c>
      <c r="E5397" t="s">
        <v>555</v>
      </c>
      <c r="F5397" t="s">
        <v>410</v>
      </c>
      <c r="G5397">
        <v>45</v>
      </c>
      <c r="I5397">
        <v>45</v>
      </c>
    </row>
    <row r="5398" spans="1:17" x14ac:dyDescent="0.2">
      <c r="A5398" s="121">
        <v>41029</v>
      </c>
      <c r="B5398" t="s">
        <v>406</v>
      </c>
      <c r="C5398" t="s">
        <v>551</v>
      </c>
      <c r="D5398" t="s">
        <v>556</v>
      </c>
      <c r="E5398" t="s">
        <v>557</v>
      </c>
      <c r="F5398" t="s">
        <v>410</v>
      </c>
      <c r="G5398">
        <v>116</v>
      </c>
      <c r="I5398">
        <v>116</v>
      </c>
    </row>
    <row r="5399" spans="1:17" x14ac:dyDescent="0.2">
      <c r="A5399" s="121">
        <v>41029</v>
      </c>
      <c r="B5399" t="s">
        <v>406</v>
      </c>
      <c r="C5399" t="s">
        <v>551</v>
      </c>
      <c r="D5399" t="s">
        <v>558</v>
      </c>
      <c r="E5399" t="s">
        <v>559</v>
      </c>
      <c r="F5399" t="s">
        <v>413</v>
      </c>
      <c r="G5399">
        <v>4928</v>
      </c>
      <c r="H5399">
        <v>4928</v>
      </c>
      <c r="I5399">
        <v>4651</v>
      </c>
      <c r="J5399">
        <v>4651</v>
      </c>
      <c r="K5399">
        <v>1259</v>
      </c>
      <c r="L5399">
        <v>4</v>
      </c>
      <c r="M5399">
        <v>3494</v>
      </c>
      <c r="N5399">
        <v>145</v>
      </c>
      <c r="O5399">
        <v>26</v>
      </c>
      <c r="P5399">
        <v>50</v>
      </c>
      <c r="Q5399">
        <v>12</v>
      </c>
    </row>
    <row r="5400" spans="1:17" x14ac:dyDescent="0.2">
      <c r="A5400" s="121">
        <v>41029</v>
      </c>
      <c r="B5400" t="s">
        <v>406</v>
      </c>
      <c r="C5400" t="s">
        <v>551</v>
      </c>
      <c r="D5400" t="s">
        <v>560</v>
      </c>
      <c r="E5400" t="s">
        <v>561</v>
      </c>
      <c r="F5400" t="s">
        <v>413</v>
      </c>
      <c r="G5400">
        <v>5480</v>
      </c>
      <c r="H5400">
        <v>5480</v>
      </c>
      <c r="I5400">
        <v>5143</v>
      </c>
      <c r="J5400">
        <v>5143</v>
      </c>
      <c r="K5400">
        <v>1294</v>
      </c>
      <c r="L5400">
        <v>2</v>
      </c>
      <c r="M5400">
        <v>3785</v>
      </c>
      <c r="N5400">
        <v>264</v>
      </c>
      <c r="O5400">
        <v>135</v>
      </c>
      <c r="P5400">
        <v>23</v>
      </c>
      <c r="Q5400">
        <v>4</v>
      </c>
    </row>
    <row r="5401" spans="1:17" x14ac:dyDescent="0.2">
      <c r="A5401" s="121">
        <v>41029</v>
      </c>
      <c r="B5401" t="s">
        <v>406</v>
      </c>
      <c r="C5401" t="s">
        <v>562</v>
      </c>
      <c r="D5401" t="s">
        <v>603</v>
      </c>
      <c r="E5401" t="s">
        <v>604</v>
      </c>
      <c r="F5401" t="s">
        <v>410</v>
      </c>
      <c r="G5401">
        <v>15</v>
      </c>
      <c r="I5401">
        <v>15</v>
      </c>
    </row>
    <row r="5402" spans="1:17" x14ac:dyDescent="0.2">
      <c r="A5402" s="121">
        <v>41029</v>
      </c>
      <c r="B5402" t="s">
        <v>406</v>
      </c>
      <c r="C5402" t="s">
        <v>562</v>
      </c>
      <c r="D5402" t="s">
        <v>605</v>
      </c>
      <c r="E5402" t="s">
        <v>606</v>
      </c>
      <c r="F5402" t="s">
        <v>410</v>
      </c>
      <c r="G5402">
        <v>129</v>
      </c>
      <c r="I5402">
        <v>129</v>
      </c>
    </row>
    <row r="5403" spans="1:17" x14ac:dyDescent="0.2">
      <c r="A5403" s="121">
        <v>41029</v>
      </c>
      <c r="B5403" t="s">
        <v>406</v>
      </c>
      <c r="C5403" t="s">
        <v>562</v>
      </c>
      <c r="D5403" t="s">
        <v>563</v>
      </c>
      <c r="E5403" t="s">
        <v>564</v>
      </c>
      <c r="F5403" t="s">
        <v>410</v>
      </c>
      <c r="G5403">
        <v>3233</v>
      </c>
      <c r="H5403">
        <v>3233</v>
      </c>
      <c r="I5403">
        <v>2903</v>
      </c>
      <c r="J5403">
        <v>2903</v>
      </c>
      <c r="K5403">
        <v>1075</v>
      </c>
      <c r="L5403">
        <v>2</v>
      </c>
      <c r="M5403">
        <v>2120</v>
      </c>
      <c r="N5403">
        <v>36</v>
      </c>
      <c r="O5403">
        <v>0</v>
      </c>
      <c r="P5403">
        <v>33</v>
      </c>
      <c r="Q5403">
        <v>2</v>
      </c>
    </row>
    <row r="5404" spans="1:17" x14ac:dyDescent="0.2">
      <c r="A5404" s="121">
        <v>41029</v>
      </c>
      <c r="B5404" t="s">
        <v>406</v>
      </c>
      <c r="C5404" t="s">
        <v>562</v>
      </c>
      <c r="D5404" t="s">
        <v>565</v>
      </c>
      <c r="E5404" t="s">
        <v>566</v>
      </c>
      <c r="F5404" t="s">
        <v>413</v>
      </c>
      <c r="G5404">
        <v>4550</v>
      </c>
      <c r="H5404">
        <v>4550</v>
      </c>
      <c r="I5404">
        <v>4225</v>
      </c>
      <c r="J5404">
        <v>4225</v>
      </c>
      <c r="K5404">
        <v>987</v>
      </c>
      <c r="L5404">
        <v>7</v>
      </c>
      <c r="M5404">
        <v>3394</v>
      </c>
      <c r="N5404">
        <v>162</v>
      </c>
      <c r="O5404">
        <v>0</v>
      </c>
      <c r="P5404">
        <v>52</v>
      </c>
      <c r="Q5404">
        <v>23</v>
      </c>
    </row>
    <row r="5405" spans="1:17" x14ac:dyDescent="0.2">
      <c r="A5405" s="121">
        <v>41029</v>
      </c>
      <c r="B5405" t="s">
        <v>406</v>
      </c>
      <c r="C5405" t="s">
        <v>562</v>
      </c>
      <c r="D5405" t="s">
        <v>567</v>
      </c>
      <c r="E5405" t="s">
        <v>568</v>
      </c>
      <c r="F5405" t="s">
        <v>413</v>
      </c>
      <c r="G5405">
        <v>9180</v>
      </c>
      <c r="H5405">
        <v>9180</v>
      </c>
      <c r="I5405">
        <v>8037</v>
      </c>
      <c r="J5405">
        <v>8037</v>
      </c>
      <c r="K5405">
        <v>2781</v>
      </c>
      <c r="L5405">
        <v>24</v>
      </c>
      <c r="M5405">
        <v>6033</v>
      </c>
      <c r="N5405">
        <v>342</v>
      </c>
      <c r="O5405">
        <v>0</v>
      </c>
      <c r="P5405">
        <v>140</v>
      </c>
      <c r="Q5405">
        <v>26</v>
      </c>
    </row>
    <row r="5406" spans="1:17" x14ac:dyDescent="0.2">
      <c r="A5406" s="121">
        <v>41029</v>
      </c>
      <c r="B5406" t="s">
        <v>406</v>
      </c>
      <c r="C5406" t="s">
        <v>562</v>
      </c>
      <c r="D5406" t="s">
        <v>569</v>
      </c>
      <c r="E5406" t="s">
        <v>570</v>
      </c>
      <c r="F5406" t="s">
        <v>413</v>
      </c>
      <c r="G5406">
        <v>3434</v>
      </c>
      <c r="H5406">
        <v>3434</v>
      </c>
      <c r="I5406">
        <v>3368</v>
      </c>
      <c r="J5406">
        <v>3368</v>
      </c>
      <c r="K5406">
        <v>492</v>
      </c>
      <c r="L5406">
        <v>0</v>
      </c>
      <c r="M5406">
        <v>2941</v>
      </c>
      <c r="N5406">
        <v>1</v>
      </c>
      <c r="O5406">
        <v>0</v>
      </c>
      <c r="P5406">
        <v>0</v>
      </c>
      <c r="Q5406">
        <v>0</v>
      </c>
    </row>
    <row r="5407" spans="1:17" x14ac:dyDescent="0.2">
      <c r="A5407" s="121">
        <v>41029</v>
      </c>
      <c r="B5407" t="s">
        <v>406</v>
      </c>
      <c r="C5407" t="s">
        <v>571</v>
      </c>
      <c r="D5407" t="s">
        <v>572</v>
      </c>
      <c r="E5407" t="s">
        <v>573</v>
      </c>
      <c r="F5407" t="s">
        <v>410</v>
      </c>
      <c r="G5407">
        <v>254</v>
      </c>
      <c r="H5407">
        <v>254</v>
      </c>
      <c r="I5407">
        <v>253</v>
      </c>
      <c r="J5407">
        <v>253</v>
      </c>
      <c r="K5407">
        <v>6</v>
      </c>
      <c r="L5407">
        <v>0</v>
      </c>
      <c r="M5407">
        <v>244</v>
      </c>
      <c r="N5407">
        <v>0</v>
      </c>
      <c r="O5407">
        <v>4</v>
      </c>
      <c r="P5407">
        <v>0</v>
      </c>
      <c r="Q5407">
        <v>0</v>
      </c>
    </row>
    <row r="5408" spans="1:17" x14ac:dyDescent="0.2">
      <c r="A5408" s="121">
        <v>41029</v>
      </c>
      <c r="B5408" t="s">
        <v>406</v>
      </c>
      <c r="C5408" t="s">
        <v>574</v>
      </c>
      <c r="D5408" t="s">
        <v>575</v>
      </c>
      <c r="E5408" t="s">
        <v>576</v>
      </c>
      <c r="F5408" t="s">
        <v>413</v>
      </c>
      <c r="G5408">
        <v>636</v>
      </c>
      <c r="H5408">
        <v>636</v>
      </c>
      <c r="I5408">
        <v>633</v>
      </c>
      <c r="J5408">
        <v>633</v>
      </c>
      <c r="K5408">
        <v>149</v>
      </c>
      <c r="L5408">
        <v>0</v>
      </c>
      <c r="M5408">
        <v>463</v>
      </c>
      <c r="N5408">
        <v>5</v>
      </c>
      <c r="O5408">
        <v>19</v>
      </c>
      <c r="P5408">
        <v>0</v>
      </c>
      <c r="Q5408">
        <v>0</v>
      </c>
    </row>
    <row r="5409" spans="1:17" x14ac:dyDescent="0.2">
      <c r="A5409" s="121">
        <v>41029</v>
      </c>
      <c r="B5409" t="s">
        <v>406</v>
      </c>
      <c r="C5409" t="s">
        <v>577</v>
      </c>
      <c r="D5409" t="s">
        <v>578</v>
      </c>
      <c r="E5409" t="s">
        <v>579</v>
      </c>
      <c r="F5409" t="s">
        <v>413</v>
      </c>
      <c r="G5409">
        <v>3814</v>
      </c>
      <c r="H5409">
        <v>3814</v>
      </c>
      <c r="I5409">
        <v>3753</v>
      </c>
      <c r="J5409">
        <v>3753</v>
      </c>
      <c r="K5409">
        <v>848</v>
      </c>
      <c r="L5409">
        <v>15</v>
      </c>
      <c r="M5409">
        <v>2738</v>
      </c>
      <c r="N5409">
        <v>210</v>
      </c>
      <c r="O5409">
        <v>3</v>
      </c>
      <c r="P5409">
        <v>1</v>
      </c>
      <c r="Q5409">
        <v>1</v>
      </c>
    </row>
    <row r="5410" spans="1:17" x14ac:dyDescent="0.2">
      <c r="A5410" s="121">
        <v>41029</v>
      </c>
      <c r="B5410" t="s">
        <v>406</v>
      </c>
      <c r="C5410" t="s">
        <v>577</v>
      </c>
      <c r="D5410" t="s">
        <v>580</v>
      </c>
      <c r="E5410" t="s">
        <v>581</v>
      </c>
      <c r="F5410" t="s">
        <v>413</v>
      </c>
      <c r="G5410">
        <v>2170</v>
      </c>
      <c r="H5410">
        <v>2170</v>
      </c>
      <c r="I5410">
        <v>2139</v>
      </c>
      <c r="J5410">
        <v>2139</v>
      </c>
      <c r="K5410">
        <v>338</v>
      </c>
      <c r="L5410">
        <v>0</v>
      </c>
      <c r="M5410">
        <v>1504</v>
      </c>
      <c r="N5410">
        <v>274</v>
      </c>
      <c r="O5410">
        <v>54</v>
      </c>
      <c r="P5410">
        <v>5</v>
      </c>
      <c r="Q5410">
        <v>0</v>
      </c>
    </row>
    <row r="5411" spans="1:17" x14ac:dyDescent="0.2">
      <c r="A5411" s="121">
        <v>41029</v>
      </c>
      <c r="B5411" t="s">
        <v>406</v>
      </c>
      <c r="C5411" t="s">
        <v>577</v>
      </c>
      <c r="D5411" t="s">
        <v>609</v>
      </c>
      <c r="E5411" t="s">
        <v>610</v>
      </c>
      <c r="F5411" t="s">
        <v>410</v>
      </c>
      <c r="G5411">
        <v>25</v>
      </c>
      <c r="H5411">
        <v>25</v>
      </c>
      <c r="I5411">
        <v>25</v>
      </c>
      <c r="J5411">
        <v>25</v>
      </c>
      <c r="K5411">
        <v>0</v>
      </c>
      <c r="L5411">
        <v>0</v>
      </c>
      <c r="M5411">
        <v>19</v>
      </c>
      <c r="N5411">
        <v>6</v>
      </c>
      <c r="O5411">
        <v>0</v>
      </c>
      <c r="P5411">
        <v>0</v>
      </c>
      <c r="Q5411">
        <v>0</v>
      </c>
    </row>
    <row r="5412" spans="1:17" x14ac:dyDescent="0.2">
      <c r="A5412" s="121">
        <v>41029</v>
      </c>
      <c r="B5412" t="s">
        <v>406</v>
      </c>
      <c r="C5412" t="s">
        <v>577</v>
      </c>
      <c r="D5412" t="s">
        <v>611</v>
      </c>
      <c r="E5412" t="s">
        <v>612</v>
      </c>
      <c r="F5412" t="s">
        <v>410</v>
      </c>
      <c r="G5412">
        <v>9</v>
      </c>
      <c r="H5412">
        <v>9</v>
      </c>
      <c r="I5412">
        <v>9</v>
      </c>
      <c r="J5412">
        <v>9</v>
      </c>
      <c r="K5412">
        <v>0</v>
      </c>
      <c r="L5412">
        <v>0</v>
      </c>
      <c r="M5412">
        <v>3</v>
      </c>
      <c r="N5412">
        <v>1</v>
      </c>
      <c r="O5412">
        <v>5</v>
      </c>
      <c r="P5412">
        <v>0</v>
      </c>
      <c r="Q5412">
        <v>0</v>
      </c>
    </row>
    <row r="5413" spans="1:17" x14ac:dyDescent="0.2">
      <c r="A5413" s="121">
        <v>41029</v>
      </c>
      <c r="B5413" t="s">
        <v>406</v>
      </c>
      <c r="C5413" t="s">
        <v>577</v>
      </c>
      <c r="D5413" t="s">
        <v>584</v>
      </c>
      <c r="E5413" t="s">
        <v>585</v>
      </c>
      <c r="F5413" t="s">
        <v>410</v>
      </c>
      <c r="G5413">
        <v>294</v>
      </c>
      <c r="H5413">
        <v>294</v>
      </c>
      <c r="I5413">
        <v>294</v>
      </c>
      <c r="J5413">
        <v>294</v>
      </c>
      <c r="K5413">
        <v>1</v>
      </c>
      <c r="L5413">
        <v>0</v>
      </c>
      <c r="M5413">
        <v>276</v>
      </c>
      <c r="N5413">
        <v>15</v>
      </c>
      <c r="O5413">
        <v>2</v>
      </c>
      <c r="P5413">
        <v>0</v>
      </c>
      <c r="Q5413">
        <v>0</v>
      </c>
    </row>
    <row r="5414" spans="1:17" x14ac:dyDescent="0.2">
      <c r="A5414" s="121">
        <v>41029</v>
      </c>
      <c r="B5414" t="s">
        <v>406</v>
      </c>
      <c r="C5414" t="s">
        <v>577</v>
      </c>
      <c r="D5414" t="s">
        <v>586</v>
      </c>
      <c r="E5414" t="s">
        <v>587</v>
      </c>
      <c r="F5414" t="s">
        <v>410</v>
      </c>
      <c r="G5414">
        <v>1098</v>
      </c>
      <c r="H5414">
        <v>1098</v>
      </c>
      <c r="I5414">
        <v>1096</v>
      </c>
      <c r="J5414">
        <v>1096</v>
      </c>
      <c r="K5414">
        <v>0</v>
      </c>
      <c r="L5414">
        <v>0</v>
      </c>
      <c r="M5414">
        <v>994</v>
      </c>
      <c r="N5414">
        <v>102</v>
      </c>
      <c r="O5414">
        <v>2</v>
      </c>
      <c r="P5414">
        <v>0</v>
      </c>
      <c r="Q5414">
        <v>0</v>
      </c>
    </row>
    <row r="5415" spans="1:17" x14ac:dyDescent="0.2">
      <c r="A5415" s="121">
        <v>41029</v>
      </c>
      <c r="B5415" t="s">
        <v>406</v>
      </c>
      <c r="C5415" t="s">
        <v>577</v>
      </c>
      <c r="D5415" t="s">
        <v>588</v>
      </c>
      <c r="E5415" t="s">
        <v>589</v>
      </c>
      <c r="F5415" t="s">
        <v>410</v>
      </c>
      <c r="G5415">
        <v>246</v>
      </c>
      <c r="H5415">
        <v>246</v>
      </c>
      <c r="I5415">
        <v>245</v>
      </c>
      <c r="J5415">
        <v>245</v>
      </c>
      <c r="K5415">
        <v>0</v>
      </c>
      <c r="L5415">
        <v>0</v>
      </c>
      <c r="M5415">
        <v>226</v>
      </c>
      <c r="N5415">
        <v>18</v>
      </c>
      <c r="O5415">
        <v>2</v>
      </c>
      <c r="P5415">
        <v>0</v>
      </c>
      <c r="Q5415">
        <v>0</v>
      </c>
    </row>
    <row r="5416" spans="1:17" x14ac:dyDescent="0.2">
      <c r="A5416" s="121">
        <v>41029</v>
      </c>
      <c r="B5416" t="s">
        <v>406</v>
      </c>
      <c r="C5416" t="s">
        <v>577</v>
      </c>
      <c r="D5416" t="s">
        <v>613</v>
      </c>
      <c r="E5416" t="s">
        <v>614</v>
      </c>
      <c r="F5416" t="s">
        <v>410</v>
      </c>
      <c r="G5416">
        <v>191</v>
      </c>
      <c r="H5416">
        <v>191</v>
      </c>
      <c r="I5416">
        <v>191</v>
      </c>
      <c r="J5416">
        <v>191</v>
      </c>
      <c r="K5416">
        <v>0</v>
      </c>
      <c r="L5416">
        <v>0</v>
      </c>
      <c r="M5416">
        <v>170</v>
      </c>
      <c r="N5416">
        <v>16</v>
      </c>
      <c r="O5416">
        <v>5</v>
      </c>
      <c r="P5416">
        <v>0</v>
      </c>
      <c r="Q5416">
        <v>0</v>
      </c>
    </row>
    <row r="5417" spans="1:17" x14ac:dyDescent="0.2">
      <c r="A5417" s="121">
        <v>41029</v>
      </c>
      <c r="B5417" t="s">
        <v>406</v>
      </c>
      <c r="C5417" t="s">
        <v>577</v>
      </c>
      <c r="D5417" t="s">
        <v>590</v>
      </c>
      <c r="E5417" t="s">
        <v>591</v>
      </c>
      <c r="F5417" t="s">
        <v>410</v>
      </c>
      <c r="G5417">
        <v>567</v>
      </c>
      <c r="H5417">
        <v>567</v>
      </c>
      <c r="I5417">
        <v>567</v>
      </c>
      <c r="J5417">
        <v>567</v>
      </c>
      <c r="K5417">
        <v>0</v>
      </c>
      <c r="L5417">
        <v>2</v>
      </c>
      <c r="M5417">
        <v>543</v>
      </c>
      <c r="N5417">
        <v>22</v>
      </c>
      <c r="O5417">
        <v>0</v>
      </c>
      <c r="P5417">
        <v>0</v>
      </c>
      <c r="Q5417">
        <v>0</v>
      </c>
    </row>
    <row r="5418" spans="1:17" x14ac:dyDescent="0.2">
      <c r="A5418" s="121">
        <v>41029</v>
      </c>
      <c r="B5418" t="s">
        <v>406</v>
      </c>
      <c r="C5418" t="s">
        <v>577</v>
      </c>
      <c r="D5418" t="s">
        <v>607</v>
      </c>
      <c r="E5418" t="s">
        <v>608</v>
      </c>
      <c r="F5418" t="s">
        <v>410</v>
      </c>
      <c r="G5418">
        <v>185</v>
      </c>
      <c r="H5418">
        <v>185</v>
      </c>
      <c r="I5418">
        <v>185</v>
      </c>
      <c r="J5418">
        <v>185</v>
      </c>
      <c r="K5418">
        <v>1</v>
      </c>
      <c r="L5418">
        <v>0</v>
      </c>
      <c r="M5418">
        <v>169</v>
      </c>
      <c r="N5418">
        <v>15</v>
      </c>
      <c r="O5418">
        <v>0</v>
      </c>
      <c r="P5418">
        <v>0</v>
      </c>
      <c r="Q5418">
        <v>0</v>
      </c>
    </row>
    <row r="5419" spans="1:17" x14ac:dyDescent="0.2">
      <c r="A5419" s="121">
        <v>41029</v>
      </c>
      <c r="B5419" t="s">
        <v>406</v>
      </c>
      <c r="C5419" t="s">
        <v>577</v>
      </c>
      <c r="D5419" t="s">
        <v>592</v>
      </c>
      <c r="E5419" t="s">
        <v>593</v>
      </c>
      <c r="F5419" t="s">
        <v>410</v>
      </c>
      <c r="G5419">
        <v>557</v>
      </c>
      <c r="H5419">
        <v>557</v>
      </c>
      <c r="I5419">
        <v>557</v>
      </c>
      <c r="J5419">
        <v>557</v>
      </c>
      <c r="K5419">
        <v>0</v>
      </c>
      <c r="L5419">
        <v>1</v>
      </c>
      <c r="M5419">
        <v>509</v>
      </c>
      <c r="N5419">
        <v>41</v>
      </c>
      <c r="O5419">
        <v>6</v>
      </c>
      <c r="P5419">
        <v>0</v>
      </c>
      <c r="Q5419">
        <v>0</v>
      </c>
    </row>
    <row r="5420" spans="1:17" x14ac:dyDescent="0.2">
      <c r="A5420" s="121">
        <v>41029</v>
      </c>
      <c r="B5420" t="s">
        <v>406</v>
      </c>
      <c r="C5420" t="s">
        <v>594</v>
      </c>
      <c r="D5420" t="s">
        <v>595</v>
      </c>
      <c r="E5420" t="s">
        <v>596</v>
      </c>
      <c r="F5420" t="s">
        <v>410</v>
      </c>
      <c r="G5420">
        <v>45</v>
      </c>
      <c r="I5420">
        <v>45</v>
      </c>
    </row>
    <row r="5421" spans="1:17" x14ac:dyDescent="0.2">
      <c r="A5421" s="121">
        <v>41029</v>
      </c>
      <c r="B5421" t="s">
        <v>406</v>
      </c>
      <c r="C5421" t="s">
        <v>594</v>
      </c>
      <c r="D5421" t="s">
        <v>597</v>
      </c>
      <c r="E5421" t="s">
        <v>598</v>
      </c>
      <c r="F5421" t="s">
        <v>413</v>
      </c>
      <c r="G5421">
        <v>552</v>
      </c>
      <c r="H5421">
        <v>552</v>
      </c>
      <c r="I5421">
        <v>536</v>
      </c>
      <c r="J5421">
        <v>536</v>
      </c>
      <c r="K5421">
        <v>153</v>
      </c>
      <c r="L5421">
        <v>0</v>
      </c>
      <c r="M5421">
        <v>379</v>
      </c>
      <c r="N5421">
        <v>16</v>
      </c>
      <c r="O5421">
        <v>4</v>
      </c>
      <c r="P5421">
        <v>1</v>
      </c>
      <c r="Q5421">
        <v>0</v>
      </c>
    </row>
    <row r="5422" spans="1:17" x14ac:dyDescent="0.2">
      <c r="A5422" s="121">
        <v>41029</v>
      </c>
      <c r="B5422" t="s">
        <v>406</v>
      </c>
      <c r="C5422" t="s">
        <v>594</v>
      </c>
      <c r="D5422" t="s">
        <v>599</v>
      </c>
      <c r="E5422" t="s">
        <v>600</v>
      </c>
      <c r="F5422" t="s">
        <v>410</v>
      </c>
      <c r="G5422">
        <v>148</v>
      </c>
      <c r="I5422">
        <v>148</v>
      </c>
    </row>
    <row r="5423" spans="1:17" x14ac:dyDescent="0.2">
      <c r="A5423" s="121">
        <v>41060</v>
      </c>
      <c r="B5423" t="s">
        <v>406</v>
      </c>
      <c r="C5423" t="s">
        <v>407</v>
      </c>
      <c r="D5423" t="s">
        <v>408</v>
      </c>
      <c r="E5423" t="s">
        <v>409</v>
      </c>
      <c r="F5423" t="s">
        <v>410</v>
      </c>
      <c r="G5423">
        <v>259</v>
      </c>
      <c r="I5423">
        <v>259</v>
      </c>
    </row>
    <row r="5424" spans="1:17" x14ac:dyDescent="0.2">
      <c r="A5424" s="121">
        <v>41060</v>
      </c>
      <c r="B5424" t="s">
        <v>406</v>
      </c>
      <c r="C5424" t="s">
        <v>407</v>
      </c>
      <c r="D5424" t="s">
        <v>601</v>
      </c>
      <c r="E5424" t="s">
        <v>602</v>
      </c>
      <c r="F5424" t="s">
        <v>410</v>
      </c>
      <c r="G5424">
        <v>65</v>
      </c>
      <c r="I5424">
        <v>65</v>
      </c>
    </row>
    <row r="5425" spans="1:17" x14ac:dyDescent="0.2">
      <c r="A5425" s="121">
        <v>41060</v>
      </c>
      <c r="B5425" t="s">
        <v>406</v>
      </c>
      <c r="C5425" t="s">
        <v>407</v>
      </c>
      <c r="D5425" t="s">
        <v>411</v>
      </c>
      <c r="E5425" t="s">
        <v>412</v>
      </c>
      <c r="F5425" t="s">
        <v>413</v>
      </c>
      <c r="G5425">
        <v>6608</v>
      </c>
      <c r="H5425">
        <v>6608</v>
      </c>
      <c r="I5425">
        <v>5994</v>
      </c>
      <c r="J5425">
        <v>5994</v>
      </c>
      <c r="K5425">
        <v>2462</v>
      </c>
      <c r="L5425">
        <v>8</v>
      </c>
      <c r="M5425">
        <v>3687</v>
      </c>
      <c r="N5425">
        <v>148</v>
      </c>
      <c r="O5425">
        <v>303</v>
      </c>
      <c r="P5425">
        <v>13</v>
      </c>
      <c r="Q5425">
        <v>1</v>
      </c>
    </row>
    <row r="5426" spans="1:17" x14ac:dyDescent="0.2">
      <c r="A5426" s="121">
        <v>41060</v>
      </c>
      <c r="B5426" t="s">
        <v>406</v>
      </c>
      <c r="C5426" t="s">
        <v>407</v>
      </c>
      <c r="D5426" t="s">
        <v>416</v>
      </c>
      <c r="E5426" t="s">
        <v>417</v>
      </c>
      <c r="F5426" t="s">
        <v>413</v>
      </c>
      <c r="G5426">
        <v>4076</v>
      </c>
      <c r="H5426">
        <v>4076</v>
      </c>
      <c r="I5426">
        <v>3632</v>
      </c>
      <c r="J5426">
        <v>3632</v>
      </c>
      <c r="K5426">
        <v>1382</v>
      </c>
      <c r="L5426">
        <v>5</v>
      </c>
      <c r="M5426">
        <v>2432</v>
      </c>
      <c r="N5426">
        <v>133</v>
      </c>
      <c r="O5426">
        <v>124</v>
      </c>
      <c r="P5426">
        <v>16</v>
      </c>
      <c r="Q5426">
        <v>3</v>
      </c>
    </row>
    <row r="5427" spans="1:17" x14ac:dyDescent="0.2">
      <c r="A5427" s="121">
        <v>41060</v>
      </c>
      <c r="B5427" t="s">
        <v>406</v>
      </c>
      <c r="C5427" t="s">
        <v>407</v>
      </c>
      <c r="D5427" t="s">
        <v>618</v>
      </c>
      <c r="E5427" t="s">
        <v>619</v>
      </c>
      <c r="F5427" t="s">
        <v>410</v>
      </c>
      <c r="G5427">
        <v>130</v>
      </c>
      <c r="I5427">
        <v>130</v>
      </c>
    </row>
    <row r="5428" spans="1:17" x14ac:dyDescent="0.2">
      <c r="A5428" s="121">
        <v>41060</v>
      </c>
      <c r="B5428" t="s">
        <v>406</v>
      </c>
      <c r="C5428" t="s">
        <v>418</v>
      </c>
      <c r="D5428" t="s">
        <v>419</v>
      </c>
      <c r="E5428" t="s">
        <v>420</v>
      </c>
      <c r="F5428" t="s">
        <v>410</v>
      </c>
      <c r="G5428">
        <v>23</v>
      </c>
      <c r="I5428">
        <v>23</v>
      </c>
    </row>
    <row r="5429" spans="1:17" x14ac:dyDescent="0.2">
      <c r="A5429" s="121">
        <v>41060</v>
      </c>
      <c r="B5429" t="s">
        <v>406</v>
      </c>
      <c r="C5429" t="s">
        <v>418</v>
      </c>
      <c r="D5429" t="s">
        <v>421</v>
      </c>
      <c r="E5429" t="s">
        <v>422</v>
      </c>
      <c r="F5429" t="s">
        <v>410</v>
      </c>
      <c r="G5429">
        <v>151</v>
      </c>
      <c r="I5429">
        <v>151</v>
      </c>
    </row>
    <row r="5430" spans="1:17" x14ac:dyDescent="0.2">
      <c r="A5430" s="121">
        <v>41060</v>
      </c>
      <c r="B5430" t="s">
        <v>406</v>
      </c>
      <c r="C5430" t="s">
        <v>418</v>
      </c>
      <c r="D5430" t="s">
        <v>423</v>
      </c>
      <c r="E5430" t="s">
        <v>424</v>
      </c>
      <c r="F5430" t="s">
        <v>410</v>
      </c>
      <c r="G5430">
        <v>26</v>
      </c>
      <c r="I5430">
        <v>26</v>
      </c>
    </row>
    <row r="5431" spans="1:17" x14ac:dyDescent="0.2">
      <c r="A5431" s="121">
        <v>41060</v>
      </c>
      <c r="B5431" t="s">
        <v>406</v>
      </c>
      <c r="C5431" t="s">
        <v>418</v>
      </c>
      <c r="D5431" t="s">
        <v>425</v>
      </c>
      <c r="E5431" t="s">
        <v>426</v>
      </c>
      <c r="F5431" t="s">
        <v>410</v>
      </c>
      <c r="G5431">
        <v>54</v>
      </c>
      <c r="I5431">
        <v>54</v>
      </c>
    </row>
    <row r="5432" spans="1:17" x14ac:dyDescent="0.2">
      <c r="A5432" s="121">
        <v>41060</v>
      </c>
      <c r="B5432" t="s">
        <v>406</v>
      </c>
      <c r="C5432" t="s">
        <v>418</v>
      </c>
      <c r="D5432" t="s">
        <v>427</v>
      </c>
      <c r="E5432" t="s">
        <v>428</v>
      </c>
      <c r="F5432" t="s">
        <v>413</v>
      </c>
      <c r="G5432">
        <v>2057</v>
      </c>
      <c r="H5432">
        <v>2057</v>
      </c>
      <c r="I5432">
        <v>1996</v>
      </c>
      <c r="J5432">
        <v>1996</v>
      </c>
      <c r="K5432">
        <v>658</v>
      </c>
      <c r="L5432">
        <v>7</v>
      </c>
      <c r="M5432">
        <v>892</v>
      </c>
      <c r="N5432">
        <v>451</v>
      </c>
      <c r="O5432">
        <v>49</v>
      </c>
      <c r="P5432">
        <v>0</v>
      </c>
      <c r="Q5432">
        <v>0</v>
      </c>
    </row>
    <row r="5433" spans="1:17" x14ac:dyDescent="0.2">
      <c r="A5433" s="121">
        <v>41060</v>
      </c>
      <c r="B5433" t="s">
        <v>406</v>
      </c>
      <c r="C5433" t="s">
        <v>429</v>
      </c>
      <c r="D5433" t="s">
        <v>430</v>
      </c>
      <c r="E5433" t="s">
        <v>431</v>
      </c>
      <c r="F5433" t="s">
        <v>410</v>
      </c>
      <c r="G5433">
        <v>47</v>
      </c>
      <c r="I5433">
        <v>47</v>
      </c>
    </row>
    <row r="5434" spans="1:17" x14ac:dyDescent="0.2">
      <c r="A5434" s="121">
        <v>41060</v>
      </c>
      <c r="B5434" t="s">
        <v>406</v>
      </c>
      <c r="C5434" t="s">
        <v>429</v>
      </c>
      <c r="D5434" t="s">
        <v>432</v>
      </c>
      <c r="E5434" t="s">
        <v>433</v>
      </c>
      <c r="F5434" t="s">
        <v>410</v>
      </c>
      <c r="G5434">
        <v>69</v>
      </c>
      <c r="I5434">
        <v>69</v>
      </c>
    </row>
    <row r="5435" spans="1:17" x14ac:dyDescent="0.2">
      <c r="A5435" s="121">
        <v>41060</v>
      </c>
      <c r="B5435" t="s">
        <v>406</v>
      </c>
      <c r="C5435" t="s">
        <v>429</v>
      </c>
      <c r="D5435" t="s">
        <v>434</v>
      </c>
      <c r="E5435" t="s">
        <v>435</v>
      </c>
      <c r="F5435" t="s">
        <v>410</v>
      </c>
      <c r="G5435">
        <v>5</v>
      </c>
      <c r="I5435">
        <v>5</v>
      </c>
    </row>
    <row r="5436" spans="1:17" x14ac:dyDescent="0.2">
      <c r="A5436" s="121">
        <v>41060</v>
      </c>
      <c r="B5436" t="s">
        <v>406</v>
      </c>
      <c r="C5436" t="s">
        <v>429</v>
      </c>
      <c r="D5436" t="s">
        <v>436</v>
      </c>
      <c r="E5436" t="s">
        <v>437</v>
      </c>
      <c r="F5436" t="s">
        <v>410</v>
      </c>
      <c r="G5436">
        <v>19</v>
      </c>
      <c r="H5436">
        <v>19</v>
      </c>
      <c r="I5436">
        <v>19</v>
      </c>
      <c r="J5436">
        <v>19</v>
      </c>
      <c r="K5436">
        <v>0</v>
      </c>
      <c r="L5436">
        <v>0</v>
      </c>
      <c r="M5436">
        <v>14</v>
      </c>
      <c r="N5436">
        <v>5</v>
      </c>
      <c r="O5436">
        <v>0</v>
      </c>
      <c r="P5436">
        <v>0</v>
      </c>
      <c r="Q5436">
        <v>0</v>
      </c>
    </row>
    <row r="5437" spans="1:17" x14ac:dyDescent="0.2">
      <c r="A5437" s="121">
        <v>41060</v>
      </c>
      <c r="B5437" t="s">
        <v>406</v>
      </c>
      <c r="C5437" t="s">
        <v>429</v>
      </c>
      <c r="D5437" t="s">
        <v>438</v>
      </c>
      <c r="E5437" t="s">
        <v>439</v>
      </c>
      <c r="F5437" t="s">
        <v>413</v>
      </c>
      <c r="G5437">
        <v>1044</v>
      </c>
      <c r="H5437">
        <v>1044</v>
      </c>
      <c r="I5437">
        <v>1025</v>
      </c>
      <c r="J5437">
        <v>1025</v>
      </c>
      <c r="K5437">
        <v>103</v>
      </c>
      <c r="L5437">
        <v>1</v>
      </c>
      <c r="M5437">
        <v>932</v>
      </c>
      <c r="N5437">
        <v>8</v>
      </c>
      <c r="O5437">
        <v>0</v>
      </c>
      <c r="P5437">
        <v>0</v>
      </c>
      <c r="Q5437">
        <v>0</v>
      </c>
    </row>
    <row r="5438" spans="1:17" x14ac:dyDescent="0.2">
      <c r="A5438" s="121">
        <v>41060</v>
      </c>
      <c r="B5438" t="s">
        <v>406</v>
      </c>
      <c r="C5438" t="s">
        <v>429</v>
      </c>
      <c r="D5438" t="s">
        <v>440</v>
      </c>
      <c r="E5438" t="s">
        <v>441</v>
      </c>
      <c r="F5438" t="s">
        <v>413</v>
      </c>
      <c r="G5438">
        <v>3058</v>
      </c>
      <c r="H5438">
        <v>3058</v>
      </c>
      <c r="I5438">
        <v>2803</v>
      </c>
      <c r="J5438">
        <v>2803</v>
      </c>
      <c r="K5438">
        <v>917</v>
      </c>
      <c r="L5438">
        <v>8</v>
      </c>
      <c r="M5438">
        <v>2046</v>
      </c>
      <c r="N5438">
        <v>87</v>
      </c>
      <c r="O5438">
        <v>0</v>
      </c>
      <c r="P5438">
        <v>3</v>
      </c>
      <c r="Q5438">
        <v>0</v>
      </c>
    </row>
    <row r="5439" spans="1:17" x14ac:dyDescent="0.2">
      <c r="A5439" s="121">
        <v>41060</v>
      </c>
      <c r="B5439" t="s">
        <v>406</v>
      </c>
      <c r="C5439" t="s">
        <v>442</v>
      </c>
      <c r="D5439" t="s">
        <v>443</v>
      </c>
      <c r="E5439" t="s">
        <v>444</v>
      </c>
      <c r="F5439" t="s">
        <v>413</v>
      </c>
      <c r="G5439">
        <v>5506</v>
      </c>
      <c r="H5439">
        <v>5506</v>
      </c>
      <c r="I5439">
        <v>5221</v>
      </c>
      <c r="J5439">
        <v>5221</v>
      </c>
      <c r="K5439">
        <v>1199</v>
      </c>
      <c r="L5439">
        <v>13</v>
      </c>
      <c r="M5439">
        <v>3954</v>
      </c>
      <c r="N5439">
        <v>220</v>
      </c>
      <c r="O5439">
        <v>120</v>
      </c>
      <c r="P5439">
        <v>38</v>
      </c>
      <c r="Q5439">
        <v>1</v>
      </c>
    </row>
    <row r="5440" spans="1:17" x14ac:dyDescent="0.2">
      <c r="A5440" s="121">
        <v>41060</v>
      </c>
      <c r="B5440" t="s">
        <v>406</v>
      </c>
      <c r="C5440" t="s">
        <v>442</v>
      </c>
      <c r="D5440" t="s">
        <v>445</v>
      </c>
      <c r="E5440" t="s">
        <v>446</v>
      </c>
      <c r="F5440" t="s">
        <v>410</v>
      </c>
      <c r="G5440">
        <v>138</v>
      </c>
      <c r="I5440">
        <v>138</v>
      </c>
    </row>
    <row r="5441" spans="1:17" x14ac:dyDescent="0.2">
      <c r="A5441" s="121">
        <v>41060</v>
      </c>
      <c r="B5441" t="s">
        <v>406</v>
      </c>
      <c r="C5441" t="s">
        <v>442</v>
      </c>
      <c r="D5441" t="s">
        <v>447</v>
      </c>
      <c r="E5441" t="s">
        <v>448</v>
      </c>
      <c r="F5441" t="s">
        <v>410</v>
      </c>
      <c r="G5441">
        <v>433</v>
      </c>
      <c r="I5441">
        <v>433</v>
      </c>
    </row>
    <row r="5442" spans="1:17" x14ac:dyDescent="0.2">
      <c r="A5442" s="121">
        <v>41060</v>
      </c>
      <c r="B5442" t="s">
        <v>406</v>
      </c>
      <c r="C5442" t="s">
        <v>442</v>
      </c>
      <c r="D5442" t="s">
        <v>449</v>
      </c>
      <c r="E5442" t="s">
        <v>624</v>
      </c>
      <c r="F5442" t="s">
        <v>410</v>
      </c>
      <c r="G5442">
        <v>1749</v>
      </c>
      <c r="H5442">
        <v>1749</v>
      </c>
      <c r="I5442">
        <v>1744</v>
      </c>
      <c r="J5442">
        <v>1744</v>
      </c>
      <c r="K5442">
        <v>5</v>
      </c>
      <c r="L5442">
        <v>0</v>
      </c>
      <c r="M5442">
        <v>1472</v>
      </c>
      <c r="N5442">
        <v>64</v>
      </c>
      <c r="O5442">
        <v>208</v>
      </c>
      <c r="P5442">
        <v>0</v>
      </c>
      <c r="Q5442">
        <v>0</v>
      </c>
    </row>
    <row r="5443" spans="1:17" x14ac:dyDescent="0.2">
      <c r="A5443" s="121">
        <v>41060</v>
      </c>
      <c r="B5443" t="s">
        <v>406</v>
      </c>
      <c r="C5443" t="s">
        <v>451</v>
      </c>
      <c r="D5443" t="s">
        <v>454</v>
      </c>
      <c r="E5443" t="s">
        <v>621</v>
      </c>
      <c r="F5443" t="s">
        <v>410</v>
      </c>
      <c r="G5443">
        <v>1419</v>
      </c>
      <c r="H5443">
        <v>1419</v>
      </c>
      <c r="I5443">
        <v>1414</v>
      </c>
      <c r="J5443">
        <v>1414</v>
      </c>
      <c r="K5443">
        <v>3</v>
      </c>
      <c r="L5443">
        <v>0</v>
      </c>
      <c r="M5443">
        <v>1243</v>
      </c>
      <c r="N5443">
        <v>59</v>
      </c>
      <c r="O5443">
        <v>114</v>
      </c>
      <c r="P5443">
        <v>0</v>
      </c>
      <c r="Q5443">
        <v>0</v>
      </c>
    </row>
    <row r="5444" spans="1:17" x14ac:dyDescent="0.2">
      <c r="A5444" s="121">
        <v>41060</v>
      </c>
      <c r="B5444" t="s">
        <v>406</v>
      </c>
      <c r="C5444" t="s">
        <v>451</v>
      </c>
      <c r="D5444" t="s">
        <v>622</v>
      </c>
      <c r="E5444" t="s">
        <v>623</v>
      </c>
      <c r="F5444" t="s">
        <v>413</v>
      </c>
      <c r="G5444">
        <v>5373</v>
      </c>
      <c r="H5444">
        <v>5373</v>
      </c>
      <c r="I5444">
        <v>4864</v>
      </c>
      <c r="J5444">
        <v>4864</v>
      </c>
      <c r="K5444">
        <v>1235</v>
      </c>
      <c r="L5444">
        <v>8</v>
      </c>
      <c r="M5444">
        <v>3814</v>
      </c>
      <c r="N5444">
        <v>34</v>
      </c>
      <c r="O5444">
        <v>282</v>
      </c>
      <c r="P5444">
        <v>27</v>
      </c>
      <c r="Q5444">
        <v>0</v>
      </c>
    </row>
    <row r="5445" spans="1:17" x14ac:dyDescent="0.2">
      <c r="A5445" s="121">
        <v>41060</v>
      </c>
      <c r="B5445" t="s">
        <v>406</v>
      </c>
      <c r="C5445" t="s">
        <v>456</v>
      </c>
      <c r="D5445" t="s">
        <v>457</v>
      </c>
      <c r="E5445" t="s">
        <v>458</v>
      </c>
      <c r="F5445" t="s">
        <v>413</v>
      </c>
      <c r="G5445">
        <v>5648</v>
      </c>
      <c r="H5445">
        <v>5648</v>
      </c>
      <c r="I5445">
        <v>5330</v>
      </c>
      <c r="J5445">
        <v>5330</v>
      </c>
      <c r="K5445">
        <v>1464</v>
      </c>
      <c r="L5445">
        <v>24</v>
      </c>
      <c r="M5445">
        <v>3998</v>
      </c>
      <c r="N5445">
        <v>73</v>
      </c>
      <c r="O5445">
        <v>89</v>
      </c>
      <c r="P5445">
        <v>23</v>
      </c>
      <c r="Q5445">
        <v>4</v>
      </c>
    </row>
    <row r="5446" spans="1:17" x14ac:dyDescent="0.2">
      <c r="A5446" s="121">
        <v>41060</v>
      </c>
      <c r="B5446" t="s">
        <v>406</v>
      </c>
      <c r="C5446" t="s">
        <v>456</v>
      </c>
      <c r="D5446" t="s">
        <v>459</v>
      </c>
      <c r="E5446" t="s">
        <v>460</v>
      </c>
      <c r="F5446" t="s">
        <v>413</v>
      </c>
      <c r="G5446">
        <v>1698</v>
      </c>
      <c r="H5446">
        <v>1698</v>
      </c>
      <c r="I5446">
        <v>1678</v>
      </c>
      <c r="J5446">
        <v>1678</v>
      </c>
      <c r="K5446">
        <v>407</v>
      </c>
      <c r="L5446">
        <v>0</v>
      </c>
      <c r="M5446">
        <v>1289</v>
      </c>
      <c r="N5446">
        <v>2</v>
      </c>
      <c r="O5446">
        <v>0</v>
      </c>
      <c r="P5446">
        <v>0</v>
      </c>
      <c r="Q5446">
        <v>0</v>
      </c>
    </row>
    <row r="5447" spans="1:17" x14ac:dyDescent="0.2">
      <c r="A5447" s="121">
        <v>41060</v>
      </c>
      <c r="B5447" t="s">
        <v>406</v>
      </c>
      <c r="C5447" t="s">
        <v>456</v>
      </c>
      <c r="D5447" t="s">
        <v>461</v>
      </c>
      <c r="E5447" t="s">
        <v>462</v>
      </c>
      <c r="F5447" t="s">
        <v>410</v>
      </c>
      <c r="G5447">
        <v>100</v>
      </c>
      <c r="I5447">
        <v>100</v>
      </c>
    </row>
    <row r="5448" spans="1:17" x14ac:dyDescent="0.2">
      <c r="A5448" s="121">
        <v>41060</v>
      </c>
      <c r="B5448" t="s">
        <v>406</v>
      </c>
      <c r="C5448" t="s">
        <v>456</v>
      </c>
      <c r="D5448" t="s">
        <v>463</v>
      </c>
      <c r="E5448" t="s">
        <v>464</v>
      </c>
      <c r="F5448" t="s">
        <v>410</v>
      </c>
      <c r="G5448">
        <v>32</v>
      </c>
      <c r="I5448">
        <v>32</v>
      </c>
    </row>
    <row r="5449" spans="1:17" x14ac:dyDescent="0.2">
      <c r="A5449" s="121">
        <v>41060</v>
      </c>
      <c r="B5449" t="s">
        <v>406</v>
      </c>
      <c r="C5449" t="s">
        <v>456</v>
      </c>
      <c r="D5449" t="s">
        <v>465</v>
      </c>
      <c r="E5449" t="s">
        <v>466</v>
      </c>
      <c r="F5449" t="s">
        <v>410</v>
      </c>
      <c r="G5449">
        <v>63</v>
      </c>
      <c r="I5449">
        <v>63</v>
      </c>
    </row>
    <row r="5450" spans="1:17" x14ac:dyDescent="0.2">
      <c r="A5450" s="121">
        <v>41060</v>
      </c>
      <c r="B5450" t="s">
        <v>406</v>
      </c>
      <c r="C5450" t="s">
        <v>456</v>
      </c>
      <c r="D5450" t="s">
        <v>467</v>
      </c>
      <c r="E5450" t="s">
        <v>468</v>
      </c>
      <c r="F5450" t="s">
        <v>410</v>
      </c>
      <c r="G5450">
        <v>1184</v>
      </c>
      <c r="I5450">
        <v>1182</v>
      </c>
    </row>
    <row r="5451" spans="1:17" x14ac:dyDescent="0.2">
      <c r="A5451" s="121">
        <v>41060</v>
      </c>
      <c r="B5451" t="s">
        <v>406</v>
      </c>
      <c r="C5451" t="s">
        <v>456</v>
      </c>
      <c r="D5451" t="s">
        <v>469</v>
      </c>
      <c r="E5451" t="s">
        <v>470</v>
      </c>
      <c r="F5451" t="s">
        <v>410</v>
      </c>
      <c r="G5451">
        <v>933</v>
      </c>
      <c r="I5451">
        <v>933</v>
      </c>
    </row>
    <row r="5452" spans="1:17" x14ac:dyDescent="0.2">
      <c r="A5452" s="121">
        <v>41060</v>
      </c>
      <c r="B5452" t="s">
        <v>406</v>
      </c>
      <c r="C5452" t="s">
        <v>456</v>
      </c>
      <c r="D5452" t="s">
        <v>471</v>
      </c>
      <c r="E5452" t="s">
        <v>472</v>
      </c>
      <c r="F5452" t="s">
        <v>410</v>
      </c>
      <c r="G5452">
        <v>320</v>
      </c>
      <c r="I5452">
        <v>319</v>
      </c>
    </row>
    <row r="5453" spans="1:17" x14ac:dyDescent="0.2">
      <c r="A5453" s="121">
        <v>41060</v>
      </c>
      <c r="B5453" t="s">
        <v>406</v>
      </c>
      <c r="C5453" t="s">
        <v>456</v>
      </c>
      <c r="D5453" t="s">
        <v>473</v>
      </c>
      <c r="E5453" t="s">
        <v>474</v>
      </c>
      <c r="F5453" t="s">
        <v>410</v>
      </c>
      <c r="G5453">
        <v>217</v>
      </c>
      <c r="I5453">
        <v>217</v>
      </c>
    </row>
    <row r="5454" spans="1:17" x14ac:dyDescent="0.2">
      <c r="A5454" s="121">
        <v>41060</v>
      </c>
      <c r="B5454" t="s">
        <v>406</v>
      </c>
      <c r="C5454" t="s">
        <v>456</v>
      </c>
      <c r="D5454" t="s">
        <v>475</v>
      </c>
      <c r="E5454" t="s">
        <v>476</v>
      </c>
      <c r="F5454" t="s">
        <v>410</v>
      </c>
      <c r="G5454">
        <v>355</v>
      </c>
      <c r="I5454">
        <v>353</v>
      </c>
    </row>
    <row r="5455" spans="1:17" x14ac:dyDescent="0.2">
      <c r="A5455" s="121">
        <v>41060</v>
      </c>
      <c r="B5455" t="s">
        <v>406</v>
      </c>
      <c r="C5455" t="s">
        <v>456</v>
      </c>
      <c r="D5455" t="s">
        <v>477</v>
      </c>
      <c r="E5455" t="s">
        <v>478</v>
      </c>
      <c r="F5455" t="s">
        <v>413</v>
      </c>
      <c r="G5455">
        <v>2220</v>
      </c>
      <c r="H5455">
        <v>2220</v>
      </c>
      <c r="I5455">
        <v>2137</v>
      </c>
      <c r="J5455">
        <v>2137</v>
      </c>
      <c r="K5455">
        <v>488</v>
      </c>
      <c r="L5455">
        <v>8</v>
      </c>
      <c r="M5455">
        <v>1691</v>
      </c>
      <c r="N5455">
        <v>20</v>
      </c>
      <c r="O5455">
        <v>13</v>
      </c>
      <c r="P5455">
        <v>3</v>
      </c>
      <c r="Q5455">
        <v>1</v>
      </c>
    </row>
    <row r="5456" spans="1:17" x14ac:dyDescent="0.2">
      <c r="A5456" s="121">
        <v>41060</v>
      </c>
      <c r="B5456" t="s">
        <v>406</v>
      </c>
      <c r="C5456" t="s">
        <v>456</v>
      </c>
      <c r="D5456" t="s">
        <v>479</v>
      </c>
      <c r="E5456" t="s">
        <v>480</v>
      </c>
      <c r="F5456" t="s">
        <v>410</v>
      </c>
      <c r="G5456">
        <v>72</v>
      </c>
      <c r="I5456">
        <v>72</v>
      </c>
    </row>
    <row r="5457" spans="1:17" x14ac:dyDescent="0.2">
      <c r="A5457" s="121">
        <v>41060</v>
      </c>
      <c r="B5457" t="s">
        <v>406</v>
      </c>
      <c r="C5457" t="s">
        <v>456</v>
      </c>
      <c r="D5457" t="s">
        <v>481</v>
      </c>
      <c r="E5457" t="s">
        <v>482</v>
      </c>
      <c r="F5457" t="s">
        <v>410</v>
      </c>
      <c r="G5457">
        <v>54</v>
      </c>
      <c r="I5457">
        <v>54</v>
      </c>
    </row>
    <row r="5458" spans="1:17" x14ac:dyDescent="0.2">
      <c r="A5458" s="121">
        <v>41060</v>
      </c>
      <c r="B5458" t="s">
        <v>406</v>
      </c>
      <c r="C5458" t="s">
        <v>456</v>
      </c>
      <c r="D5458" t="s">
        <v>483</v>
      </c>
      <c r="E5458" t="s">
        <v>484</v>
      </c>
      <c r="F5458" t="s">
        <v>410</v>
      </c>
      <c r="G5458">
        <v>115</v>
      </c>
      <c r="I5458">
        <v>115</v>
      </c>
    </row>
    <row r="5459" spans="1:17" x14ac:dyDescent="0.2">
      <c r="A5459" s="121">
        <v>41060</v>
      </c>
      <c r="B5459" t="s">
        <v>406</v>
      </c>
      <c r="C5459" t="s">
        <v>456</v>
      </c>
      <c r="D5459" t="s">
        <v>485</v>
      </c>
      <c r="E5459" t="s">
        <v>486</v>
      </c>
      <c r="F5459" t="s">
        <v>410</v>
      </c>
      <c r="G5459">
        <v>39</v>
      </c>
      <c r="I5459">
        <v>39</v>
      </c>
    </row>
    <row r="5460" spans="1:17" x14ac:dyDescent="0.2">
      <c r="A5460" s="121">
        <v>41060</v>
      </c>
      <c r="B5460" t="s">
        <v>406</v>
      </c>
      <c r="C5460" t="s">
        <v>456</v>
      </c>
      <c r="D5460" t="s">
        <v>487</v>
      </c>
      <c r="E5460" t="s">
        <v>488</v>
      </c>
      <c r="F5460" t="s">
        <v>410</v>
      </c>
      <c r="G5460">
        <v>37</v>
      </c>
      <c r="I5460">
        <v>37</v>
      </c>
    </row>
    <row r="5461" spans="1:17" x14ac:dyDescent="0.2">
      <c r="A5461" s="121">
        <v>41060</v>
      </c>
      <c r="B5461" t="s">
        <v>406</v>
      </c>
      <c r="C5461" t="s">
        <v>456</v>
      </c>
      <c r="D5461" t="s">
        <v>489</v>
      </c>
      <c r="E5461" t="s">
        <v>490</v>
      </c>
      <c r="F5461" t="s">
        <v>410</v>
      </c>
      <c r="G5461">
        <v>97</v>
      </c>
      <c r="H5461">
        <v>97</v>
      </c>
      <c r="I5461">
        <v>97</v>
      </c>
      <c r="J5461">
        <v>97</v>
      </c>
      <c r="K5461">
        <v>0</v>
      </c>
      <c r="L5461">
        <v>2</v>
      </c>
      <c r="M5461">
        <v>76</v>
      </c>
      <c r="N5461">
        <v>19</v>
      </c>
      <c r="O5461">
        <v>0</v>
      </c>
      <c r="P5461">
        <v>0</v>
      </c>
      <c r="Q5461">
        <v>0</v>
      </c>
    </row>
    <row r="5462" spans="1:17" x14ac:dyDescent="0.2">
      <c r="A5462" s="121">
        <v>41060</v>
      </c>
      <c r="B5462" t="s">
        <v>406</v>
      </c>
      <c r="C5462" t="s">
        <v>491</v>
      </c>
      <c r="D5462" t="s">
        <v>492</v>
      </c>
      <c r="E5462" t="s">
        <v>493</v>
      </c>
      <c r="F5462" t="s">
        <v>410</v>
      </c>
      <c r="G5462">
        <v>1388</v>
      </c>
      <c r="H5462">
        <v>1388</v>
      </c>
      <c r="I5462">
        <v>1347</v>
      </c>
      <c r="J5462">
        <v>1347</v>
      </c>
      <c r="K5462">
        <v>241</v>
      </c>
      <c r="L5462">
        <v>7</v>
      </c>
      <c r="M5462">
        <v>1062</v>
      </c>
      <c r="N5462">
        <v>70</v>
      </c>
      <c r="O5462">
        <v>8</v>
      </c>
      <c r="P5462">
        <v>0</v>
      </c>
      <c r="Q5462">
        <v>0</v>
      </c>
    </row>
    <row r="5463" spans="1:17" x14ac:dyDescent="0.2">
      <c r="A5463" s="121">
        <v>41060</v>
      </c>
      <c r="B5463" t="s">
        <v>406</v>
      </c>
      <c r="C5463" t="s">
        <v>491</v>
      </c>
      <c r="D5463" t="s">
        <v>494</v>
      </c>
      <c r="E5463" t="s">
        <v>495</v>
      </c>
      <c r="F5463" t="s">
        <v>413</v>
      </c>
      <c r="G5463">
        <v>2994</v>
      </c>
      <c r="H5463">
        <v>2994</v>
      </c>
      <c r="I5463">
        <v>2855</v>
      </c>
      <c r="J5463">
        <v>2855</v>
      </c>
      <c r="K5463">
        <v>725</v>
      </c>
      <c r="L5463">
        <v>9</v>
      </c>
      <c r="M5463">
        <v>1952</v>
      </c>
      <c r="N5463">
        <v>50</v>
      </c>
      <c r="O5463">
        <v>258</v>
      </c>
      <c r="P5463">
        <v>0</v>
      </c>
      <c r="Q5463">
        <v>0</v>
      </c>
    </row>
    <row r="5464" spans="1:17" x14ac:dyDescent="0.2">
      <c r="A5464" s="121">
        <v>41060</v>
      </c>
      <c r="B5464" t="s">
        <v>406</v>
      </c>
      <c r="C5464" t="s">
        <v>491</v>
      </c>
      <c r="D5464" t="s">
        <v>496</v>
      </c>
      <c r="E5464" t="s">
        <v>497</v>
      </c>
      <c r="F5464" t="s">
        <v>413</v>
      </c>
      <c r="G5464">
        <v>6623</v>
      </c>
      <c r="H5464">
        <v>6623</v>
      </c>
      <c r="I5464">
        <v>6142</v>
      </c>
      <c r="J5464">
        <v>6142</v>
      </c>
      <c r="K5464">
        <v>1079</v>
      </c>
      <c r="L5464">
        <v>1</v>
      </c>
      <c r="M5464">
        <v>641</v>
      </c>
      <c r="N5464">
        <v>56</v>
      </c>
      <c r="O5464">
        <v>4846</v>
      </c>
      <c r="P5464">
        <v>27</v>
      </c>
      <c r="Q5464">
        <v>0</v>
      </c>
    </row>
    <row r="5465" spans="1:17" x14ac:dyDescent="0.2">
      <c r="A5465" s="121">
        <v>41060</v>
      </c>
      <c r="B5465" t="s">
        <v>406</v>
      </c>
      <c r="C5465" t="s">
        <v>491</v>
      </c>
      <c r="D5465" t="s">
        <v>498</v>
      </c>
      <c r="E5465" t="s">
        <v>499</v>
      </c>
      <c r="F5465" t="s">
        <v>413</v>
      </c>
      <c r="G5465">
        <v>7789</v>
      </c>
      <c r="H5465">
        <v>7789</v>
      </c>
      <c r="I5465">
        <v>7497</v>
      </c>
      <c r="J5465">
        <v>7497</v>
      </c>
      <c r="K5465">
        <v>1773</v>
      </c>
      <c r="L5465">
        <v>11</v>
      </c>
      <c r="M5465">
        <v>5432</v>
      </c>
      <c r="N5465">
        <v>145</v>
      </c>
      <c r="O5465">
        <v>428</v>
      </c>
      <c r="P5465">
        <v>3</v>
      </c>
      <c r="Q5465">
        <v>0</v>
      </c>
    </row>
    <row r="5466" spans="1:17" x14ac:dyDescent="0.2">
      <c r="A5466" s="121">
        <v>41060</v>
      </c>
      <c r="B5466" t="s">
        <v>406</v>
      </c>
      <c r="C5466" t="s">
        <v>491</v>
      </c>
      <c r="D5466" t="s">
        <v>500</v>
      </c>
      <c r="E5466" t="s">
        <v>620</v>
      </c>
      <c r="F5466" t="s">
        <v>410</v>
      </c>
      <c r="G5466">
        <v>1636</v>
      </c>
      <c r="H5466">
        <v>1636</v>
      </c>
      <c r="I5466">
        <v>1636</v>
      </c>
      <c r="J5466">
        <v>1636</v>
      </c>
      <c r="K5466">
        <v>9</v>
      </c>
      <c r="L5466">
        <v>0</v>
      </c>
      <c r="M5466">
        <v>1466</v>
      </c>
      <c r="N5466">
        <v>9</v>
      </c>
      <c r="O5466">
        <v>152</v>
      </c>
      <c r="P5466">
        <v>0</v>
      </c>
      <c r="Q5466">
        <v>0</v>
      </c>
    </row>
    <row r="5467" spans="1:17" x14ac:dyDescent="0.2">
      <c r="A5467" s="121">
        <v>41060</v>
      </c>
      <c r="B5467" t="s">
        <v>406</v>
      </c>
      <c r="C5467" t="s">
        <v>491</v>
      </c>
      <c r="D5467" t="s">
        <v>502</v>
      </c>
      <c r="E5467" t="s">
        <v>615</v>
      </c>
      <c r="F5467" t="s">
        <v>410</v>
      </c>
      <c r="G5467">
        <v>1807</v>
      </c>
      <c r="H5467">
        <v>1807</v>
      </c>
      <c r="I5467">
        <v>1807</v>
      </c>
      <c r="J5467">
        <v>1807</v>
      </c>
      <c r="K5467">
        <v>0</v>
      </c>
      <c r="L5467">
        <v>2</v>
      </c>
      <c r="M5467">
        <v>1791</v>
      </c>
      <c r="N5467">
        <v>2</v>
      </c>
      <c r="O5467">
        <v>12</v>
      </c>
      <c r="P5467">
        <v>0</v>
      </c>
      <c r="Q5467">
        <v>0</v>
      </c>
    </row>
    <row r="5468" spans="1:17" x14ac:dyDescent="0.2">
      <c r="A5468" s="121">
        <v>41060</v>
      </c>
      <c r="B5468" t="s">
        <v>406</v>
      </c>
      <c r="C5468" t="s">
        <v>491</v>
      </c>
      <c r="D5468" t="s">
        <v>502</v>
      </c>
      <c r="E5468" t="s">
        <v>503</v>
      </c>
      <c r="F5468" t="s">
        <v>413</v>
      </c>
      <c r="G5468">
        <v>5578</v>
      </c>
      <c r="H5468">
        <v>5578</v>
      </c>
      <c r="I5468">
        <v>5094</v>
      </c>
      <c r="J5468">
        <v>5094</v>
      </c>
      <c r="K5468">
        <v>1573</v>
      </c>
      <c r="L5468">
        <v>8</v>
      </c>
      <c r="M5468">
        <v>3757</v>
      </c>
      <c r="N5468">
        <v>143</v>
      </c>
      <c r="O5468">
        <v>97</v>
      </c>
      <c r="P5468">
        <v>35</v>
      </c>
      <c r="Q5468">
        <v>0</v>
      </c>
    </row>
    <row r="5469" spans="1:17" x14ac:dyDescent="0.2">
      <c r="A5469" s="121">
        <v>41060</v>
      </c>
      <c r="B5469" t="s">
        <v>406</v>
      </c>
      <c r="C5469" t="s">
        <v>491</v>
      </c>
      <c r="D5469" t="s">
        <v>504</v>
      </c>
      <c r="E5469" t="s">
        <v>505</v>
      </c>
      <c r="F5469" t="s">
        <v>413</v>
      </c>
      <c r="G5469">
        <v>4497</v>
      </c>
      <c r="H5469">
        <v>4497</v>
      </c>
      <c r="I5469">
        <v>4229</v>
      </c>
      <c r="J5469">
        <v>4229</v>
      </c>
      <c r="K5469">
        <v>1123</v>
      </c>
      <c r="L5469">
        <v>5</v>
      </c>
      <c r="M5469">
        <v>3235</v>
      </c>
      <c r="N5469">
        <v>96</v>
      </c>
      <c r="O5469">
        <v>38</v>
      </c>
      <c r="P5469">
        <v>2</v>
      </c>
      <c r="Q5469">
        <v>0</v>
      </c>
    </row>
    <row r="5470" spans="1:17" x14ac:dyDescent="0.2">
      <c r="A5470" s="121">
        <v>41060</v>
      </c>
      <c r="B5470" t="s">
        <v>406</v>
      </c>
      <c r="C5470" t="s">
        <v>491</v>
      </c>
      <c r="D5470" t="s">
        <v>506</v>
      </c>
      <c r="E5470" t="s">
        <v>507</v>
      </c>
      <c r="F5470" t="s">
        <v>413</v>
      </c>
      <c r="G5470">
        <v>4672</v>
      </c>
      <c r="H5470">
        <v>4672</v>
      </c>
      <c r="I5470">
        <v>4424</v>
      </c>
      <c r="J5470">
        <v>4424</v>
      </c>
      <c r="K5470">
        <v>659</v>
      </c>
      <c r="L5470">
        <v>0</v>
      </c>
      <c r="M5470">
        <v>4004</v>
      </c>
      <c r="N5470">
        <v>2</v>
      </c>
      <c r="O5470">
        <v>7</v>
      </c>
      <c r="P5470">
        <v>4</v>
      </c>
      <c r="Q5470">
        <v>1</v>
      </c>
    </row>
    <row r="5471" spans="1:17" x14ac:dyDescent="0.2">
      <c r="A5471" s="121">
        <v>41060</v>
      </c>
      <c r="B5471" t="s">
        <v>406</v>
      </c>
      <c r="C5471" t="s">
        <v>491</v>
      </c>
      <c r="D5471" t="s">
        <v>508</v>
      </c>
      <c r="E5471" t="s">
        <v>509</v>
      </c>
      <c r="F5471" t="s">
        <v>413</v>
      </c>
      <c r="G5471">
        <v>5409</v>
      </c>
      <c r="H5471">
        <v>5409</v>
      </c>
      <c r="I5471">
        <v>4922</v>
      </c>
      <c r="J5471">
        <v>4922</v>
      </c>
      <c r="K5471">
        <v>1545</v>
      </c>
      <c r="L5471">
        <v>16</v>
      </c>
      <c r="M5471">
        <v>3372</v>
      </c>
      <c r="N5471">
        <v>98</v>
      </c>
      <c r="O5471">
        <v>378</v>
      </c>
      <c r="P5471">
        <v>27</v>
      </c>
      <c r="Q5471">
        <v>1</v>
      </c>
    </row>
    <row r="5472" spans="1:17" x14ac:dyDescent="0.2">
      <c r="A5472" s="121">
        <v>41060</v>
      </c>
      <c r="B5472" t="s">
        <v>406</v>
      </c>
      <c r="C5472" t="s">
        <v>510</v>
      </c>
      <c r="D5472" t="s">
        <v>513</v>
      </c>
      <c r="E5472" t="s">
        <v>514</v>
      </c>
      <c r="F5472" t="s">
        <v>410</v>
      </c>
      <c r="G5472">
        <v>684</v>
      </c>
      <c r="I5472">
        <v>679</v>
      </c>
    </row>
    <row r="5473" spans="1:17" x14ac:dyDescent="0.2">
      <c r="A5473" s="121">
        <v>41060</v>
      </c>
      <c r="B5473" t="s">
        <v>406</v>
      </c>
      <c r="C5473" t="s">
        <v>510</v>
      </c>
      <c r="D5473" t="s">
        <v>515</v>
      </c>
      <c r="E5473" t="s">
        <v>516</v>
      </c>
      <c r="F5473" t="s">
        <v>410</v>
      </c>
      <c r="G5473">
        <v>133</v>
      </c>
      <c r="I5473">
        <v>133</v>
      </c>
    </row>
    <row r="5474" spans="1:17" x14ac:dyDescent="0.2">
      <c r="A5474" s="121">
        <v>41060</v>
      </c>
      <c r="B5474" t="s">
        <v>406</v>
      </c>
      <c r="C5474" t="s">
        <v>510</v>
      </c>
      <c r="D5474" t="s">
        <v>519</v>
      </c>
      <c r="E5474" t="s">
        <v>520</v>
      </c>
      <c r="F5474" t="s">
        <v>410</v>
      </c>
      <c r="G5474">
        <v>415</v>
      </c>
      <c r="I5474">
        <v>402</v>
      </c>
    </row>
    <row r="5475" spans="1:17" x14ac:dyDescent="0.2">
      <c r="A5475" s="121">
        <v>41060</v>
      </c>
      <c r="B5475" t="s">
        <v>406</v>
      </c>
      <c r="C5475" t="s">
        <v>510</v>
      </c>
      <c r="D5475" t="s">
        <v>521</v>
      </c>
      <c r="E5475" t="s">
        <v>522</v>
      </c>
      <c r="F5475" t="s">
        <v>410</v>
      </c>
      <c r="G5475">
        <v>52</v>
      </c>
      <c r="I5475">
        <v>51</v>
      </c>
    </row>
    <row r="5476" spans="1:17" x14ac:dyDescent="0.2">
      <c r="A5476" s="121">
        <v>41060</v>
      </c>
      <c r="B5476" t="s">
        <v>406</v>
      </c>
      <c r="C5476" t="s">
        <v>510</v>
      </c>
      <c r="D5476" t="s">
        <v>523</v>
      </c>
      <c r="E5476" t="s">
        <v>524</v>
      </c>
      <c r="F5476" t="s">
        <v>413</v>
      </c>
      <c r="G5476">
        <v>665</v>
      </c>
      <c r="H5476">
        <v>665</v>
      </c>
      <c r="I5476">
        <v>653</v>
      </c>
      <c r="J5476">
        <v>653</v>
      </c>
      <c r="K5476">
        <v>107</v>
      </c>
      <c r="L5476">
        <v>2</v>
      </c>
      <c r="M5476">
        <v>547</v>
      </c>
      <c r="N5476">
        <v>9</v>
      </c>
      <c r="O5476">
        <v>0</v>
      </c>
      <c r="P5476">
        <v>0</v>
      </c>
      <c r="Q5476">
        <v>0</v>
      </c>
    </row>
    <row r="5477" spans="1:17" x14ac:dyDescent="0.2">
      <c r="A5477" s="121">
        <v>41060</v>
      </c>
      <c r="B5477" t="s">
        <v>406</v>
      </c>
      <c r="C5477" t="s">
        <v>510</v>
      </c>
      <c r="D5477" t="s">
        <v>525</v>
      </c>
      <c r="E5477" t="s">
        <v>526</v>
      </c>
      <c r="F5477" t="s">
        <v>410</v>
      </c>
      <c r="G5477">
        <v>486</v>
      </c>
      <c r="I5477">
        <v>474</v>
      </c>
    </row>
    <row r="5478" spans="1:17" x14ac:dyDescent="0.2">
      <c r="A5478" s="121">
        <v>41060</v>
      </c>
      <c r="B5478" t="s">
        <v>406</v>
      </c>
      <c r="C5478" t="s">
        <v>510</v>
      </c>
      <c r="D5478" t="s">
        <v>527</v>
      </c>
      <c r="E5478" t="s">
        <v>528</v>
      </c>
      <c r="F5478" t="s">
        <v>410</v>
      </c>
      <c r="G5478">
        <v>241</v>
      </c>
      <c r="I5478">
        <v>238</v>
      </c>
    </row>
    <row r="5479" spans="1:17" x14ac:dyDescent="0.2">
      <c r="A5479" s="121">
        <v>41060</v>
      </c>
      <c r="B5479" t="s">
        <v>406</v>
      </c>
      <c r="C5479" t="s">
        <v>510</v>
      </c>
      <c r="D5479" t="s">
        <v>529</v>
      </c>
      <c r="E5479" t="s">
        <v>530</v>
      </c>
      <c r="F5479" t="s">
        <v>413</v>
      </c>
      <c r="G5479">
        <v>508</v>
      </c>
      <c r="H5479">
        <v>508</v>
      </c>
      <c r="I5479">
        <v>500</v>
      </c>
      <c r="J5479">
        <v>500</v>
      </c>
      <c r="K5479">
        <v>139</v>
      </c>
      <c r="L5479">
        <v>1</v>
      </c>
      <c r="M5479">
        <v>368</v>
      </c>
      <c r="N5479">
        <v>0</v>
      </c>
      <c r="O5479">
        <v>0</v>
      </c>
      <c r="P5479">
        <v>0</v>
      </c>
      <c r="Q5479">
        <v>0</v>
      </c>
    </row>
    <row r="5480" spans="1:17" x14ac:dyDescent="0.2">
      <c r="A5480" s="121">
        <v>41060</v>
      </c>
      <c r="B5480" t="s">
        <v>406</v>
      </c>
      <c r="C5480" t="s">
        <v>510</v>
      </c>
      <c r="D5480" t="s">
        <v>531</v>
      </c>
      <c r="E5480" t="s">
        <v>532</v>
      </c>
      <c r="F5480" t="s">
        <v>410</v>
      </c>
      <c r="G5480">
        <v>27</v>
      </c>
      <c r="I5480">
        <v>26</v>
      </c>
    </row>
    <row r="5481" spans="1:17" x14ac:dyDescent="0.2">
      <c r="A5481" s="121">
        <v>41060</v>
      </c>
      <c r="B5481" t="s">
        <v>406</v>
      </c>
      <c r="C5481" t="s">
        <v>510</v>
      </c>
      <c r="D5481" t="s">
        <v>533</v>
      </c>
      <c r="E5481" t="s">
        <v>534</v>
      </c>
      <c r="F5481" t="s">
        <v>413</v>
      </c>
      <c r="G5481">
        <v>2700</v>
      </c>
      <c r="H5481">
        <v>2700</v>
      </c>
      <c r="I5481">
        <v>2567</v>
      </c>
      <c r="J5481">
        <v>2567</v>
      </c>
      <c r="K5481">
        <v>598</v>
      </c>
      <c r="L5481">
        <v>3</v>
      </c>
      <c r="M5481">
        <v>2097</v>
      </c>
      <c r="N5481">
        <v>2</v>
      </c>
      <c r="O5481">
        <v>0</v>
      </c>
      <c r="P5481">
        <v>4</v>
      </c>
      <c r="Q5481">
        <v>0</v>
      </c>
    </row>
    <row r="5482" spans="1:17" x14ac:dyDescent="0.2">
      <c r="A5482" s="121">
        <v>41060</v>
      </c>
      <c r="B5482" t="s">
        <v>406</v>
      </c>
      <c r="C5482" t="s">
        <v>510</v>
      </c>
      <c r="D5482" t="s">
        <v>535</v>
      </c>
      <c r="E5482" t="s">
        <v>536</v>
      </c>
      <c r="F5482" t="s">
        <v>410</v>
      </c>
      <c r="G5482">
        <v>380</v>
      </c>
      <c r="I5482">
        <v>380</v>
      </c>
    </row>
    <row r="5483" spans="1:17" x14ac:dyDescent="0.2">
      <c r="A5483" s="121">
        <v>41060</v>
      </c>
      <c r="B5483" t="s">
        <v>406</v>
      </c>
      <c r="C5483" t="s">
        <v>510</v>
      </c>
      <c r="D5483" t="s">
        <v>537</v>
      </c>
      <c r="E5483" t="s">
        <v>538</v>
      </c>
      <c r="F5483" t="s">
        <v>410</v>
      </c>
      <c r="G5483">
        <v>107</v>
      </c>
      <c r="I5483">
        <v>107</v>
      </c>
    </row>
    <row r="5484" spans="1:17" x14ac:dyDescent="0.2">
      <c r="A5484" s="121">
        <v>41060</v>
      </c>
      <c r="B5484" t="s">
        <v>406</v>
      </c>
      <c r="C5484" t="s">
        <v>510</v>
      </c>
      <c r="D5484" t="s">
        <v>539</v>
      </c>
      <c r="E5484" t="s">
        <v>540</v>
      </c>
      <c r="F5484" t="s">
        <v>413</v>
      </c>
      <c r="G5484">
        <v>924</v>
      </c>
      <c r="H5484">
        <v>924</v>
      </c>
      <c r="I5484">
        <v>907</v>
      </c>
      <c r="J5484">
        <v>907</v>
      </c>
      <c r="K5484">
        <v>155</v>
      </c>
      <c r="L5484">
        <v>2</v>
      </c>
      <c r="M5484">
        <v>765</v>
      </c>
      <c r="N5484">
        <v>2</v>
      </c>
      <c r="O5484">
        <v>0</v>
      </c>
      <c r="P5484">
        <v>1</v>
      </c>
      <c r="Q5484">
        <v>0</v>
      </c>
    </row>
    <row r="5485" spans="1:17" x14ac:dyDescent="0.2">
      <c r="A5485" s="121">
        <v>41060</v>
      </c>
      <c r="B5485" t="s">
        <v>406</v>
      </c>
      <c r="C5485" t="s">
        <v>510</v>
      </c>
      <c r="D5485" t="s">
        <v>541</v>
      </c>
      <c r="E5485" t="s">
        <v>542</v>
      </c>
      <c r="F5485" t="s">
        <v>410</v>
      </c>
      <c r="G5485">
        <v>434</v>
      </c>
      <c r="I5485">
        <v>434</v>
      </c>
    </row>
    <row r="5486" spans="1:17" x14ac:dyDescent="0.2">
      <c r="A5486" s="121">
        <v>41060</v>
      </c>
      <c r="B5486" t="s">
        <v>406</v>
      </c>
      <c r="C5486" t="s">
        <v>510</v>
      </c>
      <c r="D5486" t="s">
        <v>543</v>
      </c>
      <c r="E5486" t="s">
        <v>544</v>
      </c>
      <c r="F5486" t="s">
        <v>410</v>
      </c>
      <c r="G5486">
        <v>246</v>
      </c>
      <c r="I5486">
        <v>246</v>
      </c>
    </row>
    <row r="5487" spans="1:17" x14ac:dyDescent="0.2">
      <c r="A5487" s="121">
        <v>41060</v>
      </c>
      <c r="B5487" t="s">
        <v>406</v>
      </c>
      <c r="C5487" t="s">
        <v>510</v>
      </c>
      <c r="D5487" t="s">
        <v>545</v>
      </c>
      <c r="E5487" t="s">
        <v>546</v>
      </c>
      <c r="F5487" t="s">
        <v>410</v>
      </c>
      <c r="G5487">
        <v>196</v>
      </c>
      <c r="I5487">
        <v>196</v>
      </c>
    </row>
    <row r="5488" spans="1:17" x14ac:dyDescent="0.2">
      <c r="A5488" s="121">
        <v>41060</v>
      </c>
      <c r="B5488" t="s">
        <v>406</v>
      </c>
      <c r="C5488" t="s">
        <v>510</v>
      </c>
      <c r="D5488" t="s">
        <v>547</v>
      </c>
      <c r="E5488" t="s">
        <v>548</v>
      </c>
      <c r="F5488" t="s">
        <v>410</v>
      </c>
      <c r="G5488">
        <v>154</v>
      </c>
      <c r="I5488">
        <v>154</v>
      </c>
    </row>
    <row r="5489" spans="1:17" x14ac:dyDescent="0.2">
      <c r="A5489" s="121">
        <v>41060</v>
      </c>
      <c r="B5489" t="s">
        <v>406</v>
      </c>
      <c r="C5489" t="s">
        <v>510</v>
      </c>
      <c r="D5489" t="s">
        <v>616</v>
      </c>
      <c r="E5489" t="s">
        <v>617</v>
      </c>
      <c r="F5489" t="s">
        <v>410</v>
      </c>
      <c r="G5489">
        <v>367</v>
      </c>
      <c r="I5489">
        <v>359</v>
      </c>
    </row>
    <row r="5490" spans="1:17" x14ac:dyDescent="0.2">
      <c r="A5490" s="121">
        <v>41060</v>
      </c>
      <c r="B5490" t="s">
        <v>406</v>
      </c>
      <c r="C5490" t="s">
        <v>510</v>
      </c>
      <c r="D5490" t="s">
        <v>549</v>
      </c>
      <c r="E5490" t="s">
        <v>550</v>
      </c>
      <c r="F5490" t="s">
        <v>410</v>
      </c>
      <c r="G5490">
        <v>165</v>
      </c>
      <c r="I5490">
        <v>165</v>
      </c>
    </row>
    <row r="5491" spans="1:17" x14ac:dyDescent="0.2">
      <c r="A5491" s="121">
        <v>41060</v>
      </c>
      <c r="B5491" t="s">
        <v>406</v>
      </c>
      <c r="C5491" t="s">
        <v>551</v>
      </c>
      <c r="D5491" t="s">
        <v>552</v>
      </c>
      <c r="E5491" t="s">
        <v>553</v>
      </c>
      <c r="F5491" t="s">
        <v>413</v>
      </c>
      <c r="G5491">
        <v>6169</v>
      </c>
      <c r="H5491">
        <v>6169</v>
      </c>
      <c r="I5491">
        <v>5886</v>
      </c>
      <c r="J5491">
        <v>5886</v>
      </c>
      <c r="K5491">
        <v>1802</v>
      </c>
      <c r="L5491">
        <v>6</v>
      </c>
      <c r="M5491">
        <v>3957</v>
      </c>
      <c r="N5491">
        <v>263</v>
      </c>
      <c r="O5491">
        <v>141</v>
      </c>
      <c r="P5491">
        <v>4</v>
      </c>
      <c r="Q5491">
        <v>0</v>
      </c>
    </row>
    <row r="5492" spans="1:17" x14ac:dyDescent="0.2">
      <c r="A5492" s="121">
        <v>41060</v>
      </c>
      <c r="B5492" t="s">
        <v>406</v>
      </c>
      <c r="C5492" t="s">
        <v>551</v>
      </c>
      <c r="D5492" t="s">
        <v>554</v>
      </c>
      <c r="E5492" t="s">
        <v>555</v>
      </c>
      <c r="F5492" t="s">
        <v>410</v>
      </c>
      <c r="G5492">
        <v>55</v>
      </c>
      <c r="I5492">
        <v>55</v>
      </c>
    </row>
    <row r="5493" spans="1:17" x14ac:dyDescent="0.2">
      <c r="A5493" s="121">
        <v>41060</v>
      </c>
      <c r="B5493" t="s">
        <v>406</v>
      </c>
      <c r="C5493" t="s">
        <v>551</v>
      </c>
      <c r="D5493" t="s">
        <v>556</v>
      </c>
      <c r="E5493" t="s">
        <v>557</v>
      </c>
      <c r="F5493" t="s">
        <v>410</v>
      </c>
      <c r="G5493">
        <v>120</v>
      </c>
      <c r="I5493">
        <v>120</v>
      </c>
    </row>
    <row r="5494" spans="1:17" x14ac:dyDescent="0.2">
      <c r="A5494" s="121">
        <v>41060</v>
      </c>
      <c r="B5494" t="s">
        <v>406</v>
      </c>
      <c r="C5494" t="s">
        <v>551</v>
      </c>
      <c r="D5494" t="s">
        <v>558</v>
      </c>
      <c r="E5494" t="s">
        <v>559</v>
      </c>
      <c r="F5494" t="s">
        <v>413</v>
      </c>
      <c r="G5494">
        <v>5242</v>
      </c>
      <c r="H5494">
        <v>5242</v>
      </c>
      <c r="I5494">
        <v>4891</v>
      </c>
      <c r="J5494">
        <v>4891</v>
      </c>
      <c r="K5494">
        <v>1257</v>
      </c>
      <c r="L5494">
        <v>5</v>
      </c>
      <c r="M5494">
        <v>3771</v>
      </c>
      <c r="N5494">
        <v>181</v>
      </c>
      <c r="O5494">
        <v>28</v>
      </c>
      <c r="P5494">
        <v>70</v>
      </c>
      <c r="Q5494">
        <v>32</v>
      </c>
    </row>
    <row r="5495" spans="1:17" x14ac:dyDescent="0.2">
      <c r="A5495" s="121">
        <v>41060</v>
      </c>
      <c r="B5495" t="s">
        <v>406</v>
      </c>
      <c r="C5495" t="s">
        <v>551</v>
      </c>
      <c r="D5495" t="s">
        <v>560</v>
      </c>
      <c r="E5495" t="s">
        <v>561</v>
      </c>
      <c r="F5495" t="s">
        <v>413</v>
      </c>
      <c r="G5495">
        <v>5936</v>
      </c>
      <c r="H5495">
        <v>5936</v>
      </c>
      <c r="I5495">
        <v>5692</v>
      </c>
      <c r="J5495">
        <v>5692</v>
      </c>
      <c r="K5495">
        <v>1327</v>
      </c>
      <c r="L5495">
        <v>11</v>
      </c>
      <c r="M5495">
        <v>4146</v>
      </c>
      <c r="N5495">
        <v>328</v>
      </c>
      <c r="O5495">
        <v>124</v>
      </c>
      <c r="P5495">
        <v>5</v>
      </c>
      <c r="Q5495">
        <v>0</v>
      </c>
    </row>
    <row r="5496" spans="1:17" x14ac:dyDescent="0.2">
      <c r="A5496" s="121">
        <v>41060</v>
      </c>
      <c r="B5496" t="s">
        <v>406</v>
      </c>
      <c r="C5496" t="s">
        <v>562</v>
      </c>
      <c r="D5496" t="s">
        <v>603</v>
      </c>
      <c r="E5496" t="s">
        <v>604</v>
      </c>
      <c r="F5496" t="s">
        <v>410</v>
      </c>
      <c r="G5496">
        <v>7</v>
      </c>
      <c r="I5496">
        <v>7</v>
      </c>
    </row>
    <row r="5497" spans="1:17" x14ac:dyDescent="0.2">
      <c r="A5497" s="121">
        <v>41060</v>
      </c>
      <c r="B5497" t="s">
        <v>406</v>
      </c>
      <c r="C5497" t="s">
        <v>562</v>
      </c>
      <c r="D5497" t="s">
        <v>605</v>
      </c>
      <c r="E5497" t="s">
        <v>606</v>
      </c>
      <c r="F5497" t="s">
        <v>410</v>
      </c>
      <c r="G5497">
        <v>168</v>
      </c>
      <c r="I5497">
        <v>168</v>
      </c>
    </row>
    <row r="5498" spans="1:17" x14ac:dyDescent="0.2">
      <c r="A5498" s="121">
        <v>41060</v>
      </c>
      <c r="B5498" t="s">
        <v>406</v>
      </c>
      <c r="C5498" t="s">
        <v>562</v>
      </c>
      <c r="D5498" t="s">
        <v>563</v>
      </c>
      <c r="E5498" t="s">
        <v>564</v>
      </c>
      <c r="F5498" t="s">
        <v>410</v>
      </c>
      <c r="G5498">
        <v>3411</v>
      </c>
      <c r="H5498">
        <v>3411</v>
      </c>
      <c r="I5498">
        <v>3203</v>
      </c>
      <c r="J5498">
        <v>3203</v>
      </c>
      <c r="K5498">
        <v>1062</v>
      </c>
      <c r="L5498">
        <v>3</v>
      </c>
      <c r="M5498">
        <v>2296</v>
      </c>
      <c r="N5498">
        <v>50</v>
      </c>
      <c r="O5498">
        <v>0</v>
      </c>
      <c r="P5498">
        <v>9</v>
      </c>
      <c r="Q5498">
        <v>0</v>
      </c>
    </row>
    <row r="5499" spans="1:17" x14ac:dyDescent="0.2">
      <c r="A5499" s="121">
        <v>41060</v>
      </c>
      <c r="B5499" t="s">
        <v>406</v>
      </c>
      <c r="C5499" t="s">
        <v>562</v>
      </c>
      <c r="D5499" t="s">
        <v>565</v>
      </c>
      <c r="E5499" t="s">
        <v>566</v>
      </c>
      <c r="F5499" t="s">
        <v>413</v>
      </c>
      <c r="G5499">
        <v>4721</v>
      </c>
      <c r="H5499">
        <v>4721</v>
      </c>
      <c r="I5499">
        <v>4435</v>
      </c>
      <c r="J5499">
        <v>4435</v>
      </c>
      <c r="K5499">
        <v>1024</v>
      </c>
      <c r="L5499">
        <v>6</v>
      </c>
      <c r="M5499">
        <v>3558</v>
      </c>
      <c r="N5499">
        <v>133</v>
      </c>
      <c r="O5499">
        <v>0</v>
      </c>
      <c r="P5499">
        <v>15</v>
      </c>
      <c r="Q5499">
        <v>3</v>
      </c>
    </row>
    <row r="5500" spans="1:17" x14ac:dyDescent="0.2">
      <c r="A5500" s="121">
        <v>41060</v>
      </c>
      <c r="B5500" t="s">
        <v>406</v>
      </c>
      <c r="C5500" t="s">
        <v>562</v>
      </c>
      <c r="D5500" t="s">
        <v>567</v>
      </c>
      <c r="E5500" t="s">
        <v>568</v>
      </c>
      <c r="F5500" t="s">
        <v>413</v>
      </c>
      <c r="G5500">
        <v>9765</v>
      </c>
      <c r="H5500">
        <v>9765</v>
      </c>
      <c r="I5500">
        <v>8725</v>
      </c>
      <c r="J5500">
        <v>8725</v>
      </c>
      <c r="K5500">
        <v>2850</v>
      </c>
      <c r="L5500">
        <v>22</v>
      </c>
      <c r="M5500">
        <v>6485</v>
      </c>
      <c r="N5500">
        <v>408</v>
      </c>
      <c r="O5500">
        <v>0</v>
      </c>
      <c r="P5500">
        <v>126</v>
      </c>
      <c r="Q5500">
        <v>18</v>
      </c>
    </row>
    <row r="5501" spans="1:17" x14ac:dyDescent="0.2">
      <c r="A5501" s="121">
        <v>41060</v>
      </c>
      <c r="B5501" t="s">
        <v>406</v>
      </c>
      <c r="C5501" t="s">
        <v>562</v>
      </c>
      <c r="D5501" t="s">
        <v>569</v>
      </c>
      <c r="E5501" t="s">
        <v>570</v>
      </c>
      <c r="F5501" t="s">
        <v>413</v>
      </c>
      <c r="G5501">
        <v>3783</v>
      </c>
      <c r="H5501">
        <v>3783</v>
      </c>
      <c r="I5501">
        <v>3754</v>
      </c>
      <c r="J5501">
        <v>3754</v>
      </c>
      <c r="K5501">
        <v>477</v>
      </c>
      <c r="L5501">
        <v>0</v>
      </c>
      <c r="M5501">
        <v>3306</v>
      </c>
      <c r="N5501">
        <v>0</v>
      </c>
      <c r="O5501">
        <v>0</v>
      </c>
      <c r="P5501">
        <v>0</v>
      </c>
      <c r="Q5501">
        <v>0</v>
      </c>
    </row>
    <row r="5502" spans="1:17" x14ac:dyDescent="0.2">
      <c r="A5502" s="121">
        <v>41060</v>
      </c>
      <c r="B5502" t="s">
        <v>406</v>
      </c>
      <c r="C5502" t="s">
        <v>571</v>
      </c>
      <c r="D5502" t="s">
        <v>572</v>
      </c>
      <c r="E5502" t="s">
        <v>573</v>
      </c>
      <c r="F5502" t="s">
        <v>410</v>
      </c>
      <c r="G5502">
        <v>301</v>
      </c>
      <c r="H5502">
        <v>301</v>
      </c>
      <c r="I5502">
        <v>296</v>
      </c>
      <c r="J5502">
        <v>296</v>
      </c>
      <c r="K5502">
        <v>2</v>
      </c>
      <c r="L5502">
        <v>0</v>
      </c>
      <c r="M5502">
        <v>299</v>
      </c>
      <c r="N5502">
        <v>0</v>
      </c>
      <c r="O5502">
        <v>0</v>
      </c>
      <c r="P5502">
        <v>1</v>
      </c>
      <c r="Q5502">
        <v>0</v>
      </c>
    </row>
    <row r="5503" spans="1:17" x14ac:dyDescent="0.2">
      <c r="A5503" s="121">
        <v>41060</v>
      </c>
      <c r="B5503" t="s">
        <v>406</v>
      </c>
      <c r="C5503" t="s">
        <v>574</v>
      </c>
      <c r="D5503" t="s">
        <v>575</v>
      </c>
      <c r="E5503" t="s">
        <v>576</v>
      </c>
      <c r="F5503" t="s">
        <v>413</v>
      </c>
      <c r="G5503">
        <v>705</v>
      </c>
      <c r="H5503">
        <v>705</v>
      </c>
      <c r="I5503">
        <v>700</v>
      </c>
      <c r="J5503">
        <v>700</v>
      </c>
      <c r="K5503">
        <v>159</v>
      </c>
      <c r="L5503">
        <v>0</v>
      </c>
      <c r="M5503">
        <v>530</v>
      </c>
      <c r="N5503">
        <v>2</v>
      </c>
      <c r="O5503">
        <v>14</v>
      </c>
      <c r="P5503">
        <v>0</v>
      </c>
      <c r="Q5503">
        <v>0</v>
      </c>
    </row>
    <row r="5504" spans="1:17" x14ac:dyDescent="0.2">
      <c r="A5504" s="121">
        <v>41060</v>
      </c>
      <c r="B5504" t="s">
        <v>406</v>
      </c>
      <c r="C5504" t="s">
        <v>577</v>
      </c>
      <c r="D5504" t="s">
        <v>578</v>
      </c>
      <c r="E5504" t="s">
        <v>579</v>
      </c>
      <c r="F5504" t="s">
        <v>413</v>
      </c>
      <c r="G5504">
        <v>4159</v>
      </c>
      <c r="H5504">
        <v>4159</v>
      </c>
      <c r="I5504">
        <v>4067</v>
      </c>
      <c r="J5504">
        <v>4067</v>
      </c>
      <c r="K5504">
        <v>893</v>
      </c>
      <c r="L5504">
        <v>18</v>
      </c>
      <c r="M5504">
        <v>3154</v>
      </c>
      <c r="N5504">
        <v>91</v>
      </c>
      <c r="O5504">
        <v>3</v>
      </c>
      <c r="P5504">
        <v>1</v>
      </c>
      <c r="Q5504">
        <v>0</v>
      </c>
    </row>
    <row r="5505" spans="1:17" x14ac:dyDescent="0.2">
      <c r="A5505" s="121">
        <v>41060</v>
      </c>
      <c r="B5505" t="s">
        <v>406</v>
      </c>
      <c r="C5505" t="s">
        <v>577</v>
      </c>
      <c r="D5505" t="s">
        <v>580</v>
      </c>
      <c r="E5505" t="s">
        <v>581</v>
      </c>
      <c r="F5505" t="s">
        <v>413</v>
      </c>
      <c r="G5505">
        <v>2361</v>
      </c>
      <c r="H5505">
        <v>2361</v>
      </c>
      <c r="I5505">
        <v>2284</v>
      </c>
      <c r="J5505">
        <v>2284</v>
      </c>
      <c r="K5505">
        <v>395</v>
      </c>
      <c r="L5505">
        <v>0</v>
      </c>
      <c r="M5505">
        <v>1573</v>
      </c>
      <c r="N5505">
        <v>324</v>
      </c>
      <c r="O5505">
        <v>69</v>
      </c>
      <c r="P5505">
        <v>1</v>
      </c>
      <c r="Q5505">
        <v>0</v>
      </c>
    </row>
    <row r="5506" spans="1:17" x14ac:dyDescent="0.2">
      <c r="A5506" s="121">
        <v>41060</v>
      </c>
      <c r="B5506" t="s">
        <v>406</v>
      </c>
      <c r="C5506" t="s">
        <v>577</v>
      </c>
      <c r="D5506" t="s">
        <v>609</v>
      </c>
      <c r="E5506" t="s">
        <v>610</v>
      </c>
      <c r="F5506" t="s">
        <v>410</v>
      </c>
      <c r="G5506">
        <v>39</v>
      </c>
      <c r="H5506">
        <v>39</v>
      </c>
      <c r="I5506">
        <v>39</v>
      </c>
      <c r="J5506">
        <v>39</v>
      </c>
      <c r="K5506">
        <v>1</v>
      </c>
      <c r="L5506">
        <v>0</v>
      </c>
      <c r="M5506">
        <v>26</v>
      </c>
      <c r="N5506">
        <v>5</v>
      </c>
      <c r="O5506">
        <v>7</v>
      </c>
      <c r="P5506">
        <v>0</v>
      </c>
      <c r="Q5506">
        <v>0</v>
      </c>
    </row>
    <row r="5507" spans="1:17" x14ac:dyDescent="0.2">
      <c r="A5507" s="121">
        <v>41060</v>
      </c>
      <c r="B5507" t="s">
        <v>406</v>
      </c>
      <c r="C5507" t="s">
        <v>577</v>
      </c>
      <c r="D5507" t="s">
        <v>611</v>
      </c>
      <c r="E5507" t="s">
        <v>612</v>
      </c>
      <c r="F5507" t="s">
        <v>410</v>
      </c>
      <c r="G5507">
        <v>7</v>
      </c>
      <c r="H5507">
        <v>7</v>
      </c>
      <c r="I5507">
        <v>7</v>
      </c>
      <c r="J5507">
        <v>7</v>
      </c>
      <c r="K5507">
        <v>0</v>
      </c>
      <c r="L5507">
        <v>0</v>
      </c>
      <c r="M5507">
        <v>3</v>
      </c>
      <c r="N5507">
        <v>0</v>
      </c>
      <c r="O5507">
        <v>4</v>
      </c>
      <c r="P5507">
        <v>0</v>
      </c>
      <c r="Q5507">
        <v>0</v>
      </c>
    </row>
    <row r="5508" spans="1:17" x14ac:dyDescent="0.2">
      <c r="A5508" s="121">
        <v>41060</v>
      </c>
      <c r="B5508" t="s">
        <v>406</v>
      </c>
      <c r="C5508" t="s">
        <v>577</v>
      </c>
      <c r="D5508" t="s">
        <v>584</v>
      </c>
      <c r="E5508" t="s">
        <v>585</v>
      </c>
      <c r="F5508" t="s">
        <v>410</v>
      </c>
      <c r="G5508">
        <v>283</v>
      </c>
      <c r="H5508">
        <v>283</v>
      </c>
      <c r="I5508">
        <v>283</v>
      </c>
      <c r="J5508">
        <v>283</v>
      </c>
      <c r="K5508">
        <v>0</v>
      </c>
      <c r="L5508">
        <v>0</v>
      </c>
      <c r="M5508">
        <v>273</v>
      </c>
      <c r="N5508">
        <v>9</v>
      </c>
      <c r="O5508">
        <v>1</v>
      </c>
      <c r="P5508">
        <v>0</v>
      </c>
      <c r="Q5508">
        <v>0</v>
      </c>
    </row>
    <row r="5509" spans="1:17" x14ac:dyDescent="0.2">
      <c r="A5509" s="121">
        <v>41060</v>
      </c>
      <c r="B5509" t="s">
        <v>406</v>
      </c>
      <c r="C5509" t="s">
        <v>577</v>
      </c>
      <c r="D5509" t="s">
        <v>586</v>
      </c>
      <c r="E5509" t="s">
        <v>587</v>
      </c>
      <c r="F5509" t="s">
        <v>410</v>
      </c>
      <c r="G5509">
        <v>1305</v>
      </c>
      <c r="H5509">
        <v>1305</v>
      </c>
      <c r="I5509">
        <v>1304</v>
      </c>
      <c r="J5509">
        <v>1304</v>
      </c>
      <c r="K5509">
        <v>0</v>
      </c>
      <c r="L5509">
        <v>0</v>
      </c>
      <c r="M5509">
        <v>1203</v>
      </c>
      <c r="N5509">
        <v>95</v>
      </c>
      <c r="O5509">
        <v>7</v>
      </c>
      <c r="P5509">
        <v>0</v>
      </c>
      <c r="Q5509">
        <v>0</v>
      </c>
    </row>
    <row r="5510" spans="1:17" x14ac:dyDescent="0.2">
      <c r="A5510" s="121">
        <v>41060</v>
      </c>
      <c r="B5510" t="s">
        <v>406</v>
      </c>
      <c r="C5510" t="s">
        <v>577</v>
      </c>
      <c r="D5510" t="s">
        <v>588</v>
      </c>
      <c r="E5510" t="s">
        <v>589</v>
      </c>
      <c r="F5510" t="s">
        <v>410</v>
      </c>
      <c r="G5510">
        <v>370</v>
      </c>
      <c r="H5510">
        <v>370</v>
      </c>
      <c r="I5510">
        <v>370</v>
      </c>
      <c r="J5510">
        <v>370</v>
      </c>
      <c r="K5510">
        <v>0</v>
      </c>
      <c r="L5510">
        <v>0</v>
      </c>
      <c r="M5510">
        <v>350</v>
      </c>
      <c r="N5510">
        <v>20</v>
      </c>
      <c r="O5510">
        <v>0</v>
      </c>
      <c r="P5510">
        <v>0</v>
      </c>
      <c r="Q5510">
        <v>0</v>
      </c>
    </row>
    <row r="5511" spans="1:17" x14ac:dyDescent="0.2">
      <c r="A5511" s="121">
        <v>41060</v>
      </c>
      <c r="B5511" t="s">
        <v>406</v>
      </c>
      <c r="C5511" t="s">
        <v>577</v>
      </c>
      <c r="D5511" t="s">
        <v>613</v>
      </c>
      <c r="E5511" t="s">
        <v>614</v>
      </c>
      <c r="F5511" t="s">
        <v>410</v>
      </c>
      <c r="G5511">
        <v>165</v>
      </c>
      <c r="H5511">
        <v>165</v>
      </c>
      <c r="I5511">
        <v>165</v>
      </c>
      <c r="J5511">
        <v>165</v>
      </c>
      <c r="K5511">
        <v>0</v>
      </c>
      <c r="L5511">
        <v>0</v>
      </c>
      <c r="M5511">
        <v>142</v>
      </c>
      <c r="N5511">
        <v>13</v>
      </c>
      <c r="O5511">
        <v>10</v>
      </c>
      <c r="P5511">
        <v>0</v>
      </c>
      <c r="Q5511">
        <v>0</v>
      </c>
    </row>
    <row r="5512" spans="1:17" x14ac:dyDescent="0.2">
      <c r="A5512" s="121">
        <v>41060</v>
      </c>
      <c r="B5512" t="s">
        <v>406</v>
      </c>
      <c r="C5512" t="s">
        <v>577</v>
      </c>
      <c r="D5512" t="s">
        <v>590</v>
      </c>
      <c r="E5512" t="s">
        <v>591</v>
      </c>
      <c r="F5512" t="s">
        <v>410</v>
      </c>
      <c r="G5512">
        <v>659</v>
      </c>
      <c r="H5512">
        <v>659</v>
      </c>
      <c r="I5512">
        <v>659</v>
      </c>
      <c r="J5512">
        <v>659</v>
      </c>
      <c r="K5512">
        <v>0</v>
      </c>
      <c r="L5512">
        <v>0</v>
      </c>
      <c r="M5512">
        <v>631</v>
      </c>
      <c r="N5512">
        <v>28</v>
      </c>
      <c r="O5512">
        <v>0</v>
      </c>
      <c r="P5512">
        <v>0</v>
      </c>
      <c r="Q5512">
        <v>0</v>
      </c>
    </row>
    <row r="5513" spans="1:17" x14ac:dyDescent="0.2">
      <c r="A5513" s="121">
        <v>41060</v>
      </c>
      <c r="B5513" t="s">
        <v>406</v>
      </c>
      <c r="C5513" t="s">
        <v>577</v>
      </c>
      <c r="D5513" t="s">
        <v>607</v>
      </c>
      <c r="E5513" t="s">
        <v>608</v>
      </c>
      <c r="F5513" t="s">
        <v>410</v>
      </c>
      <c r="G5513">
        <v>229</v>
      </c>
      <c r="H5513">
        <v>229</v>
      </c>
      <c r="I5513">
        <v>229</v>
      </c>
      <c r="J5513">
        <v>229</v>
      </c>
      <c r="K5513">
        <v>0</v>
      </c>
      <c r="L5513">
        <v>0</v>
      </c>
      <c r="M5513">
        <v>199</v>
      </c>
      <c r="N5513">
        <v>28</v>
      </c>
      <c r="O5513">
        <v>2</v>
      </c>
      <c r="P5513">
        <v>0</v>
      </c>
      <c r="Q5513">
        <v>0</v>
      </c>
    </row>
    <row r="5514" spans="1:17" x14ac:dyDescent="0.2">
      <c r="A5514" s="121">
        <v>41060</v>
      </c>
      <c r="B5514" t="s">
        <v>406</v>
      </c>
      <c r="C5514" t="s">
        <v>577</v>
      </c>
      <c r="D5514" t="s">
        <v>592</v>
      </c>
      <c r="E5514" t="s">
        <v>593</v>
      </c>
      <c r="F5514" t="s">
        <v>410</v>
      </c>
      <c r="G5514">
        <v>647</v>
      </c>
      <c r="H5514">
        <v>647</v>
      </c>
      <c r="I5514">
        <v>647</v>
      </c>
      <c r="J5514">
        <v>647</v>
      </c>
      <c r="K5514">
        <v>0</v>
      </c>
      <c r="L5514">
        <v>0</v>
      </c>
      <c r="M5514">
        <v>601</v>
      </c>
      <c r="N5514">
        <v>40</v>
      </c>
      <c r="O5514">
        <v>6</v>
      </c>
      <c r="P5514">
        <v>0</v>
      </c>
      <c r="Q5514">
        <v>0</v>
      </c>
    </row>
    <row r="5515" spans="1:17" x14ac:dyDescent="0.2">
      <c r="A5515" s="121">
        <v>41060</v>
      </c>
      <c r="B5515" t="s">
        <v>406</v>
      </c>
      <c r="C5515" t="s">
        <v>594</v>
      </c>
      <c r="D5515" t="s">
        <v>595</v>
      </c>
      <c r="E5515" t="s">
        <v>596</v>
      </c>
      <c r="F5515" t="s">
        <v>410</v>
      </c>
      <c r="G5515">
        <v>45</v>
      </c>
      <c r="I5515">
        <v>45</v>
      </c>
    </row>
    <row r="5516" spans="1:17" x14ac:dyDescent="0.2">
      <c r="A5516" s="121">
        <v>41060</v>
      </c>
      <c r="B5516" t="s">
        <v>406</v>
      </c>
      <c r="C5516" t="s">
        <v>594</v>
      </c>
      <c r="D5516" t="s">
        <v>597</v>
      </c>
      <c r="E5516" t="s">
        <v>598</v>
      </c>
      <c r="F5516" t="s">
        <v>413</v>
      </c>
      <c r="G5516">
        <v>606</v>
      </c>
      <c r="H5516">
        <v>606</v>
      </c>
      <c r="I5516">
        <v>597</v>
      </c>
      <c r="J5516">
        <v>597</v>
      </c>
      <c r="K5516">
        <v>115</v>
      </c>
      <c r="L5516">
        <v>0</v>
      </c>
      <c r="M5516">
        <v>465</v>
      </c>
      <c r="N5516">
        <v>20</v>
      </c>
      <c r="O5516">
        <v>6</v>
      </c>
      <c r="P5516">
        <v>1</v>
      </c>
      <c r="Q5516">
        <v>0</v>
      </c>
    </row>
    <row r="5517" spans="1:17" x14ac:dyDescent="0.2">
      <c r="A5517" s="121">
        <v>41060</v>
      </c>
      <c r="B5517" t="s">
        <v>406</v>
      </c>
      <c r="C5517" t="s">
        <v>594</v>
      </c>
      <c r="D5517" t="s">
        <v>599</v>
      </c>
      <c r="E5517" t="s">
        <v>600</v>
      </c>
      <c r="F5517" t="s">
        <v>410</v>
      </c>
      <c r="G5517">
        <v>119</v>
      </c>
      <c r="I5517">
        <v>119</v>
      </c>
    </row>
    <row r="5518" spans="1:17" x14ac:dyDescent="0.2">
      <c r="A5518" s="121">
        <v>41090</v>
      </c>
      <c r="B5518" t="s">
        <v>406</v>
      </c>
      <c r="C5518" t="s">
        <v>407</v>
      </c>
      <c r="D5518" t="s">
        <v>408</v>
      </c>
      <c r="E5518" t="s">
        <v>409</v>
      </c>
      <c r="F5518" t="s">
        <v>410</v>
      </c>
      <c r="G5518">
        <v>270</v>
      </c>
      <c r="I5518">
        <v>270</v>
      </c>
    </row>
    <row r="5519" spans="1:17" x14ac:dyDescent="0.2">
      <c r="A5519" s="121">
        <v>41090</v>
      </c>
      <c r="B5519" t="s">
        <v>406</v>
      </c>
      <c r="C5519" t="s">
        <v>407</v>
      </c>
      <c r="D5519" t="s">
        <v>601</v>
      </c>
      <c r="E5519" t="s">
        <v>602</v>
      </c>
      <c r="F5519" t="s">
        <v>410</v>
      </c>
      <c r="G5519">
        <v>69</v>
      </c>
      <c r="I5519">
        <v>69</v>
      </c>
    </row>
    <row r="5520" spans="1:17" x14ac:dyDescent="0.2">
      <c r="A5520" s="121">
        <v>41090</v>
      </c>
      <c r="B5520" t="s">
        <v>406</v>
      </c>
      <c r="C5520" t="s">
        <v>407</v>
      </c>
      <c r="D5520" t="s">
        <v>411</v>
      </c>
      <c r="E5520" t="s">
        <v>412</v>
      </c>
      <c r="F5520" t="s">
        <v>413</v>
      </c>
      <c r="G5520">
        <v>6077</v>
      </c>
      <c r="H5520">
        <v>6077</v>
      </c>
      <c r="I5520">
        <v>5732</v>
      </c>
      <c r="J5520">
        <v>5732</v>
      </c>
      <c r="K5520">
        <v>2315</v>
      </c>
      <c r="L5520">
        <v>4</v>
      </c>
      <c r="M5520">
        <v>3334</v>
      </c>
      <c r="N5520">
        <v>134</v>
      </c>
      <c r="O5520">
        <v>290</v>
      </c>
      <c r="P5520">
        <v>17</v>
      </c>
      <c r="Q5520">
        <v>0</v>
      </c>
    </row>
    <row r="5521" spans="1:17" x14ac:dyDescent="0.2">
      <c r="A5521" s="121">
        <v>41090</v>
      </c>
      <c r="B5521" t="s">
        <v>406</v>
      </c>
      <c r="C5521" t="s">
        <v>407</v>
      </c>
      <c r="D5521" t="s">
        <v>416</v>
      </c>
      <c r="E5521" t="s">
        <v>417</v>
      </c>
      <c r="F5521" t="s">
        <v>413</v>
      </c>
      <c r="G5521">
        <v>3912</v>
      </c>
      <c r="H5521">
        <v>3912</v>
      </c>
      <c r="I5521">
        <v>3557</v>
      </c>
      <c r="J5521">
        <v>3557</v>
      </c>
      <c r="K5521">
        <v>1333</v>
      </c>
      <c r="L5521">
        <v>4</v>
      </c>
      <c r="M5521">
        <v>2308</v>
      </c>
      <c r="N5521">
        <v>129</v>
      </c>
      <c r="O5521">
        <v>138</v>
      </c>
      <c r="P5521">
        <v>21</v>
      </c>
      <c r="Q5521">
        <v>10</v>
      </c>
    </row>
    <row r="5522" spans="1:17" x14ac:dyDescent="0.2">
      <c r="A5522" s="121">
        <v>41090</v>
      </c>
      <c r="B5522" t="s">
        <v>406</v>
      </c>
      <c r="C5522" t="s">
        <v>407</v>
      </c>
      <c r="D5522" t="s">
        <v>618</v>
      </c>
      <c r="E5522" t="s">
        <v>619</v>
      </c>
      <c r="F5522" t="s">
        <v>410</v>
      </c>
      <c r="G5522">
        <v>129</v>
      </c>
      <c r="I5522">
        <v>129</v>
      </c>
    </row>
    <row r="5523" spans="1:17" x14ac:dyDescent="0.2">
      <c r="A5523" s="121">
        <v>41090</v>
      </c>
      <c r="B5523" t="s">
        <v>406</v>
      </c>
      <c r="C5523" t="s">
        <v>418</v>
      </c>
      <c r="D5523" t="s">
        <v>419</v>
      </c>
      <c r="E5523" t="s">
        <v>420</v>
      </c>
      <c r="F5523" t="s">
        <v>410</v>
      </c>
      <c r="G5523">
        <v>15</v>
      </c>
      <c r="I5523">
        <v>15</v>
      </c>
    </row>
    <row r="5524" spans="1:17" x14ac:dyDescent="0.2">
      <c r="A5524" s="121">
        <v>41090</v>
      </c>
      <c r="B5524" t="s">
        <v>406</v>
      </c>
      <c r="C5524" t="s">
        <v>418</v>
      </c>
      <c r="D5524" t="s">
        <v>421</v>
      </c>
      <c r="E5524" t="s">
        <v>422</v>
      </c>
      <c r="F5524" t="s">
        <v>410</v>
      </c>
      <c r="G5524">
        <v>159</v>
      </c>
      <c r="I5524">
        <v>159</v>
      </c>
    </row>
    <row r="5525" spans="1:17" x14ac:dyDescent="0.2">
      <c r="A5525" s="121">
        <v>41090</v>
      </c>
      <c r="B5525" t="s">
        <v>406</v>
      </c>
      <c r="C5525" t="s">
        <v>418</v>
      </c>
      <c r="D5525" t="s">
        <v>423</v>
      </c>
      <c r="E5525" t="s">
        <v>424</v>
      </c>
      <c r="F5525" t="s">
        <v>410</v>
      </c>
      <c r="G5525">
        <v>13</v>
      </c>
      <c r="I5525">
        <v>13</v>
      </c>
    </row>
    <row r="5526" spans="1:17" x14ac:dyDescent="0.2">
      <c r="A5526" s="121">
        <v>41090</v>
      </c>
      <c r="B5526" t="s">
        <v>406</v>
      </c>
      <c r="C5526" t="s">
        <v>418</v>
      </c>
      <c r="D5526" t="s">
        <v>425</v>
      </c>
      <c r="E5526" t="s">
        <v>426</v>
      </c>
      <c r="F5526" t="s">
        <v>410</v>
      </c>
      <c r="G5526">
        <v>59</v>
      </c>
      <c r="I5526">
        <v>59</v>
      </c>
    </row>
    <row r="5527" spans="1:17" x14ac:dyDescent="0.2">
      <c r="A5527" s="121">
        <v>41090</v>
      </c>
      <c r="B5527" t="s">
        <v>406</v>
      </c>
      <c r="C5527" t="s">
        <v>418</v>
      </c>
      <c r="D5527" t="s">
        <v>427</v>
      </c>
      <c r="E5527" t="s">
        <v>428</v>
      </c>
      <c r="F5527" t="s">
        <v>413</v>
      </c>
      <c r="G5527">
        <v>1957</v>
      </c>
      <c r="H5527">
        <v>1957</v>
      </c>
      <c r="I5527">
        <v>1933</v>
      </c>
      <c r="J5527">
        <v>1933</v>
      </c>
      <c r="K5527">
        <v>633</v>
      </c>
      <c r="L5527">
        <v>3</v>
      </c>
      <c r="M5527">
        <v>957</v>
      </c>
      <c r="N5527">
        <v>339</v>
      </c>
      <c r="O5527">
        <v>25</v>
      </c>
      <c r="P5527">
        <v>0</v>
      </c>
      <c r="Q5527">
        <v>0</v>
      </c>
    </row>
    <row r="5528" spans="1:17" x14ac:dyDescent="0.2">
      <c r="A5528" s="121">
        <v>41090</v>
      </c>
      <c r="B5528" t="s">
        <v>406</v>
      </c>
      <c r="C5528" t="s">
        <v>429</v>
      </c>
      <c r="D5528" t="s">
        <v>430</v>
      </c>
      <c r="E5528" t="s">
        <v>431</v>
      </c>
      <c r="F5528" t="s">
        <v>410</v>
      </c>
      <c r="G5528">
        <v>31</v>
      </c>
      <c r="I5528">
        <v>31</v>
      </c>
    </row>
    <row r="5529" spans="1:17" x14ac:dyDescent="0.2">
      <c r="A5529" s="121">
        <v>41090</v>
      </c>
      <c r="B5529" t="s">
        <v>406</v>
      </c>
      <c r="C5529" t="s">
        <v>429</v>
      </c>
      <c r="D5529" t="s">
        <v>432</v>
      </c>
      <c r="E5529" t="s">
        <v>433</v>
      </c>
      <c r="F5529" t="s">
        <v>410</v>
      </c>
      <c r="G5529">
        <v>30</v>
      </c>
      <c r="I5529">
        <v>30</v>
      </c>
    </row>
    <row r="5530" spans="1:17" x14ac:dyDescent="0.2">
      <c r="A5530" s="121">
        <v>41090</v>
      </c>
      <c r="B5530" t="s">
        <v>406</v>
      </c>
      <c r="C5530" t="s">
        <v>429</v>
      </c>
      <c r="D5530" t="s">
        <v>434</v>
      </c>
      <c r="E5530" t="s">
        <v>435</v>
      </c>
      <c r="F5530" t="s">
        <v>410</v>
      </c>
      <c r="G5530">
        <v>11</v>
      </c>
      <c r="I5530">
        <v>11</v>
      </c>
    </row>
    <row r="5531" spans="1:17" x14ac:dyDescent="0.2">
      <c r="A5531" s="121">
        <v>41090</v>
      </c>
      <c r="B5531" t="s">
        <v>406</v>
      </c>
      <c r="C5531" t="s">
        <v>429</v>
      </c>
      <c r="D5531" t="s">
        <v>436</v>
      </c>
      <c r="E5531" t="s">
        <v>437</v>
      </c>
      <c r="F5531" t="s">
        <v>410</v>
      </c>
      <c r="G5531">
        <v>32</v>
      </c>
      <c r="H5531">
        <v>32</v>
      </c>
      <c r="I5531">
        <v>32</v>
      </c>
      <c r="J5531">
        <v>32</v>
      </c>
      <c r="K5531">
        <v>0</v>
      </c>
      <c r="L5531">
        <v>0</v>
      </c>
      <c r="M5531">
        <v>21</v>
      </c>
      <c r="N5531">
        <v>11</v>
      </c>
      <c r="O5531">
        <v>0</v>
      </c>
      <c r="P5531">
        <v>0</v>
      </c>
      <c r="Q5531">
        <v>0</v>
      </c>
    </row>
    <row r="5532" spans="1:17" x14ac:dyDescent="0.2">
      <c r="A5532" s="121">
        <v>41090</v>
      </c>
      <c r="B5532" t="s">
        <v>406</v>
      </c>
      <c r="C5532" t="s">
        <v>429</v>
      </c>
      <c r="D5532" t="s">
        <v>438</v>
      </c>
      <c r="E5532" t="s">
        <v>439</v>
      </c>
      <c r="F5532" t="s">
        <v>413</v>
      </c>
      <c r="G5532">
        <v>1019</v>
      </c>
      <c r="H5532">
        <v>1019</v>
      </c>
      <c r="I5532">
        <v>994</v>
      </c>
      <c r="J5532">
        <v>994</v>
      </c>
      <c r="K5532">
        <v>114</v>
      </c>
      <c r="L5532">
        <v>1</v>
      </c>
      <c r="M5532">
        <v>868</v>
      </c>
      <c r="N5532">
        <v>36</v>
      </c>
      <c r="O5532">
        <v>0</v>
      </c>
      <c r="P5532">
        <v>1</v>
      </c>
      <c r="Q5532">
        <v>0</v>
      </c>
    </row>
    <row r="5533" spans="1:17" x14ac:dyDescent="0.2">
      <c r="A5533" s="121">
        <v>41090</v>
      </c>
      <c r="B5533" t="s">
        <v>406</v>
      </c>
      <c r="C5533" t="s">
        <v>429</v>
      </c>
      <c r="D5533" t="s">
        <v>440</v>
      </c>
      <c r="E5533" t="s">
        <v>441</v>
      </c>
      <c r="F5533" t="s">
        <v>413</v>
      </c>
      <c r="G5533">
        <v>2967</v>
      </c>
      <c r="H5533">
        <v>2967</v>
      </c>
      <c r="I5533">
        <v>2802</v>
      </c>
      <c r="J5533">
        <v>2802</v>
      </c>
      <c r="K5533">
        <v>875</v>
      </c>
      <c r="L5533">
        <v>3</v>
      </c>
      <c r="M5533">
        <v>2008</v>
      </c>
      <c r="N5533">
        <v>81</v>
      </c>
      <c r="O5533">
        <v>0</v>
      </c>
      <c r="P5533">
        <v>3</v>
      </c>
      <c r="Q5533">
        <v>0</v>
      </c>
    </row>
    <row r="5534" spans="1:17" x14ac:dyDescent="0.2">
      <c r="A5534" s="121">
        <v>41090</v>
      </c>
      <c r="B5534" t="s">
        <v>406</v>
      </c>
      <c r="C5534" t="s">
        <v>442</v>
      </c>
      <c r="D5534" t="s">
        <v>443</v>
      </c>
      <c r="E5534" t="s">
        <v>444</v>
      </c>
      <c r="F5534" t="s">
        <v>413</v>
      </c>
      <c r="G5534">
        <v>5201</v>
      </c>
      <c r="H5534">
        <v>5201</v>
      </c>
      <c r="I5534">
        <v>4883</v>
      </c>
      <c r="J5534">
        <v>4883</v>
      </c>
      <c r="K5534">
        <v>1270</v>
      </c>
      <c r="L5534">
        <v>17</v>
      </c>
      <c r="M5534">
        <v>3554</v>
      </c>
      <c r="N5534">
        <v>228</v>
      </c>
      <c r="O5534">
        <v>132</v>
      </c>
      <c r="P5534">
        <v>64</v>
      </c>
      <c r="Q5534">
        <v>7</v>
      </c>
    </row>
    <row r="5535" spans="1:17" x14ac:dyDescent="0.2">
      <c r="A5535" s="121">
        <v>41090</v>
      </c>
      <c r="B5535" t="s">
        <v>406</v>
      </c>
      <c r="C5535" t="s">
        <v>442</v>
      </c>
      <c r="D5535" t="s">
        <v>445</v>
      </c>
      <c r="E5535" t="s">
        <v>446</v>
      </c>
      <c r="F5535" t="s">
        <v>410</v>
      </c>
      <c r="G5535">
        <v>94</v>
      </c>
      <c r="I5535">
        <v>94</v>
      </c>
    </row>
    <row r="5536" spans="1:17" x14ac:dyDescent="0.2">
      <c r="A5536" s="121">
        <v>41090</v>
      </c>
      <c r="B5536" t="s">
        <v>406</v>
      </c>
      <c r="C5536" t="s">
        <v>442</v>
      </c>
      <c r="D5536" t="s">
        <v>447</v>
      </c>
      <c r="E5536" t="s">
        <v>448</v>
      </c>
      <c r="F5536" t="s">
        <v>410</v>
      </c>
      <c r="G5536">
        <v>369</v>
      </c>
      <c r="I5536">
        <v>368</v>
      </c>
    </row>
    <row r="5537" spans="1:17" x14ac:dyDescent="0.2">
      <c r="A5537" s="121">
        <v>41090</v>
      </c>
      <c r="B5537" t="s">
        <v>406</v>
      </c>
      <c r="C5537" t="s">
        <v>442</v>
      </c>
      <c r="D5537" t="s">
        <v>449</v>
      </c>
      <c r="E5537" t="s">
        <v>624</v>
      </c>
      <c r="F5537" t="s">
        <v>410</v>
      </c>
      <c r="G5537">
        <v>1584</v>
      </c>
      <c r="H5537">
        <v>1584</v>
      </c>
      <c r="I5537">
        <v>1582</v>
      </c>
      <c r="J5537">
        <v>1582</v>
      </c>
      <c r="K5537">
        <v>0</v>
      </c>
      <c r="L5537">
        <v>0</v>
      </c>
      <c r="M5537">
        <v>1262</v>
      </c>
      <c r="N5537">
        <v>100</v>
      </c>
      <c r="O5537">
        <v>222</v>
      </c>
      <c r="P5537">
        <v>0</v>
      </c>
      <c r="Q5537">
        <v>0</v>
      </c>
    </row>
    <row r="5538" spans="1:17" x14ac:dyDescent="0.2">
      <c r="A5538" s="121">
        <v>41090</v>
      </c>
      <c r="B5538" t="s">
        <v>406</v>
      </c>
      <c r="C5538" t="s">
        <v>451</v>
      </c>
      <c r="D5538" t="s">
        <v>454</v>
      </c>
      <c r="E5538" t="s">
        <v>621</v>
      </c>
      <c r="F5538" t="s">
        <v>410</v>
      </c>
      <c r="G5538">
        <v>1259</v>
      </c>
      <c r="H5538">
        <v>1259</v>
      </c>
      <c r="I5538">
        <v>1259</v>
      </c>
      <c r="J5538">
        <v>1259</v>
      </c>
      <c r="K5538">
        <v>3</v>
      </c>
      <c r="L5538">
        <v>0</v>
      </c>
      <c r="M5538">
        <v>1085</v>
      </c>
      <c r="N5538">
        <v>63</v>
      </c>
      <c r="O5538">
        <v>108</v>
      </c>
      <c r="P5538">
        <v>0</v>
      </c>
      <c r="Q5538">
        <v>0</v>
      </c>
    </row>
    <row r="5539" spans="1:17" x14ac:dyDescent="0.2">
      <c r="A5539" s="121">
        <v>41090</v>
      </c>
      <c r="B5539" t="s">
        <v>406</v>
      </c>
      <c r="C5539" t="s">
        <v>451</v>
      </c>
      <c r="D5539" t="s">
        <v>622</v>
      </c>
      <c r="E5539" t="s">
        <v>623</v>
      </c>
      <c r="F5539" t="s">
        <v>413</v>
      </c>
      <c r="G5539">
        <v>5111</v>
      </c>
      <c r="H5539">
        <v>5111</v>
      </c>
      <c r="I5539">
        <v>4860</v>
      </c>
      <c r="J5539">
        <v>4860</v>
      </c>
      <c r="K5539">
        <v>1174</v>
      </c>
      <c r="L5539">
        <v>6</v>
      </c>
      <c r="M5539">
        <v>3665</v>
      </c>
      <c r="N5539">
        <v>31</v>
      </c>
      <c r="O5539">
        <v>235</v>
      </c>
      <c r="P5539">
        <v>7</v>
      </c>
      <c r="Q5539">
        <v>0</v>
      </c>
    </row>
    <row r="5540" spans="1:17" x14ac:dyDescent="0.2">
      <c r="A5540" s="121">
        <v>41090</v>
      </c>
      <c r="B5540" t="s">
        <v>406</v>
      </c>
      <c r="C5540" t="s">
        <v>456</v>
      </c>
      <c r="D5540" t="s">
        <v>457</v>
      </c>
      <c r="E5540" t="s">
        <v>458</v>
      </c>
      <c r="F5540" t="s">
        <v>413</v>
      </c>
      <c r="G5540">
        <v>5167</v>
      </c>
      <c r="H5540">
        <v>5167</v>
      </c>
      <c r="I5540">
        <v>4914</v>
      </c>
      <c r="J5540">
        <v>4914</v>
      </c>
      <c r="K5540">
        <v>1371</v>
      </c>
      <c r="L5540">
        <v>11</v>
      </c>
      <c r="M5540">
        <v>3646</v>
      </c>
      <c r="N5540">
        <v>68</v>
      </c>
      <c r="O5540">
        <v>71</v>
      </c>
      <c r="P5540">
        <v>33</v>
      </c>
      <c r="Q5540">
        <v>1</v>
      </c>
    </row>
    <row r="5541" spans="1:17" x14ac:dyDescent="0.2">
      <c r="A5541" s="121">
        <v>41090</v>
      </c>
      <c r="B5541" t="s">
        <v>406</v>
      </c>
      <c r="C5541" t="s">
        <v>456</v>
      </c>
      <c r="D5541" t="s">
        <v>459</v>
      </c>
      <c r="E5541" t="s">
        <v>460</v>
      </c>
      <c r="F5541" t="s">
        <v>413</v>
      </c>
      <c r="G5541">
        <v>1519</v>
      </c>
      <c r="H5541">
        <v>1519</v>
      </c>
      <c r="I5541">
        <v>1507</v>
      </c>
      <c r="J5541">
        <v>1507</v>
      </c>
      <c r="K5541">
        <v>385</v>
      </c>
      <c r="L5541">
        <v>0</v>
      </c>
      <c r="M5541">
        <v>1133</v>
      </c>
      <c r="N5541">
        <v>0</v>
      </c>
      <c r="O5541">
        <v>1</v>
      </c>
      <c r="P5541">
        <v>0</v>
      </c>
      <c r="Q5541">
        <v>0</v>
      </c>
    </row>
    <row r="5542" spans="1:17" x14ac:dyDescent="0.2">
      <c r="A5542" s="121">
        <v>41090</v>
      </c>
      <c r="B5542" t="s">
        <v>406</v>
      </c>
      <c r="C5542" t="s">
        <v>456</v>
      </c>
      <c r="D5542" t="s">
        <v>461</v>
      </c>
      <c r="E5542" t="s">
        <v>462</v>
      </c>
      <c r="F5542" t="s">
        <v>410</v>
      </c>
      <c r="G5542">
        <v>97</v>
      </c>
      <c r="I5542">
        <v>97</v>
      </c>
    </row>
    <row r="5543" spans="1:17" x14ac:dyDescent="0.2">
      <c r="A5543" s="121">
        <v>41090</v>
      </c>
      <c r="B5543" t="s">
        <v>406</v>
      </c>
      <c r="C5543" t="s">
        <v>456</v>
      </c>
      <c r="D5543" t="s">
        <v>463</v>
      </c>
      <c r="E5543" t="s">
        <v>464</v>
      </c>
      <c r="F5543" t="s">
        <v>410</v>
      </c>
      <c r="G5543">
        <v>32</v>
      </c>
      <c r="I5543">
        <v>32</v>
      </c>
    </row>
    <row r="5544" spans="1:17" x14ac:dyDescent="0.2">
      <c r="A5544" s="121">
        <v>41090</v>
      </c>
      <c r="B5544" t="s">
        <v>406</v>
      </c>
      <c r="C5544" t="s">
        <v>456</v>
      </c>
      <c r="D5544" t="s">
        <v>465</v>
      </c>
      <c r="E5544" t="s">
        <v>466</v>
      </c>
      <c r="F5544" t="s">
        <v>410</v>
      </c>
      <c r="G5544">
        <v>52</v>
      </c>
      <c r="I5544">
        <v>52</v>
      </c>
    </row>
    <row r="5545" spans="1:17" x14ac:dyDescent="0.2">
      <c r="A5545" s="121">
        <v>41090</v>
      </c>
      <c r="B5545" t="s">
        <v>406</v>
      </c>
      <c r="C5545" t="s">
        <v>456</v>
      </c>
      <c r="D5545" t="s">
        <v>467</v>
      </c>
      <c r="E5545" t="s">
        <v>468</v>
      </c>
      <c r="F5545" t="s">
        <v>410</v>
      </c>
      <c r="G5545">
        <v>1148</v>
      </c>
      <c r="I5545">
        <v>1145</v>
      </c>
    </row>
    <row r="5546" spans="1:17" x14ac:dyDescent="0.2">
      <c r="A5546" s="121">
        <v>41090</v>
      </c>
      <c r="B5546" t="s">
        <v>406</v>
      </c>
      <c r="C5546" t="s">
        <v>456</v>
      </c>
      <c r="D5546" t="s">
        <v>469</v>
      </c>
      <c r="E5546" t="s">
        <v>470</v>
      </c>
      <c r="F5546" t="s">
        <v>410</v>
      </c>
      <c r="G5546">
        <v>881</v>
      </c>
      <c r="I5546">
        <v>881</v>
      </c>
    </row>
    <row r="5547" spans="1:17" x14ac:dyDescent="0.2">
      <c r="A5547" s="121">
        <v>41090</v>
      </c>
      <c r="B5547" t="s">
        <v>406</v>
      </c>
      <c r="C5547" t="s">
        <v>456</v>
      </c>
      <c r="D5547" t="s">
        <v>471</v>
      </c>
      <c r="E5547" t="s">
        <v>472</v>
      </c>
      <c r="F5547" t="s">
        <v>410</v>
      </c>
      <c r="G5547">
        <v>260</v>
      </c>
      <c r="I5547">
        <v>257</v>
      </c>
    </row>
    <row r="5548" spans="1:17" x14ac:dyDescent="0.2">
      <c r="A5548" s="121">
        <v>41090</v>
      </c>
      <c r="B5548" t="s">
        <v>406</v>
      </c>
      <c r="C5548" t="s">
        <v>456</v>
      </c>
      <c r="D5548" t="s">
        <v>473</v>
      </c>
      <c r="E5548" t="s">
        <v>474</v>
      </c>
      <c r="F5548" t="s">
        <v>410</v>
      </c>
      <c r="G5548">
        <v>184</v>
      </c>
      <c r="I5548">
        <v>184</v>
      </c>
    </row>
    <row r="5549" spans="1:17" x14ac:dyDescent="0.2">
      <c r="A5549" s="121">
        <v>41090</v>
      </c>
      <c r="B5549" t="s">
        <v>406</v>
      </c>
      <c r="C5549" t="s">
        <v>456</v>
      </c>
      <c r="D5549" t="s">
        <v>475</v>
      </c>
      <c r="E5549" t="s">
        <v>476</v>
      </c>
      <c r="F5549" t="s">
        <v>410</v>
      </c>
      <c r="G5549">
        <v>351</v>
      </c>
      <c r="I5549">
        <v>350</v>
      </c>
    </row>
    <row r="5550" spans="1:17" x14ac:dyDescent="0.2">
      <c r="A5550" s="121">
        <v>41090</v>
      </c>
      <c r="B5550" t="s">
        <v>406</v>
      </c>
      <c r="C5550" t="s">
        <v>456</v>
      </c>
      <c r="D5550" t="s">
        <v>477</v>
      </c>
      <c r="E5550" t="s">
        <v>478</v>
      </c>
      <c r="F5550" t="s">
        <v>413</v>
      </c>
      <c r="G5550">
        <v>2075</v>
      </c>
      <c r="H5550">
        <v>2075</v>
      </c>
      <c r="I5550">
        <v>2008</v>
      </c>
      <c r="J5550">
        <v>2008</v>
      </c>
      <c r="K5550">
        <v>423</v>
      </c>
      <c r="L5550">
        <v>5</v>
      </c>
      <c r="M5550">
        <v>1618</v>
      </c>
      <c r="N5550">
        <v>19</v>
      </c>
      <c r="O5550">
        <v>10</v>
      </c>
      <c r="P5550">
        <v>3</v>
      </c>
      <c r="Q5550">
        <v>0</v>
      </c>
    </row>
    <row r="5551" spans="1:17" x14ac:dyDescent="0.2">
      <c r="A5551" s="121">
        <v>41090</v>
      </c>
      <c r="B5551" t="s">
        <v>406</v>
      </c>
      <c r="C5551" t="s">
        <v>456</v>
      </c>
      <c r="D5551" t="s">
        <v>479</v>
      </c>
      <c r="E5551" t="s">
        <v>480</v>
      </c>
      <c r="F5551" t="s">
        <v>410</v>
      </c>
      <c r="G5551">
        <v>68</v>
      </c>
      <c r="I5551">
        <v>68</v>
      </c>
    </row>
    <row r="5552" spans="1:17" x14ac:dyDescent="0.2">
      <c r="A5552" s="121">
        <v>41090</v>
      </c>
      <c r="B5552" t="s">
        <v>406</v>
      </c>
      <c r="C5552" t="s">
        <v>456</v>
      </c>
      <c r="D5552" t="s">
        <v>481</v>
      </c>
      <c r="E5552" t="s">
        <v>482</v>
      </c>
      <c r="F5552" t="s">
        <v>410</v>
      </c>
      <c r="G5552">
        <v>41</v>
      </c>
      <c r="I5552">
        <v>41</v>
      </c>
    </row>
    <row r="5553" spans="1:17" x14ac:dyDescent="0.2">
      <c r="A5553" s="121">
        <v>41090</v>
      </c>
      <c r="B5553" t="s">
        <v>406</v>
      </c>
      <c r="C5553" t="s">
        <v>456</v>
      </c>
      <c r="D5553" t="s">
        <v>483</v>
      </c>
      <c r="E5553" t="s">
        <v>484</v>
      </c>
      <c r="F5553" t="s">
        <v>410</v>
      </c>
      <c r="G5553">
        <v>118</v>
      </c>
      <c r="I5553">
        <v>118</v>
      </c>
    </row>
    <row r="5554" spans="1:17" x14ac:dyDescent="0.2">
      <c r="A5554" s="121">
        <v>41090</v>
      </c>
      <c r="B5554" t="s">
        <v>406</v>
      </c>
      <c r="C5554" t="s">
        <v>456</v>
      </c>
      <c r="D5554" t="s">
        <v>485</v>
      </c>
      <c r="E5554" t="s">
        <v>486</v>
      </c>
      <c r="F5554" t="s">
        <v>410</v>
      </c>
      <c r="G5554">
        <v>39</v>
      </c>
      <c r="I5554">
        <v>39</v>
      </c>
    </row>
    <row r="5555" spans="1:17" x14ac:dyDescent="0.2">
      <c r="A5555" s="121">
        <v>41090</v>
      </c>
      <c r="B5555" t="s">
        <v>406</v>
      </c>
      <c r="C5555" t="s">
        <v>456</v>
      </c>
      <c r="D5555" t="s">
        <v>487</v>
      </c>
      <c r="E5555" t="s">
        <v>488</v>
      </c>
      <c r="F5555" t="s">
        <v>410</v>
      </c>
      <c r="G5555">
        <v>33</v>
      </c>
      <c r="I5555">
        <v>33</v>
      </c>
    </row>
    <row r="5556" spans="1:17" x14ac:dyDescent="0.2">
      <c r="A5556" s="121">
        <v>41090</v>
      </c>
      <c r="B5556" t="s">
        <v>406</v>
      </c>
      <c r="C5556" t="s">
        <v>456</v>
      </c>
      <c r="D5556" t="s">
        <v>489</v>
      </c>
      <c r="E5556" t="s">
        <v>490</v>
      </c>
      <c r="F5556" t="s">
        <v>410</v>
      </c>
      <c r="G5556">
        <v>95</v>
      </c>
      <c r="I5556">
        <v>95</v>
      </c>
    </row>
    <row r="5557" spans="1:17" x14ac:dyDescent="0.2">
      <c r="A5557" s="121">
        <v>41090</v>
      </c>
      <c r="B5557" t="s">
        <v>406</v>
      </c>
      <c r="C5557" t="s">
        <v>491</v>
      </c>
      <c r="D5557" t="s">
        <v>492</v>
      </c>
      <c r="E5557" t="s">
        <v>493</v>
      </c>
      <c r="F5557" t="s">
        <v>410</v>
      </c>
      <c r="G5557">
        <v>1176</v>
      </c>
      <c r="H5557">
        <v>1176</v>
      </c>
      <c r="I5557">
        <v>1139</v>
      </c>
      <c r="J5557">
        <v>1139</v>
      </c>
      <c r="K5557">
        <v>231</v>
      </c>
      <c r="L5557">
        <v>9</v>
      </c>
      <c r="M5557">
        <v>876</v>
      </c>
      <c r="N5557">
        <v>54</v>
      </c>
      <c r="O5557">
        <v>6</v>
      </c>
      <c r="P5557">
        <v>0</v>
      </c>
      <c r="Q5557">
        <v>0</v>
      </c>
    </row>
    <row r="5558" spans="1:17" x14ac:dyDescent="0.2">
      <c r="A5558" s="121">
        <v>41090</v>
      </c>
      <c r="B5558" t="s">
        <v>406</v>
      </c>
      <c r="C5558" t="s">
        <v>491</v>
      </c>
      <c r="D5558" t="s">
        <v>494</v>
      </c>
      <c r="E5558" t="s">
        <v>495</v>
      </c>
      <c r="F5558" t="s">
        <v>413</v>
      </c>
      <c r="G5558">
        <v>2725</v>
      </c>
      <c r="H5558">
        <v>2725</v>
      </c>
      <c r="I5558">
        <v>2654</v>
      </c>
      <c r="J5558">
        <v>2654</v>
      </c>
      <c r="K5558">
        <v>702</v>
      </c>
      <c r="L5558">
        <v>4</v>
      </c>
      <c r="M5558">
        <v>1888</v>
      </c>
      <c r="N5558">
        <v>19</v>
      </c>
      <c r="O5558">
        <v>112</v>
      </c>
      <c r="P5558">
        <v>1</v>
      </c>
      <c r="Q5558">
        <v>0</v>
      </c>
    </row>
    <row r="5559" spans="1:17" x14ac:dyDescent="0.2">
      <c r="A5559" s="121">
        <v>41090</v>
      </c>
      <c r="B5559" t="s">
        <v>406</v>
      </c>
      <c r="C5559" t="s">
        <v>491</v>
      </c>
      <c r="D5559" t="s">
        <v>496</v>
      </c>
      <c r="E5559" t="s">
        <v>497</v>
      </c>
      <c r="F5559" t="s">
        <v>413</v>
      </c>
      <c r="G5559">
        <v>6085</v>
      </c>
      <c r="H5559">
        <v>6085</v>
      </c>
      <c r="I5559">
        <v>5381</v>
      </c>
      <c r="J5559">
        <v>5381</v>
      </c>
      <c r="K5559">
        <v>2126</v>
      </c>
      <c r="L5559">
        <v>13</v>
      </c>
      <c r="M5559">
        <v>3568</v>
      </c>
      <c r="N5559">
        <v>141</v>
      </c>
      <c r="O5559">
        <v>237</v>
      </c>
      <c r="P5559">
        <v>22</v>
      </c>
      <c r="Q5559">
        <v>0</v>
      </c>
    </row>
    <row r="5560" spans="1:17" x14ac:dyDescent="0.2">
      <c r="A5560" s="121">
        <v>41090</v>
      </c>
      <c r="B5560" t="s">
        <v>406</v>
      </c>
      <c r="C5560" t="s">
        <v>491</v>
      </c>
      <c r="D5560" t="s">
        <v>498</v>
      </c>
      <c r="E5560" t="s">
        <v>499</v>
      </c>
      <c r="F5560" t="s">
        <v>413</v>
      </c>
      <c r="G5560">
        <v>7351</v>
      </c>
      <c r="H5560">
        <v>7351</v>
      </c>
      <c r="I5560">
        <v>7146</v>
      </c>
      <c r="J5560">
        <v>7146</v>
      </c>
      <c r="K5560">
        <v>1644</v>
      </c>
      <c r="L5560">
        <v>13</v>
      </c>
      <c r="M5560">
        <v>5147</v>
      </c>
      <c r="N5560">
        <v>143</v>
      </c>
      <c r="O5560">
        <v>404</v>
      </c>
      <c r="P5560">
        <v>2</v>
      </c>
      <c r="Q5560">
        <v>0</v>
      </c>
    </row>
    <row r="5561" spans="1:17" x14ac:dyDescent="0.2">
      <c r="A5561" s="121">
        <v>41090</v>
      </c>
      <c r="B5561" t="s">
        <v>406</v>
      </c>
      <c r="C5561" t="s">
        <v>491</v>
      </c>
      <c r="D5561" t="s">
        <v>500</v>
      </c>
      <c r="E5561" t="s">
        <v>620</v>
      </c>
      <c r="F5561" t="s">
        <v>410</v>
      </c>
      <c r="G5561">
        <v>1418</v>
      </c>
      <c r="H5561">
        <v>1418</v>
      </c>
      <c r="I5561">
        <v>1417</v>
      </c>
      <c r="J5561">
        <v>1417</v>
      </c>
      <c r="K5561">
        <v>6</v>
      </c>
      <c r="L5561">
        <v>0</v>
      </c>
      <c r="M5561">
        <v>1284</v>
      </c>
      <c r="N5561">
        <v>6</v>
      </c>
      <c r="O5561">
        <v>122</v>
      </c>
      <c r="P5561">
        <v>0</v>
      </c>
      <c r="Q5561">
        <v>0</v>
      </c>
    </row>
    <row r="5562" spans="1:17" x14ac:dyDescent="0.2">
      <c r="A5562" s="121">
        <v>41090</v>
      </c>
      <c r="B5562" t="s">
        <v>406</v>
      </c>
      <c r="C5562" t="s">
        <v>491</v>
      </c>
      <c r="D5562" t="s">
        <v>502</v>
      </c>
      <c r="E5562" t="s">
        <v>615</v>
      </c>
      <c r="F5562" t="s">
        <v>410</v>
      </c>
      <c r="G5562">
        <v>1573</v>
      </c>
      <c r="H5562">
        <v>1573</v>
      </c>
      <c r="I5562">
        <v>1573</v>
      </c>
      <c r="J5562">
        <v>1573</v>
      </c>
      <c r="K5562">
        <v>0</v>
      </c>
      <c r="L5562">
        <v>1</v>
      </c>
      <c r="M5562">
        <v>1553</v>
      </c>
      <c r="N5562">
        <v>2</v>
      </c>
      <c r="O5562">
        <v>17</v>
      </c>
      <c r="P5562">
        <v>0</v>
      </c>
      <c r="Q5562">
        <v>0</v>
      </c>
    </row>
    <row r="5563" spans="1:17" x14ac:dyDescent="0.2">
      <c r="A5563" s="121">
        <v>41090</v>
      </c>
      <c r="B5563" t="s">
        <v>406</v>
      </c>
      <c r="C5563" t="s">
        <v>491</v>
      </c>
      <c r="D5563" t="s">
        <v>502</v>
      </c>
      <c r="E5563" t="s">
        <v>503</v>
      </c>
      <c r="F5563" t="s">
        <v>413</v>
      </c>
      <c r="G5563">
        <v>5258</v>
      </c>
      <c r="H5563">
        <v>5258</v>
      </c>
      <c r="I5563">
        <v>4886</v>
      </c>
      <c r="J5563">
        <v>4886</v>
      </c>
      <c r="K5563">
        <v>1484</v>
      </c>
      <c r="L5563">
        <v>8</v>
      </c>
      <c r="M5563">
        <v>3536</v>
      </c>
      <c r="N5563">
        <v>135</v>
      </c>
      <c r="O5563">
        <v>95</v>
      </c>
      <c r="P5563">
        <v>4</v>
      </c>
      <c r="Q5563">
        <v>0</v>
      </c>
    </row>
    <row r="5564" spans="1:17" x14ac:dyDescent="0.2">
      <c r="A5564" s="121">
        <v>41090</v>
      </c>
      <c r="B5564" t="s">
        <v>406</v>
      </c>
      <c r="C5564" t="s">
        <v>491</v>
      </c>
      <c r="D5564" t="s">
        <v>504</v>
      </c>
      <c r="E5564" t="s">
        <v>505</v>
      </c>
      <c r="F5564" t="s">
        <v>413</v>
      </c>
      <c r="G5564">
        <v>4205</v>
      </c>
      <c r="H5564">
        <v>4205</v>
      </c>
      <c r="I5564">
        <v>3966</v>
      </c>
      <c r="J5564">
        <v>3966</v>
      </c>
      <c r="K5564">
        <v>1075</v>
      </c>
      <c r="L5564">
        <v>4</v>
      </c>
      <c r="M5564">
        <v>2998</v>
      </c>
      <c r="N5564">
        <v>87</v>
      </c>
      <c r="O5564">
        <v>41</v>
      </c>
      <c r="P5564">
        <v>3</v>
      </c>
      <c r="Q5564">
        <v>1</v>
      </c>
    </row>
    <row r="5565" spans="1:17" x14ac:dyDescent="0.2">
      <c r="A5565" s="121">
        <v>41090</v>
      </c>
      <c r="B5565" t="s">
        <v>406</v>
      </c>
      <c r="C5565" t="s">
        <v>491</v>
      </c>
      <c r="D5565" t="s">
        <v>506</v>
      </c>
      <c r="E5565" t="s">
        <v>507</v>
      </c>
      <c r="F5565" t="s">
        <v>413</v>
      </c>
      <c r="G5565">
        <v>3872</v>
      </c>
      <c r="H5565">
        <v>3872</v>
      </c>
      <c r="I5565">
        <v>3765</v>
      </c>
      <c r="J5565">
        <v>3765</v>
      </c>
      <c r="K5565">
        <v>515</v>
      </c>
      <c r="L5565">
        <v>0</v>
      </c>
      <c r="M5565">
        <v>3351</v>
      </c>
      <c r="N5565">
        <v>2</v>
      </c>
      <c r="O5565">
        <v>4</v>
      </c>
      <c r="P5565">
        <v>1</v>
      </c>
      <c r="Q5565">
        <v>0</v>
      </c>
    </row>
    <row r="5566" spans="1:17" x14ac:dyDescent="0.2">
      <c r="A5566" s="121">
        <v>41090</v>
      </c>
      <c r="B5566" t="s">
        <v>406</v>
      </c>
      <c r="C5566" t="s">
        <v>491</v>
      </c>
      <c r="D5566" t="s">
        <v>508</v>
      </c>
      <c r="E5566" t="s">
        <v>509</v>
      </c>
      <c r="F5566" t="s">
        <v>413</v>
      </c>
      <c r="G5566">
        <v>4984</v>
      </c>
      <c r="H5566">
        <v>4984</v>
      </c>
      <c r="I5566">
        <v>4573</v>
      </c>
      <c r="J5566">
        <v>4573</v>
      </c>
      <c r="K5566">
        <v>1459</v>
      </c>
      <c r="L5566">
        <v>5</v>
      </c>
      <c r="M5566">
        <v>3053</v>
      </c>
      <c r="N5566">
        <v>127</v>
      </c>
      <c r="O5566">
        <v>340</v>
      </c>
      <c r="P5566">
        <v>24</v>
      </c>
      <c r="Q5566">
        <v>0</v>
      </c>
    </row>
    <row r="5567" spans="1:17" x14ac:dyDescent="0.2">
      <c r="A5567" s="121">
        <v>41090</v>
      </c>
      <c r="B5567" t="s">
        <v>406</v>
      </c>
      <c r="C5567" t="s">
        <v>510</v>
      </c>
      <c r="D5567" t="s">
        <v>513</v>
      </c>
      <c r="E5567" t="s">
        <v>514</v>
      </c>
      <c r="F5567" t="s">
        <v>410</v>
      </c>
      <c r="G5567">
        <v>593</v>
      </c>
      <c r="I5567">
        <v>589</v>
      </c>
    </row>
    <row r="5568" spans="1:17" x14ac:dyDescent="0.2">
      <c r="A5568" s="121">
        <v>41090</v>
      </c>
      <c r="B5568" t="s">
        <v>406</v>
      </c>
      <c r="C5568" t="s">
        <v>510</v>
      </c>
      <c r="D5568" t="s">
        <v>515</v>
      </c>
      <c r="E5568" t="s">
        <v>516</v>
      </c>
      <c r="F5568" t="s">
        <v>410</v>
      </c>
      <c r="G5568">
        <v>109</v>
      </c>
      <c r="I5568">
        <v>106</v>
      </c>
    </row>
    <row r="5569" spans="1:17" x14ac:dyDescent="0.2">
      <c r="A5569" s="121">
        <v>41090</v>
      </c>
      <c r="B5569" t="s">
        <v>406</v>
      </c>
      <c r="C5569" t="s">
        <v>510</v>
      </c>
      <c r="D5569" t="s">
        <v>519</v>
      </c>
      <c r="E5569" t="s">
        <v>520</v>
      </c>
      <c r="F5569" t="s">
        <v>410</v>
      </c>
      <c r="G5569">
        <v>358</v>
      </c>
      <c r="I5569">
        <v>346</v>
      </c>
    </row>
    <row r="5570" spans="1:17" x14ac:dyDescent="0.2">
      <c r="A5570" s="121">
        <v>41090</v>
      </c>
      <c r="B5570" t="s">
        <v>406</v>
      </c>
      <c r="C5570" t="s">
        <v>510</v>
      </c>
      <c r="D5570" t="s">
        <v>521</v>
      </c>
      <c r="E5570" t="s">
        <v>522</v>
      </c>
      <c r="F5570" t="s">
        <v>410</v>
      </c>
      <c r="G5570">
        <v>50</v>
      </c>
      <c r="I5570">
        <v>50</v>
      </c>
    </row>
    <row r="5571" spans="1:17" x14ac:dyDescent="0.2">
      <c r="A5571" s="121">
        <v>41090</v>
      </c>
      <c r="B5571" t="s">
        <v>406</v>
      </c>
      <c r="C5571" t="s">
        <v>510</v>
      </c>
      <c r="D5571" t="s">
        <v>523</v>
      </c>
      <c r="E5571" t="s">
        <v>524</v>
      </c>
      <c r="F5571" t="s">
        <v>413</v>
      </c>
      <c r="G5571">
        <v>575</v>
      </c>
      <c r="H5571">
        <v>575</v>
      </c>
      <c r="I5571">
        <v>567</v>
      </c>
      <c r="J5571">
        <v>567</v>
      </c>
      <c r="K5571">
        <v>95</v>
      </c>
      <c r="L5571">
        <v>0</v>
      </c>
      <c r="M5571">
        <v>460</v>
      </c>
      <c r="N5571">
        <v>7</v>
      </c>
      <c r="O5571">
        <v>13</v>
      </c>
      <c r="P5571">
        <v>1</v>
      </c>
      <c r="Q5571">
        <v>0</v>
      </c>
    </row>
    <row r="5572" spans="1:17" x14ac:dyDescent="0.2">
      <c r="A5572" s="121">
        <v>41090</v>
      </c>
      <c r="B5572" t="s">
        <v>406</v>
      </c>
      <c r="C5572" t="s">
        <v>510</v>
      </c>
      <c r="D5572" t="s">
        <v>525</v>
      </c>
      <c r="E5572" t="s">
        <v>526</v>
      </c>
      <c r="F5572" t="s">
        <v>410</v>
      </c>
      <c r="G5572">
        <v>492</v>
      </c>
      <c r="I5572">
        <v>479</v>
      </c>
    </row>
    <row r="5573" spans="1:17" x14ac:dyDescent="0.2">
      <c r="A5573" s="121">
        <v>41090</v>
      </c>
      <c r="B5573" t="s">
        <v>406</v>
      </c>
      <c r="C5573" t="s">
        <v>510</v>
      </c>
      <c r="D5573" t="s">
        <v>527</v>
      </c>
      <c r="E5573" t="s">
        <v>528</v>
      </c>
      <c r="F5573" t="s">
        <v>410</v>
      </c>
      <c r="G5573">
        <v>240</v>
      </c>
      <c r="I5573">
        <v>240</v>
      </c>
    </row>
    <row r="5574" spans="1:17" x14ac:dyDescent="0.2">
      <c r="A5574" s="121">
        <v>41090</v>
      </c>
      <c r="B5574" t="s">
        <v>406</v>
      </c>
      <c r="C5574" t="s">
        <v>510</v>
      </c>
      <c r="D5574" t="s">
        <v>529</v>
      </c>
      <c r="E5574" t="s">
        <v>530</v>
      </c>
      <c r="F5574" t="s">
        <v>413</v>
      </c>
      <c r="G5574">
        <v>585</v>
      </c>
      <c r="H5574">
        <v>585</v>
      </c>
      <c r="I5574">
        <v>578</v>
      </c>
      <c r="J5574">
        <v>578</v>
      </c>
      <c r="K5574">
        <v>156</v>
      </c>
      <c r="L5574">
        <v>1</v>
      </c>
      <c r="M5574">
        <v>428</v>
      </c>
      <c r="N5574">
        <v>0</v>
      </c>
      <c r="O5574">
        <v>0</v>
      </c>
      <c r="P5574">
        <v>1</v>
      </c>
      <c r="Q5574">
        <v>0</v>
      </c>
    </row>
    <row r="5575" spans="1:17" x14ac:dyDescent="0.2">
      <c r="A5575" s="121">
        <v>41090</v>
      </c>
      <c r="B5575" t="s">
        <v>406</v>
      </c>
      <c r="C5575" t="s">
        <v>510</v>
      </c>
      <c r="D5575" t="s">
        <v>531</v>
      </c>
      <c r="E5575" t="s">
        <v>532</v>
      </c>
      <c r="F5575" t="s">
        <v>410</v>
      </c>
      <c r="G5575">
        <v>36</v>
      </c>
      <c r="I5575">
        <v>36</v>
      </c>
    </row>
    <row r="5576" spans="1:17" x14ac:dyDescent="0.2">
      <c r="A5576" s="121">
        <v>41090</v>
      </c>
      <c r="B5576" t="s">
        <v>406</v>
      </c>
      <c r="C5576" t="s">
        <v>510</v>
      </c>
      <c r="D5576" t="s">
        <v>533</v>
      </c>
      <c r="E5576" t="s">
        <v>534</v>
      </c>
      <c r="F5576" t="s">
        <v>413</v>
      </c>
      <c r="G5576">
        <v>2759</v>
      </c>
      <c r="H5576">
        <v>2759</v>
      </c>
      <c r="I5576">
        <v>2666</v>
      </c>
      <c r="J5576">
        <v>2666</v>
      </c>
      <c r="K5576">
        <v>614</v>
      </c>
      <c r="L5576">
        <v>4</v>
      </c>
      <c r="M5576">
        <v>2137</v>
      </c>
      <c r="N5576">
        <v>4</v>
      </c>
      <c r="O5576">
        <v>0</v>
      </c>
      <c r="P5576">
        <v>3</v>
      </c>
      <c r="Q5576">
        <v>1</v>
      </c>
    </row>
    <row r="5577" spans="1:17" x14ac:dyDescent="0.2">
      <c r="A5577" s="121">
        <v>41090</v>
      </c>
      <c r="B5577" t="s">
        <v>406</v>
      </c>
      <c r="C5577" t="s">
        <v>510</v>
      </c>
      <c r="D5577" t="s">
        <v>535</v>
      </c>
      <c r="E5577" t="s">
        <v>536</v>
      </c>
      <c r="F5577" t="s">
        <v>410</v>
      </c>
      <c r="G5577">
        <v>395</v>
      </c>
      <c r="I5577">
        <v>395</v>
      </c>
    </row>
    <row r="5578" spans="1:17" x14ac:dyDescent="0.2">
      <c r="A5578" s="121">
        <v>41090</v>
      </c>
      <c r="B5578" t="s">
        <v>406</v>
      </c>
      <c r="C5578" t="s">
        <v>510</v>
      </c>
      <c r="D5578" t="s">
        <v>537</v>
      </c>
      <c r="E5578" t="s">
        <v>538</v>
      </c>
      <c r="F5578" t="s">
        <v>410</v>
      </c>
      <c r="G5578">
        <v>96</v>
      </c>
      <c r="I5578">
        <v>96</v>
      </c>
    </row>
    <row r="5579" spans="1:17" x14ac:dyDescent="0.2">
      <c r="A5579" s="121">
        <v>41090</v>
      </c>
      <c r="B5579" t="s">
        <v>406</v>
      </c>
      <c r="C5579" t="s">
        <v>510</v>
      </c>
      <c r="D5579" t="s">
        <v>539</v>
      </c>
      <c r="E5579" t="s">
        <v>540</v>
      </c>
      <c r="F5579" t="s">
        <v>413</v>
      </c>
      <c r="G5579">
        <v>870</v>
      </c>
      <c r="H5579">
        <v>870</v>
      </c>
      <c r="I5579">
        <v>860</v>
      </c>
      <c r="J5579">
        <v>860</v>
      </c>
      <c r="K5579">
        <v>127</v>
      </c>
      <c r="L5579">
        <v>0</v>
      </c>
      <c r="M5579">
        <v>739</v>
      </c>
      <c r="N5579">
        <v>4</v>
      </c>
      <c r="O5579">
        <v>0</v>
      </c>
      <c r="P5579">
        <v>1</v>
      </c>
      <c r="Q5579">
        <v>0</v>
      </c>
    </row>
    <row r="5580" spans="1:17" x14ac:dyDescent="0.2">
      <c r="A5580" s="121">
        <v>41090</v>
      </c>
      <c r="B5580" t="s">
        <v>406</v>
      </c>
      <c r="C5580" t="s">
        <v>510</v>
      </c>
      <c r="D5580" t="s">
        <v>541</v>
      </c>
      <c r="E5580" t="s">
        <v>542</v>
      </c>
      <c r="F5580" t="s">
        <v>410</v>
      </c>
      <c r="G5580">
        <v>434</v>
      </c>
      <c r="I5580">
        <v>434</v>
      </c>
    </row>
    <row r="5581" spans="1:17" x14ac:dyDescent="0.2">
      <c r="A5581" s="121">
        <v>41090</v>
      </c>
      <c r="B5581" t="s">
        <v>406</v>
      </c>
      <c r="C5581" t="s">
        <v>510</v>
      </c>
      <c r="D5581" t="s">
        <v>543</v>
      </c>
      <c r="E5581" t="s">
        <v>544</v>
      </c>
      <c r="F5581" t="s">
        <v>410</v>
      </c>
      <c r="G5581">
        <v>304</v>
      </c>
      <c r="I5581">
        <v>304</v>
      </c>
    </row>
    <row r="5582" spans="1:17" x14ac:dyDescent="0.2">
      <c r="A5582" s="121">
        <v>41090</v>
      </c>
      <c r="B5582" t="s">
        <v>406</v>
      </c>
      <c r="C5582" t="s">
        <v>510</v>
      </c>
      <c r="D5582" t="s">
        <v>545</v>
      </c>
      <c r="E5582" t="s">
        <v>546</v>
      </c>
      <c r="F5582" t="s">
        <v>410</v>
      </c>
      <c r="G5582">
        <v>163</v>
      </c>
      <c r="I5582">
        <v>163</v>
      </c>
    </row>
    <row r="5583" spans="1:17" x14ac:dyDescent="0.2">
      <c r="A5583" s="121">
        <v>41090</v>
      </c>
      <c r="B5583" t="s">
        <v>406</v>
      </c>
      <c r="C5583" t="s">
        <v>510</v>
      </c>
      <c r="D5583" t="s">
        <v>547</v>
      </c>
      <c r="E5583" t="s">
        <v>548</v>
      </c>
      <c r="F5583" t="s">
        <v>410</v>
      </c>
      <c r="G5583">
        <v>142</v>
      </c>
      <c r="I5583">
        <v>142</v>
      </c>
    </row>
    <row r="5584" spans="1:17" x14ac:dyDescent="0.2">
      <c r="A5584" s="121">
        <v>41090</v>
      </c>
      <c r="B5584" t="s">
        <v>406</v>
      </c>
      <c r="C5584" t="s">
        <v>510</v>
      </c>
      <c r="D5584" t="s">
        <v>616</v>
      </c>
      <c r="E5584" t="s">
        <v>617</v>
      </c>
      <c r="F5584" t="s">
        <v>410</v>
      </c>
      <c r="G5584">
        <v>359</v>
      </c>
      <c r="I5584">
        <v>352</v>
      </c>
    </row>
    <row r="5585" spans="1:17" x14ac:dyDescent="0.2">
      <c r="A5585" s="121">
        <v>41090</v>
      </c>
      <c r="B5585" t="s">
        <v>406</v>
      </c>
      <c r="C5585" t="s">
        <v>510</v>
      </c>
      <c r="D5585" t="s">
        <v>549</v>
      </c>
      <c r="E5585" t="s">
        <v>550</v>
      </c>
      <c r="F5585" t="s">
        <v>410</v>
      </c>
      <c r="G5585">
        <v>172</v>
      </c>
      <c r="I5585">
        <v>171</v>
      </c>
    </row>
    <row r="5586" spans="1:17" x14ac:dyDescent="0.2">
      <c r="A5586" s="121">
        <v>41090</v>
      </c>
      <c r="B5586" t="s">
        <v>406</v>
      </c>
      <c r="C5586" t="s">
        <v>551</v>
      </c>
      <c r="D5586" t="s">
        <v>552</v>
      </c>
      <c r="E5586" t="s">
        <v>553</v>
      </c>
      <c r="F5586" t="s">
        <v>413</v>
      </c>
      <c r="G5586">
        <v>5704</v>
      </c>
      <c r="H5586">
        <v>5704</v>
      </c>
      <c r="I5586">
        <v>5432</v>
      </c>
      <c r="J5586">
        <v>5432</v>
      </c>
      <c r="K5586">
        <v>1648</v>
      </c>
      <c r="L5586">
        <v>5</v>
      </c>
      <c r="M5586">
        <v>3720</v>
      </c>
      <c r="N5586">
        <v>189</v>
      </c>
      <c r="O5586">
        <v>142</v>
      </c>
      <c r="P5586">
        <v>6</v>
      </c>
      <c r="Q5586">
        <v>0</v>
      </c>
    </row>
    <row r="5587" spans="1:17" x14ac:dyDescent="0.2">
      <c r="A5587" s="121">
        <v>41090</v>
      </c>
      <c r="B5587" t="s">
        <v>406</v>
      </c>
      <c r="C5587" t="s">
        <v>551</v>
      </c>
      <c r="D5587" t="s">
        <v>554</v>
      </c>
      <c r="E5587" t="s">
        <v>555</v>
      </c>
      <c r="F5587" t="s">
        <v>410</v>
      </c>
      <c r="G5587">
        <v>53</v>
      </c>
      <c r="I5587">
        <v>53</v>
      </c>
    </row>
    <row r="5588" spans="1:17" x14ac:dyDescent="0.2">
      <c r="A5588" s="121">
        <v>41090</v>
      </c>
      <c r="B5588" t="s">
        <v>406</v>
      </c>
      <c r="C5588" t="s">
        <v>551</v>
      </c>
      <c r="D5588" t="s">
        <v>556</v>
      </c>
      <c r="E5588" t="s">
        <v>557</v>
      </c>
      <c r="F5588" t="s">
        <v>410</v>
      </c>
      <c r="G5588">
        <v>116</v>
      </c>
      <c r="I5588">
        <v>116</v>
      </c>
    </row>
    <row r="5589" spans="1:17" x14ac:dyDescent="0.2">
      <c r="A5589" s="121">
        <v>41090</v>
      </c>
      <c r="B5589" t="s">
        <v>406</v>
      </c>
      <c r="C5589" t="s">
        <v>551</v>
      </c>
      <c r="D5589" t="s">
        <v>558</v>
      </c>
      <c r="E5589" t="s">
        <v>559</v>
      </c>
      <c r="F5589" t="s">
        <v>413</v>
      </c>
      <c r="G5589">
        <v>4809</v>
      </c>
      <c r="H5589">
        <v>4809</v>
      </c>
      <c r="I5589">
        <v>4545</v>
      </c>
      <c r="J5589">
        <v>4545</v>
      </c>
      <c r="K5589">
        <v>1210</v>
      </c>
      <c r="L5589">
        <v>7</v>
      </c>
      <c r="M5589">
        <v>3435</v>
      </c>
      <c r="N5589">
        <v>127</v>
      </c>
      <c r="O5589">
        <v>30</v>
      </c>
      <c r="P5589">
        <v>54</v>
      </c>
      <c r="Q5589">
        <v>18</v>
      </c>
    </row>
    <row r="5590" spans="1:17" x14ac:dyDescent="0.2">
      <c r="A5590" s="121">
        <v>41090</v>
      </c>
      <c r="B5590" t="s">
        <v>406</v>
      </c>
      <c r="C5590" t="s">
        <v>551</v>
      </c>
      <c r="D5590" t="s">
        <v>560</v>
      </c>
      <c r="E5590" t="s">
        <v>561</v>
      </c>
      <c r="F5590" t="s">
        <v>413</v>
      </c>
      <c r="G5590">
        <v>5604</v>
      </c>
      <c r="H5590">
        <v>5604</v>
      </c>
      <c r="I5590">
        <v>5284</v>
      </c>
      <c r="J5590">
        <v>5284</v>
      </c>
      <c r="K5590">
        <v>1226</v>
      </c>
      <c r="L5590">
        <v>7</v>
      </c>
      <c r="M5590">
        <v>4102</v>
      </c>
      <c r="N5590">
        <v>204</v>
      </c>
      <c r="O5590">
        <v>65</v>
      </c>
      <c r="P5590">
        <v>16</v>
      </c>
      <c r="Q5590">
        <v>0</v>
      </c>
    </row>
    <row r="5591" spans="1:17" x14ac:dyDescent="0.2">
      <c r="A5591" s="121">
        <v>41090</v>
      </c>
      <c r="B5591" t="s">
        <v>406</v>
      </c>
      <c r="C5591" t="s">
        <v>562</v>
      </c>
      <c r="D5591" t="s">
        <v>603</v>
      </c>
      <c r="E5591" t="s">
        <v>604</v>
      </c>
      <c r="F5591" t="s">
        <v>410</v>
      </c>
      <c r="G5591">
        <v>13</v>
      </c>
      <c r="I5591">
        <v>13</v>
      </c>
    </row>
    <row r="5592" spans="1:17" x14ac:dyDescent="0.2">
      <c r="A5592" s="121">
        <v>41090</v>
      </c>
      <c r="B5592" t="s">
        <v>406</v>
      </c>
      <c r="C5592" t="s">
        <v>562</v>
      </c>
      <c r="D5592" t="s">
        <v>605</v>
      </c>
      <c r="E5592" t="s">
        <v>606</v>
      </c>
      <c r="F5592" t="s">
        <v>410</v>
      </c>
      <c r="G5592">
        <v>153</v>
      </c>
      <c r="I5592">
        <v>153</v>
      </c>
    </row>
    <row r="5593" spans="1:17" x14ac:dyDescent="0.2">
      <c r="A5593" s="121">
        <v>41090</v>
      </c>
      <c r="B5593" t="s">
        <v>406</v>
      </c>
      <c r="C5593" t="s">
        <v>562</v>
      </c>
      <c r="D5593" t="s">
        <v>563</v>
      </c>
      <c r="E5593" t="s">
        <v>564</v>
      </c>
      <c r="F5593" t="s">
        <v>410</v>
      </c>
      <c r="G5593">
        <v>3371</v>
      </c>
      <c r="H5593">
        <v>3371</v>
      </c>
      <c r="I5593">
        <v>3020</v>
      </c>
      <c r="J5593">
        <v>3020</v>
      </c>
      <c r="K5593">
        <v>1055</v>
      </c>
      <c r="L5593">
        <v>2</v>
      </c>
      <c r="M5593">
        <v>2284</v>
      </c>
      <c r="N5593">
        <v>30</v>
      </c>
      <c r="O5593">
        <v>0</v>
      </c>
      <c r="P5593">
        <v>19</v>
      </c>
      <c r="Q5593">
        <v>0</v>
      </c>
    </row>
    <row r="5594" spans="1:17" x14ac:dyDescent="0.2">
      <c r="A5594" s="121">
        <v>41090</v>
      </c>
      <c r="B5594" t="s">
        <v>406</v>
      </c>
      <c r="C5594" t="s">
        <v>562</v>
      </c>
      <c r="D5594" t="s">
        <v>565</v>
      </c>
      <c r="E5594" t="s">
        <v>566</v>
      </c>
      <c r="F5594" t="s">
        <v>413</v>
      </c>
      <c r="G5594">
        <v>4602</v>
      </c>
      <c r="H5594">
        <v>4602</v>
      </c>
      <c r="I5594">
        <v>4348</v>
      </c>
      <c r="J5594">
        <v>4348</v>
      </c>
      <c r="K5594">
        <v>1026</v>
      </c>
      <c r="L5594">
        <v>7</v>
      </c>
      <c r="M5594">
        <v>3416</v>
      </c>
      <c r="N5594">
        <v>153</v>
      </c>
      <c r="O5594">
        <v>0</v>
      </c>
      <c r="P5594">
        <v>25</v>
      </c>
      <c r="Q5594">
        <v>5</v>
      </c>
    </row>
    <row r="5595" spans="1:17" x14ac:dyDescent="0.2">
      <c r="A5595" s="121">
        <v>41090</v>
      </c>
      <c r="B5595" t="s">
        <v>406</v>
      </c>
      <c r="C5595" t="s">
        <v>562</v>
      </c>
      <c r="D5595" t="s">
        <v>567</v>
      </c>
      <c r="E5595" t="s">
        <v>568</v>
      </c>
      <c r="F5595" t="s">
        <v>413</v>
      </c>
      <c r="G5595">
        <v>9596</v>
      </c>
      <c r="H5595">
        <v>9596</v>
      </c>
      <c r="I5595">
        <v>8521</v>
      </c>
      <c r="J5595">
        <v>8521</v>
      </c>
      <c r="K5595">
        <v>2858</v>
      </c>
      <c r="L5595">
        <v>16</v>
      </c>
      <c r="M5595">
        <v>6345</v>
      </c>
      <c r="N5595">
        <v>377</v>
      </c>
      <c r="O5595">
        <v>0</v>
      </c>
      <c r="P5595">
        <v>102</v>
      </c>
      <c r="Q5595">
        <v>7</v>
      </c>
    </row>
    <row r="5596" spans="1:17" x14ac:dyDescent="0.2">
      <c r="A5596" s="121">
        <v>41090</v>
      </c>
      <c r="B5596" t="s">
        <v>406</v>
      </c>
      <c r="C5596" t="s">
        <v>562</v>
      </c>
      <c r="D5596" t="s">
        <v>569</v>
      </c>
      <c r="E5596" t="s">
        <v>570</v>
      </c>
      <c r="F5596" t="s">
        <v>413</v>
      </c>
      <c r="G5596">
        <v>3431</v>
      </c>
      <c r="H5596">
        <v>3431</v>
      </c>
      <c r="I5596">
        <v>3395</v>
      </c>
      <c r="J5596">
        <v>3395</v>
      </c>
      <c r="K5596">
        <v>392</v>
      </c>
      <c r="L5596">
        <v>0</v>
      </c>
      <c r="M5596">
        <v>3039</v>
      </c>
      <c r="N5596">
        <v>0</v>
      </c>
      <c r="O5596">
        <v>0</v>
      </c>
      <c r="P5596">
        <v>0</v>
      </c>
      <c r="Q5596">
        <v>0</v>
      </c>
    </row>
    <row r="5597" spans="1:17" x14ac:dyDescent="0.2">
      <c r="A5597" s="121">
        <v>41090</v>
      </c>
      <c r="B5597" t="s">
        <v>406</v>
      </c>
      <c r="C5597" t="s">
        <v>571</v>
      </c>
      <c r="D5597" t="s">
        <v>572</v>
      </c>
      <c r="E5597" t="s">
        <v>573</v>
      </c>
      <c r="F5597" t="s">
        <v>410</v>
      </c>
      <c r="G5597">
        <v>326</v>
      </c>
      <c r="H5597">
        <v>326</v>
      </c>
      <c r="I5597">
        <v>321</v>
      </c>
      <c r="J5597">
        <v>321</v>
      </c>
      <c r="K5597">
        <v>0</v>
      </c>
      <c r="L5597">
        <v>0</v>
      </c>
      <c r="M5597">
        <v>324</v>
      </c>
      <c r="N5597">
        <v>0</v>
      </c>
      <c r="O5597">
        <v>2</v>
      </c>
      <c r="P5597">
        <v>1</v>
      </c>
      <c r="Q5597">
        <v>0</v>
      </c>
    </row>
    <row r="5598" spans="1:17" x14ac:dyDescent="0.2">
      <c r="A5598" s="121">
        <v>41090</v>
      </c>
      <c r="B5598" t="s">
        <v>406</v>
      </c>
      <c r="C5598" t="s">
        <v>574</v>
      </c>
      <c r="D5598" t="s">
        <v>575</v>
      </c>
      <c r="E5598" t="s">
        <v>576</v>
      </c>
      <c r="F5598" t="s">
        <v>413</v>
      </c>
      <c r="G5598">
        <v>719</v>
      </c>
      <c r="H5598">
        <v>719</v>
      </c>
      <c r="I5598">
        <v>715</v>
      </c>
      <c r="J5598">
        <v>715</v>
      </c>
      <c r="K5598">
        <v>169</v>
      </c>
      <c r="L5598">
        <v>0</v>
      </c>
      <c r="M5598">
        <v>525</v>
      </c>
      <c r="N5598">
        <v>2</v>
      </c>
      <c r="O5598">
        <v>23</v>
      </c>
      <c r="P5598">
        <v>0</v>
      </c>
      <c r="Q5598">
        <v>0</v>
      </c>
    </row>
    <row r="5599" spans="1:17" x14ac:dyDescent="0.2">
      <c r="A5599" s="121">
        <v>41090</v>
      </c>
      <c r="B5599" t="s">
        <v>406</v>
      </c>
      <c r="C5599" t="s">
        <v>577</v>
      </c>
      <c r="D5599" t="s">
        <v>578</v>
      </c>
      <c r="E5599" t="s">
        <v>579</v>
      </c>
      <c r="F5599" t="s">
        <v>413</v>
      </c>
      <c r="G5599">
        <v>3872</v>
      </c>
      <c r="H5599">
        <v>3872</v>
      </c>
      <c r="I5599">
        <v>3809</v>
      </c>
      <c r="J5599">
        <v>3809</v>
      </c>
      <c r="K5599">
        <v>875</v>
      </c>
      <c r="L5599">
        <v>17</v>
      </c>
      <c r="M5599">
        <v>2728</v>
      </c>
      <c r="N5599">
        <v>252</v>
      </c>
      <c r="O5599">
        <v>0</v>
      </c>
      <c r="P5599">
        <v>1</v>
      </c>
      <c r="Q5599">
        <v>0</v>
      </c>
    </row>
    <row r="5600" spans="1:17" x14ac:dyDescent="0.2">
      <c r="A5600" s="121">
        <v>41090</v>
      </c>
      <c r="B5600" t="s">
        <v>406</v>
      </c>
      <c r="C5600" t="s">
        <v>577</v>
      </c>
      <c r="D5600" t="s">
        <v>580</v>
      </c>
      <c r="E5600" t="s">
        <v>581</v>
      </c>
      <c r="F5600" t="s">
        <v>413</v>
      </c>
      <c r="G5600">
        <v>2236</v>
      </c>
      <c r="H5600">
        <v>2236</v>
      </c>
      <c r="I5600">
        <v>2210</v>
      </c>
      <c r="J5600">
        <v>2210</v>
      </c>
      <c r="K5600">
        <v>375</v>
      </c>
      <c r="L5600">
        <v>0</v>
      </c>
      <c r="M5600">
        <v>1461</v>
      </c>
      <c r="N5600">
        <v>373</v>
      </c>
      <c r="O5600">
        <v>27</v>
      </c>
      <c r="P5600">
        <v>0</v>
      </c>
      <c r="Q5600">
        <v>0</v>
      </c>
    </row>
    <row r="5601" spans="1:17" x14ac:dyDescent="0.2">
      <c r="A5601" s="121">
        <v>41090</v>
      </c>
      <c r="B5601" t="s">
        <v>406</v>
      </c>
      <c r="C5601" t="s">
        <v>577</v>
      </c>
      <c r="D5601" t="s">
        <v>609</v>
      </c>
      <c r="E5601" t="s">
        <v>610</v>
      </c>
      <c r="F5601" t="s">
        <v>410</v>
      </c>
      <c r="G5601">
        <v>30</v>
      </c>
      <c r="H5601">
        <v>30</v>
      </c>
      <c r="I5601">
        <v>30</v>
      </c>
      <c r="J5601">
        <v>30</v>
      </c>
      <c r="K5601">
        <v>0</v>
      </c>
      <c r="L5601">
        <v>0</v>
      </c>
      <c r="M5601">
        <v>27</v>
      </c>
      <c r="N5601">
        <v>3</v>
      </c>
      <c r="O5601">
        <v>0</v>
      </c>
      <c r="P5601">
        <v>0</v>
      </c>
      <c r="Q5601">
        <v>0</v>
      </c>
    </row>
    <row r="5602" spans="1:17" x14ac:dyDescent="0.2">
      <c r="A5602" s="121">
        <v>41090</v>
      </c>
      <c r="B5602" t="s">
        <v>406</v>
      </c>
      <c r="C5602" t="s">
        <v>577</v>
      </c>
      <c r="D5602" t="s">
        <v>611</v>
      </c>
      <c r="E5602" t="s">
        <v>612</v>
      </c>
      <c r="F5602" t="s">
        <v>410</v>
      </c>
      <c r="G5602">
        <v>13</v>
      </c>
      <c r="H5602">
        <v>13</v>
      </c>
      <c r="I5602">
        <v>13</v>
      </c>
      <c r="J5602">
        <v>13</v>
      </c>
      <c r="K5602">
        <v>0</v>
      </c>
      <c r="L5602">
        <v>0</v>
      </c>
      <c r="M5602">
        <v>6</v>
      </c>
      <c r="N5602">
        <v>2</v>
      </c>
      <c r="O5602">
        <v>5</v>
      </c>
      <c r="P5602">
        <v>0</v>
      </c>
      <c r="Q5602">
        <v>0</v>
      </c>
    </row>
    <row r="5603" spans="1:17" x14ac:dyDescent="0.2">
      <c r="A5603" s="121">
        <v>41090</v>
      </c>
      <c r="B5603" t="s">
        <v>406</v>
      </c>
      <c r="C5603" t="s">
        <v>577</v>
      </c>
      <c r="D5603" t="s">
        <v>584</v>
      </c>
      <c r="E5603" t="s">
        <v>585</v>
      </c>
      <c r="F5603" t="s">
        <v>410</v>
      </c>
      <c r="G5603">
        <v>296</v>
      </c>
      <c r="H5603">
        <v>296</v>
      </c>
      <c r="I5603">
        <v>296</v>
      </c>
      <c r="J5603">
        <v>296</v>
      </c>
      <c r="K5603">
        <v>0</v>
      </c>
      <c r="L5603">
        <v>0</v>
      </c>
      <c r="M5603">
        <v>264</v>
      </c>
      <c r="N5603">
        <v>27</v>
      </c>
      <c r="O5603">
        <v>5</v>
      </c>
      <c r="P5603">
        <v>0</v>
      </c>
      <c r="Q5603">
        <v>0</v>
      </c>
    </row>
    <row r="5604" spans="1:17" x14ac:dyDescent="0.2">
      <c r="A5604" s="121">
        <v>41090</v>
      </c>
      <c r="B5604" t="s">
        <v>406</v>
      </c>
      <c r="C5604" t="s">
        <v>577</v>
      </c>
      <c r="D5604" t="s">
        <v>586</v>
      </c>
      <c r="E5604" t="s">
        <v>587</v>
      </c>
      <c r="F5604" t="s">
        <v>410</v>
      </c>
      <c r="G5604">
        <v>1260</v>
      </c>
      <c r="H5604">
        <v>1260</v>
      </c>
      <c r="I5604">
        <v>1258</v>
      </c>
      <c r="J5604">
        <v>1258</v>
      </c>
      <c r="K5604">
        <v>0</v>
      </c>
      <c r="L5604">
        <v>0</v>
      </c>
      <c r="M5604">
        <v>1177</v>
      </c>
      <c r="N5604">
        <v>81</v>
      </c>
      <c r="O5604">
        <v>2</v>
      </c>
      <c r="P5604">
        <v>0</v>
      </c>
      <c r="Q5604">
        <v>0</v>
      </c>
    </row>
    <row r="5605" spans="1:17" x14ac:dyDescent="0.2">
      <c r="A5605" s="121">
        <v>41090</v>
      </c>
      <c r="B5605" t="s">
        <v>406</v>
      </c>
      <c r="C5605" t="s">
        <v>577</v>
      </c>
      <c r="D5605" t="s">
        <v>588</v>
      </c>
      <c r="E5605" t="s">
        <v>589</v>
      </c>
      <c r="F5605" t="s">
        <v>410</v>
      </c>
      <c r="G5605">
        <v>324</v>
      </c>
      <c r="H5605">
        <v>324</v>
      </c>
      <c r="I5605">
        <v>324</v>
      </c>
      <c r="J5605">
        <v>324</v>
      </c>
      <c r="K5605">
        <v>0</v>
      </c>
      <c r="L5605">
        <v>0</v>
      </c>
      <c r="M5605">
        <v>306</v>
      </c>
      <c r="N5605">
        <v>16</v>
      </c>
      <c r="O5605">
        <v>2</v>
      </c>
      <c r="P5605">
        <v>0</v>
      </c>
      <c r="Q5605">
        <v>0</v>
      </c>
    </row>
    <row r="5606" spans="1:17" x14ac:dyDescent="0.2">
      <c r="A5606" s="121">
        <v>41090</v>
      </c>
      <c r="B5606" t="s">
        <v>406</v>
      </c>
      <c r="C5606" t="s">
        <v>577</v>
      </c>
      <c r="D5606" t="s">
        <v>613</v>
      </c>
      <c r="E5606" t="s">
        <v>614</v>
      </c>
      <c r="F5606" t="s">
        <v>410</v>
      </c>
      <c r="G5606">
        <v>210</v>
      </c>
      <c r="H5606">
        <v>210</v>
      </c>
      <c r="I5606">
        <v>209</v>
      </c>
      <c r="J5606">
        <v>209</v>
      </c>
      <c r="K5606">
        <v>0</v>
      </c>
      <c r="L5606">
        <v>0</v>
      </c>
      <c r="M5606">
        <v>187</v>
      </c>
      <c r="N5606">
        <v>15</v>
      </c>
      <c r="O5606">
        <v>8</v>
      </c>
      <c r="P5606">
        <v>0</v>
      </c>
      <c r="Q5606">
        <v>0</v>
      </c>
    </row>
    <row r="5607" spans="1:17" x14ac:dyDescent="0.2">
      <c r="A5607" s="121">
        <v>41090</v>
      </c>
      <c r="B5607" t="s">
        <v>406</v>
      </c>
      <c r="C5607" t="s">
        <v>577</v>
      </c>
      <c r="D5607" t="s">
        <v>590</v>
      </c>
      <c r="E5607" t="s">
        <v>591</v>
      </c>
      <c r="F5607" t="s">
        <v>410</v>
      </c>
      <c r="G5607">
        <v>566</v>
      </c>
      <c r="H5607">
        <v>566</v>
      </c>
      <c r="I5607">
        <v>566</v>
      </c>
      <c r="J5607">
        <v>566</v>
      </c>
      <c r="K5607">
        <v>0</v>
      </c>
      <c r="L5607">
        <v>0</v>
      </c>
      <c r="M5607">
        <v>547</v>
      </c>
      <c r="N5607">
        <v>18</v>
      </c>
      <c r="O5607">
        <v>1</v>
      </c>
      <c r="P5607">
        <v>0</v>
      </c>
      <c r="Q5607">
        <v>0</v>
      </c>
    </row>
    <row r="5608" spans="1:17" x14ac:dyDescent="0.2">
      <c r="A5608" s="121">
        <v>41090</v>
      </c>
      <c r="B5608" t="s">
        <v>406</v>
      </c>
      <c r="C5608" t="s">
        <v>577</v>
      </c>
      <c r="D5608" t="s">
        <v>607</v>
      </c>
      <c r="E5608" t="s">
        <v>608</v>
      </c>
      <c r="F5608" t="s">
        <v>410</v>
      </c>
      <c r="G5608">
        <v>259</v>
      </c>
      <c r="H5608">
        <v>259</v>
      </c>
      <c r="I5608">
        <v>259</v>
      </c>
      <c r="J5608">
        <v>259</v>
      </c>
      <c r="K5608">
        <v>0</v>
      </c>
      <c r="L5608">
        <v>0</v>
      </c>
      <c r="M5608">
        <v>239</v>
      </c>
      <c r="N5608">
        <v>18</v>
      </c>
      <c r="O5608">
        <v>2</v>
      </c>
      <c r="P5608">
        <v>0</v>
      </c>
      <c r="Q5608">
        <v>0</v>
      </c>
    </row>
    <row r="5609" spans="1:17" x14ac:dyDescent="0.2">
      <c r="A5609" s="121">
        <v>41090</v>
      </c>
      <c r="B5609" t="s">
        <v>406</v>
      </c>
      <c r="C5609" t="s">
        <v>577</v>
      </c>
      <c r="D5609" t="s">
        <v>592</v>
      </c>
      <c r="E5609" t="s">
        <v>593</v>
      </c>
      <c r="F5609" t="s">
        <v>410</v>
      </c>
      <c r="G5609">
        <v>561</v>
      </c>
      <c r="H5609">
        <v>561</v>
      </c>
      <c r="I5609">
        <v>561</v>
      </c>
      <c r="J5609">
        <v>561</v>
      </c>
      <c r="K5609">
        <v>0</v>
      </c>
      <c r="L5609">
        <v>1</v>
      </c>
      <c r="M5609">
        <v>506</v>
      </c>
      <c r="N5609">
        <v>46</v>
      </c>
      <c r="O5609">
        <v>8</v>
      </c>
      <c r="P5609">
        <v>0</v>
      </c>
      <c r="Q5609">
        <v>0</v>
      </c>
    </row>
    <row r="5610" spans="1:17" x14ac:dyDescent="0.2">
      <c r="A5610" s="121">
        <v>41090</v>
      </c>
      <c r="B5610" t="s">
        <v>406</v>
      </c>
      <c r="C5610" t="s">
        <v>594</v>
      </c>
      <c r="D5610" t="s">
        <v>595</v>
      </c>
      <c r="E5610" t="s">
        <v>596</v>
      </c>
      <c r="F5610" t="s">
        <v>410</v>
      </c>
      <c r="G5610">
        <v>83</v>
      </c>
      <c r="I5610">
        <v>81</v>
      </c>
    </row>
    <row r="5611" spans="1:17" x14ac:dyDescent="0.2">
      <c r="A5611" s="121">
        <v>41090</v>
      </c>
      <c r="B5611" t="s">
        <v>406</v>
      </c>
      <c r="C5611" t="s">
        <v>594</v>
      </c>
      <c r="D5611" t="s">
        <v>597</v>
      </c>
      <c r="E5611" t="s">
        <v>598</v>
      </c>
      <c r="F5611" t="s">
        <v>413</v>
      </c>
      <c r="G5611">
        <v>621</v>
      </c>
      <c r="H5611">
        <v>621</v>
      </c>
      <c r="I5611">
        <v>605</v>
      </c>
      <c r="J5611">
        <v>605</v>
      </c>
      <c r="K5611">
        <v>117</v>
      </c>
      <c r="L5611">
        <v>0</v>
      </c>
      <c r="M5611">
        <v>475</v>
      </c>
      <c r="N5611">
        <v>23</v>
      </c>
      <c r="O5611">
        <v>6</v>
      </c>
      <c r="P5611">
        <v>0</v>
      </c>
      <c r="Q5611">
        <v>0</v>
      </c>
    </row>
    <row r="5612" spans="1:17" x14ac:dyDescent="0.2">
      <c r="A5612" s="121">
        <v>41090</v>
      </c>
      <c r="B5612" t="s">
        <v>406</v>
      </c>
      <c r="C5612" t="s">
        <v>594</v>
      </c>
      <c r="D5612" t="s">
        <v>599</v>
      </c>
      <c r="E5612" t="s">
        <v>600</v>
      </c>
      <c r="F5612" t="s">
        <v>410</v>
      </c>
      <c r="G5612">
        <v>116</v>
      </c>
      <c r="I5612">
        <v>116</v>
      </c>
    </row>
    <row r="5613" spans="1:17" x14ac:dyDescent="0.2">
      <c r="A5613" s="121">
        <v>41121</v>
      </c>
      <c r="B5613" t="s">
        <v>406</v>
      </c>
      <c r="C5613" t="s">
        <v>407</v>
      </c>
      <c r="D5613" t="s">
        <v>408</v>
      </c>
      <c r="E5613" t="s">
        <v>409</v>
      </c>
      <c r="F5613" t="s">
        <v>410</v>
      </c>
      <c r="G5613">
        <v>316</v>
      </c>
      <c r="I5613">
        <v>315</v>
      </c>
    </row>
    <row r="5614" spans="1:17" x14ac:dyDescent="0.2">
      <c r="A5614" s="121">
        <v>41121</v>
      </c>
      <c r="B5614" t="s">
        <v>406</v>
      </c>
      <c r="C5614" t="s">
        <v>407</v>
      </c>
      <c r="D5614" t="s">
        <v>601</v>
      </c>
      <c r="E5614" t="s">
        <v>602</v>
      </c>
      <c r="F5614" t="s">
        <v>410</v>
      </c>
      <c r="G5614">
        <v>120</v>
      </c>
      <c r="I5614">
        <v>120</v>
      </c>
    </row>
    <row r="5615" spans="1:17" x14ac:dyDescent="0.2">
      <c r="A5615" s="121">
        <v>41121</v>
      </c>
      <c r="B5615" t="s">
        <v>406</v>
      </c>
      <c r="C5615" t="s">
        <v>407</v>
      </c>
      <c r="D5615" t="s">
        <v>411</v>
      </c>
      <c r="E5615" t="s">
        <v>412</v>
      </c>
      <c r="F5615" t="s">
        <v>413</v>
      </c>
      <c r="G5615">
        <v>5871</v>
      </c>
      <c r="H5615">
        <v>5871</v>
      </c>
      <c r="I5615">
        <v>5654</v>
      </c>
      <c r="J5615">
        <v>5654</v>
      </c>
      <c r="K5615">
        <v>2296</v>
      </c>
      <c r="L5615">
        <v>6</v>
      </c>
      <c r="M5615">
        <v>3249</v>
      </c>
      <c r="N5615">
        <v>120</v>
      </c>
      <c r="O5615">
        <v>200</v>
      </c>
      <c r="P5615">
        <v>14</v>
      </c>
      <c r="Q5615">
        <v>5</v>
      </c>
    </row>
    <row r="5616" spans="1:17" x14ac:dyDescent="0.2">
      <c r="A5616" s="121">
        <v>41121</v>
      </c>
      <c r="B5616" t="s">
        <v>406</v>
      </c>
      <c r="C5616" t="s">
        <v>407</v>
      </c>
      <c r="D5616" t="s">
        <v>416</v>
      </c>
      <c r="E5616" t="s">
        <v>417</v>
      </c>
      <c r="F5616" t="s">
        <v>413</v>
      </c>
      <c r="G5616">
        <v>3786</v>
      </c>
      <c r="H5616">
        <v>3786</v>
      </c>
      <c r="I5616">
        <v>3640</v>
      </c>
      <c r="J5616">
        <v>3640</v>
      </c>
      <c r="K5616">
        <v>1263</v>
      </c>
      <c r="L5616">
        <v>6</v>
      </c>
      <c r="M5616">
        <v>2334</v>
      </c>
      <c r="N5616">
        <v>110</v>
      </c>
      <c r="O5616">
        <v>73</v>
      </c>
      <c r="P5616">
        <v>2</v>
      </c>
      <c r="Q5616">
        <v>1</v>
      </c>
    </row>
    <row r="5617" spans="1:17" x14ac:dyDescent="0.2">
      <c r="A5617" s="121">
        <v>41121</v>
      </c>
      <c r="B5617" t="s">
        <v>406</v>
      </c>
      <c r="C5617" t="s">
        <v>407</v>
      </c>
      <c r="D5617" t="s">
        <v>618</v>
      </c>
      <c r="E5617" t="s">
        <v>619</v>
      </c>
      <c r="F5617" t="s">
        <v>410</v>
      </c>
      <c r="G5617">
        <v>123</v>
      </c>
      <c r="I5617">
        <v>123</v>
      </c>
    </row>
    <row r="5618" spans="1:17" x14ac:dyDescent="0.2">
      <c r="A5618" s="121">
        <v>41121</v>
      </c>
      <c r="B5618" t="s">
        <v>406</v>
      </c>
      <c r="C5618" t="s">
        <v>418</v>
      </c>
      <c r="D5618" t="s">
        <v>419</v>
      </c>
      <c r="E5618" t="s">
        <v>420</v>
      </c>
      <c r="F5618" t="s">
        <v>410</v>
      </c>
      <c r="G5618">
        <v>17</v>
      </c>
      <c r="I5618">
        <v>17</v>
      </c>
    </row>
    <row r="5619" spans="1:17" x14ac:dyDescent="0.2">
      <c r="A5619" s="121">
        <v>41121</v>
      </c>
      <c r="B5619" t="s">
        <v>406</v>
      </c>
      <c r="C5619" t="s">
        <v>418</v>
      </c>
      <c r="D5619" t="s">
        <v>421</v>
      </c>
      <c r="E5619" t="s">
        <v>422</v>
      </c>
      <c r="F5619" t="s">
        <v>410</v>
      </c>
      <c r="G5619">
        <v>160</v>
      </c>
      <c r="I5619">
        <v>160</v>
      </c>
    </row>
    <row r="5620" spans="1:17" x14ac:dyDescent="0.2">
      <c r="A5620" s="121">
        <v>41121</v>
      </c>
      <c r="B5620" t="s">
        <v>406</v>
      </c>
      <c r="C5620" t="s">
        <v>418</v>
      </c>
      <c r="D5620" t="s">
        <v>423</v>
      </c>
      <c r="E5620" t="s">
        <v>424</v>
      </c>
      <c r="F5620" t="s">
        <v>410</v>
      </c>
      <c r="G5620">
        <v>10</v>
      </c>
      <c r="I5620">
        <v>10</v>
      </c>
    </row>
    <row r="5621" spans="1:17" x14ac:dyDescent="0.2">
      <c r="A5621" s="121">
        <v>41121</v>
      </c>
      <c r="B5621" t="s">
        <v>406</v>
      </c>
      <c r="C5621" t="s">
        <v>418</v>
      </c>
      <c r="D5621" t="s">
        <v>425</v>
      </c>
      <c r="E5621" t="s">
        <v>426</v>
      </c>
      <c r="F5621" t="s">
        <v>410</v>
      </c>
      <c r="G5621">
        <v>48</v>
      </c>
      <c r="I5621">
        <v>48</v>
      </c>
    </row>
    <row r="5622" spans="1:17" x14ac:dyDescent="0.2">
      <c r="A5622" s="121">
        <v>41121</v>
      </c>
      <c r="B5622" t="s">
        <v>406</v>
      </c>
      <c r="C5622" t="s">
        <v>418</v>
      </c>
      <c r="D5622" t="s">
        <v>427</v>
      </c>
      <c r="E5622" t="s">
        <v>428</v>
      </c>
      <c r="F5622" t="s">
        <v>413</v>
      </c>
      <c r="G5622">
        <v>1992</v>
      </c>
      <c r="H5622">
        <v>1992</v>
      </c>
      <c r="I5622">
        <v>1934</v>
      </c>
      <c r="J5622">
        <v>1934</v>
      </c>
      <c r="K5622">
        <v>658</v>
      </c>
      <c r="L5622">
        <v>2</v>
      </c>
      <c r="M5622">
        <v>895</v>
      </c>
      <c r="N5622">
        <v>415</v>
      </c>
      <c r="O5622">
        <v>22</v>
      </c>
      <c r="P5622">
        <v>1</v>
      </c>
      <c r="Q5622">
        <v>0</v>
      </c>
    </row>
    <row r="5623" spans="1:17" x14ac:dyDescent="0.2">
      <c r="A5623" s="121">
        <v>41121</v>
      </c>
      <c r="B5623" t="s">
        <v>406</v>
      </c>
      <c r="C5623" t="s">
        <v>429</v>
      </c>
      <c r="D5623" t="s">
        <v>430</v>
      </c>
      <c r="E5623" t="s">
        <v>431</v>
      </c>
      <c r="F5623" t="s">
        <v>410</v>
      </c>
      <c r="G5623">
        <v>45</v>
      </c>
      <c r="I5623">
        <v>45</v>
      </c>
    </row>
    <row r="5624" spans="1:17" x14ac:dyDescent="0.2">
      <c r="A5624" s="121">
        <v>41121</v>
      </c>
      <c r="B5624" t="s">
        <v>406</v>
      </c>
      <c r="C5624" t="s">
        <v>429</v>
      </c>
      <c r="D5624" t="s">
        <v>432</v>
      </c>
      <c r="E5624" t="s">
        <v>433</v>
      </c>
      <c r="F5624" t="s">
        <v>410</v>
      </c>
      <c r="G5624">
        <v>60</v>
      </c>
      <c r="I5624">
        <v>60</v>
      </c>
    </row>
    <row r="5625" spans="1:17" x14ac:dyDescent="0.2">
      <c r="A5625" s="121">
        <v>41121</v>
      </c>
      <c r="B5625" t="s">
        <v>406</v>
      </c>
      <c r="C5625" t="s">
        <v>429</v>
      </c>
      <c r="D5625" t="s">
        <v>434</v>
      </c>
      <c r="E5625" t="s">
        <v>435</v>
      </c>
      <c r="F5625" t="s">
        <v>410</v>
      </c>
      <c r="G5625">
        <v>3</v>
      </c>
      <c r="I5625">
        <v>3</v>
      </c>
    </row>
    <row r="5626" spans="1:17" x14ac:dyDescent="0.2">
      <c r="A5626" s="121">
        <v>41121</v>
      </c>
      <c r="B5626" t="s">
        <v>406</v>
      </c>
      <c r="C5626" t="s">
        <v>429</v>
      </c>
      <c r="D5626" t="s">
        <v>436</v>
      </c>
      <c r="E5626" t="s">
        <v>437</v>
      </c>
      <c r="F5626" t="s">
        <v>410</v>
      </c>
      <c r="G5626">
        <v>34</v>
      </c>
      <c r="H5626">
        <v>34</v>
      </c>
      <c r="I5626">
        <v>34</v>
      </c>
      <c r="J5626">
        <v>34</v>
      </c>
      <c r="K5626">
        <v>0</v>
      </c>
      <c r="L5626">
        <v>0</v>
      </c>
      <c r="M5626">
        <v>22</v>
      </c>
      <c r="N5626">
        <v>12</v>
      </c>
      <c r="O5626">
        <v>0</v>
      </c>
      <c r="P5626">
        <v>0</v>
      </c>
      <c r="Q5626">
        <v>0</v>
      </c>
    </row>
    <row r="5627" spans="1:17" x14ac:dyDescent="0.2">
      <c r="A5627" s="121">
        <v>41121</v>
      </c>
      <c r="B5627" t="s">
        <v>406</v>
      </c>
      <c r="C5627" t="s">
        <v>429</v>
      </c>
      <c r="D5627" t="s">
        <v>438</v>
      </c>
      <c r="E5627" t="s">
        <v>439</v>
      </c>
      <c r="F5627" t="s">
        <v>413</v>
      </c>
      <c r="G5627">
        <v>1058</v>
      </c>
      <c r="H5627">
        <v>1058</v>
      </c>
      <c r="I5627">
        <v>1028</v>
      </c>
      <c r="J5627">
        <v>1028</v>
      </c>
      <c r="K5627">
        <v>110</v>
      </c>
      <c r="L5627">
        <v>2</v>
      </c>
      <c r="M5627">
        <v>918</v>
      </c>
      <c r="N5627">
        <v>28</v>
      </c>
      <c r="O5627">
        <v>0</v>
      </c>
      <c r="P5627">
        <v>1</v>
      </c>
      <c r="Q5627">
        <v>0</v>
      </c>
    </row>
    <row r="5628" spans="1:17" x14ac:dyDescent="0.2">
      <c r="A5628" s="121">
        <v>41121</v>
      </c>
      <c r="B5628" t="s">
        <v>406</v>
      </c>
      <c r="C5628" t="s">
        <v>429</v>
      </c>
      <c r="D5628" t="s">
        <v>440</v>
      </c>
      <c r="E5628" t="s">
        <v>441</v>
      </c>
      <c r="F5628" t="s">
        <v>413</v>
      </c>
      <c r="G5628">
        <v>2970</v>
      </c>
      <c r="H5628">
        <v>2970</v>
      </c>
      <c r="I5628">
        <v>2708</v>
      </c>
      <c r="J5628">
        <v>2708</v>
      </c>
      <c r="K5628">
        <v>971</v>
      </c>
      <c r="L5628">
        <v>8</v>
      </c>
      <c r="M5628">
        <v>1876</v>
      </c>
      <c r="N5628">
        <v>115</v>
      </c>
      <c r="O5628">
        <v>0</v>
      </c>
      <c r="P5628">
        <v>4</v>
      </c>
      <c r="Q5628">
        <v>0</v>
      </c>
    </row>
    <row r="5629" spans="1:17" x14ac:dyDescent="0.2">
      <c r="A5629" s="121">
        <v>41121</v>
      </c>
      <c r="B5629" t="s">
        <v>406</v>
      </c>
      <c r="C5629" t="s">
        <v>442</v>
      </c>
      <c r="D5629" t="s">
        <v>443</v>
      </c>
      <c r="E5629" t="s">
        <v>444</v>
      </c>
      <c r="F5629" t="s">
        <v>413</v>
      </c>
      <c r="G5629">
        <v>5088</v>
      </c>
      <c r="H5629">
        <v>5088</v>
      </c>
      <c r="I5629">
        <v>4971</v>
      </c>
      <c r="J5629">
        <v>4971</v>
      </c>
      <c r="K5629">
        <v>1309</v>
      </c>
      <c r="L5629">
        <v>11</v>
      </c>
      <c r="M5629">
        <v>3271</v>
      </c>
      <c r="N5629">
        <v>369</v>
      </c>
      <c r="O5629">
        <v>128</v>
      </c>
      <c r="P5629">
        <v>3</v>
      </c>
      <c r="Q5629">
        <v>0</v>
      </c>
    </row>
    <row r="5630" spans="1:17" x14ac:dyDescent="0.2">
      <c r="A5630" s="121">
        <v>41121</v>
      </c>
      <c r="B5630" t="s">
        <v>406</v>
      </c>
      <c r="C5630" t="s">
        <v>442</v>
      </c>
      <c r="D5630" t="s">
        <v>445</v>
      </c>
      <c r="E5630" t="s">
        <v>446</v>
      </c>
      <c r="F5630" t="s">
        <v>410</v>
      </c>
      <c r="G5630">
        <v>114</v>
      </c>
      <c r="I5630">
        <v>114</v>
      </c>
    </row>
    <row r="5631" spans="1:17" x14ac:dyDescent="0.2">
      <c r="A5631" s="121">
        <v>41121</v>
      </c>
      <c r="B5631" t="s">
        <v>406</v>
      </c>
      <c r="C5631" t="s">
        <v>442</v>
      </c>
      <c r="D5631" t="s">
        <v>447</v>
      </c>
      <c r="E5631" t="s">
        <v>448</v>
      </c>
      <c r="F5631" t="s">
        <v>410</v>
      </c>
      <c r="G5631">
        <v>408</v>
      </c>
      <c r="I5631">
        <v>408</v>
      </c>
    </row>
    <row r="5632" spans="1:17" x14ac:dyDescent="0.2">
      <c r="A5632" s="121">
        <v>41121</v>
      </c>
      <c r="B5632" t="s">
        <v>406</v>
      </c>
      <c r="C5632" t="s">
        <v>442</v>
      </c>
      <c r="D5632" t="s">
        <v>449</v>
      </c>
      <c r="E5632" t="s">
        <v>624</v>
      </c>
      <c r="F5632" t="s">
        <v>410</v>
      </c>
      <c r="G5632">
        <v>1544</v>
      </c>
      <c r="H5632">
        <v>1544</v>
      </c>
      <c r="I5632">
        <v>1543</v>
      </c>
      <c r="J5632">
        <v>1543</v>
      </c>
      <c r="K5632">
        <v>4</v>
      </c>
      <c r="L5632">
        <v>0</v>
      </c>
      <c r="M5632">
        <v>1309</v>
      </c>
      <c r="N5632">
        <v>88</v>
      </c>
      <c r="O5632">
        <v>143</v>
      </c>
      <c r="P5632">
        <v>0</v>
      </c>
      <c r="Q5632">
        <v>0</v>
      </c>
    </row>
    <row r="5633" spans="1:17" x14ac:dyDescent="0.2">
      <c r="A5633" s="121">
        <v>41121</v>
      </c>
      <c r="B5633" t="s">
        <v>406</v>
      </c>
      <c r="C5633" t="s">
        <v>451</v>
      </c>
      <c r="D5633" t="s">
        <v>454</v>
      </c>
      <c r="E5633" t="s">
        <v>621</v>
      </c>
      <c r="F5633" t="s">
        <v>410</v>
      </c>
      <c r="G5633">
        <v>1192</v>
      </c>
      <c r="H5633">
        <v>1192</v>
      </c>
      <c r="I5633">
        <v>1192</v>
      </c>
      <c r="J5633">
        <v>1192</v>
      </c>
      <c r="K5633">
        <v>2</v>
      </c>
      <c r="L5633">
        <v>0</v>
      </c>
      <c r="M5633">
        <v>1051</v>
      </c>
      <c r="N5633">
        <v>53</v>
      </c>
      <c r="O5633">
        <v>86</v>
      </c>
      <c r="P5633">
        <v>0</v>
      </c>
      <c r="Q5633">
        <v>0</v>
      </c>
    </row>
    <row r="5634" spans="1:17" x14ac:dyDescent="0.2">
      <c r="A5634" s="121">
        <v>41121</v>
      </c>
      <c r="B5634" t="s">
        <v>406</v>
      </c>
      <c r="C5634" t="s">
        <v>451</v>
      </c>
      <c r="D5634" t="s">
        <v>622</v>
      </c>
      <c r="E5634" t="s">
        <v>623</v>
      </c>
      <c r="F5634" t="s">
        <v>413</v>
      </c>
      <c r="G5634">
        <v>5011</v>
      </c>
      <c r="H5634">
        <v>5011</v>
      </c>
      <c r="I5634">
        <v>4727</v>
      </c>
      <c r="J5634">
        <v>4727</v>
      </c>
      <c r="K5634">
        <v>1249</v>
      </c>
      <c r="L5634">
        <v>17</v>
      </c>
      <c r="M5634">
        <v>3520</v>
      </c>
      <c r="N5634">
        <v>178</v>
      </c>
      <c r="O5634">
        <v>47</v>
      </c>
      <c r="P5634">
        <v>3</v>
      </c>
      <c r="Q5634">
        <v>0</v>
      </c>
    </row>
    <row r="5635" spans="1:17" x14ac:dyDescent="0.2">
      <c r="A5635" s="121">
        <v>41121</v>
      </c>
      <c r="B5635" t="s">
        <v>406</v>
      </c>
      <c r="C5635" t="s">
        <v>456</v>
      </c>
      <c r="D5635" t="s">
        <v>457</v>
      </c>
      <c r="E5635" t="s">
        <v>458</v>
      </c>
      <c r="F5635" t="s">
        <v>413</v>
      </c>
      <c r="G5635">
        <v>5241</v>
      </c>
      <c r="H5635">
        <v>5241</v>
      </c>
      <c r="I5635">
        <v>5004</v>
      </c>
      <c r="J5635">
        <v>5004</v>
      </c>
      <c r="K5635">
        <v>1290</v>
      </c>
      <c r="L5635">
        <v>18</v>
      </c>
      <c r="M5635">
        <v>3783</v>
      </c>
      <c r="N5635">
        <v>75</v>
      </c>
      <c r="O5635">
        <v>75</v>
      </c>
      <c r="P5635">
        <v>13</v>
      </c>
      <c r="Q5635">
        <v>0</v>
      </c>
    </row>
    <row r="5636" spans="1:17" x14ac:dyDescent="0.2">
      <c r="A5636" s="121">
        <v>41121</v>
      </c>
      <c r="B5636" t="s">
        <v>406</v>
      </c>
      <c r="C5636" t="s">
        <v>456</v>
      </c>
      <c r="D5636" t="s">
        <v>459</v>
      </c>
      <c r="E5636" t="s">
        <v>460</v>
      </c>
      <c r="F5636" t="s">
        <v>413</v>
      </c>
      <c r="G5636">
        <v>1199</v>
      </c>
      <c r="H5636">
        <v>1199</v>
      </c>
      <c r="I5636">
        <v>1190</v>
      </c>
      <c r="J5636">
        <v>1190</v>
      </c>
      <c r="K5636">
        <v>306</v>
      </c>
      <c r="L5636">
        <v>0</v>
      </c>
      <c r="M5636">
        <v>884</v>
      </c>
      <c r="N5636">
        <v>5</v>
      </c>
      <c r="O5636">
        <v>4</v>
      </c>
      <c r="P5636">
        <v>0</v>
      </c>
      <c r="Q5636">
        <v>0</v>
      </c>
    </row>
    <row r="5637" spans="1:17" x14ac:dyDescent="0.2">
      <c r="A5637" s="121">
        <v>41121</v>
      </c>
      <c r="B5637" t="s">
        <v>406</v>
      </c>
      <c r="C5637" t="s">
        <v>456</v>
      </c>
      <c r="D5637" t="s">
        <v>461</v>
      </c>
      <c r="E5637" t="s">
        <v>462</v>
      </c>
      <c r="F5637" t="s">
        <v>410</v>
      </c>
      <c r="G5637">
        <v>94</v>
      </c>
      <c r="I5637">
        <v>94</v>
      </c>
    </row>
    <row r="5638" spans="1:17" x14ac:dyDescent="0.2">
      <c r="A5638" s="121">
        <v>41121</v>
      </c>
      <c r="B5638" t="s">
        <v>406</v>
      </c>
      <c r="C5638" t="s">
        <v>456</v>
      </c>
      <c r="D5638" t="s">
        <v>463</v>
      </c>
      <c r="E5638" t="s">
        <v>464</v>
      </c>
      <c r="F5638" t="s">
        <v>410</v>
      </c>
      <c r="G5638">
        <v>27</v>
      </c>
      <c r="I5638">
        <v>27</v>
      </c>
    </row>
    <row r="5639" spans="1:17" x14ac:dyDescent="0.2">
      <c r="A5639" s="121">
        <v>41121</v>
      </c>
      <c r="B5639" t="s">
        <v>406</v>
      </c>
      <c r="C5639" t="s">
        <v>456</v>
      </c>
      <c r="D5639" t="s">
        <v>465</v>
      </c>
      <c r="E5639" t="s">
        <v>466</v>
      </c>
      <c r="F5639" t="s">
        <v>410</v>
      </c>
      <c r="G5639">
        <v>68</v>
      </c>
      <c r="I5639">
        <v>68</v>
      </c>
    </row>
    <row r="5640" spans="1:17" x14ac:dyDescent="0.2">
      <c r="A5640" s="121">
        <v>41121</v>
      </c>
      <c r="B5640" t="s">
        <v>406</v>
      </c>
      <c r="C5640" t="s">
        <v>456</v>
      </c>
      <c r="D5640" t="s">
        <v>467</v>
      </c>
      <c r="E5640" t="s">
        <v>468</v>
      </c>
      <c r="F5640" t="s">
        <v>410</v>
      </c>
      <c r="G5640">
        <v>1124</v>
      </c>
      <c r="I5640">
        <v>1122</v>
      </c>
    </row>
    <row r="5641" spans="1:17" x14ac:dyDescent="0.2">
      <c r="A5641" s="121">
        <v>41121</v>
      </c>
      <c r="B5641" t="s">
        <v>406</v>
      </c>
      <c r="C5641" t="s">
        <v>456</v>
      </c>
      <c r="D5641" t="s">
        <v>469</v>
      </c>
      <c r="E5641" t="s">
        <v>470</v>
      </c>
      <c r="F5641" t="s">
        <v>410</v>
      </c>
      <c r="G5641">
        <v>879</v>
      </c>
      <c r="I5641">
        <v>879</v>
      </c>
    </row>
    <row r="5642" spans="1:17" x14ac:dyDescent="0.2">
      <c r="A5642" s="121">
        <v>41121</v>
      </c>
      <c r="B5642" t="s">
        <v>406</v>
      </c>
      <c r="C5642" t="s">
        <v>456</v>
      </c>
      <c r="D5642" t="s">
        <v>471</v>
      </c>
      <c r="E5642" t="s">
        <v>472</v>
      </c>
      <c r="F5642" t="s">
        <v>410</v>
      </c>
      <c r="G5642">
        <v>286</v>
      </c>
      <c r="I5642">
        <v>286</v>
      </c>
    </row>
    <row r="5643" spans="1:17" x14ac:dyDescent="0.2">
      <c r="A5643" s="121">
        <v>41121</v>
      </c>
      <c r="B5643" t="s">
        <v>406</v>
      </c>
      <c r="C5643" t="s">
        <v>456</v>
      </c>
      <c r="D5643" t="s">
        <v>473</v>
      </c>
      <c r="E5643" t="s">
        <v>474</v>
      </c>
      <c r="F5643" t="s">
        <v>410</v>
      </c>
      <c r="G5643">
        <v>199</v>
      </c>
      <c r="I5643">
        <v>199</v>
      </c>
    </row>
    <row r="5644" spans="1:17" x14ac:dyDescent="0.2">
      <c r="A5644" s="121">
        <v>41121</v>
      </c>
      <c r="B5644" t="s">
        <v>406</v>
      </c>
      <c r="C5644" t="s">
        <v>456</v>
      </c>
      <c r="D5644" t="s">
        <v>475</v>
      </c>
      <c r="E5644" t="s">
        <v>476</v>
      </c>
      <c r="F5644" t="s">
        <v>410</v>
      </c>
      <c r="G5644">
        <v>354</v>
      </c>
      <c r="I5644">
        <v>350</v>
      </c>
    </row>
    <row r="5645" spans="1:17" x14ac:dyDescent="0.2">
      <c r="A5645" s="121">
        <v>41121</v>
      </c>
      <c r="B5645" t="s">
        <v>406</v>
      </c>
      <c r="C5645" t="s">
        <v>456</v>
      </c>
      <c r="D5645" t="s">
        <v>477</v>
      </c>
      <c r="E5645" t="s">
        <v>478</v>
      </c>
      <c r="F5645" t="s">
        <v>413</v>
      </c>
      <c r="G5645">
        <v>2158</v>
      </c>
      <c r="H5645">
        <v>2158</v>
      </c>
      <c r="I5645">
        <v>2087</v>
      </c>
      <c r="J5645">
        <v>2087</v>
      </c>
      <c r="K5645">
        <v>459</v>
      </c>
      <c r="L5645">
        <v>6</v>
      </c>
      <c r="M5645">
        <v>1646</v>
      </c>
      <c r="N5645">
        <v>33</v>
      </c>
      <c r="O5645">
        <v>14</v>
      </c>
      <c r="P5645">
        <v>5</v>
      </c>
      <c r="Q5645">
        <v>0</v>
      </c>
    </row>
    <row r="5646" spans="1:17" x14ac:dyDescent="0.2">
      <c r="A5646" s="121">
        <v>41121</v>
      </c>
      <c r="B5646" t="s">
        <v>406</v>
      </c>
      <c r="C5646" t="s">
        <v>456</v>
      </c>
      <c r="D5646" t="s">
        <v>479</v>
      </c>
      <c r="E5646" t="s">
        <v>480</v>
      </c>
      <c r="F5646" t="s">
        <v>410</v>
      </c>
      <c r="G5646">
        <v>70</v>
      </c>
      <c r="I5646">
        <v>70</v>
      </c>
    </row>
    <row r="5647" spans="1:17" x14ac:dyDescent="0.2">
      <c r="A5647" s="121">
        <v>41121</v>
      </c>
      <c r="B5647" t="s">
        <v>406</v>
      </c>
      <c r="C5647" t="s">
        <v>456</v>
      </c>
      <c r="D5647" t="s">
        <v>481</v>
      </c>
      <c r="E5647" t="s">
        <v>482</v>
      </c>
      <c r="F5647" t="s">
        <v>410</v>
      </c>
      <c r="G5647">
        <v>35</v>
      </c>
      <c r="I5647">
        <v>35</v>
      </c>
    </row>
    <row r="5648" spans="1:17" x14ac:dyDescent="0.2">
      <c r="A5648" s="121">
        <v>41121</v>
      </c>
      <c r="B5648" t="s">
        <v>406</v>
      </c>
      <c r="C5648" t="s">
        <v>456</v>
      </c>
      <c r="D5648" t="s">
        <v>483</v>
      </c>
      <c r="E5648" t="s">
        <v>484</v>
      </c>
      <c r="F5648" t="s">
        <v>410</v>
      </c>
      <c r="G5648">
        <v>120</v>
      </c>
      <c r="I5648">
        <v>120</v>
      </c>
    </row>
    <row r="5649" spans="1:17" x14ac:dyDescent="0.2">
      <c r="A5649" s="121">
        <v>41121</v>
      </c>
      <c r="B5649" t="s">
        <v>406</v>
      </c>
      <c r="C5649" t="s">
        <v>456</v>
      </c>
      <c r="D5649" t="s">
        <v>485</v>
      </c>
      <c r="E5649" t="s">
        <v>486</v>
      </c>
      <c r="F5649" t="s">
        <v>410</v>
      </c>
      <c r="G5649">
        <v>35</v>
      </c>
      <c r="I5649">
        <v>35</v>
      </c>
    </row>
    <row r="5650" spans="1:17" x14ac:dyDescent="0.2">
      <c r="A5650" s="121">
        <v>41121</v>
      </c>
      <c r="B5650" t="s">
        <v>406</v>
      </c>
      <c r="C5650" t="s">
        <v>456</v>
      </c>
      <c r="D5650" t="s">
        <v>487</v>
      </c>
      <c r="E5650" t="s">
        <v>488</v>
      </c>
      <c r="F5650" t="s">
        <v>410</v>
      </c>
      <c r="G5650">
        <v>33</v>
      </c>
      <c r="I5650">
        <v>33</v>
      </c>
    </row>
    <row r="5651" spans="1:17" x14ac:dyDescent="0.2">
      <c r="A5651" s="121">
        <v>41121</v>
      </c>
      <c r="B5651" t="s">
        <v>406</v>
      </c>
      <c r="C5651" t="s">
        <v>456</v>
      </c>
      <c r="D5651" t="s">
        <v>489</v>
      </c>
      <c r="E5651" t="s">
        <v>490</v>
      </c>
      <c r="F5651" t="s">
        <v>410</v>
      </c>
      <c r="G5651">
        <v>93</v>
      </c>
      <c r="I5651">
        <v>93</v>
      </c>
    </row>
    <row r="5652" spans="1:17" x14ac:dyDescent="0.2">
      <c r="A5652" s="121">
        <v>41121</v>
      </c>
      <c r="B5652" t="s">
        <v>406</v>
      </c>
      <c r="C5652" t="s">
        <v>491</v>
      </c>
      <c r="D5652" t="s">
        <v>492</v>
      </c>
      <c r="E5652" t="s">
        <v>493</v>
      </c>
      <c r="F5652" t="s">
        <v>410</v>
      </c>
      <c r="G5652">
        <v>1204</v>
      </c>
      <c r="H5652">
        <v>1204</v>
      </c>
      <c r="I5652">
        <v>1183</v>
      </c>
      <c r="J5652">
        <v>1183</v>
      </c>
      <c r="K5652">
        <v>231</v>
      </c>
      <c r="L5652">
        <v>4</v>
      </c>
      <c r="M5652">
        <v>912</v>
      </c>
      <c r="N5652">
        <v>53</v>
      </c>
      <c r="O5652">
        <v>4</v>
      </c>
      <c r="P5652">
        <v>0</v>
      </c>
      <c r="Q5652">
        <v>0</v>
      </c>
    </row>
    <row r="5653" spans="1:17" x14ac:dyDescent="0.2">
      <c r="A5653" s="121">
        <v>41121</v>
      </c>
      <c r="B5653" t="s">
        <v>406</v>
      </c>
      <c r="C5653" t="s">
        <v>491</v>
      </c>
      <c r="D5653" t="s">
        <v>494</v>
      </c>
      <c r="E5653" t="s">
        <v>495</v>
      </c>
      <c r="F5653" t="s">
        <v>413</v>
      </c>
      <c r="G5653">
        <v>2800</v>
      </c>
      <c r="H5653">
        <v>2800</v>
      </c>
      <c r="I5653">
        <v>2712</v>
      </c>
      <c r="J5653">
        <v>2712</v>
      </c>
      <c r="K5653">
        <v>815</v>
      </c>
      <c r="L5653">
        <v>8</v>
      </c>
      <c r="M5653">
        <v>1787</v>
      </c>
      <c r="N5653">
        <v>25</v>
      </c>
      <c r="O5653">
        <v>165</v>
      </c>
      <c r="P5653">
        <v>1</v>
      </c>
      <c r="Q5653">
        <v>0</v>
      </c>
    </row>
    <row r="5654" spans="1:17" x14ac:dyDescent="0.2">
      <c r="A5654" s="121">
        <v>41121</v>
      </c>
      <c r="B5654" t="s">
        <v>406</v>
      </c>
      <c r="C5654" t="s">
        <v>491</v>
      </c>
      <c r="D5654" t="s">
        <v>496</v>
      </c>
      <c r="E5654" t="s">
        <v>497</v>
      </c>
      <c r="F5654" t="s">
        <v>413</v>
      </c>
      <c r="G5654">
        <v>5886</v>
      </c>
      <c r="H5654">
        <v>5886</v>
      </c>
      <c r="I5654">
        <v>5348</v>
      </c>
      <c r="J5654">
        <v>5348</v>
      </c>
      <c r="K5654">
        <v>2047</v>
      </c>
      <c r="L5654">
        <v>29</v>
      </c>
      <c r="M5654">
        <v>3433</v>
      </c>
      <c r="N5654">
        <v>115</v>
      </c>
      <c r="O5654">
        <v>262</v>
      </c>
      <c r="P5654">
        <v>15</v>
      </c>
      <c r="Q5654">
        <v>0</v>
      </c>
    </row>
    <row r="5655" spans="1:17" x14ac:dyDescent="0.2">
      <c r="A5655" s="121">
        <v>41121</v>
      </c>
      <c r="B5655" t="s">
        <v>406</v>
      </c>
      <c r="C5655" t="s">
        <v>491</v>
      </c>
      <c r="D5655" t="s">
        <v>498</v>
      </c>
      <c r="E5655" t="s">
        <v>499</v>
      </c>
      <c r="F5655" t="s">
        <v>413</v>
      </c>
      <c r="G5655">
        <v>7102</v>
      </c>
      <c r="H5655">
        <v>7102</v>
      </c>
      <c r="I5655">
        <v>6909</v>
      </c>
      <c r="J5655">
        <v>6909</v>
      </c>
      <c r="K5655">
        <v>1618</v>
      </c>
      <c r="L5655">
        <v>22</v>
      </c>
      <c r="M5655">
        <v>4969</v>
      </c>
      <c r="N5655">
        <v>134</v>
      </c>
      <c r="O5655">
        <v>359</v>
      </c>
      <c r="P5655">
        <v>3</v>
      </c>
      <c r="Q5655">
        <v>0</v>
      </c>
    </row>
    <row r="5656" spans="1:17" x14ac:dyDescent="0.2">
      <c r="A5656" s="121">
        <v>41121</v>
      </c>
      <c r="B5656" t="s">
        <v>406</v>
      </c>
      <c r="C5656" t="s">
        <v>491</v>
      </c>
      <c r="D5656" t="s">
        <v>500</v>
      </c>
      <c r="E5656" t="s">
        <v>620</v>
      </c>
      <c r="F5656" t="s">
        <v>410</v>
      </c>
      <c r="G5656">
        <v>1258</v>
      </c>
      <c r="H5656">
        <v>1258</v>
      </c>
      <c r="I5656">
        <v>1258</v>
      </c>
      <c r="J5656">
        <v>1258</v>
      </c>
      <c r="K5656">
        <v>7</v>
      </c>
      <c r="L5656">
        <v>0</v>
      </c>
      <c r="M5656">
        <v>1130</v>
      </c>
      <c r="N5656">
        <v>10</v>
      </c>
      <c r="O5656">
        <v>111</v>
      </c>
      <c r="P5656">
        <v>0</v>
      </c>
      <c r="Q5656">
        <v>0</v>
      </c>
    </row>
    <row r="5657" spans="1:17" x14ac:dyDescent="0.2">
      <c r="A5657" s="121">
        <v>41121</v>
      </c>
      <c r="B5657" t="s">
        <v>406</v>
      </c>
      <c r="C5657" t="s">
        <v>491</v>
      </c>
      <c r="D5657" t="s">
        <v>502</v>
      </c>
      <c r="E5657" t="s">
        <v>615</v>
      </c>
      <c r="F5657" t="s">
        <v>410</v>
      </c>
      <c r="G5657">
        <v>1544</v>
      </c>
      <c r="H5657">
        <v>1544</v>
      </c>
      <c r="I5657">
        <v>1544</v>
      </c>
      <c r="J5657">
        <v>1544</v>
      </c>
      <c r="K5657">
        <v>1</v>
      </c>
      <c r="L5657">
        <v>1</v>
      </c>
      <c r="M5657">
        <v>1529</v>
      </c>
      <c r="N5657">
        <v>0</v>
      </c>
      <c r="O5657">
        <v>13</v>
      </c>
      <c r="P5657">
        <v>0</v>
      </c>
      <c r="Q5657">
        <v>0</v>
      </c>
    </row>
    <row r="5658" spans="1:17" x14ac:dyDescent="0.2">
      <c r="A5658" s="121">
        <v>41121</v>
      </c>
      <c r="B5658" t="s">
        <v>406</v>
      </c>
      <c r="C5658" t="s">
        <v>491</v>
      </c>
      <c r="D5658" t="s">
        <v>502</v>
      </c>
      <c r="E5658" t="s">
        <v>503</v>
      </c>
      <c r="F5658" t="s">
        <v>413</v>
      </c>
      <c r="G5658">
        <v>5273</v>
      </c>
      <c r="H5658">
        <v>5273</v>
      </c>
      <c r="I5658">
        <v>5019</v>
      </c>
      <c r="J5658">
        <v>5019</v>
      </c>
      <c r="K5658">
        <v>1437</v>
      </c>
      <c r="L5658">
        <v>4</v>
      </c>
      <c r="M5658">
        <v>3650</v>
      </c>
      <c r="N5658">
        <v>106</v>
      </c>
      <c r="O5658">
        <v>76</v>
      </c>
      <c r="P5658">
        <v>3</v>
      </c>
      <c r="Q5658">
        <v>0</v>
      </c>
    </row>
    <row r="5659" spans="1:17" x14ac:dyDescent="0.2">
      <c r="A5659" s="121">
        <v>41121</v>
      </c>
      <c r="B5659" t="s">
        <v>406</v>
      </c>
      <c r="C5659" t="s">
        <v>491</v>
      </c>
      <c r="D5659" t="s">
        <v>504</v>
      </c>
      <c r="E5659" t="s">
        <v>505</v>
      </c>
      <c r="F5659" t="s">
        <v>413</v>
      </c>
      <c r="G5659">
        <v>4140</v>
      </c>
      <c r="H5659">
        <v>4140</v>
      </c>
      <c r="I5659">
        <v>3887</v>
      </c>
      <c r="J5659">
        <v>3887</v>
      </c>
      <c r="K5659">
        <v>1095</v>
      </c>
      <c r="L5659">
        <v>1</v>
      </c>
      <c r="M5659">
        <v>2926</v>
      </c>
      <c r="N5659">
        <v>67</v>
      </c>
      <c r="O5659">
        <v>51</v>
      </c>
      <c r="P5659">
        <v>3</v>
      </c>
      <c r="Q5659">
        <v>0</v>
      </c>
    </row>
    <row r="5660" spans="1:17" x14ac:dyDescent="0.2">
      <c r="A5660" s="121">
        <v>41121</v>
      </c>
      <c r="B5660" t="s">
        <v>406</v>
      </c>
      <c r="C5660" t="s">
        <v>491</v>
      </c>
      <c r="D5660" t="s">
        <v>506</v>
      </c>
      <c r="E5660" t="s">
        <v>507</v>
      </c>
      <c r="F5660" t="s">
        <v>413</v>
      </c>
      <c r="G5660">
        <v>3262</v>
      </c>
      <c r="H5660">
        <v>3262</v>
      </c>
      <c r="I5660">
        <v>3163</v>
      </c>
      <c r="J5660">
        <v>3163</v>
      </c>
      <c r="K5660">
        <v>539</v>
      </c>
      <c r="L5660">
        <v>1</v>
      </c>
      <c r="M5660">
        <v>2714</v>
      </c>
      <c r="N5660">
        <v>2</v>
      </c>
      <c r="O5660">
        <v>6</v>
      </c>
      <c r="P5660">
        <v>0</v>
      </c>
      <c r="Q5660">
        <v>0</v>
      </c>
    </row>
    <row r="5661" spans="1:17" x14ac:dyDescent="0.2">
      <c r="A5661" s="121">
        <v>41121</v>
      </c>
      <c r="B5661" t="s">
        <v>406</v>
      </c>
      <c r="C5661" t="s">
        <v>491</v>
      </c>
      <c r="D5661" t="s">
        <v>508</v>
      </c>
      <c r="E5661" t="s">
        <v>509</v>
      </c>
      <c r="F5661" t="s">
        <v>413</v>
      </c>
      <c r="G5661">
        <v>5028</v>
      </c>
      <c r="H5661">
        <v>5028</v>
      </c>
      <c r="I5661">
        <v>4862</v>
      </c>
      <c r="J5661">
        <v>4862</v>
      </c>
      <c r="K5661">
        <v>1506</v>
      </c>
      <c r="L5661">
        <v>7</v>
      </c>
      <c r="M5661">
        <v>3122</v>
      </c>
      <c r="N5661">
        <v>87</v>
      </c>
      <c r="O5661">
        <v>306</v>
      </c>
      <c r="P5661">
        <v>3</v>
      </c>
      <c r="Q5661">
        <v>0</v>
      </c>
    </row>
    <row r="5662" spans="1:17" x14ac:dyDescent="0.2">
      <c r="A5662" s="121">
        <v>41121</v>
      </c>
      <c r="B5662" t="s">
        <v>406</v>
      </c>
      <c r="C5662" t="s">
        <v>510</v>
      </c>
      <c r="D5662" t="s">
        <v>513</v>
      </c>
      <c r="E5662" t="s">
        <v>514</v>
      </c>
      <c r="F5662" t="s">
        <v>410</v>
      </c>
      <c r="G5662">
        <v>651</v>
      </c>
      <c r="I5662">
        <v>643</v>
      </c>
    </row>
    <row r="5663" spans="1:17" x14ac:dyDescent="0.2">
      <c r="A5663" s="121">
        <v>41121</v>
      </c>
      <c r="B5663" t="s">
        <v>406</v>
      </c>
      <c r="C5663" t="s">
        <v>510</v>
      </c>
      <c r="D5663" t="s">
        <v>515</v>
      </c>
      <c r="E5663" t="s">
        <v>516</v>
      </c>
      <c r="F5663" t="s">
        <v>410</v>
      </c>
      <c r="G5663">
        <v>130</v>
      </c>
      <c r="I5663">
        <v>127</v>
      </c>
    </row>
    <row r="5664" spans="1:17" x14ac:dyDescent="0.2">
      <c r="A5664" s="121">
        <v>41121</v>
      </c>
      <c r="B5664" t="s">
        <v>406</v>
      </c>
      <c r="C5664" t="s">
        <v>510</v>
      </c>
      <c r="D5664" t="s">
        <v>519</v>
      </c>
      <c r="E5664" t="s">
        <v>520</v>
      </c>
      <c r="F5664" t="s">
        <v>410</v>
      </c>
      <c r="G5664">
        <v>374</v>
      </c>
      <c r="I5664">
        <v>367</v>
      </c>
    </row>
    <row r="5665" spans="1:17" x14ac:dyDescent="0.2">
      <c r="A5665" s="121">
        <v>41121</v>
      </c>
      <c r="B5665" t="s">
        <v>406</v>
      </c>
      <c r="C5665" t="s">
        <v>510</v>
      </c>
      <c r="D5665" t="s">
        <v>521</v>
      </c>
      <c r="E5665" t="s">
        <v>522</v>
      </c>
      <c r="F5665" t="s">
        <v>410</v>
      </c>
      <c r="G5665">
        <v>67</v>
      </c>
      <c r="I5665">
        <v>66</v>
      </c>
    </row>
    <row r="5666" spans="1:17" x14ac:dyDescent="0.2">
      <c r="A5666" s="121">
        <v>41121</v>
      </c>
      <c r="B5666" t="s">
        <v>406</v>
      </c>
      <c r="C5666" t="s">
        <v>510</v>
      </c>
      <c r="D5666" t="s">
        <v>523</v>
      </c>
      <c r="E5666" t="s">
        <v>524</v>
      </c>
      <c r="F5666" t="s">
        <v>413</v>
      </c>
      <c r="G5666">
        <v>598</v>
      </c>
      <c r="H5666">
        <v>598</v>
      </c>
      <c r="I5666">
        <v>586</v>
      </c>
      <c r="J5666">
        <v>586</v>
      </c>
      <c r="K5666">
        <v>106</v>
      </c>
      <c r="L5666">
        <v>1</v>
      </c>
      <c r="M5666">
        <v>474</v>
      </c>
      <c r="N5666">
        <v>17</v>
      </c>
      <c r="O5666">
        <v>0</v>
      </c>
      <c r="P5666">
        <v>1</v>
      </c>
      <c r="Q5666">
        <v>0</v>
      </c>
    </row>
    <row r="5667" spans="1:17" x14ac:dyDescent="0.2">
      <c r="A5667" s="121">
        <v>41121</v>
      </c>
      <c r="B5667" t="s">
        <v>406</v>
      </c>
      <c r="C5667" t="s">
        <v>510</v>
      </c>
      <c r="D5667" t="s">
        <v>525</v>
      </c>
      <c r="E5667" t="s">
        <v>526</v>
      </c>
      <c r="F5667" t="s">
        <v>410</v>
      </c>
      <c r="G5667">
        <v>466</v>
      </c>
      <c r="I5667">
        <v>451</v>
      </c>
    </row>
    <row r="5668" spans="1:17" x14ac:dyDescent="0.2">
      <c r="A5668" s="121">
        <v>41121</v>
      </c>
      <c r="B5668" t="s">
        <v>406</v>
      </c>
      <c r="C5668" t="s">
        <v>510</v>
      </c>
      <c r="D5668" t="s">
        <v>527</v>
      </c>
      <c r="E5668" t="s">
        <v>528</v>
      </c>
      <c r="F5668" t="s">
        <v>410</v>
      </c>
      <c r="G5668">
        <v>213</v>
      </c>
      <c r="I5668">
        <v>211</v>
      </c>
    </row>
    <row r="5669" spans="1:17" x14ac:dyDescent="0.2">
      <c r="A5669" s="121">
        <v>41121</v>
      </c>
      <c r="B5669" t="s">
        <v>406</v>
      </c>
      <c r="C5669" t="s">
        <v>510</v>
      </c>
      <c r="D5669" t="s">
        <v>529</v>
      </c>
      <c r="E5669" t="s">
        <v>530</v>
      </c>
      <c r="F5669" t="s">
        <v>413</v>
      </c>
      <c r="G5669">
        <v>567</v>
      </c>
      <c r="H5669">
        <v>567</v>
      </c>
      <c r="I5669">
        <v>556</v>
      </c>
      <c r="J5669">
        <v>556</v>
      </c>
      <c r="K5669">
        <v>198</v>
      </c>
      <c r="L5669">
        <v>1</v>
      </c>
      <c r="M5669">
        <v>368</v>
      </c>
      <c r="N5669">
        <v>0</v>
      </c>
      <c r="O5669">
        <v>0</v>
      </c>
      <c r="P5669">
        <v>0</v>
      </c>
      <c r="Q5669">
        <v>0</v>
      </c>
    </row>
    <row r="5670" spans="1:17" x14ac:dyDescent="0.2">
      <c r="A5670" s="121">
        <v>41121</v>
      </c>
      <c r="B5670" t="s">
        <v>406</v>
      </c>
      <c r="C5670" t="s">
        <v>510</v>
      </c>
      <c r="D5670" t="s">
        <v>531</v>
      </c>
      <c r="E5670" t="s">
        <v>532</v>
      </c>
      <c r="F5670" t="s">
        <v>410</v>
      </c>
      <c r="G5670">
        <v>38</v>
      </c>
      <c r="I5670">
        <v>38</v>
      </c>
    </row>
    <row r="5671" spans="1:17" x14ac:dyDescent="0.2">
      <c r="A5671" s="121">
        <v>41121</v>
      </c>
      <c r="B5671" t="s">
        <v>406</v>
      </c>
      <c r="C5671" t="s">
        <v>510</v>
      </c>
      <c r="D5671" t="s">
        <v>533</v>
      </c>
      <c r="E5671" t="s">
        <v>534</v>
      </c>
      <c r="F5671" t="s">
        <v>413</v>
      </c>
      <c r="G5671">
        <v>2748</v>
      </c>
      <c r="H5671">
        <v>2748</v>
      </c>
      <c r="I5671">
        <v>2658</v>
      </c>
      <c r="J5671">
        <v>2658</v>
      </c>
      <c r="K5671">
        <v>567</v>
      </c>
      <c r="L5671">
        <v>1</v>
      </c>
      <c r="M5671">
        <v>2177</v>
      </c>
      <c r="N5671">
        <v>3</v>
      </c>
      <c r="O5671">
        <v>0</v>
      </c>
      <c r="P5671">
        <v>4</v>
      </c>
      <c r="Q5671">
        <v>0</v>
      </c>
    </row>
    <row r="5672" spans="1:17" x14ac:dyDescent="0.2">
      <c r="A5672" s="121">
        <v>41121</v>
      </c>
      <c r="B5672" t="s">
        <v>406</v>
      </c>
      <c r="C5672" t="s">
        <v>510</v>
      </c>
      <c r="D5672" t="s">
        <v>535</v>
      </c>
      <c r="E5672" t="s">
        <v>536</v>
      </c>
      <c r="F5672" t="s">
        <v>410</v>
      </c>
      <c r="G5672">
        <v>387</v>
      </c>
      <c r="I5672">
        <v>387</v>
      </c>
    </row>
    <row r="5673" spans="1:17" x14ac:dyDescent="0.2">
      <c r="A5673" s="121">
        <v>41121</v>
      </c>
      <c r="B5673" t="s">
        <v>406</v>
      </c>
      <c r="C5673" t="s">
        <v>510</v>
      </c>
      <c r="D5673" t="s">
        <v>537</v>
      </c>
      <c r="E5673" t="s">
        <v>538</v>
      </c>
      <c r="F5673" t="s">
        <v>410</v>
      </c>
      <c r="G5673">
        <v>115</v>
      </c>
      <c r="I5673">
        <v>115</v>
      </c>
    </row>
    <row r="5674" spans="1:17" x14ac:dyDescent="0.2">
      <c r="A5674" s="121">
        <v>41121</v>
      </c>
      <c r="B5674" t="s">
        <v>406</v>
      </c>
      <c r="C5674" t="s">
        <v>510</v>
      </c>
      <c r="D5674" t="s">
        <v>539</v>
      </c>
      <c r="E5674" t="s">
        <v>540</v>
      </c>
      <c r="F5674" t="s">
        <v>413</v>
      </c>
      <c r="G5674">
        <v>882</v>
      </c>
      <c r="H5674">
        <v>882</v>
      </c>
      <c r="I5674">
        <v>865</v>
      </c>
      <c r="J5674">
        <v>865</v>
      </c>
      <c r="K5674">
        <v>128</v>
      </c>
      <c r="L5674">
        <v>0</v>
      </c>
      <c r="M5674">
        <v>752</v>
      </c>
      <c r="N5674">
        <v>2</v>
      </c>
      <c r="O5674">
        <v>0</v>
      </c>
      <c r="P5674">
        <v>2</v>
      </c>
      <c r="Q5674">
        <v>0</v>
      </c>
    </row>
    <row r="5675" spans="1:17" x14ac:dyDescent="0.2">
      <c r="A5675" s="121">
        <v>41121</v>
      </c>
      <c r="B5675" t="s">
        <v>406</v>
      </c>
      <c r="C5675" t="s">
        <v>510</v>
      </c>
      <c r="D5675" t="s">
        <v>541</v>
      </c>
      <c r="E5675" t="s">
        <v>542</v>
      </c>
      <c r="F5675" t="s">
        <v>410</v>
      </c>
      <c r="G5675">
        <v>441</v>
      </c>
      <c r="I5675">
        <v>441</v>
      </c>
    </row>
    <row r="5676" spans="1:17" x14ac:dyDescent="0.2">
      <c r="A5676" s="121">
        <v>41121</v>
      </c>
      <c r="B5676" t="s">
        <v>406</v>
      </c>
      <c r="C5676" t="s">
        <v>510</v>
      </c>
      <c r="D5676" t="s">
        <v>543</v>
      </c>
      <c r="E5676" t="s">
        <v>544</v>
      </c>
      <c r="F5676" t="s">
        <v>410</v>
      </c>
      <c r="G5676">
        <v>284</v>
      </c>
      <c r="I5676">
        <v>284</v>
      </c>
    </row>
    <row r="5677" spans="1:17" x14ac:dyDescent="0.2">
      <c r="A5677" s="121">
        <v>41121</v>
      </c>
      <c r="B5677" t="s">
        <v>406</v>
      </c>
      <c r="C5677" t="s">
        <v>510</v>
      </c>
      <c r="D5677" t="s">
        <v>545</v>
      </c>
      <c r="E5677" t="s">
        <v>546</v>
      </c>
      <c r="F5677" t="s">
        <v>410</v>
      </c>
      <c r="G5677">
        <v>183</v>
      </c>
      <c r="I5677">
        <v>183</v>
      </c>
    </row>
    <row r="5678" spans="1:17" x14ac:dyDescent="0.2">
      <c r="A5678" s="121">
        <v>41121</v>
      </c>
      <c r="B5678" t="s">
        <v>406</v>
      </c>
      <c r="C5678" t="s">
        <v>510</v>
      </c>
      <c r="D5678" t="s">
        <v>547</v>
      </c>
      <c r="E5678" t="s">
        <v>548</v>
      </c>
      <c r="F5678" t="s">
        <v>410</v>
      </c>
      <c r="G5678">
        <v>128</v>
      </c>
      <c r="I5678">
        <v>128</v>
      </c>
    </row>
    <row r="5679" spans="1:17" x14ac:dyDescent="0.2">
      <c r="A5679" s="121">
        <v>41121</v>
      </c>
      <c r="B5679" t="s">
        <v>406</v>
      </c>
      <c r="C5679" t="s">
        <v>510</v>
      </c>
      <c r="D5679" t="s">
        <v>616</v>
      </c>
      <c r="E5679" t="s">
        <v>617</v>
      </c>
      <c r="F5679" t="s">
        <v>410</v>
      </c>
      <c r="G5679">
        <v>372</v>
      </c>
      <c r="I5679">
        <v>369</v>
      </c>
    </row>
    <row r="5680" spans="1:17" x14ac:dyDescent="0.2">
      <c r="A5680" s="121">
        <v>41121</v>
      </c>
      <c r="B5680" t="s">
        <v>406</v>
      </c>
      <c r="C5680" t="s">
        <v>510</v>
      </c>
      <c r="D5680" t="s">
        <v>549</v>
      </c>
      <c r="E5680" t="s">
        <v>550</v>
      </c>
      <c r="F5680" t="s">
        <v>410</v>
      </c>
      <c r="G5680">
        <v>183</v>
      </c>
      <c r="I5680">
        <v>183</v>
      </c>
    </row>
    <row r="5681" spans="1:17" x14ac:dyDescent="0.2">
      <c r="A5681" s="121">
        <v>41121</v>
      </c>
      <c r="B5681" t="s">
        <v>406</v>
      </c>
      <c r="C5681" t="s">
        <v>551</v>
      </c>
      <c r="D5681" t="s">
        <v>552</v>
      </c>
      <c r="E5681" t="s">
        <v>553</v>
      </c>
      <c r="F5681" t="s">
        <v>413</v>
      </c>
      <c r="G5681">
        <v>5438</v>
      </c>
      <c r="H5681">
        <v>5438</v>
      </c>
      <c r="I5681">
        <v>5220</v>
      </c>
      <c r="J5681">
        <v>5220</v>
      </c>
      <c r="K5681">
        <v>1602</v>
      </c>
      <c r="L5681">
        <v>6</v>
      </c>
      <c r="M5681">
        <v>3549</v>
      </c>
      <c r="N5681">
        <v>182</v>
      </c>
      <c r="O5681">
        <v>99</v>
      </c>
      <c r="P5681">
        <v>5</v>
      </c>
      <c r="Q5681">
        <v>0</v>
      </c>
    </row>
    <row r="5682" spans="1:17" x14ac:dyDescent="0.2">
      <c r="A5682" s="121">
        <v>41121</v>
      </c>
      <c r="B5682" t="s">
        <v>406</v>
      </c>
      <c r="C5682" t="s">
        <v>551</v>
      </c>
      <c r="D5682" t="s">
        <v>554</v>
      </c>
      <c r="E5682" t="s">
        <v>555</v>
      </c>
      <c r="F5682" t="s">
        <v>410</v>
      </c>
      <c r="G5682">
        <v>54</v>
      </c>
      <c r="I5682">
        <v>54</v>
      </c>
    </row>
    <row r="5683" spans="1:17" x14ac:dyDescent="0.2">
      <c r="A5683" s="121">
        <v>41121</v>
      </c>
      <c r="B5683" t="s">
        <v>406</v>
      </c>
      <c r="C5683" t="s">
        <v>551</v>
      </c>
      <c r="D5683" t="s">
        <v>556</v>
      </c>
      <c r="E5683" t="s">
        <v>557</v>
      </c>
      <c r="F5683" t="s">
        <v>410</v>
      </c>
      <c r="G5683">
        <v>106</v>
      </c>
      <c r="I5683">
        <v>106</v>
      </c>
    </row>
    <row r="5684" spans="1:17" x14ac:dyDescent="0.2">
      <c r="A5684" s="121">
        <v>41121</v>
      </c>
      <c r="B5684" t="s">
        <v>406</v>
      </c>
      <c r="C5684" t="s">
        <v>551</v>
      </c>
      <c r="D5684" t="s">
        <v>558</v>
      </c>
      <c r="E5684" t="s">
        <v>559</v>
      </c>
      <c r="F5684" t="s">
        <v>413</v>
      </c>
      <c r="G5684">
        <v>4731</v>
      </c>
      <c r="H5684">
        <v>4731</v>
      </c>
      <c r="I5684">
        <v>4457</v>
      </c>
      <c r="J5684">
        <v>4457</v>
      </c>
      <c r="K5684">
        <v>1337</v>
      </c>
      <c r="L5684">
        <v>4</v>
      </c>
      <c r="M5684">
        <v>3248</v>
      </c>
      <c r="N5684">
        <v>115</v>
      </c>
      <c r="O5684">
        <v>27</v>
      </c>
      <c r="P5684">
        <v>40</v>
      </c>
      <c r="Q5684">
        <v>17</v>
      </c>
    </row>
    <row r="5685" spans="1:17" x14ac:dyDescent="0.2">
      <c r="A5685" s="121">
        <v>41121</v>
      </c>
      <c r="B5685" t="s">
        <v>406</v>
      </c>
      <c r="C5685" t="s">
        <v>551</v>
      </c>
      <c r="D5685" t="s">
        <v>560</v>
      </c>
      <c r="E5685" t="s">
        <v>561</v>
      </c>
      <c r="F5685" t="s">
        <v>413</v>
      </c>
      <c r="G5685">
        <v>5260</v>
      </c>
      <c r="H5685">
        <v>5260</v>
      </c>
      <c r="I5685">
        <v>5021</v>
      </c>
      <c r="J5685">
        <v>5021</v>
      </c>
      <c r="K5685">
        <v>1194</v>
      </c>
      <c r="L5685">
        <v>7</v>
      </c>
      <c r="M5685">
        <v>3785</v>
      </c>
      <c r="N5685">
        <v>167</v>
      </c>
      <c r="O5685">
        <v>107</v>
      </c>
      <c r="P5685">
        <v>11</v>
      </c>
      <c r="Q5685">
        <v>0</v>
      </c>
    </row>
    <row r="5686" spans="1:17" x14ac:dyDescent="0.2">
      <c r="A5686" s="121">
        <v>41121</v>
      </c>
      <c r="B5686" t="s">
        <v>406</v>
      </c>
      <c r="C5686" t="s">
        <v>562</v>
      </c>
      <c r="D5686" t="s">
        <v>603</v>
      </c>
      <c r="E5686" t="s">
        <v>604</v>
      </c>
      <c r="F5686" t="s">
        <v>410</v>
      </c>
      <c r="G5686">
        <v>16</v>
      </c>
      <c r="I5686">
        <v>16</v>
      </c>
    </row>
    <row r="5687" spans="1:17" x14ac:dyDescent="0.2">
      <c r="A5687" s="121">
        <v>41121</v>
      </c>
      <c r="B5687" t="s">
        <v>406</v>
      </c>
      <c r="C5687" t="s">
        <v>562</v>
      </c>
      <c r="D5687" t="s">
        <v>605</v>
      </c>
      <c r="E5687" t="s">
        <v>606</v>
      </c>
      <c r="F5687" t="s">
        <v>410</v>
      </c>
      <c r="G5687">
        <v>160</v>
      </c>
      <c r="I5687">
        <v>160</v>
      </c>
    </row>
    <row r="5688" spans="1:17" x14ac:dyDescent="0.2">
      <c r="A5688" s="121">
        <v>41121</v>
      </c>
      <c r="B5688" t="s">
        <v>406</v>
      </c>
      <c r="C5688" t="s">
        <v>562</v>
      </c>
      <c r="D5688" t="s">
        <v>563</v>
      </c>
      <c r="E5688" t="s">
        <v>564</v>
      </c>
      <c r="F5688" t="s">
        <v>410</v>
      </c>
      <c r="G5688">
        <v>3232</v>
      </c>
      <c r="H5688">
        <v>3232</v>
      </c>
      <c r="I5688">
        <v>3041</v>
      </c>
      <c r="J5688">
        <v>3041</v>
      </c>
      <c r="K5688">
        <v>1050</v>
      </c>
      <c r="L5688">
        <v>1</v>
      </c>
      <c r="M5688">
        <v>2155</v>
      </c>
      <c r="N5688">
        <v>26</v>
      </c>
      <c r="O5688">
        <v>0</v>
      </c>
      <c r="P5688">
        <v>5</v>
      </c>
      <c r="Q5688">
        <v>0</v>
      </c>
    </row>
    <row r="5689" spans="1:17" x14ac:dyDescent="0.2">
      <c r="A5689" s="121">
        <v>41121</v>
      </c>
      <c r="B5689" t="s">
        <v>406</v>
      </c>
      <c r="C5689" t="s">
        <v>562</v>
      </c>
      <c r="D5689" t="s">
        <v>565</v>
      </c>
      <c r="E5689" t="s">
        <v>566</v>
      </c>
      <c r="F5689" t="s">
        <v>413</v>
      </c>
      <c r="G5689">
        <v>4342</v>
      </c>
      <c r="H5689">
        <v>4342</v>
      </c>
      <c r="I5689">
        <v>4119</v>
      </c>
      <c r="J5689">
        <v>4119</v>
      </c>
      <c r="K5689">
        <v>993</v>
      </c>
      <c r="L5689">
        <v>4</v>
      </c>
      <c r="M5689">
        <v>3210</v>
      </c>
      <c r="N5689">
        <v>135</v>
      </c>
      <c r="O5689">
        <v>0</v>
      </c>
      <c r="P5689">
        <v>14</v>
      </c>
      <c r="Q5689">
        <v>2</v>
      </c>
    </row>
    <row r="5690" spans="1:17" x14ac:dyDescent="0.2">
      <c r="A5690" s="121">
        <v>41121</v>
      </c>
      <c r="B5690" t="s">
        <v>406</v>
      </c>
      <c r="C5690" t="s">
        <v>562</v>
      </c>
      <c r="D5690" t="s">
        <v>567</v>
      </c>
      <c r="E5690" t="s">
        <v>568</v>
      </c>
      <c r="F5690" t="s">
        <v>413</v>
      </c>
      <c r="G5690">
        <v>9487</v>
      </c>
      <c r="H5690">
        <v>9487</v>
      </c>
      <c r="I5690">
        <v>8825</v>
      </c>
      <c r="J5690">
        <v>8825</v>
      </c>
      <c r="K5690">
        <v>2811</v>
      </c>
      <c r="L5690">
        <v>9</v>
      </c>
      <c r="M5690">
        <v>6313</v>
      </c>
      <c r="N5690">
        <v>354</v>
      </c>
      <c r="O5690">
        <v>0</v>
      </c>
      <c r="P5690">
        <v>80</v>
      </c>
      <c r="Q5690">
        <v>15</v>
      </c>
    </row>
    <row r="5691" spans="1:17" x14ac:dyDescent="0.2">
      <c r="A5691" s="121">
        <v>41121</v>
      </c>
      <c r="B5691" t="s">
        <v>406</v>
      </c>
      <c r="C5691" t="s">
        <v>562</v>
      </c>
      <c r="D5691" t="s">
        <v>569</v>
      </c>
      <c r="E5691" t="s">
        <v>570</v>
      </c>
      <c r="F5691" t="s">
        <v>413</v>
      </c>
      <c r="G5691">
        <v>2960</v>
      </c>
      <c r="H5691">
        <v>2960</v>
      </c>
      <c r="I5691">
        <v>2936</v>
      </c>
      <c r="J5691">
        <v>2936</v>
      </c>
      <c r="K5691">
        <v>448</v>
      </c>
      <c r="L5691">
        <v>1</v>
      </c>
      <c r="M5691">
        <v>2510</v>
      </c>
      <c r="N5691">
        <v>1</v>
      </c>
      <c r="O5691">
        <v>0</v>
      </c>
      <c r="P5691">
        <v>1</v>
      </c>
      <c r="Q5691">
        <v>0</v>
      </c>
    </row>
    <row r="5692" spans="1:17" x14ac:dyDescent="0.2">
      <c r="A5692" s="121">
        <v>41121</v>
      </c>
      <c r="B5692" t="s">
        <v>406</v>
      </c>
      <c r="C5692" t="s">
        <v>571</v>
      </c>
      <c r="D5692" t="s">
        <v>572</v>
      </c>
      <c r="E5692" t="s">
        <v>573</v>
      </c>
      <c r="F5692" t="s">
        <v>410</v>
      </c>
      <c r="G5692">
        <v>277</v>
      </c>
      <c r="H5692">
        <v>277</v>
      </c>
      <c r="I5692">
        <v>271</v>
      </c>
      <c r="J5692">
        <v>271</v>
      </c>
      <c r="K5692">
        <v>0</v>
      </c>
      <c r="L5692">
        <v>0</v>
      </c>
      <c r="M5692">
        <v>273</v>
      </c>
      <c r="N5692">
        <v>0</v>
      </c>
      <c r="O5692">
        <v>4</v>
      </c>
      <c r="P5692">
        <v>1</v>
      </c>
      <c r="Q5692">
        <v>0</v>
      </c>
    </row>
    <row r="5693" spans="1:17" x14ac:dyDescent="0.2">
      <c r="A5693" s="121">
        <v>41121</v>
      </c>
      <c r="B5693" t="s">
        <v>406</v>
      </c>
      <c r="C5693" t="s">
        <v>574</v>
      </c>
      <c r="D5693" t="s">
        <v>575</v>
      </c>
      <c r="E5693" t="s">
        <v>576</v>
      </c>
      <c r="F5693" t="s">
        <v>413</v>
      </c>
      <c r="G5693">
        <v>712</v>
      </c>
      <c r="H5693">
        <v>712</v>
      </c>
      <c r="I5693">
        <v>708</v>
      </c>
      <c r="J5693">
        <v>708</v>
      </c>
      <c r="K5693">
        <v>171</v>
      </c>
      <c r="L5693">
        <v>1</v>
      </c>
      <c r="M5693">
        <v>512</v>
      </c>
      <c r="N5693">
        <v>3</v>
      </c>
      <c r="O5693">
        <v>25</v>
      </c>
      <c r="P5693">
        <v>0</v>
      </c>
      <c r="Q5693">
        <v>0</v>
      </c>
    </row>
    <row r="5694" spans="1:17" x14ac:dyDescent="0.2">
      <c r="A5694" s="121">
        <v>41121</v>
      </c>
      <c r="B5694" t="s">
        <v>406</v>
      </c>
      <c r="C5694" t="s">
        <v>577</v>
      </c>
      <c r="D5694" t="s">
        <v>578</v>
      </c>
      <c r="E5694" t="s">
        <v>579</v>
      </c>
      <c r="F5694" t="s">
        <v>413</v>
      </c>
      <c r="G5694">
        <v>3830</v>
      </c>
      <c r="H5694">
        <v>3830</v>
      </c>
      <c r="I5694">
        <v>3780</v>
      </c>
      <c r="J5694">
        <v>3780</v>
      </c>
      <c r="K5694">
        <v>855</v>
      </c>
      <c r="L5694">
        <v>17</v>
      </c>
      <c r="M5694">
        <v>2865</v>
      </c>
      <c r="N5694">
        <v>93</v>
      </c>
      <c r="O5694">
        <v>0</v>
      </c>
      <c r="P5694">
        <v>0</v>
      </c>
      <c r="Q5694">
        <v>0</v>
      </c>
    </row>
    <row r="5695" spans="1:17" x14ac:dyDescent="0.2">
      <c r="A5695" s="121">
        <v>41121</v>
      </c>
      <c r="B5695" t="s">
        <v>406</v>
      </c>
      <c r="C5695" t="s">
        <v>577</v>
      </c>
      <c r="D5695" t="s">
        <v>580</v>
      </c>
      <c r="E5695" t="s">
        <v>581</v>
      </c>
      <c r="F5695" t="s">
        <v>413</v>
      </c>
      <c r="G5695">
        <v>2118</v>
      </c>
      <c r="H5695">
        <v>2118</v>
      </c>
      <c r="I5695">
        <v>2086</v>
      </c>
      <c r="J5695">
        <v>2086</v>
      </c>
      <c r="K5695">
        <v>356</v>
      </c>
      <c r="L5695">
        <v>0</v>
      </c>
      <c r="M5695">
        <v>1408</v>
      </c>
      <c r="N5695">
        <v>300</v>
      </c>
      <c r="O5695">
        <v>54</v>
      </c>
      <c r="P5695">
        <v>1</v>
      </c>
      <c r="Q5695">
        <v>0</v>
      </c>
    </row>
    <row r="5696" spans="1:17" x14ac:dyDescent="0.2">
      <c r="A5696" s="121">
        <v>41121</v>
      </c>
      <c r="B5696" t="s">
        <v>406</v>
      </c>
      <c r="C5696" t="s">
        <v>577</v>
      </c>
      <c r="D5696" t="s">
        <v>609</v>
      </c>
      <c r="E5696" t="s">
        <v>610</v>
      </c>
      <c r="F5696" t="s">
        <v>410</v>
      </c>
      <c r="G5696">
        <v>27</v>
      </c>
      <c r="H5696">
        <v>27</v>
      </c>
      <c r="I5696">
        <v>27</v>
      </c>
      <c r="J5696">
        <v>27</v>
      </c>
      <c r="K5696">
        <v>0</v>
      </c>
      <c r="L5696">
        <v>0</v>
      </c>
      <c r="M5696">
        <v>21</v>
      </c>
      <c r="N5696">
        <v>5</v>
      </c>
      <c r="O5696">
        <v>1</v>
      </c>
      <c r="P5696">
        <v>0</v>
      </c>
      <c r="Q5696">
        <v>0</v>
      </c>
    </row>
    <row r="5697" spans="1:17" x14ac:dyDescent="0.2">
      <c r="A5697" s="121">
        <v>41121</v>
      </c>
      <c r="B5697" t="s">
        <v>406</v>
      </c>
      <c r="C5697" t="s">
        <v>577</v>
      </c>
      <c r="D5697" t="s">
        <v>611</v>
      </c>
      <c r="E5697" t="s">
        <v>612</v>
      </c>
      <c r="F5697" t="s">
        <v>410</v>
      </c>
      <c r="G5697">
        <v>15</v>
      </c>
      <c r="H5697">
        <v>15</v>
      </c>
      <c r="I5697">
        <v>15</v>
      </c>
      <c r="J5697">
        <v>15</v>
      </c>
      <c r="K5697">
        <v>0</v>
      </c>
      <c r="L5697">
        <v>0</v>
      </c>
      <c r="M5697">
        <v>6</v>
      </c>
      <c r="N5697">
        <v>0</v>
      </c>
      <c r="O5697">
        <v>9</v>
      </c>
      <c r="P5697">
        <v>0</v>
      </c>
      <c r="Q5697">
        <v>0</v>
      </c>
    </row>
    <row r="5698" spans="1:17" x14ac:dyDescent="0.2">
      <c r="A5698" s="121">
        <v>41121</v>
      </c>
      <c r="B5698" t="s">
        <v>406</v>
      </c>
      <c r="C5698" t="s">
        <v>577</v>
      </c>
      <c r="D5698" t="s">
        <v>584</v>
      </c>
      <c r="E5698" t="s">
        <v>585</v>
      </c>
      <c r="F5698" t="s">
        <v>410</v>
      </c>
      <c r="G5698">
        <v>333</v>
      </c>
      <c r="H5698">
        <v>333</v>
      </c>
      <c r="I5698">
        <v>333</v>
      </c>
      <c r="J5698">
        <v>333</v>
      </c>
      <c r="K5698">
        <v>0</v>
      </c>
      <c r="L5698">
        <v>0</v>
      </c>
      <c r="M5698">
        <v>306</v>
      </c>
      <c r="N5698">
        <v>21</v>
      </c>
      <c r="O5698">
        <v>6</v>
      </c>
      <c r="P5698">
        <v>0</v>
      </c>
      <c r="Q5698">
        <v>0</v>
      </c>
    </row>
    <row r="5699" spans="1:17" x14ac:dyDescent="0.2">
      <c r="A5699" s="121">
        <v>41121</v>
      </c>
      <c r="B5699" t="s">
        <v>406</v>
      </c>
      <c r="C5699" t="s">
        <v>577</v>
      </c>
      <c r="D5699" t="s">
        <v>586</v>
      </c>
      <c r="E5699" t="s">
        <v>587</v>
      </c>
      <c r="F5699" t="s">
        <v>410</v>
      </c>
      <c r="G5699">
        <v>1293</v>
      </c>
      <c r="H5699">
        <v>1293</v>
      </c>
      <c r="I5699">
        <v>1292</v>
      </c>
      <c r="J5699">
        <v>1292</v>
      </c>
      <c r="K5699">
        <v>0</v>
      </c>
      <c r="L5699">
        <v>0</v>
      </c>
      <c r="M5699">
        <v>1216</v>
      </c>
      <c r="N5699">
        <v>71</v>
      </c>
      <c r="O5699">
        <v>6</v>
      </c>
      <c r="P5699">
        <v>0</v>
      </c>
      <c r="Q5699">
        <v>0</v>
      </c>
    </row>
    <row r="5700" spans="1:17" x14ac:dyDescent="0.2">
      <c r="A5700" s="121">
        <v>41121</v>
      </c>
      <c r="B5700" t="s">
        <v>406</v>
      </c>
      <c r="C5700" t="s">
        <v>577</v>
      </c>
      <c r="D5700" t="s">
        <v>588</v>
      </c>
      <c r="E5700" t="s">
        <v>589</v>
      </c>
      <c r="F5700" t="s">
        <v>410</v>
      </c>
      <c r="G5700">
        <v>266</v>
      </c>
      <c r="H5700">
        <v>266</v>
      </c>
      <c r="I5700">
        <v>266</v>
      </c>
      <c r="J5700">
        <v>266</v>
      </c>
      <c r="K5700">
        <v>0</v>
      </c>
      <c r="L5700">
        <v>0</v>
      </c>
      <c r="M5700">
        <v>245</v>
      </c>
      <c r="N5700">
        <v>21</v>
      </c>
      <c r="O5700">
        <v>0</v>
      </c>
      <c r="P5700">
        <v>0</v>
      </c>
      <c r="Q5700">
        <v>0</v>
      </c>
    </row>
    <row r="5701" spans="1:17" x14ac:dyDescent="0.2">
      <c r="A5701" s="121">
        <v>41121</v>
      </c>
      <c r="B5701" t="s">
        <v>406</v>
      </c>
      <c r="C5701" t="s">
        <v>577</v>
      </c>
      <c r="D5701" t="s">
        <v>613</v>
      </c>
      <c r="E5701" t="s">
        <v>614</v>
      </c>
      <c r="F5701" t="s">
        <v>410</v>
      </c>
      <c r="G5701">
        <v>187</v>
      </c>
      <c r="H5701">
        <v>187</v>
      </c>
      <c r="I5701">
        <v>187</v>
      </c>
      <c r="J5701">
        <v>187</v>
      </c>
      <c r="K5701">
        <v>0</v>
      </c>
      <c r="L5701">
        <v>0</v>
      </c>
      <c r="M5701">
        <v>174</v>
      </c>
      <c r="N5701">
        <v>8</v>
      </c>
      <c r="O5701">
        <v>5</v>
      </c>
      <c r="P5701">
        <v>0</v>
      </c>
      <c r="Q5701">
        <v>0</v>
      </c>
    </row>
    <row r="5702" spans="1:17" x14ac:dyDescent="0.2">
      <c r="A5702" s="121">
        <v>41121</v>
      </c>
      <c r="B5702" t="s">
        <v>406</v>
      </c>
      <c r="C5702" t="s">
        <v>577</v>
      </c>
      <c r="D5702" t="s">
        <v>590</v>
      </c>
      <c r="E5702" t="s">
        <v>591</v>
      </c>
      <c r="F5702" t="s">
        <v>410</v>
      </c>
      <c r="G5702">
        <v>619</v>
      </c>
      <c r="H5702">
        <v>619</v>
      </c>
      <c r="I5702">
        <v>619</v>
      </c>
      <c r="J5702">
        <v>619</v>
      </c>
      <c r="K5702">
        <v>0</v>
      </c>
      <c r="L5702">
        <v>0</v>
      </c>
      <c r="M5702">
        <v>594</v>
      </c>
      <c r="N5702">
        <v>24</v>
      </c>
      <c r="O5702">
        <v>1</v>
      </c>
      <c r="P5702">
        <v>0</v>
      </c>
      <c r="Q5702">
        <v>0</v>
      </c>
    </row>
    <row r="5703" spans="1:17" x14ac:dyDescent="0.2">
      <c r="A5703" s="121">
        <v>41121</v>
      </c>
      <c r="B5703" t="s">
        <v>406</v>
      </c>
      <c r="C5703" t="s">
        <v>577</v>
      </c>
      <c r="D5703" t="s">
        <v>607</v>
      </c>
      <c r="E5703" t="s">
        <v>608</v>
      </c>
      <c r="F5703" t="s">
        <v>410</v>
      </c>
      <c r="G5703">
        <v>256</v>
      </c>
      <c r="H5703">
        <v>256</v>
      </c>
      <c r="I5703">
        <v>256</v>
      </c>
      <c r="J5703">
        <v>256</v>
      </c>
      <c r="K5703">
        <v>0</v>
      </c>
      <c r="L5703">
        <v>0</v>
      </c>
      <c r="M5703">
        <v>227</v>
      </c>
      <c r="N5703">
        <v>24</v>
      </c>
      <c r="O5703">
        <v>5</v>
      </c>
      <c r="P5703">
        <v>0</v>
      </c>
      <c r="Q5703">
        <v>0</v>
      </c>
    </row>
    <row r="5704" spans="1:17" x14ac:dyDescent="0.2">
      <c r="A5704" s="121">
        <v>41121</v>
      </c>
      <c r="B5704" t="s">
        <v>406</v>
      </c>
      <c r="C5704" t="s">
        <v>577</v>
      </c>
      <c r="D5704" t="s">
        <v>592</v>
      </c>
      <c r="E5704" t="s">
        <v>593</v>
      </c>
      <c r="F5704" t="s">
        <v>410</v>
      </c>
      <c r="G5704">
        <v>657</v>
      </c>
      <c r="H5704">
        <v>657</v>
      </c>
      <c r="I5704">
        <v>657</v>
      </c>
      <c r="J5704">
        <v>657</v>
      </c>
      <c r="K5704">
        <v>0</v>
      </c>
      <c r="L5704">
        <v>3</v>
      </c>
      <c r="M5704">
        <v>600</v>
      </c>
      <c r="N5704">
        <v>50</v>
      </c>
      <c r="O5704">
        <v>4</v>
      </c>
      <c r="P5704">
        <v>0</v>
      </c>
      <c r="Q5704">
        <v>0</v>
      </c>
    </row>
    <row r="5705" spans="1:17" x14ac:dyDescent="0.2">
      <c r="A5705" s="121">
        <v>41121</v>
      </c>
      <c r="B5705" t="s">
        <v>406</v>
      </c>
      <c r="C5705" t="s">
        <v>594</v>
      </c>
      <c r="D5705" t="s">
        <v>595</v>
      </c>
      <c r="E5705" t="s">
        <v>596</v>
      </c>
      <c r="F5705" t="s">
        <v>410</v>
      </c>
      <c r="G5705">
        <v>73</v>
      </c>
      <c r="I5705">
        <v>73</v>
      </c>
    </row>
    <row r="5706" spans="1:17" x14ac:dyDescent="0.2">
      <c r="A5706" s="121">
        <v>41121</v>
      </c>
      <c r="B5706" t="s">
        <v>406</v>
      </c>
      <c r="C5706" t="s">
        <v>594</v>
      </c>
      <c r="D5706" t="s">
        <v>597</v>
      </c>
      <c r="E5706" t="s">
        <v>598</v>
      </c>
      <c r="F5706" t="s">
        <v>413</v>
      </c>
      <c r="G5706">
        <v>618</v>
      </c>
      <c r="H5706">
        <v>618</v>
      </c>
      <c r="I5706">
        <v>608</v>
      </c>
      <c r="J5706">
        <v>608</v>
      </c>
      <c r="K5706">
        <v>125</v>
      </c>
      <c r="L5706">
        <v>0</v>
      </c>
      <c r="M5706">
        <v>472</v>
      </c>
      <c r="N5706">
        <v>19</v>
      </c>
      <c r="O5706">
        <v>2</v>
      </c>
      <c r="P5706">
        <v>0</v>
      </c>
      <c r="Q5706">
        <v>0</v>
      </c>
    </row>
    <row r="5707" spans="1:17" x14ac:dyDescent="0.2">
      <c r="A5707" s="121">
        <v>41121</v>
      </c>
      <c r="B5707" t="s">
        <v>406</v>
      </c>
      <c r="C5707" t="s">
        <v>594</v>
      </c>
      <c r="D5707" t="s">
        <v>599</v>
      </c>
      <c r="E5707" t="s">
        <v>600</v>
      </c>
      <c r="F5707" t="s">
        <v>410</v>
      </c>
      <c r="G5707">
        <v>131</v>
      </c>
      <c r="I5707">
        <v>131</v>
      </c>
    </row>
    <row r="5708" spans="1:17" x14ac:dyDescent="0.2">
      <c r="A5708" s="121">
        <v>41152</v>
      </c>
      <c r="B5708" t="s">
        <v>406</v>
      </c>
      <c r="C5708" t="s">
        <v>407</v>
      </c>
      <c r="D5708" t="s">
        <v>408</v>
      </c>
      <c r="E5708" t="s">
        <v>409</v>
      </c>
      <c r="F5708" t="s">
        <v>410</v>
      </c>
      <c r="G5708">
        <v>308</v>
      </c>
      <c r="I5708">
        <v>308</v>
      </c>
    </row>
    <row r="5709" spans="1:17" x14ac:dyDescent="0.2">
      <c r="A5709" s="121">
        <v>41152</v>
      </c>
      <c r="B5709" t="s">
        <v>406</v>
      </c>
      <c r="C5709" t="s">
        <v>407</v>
      </c>
      <c r="D5709" t="s">
        <v>601</v>
      </c>
      <c r="E5709" t="s">
        <v>602</v>
      </c>
      <c r="F5709" t="s">
        <v>410</v>
      </c>
      <c r="G5709">
        <v>78</v>
      </c>
      <c r="I5709">
        <v>78</v>
      </c>
    </row>
    <row r="5710" spans="1:17" x14ac:dyDescent="0.2">
      <c r="A5710" s="121">
        <v>41152</v>
      </c>
      <c r="B5710" t="s">
        <v>406</v>
      </c>
      <c r="C5710" t="s">
        <v>407</v>
      </c>
      <c r="D5710" t="s">
        <v>411</v>
      </c>
      <c r="E5710" t="s">
        <v>412</v>
      </c>
      <c r="F5710" t="s">
        <v>413</v>
      </c>
      <c r="G5710">
        <v>6311</v>
      </c>
      <c r="H5710">
        <v>6311</v>
      </c>
      <c r="I5710">
        <v>5991</v>
      </c>
      <c r="J5710">
        <v>5991</v>
      </c>
      <c r="K5710">
        <v>2319</v>
      </c>
      <c r="L5710">
        <v>3</v>
      </c>
      <c r="M5710">
        <v>3620</v>
      </c>
      <c r="N5710">
        <v>134</v>
      </c>
      <c r="O5710">
        <v>235</v>
      </c>
      <c r="P5710">
        <v>1</v>
      </c>
      <c r="Q5710">
        <v>0</v>
      </c>
    </row>
    <row r="5711" spans="1:17" x14ac:dyDescent="0.2">
      <c r="A5711" s="121">
        <v>41152</v>
      </c>
      <c r="B5711" t="s">
        <v>406</v>
      </c>
      <c r="C5711" t="s">
        <v>407</v>
      </c>
      <c r="D5711" t="s">
        <v>416</v>
      </c>
      <c r="E5711" t="s">
        <v>417</v>
      </c>
      <c r="F5711" t="s">
        <v>413</v>
      </c>
      <c r="G5711">
        <v>4121</v>
      </c>
      <c r="H5711">
        <v>4121</v>
      </c>
      <c r="I5711">
        <v>3800</v>
      </c>
      <c r="J5711">
        <v>3800</v>
      </c>
      <c r="K5711">
        <v>1413</v>
      </c>
      <c r="L5711">
        <v>3</v>
      </c>
      <c r="M5711">
        <v>2464</v>
      </c>
      <c r="N5711">
        <v>120</v>
      </c>
      <c r="O5711">
        <v>121</v>
      </c>
      <c r="P5711">
        <v>4</v>
      </c>
      <c r="Q5711">
        <v>2</v>
      </c>
    </row>
    <row r="5712" spans="1:17" x14ac:dyDescent="0.2">
      <c r="A5712" s="121">
        <v>41152</v>
      </c>
      <c r="B5712" t="s">
        <v>406</v>
      </c>
      <c r="C5712" t="s">
        <v>407</v>
      </c>
      <c r="D5712" t="s">
        <v>618</v>
      </c>
      <c r="E5712" t="s">
        <v>619</v>
      </c>
      <c r="F5712" t="s">
        <v>410</v>
      </c>
      <c r="G5712">
        <v>142</v>
      </c>
      <c r="I5712">
        <v>142</v>
      </c>
    </row>
    <row r="5713" spans="1:17" x14ac:dyDescent="0.2">
      <c r="A5713" s="121">
        <v>41152</v>
      </c>
      <c r="B5713" t="s">
        <v>406</v>
      </c>
      <c r="C5713" t="s">
        <v>418</v>
      </c>
      <c r="D5713" t="s">
        <v>419</v>
      </c>
      <c r="E5713" t="s">
        <v>420</v>
      </c>
      <c r="F5713" t="s">
        <v>410</v>
      </c>
      <c r="G5713">
        <v>15</v>
      </c>
      <c r="I5713">
        <v>15</v>
      </c>
    </row>
    <row r="5714" spans="1:17" x14ac:dyDescent="0.2">
      <c r="A5714" s="121">
        <v>41152</v>
      </c>
      <c r="B5714" t="s">
        <v>406</v>
      </c>
      <c r="C5714" t="s">
        <v>418</v>
      </c>
      <c r="D5714" t="s">
        <v>421</v>
      </c>
      <c r="E5714" t="s">
        <v>422</v>
      </c>
      <c r="F5714" t="s">
        <v>410</v>
      </c>
      <c r="G5714">
        <v>128</v>
      </c>
      <c r="I5714">
        <v>128</v>
      </c>
    </row>
    <row r="5715" spans="1:17" x14ac:dyDescent="0.2">
      <c r="A5715" s="121">
        <v>41152</v>
      </c>
      <c r="B5715" t="s">
        <v>406</v>
      </c>
      <c r="C5715" t="s">
        <v>418</v>
      </c>
      <c r="D5715" t="s">
        <v>423</v>
      </c>
      <c r="E5715" t="s">
        <v>424</v>
      </c>
      <c r="F5715" t="s">
        <v>410</v>
      </c>
      <c r="G5715">
        <v>23</v>
      </c>
      <c r="I5715">
        <v>23</v>
      </c>
    </row>
    <row r="5716" spans="1:17" x14ac:dyDescent="0.2">
      <c r="A5716" s="121">
        <v>41152</v>
      </c>
      <c r="B5716" t="s">
        <v>406</v>
      </c>
      <c r="C5716" t="s">
        <v>418</v>
      </c>
      <c r="D5716" t="s">
        <v>425</v>
      </c>
      <c r="E5716" t="s">
        <v>426</v>
      </c>
      <c r="F5716" t="s">
        <v>410</v>
      </c>
      <c r="G5716">
        <v>61</v>
      </c>
      <c r="I5716">
        <v>61</v>
      </c>
    </row>
    <row r="5717" spans="1:17" x14ac:dyDescent="0.2">
      <c r="A5717" s="121">
        <v>41152</v>
      </c>
      <c r="B5717" t="s">
        <v>406</v>
      </c>
      <c r="C5717" t="s">
        <v>418</v>
      </c>
      <c r="D5717" t="s">
        <v>427</v>
      </c>
      <c r="E5717" t="s">
        <v>428</v>
      </c>
      <c r="F5717" t="s">
        <v>413</v>
      </c>
      <c r="G5717">
        <v>2076</v>
      </c>
      <c r="H5717">
        <v>2076</v>
      </c>
      <c r="I5717">
        <v>2030</v>
      </c>
      <c r="J5717">
        <v>2030</v>
      </c>
      <c r="K5717">
        <v>620</v>
      </c>
      <c r="L5717">
        <v>2</v>
      </c>
      <c r="M5717">
        <v>1163</v>
      </c>
      <c r="N5717">
        <v>268</v>
      </c>
      <c r="O5717">
        <v>23</v>
      </c>
      <c r="P5717">
        <v>0</v>
      </c>
      <c r="Q5717">
        <v>0</v>
      </c>
    </row>
    <row r="5718" spans="1:17" x14ac:dyDescent="0.2">
      <c r="A5718" s="121">
        <v>41152</v>
      </c>
      <c r="B5718" t="s">
        <v>406</v>
      </c>
      <c r="C5718" t="s">
        <v>429</v>
      </c>
      <c r="D5718" t="s">
        <v>430</v>
      </c>
      <c r="E5718" t="s">
        <v>431</v>
      </c>
      <c r="F5718" t="s">
        <v>410</v>
      </c>
      <c r="G5718">
        <v>42</v>
      </c>
      <c r="I5718">
        <v>42</v>
      </c>
    </row>
    <row r="5719" spans="1:17" x14ac:dyDescent="0.2">
      <c r="A5719" s="121">
        <v>41152</v>
      </c>
      <c r="B5719" t="s">
        <v>406</v>
      </c>
      <c r="C5719" t="s">
        <v>429</v>
      </c>
      <c r="D5719" t="s">
        <v>432</v>
      </c>
      <c r="E5719" t="s">
        <v>433</v>
      </c>
      <c r="F5719" t="s">
        <v>410</v>
      </c>
      <c r="G5719">
        <v>50</v>
      </c>
      <c r="I5719">
        <v>50</v>
      </c>
    </row>
    <row r="5720" spans="1:17" x14ac:dyDescent="0.2">
      <c r="A5720" s="121">
        <v>41152</v>
      </c>
      <c r="B5720" t="s">
        <v>406</v>
      </c>
      <c r="C5720" t="s">
        <v>429</v>
      </c>
      <c r="D5720" t="s">
        <v>434</v>
      </c>
      <c r="E5720" t="s">
        <v>435</v>
      </c>
      <c r="F5720" t="s">
        <v>410</v>
      </c>
      <c r="G5720">
        <v>11</v>
      </c>
      <c r="I5720">
        <v>11</v>
      </c>
    </row>
    <row r="5721" spans="1:17" x14ac:dyDescent="0.2">
      <c r="A5721" s="121">
        <v>41152</v>
      </c>
      <c r="B5721" t="s">
        <v>406</v>
      </c>
      <c r="C5721" t="s">
        <v>429</v>
      </c>
      <c r="D5721" t="s">
        <v>436</v>
      </c>
      <c r="E5721" t="s">
        <v>437</v>
      </c>
      <c r="F5721" t="s">
        <v>410</v>
      </c>
      <c r="G5721">
        <v>28</v>
      </c>
      <c r="H5721">
        <v>28</v>
      </c>
      <c r="I5721">
        <v>28</v>
      </c>
      <c r="J5721">
        <v>28</v>
      </c>
      <c r="K5721">
        <v>1</v>
      </c>
      <c r="L5721">
        <v>0</v>
      </c>
      <c r="M5721">
        <v>19</v>
      </c>
      <c r="N5721">
        <v>8</v>
      </c>
      <c r="O5721">
        <v>0</v>
      </c>
      <c r="P5721">
        <v>0</v>
      </c>
      <c r="Q5721">
        <v>0</v>
      </c>
    </row>
    <row r="5722" spans="1:17" x14ac:dyDescent="0.2">
      <c r="A5722" s="121">
        <v>41152</v>
      </c>
      <c r="B5722" t="s">
        <v>406</v>
      </c>
      <c r="C5722" t="s">
        <v>429</v>
      </c>
      <c r="D5722" t="s">
        <v>438</v>
      </c>
      <c r="E5722" t="s">
        <v>439</v>
      </c>
      <c r="F5722" t="s">
        <v>413</v>
      </c>
      <c r="G5722">
        <v>1122</v>
      </c>
      <c r="H5722">
        <v>1122</v>
      </c>
      <c r="I5722">
        <v>1074</v>
      </c>
      <c r="J5722">
        <v>1074</v>
      </c>
      <c r="K5722">
        <v>125</v>
      </c>
      <c r="L5722">
        <v>1</v>
      </c>
      <c r="M5722">
        <v>973</v>
      </c>
      <c r="N5722">
        <v>23</v>
      </c>
      <c r="O5722">
        <v>0</v>
      </c>
      <c r="P5722">
        <v>3</v>
      </c>
      <c r="Q5722">
        <v>0</v>
      </c>
    </row>
    <row r="5723" spans="1:17" x14ac:dyDescent="0.2">
      <c r="A5723" s="121">
        <v>41152</v>
      </c>
      <c r="B5723" t="s">
        <v>406</v>
      </c>
      <c r="C5723" t="s">
        <v>429</v>
      </c>
      <c r="D5723" t="s">
        <v>440</v>
      </c>
      <c r="E5723" t="s">
        <v>441</v>
      </c>
      <c r="F5723" t="s">
        <v>413</v>
      </c>
      <c r="G5723">
        <v>3126</v>
      </c>
      <c r="H5723">
        <v>3126</v>
      </c>
      <c r="I5723">
        <v>2908</v>
      </c>
      <c r="J5723">
        <v>2908</v>
      </c>
      <c r="K5723">
        <v>977</v>
      </c>
      <c r="L5723">
        <v>3</v>
      </c>
      <c r="M5723">
        <v>2046</v>
      </c>
      <c r="N5723">
        <v>100</v>
      </c>
      <c r="O5723">
        <v>0</v>
      </c>
      <c r="P5723">
        <v>4</v>
      </c>
      <c r="Q5723">
        <v>0</v>
      </c>
    </row>
    <row r="5724" spans="1:17" x14ac:dyDescent="0.2">
      <c r="A5724" s="121">
        <v>41152</v>
      </c>
      <c r="B5724" t="s">
        <v>406</v>
      </c>
      <c r="C5724" t="s">
        <v>442</v>
      </c>
      <c r="D5724" t="s">
        <v>443</v>
      </c>
      <c r="E5724" t="s">
        <v>444</v>
      </c>
      <c r="F5724" t="s">
        <v>413</v>
      </c>
      <c r="G5724">
        <v>5485</v>
      </c>
      <c r="H5724">
        <v>5485</v>
      </c>
      <c r="I5724">
        <v>5398</v>
      </c>
      <c r="J5724">
        <v>5398</v>
      </c>
      <c r="K5724">
        <v>1304</v>
      </c>
      <c r="L5724">
        <v>6</v>
      </c>
      <c r="M5724">
        <v>3764</v>
      </c>
      <c r="N5724">
        <v>288</v>
      </c>
      <c r="O5724">
        <v>123</v>
      </c>
      <c r="P5724">
        <v>4</v>
      </c>
      <c r="Q5724">
        <v>0</v>
      </c>
    </row>
    <row r="5725" spans="1:17" x14ac:dyDescent="0.2">
      <c r="A5725" s="121">
        <v>41152</v>
      </c>
      <c r="B5725" t="s">
        <v>406</v>
      </c>
      <c r="C5725" t="s">
        <v>442</v>
      </c>
      <c r="D5725" t="s">
        <v>445</v>
      </c>
      <c r="E5725" t="s">
        <v>446</v>
      </c>
      <c r="F5725" t="s">
        <v>410</v>
      </c>
      <c r="G5725">
        <v>151</v>
      </c>
      <c r="I5725">
        <v>151</v>
      </c>
    </row>
    <row r="5726" spans="1:17" x14ac:dyDescent="0.2">
      <c r="A5726" s="121">
        <v>41152</v>
      </c>
      <c r="B5726" t="s">
        <v>406</v>
      </c>
      <c r="C5726" t="s">
        <v>442</v>
      </c>
      <c r="D5726" t="s">
        <v>447</v>
      </c>
      <c r="E5726" t="s">
        <v>448</v>
      </c>
      <c r="F5726" t="s">
        <v>410</v>
      </c>
      <c r="G5726">
        <v>497</v>
      </c>
      <c r="I5726">
        <v>497</v>
      </c>
    </row>
    <row r="5727" spans="1:17" x14ac:dyDescent="0.2">
      <c r="A5727" s="121">
        <v>41152</v>
      </c>
      <c r="B5727" t="s">
        <v>406</v>
      </c>
      <c r="C5727" t="s">
        <v>442</v>
      </c>
      <c r="D5727" t="s">
        <v>449</v>
      </c>
      <c r="E5727" t="s">
        <v>624</v>
      </c>
      <c r="F5727" t="s">
        <v>410</v>
      </c>
      <c r="G5727">
        <v>1832</v>
      </c>
      <c r="H5727">
        <v>1832</v>
      </c>
      <c r="I5727">
        <v>1830</v>
      </c>
      <c r="J5727">
        <v>1830</v>
      </c>
      <c r="K5727">
        <v>4</v>
      </c>
      <c r="L5727">
        <v>0</v>
      </c>
      <c r="M5727">
        <v>1575</v>
      </c>
      <c r="N5727">
        <v>79</v>
      </c>
      <c r="O5727">
        <v>174</v>
      </c>
      <c r="P5727">
        <v>0</v>
      </c>
      <c r="Q5727">
        <v>0</v>
      </c>
    </row>
    <row r="5728" spans="1:17" x14ac:dyDescent="0.2">
      <c r="A5728" s="121">
        <v>41152</v>
      </c>
      <c r="B5728" t="s">
        <v>406</v>
      </c>
      <c r="C5728" t="s">
        <v>451</v>
      </c>
      <c r="D5728" t="s">
        <v>454</v>
      </c>
      <c r="E5728" t="s">
        <v>621</v>
      </c>
      <c r="F5728" t="s">
        <v>410</v>
      </c>
      <c r="G5728">
        <v>1303</v>
      </c>
      <c r="H5728">
        <v>1303</v>
      </c>
      <c r="I5728">
        <v>1303</v>
      </c>
      <c r="J5728">
        <v>1303</v>
      </c>
      <c r="K5728">
        <v>1</v>
      </c>
      <c r="L5728">
        <v>0</v>
      </c>
      <c r="M5728">
        <v>1150</v>
      </c>
      <c r="N5728">
        <v>57</v>
      </c>
      <c r="O5728">
        <v>95</v>
      </c>
      <c r="P5728">
        <v>0</v>
      </c>
      <c r="Q5728">
        <v>0</v>
      </c>
    </row>
    <row r="5729" spans="1:17" x14ac:dyDescent="0.2">
      <c r="A5729" s="121">
        <v>41152</v>
      </c>
      <c r="B5729" t="s">
        <v>406</v>
      </c>
      <c r="C5729" t="s">
        <v>451</v>
      </c>
      <c r="D5729" t="s">
        <v>622</v>
      </c>
      <c r="E5729" t="s">
        <v>623</v>
      </c>
      <c r="F5729" t="s">
        <v>413</v>
      </c>
      <c r="G5729">
        <v>5249</v>
      </c>
      <c r="H5729">
        <v>5249</v>
      </c>
      <c r="I5729">
        <v>4891</v>
      </c>
      <c r="J5729">
        <v>4891</v>
      </c>
      <c r="K5729">
        <v>1228</v>
      </c>
      <c r="L5729">
        <v>7</v>
      </c>
      <c r="M5729">
        <v>3765</v>
      </c>
      <c r="N5729">
        <v>33</v>
      </c>
      <c r="O5729">
        <v>216</v>
      </c>
      <c r="P5729">
        <v>9</v>
      </c>
      <c r="Q5729">
        <v>0</v>
      </c>
    </row>
    <row r="5730" spans="1:17" x14ac:dyDescent="0.2">
      <c r="A5730" s="121">
        <v>41152</v>
      </c>
      <c r="B5730" t="s">
        <v>406</v>
      </c>
      <c r="C5730" t="s">
        <v>456</v>
      </c>
      <c r="D5730" t="s">
        <v>457</v>
      </c>
      <c r="E5730" t="s">
        <v>458</v>
      </c>
      <c r="F5730" t="s">
        <v>413</v>
      </c>
      <c r="G5730">
        <v>5456</v>
      </c>
      <c r="H5730">
        <v>5456</v>
      </c>
      <c r="I5730">
        <v>5127</v>
      </c>
      <c r="J5730">
        <v>5127</v>
      </c>
      <c r="K5730">
        <v>1358</v>
      </c>
      <c r="L5730">
        <v>27</v>
      </c>
      <c r="M5730">
        <v>3919</v>
      </c>
      <c r="N5730">
        <v>83</v>
      </c>
      <c r="O5730">
        <v>69</v>
      </c>
      <c r="P5730">
        <v>13</v>
      </c>
      <c r="Q5730">
        <v>0</v>
      </c>
    </row>
    <row r="5731" spans="1:17" x14ac:dyDescent="0.2">
      <c r="A5731" s="121">
        <v>41152</v>
      </c>
      <c r="B5731" t="s">
        <v>406</v>
      </c>
      <c r="C5731" t="s">
        <v>456</v>
      </c>
      <c r="D5731" t="s">
        <v>459</v>
      </c>
      <c r="E5731" t="s">
        <v>460</v>
      </c>
      <c r="F5731" t="s">
        <v>413</v>
      </c>
      <c r="G5731">
        <v>1508</v>
      </c>
      <c r="H5731">
        <v>1508</v>
      </c>
      <c r="I5731">
        <v>1478</v>
      </c>
      <c r="J5731">
        <v>1478</v>
      </c>
      <c r="K5731">
        <v>395</v>
      </c>
      <c r="L5731">
        <v>2</v>
      </c>
      <c r="M5731">
        <v>1104</v>
      </c>
      <c r="N5731">
        <v>6</v>
      </c>
      <c r="O5731">
        <v>1</v>
      </c>
      <c r="P5731">
        <v>0</v>
      </c>
      <c r="Q5731">
        <v>0</v>
      </c>
    </row>
    <row r="5732" spans="1:17" x14ac:dyDescent="0.2">
      <c r="A5732" s="121">
        <v>41152</v>
      </c>
      <c r="B5732" t="s">
        <v>406</v>
      </c>
      <c r="C5732" t="s">
        <v>456</v>
      </c>
      <c r="D5732" t="s">
        <v>461</v>
      </c>
      <c r="E5732" t="s">
        <v>462</v>
      </c>
      <c r="F5732" t="s">
        <v>410</v>
      </c>
      <c r="G5732">
        <v>134</v>
      </c>
      <c r="I5732">
        <v>134</v>
      </c>
    </row>
    <row r="5733" spans="1:17" x14ac:dyDescent="0.2">
      <c r="A5733" s="121">
        <v>41152</v>
      </c>
      <c r="B5733" t="s">
        <v>406</v>
      </c>
      <c r="C5733" t="s">
        <v>456</v>
      </c>
      <c r="D5733" t="s">
        <v>463</v>
      </c>
      <c r="E5733" t="s">
        <v>464</v>
      </c>
      <c r="F5733" t="s">
        <v>410</v>
      </c>
      <c r="G5733">
        <v>26</v>
      </c>
      <c r="I5733">
        <v>26</v>
      </c>
    </row>
    <row r="5734" spans="1:17" x14ac:dyDescent="0.2">
      <c r="A5734" s="121">
        <v>41152</v>
      </c>
      <c r="B5734" t="s">
        <v>406</v>
      </c>
      <c r="C5734" t="s">
        <v>456</v>
      </c>
      <c r="D5734" t="s">
        <v>465</v>
      </c>
      <c r="E5734" t="s">
        <v>466</v>
      </c>
      <c r="F5734" t="s">
        <v>410</v>
      </c>
      <c r="G5734">
        <v>71</v>
      </c>
      <c r="I5734">
        <v>71</v>
      </c>
    </row>
    <row r="5735" spans="1:17" x14ac:dyDescent="0.2">
      <c r="A5735" s="121">
        <v>41152</v>
      </c>
      <c r="B5735" t="s">
        <v>406</v>
      </c>
      <c r="C5735" t="s">
        <v>456</v>
      </c>
      <c r="D5735" t="s">
        <v>467</v>
      </c>
      <c r="E5735" t="s">
        <v>468</v>
      </c>
      <c r="F5735" t="s">
        <v>410</v>
      </c>
      <c r="G5735">
        <v>1280</v>
      </c>
      <c r="I5735">
        <v>1280</v>
      </c>
    </row>
    <row r="5736" spans="1:17" x14ac:dyDescent="0.2">
      <c r="A5736" s="121">
        <v>41152</v>
      </c>
      <c r="B5736" t="s">
        <v>406</v>
      </c>
      <c r="C5736" t="s">
        <v>456</v>
      </c>
      <c r="D5736" t="s">
        <v>469</v>
      </c>
      <c r="E5736" t="s">
        <v>470</v>
      </c>
      <c r="F5736" t="s">
        <v>410</v>
      </c>
      <c r="G5736">
        <v>802</v>
      </c>
      <c r="I5736">
        <v>802</v>
      </c>
    </row>
    <row r="5737" spans="1:17" x14ac:dyDescent="0.2">
      <c r="A5737" s="121">
        <v>41152</v>
      </c>
      <c r="B5737" t="s">
        <v>406</v>
      </c>
      <c r="C5737" t="s">
        <v>456</v>
      </c>
      <c r="D5737" t="s">
        <v>471</v>
      </c>
      <c r="E5737" t="s">
        <v>472</v>
      </c>
      <c r="F5737" t="s">
        <v>410</v>
      </c>
      <c r="G5737">
        <v>346</v>
      </c>
      <c r="I5737">
        <v>346</v>
      </c>
    </row>
    <row r="5738" spans="1:17" x14ac:dyDescent="0.2">
      <c r="A5738" s="121">
        <v>41152</v>
      </c>
      <c r="B5738" t="s">
        <v>406</v>
      </c>
      <c r="C5738" t="s">
        <v>456</v>
      </c>
      <c r="D5738" t="s">
        <v>473</v>
      </c>
      <c r="E5738" t="s">
        <v>474</v>
      </c>
      <c r="F5738" t="s">
        <v>410</v>
      </c>
      <c r="G5738">
        <v>210</v>
      </c>
      <c r="I5738">
        <v>210</v>
      </c>
    </row>
    <row r="5739" spans="1:17" x14ac:dyDescent="0.2">
      <c r="A5739" s="121">
        <v>41152</v>
      </c>
      <c r="B5739" t="s">
        <v>406</v>
      </c>
      <c r="C5739" t="s">
        <v>456</v>
      </c>
      <c r="D5739" t="s">
        <v>475</v>
      </c>
      <c r="E5739" t="s">
        <v>476</v>
      </c>
      <c r="F5739" t="s">
        <v>410</v>
      </c>
      <c r="G5739">
        <v>377</v>
      </c>
      <c r="I5739">
        <v>376</v>
      </c>
    </row>
    <row r="5740" spans="1:17" x14ac:dyDescent="0.2">
      <c r="A5740" s="121">
        <v>41152</v>
      </c>
      <c r="B5740" t="s">
        <v>406</v>
      </c>
      <c r="C5740" t="s">
        <v>456</v>
      </c>
      <c r="D5740" t="s">
        <v>477</v>
      </c>
      <c r="E5740" t="s">
        <v>478</v>
      </c>
      <c r="F5740" t="s">
        <v>413</v>
      </c>
      <c r="G5740">
        <v>2161</v>
      </c>
      <c r="H5740">
        <v>2161</v>
      </c>
      <c r="I5740">
        <v>2094</v>
      </c>
      <c r="J5740">
        <v>2094</v>
      </c>
      <c r="K5740">
        <v>469</v>
      </c>
      <c r="L5740">
        <v>4</v>
      </c>
      <c r="M5740">
        <v>1652</v>
      </c>
      <c r="N5740">
        <v>24</v>
      </c>
      <c r="O5740">
        <v>12</v>
      </c>
      <c r="P5740">
        <v>5</v>
      </c>
      <c r="Q5740">
        <v>1</v>
      </c>
    </row>
    <row r="5741" spans="1:17" x14ac:dyDescent="0.2">
      <c r="A5741" s="121">
        <v>41152</v>
      </c>
      <c r="B5741" t="s">
        <v>406</v>
      </c>
      <c r="C5741" t="s">
        <v>456</v>
      </c>
      <c r="D5741" t="s">
        <v>479</v>
      </c>
      <c r="E5741" t="s">
        <v>480</v>
      </c>
      <c r="F5741" t="s">
        <v>410</v>
      </c>
      <c r="G5741">
        <v>77</v>
      </c>
      <c r="I5741">
        <v>77</v>
      </c>
    </row>
    <row r="5742" spans="1:17" x14ac:dyDescent="0.2">
      <c r="A5742" s="121">
        <v>41152</v>
      </c>
      <c r="B5742" t="s">
        <v>406</v>
      </c>
      <c r="C5742" t="s">
        <v>456</v>
      </c>
      <c r="D5742" t="s">
        <v>481</v>
      </c>
      <c r="E5742" t="s">
        <v>482</v>
      </c>
      <c r="F5742" t="s">
        <v>410</v>
      </c>
      <c r="G5742">
        <v>47</v>
      </c>
      <c r="I5742">
        <v>47</v>
      </c>
    </row>
    <row r="5743" spans="1:17" x14ac:dyDescent="0.2">
      <c r="A5743" s="121">
        <v>41152</v>
      </c>
      <c r="B5743" t="s">
        <v>406</v>
      </c>
      <c r="C5743" t="s">
        <v>456</v>
      </c>
      <c r="D5743" t="s">
        <v>483</v>
      </c>
      <c r="E5743" t="s">
        <v>484</v>
      </c>
      <c r="F5743" t="s">
        <v>410</v>
      </c>
      <c r="G5743">
        <v>130</v>
      </c>
      <c r="I5743">
        <v>130</v>
      </c>
    </row>
    <row r="5744" spans="1:17" x14ac:dyDescent="0.2">
      <c r="A5744" s="121">
        <v>41152</v>
      </c>
      <c r="B5744" t="s">
        <v>406</v>
      </c>
      <c r="C5744" t="s">
        <v>456</v>
      </c>
      <c r="D5744" t="s">
        <v>485</v>
      </c>
      <c r="E5744" t="s">
        <v>486</v>
      </c>
      <c r="F5744" t="s">
        <v>410</v>
      </c>
      <c r="G5744">
        <v>52</v>
      </c>
      <c r="I5744">
        <v>52</v>
      </c>
    </row>
    <row r="5745" spans="1:17" x14ac:dyDescent="0.2">
      <c r="A5745" s="121">
        <v>41152</v>
      </c>
      <c r="B5745" t="s">
        <v>406</v>
      </c>
      <c r="C5745" t="s">
        <v>456</v>
      </c>
      <c r="D5745" t="s">
        <v>487</v>
      </c>
      <c r="E5745" t="s">
        <v>488</v>
      </c>
      <c r="F5745" t="s">
        <v>410</v>
      </c>
      <c r="G5745">
        <v>38</v>
      </c>
      <c r="I5745">
        <v>38</v>
      </c>
    </row>
    <row r="5746" spans="1:17" x14ac:dyDescent="0.2">
      <c r="A5746" s="121">
        <v>41152</v>
      </c>
      <c r="B5746" t="s">
        <v>406</v>
      </c>
      <c r="C5746" t="s">
        <v>456</v>
      </c>
      <c r="D5746" t="s">
        <v>489</v>
      </c>
      <c r="E5746" t="s">
        <v>490</v>
      </c>
      <c r="F5746" t="s">
        <v>410</v>
      </c>
      <c r="G5746">
        <v>81</v>
      </c>
      <c r="H5746">
        <v>81</v>
      </c>
      <c r="I5746">
        <v>81</v>
      </c>
      <c r="J5746">
        <v>81</v>
      </c>
      <c r="K5746">
        <v>0</v>
      </c>
      <c r="L5746">
        <v>0</v>
      </c>
      <c r="M5746">
        <v>71</v>
      </c>
      <c r="N5746">
        <v>10</v>
      </c>
      <c r="O5746">
        <v>0</v>
      </c>
      <c r="P5746">
        <v>0</v>
      </c>
      <c r="Q5746">
        <v>0</v>
      </c>
    </row>
    <row r="5747" spans="1:17" x14ac:dyDescent="0.2">
      <c r="A5747" s="121">
        <v>41152</v>
      </c>
      <c r="B5747" t="s">
        <v>406</v>
      </c>
      <c r="C5747" t="s">
        <v>491</v>
      </c>
      <c r="D5747" t="s">
        <v>492</v>
      </c>
      <c r="E5747" t="s">
        <v>493</v>
      </c>
      <c r="F5747" t="s">
        <v>410</v>
      </c>
      <c r="G5747">
        <v>1348</v>
      </c>
      <c r="H5747">
        <v>1348</v>
      </c>
      <c r="I5747">
        <v>1319</v>
      </c>
      <c r="J5747">
        <v>1319</v>
      </c>
      <c r="K5747">
        <v>200</v>
      </c>
      <c r="L5747">
        <v>2</v>
      </c>
      <c r="M5747">
        <v>1085</v>
      </c>
      <c r="N5747">
        <v>58</v>
      </c>
      <c r="O5747">
        <v>3</v>
      </c>
      <c r="P5747">
        <v>0</v>
      </c>
      <c r="Q5747">
        <v>0</v>
      </c>
    </row>
    <row r="5748" spans="1:17" x14ac:dyDescent="0.2">
      <c r="A5748" s="121">
        <v>41152</v>
      </c>
      <c r="B5748" t="s">
        <v>406</v>
      </c>
      <c r="C5748" t="s">
        <v>491</v>
      </c>
      <c r="D5748" t="s">
        <v>494</v>
      </c>
      <c r="E5748" t="s">
        <v>495</v>
      </c>
      <c r="F5748" t="s">
        <v>413</v>
      </c>
      <c r="G5748">
        <v>2853</v>
      </c>
      <c r="H5748">
        <v>2853</v>
      </c>
      <c r="I5748">
        <v>2800</v>
      </c>
      <c r="J5748">
        <v>2800</v>
      </c>
      <c r="K5748">
        <v>673</v>
      </c>
      <c r="L5748">
        <v>7</v>
      </c>
      <c r="M5748">
        <v>1990</v>
      </c>
      <c r="N5748">
        <v>20</v>
      </c>
      <c r="O5748">
        <v>163</v>
      </c>
      <c r="P5748">
        <v>0</v>
      </c>
      <c r="Q5748">
        <v>0</v>
      </c>
    </row>
    <row r="5749" spans="1:17" x14ac:dyDescent="0.2">
      <c r="A5749" s="121">
        <v>41152</v>
      </c>
      <c r="B5749" t="s">
        <v>406</v>
      </c>
      <c r="C5749" t="s">
        <v>491</v>
      </c>
      <c r="D5749" t="s">
        <v>496</v>
      </c>
      <c r="E5749" t="s">
        <v>497</v>
      </c>
      <c r="F5749" t="s">
        <v>413</v>
      </c>
      <c r="G5749">
        <v>6240</v>
      </c>
      <c r="H5749">
        <v>6240</v>
      </c>
      <c r="I5749">
        <v>5747</v>
      </c>
      <c r="J5749">
        <v>5747</v>
      </c>
      <c r="K5749">
        <v>2104</v>
      </c>
      <c r="L5749">
        <v>24</v>
      </c>
      <c r="M5749">
        <v>3843</v>
      </c>
      <c r="N5749">
        <v>118</v>
      </c>
      <c r="O5749">
        <v>151</v>
      </c>
      <c r="P5749">
        <v>16</v>
      </c>
      <c r="Q5749">
        <v>0</v>
      </c>
    </row>
    <row r="5750" spans="1:17" x14ac:dyDescent="0.2">
      <c r="A5750" s="121">
        <v>41152</v>
      </c>
      <c r="B5750" t="s">
        <v>406</v>
      </c>
      <c r="C5750" t="s">
        <v>491</v>
      </c>
      <c r="D5750" t="s">
        <v>498</v>
      </c>
      <c r="E5750" t="s">
        <v>499</v>
      </c>
      <c r="F5750" t="s">
        <v>413</v>
      </c>
      <c r="G5750">
        <v>7558</v>
      </c>
      <c r="H5750">
        <v>7558</v>
      </c>
      <c r="I5750">
        <v>7246</v>
      </c>
      <c r="J5750">
        <v>7246</v>
      </c>
      <c r="K5750">
        <v>1921</v>
      </c>
      <c r="L5750">
        <v>17</v>
      </c>
      <c r="M5750">
        <v>4986</v>
      </c>
      <c r="N5750">
        <v>179</v>
      </c>
      <c r="O5750">
        <v>455</v>
      </c>
      <c r="P5750">
        <v>5</v>
      </c>
      <c r="Q5750">
        <v>0</v>
      </c>
    </row>
    <row r="5751" spans="1:17" x14ac:dyDescent="0.2">
      <c r="A5751" s="121">
        <v>41152</v>
      </c>
      <c r="B5751" t="s">
        <v>406</v>
      </c>
      <c r="C5751" t="s">
        <v>491</v>
      </c>
      <c r="D5751" t="s">
        <v>500</v>
      </c>
      <c r="E5751" t="s">
        <v>620</v>
      </c>
      <c r="F5751" t="s">
        <v>410</v>
      </c>
      <c r="G5751">
        <v>1495</v>
      </c>
      <c r="H5751">
        <v>1495</v>
      </c>
      <c r="I5751">
        <v>1495</v>
      </c>
      <c r="J5751">
        <v>1495</v>
      </c>
      <c r="K5751">
        <v>5</v>
      </c>
      <c r="L5751">
        <v>0</v>
      </c>
      <c r="M5751">
        <v>1339</v>
      </c>
      <c r="N5751">
        <v>5</v>
      </c>
      <c r="O5751">
        <v>146</v>
      </c>
      <c r="P5751">
        <v>0</v>
      </c>
      <c r="Q5751">
        <v>0</v>
      </c>
    </row>
    <row r="5752" spans="1:17" x14ac:dyDescent="0.2">
      <c r="A5752" s="121">
        <v>41152</v>
      </c>
      <c r="B5752" t="s">
        <v>406</v>
      </c>
      <c r="C5752" t="s">
        <v>491</v>
      </c>
      <c r="D5752" t="s">
        <v>502</v>
      </c>
      <c r="E5752" t="s">
        <v>615</v>
      </c>
      <c r="F5752" t="s">
        <v>410</v>
      </c>
      <c r="G5752">
        <v>1785</v>
      </c>
      <c r="H5752">
        <v>1785</v>
      </c>
      <c r="I5752">
        <v>1785</v>
      </c>
      <c r="J5752">
        <v>1785</v>
      </c>
      <c r="K5752">
        <v>0</v>
      </c>
      <c r="L5752">
        <v>0</v>
      </c>
      <c r="M5752">
        <v>1770</v>
      </c>
      <c r="N5752">
        <v>2</v>
      </c>
      <c r="O5752">
        <v>13</v>
      </c>
      <c r="P5752">
        <v>0</v>
      </c>
      <c r="Q5752">
        <v>0</v>
      </c>
    </row>
    <row r="5753" spans="1:17" x14ac:dyDescent="0.2">
      <c r="A5753" s="121">
        <v>41152</v>
      </c>
      <c r="B5753" t="s">
        <v>406</v>
      </c>
      <c r="C5753" t="s">
        <v>491</v>
      </c>
      <c r="D5753" t="s">
        <v>502</v>
      </c>
      <c r="E5753" t="s">
        <v>503</v>
      </c>
      <c r="F5753" t="s">
        <v>413</v>
      </c>
      <c r="G5753">
        <v>5362</v>
      </c>
      <c r="H5753">
        <v>5362</v>
      </c>
      <c r="I5753">
        <v>5044</v>
      </c>
      <c r="J5753">
        <v>5044</v>
      </c>
      <c r="K5753">
        <v>1522</v>
      </c>
      <c r="L5753">
        <v>12</v>
      </c>
      <c r="M5753">
        <v>3623</v>
      </c>
      <c r="N5753">
        <v>134</v>
      </c>
      <c r="O5753">
        <v>71</v>
      </c>
      <c r="P5753">
        <v>4</v>
      </c>
      <c r="Q5753">
        <v>0</v>
      </c>
    </row>
    <row r="5754" spans="1:17" x14ac:dyDescent="0.2">
      <c r="A5754" s="121">
        <v>41152</v>
      </c>
      <c r="B5754" t="s">
        <v>406</v>
      </c>
      <c r="C5754" t="s">
        <v>491</v>
      </c>
      <c r="D5754" t="s">
        <v>504</v>
      </c>
      <c r="E5754" t="s">
        <v>505</v>
      </c>
      <c r="F5754" t="s">
        <v>413</v>
      </c>
      <c r="G5754">
        <v>4273</v>
      </c>
      <c r="H5754">
        <v>4273</v>
      </c>
      <c r="I5754">
        <v>4113</v>
      </c>
      <c r="J5754">
        <v>4113</v>
      </c>
      <c r="K5754">
        <v>1240</v>
      </c>
      <c r="L5754">
        <v>10</v>
      </c>
      <c r="M5754">
        <v>2900</v>
      </c>
      <c r="N5754">
        <v>71</v>
      </c>
      <c r="O5754">
        <v>52</v>
      </c>
      <c r="P5754">
        <v>3</v>
      </c>
      <c r="Q5754">
        <v>0</v>
      </c>
    </row>
    <row r="5755" spans="1:17" x14ac:dyDescent="0.2">
      <c r="A5755" s="121">
        <v>41152</v>
      </c>
      <c r="B5755" t="s">
        <v>406</v>
      </c>
      <c r="C5755" t="s">
        <v>491</v>
      </c>
      <c r="D5755" t="s">
        <v>506</v>
      </c>
      <c r="E5755" t="s">
        <v>507</v>
      </c>
      <c r="F5755" t="s">
        <v>413</v>
      </c>
      <c r="G5755">
        <v>3598</v>
      </c>
      <c r="H5755">
        <v>3598</v>
      </c>
      <c r="I5755">
        <v>3471</v>
      </c>
      <c r="J5755">
        <v>3471</v>
      </c>
      <c r="K5755">
        <v>579</v>
      </c>
      <c r="L5755">
        <v>0</v>
      </c>
      <c r="M5755">
        <v>3014</v>
      </c>
      <c r="N5755">
        <v>0</v>
      </c>
      <c r="O5755">
        <v>5</v>
      </c>
      <c r="P5755">
        <v>2</v>
      </c>
      <c r="Q5755">
        <v>0</v>
      </c>
    </row>
    <row r="5756" spans="1:17" x14ac:dyDescent="0.2">
      <c r="A5756" s="121">
        <v>41152</v>
      </c>
      <c r="B5756" t="s">
        <v>406</v>
      </c>
      <c r="C5756" t="s">
        <v>491</v>
      </c>
      <c r="D5756" t="s">
        <v>508</v>
      </c>
      <c r="E5756" t="s">
        <v>509</v>
      </c>
      <c r="F5756" t="s">
        <v>413</v>
      </c>
      <c r="G5756">
        <v>5090</v>
      </c>
      <c r="H5756">
        <v>5090</v>
      </c>
      <c r="I5756">
        <v>4853</v>
      </c>
      <c r="J5756">
        <v>4853</v>
      </c>
      <c r="K5756">
        <v>1574</v>
      </c>
      <c r="L5756">
        <v>9</v>
      </c>
      <c r="M5756">
        <v>3155</v>
      </c>
      <c r="N5756">
        <v>88</v>
      </c>
      <c r="O5756">
        <v>264</v>
      </c>
      <c r="P5756">
        <v>4</v>
      </c>
      <c r="Q5756">
        <v>0</v>
      </c>
    </row>
    <row r="5757" spans="1:17" x14ac:dyDescent="0.2">
      <c r="A5757" s="121">
        <v>41152</v>
      </c>
      <c r="B5757" t="s">
        <v>406</v>
      </c>
      <c r="C5757" t="s">
        <v>510</v>
      </c>
      <c r="D5757" t="s">
        <v>513</v>
      </c>
      <c r="E5757" t="s">
        <v>514</v>
      </c>
      <c r="F5757" t="s">
        <v>410</v>
      </c>
      <c r="G5757">
        <v>729</v>
      </c>
      <c r="I5757">
        <v>723</v>
      </c>
    </row>
    <row r="5758" spans="1:17" x14ac:dyDescent="0.2">
      <c r="A5758" s="121">
        <v>41152</v>
      </c>
      <c r="B5758" t="s">
        <v>406</v>
      </c>
      <c r="C5758" t="s">
        <v>510</v>
      </c>
      <c r="D5758" t="s">
        <v>515</v>
      </c>
      <c r="E5758" t="s">
        <v>516</v>
      </c>
      <c r="F5758" t="s">
        <v>410</v>
      </c>
      <c r="G5758">
        <v>133</v>
      </c>
      <c r="I5758">
        <v>131</v>
      </c>
    </row>
    <row r="5759" spans="1:17" x14ac:dyDescent="0.2">
      <c r="A5759" s="121">
        <v>41152</v>
      </c>
      <c r="B5759" t="s">
        <v>406</v>
      </c>
      <c r="C5759" t="s">
        <v>510</v>
      </c>
      <c r="D5759" t="s">
        <v>519</v>
      </c>
      <c r="E5759" t="s">
        <v>520</v>
      </c>
      <c r="F5759" t="s">
        <v>410</v>
      </c>
      <c r="G5759">
        <v>418</v>
      </c>
      <c r="I5759">
        <v>406</v>
      </c>
    </row>
    <row r="5760" spans="1:17" x14ac:dyDescent="0.2">
      <c r="A5760" s="121">
        <v>41152</v>
      </c>
      <c r="B5760" t="s">
        <v>406</v>
      </c>
      <c r="C5760" t="s">
        <v>510</v>
      </c>
      <c r="D5760" t="s">
        <v>521</v>
      </c>
      <c r="E5760" t="s">
        <v>522</v>
      </c>
      <c r="F5760" t="s">
        <v>410</v>
      </c>
      <c r="G5760">
        <v>69</v>
      </c>
      <c r="I5760">
        <v>69</v>
      </c>
    </row>
    <row r="5761" spans="1:17" x14ac:dyDescent="0.2">
      <c r="A5761" s="121">
        <v>41152</v>
      </c>
      <c r="B5761" t="s">
        <v>406</v>
      </c>
      <c r="C5761" t="s">
        <v>510</v>
      </c>
      <c r="D5761" t="s">
        <v>523</v>
      </c>
      <c r="E5761" t="s">
        <v>524</v>
      </c>
      <c r="F5761" t="s">
        <v>413</v>
      </c>
      <c r="G5761">
        <v>630</v>
      </c>
      <c r="H5761">
        <v>630</v>
      </c>
      <c r="I5761">
        <v>610</v>
      </c>
      <c r="J5761">
        <v>610</v>
      </c>
      <c r="K5761">
        <v>99</v>
      </c>
      <c r="L5761">
        <v>1</v>
      </c>
      <c r="M5761">
        <v>515</v>
      </c>
      <c r="N5761">
        <v>15</v>
      </c>
      <c r="O5761">
        <v>0</v>
      </c>
      <c r="P5761">
        <v>1</v>
      </c>
      <c r="Q5761">
        <v>0</v>
      </c>
    </row>
    <row r="5762" spans="1:17" x14ac:dyDescent="0.2">
      <c r="A5762" s="121">
        <v>41152</v>
      </c>
      <c r="B5762" t="s">
        <v>406</v>
      </c>
      <c r="C5762" t="s">
        <v>510</v>
      </c>
      <c r="D5762" t="s">
        <v>525</v>
      </c>
      <c r="E5762" t="s">
        <v>526</v>
      </c>
      <c r="F5762" t="s">
        <v>410</v>
      </c>
      <c r="G5762">
        <v>477</v>
      </c>
      <c r="I5762">
        <v>470</v>
      </c>
    </row>
    <row r="5763" spans="1:17" x14ac:dyDescent="0.2">
      <c r="A5763" s="121">
        <v>41152</v>
      </c>
      <c r="B5763" t="s">
        <v>406</v>
      </c>
      <c r="C5763" t="s">
        <v>510</v>
      </c>
      <c r="D5763" t="s">
        <v>527</v>
      </c>
      <c r="E5763" t="s">
        <v>528</v>
      </c>
      <c r="F5763" t="s">
        <v>410</v>
      </c>
      <c r="G5763">
        <v>244</v>
      </c>
      <c r="I5763">
        <v>243</v>
      </c>
    </row>
    <row r="5764" spans="1:17" x14ac:dyDescent="0.2">
      <c r="A5764" s="121">
        <v>41152</v>
      </c>
      <c r="B5764" t="s">
        <v>406</v>
      </c>
      <c r="C5764" t="s">
        <v>510</v>
      </c>
      <c r="D5764" t="s">
        <v>529</v>
      </c>
      <c r="E5764" t="s">
        <v>530</v>
      </c>
      <c r="F5764" t="s">
        <v>413</v>
      </c>
      <c r="G5764">
        <v>597</v>
      </c>
      <c r="H5764">
        <v>597</v>
      </c>
      <c r="I5764">
        <v>590</v>
      </c>
      <c r="J5764">
        <v>590</v>
      </c>
      <c r="K5764">
        <v>143</v>
      </c>
      <c r="L5764">
        <v>1</v>
      </c>
      <c r="M5764">
        <v>452</v>
      </c>
      <c r="N5764">
        <v>1</v>
      </c>
      <c r="O5764">
        <v>0</v>
      </c>
      <c r="P5764">
        <v>0</v>
      </c>
      <c r="Q5764">
        <v>0</v>
      </c>
    </row>
    <row r="5765" spans="1:17" x14ac:dyDescent="0.2">
      <c r="A5765" s="121">
        <v>41152</v>
      </c>
      <c r="B5765" t="s">
        <v>406</v>
      </c>
      <c r="C5765" t="s">
        <v>510</v>
      </c>
      <c r="D5765" t="s">
        <v>531</v>
      </c>
      <c r="E5765" t="s">
        <v>532</v>
      </c>
      <c r="F5765" t="s">
        <v>410</v>
      </c>
      <c r="G5765">
        <v>61</v>
      </c>
      <c r="I5765">
        <v>61</v>
      </c>
    </row>
    <row r="5766" spans="1:17" x14ac:dyDescent="0.2">
      <c r="A5766" s="121">
        <v>41152</v>
      </c>
      <c r="B5766" t="s">
        <v>406</v>
      </c>
      <c r="C5766" t="s">
        <v>510</v>
      </c>
      <c r="D5766" t="s">
        <v>533</v>
      </c>
      <c r="E5766" t="s">
        <v>534</v>
      </c>
      <c r="F5766" t="s">
        <v>413</v>
      </c>
      <c r="G5766">
        <v>3034</v>
      </c>
      <c r="H5766">
        <v>3034</v>
      </c>
      <c r="I5766">
        <v>2954</v>
      </c>
      <c r="J5766">
        <v>2954</v>
      </c>
      <c r="K5766">
        <v>597</v>
      </c>
      <c r="L5766">
        <v>8</v>
      </c>
      <c r="M5766">
        <v>2429</v>
      </c>
      <c r="N5766">
        <v>0</v>
      </c>
      <c r="O5766">
        <v>0</v>
      </c>
      <c r="P5766">
        <v>2</v>
      </c>
      <c r="Q5766">
        <v>0</v>
      </c>
    </row>
    <row r="5767" spans="1:17" x14ac:dyDescent="0.2">
      <c r="A5767" s="121">
        <v>41152</v>
      </c>
      <c r="B5767" t="s">
        <v>406</v>
      </c>
      <c r="C5767" t="s">
        <v>510</v>
      </c>
      <c r="D5767" t="s">
        <v>535</v>
      </c>
      <c r="E5767" t="s">
        <v>536</v>
      </c>
      <c r="F5767" t="s">
        <v>410</v>
      </c>
      <c r="G5767">
        <v>471</v>
      </c>
      <c r="I5767">
        <v>470</v>
      </c>
    </row>
    <row r="5768" spans="1:17" x14ac:dyDescent="0.2">
      <c r="A5768" s="121">
        <v>41152</v>
      </c>
      <c r="B5768" t="s">
        <v>406</v>
      </c>
      <c r="C5768" t="s">
        <v>510</v>
      </c>
      <c r="D5768" t="s">
        <v>537</v>
      </c>
      <c r="E5768" t="s">
        <v>538</v>
      </c>
      <c r="F5768" t="s">
        <v>410</v>
      </c>
      <c r="G5768">
        <v>125</v>
      </c>
      <c r="I5768">
        <v>125</v>
      </c>
    </row>
    <row r="5769" spans="1:17" x14ac:dyDescent="0.2">
      <c r="A5769" s="121">
        <v>41152</v>
      </c>
      <c r="B5769" t="s">
        <v>406</v>
      </c>
      <c r="C5769" t="s">
        <v>510</v>
      </c>
      <c r="D5769" t="s">
        <v>539</v>
      </c>
      <c r="E5769" t="s">
        <v>540</v>
      </c>
      <c r="F5769" t="s">
        <v>413</v>
      </c>
      <c r="G5769">
        <v>992</v>
      </c>
      <c r="H5769">
        <v>992</v>
      </c>
      <c r="I5769">
        <v>955</v>
      </c>
      <c r="J5769">
        <v>955</v>
      </c>
      <c r="K5769">
        <v>141</v>
      </c>
      <c r="L5769">
        <v>1</v>
      </c>
      <c r="M5769">
        <v>847</v>
      </c>
      <c r="N5769">
        <v>3</v>
      </c>
      <c r="O5769">
        <v>0</v>
      </c>
      <c r="P5769">
        <v>1</v>
      </c>
      <c r="Q5769">
        <v>0</v>
      </c>
    </row>
    <row r="5770" spans="1:17" x14ac:dyDescent="0.2">
      <c r="A5770" s="121">
        <v>41152</v>
      </c>
      <c r="B5770" t="s">
        <v>406</v>
      </c>
      <c r="C5770" t="s">
        <v>510</v>
      </c>
      <c r="D5770" t="s">
        <v>541</v>
      </c>
      <c r="E5770" t="s">
        <v>542</v>
      </c>
      <c r="F5770" t="s">
        <v>410</v>
      </c>
      <c r="G5770">
        <v>453</v>
      </c>
      <c r="I5770">
        <v>453</v>
      </c>
    </row>
    <row r="5771" spans="1:17" x14ac:dyDescent="0.2">
      <c r="A5771" s="121">
        <v>41152</v>
      </c>
      <c r="B5771" t="s">
        <v>406</v>
      </c>
      <c r="C5771" t="s">
        <v>510</v>
      </c>
      <c r="D5771" t="s">
        <v>543</v>
      </c>
      <c r="E5771" t="s">
        <v>544</v>
      </c>
      <c r="F5771" t="s">
        <v>410</v>
      </c>
      <c r="G5771">
        <v>234</v>
      </c>
      <c r="I5771">
        <v>234</v>
      </c>
    </row>
    <row r="5772" spans="1:17" x14ac:dyDescent="0.2">
      <c r="A5772" s="121">
        <v>41152</v>
      </c>
      <c r="B5772" t="s">
        <v>406</v>
      </c>
      <c r="C5772" t="s">
        <v>510</v>
      </c>
      <c r="D5772" t="s">
        <v>545</v>
      </c>
      <c r="E5772" t="s">
        <v>546</v>
      </c>
      <c r="F5772" t="s">
        <v>410</v>
      </c>
      <c r="G5772">
        <v>208</v>
      </c>
      <c r="I5772">
        <v>208</v>
      </c>
    </row>
    <row r="5773" spans="1:17" x14ac:dyDescent="0.2">
      <c r="A5773" s="121">
        <v>41152</v>
      </c>
      <c r="B5773" t="s">
        <v>406</v>
      </c>
      <c r="C5773" t="s">
        <v>510</v>
      </c>
      <c r="D5773" t="s">
        <v>547</v>
      </c>
      <c r="E5773" t="s">
        <v>548</v>
      </c>
      <c r="F5773" t="s">
        <v>410</v>
      </c>
      <c r="G5773">
        <v>134</v>
      </c>
      <c r="I5773">
        <v>134</v>
      </c>
    </row>
    <row r="5774" spans="1:17" x14ac:dyDescent="0.2">
      <c r="A5774" s="121">
        <v>41152</v>
      </c>
      <c r="B5774" t="s">
        <v>406</v>
      </c>
      <c r="C5774" t="s">
        <v>510</v>
      </c>
      <c r="D5774" t="s">
        <v>616</v>
      </c>
      <c r="E5774" t="s">
        <v>617</v>
      </c>
      <c r="F5774" t="s">
        <v>410</v>
      </c>
      <c r="G5774">
        <v>367</v>
      </c>
      <c r="I5774">
        <v>360</v>
      </c>
    </row>
    <row r="5775" spans="1:17" x14ac:dyDescent="0.2">
      <c r="A5775" s="121">
        <v>41152</v>
      </c>
      <c r="B5775" t="s">
        <v>406</v>
      </c>
      <c r="C5775" t="s">
        <v>510</v>
      </c>
      <c r="D5775" t="s">
        <v>549</v>
      </c>
      <c r="E5775" t="s">
        <v>550</v>
      </c>
      <c r="F5775" t="s">
        <v>410</v>
      </c>
      <c r="G5775">
        <v>259</v>
      </c>
      <c r="I5775">
        <v>259</v>
      </c>
    </row>
    <row r="5776" spans="1:17" x14ac:dyDescent="0.2">
      <c r="A5776" s="121">
        <v>41152</v>
      </c>
      <c r="B5776" t="s">
        <v>406</v>
      </c>
      <c r="C5776" t="s">
        <v>551</v>
      </c>
      <c r="D5776" t="s">
        <v>552</v>
      </c>
      <c r="E5776" t="s">
        <v>553</v>
      </c>
      <c r="F5776" t="s">
        <v>413</v>
      </c>
      <c r="G5776">
        <v>6033</v>
      </c>
      <c r="H5776">
        <v>6033</v>
      </c>
      <c r="I5776">
        <v>5743</v>
      </c>
      <c r="J5776">
        <v>5743</v>
      </c>
      <c r="K5776">
        <v>1681</v>
      </c>
      <c r="L5776">
        <v>3</v>
      </c>
      <c r="M5776">
        <v>4007</v>
      </c>
      <c r="N5776">
        <v>163</v>
      </c>
      <c r="O5776">
        <v>179</v>
      </c>
      <c r="P5776">
        <v>14</v>
      </c>
      <c r="Q5776">
        <v>0</v>
      </c>
    </row>
    <row r="5777" spans="1:17" x14ac:dyDescent="0.2">
      <c r="A5777" s="121">
        <v>41152</v>
      </c>
      <c r="B5777" t="s">
        <v>406</v>
      </c>
      <c r="C5777" t="s">
        <v>551</v>
      </c>
      <c r="D5777" t="s">
        <v>554</v>
      </c>
      <c r="E5777" t="s">
        <v>555</v>
      </c>
      <c r="F5777" t="s">
        <v>410</v>
      </c>
      <c r="G5777">
        <v>52</v>
      </c>
      <c r="I5777">
        <v>52</v>
      </c>
    </row>
    <row r="5778" spans="1:17" x14ac:dyDescent="0.2">
      <c r="A5778" s="121">
        <v>41152</v>
      </c>
      <c r="B5778" t="s">
        <v>406</v>
      </c>
      <c r="C5778" t="s">
        <v>551</v>
      </c>
      <c r="D5778" t="s">
        <v>556</v>
      </c>
      <c r="E5778" t="s">
        <v>557</v>
      </c>
      <c r="F5778" t="s">
        <v>410</v>
      </c>
      <c r="G5778">
        <v>107</v>
      </c>
      <c r="I5778">
        <v>107</v>
      </c>
    </row>
    <row r="5779" spans="1:17" x14ac:dyDescent="0.2">
      <c r="A5779" s="121">
        <v>41152</v>
      </c>
      <c r="B5779" t="s">
        <v>406</v>
      </c>
      <c r="C5779" t="s">
        <v>551</v>
      </c>
      <c r="D5779" t="s">
        <v>558</v>
      </c>
      <c r="E5779" t="s">
        <v>559</v>
      </c>
      <c r="F5779" t="s">
        <v>413</v>
      </c>
      <c r="G5779">
        <v>5053</v>
      </c>
      <c r="H5779">
        <v>5053</v>
      </c>
      <c r="I5779">
        <v>4640</v>
      </c>
      <c r="J5779">
        <v>4640</v>
      </c>
      <c r="K5779">
        <v>1327</v>
      </c>
      <c r="L5779">
        <v>4</v>
      </c>
      <c r="M5779">
        <v>3570</v>
      </c>
      <c r="N5779">
        <v>132</v>
      </c>
      <c r="O5779">
        <v>20</v>
      </c>
      <c r="P5779">
        <v>32</v>
      </c>
      <c r="Q5779">
        <v>2</v>
      </c>
    </row>
    <row r="5780" spans="1:17" x14ac:dyDescent="0.2">
      <c r="A5780" s="121">
        <v>41152</v>
      </c>
      <c r="B5780" t="s">
        <v>406</v>
      </c>
      <c r="C5780" t="s">
        <v>551</v>
      </c>
      <c r="D5780" t="s">
        <v>560</v>
      </c>
      <c r="E5780" t="s">
        <v>561</v>
      </c>
      <c r="F5780" t="s">
        <v>413</v>
      </c>
      <c r="G5780">
        <v>5738</v>
      </c>
      <c r="H5780">
        <v>5738</v>
      </c>
      <c r="I5780">
        <v>5221</v>
      </c>
      <c r="J5780">
        <v>5221</v>
      </c>
      <c r="K5780">
        <v>1342</v>
      </c>
      <c r="L5780">
        <v>11</v>
      </c>
      <c r="M5780">
        <v>4076</v>
      </c>
      <c r="N5780">
        <v>223</v>
      </c>
      <c r="O5780">
        <v>86</v>
      </c>
      <c r="P5780">
        <v>28</v>
      </c>
      <c r="Q5780">
        <v>1</v>
      </c>
    </row>
    <row r="5781" spans="1:17" x14ac:dyDescent="0.2">
      <c r="A5781" s="121">
        <v>41152</v>
      </c>
      <c r="B5781" t="s">
        <v>406</v>
      </c>
      <c r="C5781" t="s">
        <v>562</v>
      </c>
      <c r="D5781" t="s">
        <v>603</v>
      </c>
      <c r="E5781" t="s">
        <v>604</v>
      </c>
      <c r="F5781" t="s">
        <v>410</v>
      </c>
      <c r="G5781">
        <v>16</v>
      </c>
      <c r="I5781">
        <v>16</v>
      </c>
    </row>
    <row r="5782" spans="1:17" x14ac:dyDescent="0.2">
      <c r="A5782" s="121">
        <v>41152</v>
      </c>
      <c r="B5782" t="s">
        <v>406</v>
      </c>
      <c r="C5782" t="s">
        <v>562</v>
      </c>
      <c r="D5782" t="s">
        <v>605</v>
      </c>
      <c r="E5782" t="s">
        <v>606</v>
      </c>
      <c r="F5782" t="s">
        <v>410</v>
      </c>
      <c r="G5782">
        <v>202</v>
      </c>
      <c r="I5782">
        <v>202</v>
      </c>
    </row>
    <row r="5783" spans="1:17" x14ac:dyDescent="0.2">
      <c r="A5783" s="121">
        <v>41152</v>
      </c>
      <c r="B5783" t="s">
        <v>406</v>
      </c>
      <c r="C5783" t="s">
        <v>562</v>
      </c>
      <c r="D5783" t="s">
        <v>563</v>
      </c>
      <c r="E5783" t="s">
        <v>564</v>
      </c>
      <c r="F5783" t="s">
        <v>410</v>
      </c>
      <c r="G5783">
        <v>3604</v>
      </c>
      <c r="H5783">
        <v>3604</v>
      </c>
      <c r="I5783">
        <v>3435</v>
      </c>
      <c r="J5783">
        <v>3435</v>
      </c>
      <c r="K5783">
        <v>1075</v>
      </c>
      <c r="L5783">
        <v>4</v>
      </c>
      <c r="M5783">
        <v>2496</v>
      </c>
      <c r="N5783">
        <v>29</v>
      </c>
      <c r="O5783">
        <v>0</v>
      </c>
      <c r="P5783">
        <v>2</v>
      </c>
      <c r="Q5783">
        <v>0</v>
      </c>
    </row>
    <row r="5784" spans="1:17" x14ac:dyDescent="0.2">
      <c r="A5784" s="121">
        <v>41152</v>
      </c>
      <c r="B5784" t="s">
        <v>406</v>
      </c>
      <c r="C5784" t="s">
        <v>562</v>
      </c>
      <c r="D5784" t="s">
        <v>565</v>
      </c>
      <c r="E5784" t="s">
        <v>566</v>
      </c>
      <c r="F5784" t="s">
        <v>413</v>
      </c>
      <c r="G5784">
        <v>4653</v>
      </c>
      <c r="H5784">
        <v>4653</v>
      </c>
      <c r="I5784">
        <v>4361</v>
      </c>
      <c r="J5784">
        <v>4361</v>
      </c>
      <c r="K5784">
        <v>1028</v>
      </c>
      <c r="L5784">
        <v>7</v>
      </c>
      <c r="M5784">
        <v>3493</v>
      </c>
      <c r="N5784">
        <v>125</v>
      </c>
      <c r="O5784">
        <v>0</v>
      </c>
      <c r="P5784">
        <v>21</v>
      </c>
      <c r="Q5784">
        <v>3</v>
      </c>
    </row>
    <row r="5785" spans="1:17" x14ac:dyDescent="0.2">
      <c r="A5785" s="121">
        <v>41152</v>
      </c>
      <c r="B5785" t="s">
        <v>406</v>
      </c>
      <c r="C5785" t="s">
        <v>562</v>
      </c>
      <c r="D5785" t="s">
        <v>567</v>
      </c>
      <c r="E5785" t="s">
        <v>568</v>
      </c>
      <c r="F5785" t="s">
        <v>413</v>
      </c>
      <c r="G5785">
        <v>10034</v>
      </c>
      <c r="H5785">
        <v>10034</v>
      </c>
      <c r="I5785">
        <v>9034</v>
      </c>
      <c r="J5785">
        <v>9034</v>
      </c>
      <c r="K5785">
        <v>2873</v>
      </c>
      <c r="L5785">
        <v>15</v>
      </c>
      <c r="M5785">
        <v>6775</v>
      </c>
      <c r="N5785">
        <v>371</v>
      </c>
      <c r="O5785">
        <v>0</v>
      </c>
      <c r="P5785">
        <v>73</v>
      </c>
      <c r="Q5785">
        <v>7</v>
      </c>
    </row>
    <row r="5786" spans="1:17" x14ac:dyDescent="0.2">
      <c r="A5786" s="121">
        <v>41152</v>
      </c>
      <c r="B5786" t="s">
        <v>406</v>
      </c>
      <c r="C5786" t="s">
        <v>562</v>
      </c>
      <c r="D5786" t="s">
        <v>569</v>
      </c>
      <c r="E5786" t="s">
        <v>570</v>
      </c>
      <c r="F5786" t="s">
        <v>413</v>
      </c>
      <c r="G5786">
        <v>3229</v>
      </c>
      <c r="H5786">
        <v>3229</v>
      </c>
      <c r="I5786">
        <v>3197</v>
      </c>
      <c r="J5786">
        <v>3197</v>
      </c>
      <c r="K5786">
        <v>485</v>
      </c>
      <c r="L5786">
        <v>1</v>
      </c>
      <c r="M5786">
        <v>2743</v>
      </c>
      <c r="N5786">
        <v>0</v>
      </c>
      <c r="O5786">
        <v>0</v>
      </c>
      <c r="P5786">
        <v>0</v>
      </c>
      <c r="Q5786">
        <v>0</v>
      </c>
    </row>
    <row r="5787" spans="1:17" x14ac:dyDescent="0.2">
      <c r="A5787" s="121">
        <v>41152</v>
      </c>
      <c r="B5787" t="s">
        <v>406</v>
      </c>
      <c r="C5787" t="s">
        <v>571</v>
      </c>
      <c r="D5787" t="s">
        <v>572</v>
      </c>
      <c r="E5787" t="s">
        <v>573</v>
      </c>
      <c r="F5787" t="s">
        <v>410</v>
      </c>
      <c r="G5787">
        <v>336</v>
      </c>
      <c r="H5787">
        <v>336</v>
      </c>
      <c r="I5787">
        <v>332</v>
      </c>
      <c r="J5787">
        <v>332</v>
      </c>
      <c r="K5787">
        <v>0</v>
      </c>
      <c r="L5787">
        <v>0</v>
      </c>
      <c r="M5787">
        <v>334</v>
      </c>
      <c r="N5787">
        <v>0</v>
      </c>
      <c r="O5787">
        <v>2</v>
      </c>
      <c r="P5787">
        <v>0</v>
      </c>
      <c r="Q5787">
        <v>0</v>
      </c>
    </row>
    <row r="5788" spans="1:17" x14ac:dyDescent="0.2">
      <c r="A5788" s="121">
        <v>41152</v>
      </c>
      <c r="B5788" t="s">
        <v>406</v>
      </c>
      <c r="C5788" t="s">
        <v>574</v>
      </c>
      <c r="D5788" t="s">
        <v>575</v>
      </c>
      <c r="E5788" t="s">
        <v>576</v>
      </c>
      <c r="F5788" t="s">
        <v>413</v>
      </c>
      <c r="G5788">
        <v>666</v>
      </c>
      <c r="H5788">
        <v>666</v>
      </c>
      <c r="I5788">
        <v>666</v>
      </c>
      <c r="J5788">
        <v>666</v>
      </c>
      <c r="K5788">
        <v>154</v>
      </c>
      <c r="L5788">
        <v>0</v>
      </c>
      <c r="M5788">
        <v>494</v>
      </c>
      <c r="N5788">
        <v>2</v>
      </c>
      <c r="O5788">
        <v>16</v>
      </c>
      <c r="P5788">
        <v>0</v>
      </c>
      <c r="Q5788">
        <v>0</v>
      </c>
    </row>
    <row r="5789" spans="1:17" x14ac:dyDescent="0.2">
      <c r="A5789" s="121">
        <v>41152</v>
      </c>
      <c r="B5789" t="s">
        <v>406</v>
      </c>
      <c r="C5789" t="s">
        <v>577</v>
      </c>
      <c r="D5789" t="s">
        <v>578</v>
      </c>
      <c r="E5789" t="s">
        <v>579</v>
      </c>
      <c r="F5789" t="s">
        <v>413</v>
      </c>
      <c r="G5789">
        <v>4214</v>
      </c>
      <c r="H5789">
        <v>4214</v>
      </c>
      <c r="I5789">
        <v>4136</v>
      </c>
      <c r="J5789">
        <v>4136</v>
      </c>
      <c r="K5789">
        <v>874</v>
      </c>
      <c r="L5789">
        <v>9</v>
      </c>
      <c r="M5789">
        <v>3245</v>
      </c>
      <c r="N5789">
        <v>85</v>
      </c>
      <c r="O5789">
        <v>1</v>
      </c>
      <c r="P5789">
        <v>0</v>
      </c>
      <c r="Q5789">
        <v>0</v>
      </c>
    </row>
    <row r="5790" spans="1:17" x14ac:dyDescent="0.2">
      <c r="A5790" s="121">
        <v>41152</v>
      </c>
      <c r="B5790" t="s">
        <v>406</v>
      </c>
      <c r="C5790" t="s">
        <v>577</v>
      </c>
      <c r="D5790" t="s">
        <v>580</v>
      </c>
      <c r="E5790" t="s">
        <v>581</v>
      </c>
      <c r="F5790" t="s">
        <v>413</v>
      </c>
      <c r="G5790">
        <v>2325</v>
      </c>
      <c r="H5790">
        <v>2325</v>
      </c>
      <c r="I5790">
        <v>2286</v>
      </c>
      <c r="J5790">
        <v>2286</v>
      </c>
      <c r="K5790">
        <v>333</v>
      </c>
      <c r="L5790">
        <v>4</v>
      </c>
      <c r="M5790">
        <v>1626</v>
      </c>
      <c r="N5790">
        <v>331</v>
      </c>
      <c r="O5790">
        <v>31</v>
      </c>
      <c r="P5790">
        <v>3</v>
      </c>
      <c r="Q5790">
        <v>0</v>
      </c>
    </row>
    <row r="5791" spans="1:17" x14ac:dyDescent="0.2">
      <c r="A5791" s="121">
        <v>41152</v>
      </c>
      <c r="B5791" t="s">
        <v>406</v>
      </c>
      <c r="C5791" t="s">
        <v>577</v>
      </c>
      <c r="D5791" t="s">
        <v>609</v>
      </c>
      <c r="E5791" t="s">
        <v>610</v>
      </c>
      <c r="F5791" t="s">
        <v>410</v>
      </c>
      <c r="G5791">
        <v>40</v>
      </c>
      <c r="H5791">
        <v>40</v>
      </c>
      <c r="I5791">
        <v>40</v>
      </c>
      <c r="J5791">
        <v>40</v>
      </c>
      <c r="K5791">
        <v>0</v>
      </c>
      <c r="L5791">
        <v>0</v>
      </c>
      <c r="M5791">
        <v>34</v>
      </c>
      <c r="N5791">
        <v>4</v>
      </c>
      <c r="O5791">
        <v>2</v>
      </c>
      <c r="P5791">
        <v>0</v>
      </c>
      <c r="Q5791">
        <v>0</v>
      </c>
    </row>
    <row r="5792" spans="1:17" x14ac:dyDescent="0.2">
      <c r="A5792" s="121">
        <v>41152</v>
      </c>
      <c r="B5792" t="s">
        <v>406</v>
      </c>
      <c r="C5792" t="s">
        <v>577</v>
      </c>
      <c r="D5792" t="s">
        <v>611</v>
      </c>
      <c r="E5792" t="s">
        <v>612</v>
      </c>
      <c r="F5792" t="s">
        <v>410</v>
      </c>
      <c r="G5792">
        <v>12</v>
      </c>
      <c r="H5792">
        <v>12</v>
      </c>
      <c r="I5792">
        <v>12</v>
      </c>
      <c r="J5792">
        <v>12</v>
      </c>
      <c r="K5792">
        <v>0</v>
      </c>
      <c r="L5792">
        <v>0</v>
      </c>
      <c r="M5792">
        <v>5</v>
      </c>
      <c r="N5792">
        <v>2</v>
      </c>
      <c r="O5792">
        <v>5</v>
      </c>
      <c r="P5792">
        <v>0</v>
      </c>
      <c r="Q5792">
        <v>0</v>
      </c>
    </row>
    <row r="5793" spans="1:17" x14ac:dyDescent="0.2">
      <c r="A5793" s="121">
        <v>41152</v>
      </c>
      <c r="B5793" t="s">
        <v>406</v>
      </c>
      <c r="C5793" t="s">
        <v>577</v>
      </c>
      <c r="D5793" t="s">
        <v>584</v>
      </c>
      <c r="E5793" t="s">
        <v>585</v>
      </c>
      <c r="F5793" t="s">
        <v>410</v>
      </c>
      <c r="G5793">
        <v>319</v>
      </c>
      <c r="H5793">
        <v>319</v>
      </c>
      <c r="I5793">
        <v>319</v>
      </c>
      <c r="J5793">
        <v>319</v>
      </c>
      <c r="K5793">
        <v>1</v>
      </c>
      <c r="L5793">
        <v>0</v>
      </c>
      <c r="M5793">
        <v>298</v>
      </c>
      <c r="N5793">
        <v>19</v>
      </c>
      <c r="O5793">
        <v>1</v>
      </c>
      <c r="P5793">
        <v>0</v>
      </c>
      <c r="Q5793">
        <v>0</v>
      </c>
    </row>
    <row r="5794" spans="1:17" x14ac:dyDescent="0.2">
      <c r="A5794" s="121">
        <v>41152</v>
      </c>
      <c r="B5794" t="s">
        <v>406</v>
      </c>
      <c r="C5794" t="s">
        <v>577</v>
      </c>
      <c r="D5794" t="s">
        <v>586</v>
      </c>
      <c r="E5794" t="s">
        <v>587</v>
      </c>
      <c r="F5794" t="s">
        <v>410</v>
      </c>
      <c r="G5794">
        <v>1244</v>
      </c>
      <c r="H5794">
        <v>1244</v>
      </c>
      <c r="I5794">
        <v>1244</v>
      </c>
      <c r="J5794">
        <v>1244</v>
      </c>
      <c r="K5794">
        <v>0</v>
      </c>
      <c r="L5794">
        <v>0</v>
      </c>
      <c r="M5794">
        <v>1149</v>
      </c>
      <c r="N5794">
        <v>92</v>
      </c>
      <c r="O5794">
        <v>3</v>
      </c>
      <c r="P5794">
        <v>0</v>
      </c>
      <c r="Q5794">
        <v>0</v>
      </c>
    </row>
    <row r="5795" spans="1:17" x14ac:dyDescent="0.2">
      <c r="A5795" s="121">
        <v>41152</v>
      </c>
      <c r="B5795" t="s">
        <v>406</v>
      </c>
      <c r="C5795" t="s">
        <v>577</v>
      </c>
      <c r="D5795" t="s">
        <v>588</v>
      </c>
      <c r="E5795" t="s">
        <v>589</v>
      </c>
      <c r="F5795" t="s">
        <v>410</v>
      </c>
      <c r="G5795">
        <v>325</v>
      </c>
      <c r="H5795">
        <v>325</v>
      </c>
      <c r="I5795">
        <v>325</v>
      </c>
      <c r="J5795">
        <v>325</v>
      </c>
      <c r="K5795">
        <v>0</v>
      </c>
      <c r="L5795">
        <v>1</v>
      </c>
      <c r="M5795">
        <v>297</v>
      </c>
      <c r="N5795">
        <v>27</v>
      </c>
      <c r="O5795">
        <v>0</v>
      </c>
      <c r="P5795">
        <v>0</v>
      </c>
      <c r="Q5795">
        <v>0</v>
      </c>
    </row>
    <row r="5796" spans="1:17" x14ac:dyDescent="0.2">
      <c r="A5796" s="121">
        <v>41152</v>
      </c>
      <c r="B5796" t="s">
        <v>406</v>
      </c>
      <c r="C5796" t="s">
        <v>577</v>
      </c>
      <c r="D5796" t="s">
        <v>613</v>
      </c>
      <c r="E5796" t="s">
        <v>614</v>
      </c>
      <c r="F5796" t="s">
        <v>410</v>
      </c>
      <c r="G5796">
        <v>202</v>
      </c>
      <c r="H5796">
        <v>202</v>
      </c>
      <c r="I5796">
        <v>199</v>
      </c>
      <c r="J5796">
        <v>199</v>
      </c>
      <c r="K5796">
        <v>0</v>
      </c>
      <c r="L5796">
        <v>0</v>
      </c>
      <c r="M5796">
        <v>174</v>
      </c>
      <c r="N5796">
        <v>18</v>
      </c>
      <c r="O5796">
        <v>10</v>
      </c>
      <c r="P5796">
        <v>0</v>
      </c>
      <c r="Q5796">
        <v>0</v>
      </c>
    </row>
    <row r="5797" spans="1:17" x14ac:dyDescent="0.2">
      <c r="A5797" s="121">
        <v>41152</v>
      </c>
      <c r="B5797" t="s">
        <v>406</v>
      </c>
      <c r="C5797" t="s">
        <v>577</v>
      </c>
      <c r="D5797" t="s">
        <v>590</v>
      </c>
      <c r="E5797" t="s">
        <v>591</v>
      </c>
      <c r="F5797" t="s">
        <v>410</v>
      </c>
      <c r="G5797">
        <v>647</v>
      </c>
      <c r="H5797">
        <v>647</v>
      </c>
      <c r="I5797">
        <v>647</v>
      </c>
      <c r="J5797">
        <v>647</v>
      </c>
      <c r="K5797">
        <v>0</v>
      </c>
      <c r="L5797">
        <v>0</v>
      </c>
      <c r="M5797">
        <v>618</v>
      </c>
      <c r="N5797">
        <v>28</v>
      </c>
      <c r="O5797">
        <v>1</v>
      </c>
      <c r="P5797">
        <v>0</v>
      </c>
      <c r="Q5797">
        <v>0</v>
      </c>
    </row>
    <row r="5798" spans="1:17" x14ac:dyDescent="0.2">
      <c r="A5798" s="121">
        <v>41152</v>
      </c>
      <c r="B5798" t="s">
        <v>406</v>
      </c>
      <c r="C5798" t="s">
        <v>577</v>
      </c>
      <c r="D5798" t="s">
        <v>607</v>
      </c>
      <c r="E5798" t="s">
        <v>608</v>
      </c>
      <c r="F5798" t="s">
        <v>410</v>
      </c>
      <c r="G5798">
        <v>226</v>
      </c>
      <c r="H5798">
        <v>226</v>
      </c>
      <c r="I5798">
        <v>225</v>
      </c>
      <c r="J5798">
        <v>225</v>
      </c>
      <c r="K5798">
        <v>0</v>
      </c>
      <c r="L5798">
        <v>0</v>
      </c>
      <c r="M5798">
        <v>209</v>
      </c>
      <c r="N5798">
        <v>15</v>
      </c>
      <c r="O5798">
        <v>2</v>
      </c>
      <c r="P5798">
        <v>0</v>
      </c>
      <c r="Q5798">
        <v>0</v>
      </c>
    </row>
    <row r="5799" spans="1:17" x14ac:dyDescent="0.2">
      <c r="A5799" s="121">
        <v>41152</v>
      </c>
      <c r="B5799" t="s">
        <v>406</v>
      </c>
      <c r="C5799" t="s">
        <v>577</v>
      </c>
      <c r="D5799" t="s">
        <v>592</v>
      </c>
      <c r="E5799" t="s">
        <v>593</v>
      </c>
      <c r="F5799" t="s">
        <v>410</v>
      </c>
      <c r="G5799">
        <v>662</v>
      </c>
      <c r="H5799">
        <v>662</v>
      </c>
      <c r="I5799">
        <v>662</v>
      </c>
      <c r="J5799">
        <v>662</v>
      </c>
      <c r="K5799">
        <v>0</v>
      </c>
      <c r="L5799">
        <v>4</v>
      </c>
      <c r="M5799">
        <v>607</v>
      </c>
      <c r="N5799">
        <v>48</v>
      </c>
      <c r="O5799">
        <v>3</v>
      </c>
      <c r="P5799">
        <v>0</v>
      </c>
      <c r="Q5799">
        <v>0</v>
      </c>
    </row>
    <row r="5800" spans="1:17" x14ac:dyDescent="0.2">
      <c r="A5800" s="121">
        <v>41152</v>
      </c>
      <c r="B5800" t="s">
        <v>406</v>
      </c>
      <c r="C5800" t="s">
        <v>594</v>
      </c>
      <c r="D5800" t="s">
        <v>595</v>
      </c>
      <c r="E5800" t="s">
        <v>596</v>
      </c>
      <c r="F5800" t="s">
        <v>410</v>
      </c>
      <c r="G5800">
        <v>56</v>
      </c>
      <c r="I5800">
        <v>55</v>
      </c>
    </row>
    <row r="5801" spans="1:17" x14ac:dyDescent="0.2">
      <c r="A5801" s="121">
        <v>41152</v>
      </c>
      <c r="B5801" t="s">
        <v>406</v>
      </c>
      <c r="C5801" t="s">
        <v>594</v>
      </c>
      <c r="D5801" t="s">
        <v>597</v>
      </c>
      <c r="E5801" t="s">
        <v>598</v>
      </c>
      <c r="F5801" t="s">
        <v>413</v>
      </c>
      <c r="G5801">
        <v>609</v>
      </c>
      <c r="H5801">
        <v>609</v>
      </c>
      <c r="I5801">
        <v>599</v>
      </c>
      <c r="J5801">
        <v>599</v>
      </c>
      <c r="K5801">
        <v>127</v>
      </c>
      <c r="L5801">
        <v>0</v>
      </c>
      <c r="M5801">
        <v>462</v>
      </c>
      <c r="N5801">
        <v>18</v>
      </c>
      <c r="O5801">
        <v>2</v>
      </c>
      <c r="P5801">
        <v>0</v>
      </c>
      <c r="Q5801">
        <v>0</v>
      </c>
    </row>
    <row r="5802" spans="1:17" x14ac:dyDescent="0.2">
      <c r="A5802" s="121">
        <v>41152</v>
      </c>
      <c r="B5802" t="s">
        <v>406</v>
      </c>
      <c r="C5802" t="s">
        <v>594</v>
      </c>
      <c r="D5802" t="s">
        <v>599</v>
      </c>
      <c r="E5802" t="s">
        <v>600</v>
      </c>
      <c r="F5802" t="s">
        <v>410</v>
      </c>
      <c r="G5802">
        <v>139</v>
      </c>
      <c r="I5802">
        <v>139</v>
      </c>
    </row>
    <row r="5803" spans="1:17" x14ac:dyDescent="0.2">
      <c r="A5803" s="121">
        <v>41182</v>
      </c>
      <c r="B5803" t="s">
        <v>406</v>
      </c>
      <c r="C5803" t="s">
        <v>407</v>
      </c>
      <c r="D5803" t="s">
        <v>408</v>
      </c>
      <c r="E5803" t="s">
        <v>409</v>
      </c>
      <c r="F5803" t="s">
        <v>410</v>
      </c>
      <c r="G5803">
        <v>290</v>
      </c>
      <c r="I5803">
        <v>290</v>
      </c>
    </row>
    <row r="5804" spans="1:17" x14ac:dyDescent="0.2">
      <c r="A5804" s="121">
        <v>41182</v>
      </c>
      <c r="B5804" t="s">
        <v>406</v>
      </c>
      <c r="C5804" t="s">
        <v>407</v>
      </c>
      <c r="D5804" t="s">
        <v>601</v>
      </c>
      <c r="E5804" t="s">
        <v>602</v>
      </c>
      <c r="F5804" t="s">
        <v>410</v>
      </c>
      <c r="G5804">
        <v>77</v>
      </c>
      <c r="I5804">
        <v>77</v>
      </c>
    </row>
    <row r="5805" spans="1:17" x14ac:dyDescent="0.2">
      <c r="A5805" s="121">
        <v>41182</v>
      </c>
      <c r="B5805" t="s">
        <v>406</v>
      </c>
      <c r="C5805" t="s">
        <v>407</v>
      </c>
      <c r="D5805" t="s">
        <v>411</v>
      </c>
      <c r="E5805" t="s">
        <v>412</v>
      </c>
      <c r="F5805" t="s">
        <v>413</v>
      </c>
      <c r="G5805">
        <v>5893</v>
      </c>
      <c r="H5805">
        <v>5893</v>
      </c>
      <c r="I5805">
        <v>5611</v>
      </c>
      <c r="J5805">
        <v>5611</v>
      </c>
      <c r="K5805">
        <v>2265</v>
      </c>
      <c r="L5805">
        <v>11</v>
      </c>
      <c r="M5805">
        <v>3220</v>
      </c>
      <c r="N5805">
        <v>92</v>
      </c>
      <c r="O5805">
        <v>305</v>
      </c>
      <c r="P5805">
        <v>8</v>
      </c>
      <c r="Q5805">
        <v>0</v>
      </c>
    </row>
    <row r="5806" spans="1:17" x14ac:dyDescent="0.2">
      <c r="A5806" s="121">
        <v>41182</v>
      </c>
      <c r="B5806" t="s">
        <v>406</v>
      </c>
      <c r="C5806" t="s">
        <v>407</v>
      </c>
      <c r="D5806" t="s">
        <v>416</v>
      </c>
      <c r="E5806" t="s">
        <v>417</v>
      </c>
      <c r="F5806" t="s">
        <v>413</v>
      </c>
      <c r="G5806">
        <v>3793</v>
      </c>
      <c r="H5806">
        <v>3793</v>
      </c>
      <c r="I5806">
        <v>3472</v>
      </c>
      <c r="J5806">
        <v>3472</v>
      </c>
      <c r="K5806">
        <v>1337</v>
      </c>
      <c r="L5806">
        <v>6</v>
      </c>
      <c r="M5806">
        <v>2227</v>
      </c>
      <c r="N5806">
        <v>133</v>
      </c>
      <c r="O5806">
        <v>90</v>
      </c>
      <c r="P5806">
        <v>17</v>
      </c>
      <c r="Q5806">
        <v>0</v>
      </c>
    </row>
    <row r="5807" spans="1:17" x14ac:dyDescent="0.2">
      <c r="A5807" s="121">
        <v>41182</v>
      </c>
      <c r="B5807" t="s">
        <v>406</v>
      </c>
      <c r="C5807" t="s">
        <v>407</v>
      </c>
      <c r="D5807" t="s">
        <v>618</v>
      </c>
      <c r="E5807" t="s">
        <v>619</v>
      </c>
      <c r="F5807" t="s">
        <v>410</v>
      </c>
      <c r="G5807">
        <v>98</v>
      </c>
      <c r="I5807">
        <v>98</v>
      </c>
    </row>
    <row r="5808" spans="1:17" x14ac:dyDescent="0.2">
      <c r="A5808" s="121">
        <v>41182</v>
      </c>
      <c r="B5808" t="s">
        <v>406</v>
      </c>
      <c r="C5808" t="s">
        <v>418</v>
      </c>
      <c r="D5808" t="s">
        <v>419</v>
      </c>
      <c r="E5808" t="s">
        <v>420</v>
      </c>
      <c r="F5808" t="s">
        <v>410</v>
      </c>
      <c r="G5808">
        <v>16</v>
      </c>
      <c r="I5808">
        <v>16</v>
      </c>
    </row>
    <row r="5809" spans="1:17" x14ac:dyDescent="0.2">
      <c r="A5809" s="121">
        <v>41182</v>
      </c>
      <c r="B5809" t="s">
        <v>406</v>
      </c>
      <c r="C5809" t="s">
        <v>418</v>
      </c>
      <c r="D5809" t="s">
        <v>421</v>
      </c>
      <c r="E5809" t="s">
        <v>422</v>
      </c>
      <c r="F5809" t="s">
        <v>410</v>
      </c>
      <c r="G5809">
        <v>117</v>
      </c>
      <c r="I5809">
        <v>117</v>
      </c>
    </row>
    <row r="5810" spans="1:17" x14ac:dyDescent="0.2">
      <c r="A5810" s="121">
        <v>41182</v>
      </c>
      <c r="B5810" t="s">
        <v>406</v>
      </c>
      <c r="C5810" t="s">
        <v>418</v>
      </c>
      <c r="D5810" t="s">
        <v>423</v>
      </c>
      <c r="E5810" t="s">
        <v>424</v>
      </c>
      <c r="F5810" t="s">
        <v>410</v>
      </c>
      <c r="G5810">
        <v>20</v>
      </c>
      <c r="I5810">
        <v>20</v>
      </c>
    </row>
    <row r="5811" spans="1:17" x14ac:dyDescent="0.2">
      <c r="A5811" s="121">
        <v>41182</v>
      </c>
      <c r="B5811" t="s">
        <v>406</v>
      </c>
      <c r="C5811" t="s">
        <v>418</v>
      </c>
      <c r="D5811" t="s">
        <v>425</v>
      </c>
      <c r="E5811" t="s">
        <v>426</v>
      </c>
      <c r="F5811" t="s">
        <v>410</v>
      </c>
      <c r="G5811">
        <v>100</v>
      </c>
      <c r="I5811">
        <v>100</v>
      </c>
    </row>
    <row r="5812" spans="1:17" x14ac:dyDescent="0.2">
      <c r="A5812" s="121">
        <v>41182</v>
      </c>
      <c r="B5812" t="s">
        <v>406</v>
      </c>
      <c r="C5812" t="s">
        <v>418</v>
      </c>
      <c r="D5812" t="s">
        <v>427</v>
      </c>
      <c r="E5812" t="s">
        <v>428</v>
      </c>
      <c r="F5812" t="s">
        <v>413</v>
      </c>
      <c r="G5812">
        <v>2263</v>
      </c>
      <c r="H5812">
        <v>2263</v>
      </c>
      <c r="I5812">
        <v>2194</v>
      </c>
      <c r="J5812">
        <v>2194</v>
      </c>
      <c r="K5812">
        <v>777</v>
      </c>
      <c r="L5812">
        <v>2</v>
      </c>
      <c r="M5812">
        <v>1154</v>
      </c>
      <c r="N5812">
        <v>294</v>
      </c>
      <c r="O5812">
        <v>36</v>
      </c>
      <c r="P5812">
        <v>0</v>
      </c>
      <c r="Q5812">
        <v>0</v>
      </c>
    </row>
    <row r="5813" spans="1:17" x14ac:dyDescent="0.2">
      <c r="A5813" s="121">
        <v>41182</v>
      </c>
      <c r="B5813" t="s">
        <v>406</v>
      </c>
      <c r="C5813" t="s">
        <v>429</v>
      </c>
      <c r="D5813" t="s">
        <v>430</v>
      </c>
      <c r="E5813" t="s">
        <v>431</v>
      </c>
      <c r="F5813" t="s">
        <v>410</v>
      </c>
      <c r="G5813">
        <v>32</v>
      </c>
      <c r="I5813">
        <v>32</v>
      </c>
    </row>
    <row r="5814" spans="1:17" x14ac:dyDescent="0.2">
      <c r="A5814" s="121">
        <v>41182</v>
      </c>
      <c r="B5814" t="s">
        <v>406</v>
      </c>
      <c r="C5814" t="s">
        <v>429</v>
      </c>
      <c r="D5814" t="s">
        <v>432</v>
      </c>
      <c r="E5814" t="s">
        <v>433</v>
      </c>
      <c r="F5814" t="s">
        <v>410</v>
      </c>
      <c r="G5814">
        <v>57</v>
      </c>
      <c r="I5814">
        <v>57</v>
      </c>
    </row>
    <row r="5815" spans="1:17" x14ac:dyDescent="0.2">
      <c r="A5815" s="121">
        <v>41182</v>
      </c>
      <c r="B5815" t="s">
        <v>406</v>
      </c>
      <c r="C5815" t="s">
        <v>429</v>
      </c>
      <c r="D5815" t="s">
        <v>434</v>
      </c>
      <c r="E5815" t="s">
        <v>435</v>
      </c>
      <c r="F5815" t="s">
        <v>410</v>
      </c>
      <c r="G5815">
        <v>4</v>
      </c>
      <c r="I5815">
        <v>4</v>
      </c>
    </row>
    <row r="5816" spans="1:17" x14ac:dyDescent="0.2">
      <c r="A5816" s="121">
        <v>41182</v>
      </c>
      <c r="B5816" t="s">
        <v>406</v>
      </c>
      <c r="C5816" t="s">
        <v>429</v>
      </c>
      <c r="D5816" t="s">
        <v>436</v>
      </c>
      <c r="E5816" t="s">
        <v>437</v>
      </c>
      <c r="F5816" t="s">
        <v>410</v>
      </c>
      <c r="G5816">
        <v>33</v>
      </c>
      <c r="H5816">
        <v>33</v>
      </c>
      <c r="I5816">
        <v>33</v>
      </c>
      <c r="J5816">
        <v>33</v>
      </c>
      <c r="K5816">
        <v>0</v>
      </c>
      <c r="L5816">
        <v>0</v>
      </c>
      <c r="M5816">
        <v>20</v>
      </c>
      <c r="N5816">
        <v>13</v>
      </c>
      <c r="O5816">
        <v>0</v>
      </c>
      <c r="P5816">
        <v>0</v>
      </c>
      <c r="Q5816">
        <v>0</v>
      </c>
    </row>
    <row r="5817" spans="1:17" x14ac:dyDescent="0.2">
      <c r="A5817" s="121">
        <v>41182</v>
      </c>
      <c r="B5817" t="s">
        <v>406</v>
      </c>
      <c r="C5817" t="s">
        <v>429</v>
      </c>
      <c r="D5817" t="s">
        <v>438</v>
      </c>
      <c r="E5817" t="s">
        <v>439</v>
      </c>
      <c r="F5817" t="s">
        <v>413</v>
      </c>
      <c r="G5817">
        <v>1038</v>
      </c>
      <c r="H5817">
        <v>1038</v>
      </c>
      <c r="I5817">
        <v>1008</v>
      </c>
      <c r="J5817">
        <v>1008</v>
      </c>
      <c r="K5817">
        <v>106</v>
      </c>
      <c r="L5817">
        <v>2</v>
      </c>
      <c r="M5817">
        <v>898</v>
      </c>
      <c r="N5817">
        <v>32</v>
      </c>
      <c r="O5817">
        <v>0</v>
      </c>
      <c r="P5817">
        <v>4</v>
      </c>
      <c r="Q5817">
        <v>2</v>
      </c>
    </row>
    <row r="5818" spans="1:17" x14ac:dyDescent="0.2">
      <c r="A5818" s="121">
        <v>41182</v>
      </c>
      <c r="B5818" t="s">
        <v>406</v>
      </c>
      <c r="C5818" t="s">
        <v>429</v>
      </c>
      <c r="D5818" t="s">
        <v>440</v>
      </c>
      <c r="E5818" t="s">
        <v>441</v>
      </c>
      <c r="F5818" t="s">
        <v>413</v>
      </c>
      <c r="G5818">
        <v>2937</v>
      </c>
      <c r="H5818">
        <v>2937</v>
      </c>
      <c r="I5818">
        <v>2682</v>
      </c>
      <c r="J5818">
        <v>2682</v>
      </c>
      <c r="K5818">
        <v>969</v>
      </c>
      <c r="L5818">
        <v>4</v>
      </c>
      <c r="M5818">
        <v>1903</v>
      </c>
      <c r="N5818">
        <v>61</v>
      </c>
      <c r="O5818">
        <v>0</v>
      </c>
      <c r="P5818">
        <v>13</v>
      </c>
      <c r="Q5818">
        <v>0</v>
      </c>
    </row>
    <row r="5819" spans="1:17" x14ac:dyDescent="0.2">
      <c r="A5819" s="121">
        <v>41182</v>
      </c>
      <c r="B5819" t="s">
        <v>406</v>
      </c>
      <c r="C5819" t="s">
        <v>442</v>
      </c>
      <c r="D5819" t="s">
        <v>443</v>
      </c>
      <c r="E5819" t="s">
        <v>444</v>
      </c>
      <c r="F5819" t="s">
        <v>413</v>
      </c>
      <c r="G5819">
        <v>5401</v>
      </c>
      <c r="H5819">
        <v>5401</v>
      </c>
      <c r="I5819">
        <v>5319</v>
      </c>
      <c r="J5819">
        <v>5319</v>
      </c>
      <c r="K5819">
        <v>1218</v>
      </c>
      <c r="L5819">
        <v>17</v>
      </c>
      <c r="M5819">
        <v>3737</v>
      </c>
      <c r="N5819">
        <v>303</v>
      </c>
      <c r="O5819">
        <v>126</v>
      </c>
      <c r="P5819">
        <v>14</v>
      </c>
      <c r="Q5819">
        <v>1</v>
      </c>
    </row>
    <row r="5820" spans="1:17" x14ac:dyDescent="0.2">
      <c r="A5820" s="121">
        <v>41182</v>
      </c>
      <c r="B5820" t="s">
        <v>406</v>
      </c>
      <c r="C5820" t="s">
        <v>442</v>
      </c>
      <c r="D5820" t="s">
        <v>445</v>
      </c>
      <c r="E5820" t="s">
        <v>446</v>
      </c>
      <c r="F5820" t="s">
        <v>410</v>
      </c>
      <c r="G5820">
        <v>104</v>
      </c>
      <c r="I5820">
        <v>104</v>
      </c>
    </row>
    <row r="5821" spans="1:17" x14ac:dyDescent="0.2">
      <c r="A5821" s="121">
        <v>41182</v>
      </c>
      <c r="B5821" t="s">
        <v>406</v>
      </c>
      <c r="C5821" t="s">
        <v>442</v>
      </c>
      <c r="D5821" t="s">
        <v>447</v>
      </c>
      <c r="E5821" t="s">
        <v>448</v>
      </c>
      <c r="F5821" t="s">
        <v>410</v>
      </c>
      <c r="G5821">
        <v>416</v>
      </c>
      <c r="I5821">
        <v>416</v>
      </c>
    </row>
    <row r="5822" spans="1:17" x14ac:dyDescent="0.2">
      <c r="A5822" s="121">
        <v>41182</v>
      </c>
      <c r="B5822" t="s">
        <v>406</v>
      </c>
      <c r="C5822" t="s">
        <v>442</v>
      </c>
      <c r="D5822" t="s">
        <v>449</v>
      </c>
      <c r="E5822" t="s">
        <v>624</v>
      </c>
      <c r="F5822" t="s">
        <v>410</v>
      </c>
      <c r="G5822">
        <v>1691</v>
      </c>
      <c r="H5822">
        <v>1691</v>
      </c>
      <c r="I5822">
        <v>1689</v>
      </c>
      <c r="J5822">
        <v>1689</v>
      </c>
      <c r="K5822">
        <v>7</v>
      </c>
      <c r="L5822">
        <v>0</v>
      </c>
      <c r="M5822">
        <v>1400</v>
      </c>
      <c r="N5822">
        <v>89</v>
      </c>
      <c r="O5822">
        <v>195</v>
      </c>
      <c r="P5822">
        <v>0</v>
      </c>
      <c r="Q5822">
        <v>0</v>
      </c>
    </row>
    <row r="5823" spans="1:17" x14ac:dyDescent="0.2">
      <c r="A5823" s="121">
        <v>41182</v>
      </c>
      <c r="B5823" t="s">
        <v>406</v>
      </c>
      <c r="C5823" t="s">
        <v>451</v>
      </c>
      <c r="D5823" t="s">
        <v>454</v>
      </c>
      <c r="E5823" t="s">
        <v>621</v>
      </c>
      <c r="F5823" t="s">
        <v>410</v>
      </c>
      <c r="G5823">
        <v>1216</v>
      </c>
      <c r="H5823">
        <v>1216</v>
      </c>
      <c r="I5823">
        <v>1216</v>
      </c>
      <c r="J5823">
        <v>1216</v>
      </c>
      <c r="K5823">
        <v>2</v>
      </c>
      <c r="L5823">
        <v>0</v>
      </c>
      <c r="M5823">
        <v>1096</v>
      </c>
      <c r="N5823">
        <v>67</v>
      </c>
      <c r="O5823">
        <v>51</v>
      </c>
      <c r="P5823">
        <v>0</v>
      </c>
      <c r="Q5823">
        <v>0</v>
      </c>
    </row>
    <row r="5824" spans="1:17" x14ac:dyDescent="0.2">
      <c r="A5824" s="121">
        <v>41182</v>
      </c>
      <c r="B5824" t="s">
        <v>406</v>
      </c>
      <c r="C5824" t="s">
        <v>451</v>
      </c>
      <c r="D5824" t="s">
        <v>622</v>
      </c>
      <c r="E5824" t="s">
        <v>623</v>
      </c>
      <c r="F5824" t="s">
        <v>413</v>
      </c>
      <c r="G5824">
        <v>5179</v>
      </c>
      <c r="H5824">
        <v>5179</v>
      </c>
      <c r="I5824">
        <v>4651</v>
      </c>
      <c r="J5824">
        <v>4651</v>
      </c>
      <c r="K5824">
        <v>1230</v>
      </c>
      <c r="L5824">
        <v>4</v>
      </c>
      <c r="M5824">
        <v>3686</v>
      </c>
      <c r="N5824">
        <v>42</v>
      </c>
      <c r="O5824">
        <v>217</v>
      </c>
      <c r="P5824">
        <v>20</v>
      </c>
      <c r="Q5824">
        <v>1</v>
      </c>
    </row>
    <row r="5825" spans="1:17" x14ac:dyDescent="0.2">
      <c r="A5825" s="121">
        <v>41182</v>
      </c>
      <c r="B5825" t="s">
        <v>406</v>
      </c>
      <c r="C5825" t="s">
        <v>456</v>
      </c>
      <c r="D5825" t="s">
        <v>457</v>
      </c>
      <c r="E5825" t="s">
        <v>458</v>
      </c>
      <c r="F5825" t="s">
        <v>413</v>
      </c>
      <c r="G5825">
        <v>5260</v>
      </c>
      <c r="H5825">
        <v>5260</v>
      </c>
      <c r="I5825">
        <v>5034</v>
      </c>
      <c r="J5825">
        <v>5034</v>
      </c>
      <c r="K5825">
        <v>1325</v>
      </c>
      <c r="L5825">
        <v>15</v>
      </c>
      <c r="M5825">
        <v>3771</v>
      </c>
      <c r="N5825">
        <v>76</v>
      </c>
      <c r="O5825">
        <v>73</v>
      </c>
      <c r="P5825">
        <v>13</v>
      </c>
      <c r="Q5825">
        <v>1</v>
      </c>
    </row>
    <row r="5826" spans="1:17" x14ac:dyDescent="0.2">
      <c r="A5826" s="121">
        <v>41182</v>
      </c>
      <c r="B5826" t="s">
        <v>406</v>
      </c>
      <c r="C5826" t="s">
        <v>456</v>
      </c>
      <c r="D5826" t="s">
        <v>459</v>
      </c>
      <c r="E5826" t="s">
        <v>460</v>
      </c>
      <c r="F5826" t="s">
        <v>413</v>
      </c>
      <c r="G5826">
        <v>1883</v>
      </c>
      <c r="H5826">
        <v>1883</v>
      </c>
      <c r="I5826">
        <v>1854</v>
      </c>
      <c r="J5826">
        <v>1854</v>
      </c>
      <c r="K5826">
        <v>445</v>
      </c>
      <c r="L5826">
        <v>0</v>
      </c>
      <c r="M5826">
        <v>1434</v>
      </c>
      <c r="N5826">
        <v>2</v>
      </c>
      <c r="O5826">
        <v>2</v>
      </c>
      <c r="P5826">
        <v>0</v>
      </c>
      <c r="Q5826">
        <v>0</v>
      </c>
    </row>
    <row r="5827" spans="1:17" x14ac:dyDescent="0.2">
      <c r="A5827" s="121">
        <v>41182</v>
      </c>
      <c r="B5827" t="s">
        <v>406</v>
      </c>
      <c r="C5827" t="s">
        <v>456</v>
      </c>
      <c r="D5827" t="s">
        <v>461</v>
      </c>
      <c r="E5827" t="s">
        <v>462</v>
      </c>
      <c r="F5827" t="s">
        <v>410</v>
      </c>
      <c r="G5827">
        <v>110</v>
      </c>
      <c r="I5827">
        <v>110</v>
      </c>
    </row>
    <row r="5828" spans="1:17" x14ac:dyDescent="0.2">
      <c r="A5828" s="121">
        <v>41182</v>
      </c>
      <c r="B5828" t="s">
        <v>406</v>
      </c>
      <c r="C5828" t="s">
        <v>456</v>
      </c>
      <c r="D5828" t="s">
        <v>463</v>
      </c>
      <c r="E5828" t="s">
        <v>464</v>
      </c>
      <c r="F5828" t="s">
        <v>410</v>
      </c>
      <c r="G5828">
        <v>28</v>
      </c>
      <c r="I5828">
        <v>28</v>
      </c>
    </row>
    <row r="5829" spans="1:17" x14ac:dyDescent="0.2">
      <c r="A5829" s="121">
        <v>41182</v>
      </c>
      <c r="B5829" t="s">
        <v>406</v>
      </c>
      <c r="C5829" t="s">
        <v>456</v>
      </c>
      <c r="D5829" t="s">
        <v>465</v>
      </c>
      <c r="E5829" t="s">
        <v>466</v>
      </c>
      <c r="F5829" t="s">
        <v>410</v>
      </c>
      <c r="G5829">
        <v>54</v>
      </c>
      <c r="I5829">
        <v>54</v>
      </c>
    </row>
    <row r="5830" spans="1:17" x14ac:dyDescent="0.2">
      <c r="A5830" s="121">
        <v>41182</v>
      </c>
      <c r="B5830" t="s">
        <v>406</v>
      </c>
      <c r="C5830" t="s">
        <v>456</v>
      </c>
      <c r="D5830" t="s">
        <v>467</v>
      </c>
      <c r="E5830" t="s">
        <v>468</v>
      </c>
      <c r="F5830" t="s">
        <v>410</v>
      </c>
      <c r="G5830">
        <v>1371</v>
      </c>
      <c r="I5830">
        <v>1371</v>
      </c>
    </row>
    <row r="5831" spans="1:17" x14ac:dyDescent="0.2">
      <c r="A5831" s="121">
        <v>41182</v>
      </c>
      <c r="B5831" t="s">
        <v>406</v>
      </c>
      <c r="C5831" t="s">
        <v>456</v>
      </c>
      <c r="D5831" t="s">
        <v>469</v>
      </c>
      <c r="E5831" t="s">
        <v>470</v>
      </c>
      <c r="F5831" t="s">
        <v>410</v>
      </c>
      <c r="G5831">
        <v>908</v>
      </c>
      <c r="I5831">
        <v>908</v>
      </c>
    </row>
    <row r="5832" spans="1:17" x14ac:dyDescent="0.2">
      <c r="A5832" s="121">
        <v>41182</v>
      </c>
      <c r="B5832" t="s">
        <v>406</v>
      </c>
      <c r="C5832" t="s">
        <v>456</v>
      </c>
      <c r="D5832" t="s">
        <v>471</v>
      </c>
      <c r="E5832" t="s">
        <v>472</v>
      </c>
      <c r="F5832" t="s">
        <v>410</v>
      </c>
      <c r="G5832">
        <v>295</v>
      </c>
      <c r="I5832">
        <v>294</v>
      </c>
    </row>
    <row r="5833" spans="1:17" x14ac:dyDescent="0.2">
      <c r="A5833" s="121">
        <v>41182</v>
      </c>
      <c r="B5833" t="s">
        <v>406</v>
      </c>
      <c r="C5833" t="s">
        <v>456</v>
      </c>
      <c r="D5833" t="s">
        <v>473</v>
      </c>
      <c r="E5833" t="s">
        <v>474</v>
      </c>
      <c r="F5833" t="s">
        <v>410</v>
      </c>
      <c r="G5833">
        <v>201</v>
      </c>
      <c r="I5833">
        <v>201</v>
      </c>
    </row>
    <row r="5834" spans="1:17" x14ac:dyDescent="0.2">
      <c r="A5834" s="121">
        <v>41182</v>
      </c>
      <c r="B5834" t="s">
        <v>406</v>
      </c>
      <c r="C5834" t="s">
        <v>456</v>
      </c>
      <c r="D5834" t="s">
        <v>475</v>
      </c>
      <c r="E5834" t="s">
        <v>476</v>
      </c>
      <c r="F5834" t="s">
        <v>410</v>
      </c>
      <c r="G5834">
        <v>320</v>
      </c>
      <c r="I5834">
        <v>315</v>
      </c>
    </row>
    <row r="5835" spans="1:17" x14ac:dyDescent="0.2">
      <c r="A5835" s="121">
        <v>41182</v>
      </c>
      <c r="B5835" t="s">
        <v>406</v>
      </c>
      <c r="C5835" t="s">
        <v>456</v>
      </c>
      <c r="D5835" t="s">
        <v>477</v>
      </c>
      <c r="E5835" t="s">
        <v>478</v>
      </c>
      <c r="F5835" t="s">
        <v>413</v>
      </c>
      <c r="G5835">
        <v>2242</v>
      </c>
      <c r="H5835">
        <v>2242</v>
      </c>
      <c r="I5835">
        <v>2180</v>
      </c>
      <c r="J5835">
        <v>2180</v>
      </c>
      <c r="K5835">
        <v>485</v>
      </c>
      <c r="L5835">
        <v>8</v>
      </c>
      <c r="M5835">
        <v>1705</v>
      </c>
      <c r="N5835">
        <v>25</v>
      </c>
      <c r="O5835">
        <v>19</v>
      </c>
      <c r="P5835">
        <v>2</v>
      </c>
      <c r="Q5835">
        <v>0</v>
      </c>
    </row>
    <row r="5836" spans="1:17" x14ac:dyDescent="0.2">
      <c r="A5836" s="121">
        <v>41182</v>
      </c>
      <c r="B5836" t="s">
        <v>406</v>
      </c>
      <c r="C5836" t="s">
        <v>456</v>
      </c>
      <c r="D5836" t="s">
        <v>479</v>
      </c>
      <c r="E5836" t="s">
        <v>480</v>
      </c>
      <c r="F5836" t="s">
        <v>410</v>
      </c>
      <c r="G5836">
        <v>56</v>
      </c>
      <c r="I5836">
        <v>56</v>
      </c>
    </row>
    <row r="5837" spans="1:17" x14ac:dyDescent="0.2">
      <c r="A5837" s="121">
        <v>41182</v>
      </c>
      <c r="B5837" t="s">
        <v>406</v>
      </c>
      <c r="C5837" t="s">
        <v>456</v>
      </c>
      <c r="D5837" t="s">
        <v>481</v>
      </c>
      <c r="E5837" t="s">
        <v>482</v>
      </c>
      <c r="F5837" t="s">
        <v>410</v>
      </c>
      <c r="G5837">
        <v>42</v>
      </c>
      <c r="I5837">
        <v>42</v>
      </c>
    </row>
    <row r="5838" spans="1:17" x14ac:dyDescent="0.2">
      <c r="A5838" s="121">
        <v>41182</v>
      </c>
      <c r="B5838" t="s">
        <v>406</v>
      </c>
      <c r="C5838" t="s">
        <v>456</v>
      </c>
      <c r="D5838" t="s">
        <v>483</v>
      </c>
      <c r="E5838" t="s">
        <v>484</v>
      </c>
      <c r="F5838" t="s">
        <v>410</v>
      </c>
      <c r="G5838">
        <v>109</v>
      </c>
      <c r="I5838">
        <v>109</v>
      </c>
    </row>
    <row r="5839" spans="1:17" x14ac:dyDescent="0.2">
      <c r="A5839" s="121">
        <v>41182</v>
      </c>
      <c r="B5839" t="s">
        <v>406</v>
      </c>
      <c r="C5839" t="s">
        <v>456</v>
      </c>
      <c r="D5839" t="s">
        <v>485</v>
      </c>
      <c r="E5839" t="s">
        <v>486</v>
      </c>
      <c r="F5839" t="s">
        <v>410</v>
      </c>
      <c r="G5839">
        <v>65</v>
      </c>
      <c r="I5839">
        <v>65</v>
      </c>
    </row>
    <row r="5840" spans="1:17" x14ac:dyDescent="0.2">
      <c r="A5840" s="121">
        <v>41182</v>
      </c>
      <c r="B5840" t="s">
        <v>406</v>
      </c>
      <c r="C5840" t="s">
        <v>456</v>
      </c>
      <c r="D5840" t="s">
        <v>487</v>
      </c>
      <c r="E5840" t="s">
        <v>488</v>
      </c>
      <c r="F5840" t="s">
        <v>410</v>
      </c>
      <c r="G5840">
        <v>26</v>
      </c>
      <c r="I5840">
        <v>26</v>
      </c>
    </row>
    <row r="5841" spans="1:17" x14ac:dyDescent="0.2">
      <c r="A5841" s="121">
        <v>41182</v>
      </c>
      <c r="B5841" t="s">
        <v>406</v>
      </c>
      <c r="C5841" t="s">
        <v>456</v>
      </c>
      <c r="D5841" t="s">
        <v>489</v>
      </c>
      <c r="E5841" t="s">
        <v>490</v>
      </c>
      <c r="F5841" t="s">
        <v>410</v>
      </c>
      <c r="G5841">
        <v>98</v>
      </c>
      <c r="H5841">
        <v>98</v>
      </c>
      <c r="I5841">
        <v>98</v>
      </c>
      <c r="J5841">
        <v>98</v>
      </c>
      <c r="K5841">
        <v>0</v>
      </c>
      <c r="L5841">
        <v>0</v>
      </c>
      <c r="M5841">
        <v>78</v>
      </c>
      <c r="N5841">
        <v>20</v>
      </c>
      <c r="O5841">
        <v>0</v>
      </c>
      <c r="P5841">
        <v>0</v>
      </c>
      <c r="Q5841">
        <v>0</v>
      </c>
    </row>
    <row r="5842" spans="1:17" x14ac:dyDescent="0.2">
      <c r="A5842" s="121">
        <v>41182</v>
      </c>
      <c r="B5842" t="s">
        <v>406</v>
      </c>
      <c r="C5842" t="s">
        <v>491</v>
      </c>
      <c r="D5842" t="s">
        <v>492</v>
      </c>
      <c r="E5842" t="s">
        <v>493</v>
      </c>
      <c r="F5842" t="s">
        <v>410</v>
      </c>
      <c r="G5842">
        <v>1294</v>
      </c>
      <c r="H5842">
        <v>1294</v>
      </c>
      <c r="I5842">
        <v>1279</v>
      </c>
      <c r="J5842">
        <v>1279</v>
      </c>
      <c r="K5842">
        <v>222</v>
      </c>
      <c r="L5842">
        <v>5</v>
      </c>
      <c r="M5842">
        <v>993</v>
      </c>
      <c r="N5842">
        <v>68</v>
      </c>
      <c r="O5842">
        <v>6</v>
      </c>
      <c r="P5842">
        <v>0</v>
      </c>
      <c r="Q5842">
        <v>0</v>
      </c>
    </row>
    <row r="5843" spans="1:17" x14ac:dyDescent="0.2">
      <c r="A5843" s="121">
        <v>41182</v>
      </c>
      <c r="B5843" t="s">
        <v>406</v>
      </c>
      <c r="C5843" t="s">
        <v>491</v>
      </c>
      <c r="D5843" t="s">
        <v>494</v>
      </c>
      <c r="E5843" t="s">
        <v>495</v>
      </c>
      <c r="F5843" t="s">
        <v>413</v>
      </c>
      <c r="G5843">
        <v>2630</v>
      </c>
      <c r="H5843">
        <v>2630</v>
      </c>
      <c r="I5843">
        <v>2565</v>
      </c>
      <c r="J5843">
        <v>2565</v>
      </c>
      <c r="K5843">
        <v>713</v>
      </c>
      <c r="L5843">
        <v>4</v>
      </c>
      <c r="M5843">
        <v>1768</v>
      </c>
      <c r="N5843">
        <v>27</v>
      </c>
      <c r="O5843">
        <v>118</v>
      </c>
      <c r="P5843">
        <v>3</v>
      </c>
      <c r="Q5843">
        <v>0</v>
      </c>
    </row>
    <row r="5844" spans="1:17" x14ac:dyDescent="0.2">
      <c r="A5844" s="121">
        <v>41182</v>
      </c>
      <c r="B5844" t="s">
        <v>406</v>
      </c>
      <c r="C5844" t="s">
        <v>491</v>
      </c>
      <c r="D5844" t="s">
        <v>496</v>
      </c>
      <c r="E5844" t="s">
        <v>497</v>
      </c>
      <c r="F5844" t="s">
        <v>413</v>
      </c>
      <c r="G5844">
        <v>5848</v>
      </c>
      <c r="H5844">
        <v>5848</v>
      </c>
      <c r="I5844">
        <v>5368</v>
      </c>
      <c r="J5844">
        <v>5368</v>
      </c>
      <c r="K5844">
        <v>2052</v>
      </c>
      <c r="L5844">
        <v>15</v>
      </c>
      <c r="M5844">
        <v>3506</v>
      </c>
      <c r="N5844">
        <v>119</v>
      </c>
      <c r="O5844">
        <v>156</v>
      </c>
      <c r="P5844">
        <v>12</v>
      </c>
      <c r="Q5844">
        <v>0</v>
      </c>
    </row>
    <row r="5845" spans="1:17" x14ac:dyDescent="0.2">
      <c r="A5845" s="121">
        <v>41182</v>
      </c>
      <c r="B5845" t="s">
        <v>406</v>
      </c>
      <c r="C5845" t="s">
        <v>491</v>
      </c>
      <c r="D5845" t="s">
        <v>498</v>
      </c>
      <c r="E5845" t="s">
        <v>499</v>
      </c>
      <c r="F5845" t="s">
        <v>413</v>
      </c>
      <c r="G5845">
        <v>7191</v>
      </c>
      <c r="H5845">
        <v>7191</v>
      </c>
      <c r="I5845">
        <v>6984</v>
      </c>
      <c r="J5845">
        <v>6984</v>
      </c>
      <c r="K5845">
        <v>1824</v>
      </c>
      <c r="L5845">
        <v>11</v>
      </c>
      <c r="M5845">
        <v>4824</v>
      </c>
      <c r="N5845">
        <v>144</v>
      </c>
      <c r="O5845">
        <v>388</v>
      </c>
      <c r="P5845">
        <v>4</v>
      </c>
      <c r="Q5845">
        <v>0</v>
      </c>
    </row>
    <row r="5846" spans="1:17" x14ac:dyDescent="0.2">
      <c r="A5846" s="121">
        <v>41182</v>
      </c>
      <c r="B5846" t="s">
        <v>406</v>
      </c>
      <c r="C5846" t="s">
        <v>491</v>
      </c>
      <c r="D5846" t="s">
        <v>500</v>
      </c>
      <c r="E5846" t="s">
        <v>620</v>
      </c>
      <c r="F5846" t="s">
        <v>410</v>
      </c>
      <c r="G5846">
        <v>1473</v>
      </c>
      <c r="H5846">
        <v>1473</v>
      </c>
      <c r="I5846">
        <v>1473</v>
      </c>
      <c r="J5846">
        <v>1473</v>
      </c>
      <c r="K5846">
        <v>10</v>
      </c>
      <c r="L5846">
        <v>0</v>
      </c>
      <c r="M5846">
        <v>1341</v>
      </c>
      <c r="N5846">
        <v>6</v>
      </c>
      <c r="O5846">
        <v>116</v>
      </c>
      <c r="P5846">
        <v>0</v>
      </c>
      <c r="Q5846">
        <v>0</v>
      </c>
    </row>
    <row r="5847" spans="1:17" x14ac:dyDescent="0.2">
      <c r="A5847" s="121">
        <v>41182</v>
      </c>
      <c r="B5847" t="s">
        <v>406</v>
      </c>
      <c r="C5847" t="s">
        <v>491</v>
      </c>
      <c r="D5847" t="s">
        <v>502</v>
      </c>
      <c r="E5847" t="s">
        <v>615</v>
      </c>
      <c r="F5847" t="s">
        <v>410</v>
      </c>
      <c r="G5847">
        <v>1720</v>
      </c>
      <c r="H5847">
        <v>1720</v>
      </c>
      <c r="I5847">
        <v>1720</v>
      </c>
      <c r="J5847">
        <v>1720</v>
      </c>
      <c r="K5847">
        <v>0</v>
      </c>
      <c r="L5847">
        <v>0</v>
      </c>
      <c r="M5847">
        <v>1706</v>
      </c>
      <c r="N5847">
        <v>4</v>
      </c>
      <c r="O5847">
        <v>10</v>
      </c>
      <c r="P5847">
        <v>0</v>
      </c>
      <c r="Q5847">
        <v>0</v>
      </c>
    </row>
    <row r="5848" spans="1:17" x14ac:dyDescent="0.2">
      <c r="A5848" s="121">
        <v>41182</v>
      </c>
      <c r="B5848" t="s">
        <v>406</v>
      </c>
      <c r="C5848" t="s">
        <v>491</v>
      </c>
      <c r="D5848" t="s">
        <v>502</v>
      </c>
      <c r="E5848" t="s">
        <v>503</v>
      </c>
      <c r="F5848" t="s">
        <v>413</v>
      </c>
      <c r="G5848">
        <v>5066</v>
      </c>
      <c r="H5848">
        <v>5066</v>
      </c>
      <c r="I5848">
        <v>4635</v>
      </c>
      <c r="J5848">
        <v>4635</v>
      </c>
      <c r="K5848">
        <v>1431</v>
      </c>
      <c r="L5848">
        <v>11</v>
      </c>
      <c r="M5848">
        <v>3354</v>
      </c>
      <c r="N5848">
        <v>194</v>
      </c>
      <c r="O5848">
        <v>76</v>
      </c>
      <c r="P5848">
        <v>40</v>
      </c>
      <c r="Q5848">
        <v>0</v>
      </c>
    </row>
    <row r="5849" spans="1:17" x14ac:dyDescent="0.2">
      <c r="A5849" s="121">
        <v>41182</v>
      </c>
      <c r="B5849" t="s">
        <v>406</v>
      </c>
      <c r="C5849" t="s">
        <v>491</v>
      </c>
      <c r="D5849" t="s">
        <v>504</v>
      </c>
      <c r="E5849" t="s">
        <v>505</v>
      </c>
      <c r="F5849" t="s">
        <v>413</v>
      </c>
      <c r="G5849">
        <v>4078</v>
      </c>
      <c r="H5849">
        <v>4078</v>
      </c>
      <c r="I5849">
        <v>3810</v>
      </c>
      <c r="J5849">
        <v>3810</v>
      </c>
      <c r="K5849">
        <v>1155</v>
      </c>
      <c r="L5849">
        <v>15</v>
      </c>
      <c r="M5849">
        <v>2806</v>
      </c>
      <c r="N5849">
        <v>78</v>
      </c>
      <c r="O5849">
        <v>24</v>
      </c>
      <c r="P5849">
        <v>7</v>
      </c>
      <c r="Q5849">
        <v>0</v>
      </c>
    </row>
    <row r="5850" spans="1:17" x14ac:dyDescent="0.2">
      <c r="A5850" s="121">
        <v>41182</v>
      </c>
      <c r="B5850" t="s">
        <v>406</v>
      </c>
      <c r="C5850" t="s">
        <v>491</v>
      </c>
      <c r="D5850" t="s">
        <v>506</v>
      </c>
      <c r="E5850" t="s">
        <v>507</v>
      </c>
      <c r="F5850" t="s">
        <v>413</v>
      </c>
      <c r="G5850">
        <v>3689</v>
      </c>
      <c r="H5850">
        <v>3689</v>
      </c>
      <c r="I5850">
        <v>3581</v>
      </c>
      <c r="J5850">
        <v>3581</v>
      </c>
      <c r="K5850">
        <v>542</v>
      </c>
      <c r="L5850">
        <v>0</v>
      </c>
      <c r="M5850">
        <v>3139</v>
      </c>
      <c r="N5850">
        <v>2</v>
      </c>
      <c r="O5850">
        <v>6</v>
      </c>
      <c r="P5850">
        <v>0</v>
      </c>
      <c r="Q5850">
        <v>0</v>
      </c>
    </row>
    <row r="5851" spans="1:17" x14ac:dyDescent="0.2">
      <c r="A5851" s="121">
        <v>41182</v>
      </c>
      <c r="B5851" t="s">
        <v>406</v>
      </c>
      <c r="C5851" t="s">
        <v>491</v>
      </c>
      <c r="D5851" t="s">
        <v>508</v>
      </c>
      <c r="E5851" t="s">
        <v>509</v>
      </c>
      <c r="F5851" t="s">
        <v>413</v>
      </c>
      <c r="G5851">
        <v>5231</v>
      </c>
      <c r="H5851">
        <v>5231</v>
      </c>
      <c r="I5851">
        <v>4950</v>
      </c>
      <c r="J5851">
        <v>4950</v>
      </c>
      <c r="K5851">
        <v>1640</v>
      </c>
      <c r="L5851">
        <v>4</v>
      </c>
      <c r="M5851">
        <v>3218</v>
      </c>
      <c r="N5851">
        <v>107</v>
      </c>
      <c r="O5851">
        <v>262</v>
      </c>
      <c r="P5851">
        <v>8</v>
      </c>
      <c r="Q5851">
        <v>0</v>
      </c>
    </row>
    <row r="5852" spans="1:17" x14ac:dyDescent="0.2">
      <c r="A5852" s="121">
        <v>41182</v>
      </c>
      <c r="B5852" t="s">
        <v>406</v>
      </c>
      <c r="C5852" t="s">
        <v>510</v>
      </c>
      <c r="D5852" t="s">
        <v>513</v>
      </c>
      <c r="E5852" t="s">
        <v>514</v>
      </c>
      <c r="F5852" t="s">
        <v>410</v>
      </c>
      <c r="G5852">
        <v>631</v>
      </c>
      <c r="I5852">
        <v>627</v>
      </c>
    </row>
    <row r="5853" spans="1:17" x14ac:dyDescent="0.2">
      <c r="A5853" s="121">
        <v>41182</v>
      </c>
      <c r="B5853" t="s">
        <v>406</v>
      </c>
      <c r="C5853" t="s">
        <v>510</v>
      </c>
      <c r="D5853" t="s">
        <v>515</v>
      </c>
      <c r="E5853" t="s">
        <v>516</v>
      </c>
      <c r="F5853" t="s">
        <v>410</v>
      </c>
      <c r="G5853">
        <v>93</v>
      </c>
      <c r="I5853">
        <v>91</v>
      </c>
    </row>
    <row r="5854" spans="1:17" x14ac:dyDescent="0.2">
      <c r="A5854" s="121">
        <v>41182</v>
      </c>
      <c r="B5854" t="s">
        <v>406</v>
      </c>
      <c r="C5854" t="s">
        <v>510</v>
      </c>
      <c r="D5854" t="s">
        <v>519</v>
      </c>
      <c r="E5854" t="s">
        <v>520</v>
      </c>
      <c r="F5854" t="s">
        <v>410</v>
      </c>
      <c r="G5854">
        <v>336</v>
      </c>
      <c r="I5854">
        <v>329</v>
      </c>
    </row>
    <row r="5855" spans="1:17" x14ac:dyDescent="0.2">
      <c r="A5855" s="121">
        <v>41182</v>
      </c>
      <c r="B5855" t="s">
        <v>406</v>
      </c>
      <c r="C5855" t="s">
        <v>510</v>
      </c>
      <c r="D5855" t="s">
        <v>521</v>
      </c>
      <c r="E5855" t="s">
        <v>522</v>
      </c>
      <c r="F5855" t="s">
        <v>410</v>
      </c>
      <c r="G5855">
        <v>59</v>
      </c>
      <c r="I5855">
        <v>58</v>
      </c>
    </row>
    <row r="5856" spans="1:17" x14ac:dyDescent="0.2">
      <c r="A5856" s="121">
        <v>41182</v>
      </c>
      <c r="B5856" t="s">
        <v>406</v>
      </c>
      <c r="C5856" t="s">
        <v>510</v>
      </c>
      <c r="D5856" t="s">
        <v>523</v>
      </c>
      <c r="E5856" t="s">
        <v>524</v>
      </c>
      <c r="F5856" t="s">
        <v>413</v>
      </c>
      <c r="G5856">
        <v>567</v>
      </c>
      <c r="H5856">
        <v>567</v>
      </c>
      <c r="I5856">
        <v>558</v>
      </c>
      <c r="J5856">
        <v>558</v>
      </c>
      <c r="K5856">
        <v>108</v>
      </c>
      <c r="L5856">
        <v>1</v>
      </c>
      <c r="M5856">
        <v>449</v>
      </c>
      <c r="N5856">
        <v>9</v>
      </c>
      <c r="O5856">
        <v>0</v>
      </c>
      <c r="P5856">
        <v>0</v>
      </c>
      <c r="Q5856">
        <v>0</v>
      </c>
    </row>
    <row r="5857" spans="1:17" x14ac:dyDescent="0.2">
      <c r="A5857" s="121">
        <v>41182</v>
      </c>
      <c r="B5857" t="s">
        <v>406</v>
      </c>
      <c r="C5857" t="s">
        <v>510</v>
      </c>
      <c r="D5857" t="s">
        <v>525</v>
      </c>
      <c r="E5857" t="s">
        <v>526</v>
      </c>
      <c r="F5857" t="s">
        <v>410</v>
      </c>
      <c r="G5857">
        <v>453</v>
      </c>
      <c r="I5857">
        <v>439</v>
      </c>
    </row>
    <row r="5858" spans="1:17" x14ac:dyDescent="0.2">
      <c r="A5858" s="121">
        <v>41182</v>
      </c>
      <c r="B5858" t="s">
        <v>406</v>
      </c>
      <c r="C5858" t="s">
        <v>510</v>
      </c>
      <c r="D5858" t="s">
        <v>527</v>
      </c>
      <c r="E5858" t="s">
        <v>528</v>
      </c>
      <c r="F5858" t="s">
        <v>410</v>
      </c>
      <c r="G5858">
        <v>240</v>
      </c>
      <c r="I5858">
        <v>240</v>
      </c>
    </row>
    <row r="5859" spans="1:17" x14ac:dyDescent="0.2">
      <c r="A5859" s="121">
        <v>41182</v>
      </c>
      <c r="B5859" t="s">
        <v>406</v>
      </c>
      <c r="C5859" t="s">
        <v>510</v>
      </c>
      <c r="D5859" t="s">
        <v>529</v>
      </c>
      <c r="E5859" t="s">
        <v>530</v>
      </c>
      <c r="F5859" t="s">
        <v>413</v>
      </c>
      <c r="G5859">
        <v>512</v>
      </c>
      <c r="H5859">
        <v>512</v>
      </c>
      <c r="I5859">
        <v>502</v>
      </c>
      <c r="J5859">
        <v>502</v>
      </c>
      <c r="K5859">
        <v>154</v>
      </c>
      <c r="L5859">
        <v>0</v>
      </c>
      <c r="M5859">
        <v>358</v>
      </c>
      <c r="N5859">
        <v>0</v>
      </c>
      <c r="O5859">
        <v>0</v>
      </c>
      <c r="P5859">
        <v>0</v>
      </c>
      <c r="Q5859">
        <v>0</v>
      </c>
    </row>
    <row r="5860" spans="1:17" x14ac:dyDescent="0.2">
      <c r="A5860" s="121">
        <v>41182</v>
      </c>
      <c r="B5860" t="s">
        <v>406</v>
      </c>
      <c r="C5860" t="s">
        <v>510</v>
      </c>
      <c r="D5860" t="s">
        <v>531</v>
      </c>
      <c r="E5860" t="s">
        <v>532</v>
      </c>
      <c r="F5860" t="s">
        <v>410</v>
      </c>
      <c r="G5860">
        <v>45</v>
      </c>
      <c r="I5860">
        <v>45</v>
      </c>
    </row>
    <row r="5861" spans="1:17" x14ac:dyDescent="0.2">
      <c r="A5861" s="121">
        <v>41182</v>
      </c>
      <c r="B5861" t="s">
        <v>406</v>
      </c>
      <c r="C5861" t="s">
        <v>510</v>
      </c>
      <c r="D5861" t="s">
        <v>533</v>
      </c>
      <c r="E5861" t="s">
        <v>534</v>
      </c>
      <c r="F5861" t="s">
        <v>413</v>
      </c>
      <c r="G5861">
        <v>2685</v>
      </c>
      <c r="H5861">
        <v>2685</v>
      </c>
      <c r="I5861">
        <v>2596</v>
      </c>
      <c r="J5861">
        <v>2596</v>
      </c>
      <c r="K5861">
        <v>538</v>
      </c>
      <c r="L5861">
        <v>1</v>
      </c>
      <c r="M5861">
        <v>2143</v>
      </c>
      <c r="N5861">
        <v>3</v>
      </c>
      <c r="O5861">
        <v>0</v>
      </c>
      <c r="P5861">
        <v>1</v>
      </c>
      <c r="Q5861">
        <v>0</v>
      </c>
    </row>
    <row r="5862" spans="1:17" x14ac:dyDescent="0.2">
      <c r="A5862" s="121">
        <v>41182</v>
      </c>
      <c r="B5862" t="s">
        <v>406</v>
      </c>
      <c r="C5862" t="s">
        <v>510</v>
      </c>
      <c r="D5862" t="s">
        <v>535</v>
      </c>
      <c r="E5862" t="s">
        <v>536</v>
      </c>
      <c r="F5862" t="s">
        <v>410</v>
      </c>
      <c r="G5862">
        <v>428</v>
      </c>
      <c r="I5862">
        <v>428</v>
      </c>
    </row>
    <row r="5863" spans="1:17" x14ac:dyDescent="0.2">
      <c r="A5863" s="121">
        <v>41182</v>
      </c>
      <c r="B5863" t="s">
        <v>406</v>
      </c>
      <c r="C5863" t="s">
        <v>510</v>
      </c>
      <c r="D5863" t="s">
        <v>537</v>
      </c>
      <c r="E5863" t="s">
        <v>538</v>
      </c>
      <c r="F5863" t="s">
        <v>410</v>
      </c>
      <c r="G5863">
        <v>98</v>
      </c>
      <c r="I5863">
        <v>98</v>
      </c>
    </row>
    <row r="5864" spans="1:17" x14ac:dyDescent="0.2">
      <c r="A5864" s="121">
        <v>41182</v>
      </c>
      <c r="B5864" t="s">
        <v>406</v>
      </c>
      <c r="C5864" t="s">
        <v>510</v>
      </c>
      <c r="D5864" t="s">
        <v>539</v>
      </c>
      <c r="E5864" t="s">
        <v>540</v>
      </c>
      <c r="F5864" t="s">
        <v>413</v>
      </c>
      <c r="G5864">
        <v>804</v>
      </c>
      <c r="H5864">
        <v>804</v>
      </c>
      <c r="I5864">
        <v>770</v>
      </c>
      <c r="J5864">
        <v>770</v>
      </c>
      <c r="K5864">
        <v>133</v>
      </c>
      <c r="L5864">
        <v>0</v>
      </c>
      <c r="M5864">
        <v>668</v>
      </c>
      <c r="N5864">
        <v>3</v>
      </c>
      <c r="O5864">
        <v>0</v>
      </c>
      <c r="P5864">
        <v>0</v>
      </c>
      <c r="Q5864">
        <v>0</v>
      </c>
    </row>
    <row r="5865" spans="1:17" x14ac:dyDescent="0.2">
      <c r="A5865" s="121">
        <v>41182</v>
      </c>
      <c r="B5865" t="s">
        <v>406</v>
      </c>
      <c r="C5865" t="s">
        <v>510</v>
      </c>
      <c r="D5865" t="s">
        <v>541</v>
      </c>
      <c r="E5865" t="s">
        <v>542</v>
      </c>
      <c r="F5865" t="s">
        <v>410</v>
      </c>
      <c r="G5865">
        <v>369</v>
      </c>
      <c r="I5865">
        <v>369</v>
      </c>
    </row>
    <row r="5866" spans="1:17" x14ac:dyDescent="0.2">
      <c r="A5866" s="121">
        <v>41182</v>
      </c>
      <c r="B5866" t="s">
        <v>406</v>
      </c>
      <c r="C5866" t="s">
        <v>510</v>
      </c>
      <c r="D5866" t="s">
        <v>543</v>
      </c>
      <c r="E5866" t="s">
        <v>544</v>
      </c>
      <c r="F5866" t="s">
        <v>410</v>
      </c>
      <c r="G5866">
        <v>260</v>
      </c>
      <c r="I5866">
        <v>260</v>
      </c>
    </row>
    <row r="5867" spans="1:17" x14ac:dyDescent="0.2">
      <c r="A5867" s="121">
        <v>41182</v>
      </c>
      <c r="B5867" t="s">
        <v>406</v>
      </c>
      <c r="C5867" t="s">
        <v>510</v>
      </c>
      <c r="D5867" t="s">
        <v>545</v>
      </c>
      <c r="E5867" t="s">
        <v>546</v>
      </c>
      <c r="F5867" t="s">
        <v>410</v>
      </c>
      <c r="G5867">
        <v>183</v>
      </c>
      <c r="I5867">
        <v>183</v>
      </c>
    </row>
    <row r="5868" spans="1:17" x14ac:dyDescent="0.2">
      <c r="A5868" s="121">
        <v>41182</v>
      </c>
      <c r="B5868" t="s">
        <v>406</v>
      </c>
      <c r="C5868" t="s">
        <v>510</v>
      </c>
      <c r="D5868" t="s">
        <v>547</v>
      </c>
      <c r="E5868" t="s">
        <v>548</v>
      </c>
      <c r="F5868" t="s">
        <v>410</v>
      </c>
      <c r="G5868">
        <v>130</v>
      </c>
      <c r="I5868">
        <v>129</v>
      </c>
    </row>
    <row r="5869" spans="1:17" x14ac:dyDescent="0.2">
      <c r="A5869" s="121">
        <v>41182</v>
      </c>
      <c r="B5869" t="s">
        <v>406</v>
      </c>
      <c r="C5869" t="s">
        <v>510</v>
      </c>
      <c r="D5869" t="s">
        <v>616</v>
      </c>
      <c r="E5869" t="s">
        <v>617</v>
      </c>
      <c r="F5869" t="s">
        <v>410</v>
      </c>
      <c r="G5869">
        <v>313</v>
      </c>
      <c r="I5869">
        <v>308</v>
      </c>
    </row>
    <row r="5870" spans="1:17" x14ac:dyDescent="0.2">
      <c r="A5870" s="121">
        <v>41182</v>
      </c>
      <c r="B5870" t="s">
        <v>406</v>
      </c>
      <c r="C5870" t="s">
        <v>510</v>
      </c>
      <c r="D5870" t="s">
        <v>549</v>
      </c>
      <c r="E5870" t="s">
        <v>550</v>
      </c>
      <c r="F5870" t="s">
        <v>410</v>
      </c>
      <c r="G5870">
        <v>170</v>
      </c>
      <c r="I5870">
        <v>170</v>
      </c>
    </row>
    <row r="5871" spans="1:17" x14ac:dyDescent="0.2">
      <c r="A5871" s="121">
        <v>41182</v>
      </c>
      <c r="B5871" t="s">
        <v>406</v>
      </c>
      <c r="C5871" t="s">
        <v>551</v>
      </c>
      <c r="D5871" t="s">
        <v>552</v>
      </c>
      <c r="E5871" t="s">
        <v>553</v>
      </c>
      <c r="F5871" t="s">
        <v>413</v>
      </c>
      <c r="G5871">
        <v>5653</v>
      </c>
      <c r="H5871">
        <v>5653</v>
      </c>
      <c r="I5871">
        <v>5373</v>
      </c>
      <c r="J5871">
        <v>5373</v>
      </c>
      <c r="K5871">
        <v>1550</v>
      </c>
      <c r="L5871">
        <v>4</v>
      </c>
      <c r="M5871">
        <v>3834</v>
      </c>
      <c r="N5871">
        <v>172</v>
      </c>
      <c r="O5871">
        <v>93</v>
      </c>
      <c r="P5871">
        <v>4</v>
      </c>
      <c r="Q5871">
        <v>0</v>
      </c>
    </row>
    <row r="5872" spans="1:17" x14ac:dyDescent="0.2">
      <c r="A5872" s="121">
        <v>41182</v>
      </c>
      <c r="B5872" t="s">
        <v>406</v>
      </c>
      <c r="C5872" t="s">
        <v>551</v>
      </c>
      <c r="D5872" t="s">
        <v>554</v>
      </c>
      <c r="E5872" t="s">
        <v>555</v>
      </c>
      <c r="F5872" t="s">
        <v>410</v>
      </c>
      <c r="G5872">
        <v>68</v>
      </c>
      <c r="I5872">
        <v>68</v>
      </c>
    </row>
    <row r="5873" spans="1:17" x14ac:dyDescent="0.2">
      <c r="A5873" s="121">
        <v>41182</v>
      </c>
      <c r="B5873" t="s">
        <v>406</v>
      </c>
      <c r="C5873" t="s">
        <v>551</v>
      </c>
      <c r="D5873" t="s">
        <v>556</v>
      </c>
      <c r="E5873" t="s">
        <v>557</v>
      </c>
      <c r="F5873" t="s">
        <v>410</v>
      </c>
      <c r="G5873">
        <v>111</v>
      </c>
      <c r="I5873">
        <v>111</v>
      </c>
    </row>
    <row r="5874" spans="1:17" x14ac:dyDescent="0.2">
      <c r="A5874" s="121">
        <v>41182</v>
      </c>
      <c r="B5874" t="s">
        <v>406</v>
      </c>
      <c r="C5874" t="s">
        <v>551</v>
      </c>
      <c r="D5874" t="s">
        <v>558</v>
      </c>
      <c r="E5874" t="s">
        <v>559</v>
      </c>
      <c r="F5874" t="s">
        <v>413</v>
      </c>
      <c r="G5874">
        <v>4806</v>
      </c>
      <c r="H5874">
        <v>4806</v>
      </c>
      <c r="I5874">
        <v>4308</v>
      </c>
      <c r="J5874">
        <v>4308</v>
      </c>
      <c r="K5874">
        <v>1256</v>
      </c>
      <c r="L5874">
        <v>5</v>
      </c>
      <c r="M5874">
        <v>3387</v>
      </c>
      <c r="N5874">
        <v>130</v>
      </c>
      <c r="O5874">
        <v>28</v>
      </c>
      <c r="P5874">
        <v>78</v>
      </c>
      <c r="Q5874">
        <v>29</v>
      </c>
    </row>
    <row r="5875" spans="1:17" x14ac:dyDescent="0.2">
      <c r="A5875" s="121">
        <v>41182</v>
      </c>
      <c r="B5875" t="s">
        <v>406</v>
      </c>
      <c r="C5875" t="s">
        <v>551</v>
      </c>
      <c r="D5875" t="s">
        <v>560</v>
      </c>
      <c r="E5875" t="s">
        <v>561</v>
      </c>
      <c r="F5875" t="s">
        <v>413</v>
      </c>
      <c r="G5875">
        <v>5480</v>
      </c>
      <c r="H5875">
        <v>5480</v>
      </c>
      <c r="I5875">
        <v>4845</v>
      </c>
      <c r="J5875">
        <v>4845</v>
      </c>
      <c r="K5875">
        <v>1353</v>
      </c>
      <c r="L5875">
        <v>8</v>
      </c>
      <c r="M5875">
        <v>3759</v>
      </c>
      <c r="N5875">
        <v>231</v>
      </c>
      <c r="O5875">
        <v>129</v>
      </c>
      <c r="P5875">
        <v>64</v>
      </c>
      <c r="Q5875">
        <v>14</v>
      </c>
    </row>
    <row r="5876" spans="1:17" x14ac:dyDescent="0.2">
      <c r="A5876" s="121">
        <v>41182</v>
      </c>
      <c r="B5876" t="s">
        <v>406</v>
      </c>
      <c r="C5876" t="s">
        <v>562</v>
      </c>
      <c r="D5876" t="s">
        <v>603</v>
      </c>
      <c r="E5876" t="s">
        <v>604</v>
      </c>
      <c r="F5876" t="s">
        <v>410</v>
      </c>
      <c r="G5876">
        <v>9</v>
      </c>
      <c r="I5876">
        <v>9</v>
      </c>
    </row>
    <row r="5877" spans="1:17" x14ac:dyDescent="0.2">
      <c r="A5877" s="121">
        <v>41182</v>
      </c>
      <c r="B5877" t="s">
        <v>406</v>
      </c>
      <c r="C5877" t="s">
        <v>562</v>
      </c>
      <c r="D5877" t="s">
        <v>605</v>
      </c>
      <c r="E5877" t="s">
        <v>606</v>
      </c>
      <c r="F5877" t="s">
        <v>410</v>
      </c>
      <c r="G5877">
        <v>153</v>
      </c>
      <c r="I5877">
        <v>153</v>
      </c>
    </row>
    <row r="5878" spans="1:17" x14ac:dyDescent="0.2">
      <c r="A5878" s="121">
        <v>41182</v>
      </c>
      <c r="B5878" t="s">
        <v>406</v>
      </c>
      <c r="C5878" t="s">
        <v>562</v>
      </c>
      <c r="D5878" t="s">
        <v>563</v>
      </c>
      <c r="E5878" t="s">
        <v>564</v>
      </c>
      <c r="F5878" t="s">
        <v>410</v>
      </c>
      <c r="G5878">
        <v>3450</v>
      </c>
      <c r="H5878">
        <v>3450</v>
      </c>
      <c r="I5878">
        <v>3237</v>
      </c>
      <c r="J5878">
        <v>3237</v>
      </c>
      <c r="K5878">
        <v>1025</v>
      </c>
      <c r="L5878">
        <v>0</v>
      </c>
      <c r="M5878">
        <v>2367</v>
      </c>
      <c r="N5878">
        <v>58</v>
      </c>
      <c r="O5878">
        <v>0</v>
      </c>
      <c r="P5878">
        <v>12</v>
      </c>
      <c r="Q5878">
        <v>2</v>
      </c>
    </row>
    <row r="5879" spans="1:17" x14ac:dyDescent="0.2">
      <c r="A5879" s="121">
        <v>41182</v>
      </c>
      <c r="B5879" t="s">
        <v>406</v>
      </c>
      <c r="C5879" t="s">
        <v>562</v>
      </c>
      <c r="D5879" t="s">
        <v>565</v>
      </c>
      <c r="E5879" t="s">
        <v>566</v>
      </c>
      <c r="F5879" t="s">
        <v>413</v>
      </c>
      <c r="G5879">
        <v>4485</v>
      </c>
      <c r="H5879">
        <v>4485</v>
      </c>
      <c r="I5879">
        <v>4221</v>
      </c>
      <c r="J5879">
        <v>4221</v>
      </c>
      <c r="K5879">
        <v>1045</v>
      </c>
      <c r="L5879">
        <v>5</v>
      </c>
      <c r="M5879">
        <v>3280</v>
      </c>
      <c r="N5879">
        <v>155</v>
      </c>
      <c r="O5879">
        <v>0</v>
      </c>
      <c r="P5879">
        <v>19</v>
      </c>
      <c r="Q5879">
        <v>1</v>
      </c>
    </row>
    <row r="5880" spans="1:17" x14ac:dyDescent="0.2">
      <c r="A5880" s="121">
        <v>41182</v>
      </c>
      <c r="B5880" t="s">
        <v>406</v>
      </c>
      <c r="C5880" t="s">
        <v>562</v>
      </c>
      <c r="D5880" t="s">
        <v>567</v>
      </c>
      <c r="E5880" t="s">
        <v>568</v>
      </c>
      <c r="F5880" t="s">
        <v>413</v>
      </c>
      <c r="G5880">
        <v>9556</v>
      </c>
      <c r="H5880">
        <v>9556</v>
      </c>
      <c r="I5880">
        <v>8536</v>
      </c>
      <c r="J5880">
        <v>8536</v>
      </c>
      <c r="K5880">
        <v>2713</v>
      </c>
      <c r="L5880">
        <v>27</v>
      </c>
      <c r="M5880">
        <v>6465</v>
      </c>
      <c r="N5880">
        <v>351</v>
      </c>
      <c r="O5880">
        <v>0</v>
      </c>
      <c r="P5880">
        <v>102</v>
      </c>
      <c r="Q5880">
        <v>10</v>
      </c>
    </row>
    <row r="5881" spans="1:17" x14ac:dyDescent="0.2">
      <c r="A5881" s="121">
        <v>41182</v>
      </c>
      <c r="B5881" t="s">
        <v>406</v>
      </c>
      <c r="C5881" t="s">
        <v>562</v>
      </c>
      <c r="D5881" t="s">
        <v>569</v>
      </c>
      <c r="E5881" t="s">
        <v>570</v>
      </c>
      <c r="F5881" t="s">
        <v>413</v>
      </c>
      <c r="G5881">
        <v>3514</v>
      </c>
      <c r="H5881">
        <v>3514</v>
      </c>
      <c r="I5881">
        <v>3454</v>
      </c>
      <c r="J5881">
        <v>3454</v>
      </c>
      <c r="K5881">
        <v>506</v>
      </c>
      <c r="L5881">
        <v>1</v>
      </c>
      <c r="M5881">
        <v>3006</v>
      </c>
      <c r="N5881">
        <v>1</v>
      </c>
      <c r="O5881">
        <v>0</v>
      </c>
      <c r="P5881">
        <v>1</v>
      </c>
      <c r="Q5881">
        <v>0</v>
      </c>
    </row>
    <row r="5882" spans="1:17" x14ac:dyDescent="0.2">
      <c r="A5882" s="121">
        <v>41182</v>
      </c>
      <c r="B5882" t="s">
        <v>406</v>
      </c>
      <c r="C5882" t="s">
        <v>571</v>
      </c>
      <c r="D5882" t="s">
        <v>572</v>
      </c>
      <c r="E5882" t="s">
        <v>573</v>
      </c>
      <c r="F5882" t="s">
        <v>410</v>
      </c>
      <c r="G5882">
        <v>250</v>
      </c>
      <c r="H5882">
        <v>250</v>
      </c>
      <c r="I5882">
        <v>247</v>
      </c>
      <c r="J5882">
        <v>247</v>
      </c>
      <c r="K5882">
        <v>2</v>
      </c>
      <c r="L5882">
        <v>0</v>
      </c>
      <c r="M5882">
        <v>239</v>
      </c>
      <c r="N5882">
        <v>1</v>
      </c>
      <c r="O5882">
        <v>8</v>
      </c>
      <c r="P5882">
        <v>0</v>
      </c>
      <c r="Q5882">
        <v>0</v>
      </c>
    </row>
    <row r="5883" spans="1:17" x14ac:dyDescent="0.2">
      <c r="A5883" s="121">
        <v>41182</v>
      </c>
      <c r="B5883" t="s">
        <v>406</v>
      </c>
      <c r="C5883" t="s">
        <v>574</v>
      </c>
      <c r="D5883" t="s">
        <v>575</v>
      </c>
      <c r="E5883" t="s">
        <v>576</v>
      </c>
      <c r="F5883" t="s">
        <v>413</v>
      </c>
      <c r="G5883">
        <v>614</v>
      </c>
      <c r="H5883">
        <v>614</v>
      </c>
      <c r="I5883">
        <v>606</v>
      </c>
      <c r="J5883">
        <v>606</v>
      </c>
      <c r="K5883">
        <v>175</v>
      </c>
      <c r="L5883">
        <v>1</v>
      </c>
      <c r="M5883">
        <v>412</v>
      </c>
      <c r="N5883">
        <v>5</v>
      </c>
      <c r="O5883">
        <v>21</v>
      </c>
      <c r="P5883">
        <v>0</v>
      </c>
      <c r="Q5883">
        <v>0</v>
      </c>
    </row>
    <row r="5884" spans="1:17" x14ac:dyDescent="0.2">
      <c r="A5884" s="121">
        <v>41182</v>
      </c>
      <c r="B5884" t="s">
        <v>406</v>
      </c>
      <c r="C5884" t="s">
        <v>577</v>
      </c>
      <c r="D5884" t="s">
        <v>578</v>
      </c>
      <c r="E5884" t="s">
        <v>579</v>
      </c>
      <c r="F5884" t="s">
        <v>413</v>
      </c>
      <c r="G5884">
        <v>4186</v>
      </c>
      <c r="H5884">
        <v>4186</v>
      </c>
      <c r="I5884">
        <v>4131</v>
      </c>
      <c r="J5884">
        <v>4131</v>
      </c>
      <c r="K5884">
        <v>881</v>
      </c>
      <c r="L5884">
        <v>13</v>
      </c>
      <c r="M5884">
        <v>3036</v>
      </c>
      <c r="N5884">
        <v>256</v>
      </c>
      <c r="O5884">
        <v>0</v>
      </c>
      <c r="P5884">
        <v>0</v>
      </c>
      <c r="Q5884">
        <v>0</v>
      </c>
    </row>
    <row r="5885" spans="1:17" x14ac:dyDescent="0.2">
      <c r="A5885" s="121">
        <v>41182</v>
      </c>
      <c r="B5885" t="s">
        <v>406</v>
      </c>
      <c r="C5885" t="s">
        <v>577</v>
      </c>
      <c r="D5885" t="s">
        <v>580</v>
      </c>
      <c r="E5885" t="s">
        <v>581</v>
      </c>
      <c r="F5885" t="s">
        <v>413</v>
      </c>
      <c r="G5885">
        <v>2317</v>
      </c>
      <c r="H5885">
        <v>2317</v>
      </c>
      <c r="I5885">
        <v>2294</v>
      </c>
      <c r="J5885">
        <v>2294</v>
      </c>
      <c r="K5885">
        <v>344</v>
      </c>
      <c r="L5885">
        <v>1</v>
      </c>
      <c r="M5885">
        <v>1542</v>
      </c>
      <c r="N5885">
        <v>413</v>
      </c>
      <c r="O5885">
        <v>17</v>
      </c>
      <c r="P5885">
        <v>1</v>
      </c>
      <c r="Q5885">
        <v>0</v>
      </c>
    </row>
    <row r="5886" spans="1:17" x14ac:dyDescent="0.2">
      <c r="A5886" s="121">
        <v>41182</v>
      </c>
      <c r="B5886" t="s">
        <v>406</v>
      </c>
      <c r="C5886" t="s">
        <v>577</v>
      </c>
      <c r="D5886" t="s">
        <v>609</v>
      </c>
      <c r="E5886" t="s">
        <v>610</v>
      </c>
      <c r="F5886" t="s">
        <v>410</v>
      </c>
      <c r="G5886">
        <v>38</v>
      </c>
      <c r="H5886">
        <v>38</v>
      </c>
      <c r="I5886">
        <v>38</v>
      </c>
      <c r="J5886">
        <v>38</v>
      </c>
      <c r="K5886">
        <v>0</v>
      </c>
      <c r="L5886">
        <v>0</v>
      </c>
      <c r="M5886">
        <v>36</v>
      </c>
      <c r="N5886">
        <v>2</v>
      </c>
      <c r="O5886">
        <v>0</v>
      </c>
      <c r="P5886">
        <v>0</v>
      </c>
      <c r="Q5886">
        <v>0</v>
      </c>
    </row>
    <row r="5887" spans="1:17" x14ac:dyDescent="0.2">
      <c r="A5887" s="121">
        <v>41182</v>
      </c>
      <c r="B5887" t="s">
        <v>406</v>
      </c>
      <c r="C5887" t="s">
        <v>577</v>
      </c>
      <c r="D5887" t="s">
        <v>611</v>
      </c>
      <c r="E5887" t="s">
        <v>612</v>
      </c>
      <c r="F5887" t="s">
        <v>410</v>
      </c>
      <c r="G5887">
        <v>10</v>
      </c>
      <c r="H5887">
        <v>10</v>
      </c>
      <c r="I5887">
        <v>10</v>
      </c>
      <c r="J5887">
        <v>10</v>
      </c>
      <c r="K5887">
        <v>0</v>
      </c>
      <c r="L5887">
        <v>0</v>
      </c>
      <c r="M5887">
        <v>4</v>
      </c>
      <c r="N5887">
        <v>1</v>
      </c>
      <c r="O5887">
        <v>5</v>
      </c>
      <c r="P5887">
        <v>0</v>
      </c>
      <c r="Q5887">
        <v>0</v>
      </c>
    </row>
    <row r="5888" spans="1:17" x14ac:dyDescent="0.2">
      <c r="A5888" s="121">
        <v>41182</v>
      </c>
      <c r="B5888" t="s">
        <v>406</v>
      </c>
      <c r="C5888" t="s">
        <v>577</v>
      </c>
      <c r="D5888" t="s">
        <v>584</v>
      </c>
      <c r="E5888" t="s">
        <v>585</v>
      </c>
      <c r="F5888" t="s">
        <v>410</v>
      </c>
      <c r="G5888">
        <v>276</v>
      </c>
      <c r="H5888">
        <v>276</v>
      </c>
      <c r="I5888">
        <v>275</v>
      </c>
      <c r="J5888">
        <v>275</v>
      </c>
      <c r="K5888">
        <v>0</v>
      </c>
      <c r="L5888">
        <v>0</v>
      </c>
      <c r="M5888">
        <v>258</v>
      </c>
      <c r="N5888">
        <v>14</v>
      </c>
      <c r="O5888">
        <v>4</v>
      </c>
      <c r="P5888">
        <v>0</v>
      </c>
      <c r="Q5888">
        <v>0</v>
      </c>
    </row>
    <row r="5889" spans="1:17" x14ac:dyDescent="0.2">
      <c r="A5889" s="121">
        <v>41182</v>
      </c>
      <c r="B5889" t="s">
        <v>406</v>
      </c>
      <c r="C5889" t="s">
        <v>577</v>
      </c>
      <c r="D5889" t="s">
        <v>586</v>
      </c>
      <c r="E5889" t="s">
        <v>587</v>
      </c>
      <c r="F5889" t="s">
        <v>410</v>
      </c>
      <c r="G5889">
        <v>1089</v>
      </c>
      <c r="H5889">
        <v>1089</v>
      </c>
      <c r="I5889">
        <v>1089</v>
      </c>
      <c r="J5889">
        <v>1089</v>
      </c>
      <c r="K5889">
        <v>0</v>
      </c>
      <c r="L5889">
        <v>0</v>
      </c>
      <c r="M5889">
        <v>987</v>
      </c>
      <c r="N5889">
        <v>99</v>
      </c>
      <c r="O5889">
        <v>3</v>
      </c>
      <c r="P5889">
        <v>0</v>
      </c>
      <c r="Q5889">
        <v>0</v>
      </c>
    </row>
    <row r="5890" spans="1:17" x14ac:dyDescent="0.2">
      <c r="A5890" s="121">
        <v>41182</v>
      </c>
      <c r="B5890" t="s">
        <v>406</v>
      </c>
      <c r="C5890" t="s">
        <v>577</v>
      </c>
      <c r="D5890" t="s">
        <v>588</v>
      </c>
      <c r="E5890" t="s">
        <v>589</v>
      </c>
      <c r="F5890" t="s">
        <v>410</v>
      </c>
      <c r="G5890">
        <v>279</v>
      </c>
      <c r="H5890">
        <v>279</v>
      </c>
      <c r="I5890">
        <v>279</v>
      </c>
      <c r="J5890">
        <v>279</v>
      </c>
      <c r="K5890">
        <v>0</v>
      </c>
      <c r="L5890">
        <v>0</v>
      </c>
      <c r="M5890">
        <v>249</v>
      </c>
      <c r="N5890">
        <v>28</v>
      </c>
      <c r="O5890">
        <v>2</v>
      </c>
      <c r="P5890">
        <v>0</v>
      </c>
      <c r="Q5890">
        <v>0</v>
      </c>
    </row>
    <row r="5891" spans="1:17" x14ac:dyDescent="0.2">
      <c r="A5891" s="121">
        <v>41182</v>
      </c>
      <c r="B5891" t="s">
        <v>406</v>
      </c>
      <c r="C5891" t="s">
        <v>577</v>
      </c>
      <c r="D5891" t="s">
        <v>613</v>
      </c>
      <c r="E5891" t="s">
        <v>614</v>
      </c>
      <c r="F5891" t="s">
        <v>410</v>
      </c>
      <c r="G5891">
        <v>202</v>
      </c>
      <c r="H5891">
        <v>202</v>
      </c>
      <c r="I5891">
        <v>202</v>
      </c>
      <c r="J5891">
        <v>202</v>
      </c>
      <c r="K5891">
        <v>0</v>
      </c>
      <c r="L5891">
        <v>0</v>
      </c>
      <c r="M5891">
        <v>182</v>
      </c>
      <c r="N5891">
        <v>16</v>
      </c>
      <c r="O5891">
        <v>4</v>
      </c>
      <c r="P5891">
        <v>0</v>
      </c>
      <c r="Q5891">
        <v>0</v>
      </c>
    </row>
    <row r="5892" spans="1:17" x14ac:dyDescent="0.2">
      <c r="A5892" s="121">
        <v>41182</v>
      </c>
      <c r="B5892" t="s">
        <v>406</v>
      </c>
      <c r="C5892" t="s">
        <v>577</v>
      </c>
      <c r="D5892" t="s">
        <v>590</v>
      </c>
      <c r="E5892" t="s">
        <v>591</v>
      </c>
      <c r="F5892" t="s">
        <v>410</v>
      </c>
      <c r="G5892">
        <v>662</v>
      </c>
      <c r="H5892">
        <v>662</v>
      </c>
      <c r="I5892">
        <v>662</v>
      </c>
      <c r="J5892">
        <v>662</v>
      </c>
      <c r="K5892">
        <v>0</v>
      </c>
      <c r="L5892">
        <v>0</v>
      </c>
      <c r="M5892">
        <v>634</v>
      </c>
      <c r="N5892">
        <v>28</v>
      </c>
      <c r="O5892">
        <v>0</v>
      </c>
      <c r="P5892">
        <v>0</v>
      </c>
      <c r="Q5892">
        <v>0</v>
      </c>
    </row>
    <row r="5893" spans="1:17" x14ac:dyDescent="0.2">
      <c r="A5893" s="121">
        <v>41182</v>
      </c>
      <c r="B5893" t="s">
        <v>406</v>
      </c>
      <c r="C5893" t="s">
        <v>577</v>
      </c>
      <c r="D5893" t="s">
        <v>607</v>
      </c>
      <c r="E5893" t="s">
        <v>608</v>
      </c>
      <c r="F5893" t="s">
        <v>410</v>
      </c>
      <c r="G5893">
        <v>194</v>
      </c>
      <c r="H5893">
        <v>194</v>
      </c>
      <c r="I5893">
        <v>194</v>
      </c>
      <c r="J5893">
        <v>194</v>
      </c>
      <c r="K5893">
        <v>0</v>
      </c>
      <c r="L5893">
        <v>0</v>
      </c>
      <c r="M5893">
        <v>177</v>
      </c>
      <c r="N5893">
        <v>16</v>
      </c>
      <c r="O5893">
        <v>1</v>
      </c>
      <c r="P5893">
        <v>0</v>
      </c>
      <c r="Q5893">
        <v>0</v>
      </c>
    </row>
    <row r="5894" spans="1:17" x14ac:dyDescent="0.2">
      <c r="A5894" s="121">
        <v>41182</v>
      </c>
      <c r="B5894" t="s">
        <v>406</v>
      </c>
      <c r="C5894" t="s">
        <v>577</v>
      </c>
      <c r="D5894" t="s">
        <v>592</v>
      </c>
      <c r="E5894" t="s">
        <v>593</v>
      </c>
      <c r="F5894" t="s">
        <v>410</v>
      </c>
      <c r="G5894">
        <v>621</v>
      </c>
      <c r="H5894">
        <v>621</v>
      </c>
      <c r="I5894">
        <v>621</v>
      </c>
      <c r="J5894">
        <v>621</v>
      </c>
      <c r="K5894">
        <v>0</v>
      </c>
      <c r="L5894">
        <v>1</v>
      </c>
      <c r="M5894">
        <v>584</v>
      </c>
      <c r="N5894">
        <v>34</v>
      </c>
      <c r="O5894">
        <v>2</v>
      </c>
      <c r="P5894">
        <v>0</v>
      </c>
      <c r="Q5894">
        <v>0</v>
      </c>
    </row>
    <row r="5895" spans="1:17" x14ac:dyDescent="0.2">
      <c r="A5895" s="121">
        <v>41182</v>
      </c>
      <c r="B5895" t="s">
        <v>406</v>
      </c>
      <c r="C5895" t="s">
        <v>594</v>
      </c>
      <c r="D5895" t="s">
        <v>595</v>
      </c>
      <c r="E5895" t="s">
        <v>596</v>
      </c>
      <c r="F5895" t="s">
        <v>410</v>
      </c>
      <c r="G5895">
        <v>49</v>
      </c>
      <c r="I5895">
        <v>49</v>
      </c>
    </row>
    <row r="5896" spans="1:17" x14ac:dyDescent="0.2">
      <c r="A5896" s="121">
        <v>41182</v>
      </c>
      <c r="B5896" t="s">
        <v>406</v>
      </c>
      <c r="C5896" t="s">
        <v>594</v>
      </c>
      <c r="D5896" t="s">
        <v>597</v>
      </c>
      <c r="E5896" t="s">
        <v>598</v>
      </c>
      <c r="F5896" t="s">
        <v>413</v>
      </c>
      <c r="G5896">
        <v>547</v>
      </c>
      <c r="H5896">
        <v>547</v>
      </c>
      <c r="I5896">
        <v>537</v>
      </c>
      <c r="J5896">
        <v>537</v>
      </c>
      <c r="K5896">
        <v>122</v>
      </c>
      <c r="L5896">
        <v>0</v>
      </c>
      <c r="M5896">
        <v>402</v>
      </c>
      <c r="N5896">
        <v>21</v>
      </c>
      <c r="O5896">
        <v>2</v>
      </c>
      <c r="P5896">
        <v>0</v>
      </c>
      <c r="Q5896">
        <v>0</v>
      </c>
    </row>
    <row r="5897" spans="1:17" x14ac:dyDescent="0.2">
      <c r="A5897" s="121">
        <v>41182</v>
      </c>
      <c r="B5897" t="s">
        <v>406</v>
      </c>
      <c r="C5897" t="s">
        <v>594</v>
      </c>
      <c r="D5897" t="s">
        <v>599</v>
      </c>
      <c r="E5897" t="s">
        <v>600</v>
      </c>
      <c r="F5897" t="s">
        <v>410</v>
      </c>
      <c r="G5897">
        <v>85</v>
      </c>
      <c r="I5897">
        <v>85</v>
      </c>
    </row>
    <row r="5898" spans="1:17" x14ac:dyDescent="0.2">
      <c r="A5898" s="121">
        <v>41213</v>
      </c>
      <c r="B5898" t="s">
        <v>406</v>
      </c>
      <c r="C5898" t="s">
        <v>407</v>
      </c>
      <c r="D5898" t="s">
        <v>408</v>
      </c>
      <c r="E5898" t="s">
        <v>409</v>
      </c>
      <c r="F5898" t="s">
        <v>410</v>
      </c>
      <c r="G5898">
        <v>174</v>
      </c>
      <c r="I5898">
        <v>174</v>
      </c>
    </row>
    <row r="5899" spans="1:17" x14ac:dyDescent="0.2">
      <c r="A5899" s="121">
        <v>41213</v>
      </c>
      <c r="B5899" t="s">
        <v>406</v>
      </c>
      <c r="C5899" t="s">
        <v>407</v>
      </c>
      <c r="D5899" t="s">
        <v>601</v>
      </c>
      <c r="E5899" t="s">
        <v>602</v>
      </c>
      <c r="F5899" t="s">
        <v>410</v>
      </c>
      <c r="G5899">
        <v>52</v>
      </c>
      <c r="I5899">
        <v>52</v>
      </c>
    </row>
    <row r="5900" spans="1:17" x14ac:dyDescent="0.2">
      <c r="A5900" s="121">
        <v>41213</v>
      </c>
      <c r="B5900" t="s">
        <v>406</v>
      </c>
      <c r="C5900" t="s">
        <v>407</v>
      </c>
      <c r="D5900" t="s">
        <v>411</v>
      </c>
      <c r="E5900" t="s">
        <v>412</v>
      </c>
      <c r="F5900" t="s">
        <v>413</v>
      </c>
      <c r="G5900">
        <v>5919</v>
      </c>
      <c r="H5900">
        <v>5919</v>
      </c>
      <c r="I5900">
        <v>5527</v>
      </c>
      <c r="J5900">
        <v>5527</v>
      </c>
      <c r="K5900">
        <v>2417</v>
      </c>
      <c r="L5900">
        <v>10</v>
      </c>
      <c r="M5900">
        <v>3185</v>
      </c>
      <c r="N5900">
        <v>102</v>
      </c>
      <c r="O5900">
        <v>205</v>
      </c>
      <c r="P5900">
        <v>9</v>
      </c>
      <c r="Q5900">
        <v>0</v>
      </c>
    </row>
    <row r="5901" spans="1:17" x14ac:dyDescent="0.2">
      <c r="A5901" s="121">
        <v>41213</v>
      </c>
      <c r="B5901" t="s">
        <v>406</v>
      </c>
      <c r="C5901" t="s">
        <v>407</v>
      </c>
      <c r="D5901" t="s">
        <v>416</v>
      </c>
      <c r="E5901" t="s">
        <v>417</v>
      </c>
      <c r="F5901" t="s">
        <v>413</v>
      </c>
      <c r="G5901">
        <v>3666</v>
      </c>
      <c r="H5901">
        <v>3666</v>
      </c>
      <c r="I5901">
        <v>3298</v>
      </c>
      <c r="J5901">
        <v>3298</v>
      </c>
      <c r="K5901">
        <v>1449</v>
      </c>
      <c r="L5901">
        <v>5</v>
      </c>
      <c r="M5901">
        <v>2038</v>
      </c>
      <c r="N5901">
        <v>126</v>
      </c>
      <c r="O5901">
        <v>48</v>
      </c>
      <c r="P5901">
        <v>32</v>
      </c>
      <c r="Q5901">
        <v>2</v>
      </c>
    </row>
    <row r="5902" spans="1:17" x14ac:dyDescent="0.2">
      <c r="A5902" s="121">
        <v>41213</v>
      </c>
      <c r="B5902" t="s">
        <v>406</v>
      </c>
      <c r="C5902" t="s">
        <v>407</v>
      </c>
      <c r="D5902" t="s">
        <v>618</v>
      </c>
      <c r="E5902" t="s">
        <v>619</v>
      </c>
      <c r="F5902" t="s">
        <v>410</v>
      </c>
      <c r="G5902">
        <v>118</v>
      </c>
      <c r="I5902">
        <v>118</v>
      </c>
    </row>
    <row r="5903" spans="1:17" x14ac:dyDescent="0.2">
      <c r="A5903" s="121">
        <v>41213</v>
      </c>
      <c r="B5903" t="s">
        <v>406</v>
      </c>
      <c r="C5903" t="s">
        <v>418</v>
      </c>
      <c r="D5903" t="s">
        <v>419</v>
      </c>
      <c r="E5903" t="s">
        <v>420</v>
      </c>
      <c r="F5903" t="s">
        <v>410</v>
      </c>
      <c r="G5903">
        <v>15</v>
      </c>
      <c r="I5903">
        <v>15</v>
      </c>
    </row>
    <row r="5904" spans="1:17" x14ac:dyDescent="0.2">
      <c r="A5904" s="121">
        <v>41213</v>
      </c>
      <c r="B5904" t="s">
        <v>406</v>
      </c>
      <c r="C5904" t="s">
        <v>418</v>
      </c>
      <c r="D5904" t="s">
        <v>421</v>
      </c>
      <c r="E5904" t="s">
        <v>422</v>
      </c>
      <c r="F5904" t="s">
        <v>410</v>
      </c>
      <c r="G5904">
        <v>118</v>
      </c>
      <c r="I5904">
        <v>118</v>
      </c>
    </row>
    <row r="5905" spans="1:17" x14ac:dyDescent="0.2">
      <c r="A5905" s="121">
        <v>41213</v>
      </c>
      <c r="B5905" t="s">
        <v>406</v>
      </c>
      <c r="C5905" t="s">
        <v>418</v>
      </c>
      <c r="D5905" t="s">
        <v>423</v>
      </c>
      <c r="E5905" t="s">
        <v>424</v>
      </c>
      <c r="F5905" t="s">
        <v>410</v>
      </c>
      <c r="G5905">
        <v>20</v>
      </c>
      <c r="I5905">
        <v>20</v>
      </c>
    </row>
    <row r="5906" spans="1:17" x14ac:dyDescent="0.2">
      <c r="A5906" s="121">
        <v>41213</v>
      </c>
      <c r="B5906" t="s">
        <v>406</v>
      </c>
      <c r="C5906" t="s">
        <v>418</v>
      </c>
      <c r="D5906" t="s">
        <v>425</v>
      </c>
      <c r="E5906" t="s">
        <v>426</v>
      </c>
      <c r="F5906" t="s">
        <v>410</v>
      </c>
      <c r="G5906">
        <v>56</v>
      </c>
      <c r="I5906">
        <v>56</v>
      </c>
    </row>
    <row r="5907" spans="1:17" x14ac:dyDescent="0.2">
      <c r="A5907" s="121">
        <v>41213</v>
      </c>
      <c r="B5907" t="s">
        <v>406</v>
      </c>
      <c r="C5907" t="s">
        <v>418</v>
      </c>
      <c r="D5907" t="s">
        <v>427</v>
      </c>
      <c r="E5907" t="s">
        <v>428</v>
      </c>
      <c r="F5907" t="s">
        <v>413</v>
      </c>
      <c r="G5907">
        <v>1897</v>
      </c>
      <c r="H5907">
        <v>1897</v>
      </c>
      <c r="I5907">
        <v>1866</v>
      </c>
      <c r="J5907">
        <v>1866</v>
      </c>
      <c r="K5907">
        <v>586</v>
      </c>
      <c r="L5907">
        <v>6</v>
      </c>
      <c r="M5907">
        <v>1023</v>
      </c>
      <c r="N5907">
        <v>252</v>
      </c>
      <c r="O5907">
        <v>30</v>
      </c>
      <c r="P5907">
        <v>1</v>
      </c>
      <c r="Q5907">
        <v>0</v>
      </c>
    </row>
    <row r="5908" spans="1:17" x14ac:dyDescent="0.2">
      <c r="A5908" s="121">
        <v>41213</v>
      </c>
      <c r="B5908" t="s">
        <v>406</v>
      </c>
      <c r="C5908" t="s">
        <v>429</v>
      </c>
      <c r="D5908" t="s">
        <v>430</v>
      </c>
      <c r="E5908" t="s">
        <v>431</v>
      </c>
      <c r="F5908" t="s">
        <v>410</v>
      </c>
      <c r="G5908">
        <v>40</v>
      </c>
      <c r="I5908">
        <v>40</v>
      </c>
    </row>
    <row r="5909" spans="1:17" x14ac:dyDescent="0.2">
      <c r="A5909" s="121">
        <v>41213</v>
      </c>
      <c r="B5909" t="s">
        <v>406</v>
      </c>
      <c r="C5909" t="s">
        <v>429</v>
      </c>
      <c r="D5909" t="s">
        <v>432</v>
      </c>
      <c r="E5909" t="s">
        <v>433</v>
      </c>
      <c r="F5909" t="s">
        <v>410</v>
      </c>
      <c r="G5909">
        <v>30</v>
      </c>
      <c r="I5909">
        <v>30</v>
      </c>
    </row>
    <row r="5910" spans="1:17" x14ac:dyDescent="0.2">
      <c r="A5910" s="121">
        <v>41213</v>
      </c>
      <c r="B5910" t="s">
        <v>406</v>
      </c>
      <c r="C5910" t="s">
        <v>429</v>
      </c>
      <c r="D5910" t="s">
        <v>434</v>
      </c>
      <c r="E5910" t="s">
        <v>435</v>
      </c>
      <c r="F5910" t="s">
        <v>410</v>
      </c>
      <c r="G5910">
        <v>6</v>
      </c>
      <c r="I5910">
        <v>6</v>
      </c>
    </row>
    <row r="5911" spans="1:17" x14ac:dyDescent="0.2">
      <c r="A5911" s="121">
        <v>41213</v>
      </c>
      <c r="B5911" t="s">
        <v>406</v>
      </c>
      <c r="C5911" t="s">
        <v>429</v>
      </c>
      <c r="D5911" t="s">
        <v>436</v>
      </c>
      <c r="E5911" t="s">
        <v>437</v>
      </c>
      <c r="F5911" t="s">
        <v>410</v>
      </c>
      <c r="G5911">
        <v>18</v>
      </c>
      <c r="H5911">
        <v>18</v>
      </c>
      <c r="I5911">
        <v>18</v>
      </c>
      <c r="J5911">
        <v>18</v>
      </c>
      <c r="K5911">
        <v>0</v>
      </c>
      <c r="L5911">
        <v>0</v>
      </c>
      <c r="M5911">
        <v>9</v>
      </c>
      <c r="N5911">
        <v>9</v>
      </c>
      <c r="O5911">
        <v>0</v>
      </c>
      <c r="P5911">
        <v>0</v>
      </c>
      <c r="Q5911">
        <v>0</v>
      </c>
    </row>
    <row r="5912" spans="1:17" x14ac:dyDescent="0.2">
      <c r="A5912" s="121">
        <v>41213</v>
      </c>
      <c r="B5912" t="s">
        <v>406</v>
      </c>
      <c r="C5912" t="s">
        <v>429</v>
      </c>
      <c r="D5912" t="s">
        <v>438</v>
      </c>
      <c r="E5912" t="s">
        <v>439</v>
      </c>
      <c r="F5912" t="s">
        <v>413</v>
      </c>
      <c r="G5912">
        <v>918</v>
      </c>
      <c r="H5912">
        <v>918</v>
      </c>
      <c r="I5912">
        <v>879</v>
      </c>
      <c r="J5912">
        <v>879</v>
      </c>
      <c r="K5912">
        <v>93</v>
      </c>
      <c r="L5912">
        <v>0</v>
      </c>
      <c r="M5912">
        <v>777</v>
      </c>
      <c r="N5912">
        <v>48</v>
      </c>
      <c r="O5912">
        <v>0</v>
      </c>
      <c r="P5912">
        <v>2</v>
      </c>
      <c r="Q5912">
        <v>0</v>
      </c>
    </row>
    <row r="5913" spans="1:17" x14ac:dyDescent="0.2">
      <c r="A5913" s="121">
        <v>41213</v>
      </c>
      <c r="B5913" t="s">
        <v>406</v>
      </c>
      <c r="C5913" t="s">
        <v>429</v>
      </c>
      <c r="D5913" t="s">
        <v>440</v>
      </c>
      <c r="E5913" t="s">
        <v>441</v>
      </c>
      <c r="F5913" t="s">
        <v>413</v>
      </c>
      <c r="G5913">
        <v>2795</v>
      </c>
      <c r="H5913">
        <v>2795</v>
      </c>
      <c r="I5913">
        <v>2603</v>
      </c>
      <c r="J5913">
        <v>2603</v>
      </c>
      <c r="K5913">
        <v>968</v>
      </c>
      <c r="L5913">
        <v>1</v>
      </c>
      <c r="M5913">
        <v>1743</v>
      </c>
      <c r="N5913">
        <v>83</v>
      </c>
      <c r="O5913">
        <v>0</v>
      </c>
      <c r="P5913">
        <v>4</v>
      </c>
      <c r="Q5913">
        <v>0</v>
      </c>
    </row>
    <row r="5914" spans="1:17" x14ac:dyDescent="0.2">
      <c r="A5914" s="121">
        <v>41213</v>
      </c>
      <c r="B5914" t="s">
        <v>406</v>
      </c>
      <c r="C5914" t="s">
        <v>442</v>
      </c>
      <c r="D5914" t="s">
        <v>443</v>
      </c>
      <c r="E5914" t="s">
        <v>444</v>
      </c>
      <c r="F5914" t="s">
        <v>413</v>
      </c>
      <c r="G5914">
        <v>5134</v>
      </c>
      <c r="H5914">
        <v>5134</v>
      </c>
      <c r="I5914">
        <v>4923</v>
      </c>
      <c r="J5914">
        <v>4923</v>
      </c>
      <c r="K5914">
        <v>1297</v>
      </c>
      <c r="L5914">
        <v>9</v>
      </c>
      <c r="M5914">
        <v>3482</v>
      </c>
      <c r="N5914">
        <v>213</v>
      </c>
      <c r="O5914">
        <v>133</v>
      </c>
      <c r="P5914">
        <v>47</v>
      </c>
      <c r="Q5914">
        <v>6</v>
      </c>
    </row>
    <row r="5915" spans="1:17" x14ac:dyDescent="0.2">
      <c r="A5915" s="121">
        <v>41213</v>
      </c>
      <c r="B5915" t="s">
        <v>406</v>
      </c>
      <c r="C5915" t="s">
        <v>442</v>
      </c>
      <c r="D5915" t="s">
        <v>445</v>
      </c>
      <c r="E5915" t="s">
        <v>446</v>
      </c>
      <c r="F5915" t="s">
        <v>410</v>
      </c>
      <c r="G5915">
        <v>114</v>
      </c>
      <c r="I5915">
        <v>114</v>
      </c>
    </row>
    <row r="5916" spans="1:17" x14ac:dyDescent="0.2">
      <c r="A5916" s="121">
        <v>41213</v>
      </c>
      <c r="B5916" t="s">
        <v>406</v>
      </c>
      <c r="C5916" t="s">
        <v>442</v>
      </c>
      <c r="D5916" t="s">
        <v>447</v>
      </c>
      <c r="E5916" t="s">
        <v>448</v>
      </c>
      <c r="F5916" t="s">
        <v>410</v>
      </c>
      <c r="G5916">
        <v>408</v>
      </c>
      <c r="I5916">
        <v>408</v>
      </c>
    </row>
    <row r="5917" spans="1:17" x14ac:dyDescent="0.2">
      <c r="A5917" s="121">
        <v>41213</v>
      </c>
      <c r="B5917" t="s">
        <v>406</v>
      </c>
      <c r="C5917" t="s">
        <v>442</v>
      </c>
      <c r="D5917" t="s">
        <v>449</v>
      </c>
      <c r="E5917" t="s">
        <v>624</v>
      </c>
      <c r="F5917" t="s">
        <v>410</v>
      </c>
      <c r="G5917">
        <v>1445</v>
      </c>
      <c r="H5917">
        <v>1445</v>
      </c>
      <c r="I5917">
        <v>1444</v>
      </c>
      <c r="J5917">
        <v>1444</v>
      </c>
      <c r="K5917">
        <v>8</v>
      </c>
      <c r="L5917">
        <v>0</v>
      </c>
      <c r="M5917">
        <v>1201</v>
      </c>
      <c r="N5917">
        <v>72</v>
      </c>
      <c r="O5917">
        <v>164</v>
      </c>
      <c r="P5917">
        <v>0</v>
      </c>
      <c r="Q5917">
        <v>0</v>
      </c>
    </row>
    <row r="5918" spans="1:17" x14ac:dyDescent="0.2">
      <c r="A5918" s="121">
        <v>41213</v>
      </c>
      <c r="B5918" t="s">
        <v>406</v>
      </c>
      <c r="C5918" t="s">
        <v>451</v>
      </c>
      <c r="D5918" t="s">
        <v>454</v>
      </c>
      <c r="E5918" t="s">
        <v>621</v>
      </c>
      <c r="F5918" t="s">
        <v>410</v>
      </c>
      <c r="G5918">
        <v>1221</v>
      </c>
      <c r="H5918">
        <v>1221</v>
      </c>
      <c r="I5918">
        <v>1220</v>
      </c>
      <c r="J5918">
        <v>1220</v>
      </c>
      <c r="K5918">
        <v>2</v>
      </c>
      <c r="L5918">
        <v>0</v>
      </c>
      <c r="M5918">
        <v>1093</v>
      </c>
      <c r="N5918">
        <v>69</v>
      </c>
      <c r="O5918">
        <v>57</v>
      </c>
      <c r="P5918">
        <v>0</v>
      </c>
      <c r="Q5918">
        <v>0</v>
      </c>
    </row>
    <row r="5919" spans="1:17" x14ac:dyDescent="0.2">
      <c r="A5919" s="121">
        <v>41213</v>
      </c>
      <c r="B5919" t="s">
        <v>406</v>
      </c>
      <c r="C5919" t="s">
        <v>451</v>
      </c>
      <c r="D5919" t="s">
        <v>622</v>
      </c>
      <c r="E5919" t="s">
        <v>623</v>
      </c>
      <c r="F5919" t="s">
        <v>413</v>
      </c>
      <c r="G5919">
        <v>5068</v>
      </c>
      <c r="H5919">
        <v>5068</v>
      </c>
      <c r="I5919">
        <v>4454</v>
      </c>
      <c r="J5919">
        <v>4454</v>
      </c>
      <c r="K5919">
        <v>1348</v>
      </c>
      <c r="L5919">
        <v>9</v>
      </c>
      <c r="M5919">
        <v>3481</v>
      </c>
      <c r="N5919">
        <v>27</v>
      </c>
      <c r="O5919">
        <v>203</v>
      </c>
      <c r="P5919">
        <v>32</v>
      </c>
      <c r="Q5919">
        <v>7</v>
      </c>
    </row>
    <row r="5920" spans="1:17" x14ac:dyDescent="0.2">
      <c r="A5920" s="121">
        <v>41213</v>
      </c>
      <c r="B5920" t="s">
        <v>406</v>
      </c>
      <c r="C5920" t="s">
        <v>456</v>
      </c>
      <c r="D5920" t="s">
        <v>457</v>
      </c>
      <c r="E5920" t="s">
        <v>458</v>
      </c>
      <c r="F5920" t="s">
        <v>413</v>
      </c>
      <c r="G5920">
        <v>5132</v>
      </c>
      <c r="H5920">
        <v>5132</v>
      </c>
      <c r="I5920">
        <v>4874</v>
      </c>
      <c r="J5920">
        <v>4874</v>
      </c>
      <c r="K5920">
        <v>1299</v>
      </c>
      <c r="L5920">
        <v>20</v>
      </c>
      <c r="M5920">
        <v>3636</v>
      </c>
      <c r="N5920">
        <v>79</v>
      </c>
      <c r="O5920">
        <v>98</v>
      </c>
      <c r="P5920">
        <v>41</v>
      </c>
      <c r="Q5920">
        <v>10</v>
      </c>
    </row>
    <row r="5921" spans="1:17" x14ac:dyDescent="0.2">
      <c r="A5921" s="121">
        <v>41213</v>
      </c>
      <c r="B5921" t="s">
        <v>406</v>
      </c>
      <c r="C5921" t="s">
        <v>456</v>
      </c>
      <c r="D5921" t="s">
        <v>459</v>
      </c>
      <c r="E5921" t="s">
        <v>460</v>
      </c>
      <c r="F5921" t="s">
        <v>413</v>
      </c>
      <c r="G5921">
        <v>1363</v>
      </c>
      <c r="H5921">
        <v>1363</v>
      </c>
      <c r="I5921">
        <v>1350</v>
      </c>
      <c r="J5921">
        <v>1350</v>
      </c>
      <c r="K5921">
        <v>394</v>
      </c>
      <c r="L5921">
        <v>1</v>
      </c>
      <c r="M5921">
        <v>965</v>
      </c>
      <c r="N5921">
        <v>3</v>
      </c>
      <c r="O5921">
        <v>0</v>
      </c>
      <c r="P5921">
        <v>0</v>
      </c>
      <c r="Q5921">
        <v>0</v>
      </c>
    </row>
    <row r="5922" spans="1:17" x14ac:dyDescent="0.2">
      <c r="A5922" s="121">
        <v>41213</v>
      </c>
      <c r="B5922" t="s">
        <v>406</v>
      </c>
      <c r="C5922" t="s">
        <v>456</v>
      </c>
      <c r="D5922" t="s">
        <v>461</v>
      </c>
      <c r="E5922" t="s">
        <v>462</v>
      </c>
      <c r="F5922" t="s">
        <v>410</v>
      </c>
      <c r="G5922">
        <v>66</v>
      </c>
      <c r="I5922">
        <v>66</v>
      </c>
    </row>
    <row r="5923" spans="1:17" x14ac:dyDescent="0.2">
      <c r="A5923" s="121">
        <v>41213</v>
      </c>
      <c r="B5923" t="s">
        <v>406</v>
      </c>
      <c r="C5923" t="s">
        <v>456</v>
      </c>
      <c r="D5923" t="s">
        <v>463</v>
      </c>
      <c r="E5923" t="s">
        <v>464</v>
      </c>
      <c r="F5923" t="s">
        <v>410</v>
      </c>
      <c r="G5923">
        <v>22</v>
      </c>
      <c r="I5923">
        <v>22</v>
      </c>
    </row>
    <row r="5924" spans="1:17" x14ac:dyDescent="0.2">
      <c r="A5924" s="121">
        <v>41213</v>
      </c>
      <c r="B5924" t="s">
        <v>406</v>
      </c>
      <c r="C5924" t="s">
        <v>456</v>
      </c>
      <c r="D5924" t="s">
        <v>465</v>
      </c>
      <c r="E5924" t="s">
        <v>466</v>
      </c>
      <c r="F5924" t="s">
        <v>410</v>
      </c>
      <c r="G5924">
        <v>58</v>
      </c>
      <c r="I5924">
        <v>58</v>
      </c>
    </row>
    <row r="5925" spans="1:17" x14ac:dyDescent="0.2">
      <c r="A5925" s="121">
        <v>41213</v>
      </c>
      <c r="B5925" t="s">
        <v>406</v>
      </c>
      <c r="C5925" t="s">
        <v>456</v>
      </c>
      <c r="D5925" t="s">
        <v>467</v>
      </c>
      <c r="E5925" t="s">
        <v>468</v>
      </c>
      <c r="F5925" t="s">
        <v>410</v>
      </c>
      <c r="G5925">
        <v>1277</v>
      </c>
      <c r="I5925">
        <v>1277</v>
      </c>
    </row>
    <row r="5926" spans="1:17" x14ac:dyDescent="0.2">
      <c r="A5926" s="121">
        <v>41213</v>
      </c>
      <c r="B5926" t="s">
        <v>406</v>
      </c>
      <c r="C5926" t="s">
        <v>456</v>
      </c>
      <c r="D5926" t="s">
        <v>469</v>
      </c>
      <c r="E5926" t="s">
        <v>470</v>
      </c>
      <c r="F5926" t="s">
        <v>410</v>
      </c>
      <c r="G5926">
        <v>829</v>
      </c>
      <c r="I5926">
        <v>829</v>
      </c>
    </row>
    <row r="5927" spans="1:17" x14ac:dyDescent="0.2">
      <c r="A5927" s="121">
        <v>41213</v>
      </c>
      <c r="B5927" t="s">
        <v>406</v>
      </c>
      <c r="C5927" t="s">
        <v>456</v>
      </c>
      <c r="D5927" t="s">
        <v>471</v>
      </c>
      <c r="E5927" t="s">
        <v>472</v>
      </c>
      <c r="F5927" t="s">
        <v>410</v>
      </c>
      <c r="G5927">
        <v>243</v>
      </c>
      <c r="I5927">
        <v>243</v>
      </c>
    </row>
    <row r="5928" spans="1:17" x14ac:dyDescent="0.2">
      <c r="A5928" s="121">
        <v>41213</v>
      </c>
      <c r="B5928" t="s">
        <v>406</v>
      </c>
      <c r="C5928" t="s">
        <v>456</v>
      </c>
      <c r="D5928" t="s">
        <v>473</v>
      </c>
      <c r="E5928" t="s">
        <v>474</v>
      </c>
      <c r="F5928" t="s">
        <v>410</v>
      </c>
      <c r="G5928">
        <v>164</v>
      </c>
      <c r="I5928">
        <v>164</v>
      </c>
    </row>
    <row r="5929" spans="1:17" x14ac:dyDescent="0.2">
      <c r="A5929" s="121">
        <v>41213</v>
      </c>
      <c r="B5929" t="s">
        <v>406</v>
      </c>
      <c r="C5929" t="s">
        <v>456</v>
      </c>
      <c r="D5929" t="s">
        <v>475</v>
      </c>
      <c r="E5929" t="s">
        <v>476</v>
      </c>
      <c r="F5929" t="s">
        <v>410</v>
      </c>
      <c r="G5929">
        <v>256</v>
      </c>
      <c r="I5929">
        <v>252</v>
      </c>
    </row>
    <row r="5930" spans="1:17" x14ac:dyDescent="0.2">
      <c r="A5930" s="121">
        <v>41213</v>
      </c>
      <c r="B5930" t="s">
        <v>406</v>
      </c>
      <c r="C5930" t="s">
        <v>456</v>
      </c>
      <c r="D5930" t="s">
        <v>477</v>
      </c>
      <c r="E5930" t="s">
        <v>478</v>
      </c>
      <c r="F5930" t="s">
        <v>413</v>
      </c>
      <c r="G5930">
        <v>1975</v>
      </c>
      <c r="H5930">
        <v>1975</v>
      </c>
      <c r="I5930">
        <v>1847</v>
      </c>
      <c r="J5930">
        <v>1847</v>
      </c>
      <c r="K5930">
        <v>451</v>
      </c>
      <c r="L5930">
        <v>3</v>
      </c>
      <c r="M5930">
        <v>1487</v>
      </c>
      <c r="N5930">
        <v>24</v>
      </c>
      <c r="O5930">
        <v>10</v>
      </c>
      <c r="P5930">
        <v>14</v>
      </c>
      <c r="Q5930">
        <v>4</v>
      </c>
    </row>
    <row r="5931" spans="1:17" x14ac:dyDescent="0.2">
      <c r="A5931" s="121">
        <v>41213</v>
      </c>
      <c r="B5931" t="s">
        <v>406</v>
      </c>
      <c r="C5931" t="s">
        <v>456</v>
      </c>
      <c r="D5931" t="s">
        <v>479</v>
      </c>
      <c r="E5931" t="s">
        <v>480</v>
      </c>
      <c r="F5931" t="s">
        <v>410</v>
      </c>
      <c r="G5931">
        <v>39</v>
      </c>
      <c r="I5931">
        <v>39</v>
      </c>
    </row>
    <row r="5932" spans="1:17" x14ac:dyDescent="0.2">
      <c r="A5932" s="121">
        <v>41213</v>
      </c>
      <c r="B5932" t="s">
        <v>406</v>
      </c>
      <c r="C5932" t="s">
        <v>456</v>
      </c>
      <c r="D5932" t="s">
        <v>481</v>
      </c>
      <c r="E5932" t="s">
        <v>482</v>
      </c>
      <c r="F5932" t="s">
        <v>410</v>
      </c>
      <c r="G5932">
        <v>45</v>
      </c>
      <c r="I5932">
        <v>45</v>
      </c>
    </row>
    <row r="5933" spans="1:17" x14ac:dyDescent="0.2">
      <c r="A5933" s="121">
        <v>41213</v>
      </c>
      <c r="B5933" t="s">
        <v>406</v>
      </c>
      <c r="C5933" t="s">
        <v>456</v>
      </c>
      <c r="D5933" t="s">
        <v>483</v>
      </c>
      <c r="E5933" t="s">
        <v>484</v>
      </c>
      <c r="F5933" t="s">
        <v>410</v>
      </c>
      <c r="G5933">
        <v>100</v>
      </c>
      <c r="I5933">
        <v>100</v>
      </c>
    </row>
    <row r="5934" spans="1:17" x14ac:dyDescent="0.2">
      <c r="A5934" s="121">
        <v>41213</v>
      </c>
      <c r="B5934" t="s">
        <v>406</v>
      </c>
      <c r="C5934" t="s">
        <v>456</v>
      </c>
      <c r="D5934" t="s">
        <v>485</v>
      </c>
      <c r="E5934" t="s">
        <v>486</v>
      </c>
      <c r="F5934" t="s">
        <v>410</v>
      </c>
      <c r="G5934">
        <v>33</v>
      </c>
      <c r="I5934">
        <v>33</v>
      </c>
    </row>
    <row r="5935" spans="1:17" x14ac:dyDescent="0.2">
      <c r="A5935" s="121">
        <v>41213</v>
      </c>
      <c r="B5935" t="s">
        <v>406</v>
      </c>
      <c r="C5935" t="s">
        <v>456</v>
      </c>
      <c r="D5935" t="s">
        <v>487</v>
      </c>
      <c r="E5935" t="s">
        <v>488</v>
      </c>
      <c r="F5935" t="s">
        <v>410</v>
      </c>
      <c r="G5935">
        <v>21</v>
      </c>
      <c r="I5935">
        <v>21</v>
      </c>
    </row>
    <row r="5936" spans="1:17" x14ac:dyDescent="0.2">
      <c r="A5936" s="121">
        <v>41213</v>
      </c>
      <c r="B5936" t="s">
        <v>406</v>
      </c>
      <c r="C5936" t="s">
        <v>456</v>
      </c>
      <c r="D5936" t="s">
        <v>489</v>
      </c>
      <c r="E5936" t="s">
        <v>490</v>
      </c>
      <c r="F5936" t="s">
        <v>410</v>
      </c>
      <c r="G5936">
        <v>54</v>
      </c>
      <c r="H5936">
        <v>54</v>
      </c>
      <c r="I5936">
        <v>54</v>
      </c>
      <c r="J5936">
        <v>54</v>
      </c>
      <c r="K5936">
        <v>0</v>
      </c>
      <c r="L5936">
        <v>2</v>
      </c>
      <c r="M5936">
        <v>47</v>
      </c>
      <c r="N5936">
        <v>4</v>
      </c>
      <c r="O5936">
        <v>1</v>
      </c>
      <c r="P5936">
        <v>0</v>
      </c>
      <c r="Q5936">
        <v>0</v>
      </c>
    </row>
    <row r="5937" spans="1:17" x14ac:dyDescent="0.2">
      <c r="A5937" s="121">
        <v>41213</v>
      </c>
      <c r="B5937" t="s">
        <v>406</v>
      </c>
      <c r="C5937" t="s">
        <v>491</v>
      </c>
      <c r="D5937" t="s">
        <v>492</v>
      </c>
      <c r="E5937" t="s">
        <v>493</v>
      </c>
      <c r="F5937" t="s">
        <v>410</v>
      </c>
      <c r="G5937">
        <v>1198</v>
      </c>
      <c r="H5937">
        <v>1198</v>
      </c>
      <c r="I5937">
        <v>1188</v>
      </c>
      <c r="J5937">
        <v>1188</v>
      </c>
      <c r="K5937">
        <v>229</v>
      </c>
      <c r="L5937">
        <v>3</v>
      </c>
      <c r="M5937">
        <v>906</v>
      </c>
      <c r="N5937">
        <v>58</v>
      </c>
      <c r="O5937">
        <v>2</v>
      </c>
      <c r="P5937">
        <v>0</v>
      </c>
      <c r="Q5937">
        <v>0</v>
      </c>
    </row>
    <row r="5938" spans="1:17" x14ac:dyDescent="0.2">
      <c r="A5938" s="121">
        <v>41213</v>
      </c>
      <c r="B5938" t="s">
        <v>406</v>
      </c>
      <c r="C5938" t="s">
        <v>491</v>
      </c>
      <c r="D5938" t="s">
        <v>494</v>
      </c>
      <c r="E5938" t="s">
        <v>495</v>
      </c>
      <c r="F5938" t="s">
        <v>413</v>
      </c>
      <c r="G5938">
        <v>2672</v>
      </c>
      <c r="H5938">
        <v>2672</v>
      </c>
      <c r="I5938">
        <v>2564</v>
      </c>
      <c r="J5938">
        <v>2564</v>
      </c>
      <c r="K5938">
        <v>757</v>
      </c>
      <c r="L5938">
        <v>3</v>
      </c>
      <c r="M5938">
        <v>1765</v>
      </c>
      <c r="N5938">
        <v>22</v>
      </c>
      <c r="O5938">
        <v>125</v>
      </c>
      <c r="P5938">
        <v>2</v>
      </c>
      <c r="Q5938">
        <v>0</v>
      </c>
    </row>
    <row r="5939" spans="1:17" x14ac:dyDescent="0.2">
      <c r="A5939" s="121">
        <v>41213</v>
      </c>
      <c r="B5939" t="s">
        <v>406</v>
      </c>
      <c r="C5939" t="s">
        <v>491</v>
      </c>
      <c r="D5939" t="s">
        <v>496</v>
      </c>
      <c r="E5939" t="s">
        <v>497</v>
      </c>
      <c r="F5939" t="s">
        <v>413</v>
      </c>
      <c r="G5939">
        <v>5807</v>
      </c>
      <c r="H5939">
        <v>5807</v>
      </c>
      <c r="I5939">
        <v>5394</v>
      </c>
      <c r="J5939">
        <v>5394</v>
      </c>
      <c r="K5939">
        <v>2129</v>
      </c>
      <c r="L5939">
        <v>21</v>
      </c>
      <c r="M5939">
        <v>3413</v>
      </c>
      <c r="N5939">
        <v>100</v>
      </c>
      <c r="O5939">
        <v>144</v>
      </c>
      <c r="P5939">
        <v>17</v>
      </c>
      <c r="Q5939">
        <v>0</v>
      </c>
    </row>
    <row r="5940" spans="1:17" x14ac:dyDescent="0.2">
      <c r="A5940" s="121">
        <v>41213</v>
      </c>
      <c r="B5940" t="s">
        <v>406</v>
      </c>
      <c r="C5940" t="s">
        <v>491</v>
      </c>
      <c r="D5940" t="s">
        <v>498</v>
      </c>
      <c r="E5940" t="s">
        <v>499</v>
      </c>
      <c r="F5940" t="s">
        <v>413</v>
      </c>
      <c r="G5940">
        <v>7228</v>
      </c>
      <c r="H5940">
        <v>7228</v>
      </c>
      <c r="I5940">
        <v>6960</v>
      </c>
      <c r="J5940">
        <v>6960</v>
      </c>
      <c r="K5940">
        <v>1871</v>
      </c>
      <c r="L5940">
        <v>15</v>
      </c>
      <c r="M5940">
        <v>4804</v>
      </c>
      <c r="N5940">
        <v>143</v>
      </c>
      <c r="O5940">
        <v>395</v>
      </c>
      <c r="P5940">
        <v>6</v>
      </c>
      <c r="Q5940">
        <v>0</v>
      </c>
    </row>
    <row r="5941" spans="1:17" x14ac:dyDescent="0.2">
      <c r="A5941" s="121">
        <v>41213</v>
      </c>
      <c r="B5941" t="s">
        <v>406</v>
      </c>
      <c r="C5941" t="s">
        <v>491</v>
      </c>
      <c r="D5941" t="s">
        <v>500</v>
      </c>
      <c r="E5941" t="s">
        <v>620</v>
      </c>
      <c r="F5941" t="s">
        <v>410</v>
      </c>
      <c r="G5941">
        <v>1301</v>
      </c>
      <c r="H5941">
        <v>1301</v>
      </c>
      <c r="I5941">
        <v>1300</v>
      </c>
      <c r="J5941">
        <v>1300</v>
      </c>
      <c r="K5941">
        <v>16</v>
      </c>
      <c r="L5941">
        <v>0</v>
      </c>
      <c r="M5941">
        <v>1183</v>
      </c>
      <c r="N5941">
        <v>1</v>
      </c>
      <c r="O5941">
        <v>101</v>
      </c>
      <c r="P5941">
        <v>0</v>
      </c>
      <c r="Q5941">
        <v>0</v>
      </c>
    </row>
    <row r="5942" spans="1:17" x14ac:dyDescent="0.2">
      <c r="A5942" s="121">
        <v>41213</v>
      </c>
      <c r="B5942" t="s">
        <v>406</v>
      </c>
      <c r="C5942" t="s">
        <v>491</v>
      </c>
      <c r="D5942" t="s">
        <v>502</v>
      </c>
      <c r="E5942" t="s">
        <v>615</v>
      </c>
      <c r="F5942" t="s">
        <v>410</v>
      </c>
      <c r="G5942">
        <v>1623</v>
      </c>
      <c r="H5942">
        <v>1623</v>
      </c>
      <c r="I5942">
        <v>1623</v>
      </c>
      <c r="J5942">
        <v>1623</v>
      </c>
      <c r="K5942">
        <v>1</v>
      </c>
      <c r="L5942">
        <v>0</v>
      </c>
      <c r="M5942">
        <v>1615</v>
      </c>
      <c r="N5942">
        <v>1</v>
      </c>
      <c r="O5942">
        <v>6</v>
      </c>
      <c r="P5942">
        <v>0</v>
      </c>
      <c r="Q5942">
        <v>0</v>
      </c>
    </row>
    <row r="5943" spans="1:17" x14ac:dyDescent="0.2">
      <c r="A5943" s="121">
        <v>41213</v>
      </c>
      <c r="B5943" t="s">
        <v>406</v>
      </c>
      <c r="C5943" t="s">
        <v>491</v>
      </c>
      <c r="D5943" t="s">
        <v>502</v>
      </c>
      <c r="E5943" t="s">
        <v>503</v>
      </c>
      <c r="F5943" t="s">
        <v>413</v>
      </c>
      <c r="G5943">
        <v>5214</v>
      </c>
      <c r="H5943">
        <v>5214</v>
      </c>
      <c r="I5943">
        <v>4864</v>
      </c>
      <c r="J5943">
        <v>4864</v>
      </c>
      <c r="K5943">
        <v>1585</v>
      </c>
      <c r="L5943">
        <v>7</v>
      </c>
      <c r="M5943">
        <v>3370</v>
      </c>
      <c r="N5943">
        <v>163</v>
      </c>
      <c r="O5943">
        <v>89</v>
      </c>
      <c r="P5943">
        <v>25</v>
      </c>
      <c r="Q5943">
        <v>0</v>
      </c>
    </row>
    <row r="5944" spans="1:17" x14ac:dyDescent="0.2">
      <c r="A5944" s="121">
        <v>41213</v>
      </c>
      <c r="B5944" t="s">
        <v>406</v>
      </c>
      <c r="C5944" t="s">
        <v>491</v>
      </c>
      <c r="D5944" t="s">
        <v>504</v>
      </c>
      <c r="E5944" t="s">
        <v>505</v>
      </c>
      <c r="F5944" t="s">
        <v>413</v>
      </c>
      <c r="G5944">
        <v>4008</v>
      </c>
      <c r="H5944">
        <v>4008</v>
      </c>
      <c r="I5944">
        <v>3795</v>
      </c>
      <c r="J5944">
        <v>3795</v>
      </c>
      <c r="K5944">
        <v>1190</v>
      </c>
      <c r="L5944">
        <v>4</v>
      </c>
      <c r="M5944">
        <v>2712</v>
      </c>
      <c r="N5944">
        <v>81</v>
      </c>
      <c r="O5944">
        <v>21</v>
      </c>
      <c r="P5944">
        <v>1</v>
      </c>
      <c r="Q5944">
        <v>0</v>
      </c>
    </row>
    <row r="5945" spans="1:17" x14ac:dyDescent="0.2">
      <c r="A5945" s="121">
        <v>41213</v>
      </c>
      <c r="B5945" t="s">
        <v>406</v>
      </c>
      <c r="C5945" t="s">
        <v>491</v>
      </c>
      <c r="D5945" t="s">
        <v>506</v>
      </c>
      <c r="E5945" t="s">
        <v>507</v>
      </c>
      <c r="F5945" t="s">
        <v>413</v>
      </c>
      <c r="G5945">
        <v>3604</v>
      </c>
      <c r="H5945">
        <v>3604</v>
      </c>
      <c r="I5945">
        <v>3455</v>
      </c>
      <c r="J5945">
        <v>3455</v>
      </c>
      <c r="K5945">
        <v>541</v>
      </c>
      <c r="L5945">
        <v>1</v>
      </c>
      <c r="M5945">
        <v>3054</v>
      </c>
      <c r="N5945">
        <v>1</v>
      </c>
      <c r="O5945">
        <v>7</v>
      </c>
      <c r="P5945">
        <v>2</v>
      </c>
      <c r="Q5945">
        <v>0</v>
      </c>
    </row>
    <row r="5946" spans="1:17" x14ac:dyDescent="0.2">
      <c r="A5946" s="121">
        <v>41213</v>
      </c>
      <c r="B5946" t="s">
        <v>406</v>
      </c>
      <c r="C5946" t="s">
        <v>491</v>
      </c>
      <c r="D5946" t="s">
        <v>508</v>
      </c>
      <c r="E5946" t="s">
        <v>509</v>
      </c>
      <c r="F5946" t="s">
        <v>413</v>
      </c>
      <c r="G5946">
        <v>5269</v>
      </c>
      <c r="H5946">
        <v>5269</v>
      </c>
      <c r="I5946">
        <v>4853</v>
      </c>
      <c r="J5946">
        <v>4853</v>
      </c>
      <c r="K5946">
        <v>1566</v>
      </c>
      <c r="L5946">
        <v>10</v>
      </c>
      <c r="M5946">
        <v>3313</v>
      </c>
      <c r="N5946">
        <v>86</v>
      </c>
      <c r="O5946">
        <v>294</v>
      </c>
      <c r="P5946">
        <v>26</v>
      </c>
      <c r="Q5946">
        <v>0</v>
      </c>
    </row>
    <row r="5947" spans="1:17" x14ac:dyDescent="0.2">
      <c r="A5947" s="121">
        <v>41213</v>
      </c>
      <c r="B5947" t="s">
        <v>406</v>
      </c>
      <c r="C5947" t="s">
        <v>510</v>
      </c>
      <c r="D5947" t="s">
        <v>513</v>
      </c>
      <c r="E5947" t="s">
        <v>514</v>
      </c>
      <c r="F5947" t="s">
        <v>410</v>
      </c>
      <c r="G5947">
        <v>558</v>
      </c>
      <c r="I5947">
        <v>554</v>
      </c>
    </row>
    <row r="5948" spans="1:17" x14ac:dyDescent="0.2">
      <c r="A5948" s="121">
        <v>41213</v>
      </c>
      <c r="B5948" t="s">
        <v>406</v>
      </c>
      <c r="C5948" t="s">
        <v>510</v>
      </c>
      <c r="D5948" t="s">
        <v>515</v>
      </c>
      <c r="E5948" t="s">
        <v>516</v>
      </c>
      <c r="F5948" t="s">
        <v>410</v>
      </c>
      <c r="G5948">
        <v>68</v>
      </c>
      <c r="I5948">
        <v>66</v>
      </c>
    </row>
    <row r="5949" spans="1:17" x14ac:dyDescent="0.2">
      <c r="A5949" s="121">
        <v>41213</v>
      </c>
      <c r="B5949" t="s">
        <v>406</v>
      </c>
      <c r="C5949" t="s">
        <v>510</v>
      </c>
      <c r="D5949" t="s">
        <v>519</v>
      </c>
      <c r="E5949" t="s">
        <v>520</v>
      </c>
      <c r="F5949" t="s">
        <v>410</v>
      </c>
      <c r="G5949">
        <v>344</v>
      </c>
      <c r="I5949">
        <v>338</v>
      </c>
    </row>
    <row r="5950" spans="1:17" x14ac:dyDescent="0.2">
      <c r="A5950" s="121">
        <v>41213</v>
      </c>
      <c r="B5950" t="s">
        <v>406</v>
      </c>
      <c r="C5950" t="s">
        <v>510</v>
      </c>
      <c r="D5950" t="s">
        <v>521</v>
      </c>
      <c r="E5950" t="s">
        <v>522</v>
      </c>
      <c r="F5950" t="s">
        <v>410</v>
      </c>
      <c r="G5950">
        <v>45</v>
      </c>
      <c r="I5950">
        <v>45</v>
      </c>
    </row>
    <row r="5951" spans="1:17" x14ac:dyDescent="0.2">
      <c r="A5951" s="121">
        <v>41213</v>
      </c>
      <c r="B5951" t="s">
        <v>406</v>
      </c>
      <c r="C5951" t="s">
        <v>510</v>
      </c>
      <c r="D5951" t="s">
        <v>523</v>
      </c>
      <c r="E5951" t="s">
        <v>524</v>
      </c>
      <c r="F5951" t="s">
        <v>413</v>
      </c>
      <c r="G5951">
        <v>536</v>
      </c>
      <c r="H5951">
        <v>536</v>
      </c>
      <c r="I5951">
        <v>511</v>
      </c>
      <c r="J5951">
        <v>511</v>
      </c>
      <c r="K5951">
        <v>113</v>
      </c>
      <c r="L5951">
        <v>0</v>
      </c>
      <c r="M5951">
        <v>415</v>
      </c>
      <c r="N5951">
        <v>8</v>
      </c>
      <c r="O5951">
        <v>0</v>
      </c>
      <c r="P5951">
        <v>0</v>
      </c>
      <c r="Q5951">
        <v>0</v>
      </c>
    </row>
    <row r="5952" spans="1:17" x14ac:dyDescent="0.2">
      <c r="A5952" s="121">
        <v>41213</v>
      </c>
      <c r="B5952" t="s">
        <v>406</v>
      </c>
      <c r="C5952" t="s">
        <v>510</v>
      </c>
      <c r="D5952" t="s">
        <v>525</v>
      </c>
      <c r="E5952" t="s">
        <v>526</v>
      </c>
      <c r="F5952" t="s">
        <v>410</v>
      </c>
      <c r="G5952">
        <v>397</v>
      </c>
      <c r="I5952">
        <v>391</v>
      </c>
    </row>
    <row r="5953" spans="1:17" x14ac:dyDescent="0.2">
      <c r="A5953" s="121">
        <v>41213</v>
      </c>
      <c r="B5953" t="s">
        <v>406</v>
      </c>
      <c r="C5953" t="s">
        <v>510</v>
      </c>
      <c r="D5953" t="s">
        <v>527</v>
      </c>
      <c r="E5953" t="s">
        <v>528</v>
      </c>
      <c r="F5953" t="s">
        <v>410</v>
      </c>
      <c r="G5953">
        <v>180</v>
      </c>
      <c r="I5953">
        <v>180</v>
      </c>
    </row>
    <row r="5954" spans="1:17" x14ac:dyDescent="0.2">
      <c r="A5954" s="121">
        <v>41213</v>
      </c>
      <c r="B5954" t="s">
        <v>406</v>
      </c>
      <c r="C5954" t="s">
        <v>510</v>
      </c>
      <c r="D5954" t="s">
        <v>529</v>
      </c>
      <c r="E5954" t="s">
        <v>530</v>
      </c>
      <c r="F5954" t="s">
        <v>413</v>
      </c>
      <c r="G5954">
        <v>524</v>
      </c>
      <c r="H5954">
        <v>524</v>
      </c>
      <c r="I5954">
        <v>511</v>
      </c>
      <c r="J5954">
        <v>511</v>
      </c>
      <c r="K5954">
        <v>151</v>
      </c>
      <c r="L5954">
        <v>2</v>
      </c>
      <c r="M5954">
        <v>369</v>
      </c>
      <c r="N5954">
        <v>2</v>
      </c>
      <c r="O5954">
        <v>0</v>
      </c>
      <c r="P5954">
        <v>1</v>
      </c>
      <c r="Q5954">
        <v>0</v>
      </c>
    </row>
    <row r="5955" spans="1:17" x14ac:dyDescent="0.2">
      <c r="A5955" s="121">
        <v>41213</v>
      </c>
      <c r="B5955" t="s">
        <v>406</v>
      </c>
      <c r="C5955" t="s">
        <v>510</v>
      </c>
      <c r="D5955" t="s">
        <v>531</v>
      </c>
      <c r="E5955" t="s">
        <v>532</v>
      </c>
      <c r="F5955" t="s">
        <v>410</v>
      </c>
      <c r="G5955">
        <v>28</v>
      </c>
      <c r="I5955">
        <v>28</v>
      </c>
    </row>
    <row r="5956" spans="1:17" x14ac:dyDescent="0.2">
      <c r="A5956" s="121">
        <v>41213</v>
      </c>
      <c r="B5956" t="s">
        <v>406</v>
      </c>
      <c r="C5956" t="s">
        <v>510</v>
      </c>
      <c r="D5956" t="s">
        <v>533</v>
      </c>
      <c r="E5956" t="s">
        <v>534</v>
      </c>
      <c r="F5956" t="s">
        <v>413</v>
      </c>
      <c r="G5956">
        <v>2496</v>
      </c>
      <c r="H5956">
        <v>2496</v>
      </c>
      <c r="I5956">
        <v>2379</v>
      </c>
      <c r="J5956">
        <v>2379</v>
      </c>
      <c r="K5956">
        <v>605</v>
      </c>
      <c r="L5956">
        <v>0</v>
      </c>
      <c r="M5956">
        <v>1889</v>
      </c>
      <c r="N5956">
        <v>2</v>
      </c>
      <c r="O5956">
        <v>0</v>
      </c>
      <c r="P5956">
        <v>6</v>
      </c>
      <c r="Q5956">
        <v>0</v>
      </c>
    </row>
    <row r="5957" spans="1:17" x14ac:dyDescent="0.2">
      <c r="A5957" s="121">
        <v>41213</v>
      </c>
      <c r="B5957" t="s">
        <v>406</v>
      </c>
      <c r="C5957" t="s">
        <v>510</v>
      </c>
      <c r="D5957" t="s">
        <v>535</v>
      </c>
      <c r="E5957" t="s">
        <v>536</v>
      </c>
      <c r="F5957" t="s">
        <v>410</v>
      </c>
      <c r="G5957">
        <v>324</v>
      </c>
      <c r="I5957">
        <v>324</v>
      </c>
    </row>
    <row r="5958" spans="1:17" x14ac:dyDescent="0.2">
      <c r="A5958" s="121">
        <v>41213</v>
      </c>
      <c r="B5958" t="s">
        <v>406</v>
      </c>
      <c r="C5958" t="s">
        <v>510</v>
      </c>
      <c r="D5958" t="s">
        <v>537</v>
      </c>
      <c r="E5958" t="s">
        <v>538</v>
      </c>
      <c r="F5958" t="s">
        <v>410</v>
      </c>
      <c r="G5958">
        <v>88</v>
      </c>
      <c r="I5958">
        <v>88</v>
      </c>
    </row>
    <row r="5959" spans="1:17" x14ac:dyDescent="0.2">
      <c r="A5959" s="121">
        <v>41213</v>
      </c>
      <c r="B5959" t="s">
        <v>406</v>
      </c>
      <c r="C5959" t="s">
        <v>510</v>
      </c>
      <c r="D5959" t="s">
        <v>539</v>
      </c>
      <c r="E5959" t="s">
        <v>540</v>
      </c>
      <c r="F5959" t="s">
        <v>413</v>
      </c>
      <c r="G5959">
        <v>625</v>
      </c>
      <c r="H5959">
        <v>625</v>
      </c>
      <c r="I5959">
        <v>603</v>
      </c>
      <c r="J5959">
        <v>603</v>
      </c>
      <c r="K5959">
        <v>116</v>
      </c>
      <c r="L5959">
        <v>0</v>
      </c>
      <c r="M5959">
        <v>508</v>
      </c>
      <c r="N5959">
        <v>1</v>
      </c>
      <c r="O5959">
        <v>0</v>
      </c>
      <c r="P5959">
        <v>2</v>
      </c>
      <c r="Q5959">
        <v>0</v>
      </c>
    </row>
    <row r="5960" spans="1:17" x14ac:dyDescent="0.2">
      <c r="A5960" s="121">
        <v>41213</v>
      </c>
      <c r="B5960" t="s">
        <v>406</v>
      </c>
      <c r="C5960" t="s">
        <v>510</v>
      </c>
      <c r="D5960" t="s">
        <v>541</v>
      </c>
      <c r="E5960" t="s">
        <v>542</v>
      </c>
      <c r="F5960" t="s">
        <v>410</v>
      </c>
      <c r="G5960">
        <v>268</v>
      </c>
      <c r="I5960">
        <v>268</v>
      </c>
    </row>
    <row r="5961" spans="1:17" x14ac:dyDescent="0.2">
      <c r="A5961" s="121">
        <v>41213</v>
      </c>
      <c r="B5961" t="s">
        <v>406</v>
      </c>
      <c r="C5961" t="s">
        <v>510</v>
      </c>
      <c r="D5961" t="s">
        <v>543</v>
      </c>
      <c r="E5961" t="s">
        <v>544</v>
      </c>
      <c r="F5961" t="s">
        <v>410</v>
      </c>
      <c r="G5961">
        <v>215</v>
      </c>
      <c r="I5961">
        <v>215</v>
      </c>
    </row>
    <row r="5962" spans="1:17" x14ac:dyDescent="0.2">
      <c r="A5962" s="121">
        <v>41213</v>
      </c>
      <c r="B5962" t="s">
        <v>406</v>
      </c>
      <c r="C5962" t="s">
        <v>510</v>
      </c>
      <c r="D5962" t="s">
        <v>545</v>
      </c>
      <c r="E5962" t="s">
        <v>546</v>
      </c>
      <c r="F5962" t="s">
        <v>410</v>
      </c>
      <c r="G5962">
        <v>153</v>
      </c>
      <c r="I5962">
        <v>153</v>
      </c>
    </row>
    <row r="5963" spans="1:17" x14ac:dyDescent="0.2">
      <c r="A5963" s="121">
        <v>41213</v>
      </c>
      <c r="B5963" t="s">
        <v>406</v>
      </c>
      <c r="C5963" t="s">
        <v>510</v>
      </c>
      <c r="D5963" t="s">
        <v>547</v>
      </c>
      <c r="E5963" t="s">
        <v>548</v>
      </c>
      <c r="F5963" t="s">
        <v>410</v>
      </c>
      <c r="G5963">
        <v>134</v>
      </c>
      <c r="I5963">
        <v>134</v>
      </c>
    </row>
    <row r="5964" spans="1:17" x14ac:dyDescent="0.2">
      <c r="A5964" s="121">
        <v>41213</v>
      </c>
      <c r="B5964" t="s">
        <v>406</v>
      </c>
      <c r="C5964" t="s">
        <v>510</v>
      </c>
      <c r="D5964" t="s">
        <v>616</v>
      </c>
      <c r="E5964" t="s">
        <v>617</v>
      </c>
      <c r="F5964" t="s">
        <v>410</v>
      </c>
      <c r="G5964">
        <v>292</v>
      </c>
      <c r="I5964">
        <v>289</v>
      </c>
    </row>
    <row r="5965" spans="1:17" x14ac:dyDescent="0.2">
      <c r="A5965" s="121">
        <v>41213</v>
      </c>
      <c r="B5965" t="s">
        <v>406</v>
      </c>
      <c r="C5965" t="s">
        <v>510</v>
      </c>
      <c r="D5965" t="s">
        <v>549</v>
      </c>
      <c r="E5965" t="s">
        <v>550</v>
      </c>
      <c r="F5965" t="s">
        <v>410</v>
      </c>
      <c r="G5965">
        <v>169</v>
      </c>
      <c r="I5965">
        <v>169</v>
      </c>
    </row>
    <row r="5966" spans="1:17" x14ac:dyDescent="0.2">
      <c r="A5966" s="121">
        <v>41213</v>
      </c>
      <c r="B5966" t="s">
        <v>406</v>
      </c>
      <c r="C5966" t="s">
        <v>551</v>
      </c>
      <c r="D5966" t="s">
        <v>552</v>
      </c>
      <c r="E5966" t="s">
        <v>553</v>
      </c>
      <c r="F5966" t="s">
        <v>413</v>
      </c>
      <c r="G5966">
        <v>5596</v>
      </c>
      <c r="H5966">
        <v>5596</v>
      </c>
      <c r="I5966">
        <v>5238</v>
      </c>
      <c r="J5966">
        <v>5238</v>
      </c>
      <c r="K5966">
        <v>1579</v>
      </c>
      <c r="L5966">
        <v>9</v>
      </c>
      <c r="M5966">
        <v>3709</v>
      </c>
      <c r="N5966">
        <v>195</v>
      </c>
      <c r="O5966">
        <v>104</v>
      </c>
      <c r="P5966">
        <v>24</v>
      </c>
      <c r="Q5966">
        <v>7</v>
      </c>
    </row>
    <row r="5967" spans="1:17" x14ac:dyDescent="0.2">
      <c r="A5967" s="121">
        <v>41213</v>
      </c>
      <c r="B5967" t="s">
        <v>406</v>
      </c>
      <c r="C5967" t="s">
        <v>551</v>
      </c>
      <c r="D5967" t="s">
        <v>554</v>
      </c>
      <c r="E5967" t="s">
        <v>555</v>
      </c>
      <c r="F5967" t="s">
        <v>410</v>
      </c>
      <c r="G5967">
        <v>49</v>
      </c>
      <c r="I5967">
        <v>49</v>
      </c>
    </row>
    <row r="5968" spans="1:17" x14ac:dyDescent="0.2">
      <c r="A5968" s="121">
        <v>41213</v>
      </c>
      <c r="B5968" t="s">
        <v>406</v>
      </c>
      <c r="C5968" t="s">
        <v>551</v>
      </c>
      <c r="D5968" t="s">
        <v>556</v>
      </c>
      <c r="E5968" t="s">
        <v>557</v>
      </c>
      <c r="F5968" t="s">
        <v>410</v>
      </c>
      <c r="G5968">
        <v>100</v>
      </c>
      <c r="I5968">
        <v>100</v>
      </c>
    </row>
    <row r="5969" spans="1:17" x14ac:dyDescent="0.2">
      <c r="A5969" s="121">
        <v>41213</v>
      </c>
      <c r="B5969" t="s">
        <v>406</v>
      </c>
      <c r="C5969" t="s">
        <v>551</v>
      </c>
      <c r="D5969" t="s">
        <v>558</v>
      </c>
      <c r="E5969" t="s">
        <v>559</v>
      </c>
      <c r="F5969" t="s">
        <v>413</v>
      </c>
      <c r="G5969">
        <v>4676</v>
      </c>
      <c r="H5969">
        <v>4676</v>
      </c>
      <c r="I5969">
        <v>4178</v>
      </c>
      <c r="J5969">
        <v>4178</v>
      </c>
      <c r="K5969">
        <v>1367</v>
      </c>
      <c r="L5969">
        <v>13</v>
      </c>
      <c r="M5969">
        <v>3149</v>
      </c>
      <c r="N5969">
        <v>131</v>
      </c>
      <c r="O5969">
        <v>16</v>
      </c>
      <c r="P5969">
        <v>51</v>
      </c>
      <c r="Q5969">
        <v>19</v>
      </c>
    </row>
    <row r="5970" spans="1:17" x14ac:dyDescent="0.2">
      <c r="A5970" s="121">
        <v>41213</v>
      </c>
      <c r="B5970" t="s">
        <v>406</v>
      </c>
      <c r="C5970" t="s">
        <v>551</v>
      </c>
      <c r="D5970" t="s">
        <v>560</v>
      </c>
      <c r="E5970" t="s">
        <v>561</v>
      </c>
      <c r="F5970" t="s">
        <v>413</v>
      </c>
      <c r="G5970">
        <v>5390</v>
      </c>
      <c r="H5970">
        <v>5390</v>
      </c>
      <c r="I5970">
        <v>4790</v>
      </c>
      <c r="J5970">
        <v>4790</v>
      </c>
      <c r="K5970">
        <v>1210</v>
      </c>
      <c r="L5970">
        <v>10</v>
      </c>
      <c r="M5970">
        <v>3730</v>
      </c>
      <c r="N5970">
        <v>274</v>
      </c>
      <c r="O5970">
        <v>166</v>
      </c>
      <c r="P5970">
        <v>90</v>
      </c>
      <c r="Q5970">
        <v>33</v>
      </c>
    </row>
    <row r="5971" spans="1:17" x14ac:dyDescent="0.2">
      <c r="A5971" s="121">
        <v>41213</v>
      </c>
      <c r="B5971" t="s">
        <v>406</v>
      </c>
      <c r="C5971" t="s">
        <v>562</v>
      </c>
      <c r="D5971" t="s">
        <v>605</v>
      </c>
      <c r="E5971" t="s">
        <v>606</v>
      </c>
      <c r="F5971" t="s">
        <v>410</v>
      </c>
      <c r="G5971">
        <v>127</v>
      </c>
      <c r="I5971">
        <v>127</v>
      </c>
    </row>
    <row r="5972" spans="1:17" x14ac:dyDescent="0.2">
      <c r="A5972" s="121">
        <v>41213</v>
      </c>
      <c r="B5972" t="s">
        <v>406</v>
      </c>
      <c r="C5972" t="s">
        <v>562</v>
      </c>
      <c r="D5972" t="s">
        <v>563</v>
      </c>
      <c r="E5972" t="s">
        <v>564</v>
      </c>
      <c r="F5972" t="s">
        <v>410</v>
      </c>
      <c r="G5972">
        <v>3403</v>
      </c>
      <c r="H5972">
        <v>3403</v>
      </c>
      <c r="I5972">
        <v>3204</v>
      </c>
      <c r="J5972">
        <v>3204</v>
      </c>
      <c r="K5972">
        <v>1069</v>
      </c>
      <c r="L5972">
        <v>2</v>
      </c>
      <c r="M5972">
        <v>2283</v>
      </c>
      <c r="N5972">
        <v>49</v>
      </c>
      <c r="O5972">
        <v>0</v>
      </c>
      <c r="P5972">
        <v>8</v>
      </c>
      <c r="Q5972">
        <v>1</v>
      </c>
    </row>
    <row r="5973" spans="1:17" x14ac:dyDescent="0.2">
      <c r="A5973" s="121">
        <v>41213</v>
      </c>
      <c r="B5973" t="s">
        <v>406</v>
      </c>
      <c r="C5973" t="s">
        <v>562</v>
      </c>
      <c r="D5973" t="s">
        <v>565</v>
      </c>
      <c r="E5973" t="s">
        <v>566</v>
      </c>
      <c r="F5973" t="s">
        <v>413</v>
      </c>
      <c r="G5973">
        <v>4423</v>
      </c>
      <c r="H5973">
        <v>4423</v>
      </c>
      <c r="I5973">
        <v>4184</v>
      </c>
      <c r="J5973">
        <v>4184</v>
      </c>
      <c r="K5973">
        <v>1098</v>
      </c>
      <c r="L5973">
        <v>6</v>
      </c>
      <c r="M5973">
        <v>3194</v>
      </c>
      <c r="N5973">
        <v>125</v>
      </c>
      <c r="O5973">
        <v>0</v>
      </c>
      <c r="P5973">
        <v>24</v>
      </c>
      <c r="Q5973">
        <v>2</v>
      </c>
    </row>
    <row r="5974" spans="1:17" x14ac:dyDescent="0.2">
      <c r="A5974" s="121">
        <v>41213</v>
      </c>
      <c r="B5974" t="s">
        <v>406</v>
      </c>
      <c r="C5974" t="s">
        <v>562</v>
      </c>
      <c r="D5974" t="s">
        <v>567</v>
      </c>
      <c r="E5974" t="s">
        <v>568</v>
      </c>
      <c r="F5974" t="s">
        <v>413</v>
      </c>
      <c r="G5974">
        <v>9421</v>
      </c>
      <c r="H5974">
        <v>9421</v>
      </c>
      <c r="I5974">
        <v>8350</v>
      </c>
      <c r="J5974">
        <v>8350</v>
      </c>
      <c r="K5974">
        <v>2877</v>
      </c>
      <c r="L5974">
        <v>24</v>
      </c>
      <c r="M5974">
        <v>6261</v>
      </c>
      <c r="N5974">
        <v>259</v>
      </c>
      <c r="O5974">
        <v>0</v>
      </c>
      <c r="P5974">
        <v>114</v>
      </c>
      <c r="Q5974">
        <v>6</v>
      </c>
    </row>
    <row r="5975" spans="1:17" x14ac:dyDescent="0.2">
      <c r="A5975" s="121">
        <v>41213</v>
      </c>
      <c r="B5975" t="s">
        <v>406</v>
      </c>
      <c r="C5975" t="s">
        <v>562</v>
      </c>
      <c r="D5975" t="s">
        <v>569</v>
      </c>
      <c r="E5975" t="s">
        <v>570</v>
      </c>
      <c r="F5975" t="s">
        <v>413</v>
      </c>
      <c r="G5975">
        <v>3491</v>
      </c>
      <c r="H5975">
        <v>3491</v>
      </c>
      <c r="I5975">
        <v>3438</v>
      </c>
      <c r="J5975">
        <v>3438</v>
      </c>
      <c r="K5975">
        <v>534</v>
      </c>
      <c r="L5975">
        <v>0</v>
      </c>
      <c r="M5975">
        <v>2956</v>
      </c>
      <c r="N5975">
        <v>1</v>
      </c>
      <c r="O5975">
        <v>0</v>
      </c>
      <c r="P5975">
        <v>1</v>
      </c>
      <c r="Q5975">
        <v>0</v>
      </c>
    </row>
    <row r="5976" spans="1:17" x14ac:dyDescent="0.2">
      <c r="A5976" s="121">
        <v>41213</v>
      </c>
      <c r="B5976" t="s">
        <v>406</v>
      </c>
      <c r="C5976" t="s">
        <v>571</v>
      </c>
      <c r="D5976" t="s">
        <v>572</v>
      </c>
      <c r="E5976" t="s">
        <v>573</v>
      </c>
      <c r="F5976" t="s">
        <v>410</v>
      </c>
      <c r="G5976">
        <v>298</v>
      </c>
      <c r="H5976">
        <v>298</v>
      </c>
      <c r="I5976">
        <v>294</v>
      </c>
      <c r="J5976">
        <v>294</v>
      </c>
      <c r="K5976">
        <v>0</v>
      </c>
      <c r="L5976">
        <v>0</v>
      </c>
      <c r="M5976">
        <v>297</v>
      </c>
      <c r="N5976">
        <v>0</v>
      </c>
      <c r="O5976">
        <v>1</v>
      </c>
      <c r="P5976">
        <v>1</v>
      </c>
      <c r="Q5976">
        <v>1</v>
      </c>
    </row>
    <row r="5977" spans="1:17" x14ac:dyDescent="0.2">
      <c r="A5977" s="121">
        <v>41213</v>
      </c>
      <c r="B5977" t="s">
        <v>406</v>
      </c>
      <c r="C5977" t="s">
        <v>574</v>
      </c>
      <c r="D5977" t="s">
        <v>575</v>
      </c>
      <c r="E5977" t="s">
        <v>576</v>
      </c>
      <c r="F5977" t="s">
        <v>413</v>
      </c>
      <c r="G5977">
        <v>610</v>
      </c>
      <c r="H5977">
        <v>610</v>
      </c>
      <c r="I5977">
        <v>605</v>
      </c>
      <c r="J5977">
        <v>605</v>
      </c>
      <c r="K5977">
        <v>183</v>
      </c>
      <c r="L5977">
        <v>0</v>
      </c>
      <c r="M5977">
        <v>405</v>
      </c>
      <c r="N5977">
        <v>7</v>
      </c>
      <c r="O5977">
        <v>15</v>
      </c>
      <c r="P5977">
        <v>0</v>
      </c>
      <c r="Q5977">
        <v>0</v>
      </c>
    </row>
    <row r="5978" spans="1:17" x14ac:dyDescent="0.2">
      <c r="A5978" s="121">
        <v>41213</v>
      </c>
      <c r="B5978" t="s">
        <v>406</v>
      </c>
      <c r="C5978" t="s">
        <v>577</v>
      </c>
      <c r="D5978" t="s">
        <v>578</v>
      </c>
      <c r="E5978" t="s">
        <v>579</v>
      </c>
      <c r="F5978" t="s">
        <v>413</v>
      </c>
      <c r="G5978">
        <v>3840</v>
      </c>
      <c r="H5978">
        <v>3840</v>
      </c>
      <c r="I5978">
        <v>3810</v>
      </c>
      <c r="J5978">
        <v>3810</v>
      </c>
      <c r="K5978">
        <v>855</v>
      </c>
      <c r="L5978">
        <v>11</v>
      </c>
      <c r="M5978">
        <v>2732</v>
      </c>
      <c r="N5978">
        <v>240</v>
      </c>
      <c r="O5978">
        <v>2</v>
      </c>
      <c r="P5978">
        <v>1</v>
      </c>
      <c r="Q5978">
        <v>0</v>
      </c>
    </row>
    <row r="5979" spans="1:17" x14ac:dyDescent="0.2">
      <c r="A5979" s="121">
        <v>41213</v>
      </c>
      <c r="B5979" t="s">
        <v>406</v>
      </c>
      <c r="C5979" t="s">
        <v>577</v>
      </c>
      <c r="D5979" t="s">
        <v>580</v>
      </c>
      <c r="E5979" t="s">
        <v>581</v>
      </c>
      <c r="F5979" t="s">
        <v>413</v>
      </c>
      <c r="G5979">
        <v>1989</v>
      </c>
      <c r="H5979">
        <v>1989</v>
      </c>
      <c r="I5979">
        <v>1957</v>
      </c>
      <c r="J5979">
        <v>1957</v>
      </c>
      <c r="K5979">
        <v>377</v>
      </c>
      <c r="L5979">
        <v>4</v>
      </c>
      <c r="M5979">
        <v>1276</v>
      </c>
      <c r="N5979">
        <v>301</v>
      </c>
      <c r="O5979">
        <v>31</v>
      </c>
      <c r="P5979">
        <v>1</v>
      </c>
      <c r="Q5979">
        <v>0</v>
      </c>
    </row>
    <row r="5980" spans="1:17" x14ac:dyDescent="0.2">
      <c r="A5980" s="121">
        <v>41213</v>
      </c>
      <c r="B5980" t="s">
        <v>406</v>
      </c>
      <c r="C5980" t="s">
        <v>577</v>
      </c>
      <c r="D5980" t="s">
        <v>609</v>
      </c>
      <c r="E5980" t="s">
        <v>610</v>
      </c>
      <c r="F5980" t="s">
        <v>410</v>
      </c>
      <c r="G5980">
        <v>22</v>
      </c>
      <c r="H5980">
        <v>22</v>
      </c>
      <c r="I5980">
        <v>22</v>
      </c>
      <c r="J5980">
        <v>22</v>
      </c>
      <c r="K5980">
        <v>0</v>
      </c>
      <c r="L5980">
        <v>0</v>
      </c>
      <c r="M5980">
        <v>16</v>
      </c>
      <c r="N5980">
        <v>4</v>
      </c>
      <c r="O5980">
        <v>2</v>
      </c>
      <c r="P5980">
        <v>0</v>
      </c>
      <c r="Q5980">
        <v>0</v>
      </c>
    </row>
    <row r="5981" spans="1:17" x14ac:dyDescent="0.2">
      <c r="A5981" s="121">
        <v>41213</v>
      </c>
      <c r="B5981" t="s">
        <v>406</v>
      </c>
      <c r="C5981" t="s">
        <v>577</v>
      </c>
      <c r="D5981" t="s">
        <v>611</v>
      </c>
      <c r="E5981" t="s">
        <v>612</v>
      </c>
      <c r="F5981" t="s">
        <v>410</v>
      </c>
      <c r="G5981">
        <v>11</v>
      </c>
      <c r="H5981">
        <v>11</v>
      </c>
      <c r="I5981">
        <v>11</v>
      </c>
      <c r="J5981">
        <v>11</v>
      </c>
      <c r="K5981">
        <v>0</v>
      </c>
      <c r="L5981">
        <v>0</v>
      </c>
      <c r="M5981">
        <v>6</v>
      </c>
      <c r="N5981">
        <v>2</v>
      </c>
      <c r="O5981">
        <v>3</v>
      </c>
      <c r="P5981">
        <v>0</v>
      </c>
      <c r="Q5981">
        <v>0</v>
      </c>
    </row>
    <row r="5982" spans="1:17" x14ac:dyDescent="0.2">
      <c r="A5982" s="121">
        <v>41213</v>
      </c>
      <c r="B5982" t="s">
        <v>406</v>
      </c>
      <c r="C5982" t="s">
        <v>577</v>
      </c>
      <c r="D5982" t="s">
        <v>584</v>
      </c>
      <c r="E5982" t="s">
        <v>585</v>
      </c>
      <c r="F5982" t="s">
        <v>410</v>
      </c>
      <c r="G5982">
        <v>264</v>
      </c>
      <c r="H5982">
        <v>264</v>
      </c>
      <c r="I5982">
        <v>264</v>
      </c>
      <c r="J5982">
        <v>264</v>
      </c>
      <c r="K5982">
        <v>0</v>
      </c>
      <c r="L5982">
        <v>0</v>
      </c>
      <c r="M5982">
        <v>247</v>
      </c>
      <c r="N5982">
        <v>15</v>
      </c>
      <c r="O5982">
        <v>2</v>
      </c>
      <c r="P5982">
        <v>0</v>
      </c>
      <c r="Q5982">
        <v>0</v>
      </c>
    </row>
    <row r="5983" spans="1:17" x14ac:dyDescent="0.2">
      <c r="A5983" s="121">
        <v>41213</v>
      </c>
      <c r="B5983" t="s">
        <v>406</v>
      </c>
      <c r="C5983" t="s">
        <v>577</v>
      </c>
      <c r="D5983" t="s">
        <v>586</v>
      </c>
      <c r="E5983" t="s">
        <v>587</v>
      </c>
      <c r="F5983" t="s">
        <v>410</v>
      </c>
      <c r="G5983">
        <v>1039</v>
      </c>
      <c r="H5983">
        <v>1039</v>
      </c>
      <c r="I5983">
        <v>1038</v>
      </c>
      <c r="J5983">
        <v>1038</v>
      </c>
      <c r="K5983">
        <v>0</v>
      </c>
      <c r="L5983">
        <v>0</v>
      </c>
      <c r="M5983">
        <v>953</v>
      </c>
      <c r="N5983">
        <v>84</v>
      </c>
      <c r="O5983">
        <v>2</v>
      </c>
      <c r="P5983">
        <v>0</v>
      </c>
      <c r="Q5983">
        <v>0</v>
      </c>
    </row>
    <row r="5984" spans="1:17" x14ac:dyDescent="0.2">
      <c r="A5984" s="121">
        <v>41213</v>
      </c>
      <c r="B5984" t="s">
        <v>406</v>
      </c>
      <c r="C5984" t="s">
        <v>577</v>
      </c>
      <c r="D5984" t="s">
        <v>588</v>
      </c>
      <c r="E5984" t="s">
        <v>589</v>
      </c>
      <c r="F5984" t="s">
        <v>410</v>
      </c>
      <c r="G5984">
        <v>232</v>
      </c>
      <c r="H5984">
        <v>232</v>
      </c>
      <c r="I5984">
        <v>231</v>
      </c>
      <c r="J5984">
        <v>231</v>
      </c>
      <c r="K5984">
        <v>0</v>
      </c>
      <c r="L5984">
        <v>0</v>
      </c>
      <c r="M5984">
        <v>213</v>
      </c>
      <c r="N5984">
        <v>18</v>
      </c>
      <c r="O5984">
        <v>1</v>
      </c>
      <c r="P5984">
        <v>0</v>
      </c>
      <c r="Q5984">
        <v>0</v>
      </c>
    </row>
    <row r="5985" spans="1:17" x14ac:dyDescent="0.2">
      <c r="A5985" s="121">
        <v>41213</v>
      </c>
      <c r="B5985" t="s">
        <v>406</v>
      </c>
      <c r="C5985" t="s">
        <v>577</v>
      </c>
      <c r="D5985" t="s">
        <v>613</v>
      </c>
      <c r="E5985" t="s">
        <v>614</v>
      </c>
      <c r="F5985" t="s">
        <v>410</v>
      </c>
      <c r="G5985">
        <v>174</v>
      </c>
      <c r="H5985">
        <v>174</v>
      </c>
      <c r="I5985">
        <v>174</v>
      </c>
      <c r="J5985">
        <v>174</v>
      </c>
      <c r="K5985">
        <v>0</v>
      </c>
      <c r="L5985">
        <v>0</v>
      </c>
      <c r="M5985">
        <v>154</v>
      </c>
      <c r="N5985">
        <v>14</v>
      </c>
      <c r="O5985">
        <v>6</v>
      </c>
      <c r="P5985">
        <v>0</v>
      </c>
      <c r="Q5985">
        <v>0</v>
      </c>
    </row>
    <row r="5986" spans="1:17" x14ac:dyDescent="0.2">
      <c r="A5986" s="121">
        <v>41213</v>
      </c>
      <c r="B5986" t="s">
        <v>406</v>
      </c>
      <c r="C5986" t="s">
        <v>577</v>
      </c>
      <c r="D5986" t="s">
        <v>590</v>
      </c>
      <c r="E5986" t="s">
        <v>591</v>
      </c>
      <c r="F5986" t="s">
        <v>410</v>
      </c>
      <c r="G5986">
        <v>596</v>
      </c>
      <c r="H5986">
        <v>596</v>
      </c>
      <c r="I5986">
        <v>596</v>
      </c>
      <c r="J5986">
        <v>596</v>
      </c>
      <c r="K5986">
        <v>0</v>
      </c>
      <c r="L5986">
        <v>0</v>
      </c>
      <c r="M5986">
        <v>565</v>
      </c>
      <c r="N5986">
        <v>31</v>
      </c>
      <c r="O5986">
        <v>0</v>
      </c>
      <c r="P5986">
        <v>0</v>
      </c>
      <c r="Q5986">
        <v>0</v>
      </c>
    </row>
    <row r="5987" spans="1:17" x14ac:dyDescent="0.2">
      <c r="A5987" s="121">
        <v>41213</v>
      </c>
      <c r="B5987" t="s">
        <v>406</v>
      </c>
      <c r="C5987" t="s">
        <v>577</v>
      </c>
      <c r="D5987" t="s">
        <v>607</v>
      </c>
      <c r="E5987" t="s">
        <v>608</v>
      </c>
      <c r="F5987" t="s">
        <v>410</v>
      </c>
      <c r="G5987">
        <v>185</v>
      </c>
      <c r="H5987">
        <v>185</v>
      </c>
      <c r="I5987">
        <v>185</v>
      </c>
      <c r="J5987">
        <v>185</v>
      </c>
      <c r="K5987">
        <v>0</v>
      </c>
      <c r="L5987">
        <v>0</v>
      </c>
      <c r="M5987">
        <v>169</v>
      </c>
      <c r="N5987">
        <v>12</v>
      </c>
      <c r="O5987">
        <v>4</v>
      </c>
      <c r="P5987">
        <v>0</v>
      </c>
      <c r="Q5987">
        <v>0</v>
      </c>
    </row>
    <row r="5988" spans="1:17" x14ac:dyDescent="0.2">
      <c r="A5988" s="121">
        <v>41213</v>
      </c>
      <c r="B5988" t="s">
        <v>406</v>
      </c>
      <c r="C5988" t="s">
        <v>577</v>
      </c>
      <c r="D5988" t="s">
        <v>592</v>
      </c>
      <c r="E5988" t="s">
        <v>593</v>
      </c>
      <c r="F5988" t="s">
        <v>410</v>
      </c>
      <c r="G5988">
        <v>559</v>
      </c>
      <c r="H5988">
        <v>559</v>
      </c>
      <c r="I5988">
        <v>558</v>
      </c>
      <c r="J5988">
        <v>558</v>
      </c>
      <c r="K5988">
        <v>0</v>
      </c>
      <c r="L5988">
        <v>1</v>
      </c>
      <c r="M5988">
        <v>520</v>
      </c>
      <c r="N5988">
        <v>36</v>
      </c>
      <c r="O5988">
        <v>2</v>
      </c>
      <c r="P5988">
        <v>0</v>
      </c>
      <c r="Q5988">
        <v>0</v>
      </c>
    </row>
    <row r="5989" spans="1:17" x14ac:dyDescent="0.2">
      <c r="A5989" s="121">
        <v>41213</v>
      </c>
      <c r="B5989" t="s">
        <v>406</v>
      </c>
      <c r="C5989" t="s">
        <v>594</v>
      </c>
      <c r="D5989" t="s">
        <v>595</v>
      </c>
      <c r="E5989" t="s">
        <v>596</v>
      </c>
      <c r="F5989" t="s">
        <v>410</v>
      </c>
      <c r="G5989">
        <v>28</v>
      </c>
      <c r="I5989">
        <v>28</v>
      </c>
    </row>
    <row r="5990" spans="1:17" x14ac:dyDescent="0.2">
      <c r="A5990" s="121">
        <v>41213</v>
      </c>
      <c r="B5990" t="s">
        <v>406</v>
      </c>
      <c r="C5990" t="s">
        <v>594</v>
      </c>
      <c r="D5990" t="s">
        <v>597</v>
      </c>
      <c r="E5990" t="s">
        <v>598</v>
      </c>
      <c r="F5990" t="s">
        <v>413</v>
      </c>
      <c r="G5990">
        <v>545</v>
      </c>
      <c r="H5990">
        <v>545</v>
      </c>
      <c r="I5990">
        <v>532</v>
      </c>
      <c r="J5990">
        <v>532</v>
      </c>
      <c r="K5990">
        <v>129</v>
      </c>
      <c r="L5990">
        <v>0</v>
      </c>
      <c r="M5990">
        <v>401</v>
      </c>
      <c r="N5990">
        <v>12</v>
      </c>
      <c r="O5990">
        <v>3</v>
      </c>
      <c r="P5990">
        <v>0</v>
      </c>
      <c r="Q5990">
        <v>0</v>
      </c>
    </row>
    <row r="5991" spans="1:17" x14ac:dyDescent="0.2">
      <c r="A5991" s="121">
        <v>41213</v>
      </c>
      <c r="B5991" t="s">
        <v>406</v>
      </c>
      <c r="C5991" t="s">
        <v>594</v>
      </c>
      <c r="D5991" t="s">
        <v>599</v>
      </c>
      <c r="E5991" t="s">
        <v>600</v>
      </c>
      <c r="F5991" t="s">
        <v>410</v>
      </c>
      <c r="G5991">
        <v>79</v>
      </c>
      <c r="I5991">
        <v>79</v>
      </c>
    </row>
    <row r="5992" spans="1:17" x14ac:dyDescent="0.2">
      <c r="A5992" s="121">
        <v>41243</v>
      </c>
      <c r="B5992" t="s">
        <v>406</v>
      </c>
      <c r="C5992" t="s">
        <v>407</v>
      </c>
      <c r="D5992" t="s">
        <v>408</v>
      </c>
      <c r="E5992" t="s">
        <v>409</v>
      </c>
      <c r="F5992" t="s">
        <v>410</v>
      </c>
      <c r="G5992">
        <v>182</v>
      </c>
      <c r="I5992">
        <v>182</v>
      </c>
    </row>
    <row r="5993" spans="1:17" x14ac:dyDescent="0.2">
      <c r="A5993" s="121">
        <v>41243</v>
      </c>
      <c r="B5993" t="s">
        <v>406</v>
      </c>
      <c r="C5993" t="s">
        <v>407</v>
      </c>
      <c r="D5993" t="s">
        <v>601</v>
      </c>
      <c r="E5993" t="s">
        <v>602</v>
      </c>
      <c r="F5993" t="s">
        <v>410</v>
      </c>
      <c r="G5993">
        <v>27</v>
      </c>
      <c r="I5993">
        <v>27</v>
      </c>
    </row>
    <row r="5994" spans="1:17" x14ac:dyDescent="0.2">
      <c r="A5994" s="121">
        <v>41243</v>
      </c>
      <c r="B5994" t="s">
        <v>406</v>
      </c>
      <c r="C5994" t="s">
        <v>407</v>
      </c>
      <c r="D5994" t="s">
        <v>411</v>
      </c>
      <c r="E5994" t="s">
        <v>412</v>
      </c>
      <c r="F5994" t="s">
        <v>413</v>
      </c>
      <c r="G5994">
        <v>5708</v>
      </c>
      <c r="H5994">
        <v>5708</v>
      </c>
      <c r="I5994">
        <v>5390</v>
      </c>
      <c r="J5994">
        <v>5390</v>
      </c>
      <c r="K5994">
        <v>2415</v>
      </c>
      <c r="L5994">
        <v>6</v>
      </c>
      <c r="M5994">
        <v>3005</v>
      </c>
      <c r="N5994">
        <v>89</v>
      </c>
      <c r="O5994">
        <v>193</v>
      </c>
      <c r="P5994">
        <v>3</v>
      </c>
      <c r="Q5994">
        <v>1</v>
      </c>
    </row>
    <row r="5995" spans="1:17" x14ac:dyDescent="0.2">
      <c r="A5995" s="121">
        <v>41243</v>
      </c>
      <c r="B5995" t="s">
        <v>406</v>
      </c>
      <c r="C5995" t="s">
        <v>407</v>
      </c>
      <c r="D5995" t="s">
        <v>416</v>
      </c>
      <c r="E5995" t="s">
        <v>417</v>
      </c>
      <c r="F5995" t="s">
        <v>413</v>
      </c>
      <c r="G5995">
        <v>3407</v>
      </c>
      <c r="H5995">
        <v>3407</v>
      </c>
      <c r="I5995">
        <v>3171</v>
      </c>
      <c r="J5995">
        <v>3171</v>
      </c>
      <c r="K5995">
        <v>1345</v>
      </c>
      <c r="L5995">
        <v>5</v>
      </c>
      <c r="M5995">
        <v>1908</v>
      </c>
      <c r="N5995">
        <v>104</v>
      </c>
      <c r="O5995">
        <v>45</v>
      </c>
      <c r="P5995">
        <v>15</v>
      </c>
      <c r="Q5995">
        <v>0</v>
      </c>
    </row>
    <row r="5996" spans="1:17" x14ac:dyDescent="0.2">
      <c r="A5996" s="121">
        <v>41243</v>
      </c>
      <c r="B5996" t="s">
        <v>406</v>
      </c>
      <c r="C5996" t="s">
        <v>407</v>
      </c>
      <c r="D5996" t="s">
        <v>618</v>
      </c>
      <c r="E5996" t="s">
        <v>619</v>
      </c>
      <c r="F5996" t="s">
        <v>410</v>
      </c>
      <c r="G5996">
        <v>75</v>
      </c>
      <c r="I5996">
        <v>75</v>
      </c>
    </row>
    <row r="5997" spans="1:17" x14ac:dyDescent="0.2">
      <c r="A5997" s="121">
        <v>41243</v>
      </c>
      <c r="B5997" t="s">
        <v>406</v>
      </c>
      <c r="C5997" t="s">
        <v>418</v>
      </c>
      <c r="D5997" t="s">
        <v>419</v>
      </c>
      <c r="E5997" t="s">
        <v>420</v>
      </c>
      <c r="F5997" t="s">
        <v>410</v>
      </c>
      <c r="G5997">
        <v>11</v>
      </c>
      <c r="I5997">
        <v>11</v>
      </c>
    </row>
    <row r="5998" spans="1:17" x14ac:dyDescent="0.2">
      <c r="A5998" s="121">
        <v>41243</v>
      </c>
      <c r="B5998" t="s">
        <v>406</v>
      </c>
      <c r="C5998" t="s">
        <v>418</v>
      </c>
      <c r="D5998" t="s">
        <v>421</v>
      </c>
      <c r="E5998" t="s">
        <v>422</v>
      </c>
      <c r="F5998" t="s">
        <v>410</v>
      </c>
      <c r="G5998">
        <v>91</v>
      </c>
      <c r="I5998">
        <v>91</v>
      </c>
    </row>
    <row r="5999" spans="1:17" x14ac:dyDescent="0.2">
      <c r="A5999" s="121">
        <v>41243</v>
      </c>
      <c r="B5999" t="s">
        <v>406</v>
      </c>
      <c r="C5999" t="s">
        <v>418</v>
      </c>
      <c r="D5999" t="s">
        <v>423</v>
      </c>
      <c r="E5999" t="s">
        <v>424</v>
      </c>
      <c r="F5999" t="s">
        <v>410</v>
      </c>
      <c r="G5999">
        <v>12</v>
      </c>
      <c r="I5999">
        <v>12</v>
      </c>
    </row>
    <row r="6000" spans="1:17" x14ac:dyDescent="0.2">
      <c r="A6000" s="121">
        <v>41243</v>
      </c>
      <c r="B6000" t="s">
        <v>406</v>
      </c>
      <c r="C6000" t="s">
        <v>418</v>
      </c>
      <c r="D6000" t="s">
        <v>425</v>
      </c>
      <c r="E6000" t="s">
        <v>426</v>
      </c>
      <c r="F6000" t="s">
        <v>410</v>
      </c>
      <c r="G6000">
        <v>43</v>
      </c>
      <c r="I6000">
        <v>43</v>
      </c>
    </row>
    <row r="6001" spans="1:17" x14ac:dyDescent="0.2">
      <c r="A6001" s="121">
        <v>41243</v>
      </c>
      <c r="B6001" t="s">
        <v>406</v>
      </c>
      <c r="C6001" t="s">
        <v>418</v>
      </c>
      <c r="D6001" t="s">
        <v>427</v>
      </c>
      <c r="E6001" t="s">
        <v>428</v>
      </c>
      <c r="F6001" t="s">
        <v>413</v>
      </c>
      <c r="G6001">
        <v>1932</v>
      </c>
      <c r="H6001">
        <v>1932</v>
      </c>
      <c r="I6001">
        <v>1842</v>
      </c>
      <c r="J6001">
        <v>1842</v>
      </c>
      <c r="K6001">
        <v>702</v>
      </c>
      <c r="L6001">
        <v>2</v>
      </c>
      <c r="M6001">
        <v>1000</v>
      </c>
      <c r="N6001">
        <v>199</v>
      </c>
      <c r="O6001">
        <v>29</v>
      </c>
      <c r="P6001">
        <v>6</v>
      </c>
      <c r="Q6001">
        <v>0</v>
      </c>
    </row>
    <row r="6002" spans="1:17" x14ac:dyDescent="0.2">
      <c r="A6002" s="121">
        <v>41243</v>
      </c>
      <c r="B6002" t="s">
        <v>406</v>
      </c>
      <c r="C6002" t="s">
        <v>429</v>
      </c>
      <c r="D6002" t="s">
        <v>430</v>
      </c>
      <c r="E6002" t="s">
        <v>431</v>
      </c>
      <c r="F6002" t="s">
        <v>410</v>
      </c>
      <c r="G6002">
        <v>24</v>
      </c>
      <c r="I6002">
        <v>24</v>
      </c>
    </row>
    <row r="6003" spans="1:17" x14ac:dyDescent="0.2">
      <c r="A6003" s="121">
        <v>41243</v>
      </c>
      <c r="B6003" t="s">
        <v>406</v>
      </c>
      <c r="C6003" t="s">
        <v>429</v>
      </c>
      <c r="D6003" t="s">
        <v>432</v>
      </c>
      <c r="E6003" t="s">
        <v>433</v>
      </c>
      <c r="F6003" t="s">
        <v>410</v>
      </c>
      <c r="G6003">
        <v>29</v>
      </c>
      <c r="I6003">
        <v>29</v>
      </c>
    </row>
    <row r="6004" spans="1:17" x14ac:dyDescent="0.2">
      <c r="A6004" s="121">
        <v>41243</v>
      </c>
      <c r="B6004" t="s">
        <v>406</v>
      </c>
      <c r="C6004" t="s">
        <v>429</v>
      </c>
      <c r="D6004" t="s">
        <v>434</v>
      </c>
      <c r="E6004" t="s">
        <v>435</v>
      </c>
      <c r="F6004" t="s">
        <v>410</v>
      </c>
      <c r="G6004">
        <v>6</v>
      </c>
      <c r="I6004">
        <v>6</v>
      </c>
    </row>
    <row r="6005" spans="1:17" x14ac:dyDescent="0.2">
      <c r="A6005" s="121">
        <v>41243</v>
      </c>
      <c r="B6005" t="s">
        <v>406</v>
      </c>
      <c r="C6005" t="s">
        <v>429</v>
      </c>
      <c r="D6005" t="s">
        <v>436</v>
      </c>
      <c r="E6005" t="s">
        <v>437</v>
      </c>
      <c r="F6005" t="s">
        <v>410</v>
      </c>
      <c r="G6005">
        <v>19</v>
      </c>
      <c r="H6005">
        <v>19</v>
      </c>
      <c r="I6005">
        <v>19</v>
      </c>
      <c r="J6005">
        <v>19</v>
      </c>
      <c r="K6005">
        <v>0</v>
      </c>
      <c r="L6005">
        <v>0</v>
      </c>
      <c r="M6005">
        <v>14</v>
      </c>
      <c r="N6005">
        <v>5</v>
      </c>
      <c r="O6005">
        <v>0</v>
      </c>
      <c r="P6005">
        <v>0</v>
      </c>
      <c r="Q6005">
        <v>0</v>
      </c>
    </row>
    <row r="6006" spans="1:17" x14ac:dyDescent="0.2">
      <c r="A6006" s="121">
        <v>41243</v>
      </c>
      <c r="B6006" t="s">
        <v>406</v>
      </c>
      <c r="C6006" t="s">
        <v>429</v>
      </c>
      <c r="D6006" t="s">
        <v>438</v>
      </c>
      <c r="E6006" t="s">
        <v>439</v>
      </c>
      <c r="F6006" t="s">
        <v>413</v>
      </c>
      <c r="G6006">
        <v>851</v>
      </c>
      <c r="H6006">
        <v>851</v>
      </c>
      <c r="I6006">
        <v>839</v>
      </c>
      <c r="J6006">
        <v>839</v>
      </c>
      <c r="K6006">
        <v>87</v>
      </c>
      <c r="L6006">
        <v>0</v>
      </c>
      <c r="M6006">
        <v>750</v>
      </c>
      <c r="N6006">
        <v>14</v>
      </c>
      <c r="O6006">
        <v>0</v>
      </c>
      <c r="P6006">
        <v>0</v>
      </c>
      <c r="Q6006">
        <v>0</v>
      </c>
    </row>
    <row r="6007" spans="1:17" x14ac:dyDescent="0.2">
      <c r="A6007" s="121">
        <v>41243</v>
      </c>
      <c r="B6007" t="s">
        <v>406</v>
      </c>
      <c r="C6007" t="s">
        <v>429</v>
      </c>
      <c r="D6007" t="s">
        <v>440</v>
      </c>
      <c r="E6007" t="s">
        <v>441</v>
      </c>
      <c r="F6007" t="s">
        <v>413</v>
      </c>
      <c r="G6007">
        <v>2494</v>
      </c>
      <c r="H6007">
        <v>2494</v>
      </c>
      <c r="I6007">
        <v>2370</v>
      </c>
      <c r="J6007">
        <v>2370</v>
      </c>
      <c r="K6007">
        <v>930</v>
      </c>
      <c r="L6007">
        <v>6</v>
      </c>
      <c r="M6007">
        <v>1498</v>
      </c>
      <c r="N6007">
        <v>60</v>
      </c>
      <c r="O6007">
        <v>0</v>
      </c>
      <c r="P6007">
        <v>1</v>
      </c>
      <c r="Q6007">
        <v>0</v>
      </c>
    </row>
    <row r="6008" spans="1:17" x14ac:dyDescent="0.2">
      <c r="A6008" s="121">
        <v>41243</v>
      </c>
      <c r="B6008" t="s">
        <v>406</v>
      </c>
      <c r="C6008" t="s">
        <v>442</v>
      </c>
      <c r="D6008" t="s">
        <v>443</v>
      </c>
      <c r="E6008" t="s">
        <v>444</v>
      </c>
      <c r="F6008" t="s">
        <v>413</v>
      </c>
      <c r="G6008">
        <v>5053</v>
      </c>
      <c r="H6008">
        <v>5053</v>
      </c>
      <c r="I6008">
        <v>4611</v>
      </c>
      <c r="J6008">
        <v>4611</v>
      </c>
      <c r="K6008">
        <v>1246</v>
      </c>
      <c r="L6008">
        <v>10</v>
      </c>
      <c r="M6008">
        <v>3417</v>
      </c>
      <c r="N6008">
        <v>244</v>
      </c>
      <c r="O6008">
        <v>136</v>
      </c>
      <c r="P6008">
        <v>135</v>
      </c>
      <c r="Q6008">
        <v>43</v>
      </c>
    </row>
    <row r="6009" spans="1:17" x14ac:dyDescent="0.2">
      <c r="A6009" s="121">
        <v>41243</v>
      </c>
      <c r="B6009" t="s">
        <v>406</v>
      </c>
      <c r="C6009" t="s">
        <v>442</v>
      </c>
      <c r="D6009" t="s">
        <v>445</v>
      </c>
      <c r="E6009" t="s">
        <v>446</v>
      </c>
      <c r="F6009" t="s">
        <v>410</v>
      </c>
      <c r="G6009">
        <v>104</v>
      </c>
      <c r="I6009">
        <v>104</v>
      </c>
    </row>
    <row r="6010" spans="1:17" x14ac:dyDescent="0.2">
      <c r="A6010" s="121">
        <v>41243</v>
      </c>
      <c r="B6010" t="s">
        <v>406</v>
      </c>
      <c r="C6010" t="s">
        <v>442</v>
      </c>
      <c r="D6010" t="s">
        <v>447</v>
      </c>
      <c r="E6010" t="s">
        <v>448</v>
      </c>
      <c r="F6010" t="s">
        <v>410</v>
      </c>
      <c r="G6010">
        <v>373</v>
      </c>
      <c r="I6010">
        <v>373</v>
      </c>
    </row>
    <row r="6011" spans="1:17" x14ac:dyDescent="0.2">
      <c r="A6011" s="121">
        <v>41243</v>
      </c>
      <c r="B6011" t="s">
        <v>406</v>
      </c>
      <c r="C6011" t="s">
        <v>442</v>
      </c>
      <c r="D6011" t="s">
        <v>449</v>
      </c>
      <c r="E6011" t="s">
        <v>624</v>
      </c>
      <c r="F6011" t="s">
        <v>410</v>
      </c>
      <c r="G6011">
        <v>1496</v>
      </c>
      <c r="H6011">
        <v>1496</v>
      </c>
      <c r="I6011">
        <v>1494</v>
      </c>
      <c r="J6011">
        <v>1494</v>
      </c>
      <c r="K6011">
        <v>10</v>
      </c>
      <c r="L6011">
        <v>0</v>
      </c>
      <c r="M6011">
        <v>1250</v>
      </c>
      <c r="N6011">
        <v>78</v>
      </c>
      <c r="O6011">
        <v>158</v>
      </c>
      <c r="P6011">
        <v>0</v>
      </c>
      <c r="Q6011">
        <v>0</v>
      </c>
    </row>
    <row r="6012" spans="1:17" x14ac:dyDescent="0.2">
      <c r="A6012" s="121">
        <v>41243</v>
      </c>
      <c r="B6012" t="s">
        <v>406</v>
      </c>
      <c r="C6012" t="s">
        <v>451</v>
      </c>
      <c r="D6012" t="s">
        <v>454</v>
      </c>
      <c r="E6012" t="s">
        <v>621</v>
      </c>
      <c r="F6012" t="s">
        <v>410</v>
      </c>
      <c r="G6012">
        <v>1070</v>
      </c>
      <c r="H6012">
        <v>1070</v>
      </c>
      <c r="I6012">
        <v>1070</v>
      </c>
      <c r="J6012">
        <v>1070</v>
      </c>
      <c r="K6012">
        <v>1</v>
      </c>
      <c r="L6012">
        <v>0</v>
      </c>
      <c r="M6012">
        <v>982</v>
      </c>
      <c r="N6012">
        <v>52</v>
      </c>
      <c r="O6012">
        <v>35</v>
      </c>
      <c r="P6012">
        <v>0</v>
      </c>
      <c r="Q6012">
        <v>0</v>
      </c>
    </row>
    <row r="6013" spans="1:17" x14ac:dyDescent="0.2">
      <c r="A6013" s="121">
        <v>41243</v>
      </c>
      <c r="B6013" t="s">
        <v>406</v>
      </c>
      <c r="C6013" t="s">
        <v>451</v>
      </c>
      <c r="D6013" t="s">
        <v>622</v>
      </c>
      <c r="E6013" t="s">
        <v>623</v>
      </c>
      <c r="F6013" t="s">
        <v>413</v>
      </c>
      <c r="G6013">
        <v>4611</v>
      </c>
      <c r="H6013">
        <v>4611</v>
      </c>
      <c r="I6013">
        <v>4275</v>
      </c>
      <c r="J6013">
        <v>4275</v>
      </c>
      <c r="K6013">
        <v>1223</v>
      </c>
      <c r="L6013">
        <v>4</v>
      </c>
      <c r="M6013">
        <v>3195</v>
      </c>
      <c r="N6013">
        <v>30</v>
      </c>
      <c r="O6013">
        <v>159</v>
      </c>
      <c r="P6013">
        <v>7</v>
      </c>
      <c r="Q6013">
        <v>0</v>
      </c>
    </row>
    <row r="6014" spans="1:17" x14ac:dyDescent="0.2">
      <c r="A6014" s="121">
        <v>41243</v>
      </c>
      <c r="B6014" t="s">
        <v>406</v>
      </c>
      <c r="C6014" t="s">
        <v>456</v>
      </c>
      <c r="D6014" t="s">
        <v>457</v>
      </c>
      <c r="E6014" t="s">
        <v>458</v>
      </c>
      <c r="F6014" t="s">
        <v>413</v>
      </c>
      <c r="G6014">
        <v>4804</v>
      </c>
      <c r="H6014">
        <v>4804</v>
      </c>
      <c r="I6014">
        <v>4448</v>
      </c>
      <c r="J6014">
        <v>4448</v>
      </c>
      <c r="K6014">
        <v>1224</v>
      </c>
      <c r="L6014">
        <v>21</v>
      </c>
      <c r="M6014">
        <v>3387</v>
      </c>
      <c r="N6014">
        <v>77</v>
      </c>
      <c r="O6014">
        <v>95</v>
      </c>
      <c r="P6014">
        <v>53</v>
      </c>
      <c r="Q6014">
        <v>7</v>
      </c>
    </row>
    <row r="6015" spans="1:17" x14ac:dyDescent="0.2">
      <c r="A6015" s="121">
        <v>41243</v>
      </c>
      <c r="B6015" t="s">
        <v>406</v>
      </c>
      <c r="C6015" t="s">
        <v>456</v>
      </c>
      <c r="D6015" t="s">
        <v>459</v>
      </c>
      <c r="E6015" t="s">
        <v>460</v>
      </c>
      <c r="F6015" t="s">
        <v>413</v>
      </c>
      <c r="G6015">
        <v>1581</v>
      </c>
      <c r="H6015">
        <v>1581</v>
      </c>
      <c r="I6015">
        <v>1567</v>
      </c>
      <c r="J6015">
        <v>1567</v>
      </c>
      <c r="K6015">
        <v>432</v>
      </c>
      <c r="L6015">
        <v>1</v>
      </c>
      <c r="M6015">
        <v>1140</v>
      </c>
      <c r="N6015">
        <v>7</v>
      </c>
      <c r="O6015">
        <v>1</v>
      </c>
      <c r="P6015">
        <v>0</v>
      </c>
      <c r="Q6015">
        <v>0</v>
      </c>
    </row>
    <row r="6016" spans="1:17" x14ac:dyDescent="0.2">
      <c r="A6016" s="121">
        <v>41243</v>
      </c>
      <c r="B6016" t="s">
        <v>406</v>
      </c>
      <c r="C6016" t="s">
        <v>456</v>
      </c>
      <c r="D6016" t="s">
        <v>461</v>
      </c>
      <c r="E6016" t="s">
        <v>462</v>
      </c>
      <c r="F6016" t="s">
        <v>410</v>
      </c>
      <c r="G6016">
        <v>73</v>
      </c>
      <c r="I6016">
        <v>73</v>
      </c>
    </row>
    <row r="6017" spans="1:17" x14ac:dyDescent="0.2">
      <c r="A6017" s="121">
        <v>41243</v>
      </c>
      <c r="B6017" t="s">
        <v>406</v>
      </c>
      <c r="C6017" t="s">
        <v>456</v>
      </c>
      <c r="D6017" t="s">
        <v>463</v>
      </c>
      <c r="E6017" t="s">
        <v>464</v>
      </c>
      <c r="F6017" t="s">
        <v>410</v>
      </c>
      <c r="G6017">
        <v>16</v>
      </c>
      <c r="I6017">
        <v>16</v>
      </c>
    </row>
    <row r="6018" spans="1:17" x14ac:dyDescent="0.2">
      <c r="A6018" s="121">
        <v>41243</v>
      </c>
      <c r="B6018" t="s">
        <v>406</v>
      </c>
      <c r="C6018" t="s">
        <v>456</v>
      </c>
      <c r="D6018" t="s">
        <v>465</v>
      </c>
      <c r="E6018" t="s">
        <v>466</v>
      </c>
      <c r="F6018" t="s">
        <v>410</v>
      </c>
      <c r="G6018">
        <v>60</v>
      </c>
      <c r="I6018">
        <v>60</v>
      </c>
    </row>
    <row r="6019" spans="1:17" x14ac:dyDescent="0.2">
      <c r="A6019" s="121">
        <v>41243</v>
      </c>
      <c r="B6019" t="s">
        <v>406</v>
      </c>
      <c r="C6019" t="s">
        <v>456</v>
      </c>
      <c r="D6019" t="s">
        <v>467</v>
      </c>
      <c r="E6019" t="s">
        <v>468</v>
      </c>
      <c r="F6019" t="s">
        <v>410</v>
      </c>
      <c r="G6019">
        <v>1239</v>
      </c>
      <c r="I6019">
        <v>1239</v>
      </c>
    </row>
    <row r="6020" spans="1:17" x14ac:dyDescent="0.2">
      <c r="A6020" s="121">
        <v>41243</v>
      </c>
      <c r="B6020" t="s">
        <v>406</v>
      </c>
      <c r="C6020" t="s">
        <v>456</v>
      </c>
      <c r="D6020" t="s">
        <v>469</v>
      </c>
      <c r="E6020" t="s">
        <v>470</v>
      </c>
      <c r="F6020" t="s">
        <v>410</v>
      </c>
      <c r="G6020">
        <v>855</v>
      </c>
      <c r="I6020">
        <v>855</v>
      </c>
    </row>
    <row r="6021" spans="1:17" x14ac:dyDescent="0.2">
      <c r="A6021" s="121">
        <v>41243</v>
      </c>
      <c r="B6021" t="s">
        <v>406</v>
      </c>
      <c r="C6021" t="s">
        <v>456</v>
      </c>
      <c r="D6021" t="s">
        <v>471</v>
      </c>
      <c r="E6021" t="s">
        <v>472</v>
      </c>
      <c r="F6021" t="s">
        <v>410</v>
      </c>
      <c r="G6021">
        <v>263</v>
      </c>
      <c r="I6021">
        <v>262</v>
      </c>
    </row>
    <row r="6022" spans="1:17" x14ac:dyDescent="0.2">
      <c r="A6022" s="121">
        <v>41243</v>
      </c>
      <c r="B6022" t="s">
        <v>406</v>
      </c>
      <c r="C6022" t="s">
        <v>456</v>
      </c>
      <c r="D6022" t="s">
        <v>473</v>
      </c>
      <c r="E6022" t="s">
        <v>474</v>
      </c>
      <c r="F6022" t="s">
        <v>410</v>
      </c>
      <c r="G6022">
        <v>188</v>
      </c>
      <c r="I6022">
        <v>188</v>
      </c>
    </row>
    <row r="6023" spans="1:17" x14ac:dyDescent="0.2">
      <c r="A6023" s="121">
        <v>41243</v>
      </c>
      <c r="B6023" t="s">
        <v>406</v>
      </c>
      <c r="C6023" t="s">
        <v>456</v>
      </c>
      <c r="D6023" t="s">
        <v>475</v>
      </c>
      <c r="E6023" t="s">
        <v>476</v>
      </c>
      <c r="F6023" t="s">
        <v>410</v>
      </c>
      <c r="G6023">
        <v>271</v>
      </c>
      <c r="I6023">
        <v>267</v>
      </c>
    </row>
    <row r="6024" spans="1:17" x14ac:dyDescent="0.2">
      <c r="A6024" s="121">
        <v>41243</v>
      </c>
      <c r="B6024" t="s">
        <v>406</v>
      </c>
      <c r="C6024" t="s">
        <v>456</v>
      </c>
      <c r="D6024" t="s">
        <v>477</v>
      </c>
      <c r="E6024" t="s">
        <v>478</v>
      </c>
      <c r="F6024" t="s">
        <v>413</v>
      </c>
      <c r="G6024">
        <v>1886</v>
      </c>
      <c r="H6024">
        <v>1886</v>
      </c>
      <c r="I6024">
        <v>1756</v>
      </c>
      <c r="J6024">
        <v>1756</v>
      </c>
      <c r="K6024">
        <v>442</v>
      </c>
      <c r="L6024">
        <v>6</v>
      </c>
      <c r="M6024">
        <v>1404</v>
      </c>
      <c r="N6024">
        <v>19</v>
      </c>
      <c r="O6024">
        <v>15</v>
      </c>
      <c r="P6024">
        <v>12</v>
      </c>
      <c r="Q6024">
        <v>2</v>
      </c>
    </row>
    <row r="6025" spans="1:17" x14ac:dyDescent="0.2">
      <c r="A6025" s="121">
        <v>41243</v>
      </c>
      <c r="B6025" t="s">
        <v>406</v>
      </c>
      <c r="C6025" t="s">
        <v>456</v>
      </c>
      <c r="D6025" t="s">
        <v>479</v>
      </c>
      <c r="E6025" t="s">
        <v>480</v>
      </c>
      <c r="F6025" t="s">
        <v>410</v>
      </c>
      <c r="G6025">
        <v>37</v>
      </c>
      <c r="I6025">
        <v>37</v>
      </c>
    </row>
    <row r="6026" spans="1:17" x14ac:dyDescent="0.2">
      <c r="A6026" s="121">
        <v>41243</v>
      </c>
      <c r="B6026" t="s">
        <v>406</v>
      </c>
      <c r="C6026" t="s">
        <v>456</v>
      </c>
      <c r="D6026" t="s">
        <v>481</v>
      </c>
      <c r="E6026" t="s">
        <v>482</v>
      </c>
      <c r="F6026" t="s">
        <v>410</v>
      </c>
      <c r="G6026">
        <v>26</v>
      </c>
      <c r="I6026">
        <v>26</v>
      </c>
    </row>
    <row r="6027" spans="1:17" x14ac:dyDescent="0.2">
      <c r="A6027" s="121">
        <v>41243</v>
      </c>
      <c r="B6027" t="s">
        <v>406</v>
      </c>
      <c r="C6027" t="s">
        <v>456</v>
      </c>
      <c r="D6027" t="s">
        <v>483</v>
      </c>
      <c r="E6027" t="s">
        <v>484</v>
      </c>
      <c r="F6027" t="s">
        <v>410</v>
      </c>
      <c r="G6027">
        <v>89</v>
      </c>
      <c r="I6027">
        <v>89</v>
      </c>
    </row>
    <row r="6028" spans="1:17" x14ac:dyDescent="0.2">
      <c r="A6028" s="121">
        <v>41243</v>
      </c>
      <c r="B6028" t="s">
        <v>406</v>
      </c>
      <c r="C6028" t="s">
        <v>456</v>
      </c>
      <c r="D6028" t="s">
        <v>485</v>
      </c>
      <c r="E6028" t="s">
        <v>486</v>
      </c>
      <c r="F6028" t="s">
        <v>410</v>
      </c>
      <c r="G6028">
        <v>32</v>
      </c>
      <c r="I6028">
        <v>32</v>
      </c>
    </row>
    <row r="6029" spans="1:17" x14ac:dyDescent="0.2">
      <c r="A6029" s="121">
        <v>41243</v>
      </c>
      <c r="B6029" t="s">
        <v>406</v>
      </c>
      <c r="C6029" t="s">
        <v>456</v>
      </c>
      <c r="D6029" t="s">
        <v>487</v>
      </c>
      <c r="E6029" t="s">
        <v>488</v>
      </c>
      <c r="F6029" t="s">
        <v>410</v>
      </c>
      <c r="G6029">
        <v>22</v>
      </c>
      <c r="I6029">
        <v>22</v>
      </c>
    </row>
    <row r="6030" spans="1:17" x14ac:dyDescent="0.2">
      <c r="A6030" s="121">
        <v>41243</v>
      </c>
      <c r="B6030" t="s">
        <v>406</v>
      </c>
      <c r="C6030" t="s">
        <v>456</v>
      </c>
      <c r="D6030" t="s">
        <v>489</v>
      </c>
      <c r="E6030" t="s">
        <v>490</v>
      </c>
      <c r="F6030" t="s">
        <v>410</v>
      </c>
      <c r="G6030">
        <v>83</v>
      </c>
      <c r="H6030">
        <v>83</v>
      </c>
      <c r="I6030">
        <v>83</v>
      </c>
      <c r="J6030">
        <v>83</v>
      </c>
      <c r="K6030">
        <v>0</v>
      </c>
      <c r="L6030">
        <v>0</v>
      </c>
      <c r="M6030">
        <v>72</v>
      </c>
      <c r="N6030">
        <v>11</v>
      </c>
      <c r="O6030">
        <v>0</v>
      </c>
      <c r="P6030">
        <v>0</v>
      </c>
      <c r="Q6030">
        <v>0</v>
      </c>
    </row>
    <row r="6031" spans="1:17" x14ac:dyDescent="0.2">
      <c r="A6031" s="121">
        <v>41243</v>
      </c>
      <c r="B6031" t="s">
        <v>406</v>
      </c>
      <c r="C6031" t="s">
        <v>491</v>
      </c>
      <c r="D6031" t="s">
        <v>492</v>
      </c>
      <c r="E6031" t="s">
        <v>493</v>
      </c>
      <c r="F6031" t="s">
        <v>410</v>
      </c>
      <c r="G6031">
        <v>1127</v>
      </c>
      <c r="H6031">
        <v>1127</v>
      </c>
      <c r="I6031">
        <v>1111</v>
      </c>
      <c r="J6031">
        <v>1111</v>
      </c>
      <c r="K6031">
        <v>210</v>
      </c>
      <c r="L6031">
        <v>1</v>
      </c>
      <c r="M6031">
        <v>868</v>
      </c>
      <c r="N6031">
        <v>41</v>
      </c>
      <c r="O6031">
        <v>7</v>
      </c>
      <c r="P6031">
        <v>0</v>
      </c>
      <c r="Q6031">
        <v>0</v>
      </c>
    </row>
    <row r="6032" spans="1:17" x14ac:dyDescent="0.2">
      <c r="A6032" s="121">
        <v>41243</v>
      </c>
      <c r="B6032" t="s">
        <v>406</v>
      </c>
      <c r="C6032" t="s">
        <v>491</v>
      </c>
      <c r="D6032" t="s">
        <v>494</v>
      </c>
      <c r="E6032" t="s">
        <v>495</v>
      </c>
      <c r="F6032" t="s">
        <v>413</v>
      </c>
      <c r="G6032">
        <v>2440</v>
      </c>
      <c r="H6032">
        <v>2440</v>
      </c>
      <c r="I6032">
        <v>2352</v>
      </c>
      <c r="J6032">
        <v>2352</v>
      </c>
      <c r="K6032">
        <v>643</v>
      </c>
      <c r="L6032">
        <v>6</v>
      </c>
      <c r="M6032">
        <v>1645</v>
      </c>
      <c r="N6032">
        <v>21</v>
      </c>
      <c r="O6032">
        <v>125</v>
      </c>
      <c r="P6032">
        <v>0</v>
      </c>
      <c r="Q6032">
        <v>0</v>
      </c>
    </row>
    <row r="6033" spans="1:17" x14ac:dyDescent="0.2">
      <c r="A6033" s="121">
        <v>41243</v>
      </c>
      <c r="B6033" t="s">
        <v>406</v>
      </c>
      <c r="C6033" t="s">
        <v>491</v>
      </c>
      <c r="D6033" t="s">
        <v>496</v>
      </c>
      <c r="E6033" t="s">
        <v>497</v>
      </c>
      <c r="F6033" t="s">
        <v>413</v>
      </c>
      <c r="G6033">
        <v>5699</v>
      </c>
      <c r="H6033">
        <v>5699</v>
      </c>
      <c r="I6033">
        <v>5444</v>
      </c>
      <c r="J6033">
        <v>5444</v>
      </c>
      <c r="K6033">
        <v>2033</v>
      </c>
      <c r="L6033">
        <v>11</v>
      </c>
      <c r="M6033">
        <v>3434</v>
      </c>
      <c r="N6033">
        <v>110</v>
      </c>
      <c r="O6033">
        <v>111</v>
      </c>
      <c r="P6033">
        <v>4</v>
      </c>
      <c r="Q6033">
        <v>0</v>
      </c>
    </row>
    <row r="6034" spans="1:17" x14ac:dyDescent="0.2">
      <c r="A6034" s="121">
        <v>41243</v>
      </c>
      <c r="B6034" t="s">
        <v>406</v>
      </c>
      <c r="C6034" t="s">
        <v>491</v>
      </c>
      <c r="D6034" t="s">
        <v>498</v>
      </c>
      <c r="E6034" t="s">
        <v>499</v>
      </c>
      <c r="F6034" t="s">
        <v>413</v>
      </c>
      <c r="G6034">
        <v>6975</v>
      </c>
      <c r="H6034">
        <v>6975</v>
      </c>
      <c r="I6034">
        <v>6802</v>
      </c>
      <c r="J6034">
        <v>6802</v>
      </c>
      <c r="K6034">
        <v>1779</v>
      </c>
      <c r="L6034">
        <v>5</v>
      </c>
      <c r="M6034">
        <v>4665</v>
      </c>
      <c r="N6034">
        <v>162</v>
      </c>
      <c r="O6034">
        <v>364</v>
      </c>
      <c r="P6034">
        <v>4</v>
      </c>
      <c r="Q6034">
        <v>0</v>
      </c>
    </row>
    <row r="6035" spans="1:17" x14ac:dyDescent="0.2">
      <c r="A6035" s="121">
        <v>41243</v>
      </c>
      <c r="B6035" t="s">
        <v>406</v>
      </c>
      <c r="C6035" t="s">
        <v>491</v>
      </c>
      <c r="D6035" t="s">
        <v>500</v>
      </c>
      <c r="E6035" t="s">
        <v>620</v>
      </c>
      <c r="F6035" t="s">
        <v>410</v>
      </c>
      <c r="G6035">
        <v>1200</v>
      </c>
      <c r="H6035">
        <v>1200</v>
      </c>
      <c r="I6035">
        <v>1200</v>
      </c>
      <c r="J6035">
        <v>1200</v>
      </c>
      <c r="K6035">
        <v>5</v>
      </c>
      <c r="L6035">
        <v>0</v>
      </c>
      <c r="M6035">
        <v>1085</v>
      </c>
      <c r="N6035">
        <v>3</v>
      </c>
      <c r="O6035">
        <v>107</v>
      </c>
      <c r="P6035">
        <v>0</v>
      </c>
      <c r="Q6035">
        <v>0</v>
      </c>
    </row>
    <row r="6036" spans="1:17" x14ac:dyDescent="0.2">
      <c r="A6036" s="121">
        <v>41243</v>
      </c>
      <c r="B6036" t="s">
        <v>406</v>
      </c>
      <c r="C6036" t="s">
        <v>491</v>
      </c>
      <c r="D6036" t="s">
        <v>502</v>
      </c>
      <c r="E6036" t="s">
        <v>615</v>
      </c>
      <c r="F6036" t="s">
        <v>410</v>
      </c>
      <c r="G6036">
        <v>1571</v>
      </c>
      <c r="H6036">
        <v>1571</v>
      </c>
      <c r="I6036">
        <v>1571</v>
      </c>
      <c r="J6036">
        <v>1571</v>
      </c>
      <c r="K6036">
        <v>0</v>
      </c>
      <c r="L6036">
        <v>0</v>
      </c>
      <c r="M6036">
        <v>1560</v>
      </c>
      <c r="N6036">
        <v>1</v>
      </c>
      <c r="O6036">
        <v>10</v>
      </c>
      <c r="P6036">
        <v>0</v>
      </c>
      <c r="Q6036">
        <v>0</v>
      </c>
    </row>
    <row r="6037" spans="1:17" x14ac:dyDescent="0.2">
      <c r="A6037" s="121">
        <v>41243</v>
      </c>
      <c r="B6037" t="s">
        <v>406</v>
      </c>
      <c r="C6037" t="s">
        <v>491</v>
      </c>
      <c r="D6037" t="s">
        <v>502</v>
      </c>
      <c r="E6037" t="s">
        <v>503</v>
      </c>
      <c r="F6037" t="s">
        <v>413</v>
      </c>
      <c r="G6037">
        <v>5001</v>
      </c>
      <c r="H6037">
        <v>5001</v>
      </c>
      <c r="I6037">
        <v>4605</v>
      </c>
      <c r="J6037">
        <v>4605</v>
      </c>
      <c r="K6037">
        <v>1462</v>
      </c>
      <c r="L6037">
        <v>9</v>
      </c>
      <c r="M6037">
        <v>3305</v>
      </c>
      <c r="N6037">
        <v>168</v>
      </c>
      <c r="O6037">
        <v>57</v>
      </c>
      <c r="P6037">
        <v>2</v>
      </c>
      <c r="Q6037">
        <v>0</v>
      </c>
    </row>
    <row r="6038" spans="1:17" x14ac:dyDescent="0.2">
      <c r="A6038" s="121">
        <v>41243</v>
      </c>
      <c r="B6038" t="s">
        <v>406</v>
      </c>
      <c r="C6038" t="s">
        <v>491</v>
      </c>
      <c r="D6038" t="s">
        <v>504</v>
      </c>
      <c r="E6038" t="s">
        <v>505</v>
      </c>
      <c r="F6038" t="s">
        <v>413</v>
      </c>
      <c r="G6038">
        <v>3804</v>
      </c>
      <c r="H6038">
        <v>3804</v>
      </c>
      <c r="I6038">
        <v>3624</v>
      </c>
      <c r="J6038">
        <v>3624</v>
      </c>
      <c r="K6038">
        <v>1134</v>
      </c>
      <c r="L6038">
        <v>8</v>
      </c>
      <c r="M6038">
        <v>2573</v>
      </c>
      <c r="N6038">
        <v>60</v>
      </c>
      <c r="O6038">
        <v>29</v>
      </c>
      <c r="P6038">
        <v>1</v>
      </c>
      <c r="Q6038">
        <v>0</v>
      </c>
    </row>
    <row r="6039" spans="1:17" x14ac:dyDescent="0.2">
      <c r="A6039" s="121">
        <v>41243</v>
      </c>
      <c r="B6039" t="s">
        <v>406</v>
      </c>
      <c r="C6039" t="s">
        <v>491</v>
      </c>
      <c r="D6039" t="s">
        <v>506</v>
      </c>
      <c r="E6039" t="s">
        <v>507</v>
      </c>
      <c r="F6039" t="s">
        <v>413</v>
      </c>
      <c r="G6039">
        <v>4149</v>
      </c>
      <c r="H6039">
        <v>4149</v>
      </c>
      <c r="I6039">
        <v>3827</v>
      </c>
      <c r="J6039">
        <v>3827</v>
      </c>
      <c r="K6039">
        <v>612</v>
      </c>
      <c r="L6039">
        <v>1</v>
      </c>
      <c r="M6039">
        <v>3533</v>
      </c>
      <c r="N6039">
        <v>0</v>
      </c>
      <c r="O6039">
        <v>3</v>
      </c>
      <c r="P6039">
        <v>5</v>
      </c>
      <c r="Q6039">
        <v>0</v>
      </c>
    </row>
    <row r="6040" spans="1:17" x14ac:dyDescent="0.2">
      <c r="A6040" s="121">
        <v>41243</v>
      </c>
      <c r="B6040" t="s">
        <v>406</v>
      </c>
      <c r="C6040" t="s">
        <v>491</v>
      </c>
      <c r="D6040" t="s">
        <v>508</v>
      </c>
      <c r="E6040" t="s">
        <v>509</v>
      </c>
      <c r="F6040" t="s">
        <v>413</v>
      </c>
      <c r="G6040">
        <v>4841</v>
      </c>
      <c r="H6040">
        <v>4841</v>
      </c>
      <c r="I6040">
        <v>4330</v>
      </c>
      <c r="J6040">
        <v>4330</v>
      </c>
      <c r="K6040">
        <v>1573</v>
      </c>
      <c r="L6040">
        <v>12</v>
      </c>
      <c r="M6040">
        <v>2925</v>
      </c>
      <c r="N6040">
        <v>80</v>
      </c>
      <c r="O6040">
        <v>251</v>
      </c>
      <c r="P6040">
        <v>34</v>
      </c>
      <c r="Q6040">
        <v>0</v>
      </c>
    </row>
    <row r="6041" spans="1:17" x14ac:dyDescent="0.2">
      <c r="A6041" s="121">
        <v>41243</v>
      </c>
      <c r="B6041" t="s">
        <v>406</v>
      </c>
      <c r="C6041" t="s">
        <v>510</v>
      </c>
      <c r="D6041" t="s">
        <v>513</v>
      </c>
      <c r="E6041" t="s">
        <v>514</v>
      </c>
      <c r="F6041" t="s">
        <v>410</v>
      </c>
      <c r="G6041">
        <v>525</v>
      </c>
      <c r="I6041">
        <v>521</v>
      </c>
    </row>
    <row r="6042" spans="1:17" x14ac:dyDescent="0.2">
      <c r="A6042" s="121">
        <v>41243</v>
      </c>
      <c r="B6042" t="s">
        <v>406</v>
      </c>
      <c r="C6042" t="s">
        <v>510</v>
      </c>
      <c r="D6042" t="s">
        <v>515</v>
      </c>
      <c r="E6042" t="s">
        <v>516</v>
      </c>
      <c r="F6042" t="s">
        <v>410</v>
      </c>
      <c r="G6042">
        <v>61</v>
      </c>
      <c r="I6042">
        <v>60</v>
      </c>
    </row>
    <row r="6043" spans="1:17" x14ac:dyDescent="0.2">
      <c r="A6043" s="121">
        <v>41243</v>
      </c>
      <c r="B6043" t="s">
        <v>406</v>
      </c>
      <c r="C6043" t="s">
        <v>510</v>
      </c>
      <c r="D6043" t="s">
        <v>519</v>
      </c>
      <c r="E6043" t="s">
        <v>520</v>
      </c>
      <c r="F6043" t="s">
        <v>410</v>
      </c>
      <c r="G6043">
        <v>309</v>
      </c>
      <c r="I6043">
        <v>304</v>
      </c>
    </row>
    <row r="6044" spans="1:17" x14ac:dyDescent="0.2">
      <c r="A6044" s="121">
        <v>41243</v>
      </c>
      <c r="B6044" t="s">
        <v>406</v>
      </c>
      <c r="C6044" t="s">
        <v>510</v>
      </c>
      <c r="D6044" t="s">
        <v>521</v>
      </c>
      <c r="E6044" t="s">
        <v>522</v>
      </c>
      <c r="F6044" t="s">
        <v>410</v>
      </c>
      <c r="G6044">
        <v>33</v>
      </c>
      <c r="I6044">
        <v>32</v>
      </c>
    </row>
    <row r="6045" spans="1:17" x14ac:dyDescent="0.2">
      <c r="A6045" s="121">
        <v>41243</v>
      </c>
      <c r="B6045" t="s">
        <v>406</v>
      </c>
      <c r="C6045" t="s">
        <v>510</v>
      </c>
      <c r="D6045" t="s">
        <v>523</v>
      </c>
      <c r="E6045" t="s">
        <v>524</v>
      </c>
      <c r="F6045" t="s">
        <v>413</v>
      </c>
      <c r="G6045">
        <v>445</v>
      </c>
      <c r="H6045">
        <v>445</v>
      </c>
      <c r="I6045">
        <v>423</v>
      </c>
      <c r="J6045">
        <v>423</v>
      </c>
      <c r="K6045">
        <v>82</v>
      </c>
      <c r="L6045">
        <v>0</v>
      </c>
      <c r="M6045">
        <v>356</v>
      </c>
      <c r="N6045">
        <v>7</v>
      </c>
      <c r="O6045">
        <v>0</v>
      </c>
      <c r="P6045">
        <v>1</v>
      </c>
      <c r="Q6045">
        <v>0</v>
      </c>
    </row>
    <row r="6046" spans="1:17" x14ac:dyDescent="0.2">
      <c r="A6046" s="121">
        <v>41243</v>
      </c>
      <c r="B6046" t="s">
        <v>406</v>
      </c>
      <c r="C6046" t="s">
        <v>510</v>
      </c>
      <c r="D6046" t="s">
        <v>525</v>
      </c>
      <c r="E6046" t="s">
        <v>526</v>
      </c>
      <c r="F6046" t="s">
        <v>410</v>
      </c>
      <c r="G6046">
        <v>413</v>
      </c>
      <c r="I6046">
        <v>399</v>
      </c>
    </row>
    <row r="6047" spans="1:17" x14ac:dyDescent="0.2">
      <c r="A6047" s="121">
        <v>41243</v>
      </c>
      <c r="B6047" t="s">
        <v>406</v>
      </c>
      <c r="C6047" t="s">
        <v>510</v>
      </c>
      <c r="D6047" t="s">
        <v>527</v>
      </c>
      <c r="E6047" t="s">
        <v>528</v>
      </c>
      <c r="F6047" t="s">
        <v>410</v>
      </c>
      <c r="G6047">
        <v>174</v>
      </c>
      <c r="I6047">
        <v>173</v>
      </c>
    </row>
    <row r="6048" spans="1:17" x14ac:dyDescent="0.2">
      <c r="A6048" s="121">
        <v>41243</v>
      </c>
      <c r="B6048" t="s">
        <v>406</v>
      </c>
      <c r="C6048" t="s">
        <v>510</v>
      </c>
      <c r="D6048" t="s">
        <v>529</v>
      </c>
      <c r="E6048" t="s">
        <v>530</v>
      </c>
      <c r="F6048" t="s">
        <v>413</v>
      </c>
      <c r="G6048">
        <v>501</v>
      </c>
      <c r="H6048">
        <v>501</v>
      </c>
      <c r="I6048">
        <v>487</v>
      </c>
      <c r="J6048">
        <v>487</v>
      </c>
      <c r="K6048">
        <v>144</v>
      </c>
      <c r="L6048">
        <v>0</v>
      </c>
      <c r="M6048">
        <v>354</v>
      </c>
      <c r="N6048">
        <v>3</v>
      </c>
      <c r="O6048">
        <v>0</v>
      </c>
      <c r="P6048">
        <v>0</v>
      </c>
      <c r="Q6048">
        <v>0</v>
      </c>
    </row>
    <row r="6049" spans="1:17" x14ac:dyDescent="0.2">
      <c r="A6049" s="121">
        <v>41243</v>
      </c>
      <c r="B6049" t="s">
        <v>406</v>
      </c>
      <c r="C6049" t="s">
        <v>510</v>
      </c>
      <c r="D6049" t="s">
        <v>531</v>
      </c>
      <c r="E6049" t="s">
        <v>532</v>
      </c>
      <c r="F6049" t="s">
        <v>410</v>
      </c>
      <c r="G6049">
        <v>32</v>
      </c>
      <c r="I6049">
        <v>32</v>
      </c>
    </row>
    <row r="6050" spans="1:17" x14ac:dyDescent="0.2">
      <c r="A6050" s="121">
        <v>41243</v>
      </c>
      <c r="B6050" t="s">
        <v>406</v>
      </c>
      <c r="C6050" t="s">
        <v>510</v>
      </c>
      <c r="D6050" t="s">
        <v>533</v>
      </c>
      <c r="E6050" t="s">
        <v>534</v>
      </c>
      <c r="F6050" t="s">
        <v>413</v>
      </c>
      <c r="G6050">
        <v>2355</v>
      </c>
      <c r="H6050">
        <v>2355</v>
      </c>
      <c r="I6050">
        <v>2303</v>
      </c>
      <c r="J6050">
        <v>2303</v>
      </c>
      <c r="K6050">
        <v>521</v>
      </c>
      <c r="L6050">
        <v>4</v>
      </c>
      <c r="M6050">
        <v>1830</v>
      </c>
      <c r="N6050">
        <v>0</v>
      </c>
      <c r="O6050">
        <v>0</v>
      </c>
      <c r="P6050">
        <v>1</v>
      </c>
      <c r="Q6050">
        <v>0</v>
      </c>
    </row>
    <row r="6051" spans="1:17" x14ac:dyDescent="0.2">
      <c r="A6051" s="121">
        <v>41243</v>
      </c>
      <c r="B6051" t="s">
        <v>406</v>
      </c>
      <c r="C6051" t="s">
        <v>510</v>
      </c>
      <c r="D6051" t="s">
        <v>535</v>
      </c>
      <c r="E6051" t="s">
        <v>536</v>
      </c>
      <c r="F6051" t="s">
        <v>410</v>
      </c>
      <c r="G6051">
        <v>284</v>
      </c>
      <c r="I6051">
        <v>284</v>
      </c>
    </row>
    <row r="6052" spans="1:17" x14ac:dyDescent="0.2">
      <c r="A6052" s="121">
        <v>41243</v>
      </c>
      <c r="B6052" t="s">
        <v>406</v>
      </c>
      <c r="C6052" t="s">
        <v>510</v>
      </c>
      <c r="D6052" t="s">
        <v>537</v>
      </c>
      <c r="E6052" t="s">
        <v>538</v>
      </c>
      <c r="F6052" t="s">
        <v>410</v>
      </c>
      <c r="G6052">
        <v>74</v>
      </c>
      <c r="I6052">
        <v>74</v>
      </c>
    </row>
    <row r="6053" spans="1:17" x14ac:dyDescent="0.2">
      <c r="A6053" s="121">
        <v>41243</v>
      </c>
      <c r="B6053" t="s">
        <v>406</v>
      </c>
      <c r="C6053" t="s">
        <v>510</v>
      </c>
      <c r="D6053" t="s">
        <v>539</v>
      </c>
      <c r="E6053" t="s">
        <v>540</v>
      </c>
      <c r="F6053" t="s">
        <v>413</v>
      </c>
      <c r="G6053">
        <v>572</v>
      </c>
      <c r="H6053">
        <v>572</v>
      </c>
      <c r="I6053">
        <v>551</v>
      </c>
      <c r="J6053">
        <v>551</v>
      </c>
      <c r="K6053">
        <v>102</v>
      </c>
      <c r="L6053">
        <v>0</v>
      </c>
      <c r="M6053">
        <v>464</v>
      </c>
      <c r="N6053">
        <v>6</v>
      </c>
      <c r="O6053">
        <v>0</v>
      </c>
      <c r="P6053">
        <v>0</v>
      </c>
      <c r="Q6053">
        <v>0</v>
      </c>
    </row>
    <row r="6054" spans="1:17" x14ac:dyDescent="0.2">
      <c r="A6054" s="121">
        <v>41243</v>
      </c>
      <c r="B6054" t="s">
        <v>406</v>
      </c>
      <c r="C6054" t="s">
        <v>510</v>
      </c>
      <c r="D6054" t="s">
        <v>541</v>
      </c>
      <c r="E6054" t="s">
        <v>542</v>
      </c>
      <c r="F6054" t="s">
        <v>410</v>
      </c>
      <c r="G6054">
        <v>269</v>
      </c>
      <c r="I6054">
        <v>269</v>
      </c>
    </row>
    <row r="6055" spans="1:17" x14ac:dyDescent="0.2">
      <c r="A6055" s="121">
        <v>41243</v>
      </c>
      <c r="B6055" t="s">
        <v>406</v>
      </c>
      <c r="C6055" t="s">
        <v>510</v>
      </c>
      <c r="D6055" t="s">
        <v>543</v>
      </c>
      <c r="E6055" t="s">
        <v>544</v>
      </c>
      <c r="F6055" t="s">
        <v>410</v>
      </c>
      <c r="G6055">
        <v>192</v>
      </c>
      <c r="I6055">
        <v>192</v>
      </c>
    </row>
    <row r="6056" spans="1:17" x14ac:dyDescent="0.2">
      <c r="A6056" s="121">
        <v>41243</v>
      </c>
      <c r="B6056" t="s">
        <v>406</v>
      </c>
      <c r="C6056" t="s">
        <v>510</v>
      </c>
      <c r="D6056" t="s">
        <v>545</v>
      </c>
      <c r="E6056" t="s">
        <v>546</v>
      </c>
      <c r="F6056" t="s">
        <v>410</v>
      </c>
      <c r="G6056">
        <v>142</v>
      </c>
      <c r="I6056">
        <v>142</v>
      </c>
    </row>
    <row r="6057" spans="1:17" x14ac:dyDescent="0.2">
      <c r="A6057" s="121">
        <v>41243</v>
      </c>
      <c r="B6057" t="s">
        <v>406</v>
      </c>
      <c r="C6057" t="s">
        <v>510</v>
      </c>
      <c r="D6057" t="s">
        <v>547</v>
      </c>
      <c r="E6057" t="s">
        <v>548</v>
      </c>
      <c r="F6057" t="s">
        <v>410</v>
      </c>
      <c r="G6057">
        <v>120</v>
      </c>
      <c r="I6057">
        <v>120</v>
      </c>
    </row>
    <row r="6058" spans="1:17" x14ac:dyDescent="0.2">
      <c r="A6058" s="121">
        <v>41243</v>
      </c>
      <c r="B6058" t="s">
        <v>406</v>
      </c>
      <c r="C6058" t="s">
        <v>510</v>
      </c>
      <c r="D6058" t="s">
        <v>616</v>
      </c>
      <c r="E6058" t="s">
        <v>617</v>
      </c>
      <c r="F6058" t="s">
        <v>410</v>
      </c>
      <c r="G6058">
        <v>272</v>
      </c>
      <c r="I6058">
        <v>265</v>
      </c>
    </row>
    <row r="6059" spans="1:17" x14ac:dyDescent="0.2">
      <c r="A6059" s="121">
        <v>41243</v>
      </c>
      <c r="B6059" t="s">
        <v>406</v>
      </c>
      <c r="C6059" t="s">
        <v>510</v>
      </c>
      <c r="D6059" t="s">
        <v>549</v>
      </c>
      <c r="E6059" t="s">
        <v>550</v>
      </c>
      <c r="F6059" t="s">
        <v>410</v>
      </c>
      <c r="G6059">
        <v>108</v>
      </c>
      <c r="I6059">
        <v>108</v>
      </c>
    </row>
    <row r="6060" spans="1:17" x14ac:dyDescent="0.2">
      <c r="A6060" s="121">
        <v>41243</v>
      </c>
      <c r="B6060" t="s">
        <v>406</v>
      </c>
      <c r="C6060" t="s">
        <v>551</v>
      </c>
      <c r="D6060" t="s">
        <v>552</v>
      </c>
      <c r="E6060" t="s">
        <v>553</v>
      </c>
      <c r="F6060" t="s">
        <v>413</v>
      </c>
      <c r="G6060">
        <v>5384</v>
      </c>
      <c r="H6060">
        <v>5384</v>
      </c>
      <c r="I6060">
        <v>5004</v>
      </c>
      <c r="J6060">
        <v>5004</v>
      </c>
      <c r="K6060">
        <v>1595</v>
      </c>
      <c r="L6060">
        <v>1</v>
      </c>
      <c r="M6060">
        <v>3531</v>
      </c>
      <c r="N6060">
        <v>166</v>
      </c>
      <c r="O6060">
        <v>91</v>
      </c>
      <c r="P6060">
        <v>17</v>
      </c>
      <c r="Q6060">
        <v>3</v>
      </c>
    </row>
    <row r="6061" spans="1:17" x14ac:dyDescent="0.2">
      <c r="A6061" s="121">
        <v>41243</v>
      </c>
      <c r="B6061" t="s">
        <v>406</v>
      </c>
      <c r="C6061" t="s">
        <v>551</v>
      </c>
      <c r="D6061" t="s">
        <v>554</v>
      </c>
      <c r="E6061" t="s">
        <v>555</v>
      </c>
      <c r="F6061" t="s">
        <v>410</v>
      </c>
      <c r="G6061">
        <v>42</v>
      </c>
      <c r="I6061">
        <v>42</v>
      </c>
    </row>
    <row r="6062" spans="1:17" x14ac:dyDescent="0.2">
      <c r="A6062" s="121">
        <v>41243</v>
      </c>
      <c r="B6062" t="s">
        <v>406</v>
      </c>
      <c r="C6062" t="s">
        <v>551</v>
      </c>
      <c r="D6062" t="s">
        <v>556</v>
      </c>
      <c r="E6062" t="s">
        <v>557</v>
      </c>
      <c r="F6062" t="s">
        <v>410</v>
      </c>
      <c r="G6062">
        <v>84</v>
      </c>
      <c r="I6062">
        <v>84</v>
      </c>
    </row>
    <row r="6063" spans="1:17" x14ac:dyDescent="0.2">
      <c r="A6063" s="121">
        <v>41243</v>
      </c>
      <c r="B6063" t="s">
        <v>406</v>
      </c>
      <c r="C6063" t="s">
        <v>551</v>
      </c>
      <c r="D6063" t="s">
        <v>558</v>
      </c>
      <c r="E6063" t="s">
        <v>559</v>
      </c>
      <c r="F6063" t="s">
        <v>413</v>
      </c>
      <c r="G6063">
        <v>4568</v>
      </c>
      <c r="H6063">
        <v>4568</v>
      </c>
      <c r="I6063">
        <v>4228</v>
      </c>
      <c r="J6063">
        <v>4228</v>
      </c>
      <c r="K6063">
        <v>1328</v>
      </c>
      <c r="L6063">
        <v>5</v>
      </c>
      <c r="M6063">
        <v>3087</v>
      </c>
      <c r="N6063">
        <v>133</v>
      </c>
      <c r="O6063">
        <v>15</v>
      </c>
      <c r="P6063">
        <v>15</v>
      </c>
      <c r="Q6063">
        <v>0</v>
      </c>
    </row>
    <row r="6064" spans="1:17" x14ac:dyDescent="0.2">
      <c r="A6064" s="121">
        <v>41243</v>
      </c>
      <c r="B6064" t="s">
        <v>406</v>
      </c>
      <c r="C6064" t="s">
        <v>551</v>
      </c>
      <c r="D6064" t="s">
        <v>560</v>
      </c>
      <c r="E6064" t="s">
        <v>561</v>
      </c>
      <c r="F6064" t="s">
        <v>413</v>
      </c>
      <c r="G6064">
        <v>5067</v>
      </c>
      <c r="H6064">
        <v>5067</v>
      </c>
      <c r="I6064">
        <v>4206</v>
      </c>
      <c r="J6064">
        <v>4206</v>
      </c>
      <c r="K6064">
        <v>1253</v>
      </c>
      <c r="L6064">
        <v>5</v>
      </c>
      <c r="M6064">
        <v>3408</v>
      </c>
      <c r="N6064">
        <v>256</v>
      </c>
      <c r="O6064">
        <v>145</v>
      </c>
      <c r="P6064">
        <v>146</v>
      </c>
      <c r="Q6064">
        <v>44</v>
      </c>
    </row>
    <row r="6065" spans="1:17" x14ac:dyDescent="0.2">
      <c r="A6065" s="121">
        <v>41243</v>
      </c>
      <c r="B6065" t="s">
        <v>406</v>
      </c>
      <c r="C6065" t="s">
        <v>562</v>
      </c>
      <c r="D6065" t="s">
        <v>605</v>
      </c>
      <c r="E6065" t="s">
        <v>606</v>
      </c>
      <c r="F6065" t="s">
        <v>410</v>
      </c>
      <c r="G6065">
        <v>88</v>
      </c>
      <c r="I6065">
        <v>88</v>
      </c>
    </row>
    <row r="6066" spans="1:17" x14ac:dyDescent="0.2">
      <c r="A6066" s="121">
        <v>41243</v>
      </c>
      <c r="B6066" t="s">
        <v>406</v>
      </c>
      <c r="C6066" t="s">
        <v>562</v>
      </c>
      <c r="D6066" t="s">
        <v>563</v>
      </c>
      <c r="E6066" t="s">
        <v>564</v>
      </c>
      <c r="F6066" t="s">
        <v>410</v>
      </c>
      <c r="G6066">
        <v>3214</v>
      </c>
      <c r="H6066">
        <v>3214</v>
      </c>
      <c r="I6066">
        <v>2922</v>
      </c>
      <c r="J6066">
        <v>2922</v>
      </c>
      <c r="K6066">
        <v>1089</v>
      </c>
      <c r="L6066">
        <v>2</v>
      </c>
      <c r="M6066">
        <v>2090</v>
      </c>
      <c r="N6066">
        <v>33</v>
      </c>
      <c r="O6066">
        <v>0</v>
      </c>
      <c r="P6066">
        <v>20</v>
      </c>
      <c r="Q6066">
        <v>3</v>
      </c>
    </row>
    <row r="6067" spans="1:17" x14ac:dyDescent="0.2">
      <c r="A6067" s="121">
        <v>41243</v>
      </c>
      <c r="B6067" t="s">
        <v>406</v>
      </c>
      <c r="C6067" t="s">
        <v>562</v>
      </c>
      <c r="D6067" t="s">
        <v>565</v>
      </c>
      <c r="E6067" t="s">
        <v>566</v>
      </c>
      <c r="F6067" t="s">
        <v>413</v>
      </c>
      <c r="G6067">
        <v>4373</v>
      </c>
      <c r="H6067">
        <v>4373</v>
      </c>
      <c r="I6067">
        <v>4039</v>
      </c>
      <c r="J6067">
        <v>4039</v>
      </c>
      <c r="K6067">
        <v>1030</v>
      </c>
      <c r="L6067">
        <v>2</v>
      </c>
      <c r="M6067">
        <v>3235</v>
      </c>
      <c r="N6067">
        <v>106</v>
      </c>
      <c r="O6067">
        <v>0</v>
      </c>
      <c r="P6067">
        <v>34</v>
      </c>
      <c r="Q6067">
        <v>4</v>
      </c>
    </row>
    <row r="6068" spans="1:17" x14ac:dyDescent="0.2">
      <c r="A6068" s="121">
        <v>41243</v>
      </c>
      <c r="B6068" t="s">
        <v>406</v>
      </c>
      <c r="C6068" t="s">
        <v>562</v>
      </c>
      <c r="D6068" t="s">
        <v>567</v>
      </c>
      <c r="E6068" t="s">
        <v>568</v>
      </c>
      <c r="F6068" t="s">
        <v>413</v>
      </c>
      <c r="G6068">
        <v>8950</v>
      </c>
      <c r="H6068">
        <v>8950</v>
      </c>
      <c r="I6068">
        <v>7132</v>
      </c>
      <c r="J6068">
        <v>7132</v>
      </c>
      <c r="K6068">
        <v>2687</v>
      </c>
      <c r="L6068">
        <v>16</v>
      </c>
      <c r="M6068">
        <v>6017</v>
      </c>
      <c r="N6068">
        <v>230</v>
      </c>
      <c r="O6068">
        <v>0</v>
      </c>
      <c r="P6068">
        <v>252</v>
      </c>
      <c r="Q6068">
        <v>30</v>
      </c>
    </row>
    <row r="6069" spans="1:17" x14ac:dyDescent="0.2">
      <c r="A6069" s="121">
        <v>41243</v>
      </c>
      <c r="B6069" t="s">
        <v>406</v>
      </c>
      <c r="C6069" t="s">
        <v>562</v>
      </c>
      <c r="D6069" t="s">
        <v>569</v>
      </c>
      <c r="E6069" t="s">
        <v>570</v>
      </c>
      <c r="F6069" t="s">
        <v>413</v>
      </c>
      <c r="G6069">
        <v>3845</v>
      </c>
      <c r="H6069">
        <v>3845</v>
      </c>
      <c r="I6069">
        <v>3720</v>
      </c>
      <c r="J6069">
        <v>3720</v>
      </c>
      <c r="K6069">
        <v>581</v>
      </c>
      <c r="L6069">
        <v>0</v>
      </c>
      <c r="M6069">
        <v>3263</v>
      </c>
      <c r="N6069">
        <v>1</v>
      </c>
      <c r="O6069">
        <v>0</v>
      </c>
      <c r="P6069">
        <v>4</v>
      </c>
      <c r="Q6069">
        <v>1</v>
      </c>
    </row>
    <row r="6070" spans="1:17" x14ac:dyDescent="0.2">
      <c r="A6070" s="121">
        <v>41243</v>
      </c>
      <c r="B6070" t="s">
        <v>406</v>
      </c>
      <c r="C6070" t="s">
        <v>571</v>
      </c>
      <c r="D6070" t="s">
        <v>572</v>
      </c>
      <c r="E6070" t="s">
        <v>573</v>
      </c>
      <c r="F6070" t="s">
        <v>410</v>
      </c>
      <c r="G6070">
        <v>292</v>
      </c>
      <c r="H6070">
        <v>292</v>
      </c>
      <c r="I6070">
        <v>284</v>
      </c>
      <c r="J6070">
        <v>284</v>
      </c>
      <c r="K6070">
        <v>3</v>
      </c>
      <c r="L6070">
        <v>1</v>
      </c>
      <c r="M6070">
        <v>285</v>
      </c>
      <c r="N6070">
        <v>0</v>
      </c>
      <c r="O6070">
        <v>3</v>
      </c>
      <c r="P6070">
        <v>0</v>
      </c>
      <c r="Q6070">
        <v>0</v>
      </c>
    </row>
    <row r="6071" spans="1:17" x14ac:dyDescent="0.2">
      <c r="A6071" s="121">
        <v>41243</v>
      </c>
      <c r="B6071" t="s">
        <v>406</v>
      </c>
      <c r="C6071" t="s">
        <v>574</v>
      </c>
      <c r="D6071" t="s">
        <v>575</v>
      </c>
      <c r="E6071" t="s">
        <v>576</v>
      </c>
      <c r="F6071" t="s">
        <v>413</v>
      </c>
      <c r="G6071">
        <v>627</v>
      </c>
      <c r="H6071">
        <v>627</v>
      </c>
      <c r="I6071">
        <v>621</v>
      </c>
      <c r="J6071">
        <v>621</v>
      </c>
      <c r="K6071">
        <v>196</v>
      </c>
      <c r="L6071">
        <v>2</v>
      </c>
      <c r="M6071">
        <v>405</v>
      </c>
      <c r="N6071">
        <v>4</v>
      </c>
      <c r="O6071">
        <v>20</v>
      </c>
      <c r="P6071">
        <v>0</v>
      </c>
      <c r="Q6071">
        <v>0</v>
      </c>
    </row>
    <row r="6072" spans="1:17" x14ac:dyDescent="0.2">
      <c r="A6072" s="121">
        <v>41243</v>
      </c>
      <c r="B6072" t="s">
        <v>406</v>
      </c>
      <c r="C6072" t="s">
        <v>577</v>
      </c>
      <c r="D6072" t="s">
        <v>578</v>
      </c>
      <c r="E6072" t="s">
        <v>579</v>
      </c>
      <c r="F6072" t="s">
        <v>413</v>
      </c>
      <c r="G6072">
        <v>3739</v>
      </c>
      <c r="H6072">
        <v>3739</v>
      </c>
      <c r="I6072">
        <v>3695</v>
      </c>
      <c r="J6072">
        <v>3695</v>
      </c>
      <c r="K6072">
        <v>835</v>
      </c>
      <c r="L6072">
        <v>8</v>
      </c>
      <c r="M6072">
        <v>2628</v>
      </c>
      <c r="N6072">
        <v>260</v>
      </c>
      <c r="O6072">
        <v>8</v>
      </c>
      <c r="P6072">
        <v>0</v>
      </c>
      <c r="Q6072">
        <v>0</v>
      </c>
    </row>
    <row r="6073" spans="1:17" x14ac:dyDescent="0.2">
      <c r="A6073" s="121">
        <v>41243</v>
      </c>
      <c r="B6073" t="s">
        <v>406</v>
      </c>
      <c r="C6073" t="s">
        <v>577</v>
      </c>
      <c r="D6073" t="s">
        <v>580</v>
      </c>
      <c r="E6073" t="s">
        <v>581</v>
      </c>
      <c r="F6073" t="s">
        <v>413</v>
      </c>
      <c r="G6073">
        <v>1893</v>
      </c>
      <c r="H6073">
        <v>1893</v>
      </c>
      <c r="I6073">
        <v>1871</v>
      </c>
      <c r="J6073">
        <v>1871</v>
      </c>
      <c r="K6073">
        <v>323</v>
      </c>
      <c r="L6073">
        <v>0</v>
      </c>
      <c r="M6073">
        <v>1288</v>
      </c>
      <c r="N6073">
        <v>243</v>
      </c>
      <c r="O6073">
        <v>39</v>
      </c>
      <c r="P6073">
        <v>0</v>
      </c>
      <c r="Q6073">
        <v>0</v>
      </c>
    </row>
    <row r="6074" spans="1:17" x14ac:dyDescent="0.2">
      <c r="A6074" s="121">
        <v>41243</v>
      </c>
      <c r="B6074" t="s">
        <v>406</v>
      </c>
      <c r="C6074" t="s">
        <v>577</v>
      </c>
      <c r="D6074" t="s">
        <v>609</v>
      </c>
      <c r="E6074" t="s">
        <v>610</v>
      </c>
      <c r="F6074" t="s">
        <v>410</v>
      </c>
      <c r="G6074">
        <v>28</v>
      </c>
      <c r="H6074">
        <v>28</v>
      </c>
      <c r="I6074">
        <v>28</v>
      </c>
      <c r="J6074">
        <v>28</v>
      </c>
      <c r="K6074">
        <v>0</v>
      </c>
      <c r="L6074">
        <v>0</v>
      </c>
      <c r="M6074">
        <v>25</v>
      </c>
      <c r="N6074">
        <v>3</v>
      </c>
      <c r="O6074">
        <v>0</v>
      </c>
      <c r="P6074">
        <v>0</v>
      </c>
      <c r="Q6074">
        <v>0</v>
      </c>
    </row>
    <row r="6075" spans="1:17" x14ac:dyDescent="0.2">
      <c r="A6075" s="121">
        <v>41243</v>
      </c>
      <c r="B6075" t="s">
        <v>406</v>
      </c>
      <c r="C6075" t="s">
        <v>577</v>
      </c>
      <c r="D6075" t="s">
        <v>611</v>
      </c>
      <c r="E6075" t="s">
        <v>612</v>
      </c>
      <c r="F6075" t="s">
        <v>410</v>
      </c>
      <c r="G6075">
        <v>5</v>
      </c>
      <c r="H6075">
        <v>5</v>
      </c>
      <c r="I6075">
        <v>5</v>
      </c>
      <c r="J6075">
        <v>5</v>
      </c>
      <c r="K6075">
        <v>0</v>
      </c>
      <c r="L6075">
        <v>0</v>
      </c>
      <c r="M6075">
        <v>0</v>
      </c>
      <c r="N6075">
        <v>0</v>
      </c>
      <c r="O6075">
        <v>5</v>
      </c>
      <c r="P6075">
        <v>0</v>
      </c>
      <c r="Q6075">
        <v>0</v>
      </c>
    </row>
    <row r="6076" spans="1:17" x14ac:dyDescent="0.2">
      <c r="A6076" s="121">
        <v>41243</v>
      </c>
      <c r="B6076" t="s">
        <v>406</v>
      </c>
      <c r="C6076" t="s">
        <v>577</v>
      </c>
      <c r="D6076" t="s">
        <v>584</v>
      </c>
      <c r="E6076" t="s">
        <v>585</v>
      </c>
      <c r="F6076" t="s">
        <v>410</v>
      </c>
      <c r="G6076">
        <v>211</v>
      </c>
      <c r="H6076">
        <v>211</v>
      </c>
      <c r="I6076">
        <v>211</v>
      </c>
      <c r="J6076">
        <v>211</v>
      </c>
      <c r="K6076">
        <v>0</v>
      </c>
      <c r="L6076">
        <v>0</v>
      </c>
      <c r="M6076">
        <v>197</v>
      </c>
      <c r="N6076">
        <v>14</v>
      </c>
      <c r="O6076">
        <v>0</v>
      </c>
      <c r="P6076">
        <v>0</v>
      </c>
      <c r="Q6076">
        <v>0</v>
      </c>
    </row>
    <row r="6077" spans="1:17" x14ac:dyDescent="0.2">
      <c r="A6077" s="121">
        <v>41243</v>
      </c>
      <c r="B6077" t="s">
        <v>406</v>
      </c>
      <c r="C6077" t="s">
        <v>577</v>
      </c>
      <c r="D6077" t="s">
        <v>586</v>
      </c>
      <c r="E6077" t="s">
        <v>587</v>
      </c>
      <c r="F6077" t="s">
        <v>410</v>
      </c>
      <c r="G6077">
        <v>992</v>
      </c>
      <c r="H6077">
        <v>992</v>
      </c>
      <c r="I6077">
        <v>992</v>
      </c>
      <c r="J6077">
        <v>992</v>
      </c>
      <c r="K6077">
        <v>0</v>
      </c>
      <c r="L6077">
        <v>0</v>
      </c>
      <c r="M6077">
        <v>929</v>
      </c>
      <c r="N6077">
        <v>62</v>
      </c>
      <c r="O6077">
        <v>1</v>
      </c>
      <c r="P6077">
        <v>0</v>
      </c>
      <c r="Q6077">
        <v>0</v>
      </c>
    </row>
    <row r="6078" spans="1:17" x14ac:dyDescent="0.2">
      <c r="A6078" s="121">
        <v>41243</v>
      </c>
      <c r="B6078" t="s">
        <v>406</v>
      </c>
      <c r="C6078" t="s">
        <v>577</v>
      </c>
      <c r="D6078" t="s">
        <v>588</v>
      </c>
      <c r="E6078" t="s">
        <v>589</v>
      </c>
      <c r="F6078" t="s">
        <v>410</v>
      </c>
      <c r="G6078">
        <v>268</v>
      </c>
      <c r="H6078">
        <v>268</v>
      </c>
      <c r="I6078">
        <v>268</v>
      </c>
      <c r="J6078">
        <v>268</v>
      </c>
      <c r="K6078">
        <v>0</v>
      </c>
      <c r="L6078">
        <v>0</v>
      </c>
      <c r="M6078">
        <v>252</v>
      </c>
      <c r="N6078">
        <v>16</v>
      </c>
      <c r="O6078">
        <v>0</v>
      </c>
      <c r="P6078">
        <v>0</v>
      </c>
      <c r="Q6078">
        <v>0</v>
      </c>
    </row>
    <row r="6079" spans="1:17" x14ac:dyDescent="0.2">
      <c r="A6079" s="121">
        <v>41243</v>
      </c>
      <c r="B6079" t="s">
        <v>406</v>
      </c>
      <c r="C6079" t="s">
        <v>577</v>
      </c>
      <c r="D6079" t="s">
        <v>613</v>
      </c>
      <c r="E6079" t="s">
        <v>614</v>
      </c>
      <c r="F6079" t="s">
        <v>410</v>
      </c>
      <c r="G6079">
        <v>130</v>
      </c>
      <c r="H6079">
        <v>130</v>
      </c>
      <c r="I6079">
        <v>130</v>
      </c>
      <c r="J6079">
        <v>130</v>
      </c>
      <c r="K6079">
        <v>0</v>
      </c>
      <c r="L6079">
        <v>0</v>
      </c>
      <c r="M6079">
        <v>98</v>
      </c>
      <c r="N6079">
        <v>12</v>
      </c>
      <c r="O6079">
        <v>20</v>
      </c>
      <c r="P6079">
        <v>0</v>
      </c>
      <c r="Q6079">
        <v>0</v>
      </c>
    </row>
    <row r="6080" spans="1:17" x14ac:dyDescent="0.2">
      <c r="A6080" s="121">
        <v>41243</v>
      </c>
      <c r="B6080" t="s">
        <v>406</v>
      </c>
      <c r="C6080" t="s">
        <v>577</v>
      </c>
      <c r="D6080" t="s">
        <v>590</v>
      </c>
      <c r="E6080" t="s">
        <v>591</v>
      </c>
      <c r="F6080" t="s">
        <v>410</v>
      </c>
      <c r="G6080">
        <v>494</v>
      </c>
      <c r="H6080">
        <v>494</v>
      </c>
      <c r="I6080">
        <v>494</v>
      </c>
      <c r="J6080">
        <v>494</v>
      </c>
      <c r="K6080">
        <v>0</v>
      </c>
      <c r="L6080">
        <v>2</v>
      </c>
      <c r="M6080">
        <v>480</v>
      </c>
      <c r="N6080">
        <v>12</v>
      </c>
      <c r="O6080">
        <v>0</v>
      </c>
      <c r="P6080">
        <v>0</v>
      </c>
      <c r="Q6080">
        <v>0</v>
      </c>
    </row>
    <row r="6081" spans="1:17" x14ac:dyDescent="0.2">
      <c r="A6081" s="121">
        <v>41243</v>
      </c>
      <c r="B6081" t="s">
        <v>406</v>
      </c>
      <c r="C6081" t="s">
        <v>577</v>
      </c>
      <c r="D6081" t="s">
        <v>607</v>
      </c>
      <c r="E6081" t="s">
        <v>608</v>
      </c>
      <c r="F6081" t="s">
        <v>410</v>
      </c>
      <c r="G6081">
        <v>128</v>
      </c>
      <c r="H6081">
        <v>128</v>
      </c>
      <c r="I6081">
        <v>128</v>
      </c>
      <c r="J6081">
        <v>128</v>
      </c>
      <c r="K6081">
        <v>1</v>
      </c>
      <c r="L6081">
        <v>0</v>
      </c>
      <c r="M6081">
        <v>127</v>
      </c>
      <c r="N6081">
        <v>0</v>
      </c>
      <c r="O6081">
        <v>0</v>
      </c>
      <c r="P6081">
        <v>0</v>
      </c>
      <c r="Q6081">
        <v>0</v>
      </c>
    </row>
    <row r="6082" spans="1:17" x14ac:dyDescent="0.2">
      <c r="A6082" s="121">
        <v>41243</v>
      </c>
      <c r="B6082" t="s">
        <v>406</v>
      </c>
      <c r="C6082" t="s">
        <v>577</v>
      </c>
      <c r="D6082" t="s">
        <v>592</v>
      </c>
      <c r="E6082" t="s">
        <v>593</v>
      </c>
      <c r="F6082" t="s">
        <v>410</v>
      </c>
      <c r="G6082">
        <v>496</v>
      </c>
      <c r="H6082">
        <v>496</v>
      </c>
      <c r="I6082">
        <v>496</v>
      </c>
      <c r="J6082">
        <v>496</v>
      </c>
      <c r="K6082">
        <v>0</v>
      </c>
      <c r="L6082">
        <v>1</v>
      </c>
      <c r="M6082">
        <v>457</v>
      </c>
      <c r="N6082">
        <v>35</v>
      </c>
      <c r="O6082">
        <v>3</v>
      </c>
      <c r="P6082">
        <v>0</v>
      </c>
      <c r="Q6082">
        <v>0</v>
      </c>
    </row>
    <row r="6083" spans="1:17" x14ac:dyDescent="0.2">
      <c r="A6083" s="121">
        <v>41243</v>
      </c>
      <c r="B6083" t="s">
        <v>406</v>
      </c>
      <c r="C6083" t="s">
        <v>594</v>
      </c>
      <c r="D6083" t="s">
        <v>595</v>
      </c>
      <c r="E6083" t="s">
        <v>596</v>
      </c>
      <c r="F6083" t="s">
        <v>410</v>
      </c>
      <c r="G6083">
        <v>32</v>
      </c>
      <c r="I6083">
        <v>32</v>
      </c>
    </row>
    <row r="6084" spans="1:17" x14ac:dyDescent="0.2">
      <c r="A6084" s="121">
        <v>41243</v>
      </c>
      <c r="B6084" t="s">
        <v>406</v>
      </c>
      <c r="C6084" t="s">
        <v>594</v>
      </c>
      <c r="D6084" t="s">
        <v>597</v>
      </c>
      <c r="E6084" t="s">
        <v>598</v>
      </c>
      <c r="F6084" t="s">
        <v>413</v>
      </c>
      <c r="G6084">
        <v>525</v>
      </c>
      <c r="H6084">
        <v>525</v>
      </c>
      <c r="I6084">
        <v>511</v>
      </c>
      <c r="J6084">
        <v>511</v>
      </c>
      <c r="K6084">
        <v>128</v>
      </c>
      <c r="L6084">
        <v>0</v>
      </c>
      <c r="M6084">
        <v>380</v>
      </c>
      <c r="N6084">
        <v>16</v>
      </c>
      <c r="O6084">
        <v>1</v>
      </c>
      <c r="P6084">
        <v>0</v>
      </c>
      <c r="Q6084">
        <v>0</v>
      </c>
    </row>
    <row r="6085" spans="1:17" x14ac:dyDescent="0.2">
      <c r="A6085" s="121">
        <v>41243</v>
      </c>
      <c r="B6085" t="s">
        <v>406</v>
      </c>
      <c r="C6085" t="s">
        <v>594</v>
      </c>
      <c r="D6085" t="s">
        <v>599</v>
      </c>
      <c r="E6085" t="s">
        <v>600</v>
      </c>
      <c r="F6085" t="s">
        <v>410</v>
      </c>
      <c r="G6085">
        <v>90</v>
      </c>
      <c r="I6085">
        <v>90</v>
      </c>
    </row>
    <row r="6086" spans="1:17" x14ac:dyDescent="0.2">
      <c r="A6086" s="121">
        <v>41274</v>
      </c>
      <c r="B6086" t="s">
        <v>406</v>
      </c>
      <c r="C6086" t="s">
        <v>407</v>
      </c>
      <c r="D6086" t="s">
        <v>408</v>
      </c>
      <c r="E6086" t="s">
        <v>409</v>
      </c>
      <c r="F6086" t="s">
        <v>410</v>
      </c>
      <c r="G6086">
        <v>188</v>
      </c>
      <c r="I6086">
        <v>188</v>
      </c>
    </row>
    <row r="6087" spans="1:17" x14ac:dyDescent="0.2">
      <c r="A6087" s="121">
        <v>41274</v>
      </c>
      <c r="B6087" t="s">
        <v>406</v>
      </c>
      <c r="C6087" t="s">
        <v>407</v>
      </c>
      <c r="D6087" t="s">
        <v>601</v>
      </c>
      <c r="E6087" t="s">
        <v>602</v>
      </c>
      <c r="F6087" t="s">
        <v>410</v>
      </c>
      <c r="G6087">
        <v>39</v>
      </c>
      <c r="I6087">
        <v>39</v>
      </c>
    </row>
    <row r="6088" spans="1:17" x14ac:dyDescent="0.2">
      <c r="A6088" s="121">
        <v>41274</v>
      </c>
      <c r="B6088" t="s">
        <v>406</v>
      </c>
      <c r="C6088" t="s">
        <v>407</v>
      </c>
      <c r="D6088" t="s">
        <v>411</v>
      </c>
      <c r="E6088" t="s">
        <v>412</v>
      </c>
      <c r="F6088" t="s">
        <v>413</v>
      </c>
      <c r="G6088">
        <v>5971</v>
      </c>
      <c r="H6088">
        <v>5971</v>
      </c>
      <c r="I6088">
        <v>5279</v>
      </c>
      <c r="J6088">
        <v>5279</v>
      </c>
      <c r="K6088">
        <v>2557</v>
      </c>
      <c r="L6088">
        <v>17</v>
      </c>
      <c r="M6088">
        <v>3077</v>
      </c>
      <c r="N6088">
        <v>114</v>
      </c>
      <c r="O6088">
        <v>206</v>
      </c>
      <c r="P6088">
        <v>59</v>
      </c>
      <c r="Q6088">
        <v>7</v>
      </c>
    </row>
    <row r="6089" spans="1:17" x14ac:dyDescent="0.2">
      <c r="A6089" s="121">
        <v>41274</v>
      </c>
      <c r="B6089" t="s">
        <v>406</v>
      </c>
      <c r="C6089" t="s">
        <v>407</v>
      </c>
      <c r="D6089" t="s">
        <v>416</v>
      </c>
      <c r="E6089" t="s">
        <v>417</v>
      </c>
      <c r="F6089" t="s">
        <v>413</v>
      </c>
      <c r="G6089">
        <v>3584</v>
      </c>
      <c r="H6089">
        <v>3584</v>
      </c>
      <c r="I6089">
        <v>3071</v>
      </c>
      <c r="J6089">
        <v>3071</v>
      </c>
      <c r="K6089">
        <v>1381</v>
      </c>
      <c r="L6089">
        <v>12</v>
      </c>
      <c r="M6089">
        <v>1989</v>
      </c>
      <c r="N6089">
        <v>133</v>
      </c>
      <c r="O6089">
        <v>69</v>
      </c>
      <c r="P6089">
        <v>57</v>
      </c>
      <c r="Q6089">
        <v>17</v>
      </c>
    </row>
    <row r="6090" spans="1:17" x14ac:dyDescent="0.2">
      <c r="A6090" s="121">
        <v>41274</v>
      </c>
      <c r="B6090" t="s">
        <v>406</v>
      </c>
      <c r="C6090" t="s">
        <v>407</v>
      </c>
      <c r="D6090" t="s">
        <v>618</v>
      </c>
      <c r="E6090" t="s">
        <v>619</v>
      </c>
      <c r="F6090" t="s">
        <v>410</v>
      </c>
      <c r="G6090">
        <v>66</v>
      </c>
      <c r="I6090">
        <v>66</v>
      </c>
    </row>
    <row r="6091" spans="1:17" x14ac:dyDescent="0.2">
      <c r="A6091" s="121">
        <v>41274</v>
      </c>
      <c r="B6091" t="s">
        <v>406</v>
      </c>
      <c r="C6091" t="s">
        <v>418</v>
      </c>
      <c r="D6091" t="s">
        <v>419</v>
      </c>
      <c r="E6091" t="s">
        <v>420</v>
      </c>
      <c r="F6091" t="s">
        <v>410</v>
      </c>
      <c r="G6091">
        <v>13</v>
      </c>
      <c r="I6091">
        <v>13</v>
      </c>
    </row>
    <row r="6092" spans="1:17" x14ac:dyDescent="0.2">
      <c r="A6092" s="121">
        <v>41274</v>
      </c>
      <c r="B6092" t="s">
        <v>406</v>
      </c>
      <c r="C6092" t="s">
        <v>418</v>
      </c>
      <c r="D6092" t="s">
        <v>421</v>
      </c>
      <c r="E6092" t="s">
        <v>422</v>
      </c>
      <c r="F6092" t="s">
        <v>410</v>
      </c>
      <c r="G6092">
        <v>105</v>
      </c>
      <c r="I6092">
        <v>105</v>
      </c>
    </row>
    <row r="6093" spans="1:17" x14ac:dyDescent="0.2">
      <c r="A6093" s="121">
        <v>41274</v>
      </c>
      <c r="B6093" t="s">
        <v>406</v>
      </c>
      <c r="C6093" t="s">
        <v>418</v>
      </c>
      <c r="D6093" t="s">
        <v>423</v>
      </c>
      <c r="E6093" t="s">
        <v>424</v>
      </c>
      <c r="F6093" t="s">
        <v>410</v>
      </c>
      <c r="G6093">
        <v>16</v>
      </c>
      <c r="I6093">
        <v>16</v>
      </c>
    </row>
    <row r="6094" spans="1:17" x14ac:dyDescent="0.2">
      <c r="A6094" s="121">
        <v>41274</v>
      </c>
      <c r="B6094" t="s">
        <v>406</v>
      </c>
      <c r="C6094" t="s">
        <v>418</v>
      </c>
      <c r="D6094" t="s">
        <v>425</v>
      </c>
      <c r="E6094" t="s">
        <v>426</v>
      </c>
      <c r="F6094" t="s">
        <v>410</v>
      </c>
      <c r="G6094">
        <v>44</v>
      </c>
      <c r="I6094">
        <v>44</v>
      </c>
    </row>
    <row r="6095" spans="1:17" x14ac:dyDescent="0.2">
      <c r="A6095" s="121">
        <v>41274</v>
      </c>
      <c r="B6095" t="s">
        <v>406</v>
      </c>
      <c r="C6095" t="s">
        <v>418</v>
      </c>
      <c r="D6095" t="s">
        <v>427</v>
      </c>
      <c r="E6095" t="s">
        <v>428</v>
      </c>
      <c r="F6095" t="s">
        <v>413</v>
      </c>
      <c r="G6095">
        <v>1960</v>
      </c>
      <c r="H6095">
        <v>1960</v>
      </c>
      <c r="I6095">
        <v>1851</v>
      </c>
      <c r="J6095">
        <v>1851</v>
      </c>
      <c r="K6095">
        <v>760</v>
      </c>
      <c r="L6095">
        <v>2</v>
      </c>
      <c r="M6095">
        <v>907</v>
      </c>
      <c r="N6095">
        <v>258</v>
      </c>
      <c r="O6095">
        <v>33</v>
      </c>
      <c r="P6095">
        <v>4</v>
      </c>
      <c r="Q6095">
        <v>0</v>
      </c>
    </row>
    <row r="6096" spans="1:17" x14ac:dyDescent="0.2">
      <c r="A6096" s="121">
        <v>41274</v>
      </c>
      <c r="B6096" t="s">
        <v>406</v>
      </c>
      <c r="C6096" t="s">
        <v>429</v>
      </c>
      <c r="D6096" t="s">
        <v>430</v>
      </c>
      <c r="E6096" t="s">
        <v>431</v>
      </c>
      <c r="F6096" t="s">
        <v>410</v>
      </c>
      <c r="G6096">
        <v>25</v>
      </c>
      <c r="I6096">
        <v>25</v>
      </c>
    </row>
    <row r="6097" spans="1:17" x14ac:dyDescent="0.2">
      <c r="A6097" s="121">
        <v>41274</v>
      </c>
      <c r="B6097" t="s">
        <v>406</v>
      </c>
      <c r="C6097" t="s">
        <v>429</v>
      </c>
      <c r="D6097" t="s">
        <v>432</v>
      </c>
      <c r="E6097" t="s">
        <v>433</v>
      </c>
      <c r="F6097" t="s">
        <v>410</v>
      </c>
      <c r="G6097">
        <v>11</v>
      </c>
      <c r="I6097">
        <v>11</v>
      </c>
    </row>
    <row r="6098" spans="1:17" x14ac:dyDescent="0.2">
      <c r="A6098" s="121">
        <v>41274</v>
      </c>
      <c r="B6098" t="s">
        <v>406</v>
      </c>
      <c r="C6098" t="s">
        <v>429</v>
      </c>
      <c r="D6098" t="s">
        <v>434</v>
      </c>
      <c r="E6098" t="s">
        <v>435</v>
      </c>
      <c r="F6098" t="s">
        <v>410</v>
      </c>
      <c r="G6098">
        <v>6</v>
      </c>
      <c r="I6098">
        <v>6</v>
      </c>
    </row>
    <row r="6099" spans="1:17" x14ac:dyDescent="0.2">
      <c r="A6099" s="121">
        <v>41274</v>
      </c>
      <c r="B6099" t="s">
        <v>406</v>
      </c>
      <c r="C6099" t="s">
        <v>429</v>
      </c>
      <c r="D6099" t="s">
        <v>436</v>
      </c>
      <c r="E6099" t="s">
        <v>437</v>
      </c>
      <c r="F6099" t="s">
        <v>410</v>
      </c>
      <c r="G6099">
        <v>16</v>
      </c>
      <c r="H6099">
        <v>16</v>
      </c>
      <c r="I6099">
        <v>16</v>
      </c>
      <c r="J6099">
        <v>16</v>
      </c>
      <c r="K6099">
        <v>1</v>
      </c>
      <c r="L6099">
        <v>0</v>
      </c>
      <c r="M6099">
        <v>11</v>
      </c>
      <c r="N6099">
        <v>4</v>
      </c>
      <c r="O6099">
        <v>0</v>
      </c>
      <c r="P6099">
        <v>0</v>
      </c>
      <c r="Q6099">
        <v>0</v>
      </c>
    </row>
    <row r="6100" spans="1:17" x14ac:dyDescent="0.2">
      <c r="A6100" s="121">
        <v>41274</v>
      </c>
      <c r="B6100" t="s">
        <v>406</v>
      </c>
      <c r="C6100" t="s">
        <v>429</v>
      </c>
      <c r="D6100" t="s">
        <v>438</v>
      </c>
      <c r="E6100" t="s">
        <v>439</v>
      </c>
      <c r="F6100" t="s">
        <v>413</v>
      </c>
      <c r="G6100">
        <v>939</v>
      </c>
      <c r="H6100">
        <v>939</v>
      </c>
      <c r="I6100">
        <v>914</v>
      </c>
      <c r="J6100">
        <v>914</v>
      </c>
      <c r="K6100">
        <v>109</v>
      </c>
      <c r="L6100">
        <v>0</v>
      </c>
      <c r="M6100">
        <v>797</v>
      </c>
      <c r="N6100">
        <v>33</v>
      </c>
      <c r="O6100">
        <v>0</v>
      </c>
      <c r="P6100">
        <v>0</v>
      </c>
      <c r="Q6100">
        <v>0</v>
      </c>
    </row>
    <row r="6101" spans="1:17" x14ac:dyDescent="0.2">
      <c r="A6101" s="121">
        <v>41274</v>
      </c>
      <c r="B6101" t="s">
        <v>406</v>
      </c>
      <c r="C6101" t="s">
        <v>429</v>
      </c>
      <c r="D6101" t="s">
        <v>440</v>
      </c>
      <c r="E6101" t="s">
        <v>441</v>
      </c>
      <c r="F6101" t="s">
        <v>413</v>
      </c>
      <c r="G6101">
        <v>2695</v>
      </c>
      <c r="H6101">
        <v>2695</v>
      </c>
      <c r="I6101">
        <v>2546</v>
      </c>
      <c r="J6101">
        <v>2546</v>
      </c>
      <c r="K6101">
        <v>987</v>
      </c>
      <c r="L6101">
        <v>2</v>
      </c>
      <c r="M6101">
        <v>1625</v>
      </c>
      <c r="N6101">
        <v>81</v>
      </c>
      <c r="O6101">
        <v>0</v>
      </c>
      <c r="P6101">
        <v>0</v>
      </c>
      <c r="Q6101">
        <v>0</v>
      </c>
    </row>
    <row r="6102" spans="1:17" x14ac:dyDescent="0.2">
      <c r="A6102" s="121">
        <v>41274</v>
      </c>
      <c r="B6102" t="s">
        <v>406</v>
      </c>
      <c r="C6102" t="s">
        <v>442</v>
      </c>
      <c r="D6102" t="s">
        <v>443</v>
      </c>
      <c r="E6102" t="s">
        <v>444</v>
      </c>
      <c r="F6102" t="s">
        <v>413</v>
      </c>
      <c r="G6102">
        <v>5147</v>
      </c>
      <c r="H6102">
        <v>5147</v>
      </c>
      <c r="I6102">
        <v>4529</v>
      </c>
      <c r="J6102">
        <v>4529</v>
      </c>
      <c r="K6102">
        <v>1372</v>
      </c>
      <c r="L6102">
        <v>12</v>
      </c>
      <c r="M6102">
        <v>3387</v>
      </c>
      <c r="N6102">
        <v>215</v>
      </c>
      <c r="O6102">
        <v>161</v>
      </c>
      <c r="P6102">
        <v>199</v>
      </c>
      <c r="Q6102">
        <v>65</v>
      </c>
    </row>
    <row r="6103" spans="1:17" x14ac:dyDescent="0.2">
      <c r="A6103" s="121">
        <v>41274</v>
      </c>
      <c r="B6103" t="s">
        <v>406</v>
      </c>
      <c r="C6103" t="s">
        <v>442</v>
      </c>
      <c r="D6103" t="s">
        <v>445</v>
      </c>
      <c r="E6103" t="s">
        <v>446</v>
      </c>
      <c r="F6103" t="s">
        <v>410</v>
      </c>
      <c r="G6103">
        <v>83</v>
      </c>
      <c r="I6103">
        <v>83</v>
      </c>
    </row>
    <row r="6104" spans="1:17" x14ac:dyDescent="0.2">
      <c r="A6104" s="121">
        <v>41274</v>
      </c>
      <c r="B6104" t="s">
        <v>406</v>
      </c>
      <c r="C6104" t="s">
        <v>442</v>
      </c>
      <c r="D6104" t="s">
        <v>447</v>
      </c>
      <c r="E6104" t="s">
        <v>448</v>
      </c>
      <c r="F6104" t="s">
        <v>410</v>
      </c>
      <c r="G6104">
        <v>296</v>
      </c>
      <c r="I6104">
        <v>296</v>
      </c>
    </row>
    <row r="6105" spans="1:17" x14ac:dyDescent="0.2">
      <c r="A6105" s="121">
        <v>41274</v>
      </c>
      <c r="B6105" t="s">
        <v>406</v>
      </c>
      <c r="C6105" t="s">
        <v>442</v>
      </c>
      <c r="D6105" t="s">
        <v>449</v>
      </c>
      <c r="E6105" t="s">
        <v>624</v>
      </c>
      <c r="F6105" t="s">
        <v>410</v>
      </c>
      <c r="G6105">
        <v>1428</v>
      </c>
      <c r="H6105">
        <v>1428</v>
      </c>
      <c r="I6105">
        <v>1426</v>
      </c>
      <c r="J6105">
        <v>1426</v>
      </c>
      <c r="K6105">
        <v>4</v>
      </c>
      <c r="L6105">
        <v>0</v>
      </c>
      <c r="M6105">
        <v>1176</v>
      </c>
      <c r="N6105">
        <v>65</v>
      </c>
      <c r="O6105">
        <v>183</v>
      </c>
      <c r="P6105">
        <v>0</v>
      </c>
      <c r="Q6105">
        <v>0</v>
      </c>
    </row>
    <row r="6106" spans="1:17" x14ac:dyDescent="0.2">
      <c r="A6106" s="121">
        <v>41274</v>
      </c>
      <c r="B6106" t="s">
        <v>406</v>
      </c>
      <c r="C6106" t="s">
        <v>451</v>
      </c>
      <c r="D6106" t="s">
        <v>454</v>
      </c>
      <c r="E6106" t="s">
        <v>621</v>
      </c>
      <c r="F6106" t="s">
        <v>410</v>
      </c>
      <c r="G6106">
        <v>970</v>
      </c>
      <c r="H6106">
        <v>970</v>
      </c>
      <c r="I6106">
        <v>970</v>
      </c>
      <c r="J6106">
        <v>970</v>
      </c>
      <c r="K6106">
        <v>1</v>
      </c>
      <c r="L6106">
        <v>0</v>
      </c>
      <c r="M6106">
        <v>844</v>
      </c>
      <c r="N6106">
        <v>50</v>
      </c>
      <c r="O6106">
        <v>75</v>
      </c>
      <c r="P6106">
        <v>0</v>
      </c>
      <c r="Q6106">
        <v>0</v>
      </c>
    </row>
    <row r="6107" spans="1:17" x14ac:dyDescent="0.2">
      <c r="A6107" s="121">
        <v>41274</v>
      </c>
      <c r="B6107" t="s">
        <v>406</v>
      </c>
      <c r="C6107" t="s">
        <v>451</v>
      </c>
      <c r="D6107" t="s">
        <v>622</v>
      </c>
      <c r="E6107" t="s">
        <v>623</v>
      </c>
      <c r="F6107" t="s">
        <v>413</v>
      </c>
      <c r="G6107">
        <v>4969</v>
      </c>
      <c r="H6107">
        <v>4969</v>
      </c>
      <c r="I6107">
        <v>4128</v>
      </c>
      <c r="J6107">
        <v>4128</v>
      </c>
      <c r="K6107">
        <v>1364</v>
      </c>
      <c r="L6107">
        <v>10</v>
      </c>
      <c r="M6107">
        <v>3277</v>
      </c>
      <c r="N6107">
        <v>55</v>
      </c>
      <c r="O6107">
        <v>263</v>
      </c>
      <c r="P6107">
        <v>91</v>
      </c>
      <c r="Q6107">
        <v>22</v>
      </c>
    </row>
    <row r="6108" spans="1:17" x14ac:dyDescent="0.2">
      <c r="A6108" s="121">
        <v>41274</v>
      </c>
      <c r="B6108" t="s">
        <v>406</v>
      </c>
      <c r="C6108" t="s">
        <v>456</v>
      </c>
      <c r="D6108" t="s">
        <v>457</v>
      </c>
      <c r="E6108" t="s">
        <v>458</v>
      </c>
      <c r="F6108" t="s">
        <v>413</v>
      </c>
      <c r="G6108">
        <v>5907</v>
      </c>
      <c r="H6108">
        <v>5907</v>
      </c>
      <c r="I6108">
        <v>5374</v>
      </c>
      <c r="J6108">
        <v>5374</v>
      </c>
      <c r="K6108">
        <v>1980</v>
      </c>
      <c r="L6108">
        <v>29</v>
      </c>
      <c r="M6108">
        <v>3441</v>
      </c>
      <c r="N6108">
        <v>41</v>
      </c>
      <c r="O6108">
        <v>416</v>
      </c>
      <c r="P6108">
        <v>68</v>
      </c>
      <c r="Q6108">
        <v>6</v>
      </c>
    </row>
    <row r="6109" spans="1:17" x14ac:dyDescent="0.2">
      <c r="A6109" s="121">
        <v>41274</v>
      </c>
      <c r="B6109" t="s">
        <v>406</v>
      </c>
      <c r="C6109" t="s">
        <v>456</v>
      </c>
      <c r="D6109" t="s">
        <v>459</v>
      </c>
      <c r="E6109" t="s">
        <v>460</v>
      </c>
      <c r="F6109" t="s">
        <v>413</v>
      </c>
      <c r="G6109">
        <v>1324</v>
      </c>
      <c r="H6109">
        <v>1324</v>
      </c>
      <c r="I6109">
        <v>1311</v>
      </c>
      <c r="J6109">
        <v>1311</v>
      </c>
      <c r="K6109">
        <v>380</v>
      </c>
      <c r="L6109">
        <v>0</v>
      </c>
      <c r="M6109">
        <v>940</v>
      </c>
      <c r="N6109">
        <v>2</v>
      </c>
      <c r="O6109">
        <v>2</v>
      </c>
      <c r="P6109">
        <v>0</v>
      </c>
      <c r="Q6109">
        <v>0</v>
      </c>
    </row>
    <row r="6110" spans="1:17" x14ac:dyDescent="0.2">
      <c r="A6110" s="121">
        <v>41274</v>
      </c>
      <c r="B6110" t="s">
        <v>406</v>
      </c>
      <c r="C6110" t="s">
        <v>456</v>
      </c>
      <c r="D6110" t="s">
        <v>461</v>
      </c>
      <c r="E6110" t="s">
        <v>462</v>
      </c>
      <c r="F6110" t="s">
        <v>410</v>
      </c>
      <c r="G6110">
        <v>67</v>
      </c>
      <c r="I6110">
        <v>67</v>
      </c>
    </row>
    <row r="6111" spans="1:17" x14ac:dyDescent="0.2">
      <c r="A6111" s="121">
        <v>41274</v>
      </c>
      <c r="B6111" t="s">
        <v>406</v>
      </c>
      <c r="C6111" t="s">
        <v>456</v>
      </c>
      <c r="D6111" t="s">
        <v>463</v>
      </c>
      <c r="E6111" t="s">
        <v>464</v>
      </c>
      <c r="F6111" t="s">
        <v>410</v>
      </c>
      <c r="G6111">
        <v>23</v>
      </c>
      <c r="I6111">
        <v>23</v>
      </c>
    </row>
    <row r="6112" spans="1:17" x14ac:dyDescent="0.2">
      <c r="A6112" s="121">
        <v>41274</v>
      </c>
      <c r="B6112" t="s">
        <v>406</v>
      </c>
      <c r="C6112" t="s">
        <v>456</v>
      </c>
      <c r="D6112" t="s">
        <v>465</v>
      </c>
      <c r="E6112" t="s">
        <v>466</v>
      </c>
      <c r="F6112" t="s">
        <v>410</v>
      </c>
      <c r="G6112">
        <v>39</v>
      </c>
      <c r="I6112">
        <v>39</v>
      </c>
    </row>
    <row r="6113" spans="1:17" x14ac:dyDescent="0.2">
      <c r="A6113" s="121">
        <v>41274</v>
      </c>
      <c r="B6113" t="s">
        <v>406</v>
      </c>
      <c r="C6113" t="s">
        <v>456</v>
      </c>
      <c r="D6113" t="s">
        <v>467</v>
      </c>
      <c r="E6113" t="s">
        <v>468</v>
      </c>
      <c r="F6113" t="s">
        <v>410</v>
      </c>
      <c r="G6113">
        <v>1337</v>
      </c>
      <c r="I6113">
        <v>1337</v>
      </c>
    </row>
    <row r="6114" spans="1:17" x14ac:dyDescent="0.2">
      <c r="A6114" s="121">
        <v>41274</v>
      </c>
      <c r="B6114" t="s">
        <v>406</v>
      </c>
      <c r="C6114" t="s">
        <v>456</v>
      </c>
      <c r="D6114" t="s">
        <v>469</v>
      </c>
      <c r="E6114" t="s">
        <v>470</v>
      </c>
      <c r="F6114" t="s">
        <v>410</v>
      </c>
      <c r="G6114">
        <v>877</v>
      </c>
      <c r="I6114">
        <v>875</v>
      </c>
    </row>
    <row r="6115" spans="1:17" x14ac:dyDescent="0.2">
      <c r="A6115" s="121">
        <v>41274</v>
      </c>
      <c r="B6115" t="s">
        <v>406</v>
      </c>
      <c r="C6115" t="s">
        <v>456</v>
      </c>
      <c r="D6115" t="s">
        <v>471</v>
      </c>
      <c r="E6115" t="s">
        <v>472</v>
      </c>
      <c r="F6115" t="s">
        <v>410</v>
      </c>
      <c r="G6115">
        <v>237</v>
      </c>
      <c r="I6115">
        <v>235</v>
      </c>
    </row>
    <row r="6116" spans="1:17" x14ac:dyDescent="0.2">
      <c r="A6116" s="121">
        <v>41274</v>
      </c>
      <c r="B6116" t="s">
        <v>406</v>
      </c>
      <c r="C6116" t="s">
        <v>456</v>
      </c>
      <c r="D6116" t="s">
        <v>473</v>
      </c>
      <c r="E6116" t="s">
        <v>474</v>
      </c>
      <c r="F6116" t="s">
        <v>410</v>
      </c>
      <c r="G6116">
        <v>138</v>
      </c>
      <c r="I6116">
        <v>138</v>
      </c>
    </row>
    <row r="6117" spans="1:17" x14ac:dyDescent="0.2">
      <c r="A6117" s="121">
        <v>41274</v>
      </c>
      <c r="B6117" t="s">
        <v>406</v>
      </c>
      <c r="C6117" t="s">
        <v>456</v>
      </c>
      <c r="D6117" t="s">
        <v>475</v>
      </c>
      <c r="E6117" t="s">
        <v>476</v>
      </c>
      <c r="F6117" t="s">
        <v>410</v>
      </c>
      <c r="G6117">
        <v>263</v>
      </c>
      <c r="I6117">
        <v>250</v>
      </c>
    </row>
    <row r="6118" spans="1:17" x14ac:dyDescent="0.2">
      <c r="A6118" s="121">
        <v>41274</v>
      </c>
      <c r="B6118" t="s">
        <v>406</v>
      </c>
      <c r="C6118" t="s">
        <v>456</v>
      </c>
      <c r="D6118" t="s">
        <v>477</v>
      </c>
      <c r="E6118" t="s">
        <v>478</v>
      </c>
      <c r="F6118" t="s">
        <v>413</v>
      </c>
      <c r="G6118">
        <v>2005</v>
      </c>
      <c r="H6118">
        <v>2005</v>
      </c>
      <c r="I6118">
        <v>1850</v>
      </c>
      <c r="J6118">
        <v>1850</v>
      </c>
      <c r="K6118">
        <v>478</v>
      </c>
      <c r="L6118">
        <v>13</v>
      </c>
      <c r="M6118">
        <v>1471</v>
      </c>
      <c r="N6118">
        <v>29</v>
      </c>
      <c r="O6118">
        <v>14</v>
      </c>
      <c r="P6118">
        <v>16</v>
      </c>
      <c r="Q6118">
        <v>2</v>
      </c>
    </row>
    <row r="6119" spans="1:17" x14ac:dyDescent="0.2">
      <c r="A6119" s="121">
        <v>41274</v>
      </c>
      <c r="B6119" t="s">
        <v>406</v>
      </c>
      <c r="C6119" t="s">
        <v>456</v>
      </c>
      <c r="D6119" t="s">
        <v>479</v>
      </c>
      <c r="E6119" t="s">
        <v>480</v>
      </c>
      <c r="F6119" t="s">
        <v>410</v>
      </c>
      <c r="G6119">
        <v>41</v>
      </c>
      <c r="I6119">
        <v>41</v>
      </c>
    </row>
    <row r="6120" spans="1:17" x14ac:dyDescent="0.2">
      <c r="A6120" s="121">
        <v>41274</v>
      </c>
      <c r="B6120" t="s">
        <v>406</v>
      </c>
      <c r="C6120" t="s">
        <v>456</v>
      </c>
      <c r="D6120" t="s">
        <v>481</v>
      </c>
      <c r="E6120" t="s">
        <v>482</v>
      </c>
      <c r="F6120" t="s">
        <v>410</v>
      </c>
      <c r="G6120">
        <v>25</v>
      </c>
      <c r="I6120">
        <v>25</v>
      </c>
    </row>
    <row r="6121" spans="1:17" x14ac:dyDescent="0.2">
      <c r="A6121" s="121">
        <v>41274</v>
      </c>
      <c r="B6121" t="s">
        <v>406</v>
      </c>
      <c r="C6121" t="s">
        <v>456</v>
      </c>
      <c r="D6121" t="s">
        <v>483</v>
      </c>
      <c r="E6121" t="s">
        <v>484</v>
      </c>
      <c r="F6121" t="s">
        <v>410</v>
      </c>
      <c r="G6121">
        <v>92</v>
      </c>
      <c r="I6121">
        <v>92</v>
      </c>
    </row>
    <row r="6122" spans="1:17" x14ac:dyDescent="0.2">
      <c r="A6122" s="121">
        <v>41274</v>
      </c>
      <c r="B6122" t="s">
        <v>406</v>
      </c>
      <c r="C6122" t="s">
        <v>456</v>
      </c>
      <c r="D6122" t="s">
        <v>485</v>
      </c>
      <c r="E6122" t="s">
        <v>486</v>
      </c>
      <c r="F6122" t="s">
        <v>410</v>
      </c>
      <c r="G6122">
        <v>36</v>
      </c>
      <c r="I6122">
        <v>36</v>
      </c>
    </row>
    <row r="6123" spans="1:17" x14ac:dyDescent="0.2">
      <c r="A6123" s="121">
        <v>41274</v>
      </c>
      <c r="B6123" t="s">
        <v>406</v>
      </c>
      <c r="C6123" t="s">
        <v>456</v>
      </c>
      <c r="D6123" t="s">
        <v>487</v>
      </c>
      <c r="E6123" t="s">
        <v>488</v>
      </c>
      <c r="F6123" t="s">
        <v>410</v>
      </c>
      <c r="G6123">
        <v>20</v>
      </c>
      <c r="I6123">
        <v>20</v>
      </c>
    </row>
    <row r="6124" spans="1:17" x14ac:dyDescent="0.2">
      <c r="A6124" s="121">
        <v>41274</v>
      </c>
      <c r="B6124" t="s">
        <v>406</v>
      </c>
      <c r="C6124" t="s">
        <v>456</v>
      </c>
      <c r="D6124" t="s">
        <v>489</v>
      </c>
      <c r="E6124" t="s">
        <v>490</v>
      </c>
      <c r="F6124" t="s">
        <v>410</v>
      </c>
      <c r="G6124">
        <v>76</v>
      </c>
      <c r="I6124">
        <v>76</v>
      </c>
    </row>
    <row r="6125" spans="1:17" x14ac:dyDescent="0.2">
      <c r="A6125" s="121">
        <v>41274</v>
      </c>
      <c r="B6125" t="s">
        <v>406</v>
      </c>
      <c r="C6125" t="s">
        <v>491</v>
      </c>
      <c r="D6125" t="s">
        <v>492</v>
      </c>
      <c r="E6125" t="s">
        <v>493</v>
      </c>
      <c r="F6125" t="s">
        <v>410</v>
      </c>
      <c r="G6125">
        <v>1090</v>
      </c>
      <c r="H6125">
        <v>1090</v>
      </c>
      <c r="I6125">
        <v>1072</v>
      </c>
      <c r="J6125">
        <v>1072</v>
      </c>
      <c r="K6125">
        <v>249</v>
      </c>
      <c r="L6125">
        <v>0</v>
      </c>
      <c r="M6125">
        <v>795</v>
      </c>
      <c r="N6125">
        <v>44</v>
      </c>
      <c r="O6125">
        <v>2</v>
      </c>
      <c r="P6125">
        <v>0</v>
      </c>
      <c r="Q6125">
        <v>0</v>
      </c>
    </row>
    <row r="6126" spans="1:17" x14ac:dyDescent="0.2">
      <c r="A6126" s="121">
        <v>41274</v>
      </c>
      <c r="B6126" t="s">
        <v>406</v>
      </c>
      <c r="C6126" t="s">
        <v>491</v>
      </c>
      <c r="D6126" t="s">
        <v>494</v>
      </c>
      <c r="E6126" t="s">
        <v>495</v>
      </c>
      <c r="F6126" t="s">
        <v>413</v>
      </c>
      <c r="G6126">
        <v>2560</v>
      </c>
      <c r="H6126">
        <v>2560</v>
      </c>
      <c r="I6126">
        <v>2369</v>
      </c>
      <c r="J6126">
        <v>2369</v>
      </c>
      <c r="K6126">
        <v>804</v>
      </c>
      <c r="L6126">
        <v>8</v>
      </c>
      <c r="M6126">
        <v>1602</v>
      </c>
      <c r="N6126">
        <v>22</v>
      </c>
      <c r="O6126">
        <v>124</v>
      </c>
      <c r="P6126">
        <v>13</v>
      </c>
      <c r="Q6126">
        <v>5</v>
      </c>
    </row>
    <row r="6127" spans="1:17" x14ac:dyDescent="0.2">
      <c r="A6127" s="121">
        <v>41274</v>
      </c>
      <c r="B6127" t="s">
        <v>406</v>
      </c>
      <c r="C6127" t="s">
        <v>491</v>
      </c>
      <c r="D6127" t="s">
        <v>496</v>
      </c>
      <c r="E6127" t="s">
        <v>497</v>
      </c>
      <c r="F6127" t="s">
        <v>413</v>
      </c>
      <c r="G6127">
        <v>5631</v>
      </c>
      <c r="H6127">
        <v>5631</v>
      </c>
      <c r="I6127">
        <v>5152</v>
      </c>
      <c r="J6127">
        <v>5152</v>
      </c>
      <c r="K6127">
        <v>2089</v>
      </c>
      <c r="L6127">
        <v>18</v>
      </c>
      <c r="M6127">
        <v>3282</v>
      </c>
      <c r="N6127">
        <v>137</v>
      </c>
      <c r="O6127">
        <v>105</v>
      </c>
      <c r="P6127">
        <v>26</v>
      </c>
      <c r="Q6127">
        <v>0</v>
      </c>
    </row>
    <row r="6128" spans="1:17" x14ac:dyDescent="0.2">
      <c r="A6128" s="121">
        <v>41274</v>
      </c>
      <c r="B6128" t="s">
        <v>406</v>
      </c>
      <c r="C6128" t="s">
        <v>491</v>
      </c>
      <c r="D6128" t="s">
        <v>498</v>
      </c>
      <c r="E6128" t="s">
        <v>499</v>
      </c>
      <c r="F6128" t="s">
        <v>413</v>
      </c>
      <c r="G6128">
        <v>7023</v>
      </c>
      <c r="H6128">
        <v>7023</v>
      </c>
      <c r="I6128">
        <v>6521</v>
      </c>
      <c r="J6128">
        <v>6521</v>
      </c>
      <c r="K6128">
        <v>1820</v>
      </c>
      <c r="L6128">
        <v>14</v>
      </c>
      <c r="M6128">
        <v>4500</v>
      </c>
      <c r="N6128">
        <v>135</v>
      </c>
      <c r="O6128">
        <v>554</v>
      </c>
      <c r="P6128">
        <v>7</v>
      </c>
      <c r="Q6128">
        <v>0</v>
      </c>
    </row>
    <row r="6129" spans="1:17" x14ac:dyDescent="0.2">
      <c r="A6129" s="121">
        <v>41274</v>
      </c>
      <c r="B6129" t="s">
        <v>406</v>
      </c>
      <c r="C6129" t="s">
        <v>491</v>
      </c>
      <c r="D6129" t="s">
        <v>500</v>
      </c>
      <c r="E6129" t="s">
        <v>620</v>
      </c>
      <c r="F6129" t="s">
        <v>410</v>
      </c>
      <c r="G6129">
        <v>1088</v>
      </c>
      <c r="H6129">
        <v>1088</v>
      </c>
      <c r="I6129">
        <v>1087</v>
      </c>
      <c r="J6129">
        <v>1087</v>
      </c>
      <c r="K6129">
        <v>13</v>
      </c>
      <c r="L6129">
        <v>0</v>
      </c>
      <c r="M6129">
        <v>960</v>
      </c>
      <c r="N6129">
        <v>8</v>
      </c>
      <c r="O6129">
        <v>107</v>
      </c>
      <c r="P6129">
        <v>0</v>
      </c>
      <c r="Q6129">
        <v>0</v>
      </c>
    </row>
    <row r="6130" spans="1:17" x14ac:dyDescent="0.2">
      <c r="A6130" s="121">
        <v>41274</v>
      </c>
      <c r="B6130" t="s">
        <v>406</v>
      </c>
      <c r="C6130" t="s">
        <v>491</v>
      </c>
      <c r="D6130" t="s">
        <v>502</v>
      </c>
      <c r="E6130" t="s">
        <v>615</v>
      </c>
      <c r="F6130" t="s">
        <v>410</v>
      </c>
      <c r="G6130">
        <v>1420</v>
      </c>
      <c r="H6130">
        <v>1420</v>
      </c>
      <c r="I6130">
        <v>1419</v>
      </c>
      <c r="J6130">
        <v>1419</v>
      </c>
      <c r="K6130">
        <v>2</v>
      </c>
      <c r="L6130">
        <v>1</v>
      </c>
      <c r="M6130">
        <v>1358</v>
      </c>
      <c r="N6130">
        <v>47</v>
      </c>
      <c r="O6130">
        <v>12</v>
      </c>
      <c r="P6130">
        <v>0</v>
      </c>
      <c r="Q6130">
        <v>0</v>
      </c>
    </row>
    <row r="6131" spans="1:17" x14ac:dyDescent="0.2">
      <c r="A6131" s="121">
        <v>41274</v>
      </c>
      <c r="B6131" t="s">
        <v>406</v>
      </c>
      <c r="C6131" t="s">
        <v>491</v>
      </c>
      <c r="D6131" t="s">
        <v>502</v>
      </c>
      <c r="E6131" t="s">
        <v>503</v>
      </c>
      <c r="F6131" t="s">
        <v>413</v>
      </c>
      <c r="G6131">
        <v>5107</v>
      </c>
      <c r="H6131">
        <v>5107</v>
      </c>
      <c r="I6131">
        <v>4220</v>
      </c>
      <c r="J6131">
        <v>4220</v>
      </c>
      <c r="K6131">
        <v>1648</v>
      </c>
      <c r="L6131">
        <v>13</v>
      </c>
      <c r="M6131">
        <v>2946</v>
      </c>
      <c r="N6131">
        <v>324</v>
      </c>
      <c r="O6131">
        <v>176</v>
      </c>
      <c r="P6131">
        <v>83</v>
      </c>
      <c r="Q6131">
        <v>0</v>
      </c>
    </row>
    <row r="6132" spans="1:17" x14ac:dyDescent="0.2">
      <c r="A6132" s="121">
        <v>41274</v>
      </c>
      <c r="B6132" t="s">
        <v>406</v>
      </c>
      <c r="C6132" t="s">
        <v>491</v>
      </c>
      <c r="D6132" t="s">
        <v>504</v>
      </c>
      <c r="E6132" t="s">
        <v>505</v>
      </c>
      <c r="F6132" t="s">
        <v>413</v>
      </c>
      <c r="G6132">
        <v>3819</v>
      </c>
      <c r="H6132">
        <v>3819</v>
      </c>
      <c r="I6132">
        <v>3463</v>
      </c>
      <c r="J6132">
        <v>3463</v>
      </c>
      <c r="K6132">
        <v>1137</v>
      </c>
      <c r="L6132">
        <v>15</v>
      </c>
      <c r="M6132">
        <v>2390</v>
      </c>
      <c r="N6132">
        <v>198</v>
      </c>
      <c r="O6132">
        <v>79</v>
      </c>
      <c r="P6132">
        <v>12</v>
      </c>
      <c r="Q6132">
        <v>0</v>
      </c>
    </row>
    <row r="6133" spans="1:17" x14ac:dyDescent="0.2">
      <c r="A6133" s="121">
        <v>41274</v>
      </c>
      <c r="B6133" t="s">
        <v>406</v>
      </c>
      <c r="C6133" t="s">
        <v>491</v>
      </c>
      <c r="D6133" t="s">
        <v>506</v>
      </c>
      <c r="E6133" t="s">
        <v>507</v>
      </c>
      <c r="F6133" t="s">
        <v>413</v>
      </c>
      <c r="G6133">
        <v>4503</v>
      </c>
      <c r="H6133">
        <v>4503</v>
      </c>
      <c r="I6133">
        <v>4184</v>
      </c>
      <c r="J6133">
        <v>4184</v>
      </c>
      <c r="K6133">
        <v>577</v>
      </c>
      <c r="L6133">
        <v>0</v>
      </c>
      <c r="M6133">
        <v>3921</v>
      </c>
      <c r="N6133">
        <v>3</v>
      </c>
      <c r="O6133">
        <v>2</v>
      </c>
      <c r="P6133">
        <v>5</v>
      </c>
      <c r="Q6133">
        <v>2</v>
      </c>
    </row>
    <row r="6134" spans="1:17" x14ac:dyDescent="0.2">
      <c r="A6134" s="121">
        <v>41274</v>
      </c>
      <c r="B6134" t="s">
        <v>406</v>
      </c>
      <c r="C6134" t="s">
        <v>491</v>
      </c>
      <c r="D6134" t="s">
        <v>508</v>
      </c>
      <c r="E6134" t="s">
        <v>509</v>
      </c>
      <c r="F6134" t="s">
        <v>413</v>
      </c>
      <c r="G6134">
        <v>4964</v>
      </c>
      <c r="H6134">
        <v>4964</v>
      </c>
      <c r="I6134">
        <v>4137</v>
      </c>
      <c r="J6134">
        <v>4137</v>
      </c>
      <c r="K6134">
        <v>1698</v>
      </c>
      <c r="L6134">
        <v>12</v>
      </c>
      <c r="M6134">
        <v>2867</v>
      </c>
      <c r="N6134">
        <v>93</v>
      </c>
      <c r="O6134">
        <v>294</v>
      </c>
      <c r="P6134">
        <v>152</v>
      </c>
      <c r="Q6134">
        <v>2</v>
      </c>
    </row>
    <row r="6135" spans="1:17" x14ac:dyDescent="0.2">
      <c r="A6135" s="121">
        <v>41274</v>
      </c>
      <c r="B6135" t="s">
        <v>406</v>
      </c>
      <c r="C6135" t="s">
        <v>510</v>
      </c>
      <c r="D6135" t="s">
        <v>513</v>
      </c>
      <c r="E6135" t="s">
        <v>514</v>
      </c>
      <c r="F6135" t="s">
        <v>410</v>
      </c>
      <c r="G6135">
        <v>545</v>
      </c>
      <c r="I6135">
        <v>542</v>
      </c>
    </row>
    <row r="6136" spans="1:17" x14ac:dyDescent="0.2">
      <c r="A6136" s="121">
        <v>41274</v>
      </c>
      <c r="B6136" t="s">
        <v>406</v>
      </c>
      <c r="C6136" t="s">
        <v>510</v>
      </c>
      <c r="D6136" t="s">
        <v>515</v>
      </c>
      <c r="E6136" t="s">
        <v>516</v>
      </c>
      <c r="F6136" t="s">
        <v>410</v>
      </c>
      <c r="G6136">
        <v>90</v>
      </c>
      <c r="I6136">
        <v>86</v>
      </c>
    </row>
    <row r="6137" spans="1:17" x14ac:dyDescent="0.2">
      <c r="A6137" s="121">
        <v>41274</v>
      </c>
      <c r="B6137" t="s">
        <v>406</v>
      </c>
      <c r="C6137" t="s">
        <v>510</v>
      </c>
      <c r="D6137" t="s">
        <v>519</v>
      </c>
      <c r="E6137" t="s">
        <v>520</v>
      </c>
      <c r="F6137" t="s">
        <v>410</v>
      </c>
      <c r="G6137">
        <v>345</v>
      </c>
      <c r="I6137">
        <v>336</v>
      </c>
    </row>
    <row r="6138" spans="1:17" x14ac:dyDescent="0.2">
      <c r="A6138" s="121">
        <v>41274</v>
      </c>
      <c r="B6138" t="s">
        <v>406</v>
      </c>
      <c r="C6138" t="s">
        <v>510</v>
      </c>
      <c r="D6138" t="s">
        <v>523</v>
      </c>
      <c r="E6138" t="s">
        <v>524</v>
      </c>
      <c r="F6138" t="s">
        <v>413</v>
      </c>
      <c r="G6138">
        <v>428</v>
      </c>
      <c r="H6138">
        <v>428</v>
      </c>
      <c r="I6138">
        <v>419</v>
      </c>
      <c r="J6138">
        <v>419</v>
      </c>
      <c r="K6138">
        <v>72</v>
      </c>
      <c r="L6138">
        <v>0</v>
      </c>
      <c r="M6138">
        <v>347</v>
      </c>
      <c r="N6138">
        <v>9</v>
      </c>
      <c r="O6138">
        <v>0</v>
      </c>
      <c r="P6138">
        <v>0</v>
      </c>
      <c r="Q6138">
        <v>0</v>
      </c>
    </row>
    <row r="6139" spans="1:17" x14ac:dyDescent="0.2">
      <c r="A6139" s="121">
        <v>41274</v>
      </c>
      <c r="B6139" t="s">
        <v>406</v>
      </c>
      <c r="C6139" t="s">
        <v>510</v>
      </c>
      <c r="D6139" t="s">
        <v>525</v>
      </c>
      <c r="E6139" t="s">
        <v>526</v>
      </c>
      <c r="F6139" t="s">
        <v>410</v>
      </c>
      <c r="G6139">
        <v>402</v>
      </c>
      <c r="I6139">
        <v>395</v>
      </c>
    </row>
    <row r="6140" spans="1:17" x14ac:dyDescent="0.2">
      <c r="A6140" s="121">
        <v>41274</v>
      </c>
      <c r="B6140" t="s">
        <v>406</v>
      </c>
      <c r="C6140" t="s">
        <v>510</v>
      </c>
      <c r="D6140" t="s">
        <v>527</v>
      </c>
      <c r="E6140" t="s">
        <v>528</v>
      </c>
      <c r="F6140" t="s">
        <v>410</v>
      </c>
      <c r="G6140">
        <v>190</v>
      </c>
      <c r="I6140">
        <v>190</v>
      </c>
    </row>
    <row r="6141" spans="1:17" x14ac:dyDescent="0.2">
      <c r="A6141" s="121">
        <v>41274</v>
      </c>
      <c r="B6141" t="s">
        <v>406</v>
      </c>
      <c r="C6141" t="s">
        <v>510</v>
      </c>
      <c r="D6141" t="s">
        <v>529</v>
      </c>
      <c r="E6141" t="s">
        <v>530</v>
      </c>
      <c r="F6141" t="s">
        <v>413</v>
      </c>
      <c r="G6141">
        <v>534</v>
      </c>
      <c r="H6141">
        <v>534</v>
      </c>
      <c r="I6141">
        <v>520</v>
      </c>
      <c r="J6141">
        <v>520</v>
      </c>
      <c r="K6141">
        <v>165</v>
      </c>
      <c r="L6141">
        <v>1</v>
      </c>
      <c r="M6141">
        <v>367</v>
      </c>
      <c r="N6141">
        <v>1</v>
      </c>
      <c r="O6141">
        <v>0</v>
      </c>
      <c r="P6141">
        <v>1</v>
      </c>
      <c r="Q6141">
        <v>0</v>
      </c>
    </row>
    <row r="6142" spans="1:17" x14ac:dyDescent="0.2">
      <c r="A6142" s="121">
        <v>41274</v>
      </c>
      <c r="B6142" t="s">
        <v>406</v>
      </c>
      <c r="C6142" t="s">
        <v>510</v>
      </c>
      <c r="D6142" t="s">
        <v>531</v>
      </c>
      <c r="E6142" t="s">
        <v>532</v>
      </c>
      <c r="F6142" t="s">
        <v>410</v>
      </c>
      <c r="G6142">
        <v>26</v>
      </c>
      <c r="I6142">
        <v>26</v>
      </c>
    </row>
    <row r="6143" spans="1:17" x14ac:dyDescent="0.2">
      <c r="A6143" s="121">
        <v>41274</v>
      </c>
      <c r="B6143" t="s">
        <v>406</v>
      </c>
      <c r="C6143" t="s">
        <v>510</v>
      </c>
      <c r="D6143" t="s">
        <v>533</v>
      </c>
      <c r="E6143" t="s">
        <v>534</v>
      </c>
      <c r="F6143" t="s">
        <v>413</v>
      </c>
      <c r="G6143">
        <v>2484</v>
      </c>
      <c r="H6143">
        <v>2484</v>
      </c>
      <c r="I6143">
        <v>2407</v>
      </c>
      <c r="J6143">
        <v>2407</v>
      </c>
      <c r="K6143">
        <v>654</v>
      </c>
      <c r="L6143">
        <v>3</v>
      </c>
      <c r="M6143">
        <v>1825</v>
      </c>
      <c r="N6143">
        <v>2</v>
      </c>
      <c r="O6143">
        <v>0</v>
      </c>
      <c r="P6143">
        <v>4</v>
      </c>
      <c r="Q6143">
        <v>0</v>
      </c>
    </row>
    <row r="6144" spans="1:17" x14ac:dyDescent="0.2">
      <c r="A6144" s="121">
        <v>41274</v>
      </c>
      <c r="B6144" t="s">
        <v>406</v>
      </c>
      <c r="C6144" t="s">
        <v>510</v>
      </c>
      <c r="D6144" t="s">
        <v>535</v>
      </c>
      <c r="E6144" t="s">
        <v>536</v>
      </c>
      <c r="F6144" t="s">
        <v>410</v>
      </c>
      <c r="G6144">
        <v>350</v>
      </c>
      <c r="I6144">
        <v>350</v>
      </c>
    </row>
    <row r="6145" spans="1:17" x14ac:dyDescent="0.2">
      <c r="A6145" s="121">
        <v>41274</v>
      </c>
      <c r="B6145" t="s">
        <v>406</v>
      </c>
      <c r="C6145" t="s">
        <v>510</v>
      </c>
      <c r="D6145" t="s">
        <v>537</v>
      </c>
      <c r="E6145" t="s">
        <v>538</v>
      </c>
      <c r="F6145" t="s">
        <v>410</v>
      </c>
      <c r="G6145">
        <v>79</v>
      </c>
      <c r="I6145">
        <v>79</v>
      </c>
    </row>
    <row r="6146" spans="1:17" x14ac:dyDescent="0.2">
      <c r="A6146" s="121">
        <v>41274</v>
      </c>
      <c r="B6146" t="s">
        <v>406</v>
      </c>
      <c r="C6146" t="s">
        <v>510</v>
      </c>
      <c r="D6146" t="s">
        <v>539</v>
      </c>
      <c r="E6146" t="s">
        <v>540</v>
      </c>
      <c r="F6146" t="s">
        <v>413</v>
      </c>
      <c r="G6146">
        <v>622</v>
      </c>
      <c r="H6146">
        <v>622</v>
      </c>
      <c r="I6146">
        <v>596</v>
      </c>
      <c r="J6146">
        <v>596</v>
      </c>
      <c r="K6146">
        <v>133</v>
      </c>
      <c r="L6146">
        <v>1</v>
      </c>
      <c r="M6146">
        <v>486</v>
      </c>
      <c r="N6146">
        <v>2</v>
      </c>
      <c r="O6146">
        <v>0</v>
      </c>
      <c r="P6146">
        <v>1</v>
      </c>
      <c r="Q6146">
        <v>0</v>
      </c>
    </row>
    <row r="6147" spans="1:17" x14ac:dyDescent="0.2">
      <c r="A6147" s="121">
        <v>41274</v>
      </c>
      <c r="B6147" t="s">
        <v>406</v>
      </c>
      <c r="C6147" t="s">
        <v>510</v>
      </c>
      <c r="D6147" t="s">
        <v>541</v>
      </c>
      <c r="E6147" t="s">
        <v>542</v>
      </c>
      <c r="F6147" t="s">
        <v>410</v>
      </c>
      <c r="G6147">
        <v>307</v>
      </c>
      <c r="I6147">
        <v>307</v>
      </c>
    </row>
    <row r="6148" spans="1:17" x14ac:dyDescent="0.2">
      <c r="A6148" s="121">
        <v>41274</v>
      </c>
      <c r="B6148" t="s">
        <v>406</v>
      </c>
      <c r="C6148" t="s">
        <v>510</v>
      </c>
      <c r="D6148" t="s">
        <v>543</v>
      </c>
      <c r="E6148" t="s">
        <v>544</v>
      </c>
      <c r="F6148" t="s">
        <v>410</v>
      </c>
      <c r="G6148">
        <v>257</v>
      </c>
      <c r="I6148">
        <v>257</v>
      </c>
    </row>
    <row r="6149" spans="1:17" x14ac:dyDescent="0.2">
      <c r="A6149" s="121">
        <v>41274</v>
      </c>
      <c r="B6149" t="s">
        <v>406</v>
      </c>
      <c r="C6149" t="s">
        <v>510</v>
      </c>
      <c r="D6149" t="s">
        <v>545</v>
      </c>
      <c r="E6149" t="s">
        <v>546</v>
      </c>
      <c r="F6149" t="s">
        <v>410</v>
      </c>
      <c r="G6149">
        <v>123</v>
      </c>
      <c r="I6149">
        <v>123</v>
      </c>
    </row>
    <row r="6150" spans="1:17" x14ac:dyDescent="0.2">
      <c r="A6150" s="121">
        <v>41274</v>
      </c>
      <c r="B6150" t="s">
        <v>406</v>
      </c>
      <c r="C6150" t="s">
        <v>510</v>
      </c>
      <c r="D6150" t="s">
        <v>547</v>
      </c>
      <c r="E6150" t="s">
        <v>548</v>
      </c>
      <c r="F6150" t="s">
        <v>410</v>
      </c>
      <c r="G6150">
        <v>107</v>
      </c>
      <c r="I6150">
        <v>106</v>
      </c>
    </row>
    <row r="6151" spans="1:17" x14ac:dyDescent="0.2">
      <c r="A6151" s="121">
        <v>41274</v>
      </c>
      <c r="B6151" t="s">
        <v>406</v>
      </c>
      <c r="C6151" t="s">
        <v>510</v>
      </c>
      <c r="D6151" t="s">
        <v>616</v>
      </c>
      <c r="E6151" t="s">
        <v>617</v>
      </c>
      <c r="F6151" t="s">
        <v>410</v>
      </c>
      <c r="G6151">
        <v>309</v>
      </c>
      <c r="I6151">
        <v>300</v>
      </c>
    </row>
    <row r="6152" spans="1:17" x14ac:dyDescent="0.2">
      <c r="A6152" s="121">
        <v>41274</v>
      </c>
      <c r="B6152" t="s">
        <v>406</v>
      </c>
      <c r="C6152" t="s">
        <v>510</v>
      </c>
      <c r="D6152" t="s">
        <v>549</v>
      </c>
      <c r="E6152" t="s">
        <v>550</v>
      </c>
      <c r="F6152" t="s">
        <v>410</v>
      </c>
      <c r="G6152">
        <v>172</v>
      </c>
      <c r="I6152">
        <v>172</v>
      </c>
    </row>
    <row r="6153" spans="1:17" x14ac:dyDescent="0.2">
      <c r="A6153" s="121">
        <v>41274</v>
      </c>
      <c r="B6153" t="s">
        <v>406</v>
      </c>
      <c r="C6153" t="s">
        <v>510</v>
      </c>
      <c r="D6153" t="s">
        <v>625</v>
      </c>
      <c r="E6153" t="s">
        <v>626</v>
      </c>
      <c r="F6153" t="s">
        <v>410</v>
      </c>
      <c r="G6153">
        <v>45</v>
      </c>
      <c r="I6153">
        <v>44</v>
      </c>
    </row>
    <row r="6154" spans="1:17" x14ac:dyDescent="0.2">
      <c r="A6154" s="121">
        <v>41274</v>
      </c>
      <c r="B6154" t="s">
        <v>406</v>
      </c>
      <c r="C6154" t="s">
        <v>551</v>
      </c>
      <c r="D6154" t="s">
        <v>552</v>
      </c>
      <c r="E6154" t="s">
        <v>553</v>
      </c>
      <c r="F6154" t="s">
        <v>413</v>
      </c>
      <c r="G6154">
        <v>5548</v>
      </c>
      <c r="H6154">
        <v>5548</v>
      </c>
      <c r="I6154">
        <v>4688</v>
      </c>
      <c r="J6154">
        <v>4688</v>
      </c>
      <c r="K6154">
        <v>1691</v>
      </c>
      <c r="L6154">
        <v>16</v>
      </c>
      <c r="M6154">
        <v>3456</v>
      </c>
      <c r="N6154">
        <v>231</v>
      </c>
      <c r="O6154">
        <v>154</v>
      </c>
      <c r="P6154">
        <v>88</v>
      </c>
      <c r="Q6154">
        <v>23</v>
      </c>
    </row>
    <row r="6155" spans="1:17" x14ac:dyDescent="0.2">
      <c r="A6155" s="121">
        <v>41274</v>
      </c>
      <c r="B6155" t="s">
        <v>406</v>
      </c>
      <c r="C6155" t="s">
        <v>551</v>
      </c>
      <c r="D6155" t="s">
        <v>554</v>
      </c>
      <c r="E6155" t="s">
        <v>555</v>
      </c>
      <c r="F6155" t="s">
        <v>410</v>
      </c>
      <c r="G6155">
        <v>46</v>
      </c>
      <c r="I6155">
        <v>46</v>
      </c>
    </row>
    <row r="6156" spans="1:17" x14ac:dyDescent="0.2">
      <c r="A6156" s="121">
        <v>41274</v>
      </c>
      <c r="B6156" t="s">
        <v>406</v>
      </c>
      <c r="C6156" t="s">
        <v>551</v>
      </c>
      <c r="D6156" t="s">
        <v>556</v>
      </c>
      <c r="E6156" t="s">
        <v>557</v>
      </c>
      <c r="F6156" t="s">
        <v>410</v>
      </c>
      <c r="G6156">
        <v>66</v>
      </c>
      <c r="I6156">
        <v>66</v>
      </c>
    </row>
    <row r="6157" spans="1:17" x14ac:dyDescent="0.2">
      <c r="A6157" s="121">
        <v>41274</v>
      </c>
      <c r="B6157" t="s">
        <v>406</v>
      </c>
      <c r="C6157" t="s">
        <v>551</v>
      </c>
      <c r="D6157" t="s">
        <v>558</v>
      </c>
      <c r="E6157" t="s">
        <v>559</v>
      </c>
      <c r="F6157" t="s">
        <v>413</v>
      </c>
      <c r="G6157">
        <v>4706</v>
      </c>
      <c r="H6157">
        <v>4706</v>
      </c>
      <c r="I6157">
        <v>4006</v>
      </c>
      <c r="J6157">
        <v>4006</v>
      </c>
      <c r="K6157">
        <v>1449</v>
      </c>
      <c r="L6157">
        <v>5</v>
      </c>
      <c r="M6157">
        <v>3054</v>
      </c>
      <c r="N6157">
        <v>173</v>
      </c>
      <c r="O6157">
        <v>25</v>
      </c>
      <c r="P6157">
        <v>125</v>
      </c>
      <c r="Q6157">
        <v>47</v>
      </c>
    </row>
    <row r="6158" spans="1:17" x14ac:dyDescent="0.2">
      <c r="A6158" s="121">
        <v>41274</v>
      </c>
      <c r="B6158" t="s">
        <v>406</v>
      </c>
      <c r="C6158" t="s">
        <v>551</v>
      </c>
      <c r="D6158" t="s">
        <v>560</v>
      </c>
      <c r="E6158" t="s">
        <v>561</v>
      </c>
      <c r="F6158" t="s">
        <v>413</v>
      </c>
      <c r="G6158">
        <v>5205</v>
      </c>
      <c r="H6158">
        <v>5205</v>
      </c>
      <c r="I6158">
        <v>4340</v>
      </c>
      <c r="J6158">
        <v>4340</v>
      </c>
      <c r="K6158">
        <v>1282</v>
      </c>
      <c r="L6158">
        <v>4</v>
      </c>
      <c r="M6158">
        <v>3485</v>
      </c>
      <c r="N6158">
        <v>340</v>
      </c>
      <c r="O6158">
        <v>94</v>
      </c>
      <c r="P6158">
        <v>160</v>
      </c>
      <c r="Q6158">
        <v>47</v>
      </c>
    </row>
    <row r="6159" spans="1:17" x14ac:dyDescent="0.2">
      <c r="A6159" s="121">
        <v>41274</v>
      </c>
      <c r="B6159" t="s">
        <v>406</v>
      </c>
      <c r="C6159" t="s">
        <v>562</v>
      </c>
      <c r="D6159" t="s">
        <v>605</v>
      </c>
      <c r="E6159" t="s">
        <v>606</v>
      </c>
      <c r="F6159" t="s">
        <v>410</v>
      </c>
      <c r="G6159">
        <v>69</v>
      </c>
      <c r="I6159">
        <v>69</v>
      </c>
    </row>
    <row r="6160" spans="1:17" x14ac:dyDescent="0.2">
      <c r="A6160" s="121">
        <v>41274</v>
      </c>
      <c r="B6160" t="s">
        <v>406</v>
      </c>
      <c r="C6160" t="s">
        <v>562</v>
      </c>
      <c r="D6160" t="s">
        <v>563</v>
      </c>
      <c r="E6160" t="s">
        <v>564</v>
      </c>
      <c r="F6160" t="s">
        <v>410</v>
      </c>
      <c r="G6160">
        <v>3056</v>
      </c>
      <c r="H6160">
        <v>3056</v>
      </c>
      <c r="I6160">
        <v>2638</v>
      </c>
      <c r="J6160">
        <v>2638</v>
      </c>
      <c r="K6160">
        <v>1125</v>
      </c>
      <c r="L6160">
        <v>6</v>
      </c>
      <c r="M6160">
        <v>1901</v>
      </c>
      <c r="N6160">
        <v>24</v>
      </c>
      <c r="O6160">
        <v>0</v>
      </c>
      <c r="P6160">
        <v>59</v>
      </c>
      <c r="Q6160">
        <v>26</v>
      </c>
    </row>
    <row r="6161" spans="1:17" x14ac:dyDescent="0.2">
      <c r="A6161" s="121">
        <v>41274</v>
      </c>
      <c r="B6161" t="s">
        <v>406</v>
      </c>
      <c r="C6161" t="s">
        <v>562</v>
      </c>
      <c r="D6161" t="s">
        <v>565</v>
      </c>
      <c r="E6161" t="s">
        <v>566</v>
      </c>
      <c r="F6161" t="s">
        <v>413</v>
      </c>
      <c r="G6161">
        <v>4540</v>
      </c>
      <c r="H6161">
        <v>4540</v>
      </c>
      <c r="I6161">
        <v>3880</v>
      </c>
      <c r="J6161">
        <v>3880</v>
      </c>
      <c r="K6161">
        <v>1206</v>
      </c>
      <c r="L6161">
        <v>5</v>
      </c>
      <c r="M6161">
        <v>3166</v>
      </c>
      <c r="N6161">
        <v>163</v>
      </c>
      <c r="O6161">
        <v>0</v>
      </c>
      <c r="P6161">
        <v>89</v>
      </c>
      <c r="Q6161">
        <v>12</v>
      </c>
    </row>
    <row r="6162" spans="1:17" x14ac:dyDescent="0.2">
      <c r="A6162" s="121">
        <v>41274</v>
      </c>
      <c r="B6162" t="s">
        <v>406</v>
      </c>
      <c r="C6162" t="s">
        <v>562</v>
      </c>
      <c r="D6162" t="s">
        <v>567</v>
      </c>
      <c r="E6162" t="s">
        <v>568</v>
      </c>
      <c r="F6162" t="s">
        <v>413</v>
      </c>
      <c r="G6162">
        <v>9313</v>
      </c>
      <c r="H6162">
        <v>9313</v>
      </c>
      <c r="I6162">
        <v>7630</v>
      </c>
      <c r="J6162">
        <v>7630</v>
      </c>
      <c r="K6162">
        <v>2948</v>
      </c>
      <c r="L6162">
        <v>31</v>
      </c>
      <c r="M6162">
        <v>6031</v>
      </c>
      <c r="N6162">
        <v>303</v>
      </c>
      <c r="O6162">
        <v>0</v>
      </c>
      <c r="P6162">
        <v>230</v>
      </c>
      <c r="Q6162">
        <v>40</v>
      </c>
    </row>
    <row r="6163" spans="1:17" x14ac:dyDescent="0.2">
      <c r="A6163" s="121">
        <v>41274</v>
      </c>
      <c r="B6163" t="s">
        <v>406</v>
      </c>
      <c r="C6163" t="s">
        <v>562</v>
      </c>
      <c r="D6163" t="s">
        <v>569</v>
      </c>
      <c r="E6163" t="s">
        <v>570</v>
      </c>
      <c r="F6163" t="s">
        <v>413</v>
      </c>
      <c r="G6163">
        <v>3846</v>
      </c>
      <c r="H6163">
        <v>3846</v>
      </c>
      <c r="I6163">
        <v>3732</v>
      </c>
      <c r="J6163">
        <v>3732</v>
      </c>
      <c r="K6163">
        <v>567</v>
      </c>
      <c r="L6163">
        <v>1</v>
      </c>
      <c r="M6163">
        <v>3278</v>
      </c>
      <c r="N6163">
        <v>0</v>
      </c>
      <c r="O6163">
        <v>0</v>
      </c>
      <c r="P6163">
        <v>2</v>
      </c>
      <c r="Q6163">
        <v>0</v>
      </c>
    </row>
    <row r="6164" spans="1:17" x14ac:dyDescent="0.2">
      <c r="A6164" s="121">
        <v>41274</v>
      </c>
      <c r="B6164" t="s">
        <v>406</v>
      </c>
      <c r="C6164" t="s">
        <v>571</v>
      </c>
      <c r="D6164" t="s">
        <v>572</v>
      </c>
      <c r="E6164" t="s">
        <v>573</v>
      </c>
      <c r="F6164" t="s">
        <v>410</v>
      </c>
      <c r="G6164">
        <v>281</v>
      </c>
      <c r="H6164">
        <v>281</v>
      </c>
      <c r="I6164">
        <v>277</v>
      </c>
      <c r="J6164">
        <v>277</v>
      </c>
      <c r="K6164">
        <v>0</v>
      </c>
      <c r="L6164">
        <v>0</v>
      </c>
      <c r="M6164">
        <v>274</v>
      </c>
      <c r="N6164">
        <v>1</v>
      </c>
      <c r="O6164">
        <v>6</v>
      </c>
      <c r="P6164">
        <v>0</v>
      </c>
      <c r="Q6164">
        <v>0</v>
      </c>
    </row>
    <row r="6165" spans="1:17" x14ac:dyDescent="0.2">
      <c r="A6165" s="121">
        <v>41274</v>
      </c>
      <c r="B6165" t="s">
        <v>406</v>
      </c>
      <c r="C6165" t="s">
        <v>574</v>
      </c>
      <c r="D6165" t="s">
        <v>575</v>
      </c>
      <c r="E6165" t="s">
        <v>576</v>
      </c>
      <c r="F6165" t="s">
        <v>413</v>
      </c>
      <c r="G6165">
        <v>642</v>
      </c>
      <c r="H6165">
        <v>642</v>
      </c>
      <c r="I6165">
        <v>634</v>
      </c>
      <c r="J6165">
        <v>634</v>
      </c>
      <c r="K6165">
        <v>207</v>
      </c>
      <c r="L6165">
        <v>0</v>
      </c>
      <c r="M6165">
        <v>403</v>
      </c>
      <c r="N6165">
        <v>1</v>
      </c>
      <c r="O6165">
        <v>31</v>
      </c>
      <c r="P6165">
        <v>0</v>
      </c>
      <c r="Q6165">
        <v>0</v>
      </c>
    </row>
    <row r="6166" spans="1:17" x14ac:dyDescent="0.2">
      <c r="A6166" s="121">
        <v>41274</v>
      </c>
      <c r="B6166" t="s">
        <v>406</v>
      </c>
      <c r="C6166" t="s">
        <v>577</v>
      </c>
      <c r="D6166" t="s">
        <v>578</v>
      </c>
      <c r="E6166" t="s">
        <v>579</v>
      </c>
      <c r="F6166" t="s">
        <v>413</v>
      </c>
      <c r="G6166">
        <v>3705</v>
      </c>
      <c r="H6166">
        <v>3705</v>
      </c>
      <c r="I6166">
        <v>3601</v>
      </c>
      <c r="J6166">
        <v>3601</v>
      </c>
      <c r="K6166">
        <v>981</v>
      </c>
      <c r="L6166">
        <v>12</v>
      </c>
      <c r="M6166">
        <v>2628</v>
      </c>
      <c r="N6166">
        <v>83</v>
      </c>
      <c r="O6166">
        <v>1</v>
      </c>
      <c r="P6166">
        <v>1</v>
      </c>
      <c r="Q6166">
        <v>0</v>
      </c>
    </row>
    <row r="6167" spans="1:17" x14ac:dyDescent="0.2">
      <c r="A6167" s="121">
        <v>41274</v>
      </c>
      <c r="B6167" t="s">
        <v>406</v>
      </c>
      <c r="C6167" t="s">
        <v>577</v>
      </c>
      <c r="D6167" t="s">
        <v>580</v>
      </c>
      <c r="E6167" t="s">
        <v>581</v>
      </c>
      <c r="F6167" t="s">
        <v>413</v>
      </c>
      <c r="G6167">
        <v>2006</v>
      </c>
      <c r="H6167">
        <v>2006</v>
      </c>
      <c r="I6167">
        <v>1973</v>
      </c>
      <c r="J6167">
        <v>1973</v>
      </c>
      <c r="K6167">
        <v>377</v>
      </c>
      <c r="L6167">
        <v>0</v>
      </c>
      <c r="M6167">
        <v>1232</v>
      </c>
      <c r="N6167">
        <v>342</v>
      </c>
      <c r="O6167">
        <v>55</v>
      </c>
      <c r="P6167">
        <v>2</v>
      </c>
      <c r="Q6167">
        <v>0</v>
      </c>
    </row>
    <row r="6168" spans="1:17" x14ac:dyDescent="0.2">
      <c r="A6168" s="121">
        <v>41274</v>
      </c>
      <c r="B6168" t="s">
        <v>406</v>
      </c>
      <c r="C6168" t="s">
        <v>577</v>
      </c>
      <c r="D6168" t="s">
        <v>609</v>
      </c>
      <c r="E6168" t="s">
        <v>610</v>
      </c>
      <c r="F6168" t="s">
        <v>410</v>
      </c>
      <c r="G6168">
        <v>23</v>
      </c>
      <c r="H6168">
        <v>23</v>
      </c>
      <c r="I6168">
        <v>23</v>
      </c>
      <c r="J6168">
        <v>23</v>
      </c>
      <c r="K6168">
        <v>0</v>
      </c>
      <c r="L6168">
        <v>0</v>
      </c>
      <c r="M6168">
        <v>20</v>
      </c>
      <c r="N6168">
        <v>2</v>
      </c>
      <c r="O6168">
        <v>1</v>
      </c>
      <c r="P6168">
        <v>0</v>
      </c>
      <c r="Q6168">
        <v>0</v>
      </c>
    </row>
    <row r="6169" spans="1:17" x14ac:dyDescent="0.2">
      <c r="A6169" s="121">
        <v>41274</v>
      </c>
      <c r="B6169" t="s">
        <v>406</v>
      </c>
      <c r="C6169" t="s">
        <v>577</v>
      </c>
      <c r="D6169" t="s">
        <v>584</v>
      </c>
      <c r="E6169" t="s">
        <v>585</v>
      </c>
      <c r="F6169" t="s">
        <v>410</v>
      </c>
      <c r="G6169">
        <v>267</v>
      </c>
      <c r="H6169">
        <v>267</v>
      </c>
      <c r="I6169">
        <v>266</v>
      </c>
      <c r="J6169">
        <v>266</v>
      </c>
      <c r="K6169">
        <v>0</v>
      </c>
      <c r="L6169">
        <v>0</v>
      </c>
      <c r="M6169">
        <v>249</v>
      </c>
      <c r="N6169">
        <v>16</v>
      </c>
      <c r="O6169">
        <v>2</v>
      </c>
      <c r="P6169">
        <v>0</v>
      </c>
      <c r="Q6169">
        <v>0</v>
      </c>
    </row>
    <row r="6170" spans="1:17" x14ac:dyDescent="0.2">
      <c r="A6170" s="121">
        <v>41274</v>
      </c>
      <c r="B6170" t="s">
        <v>406</v>
      </c>
      <c r="C6170" t="s">
        <v>577</v>
      </c>
      <c r="D6170" t="s">
        <v>586</v>
      </c>
      <c r="E6170" t="s">
        <v>587</v>
      </c>
      <c r="F6170" t="s">
        <v>410</v>
      </c>
      <c r="G6170">
        <v>1206</v>
      </c>
      <c r="H6170">
        <v>1206</v>
      </c>
      <c r="I6170">
        <v>1205</v>
      </c>
      <c r="J6170">
        <v>1205</v>
      </c>
      <c r="K6170">
        <v>0</v>
      </c>
      <c r="L6170">
        <v>0</v>
      </c>
      <c r="M6170">
        <v>1125</v>
      </c>
      <c r="N6170">
        <v>79</v>
      </c>
      <c r="O6170">
        <v>2</v>
      </c>
      <c r="P6170">
        <v>0</v>
      </c>
      <c r="Q6170">
        <v>0</v>
      </c>
    </row>
    <row r="6171" spans="1:17" x14ac:dyDescent="0.2">
      <c r="A6171" s="121">
        <v>41274</v>
      </c>
      <c r="B6171" t="s">
        <v>406</v>
      </c>
      <c r="C6171" t="s">
        <v>577</v>
      </c>
      <c r="D6171" t="s">
        <v>588</v>
      </c>
      <c r="E6171" t="s">
        <v>589</v>
      </c>
      <c r="F6171" t="s">
        <v>410</v>
      </c>
      <c r="G6171">
        <v>231</v>
      </c>
      <c r="H6171">
        <v>231</v>
      </c>
      <c r="I6171">
        <v>231</v>
      </c>
      <c r="J6171">
        <v>231</v>
      </c>
      <c r="K6171">
        <v>0</v>
      </c>
      <c r="L6171">
        <v>0</v>
      </c>
      <c r="M6171">
        <v>208</v>
      </c>
      <c r="N6171">
        <v>22</v>
      </c>
      <c r="O6171">
        <v>1</v>
      </c>
      <c r="P6171">
        <v>0</v>
      </c>
      <c r="Q6171">
        <v>0</v>
      </c>
    </row>
    <row r="6172" spans="1:17" x14ac:dyDescent="0.2">
      <c r="A6172" s="121">
        <v>41274</v>
      </c>
      <c r="B6172" t="s">
        <v>406</v>
      </c>
      <c r="C6172" t="s">
        <v>577</v>
      </c>
      <c r="D6172" t="s">
        <v>613</v>
      </c>
      <c r="E6172" t="s">
        <v>614</v>
      </c>
      <c r="F6172" t="s">
        <v>410</v>
      </c>
      <c r="G6172">
        <v>187</v>
      </c>
      <c r="H6172">
        <v>187</v>
      </c>
      <c r="I6172">
        <v>187</v>
      </c>
      <c r="J6172">
        <v>187</v>
      </c>
      <c r="K6172">
        <v>0</v>
      </c>
      <c r="L6172">
        <v>0</v>
      </c>
      <c r="M6172">
        <v>174</v>
      </c>
      <c r="N6172">
        <v>7</v>
      </c>
      <c r="O6172">
        <v>6</v>
      </c>
      <c r="P6172">
        <v>0</v>
      </c>
      <c r="Q6172">
        <v>0</v>
      </c>
    </row>
    <row r="6173" spans="1:17" x14ac:dyDescent="0.2">
      <c r="A6173" s="121">
        <v>41274</v>
      </c>
      <c r="B6173" t="s">
        <v>406</v>
      </c>
      <c r="C6173" t="s">
        <v>577</v>
      </c>
      <c r="D6173" t="s">
        <v>590</v>
      </c>
      <c r="E6173" t="s">
        <v>591</v>
      </c>
      <c r="F6173" t="s">
        <v>410</v>
      </c>
      <c r="G6173">
        <v>607</v>
      </c>
      <c r="H6173">
        <v>607</v>
      </c>
      <c r="I6173">
        <v>607</v>
      </c>
      <c r="J6173">
        <v>607</v>
      </c>
      <c r="K6173">
        <v>0</v>
      </c>
      <c r="L6173">
        <v>2</v>
      </c>
      <c r="M6173">
        <v>578</v>
      </c>
      <c r="N6173">
        <v>27</v>
      </c>
      <c r="O6173">
        <v>0</v>
      </c>
      <c r="P6173">
        <v>0</v>
      </c>
      <c r="Q6173">
        <v>0</v>
      </c>
    </row>
    <row r="6174" spans="1:17" x14ac:dyDescent="0.2">
      <c r="A6174" s="121">
        <v>41274</v>
      </c>
      <c r="B6174" t="s">
        <v>406</v>
      </c>
      <c r="C6174" t="s">
        <v>577</v>
      </c>
      <c r="D6174" t="s">
        <v>607</v>
      </c>
      <c r="E6174" t="s">
        <v>608</v>
      </c>
      <c r="F6174" t="s">
        <v>410</v>
      </c>
      <c r="G6174">
        <v>133</v>
      </c>
      <c r="H6174">
        <v>133</v>
      </c>
      <c r="I6174">
        <v>133</v>
      </c>
      <c r="J6174">
        <v>133</v>
      </c>
      <c r="K6174">
        <v>0</v>
      </c>
      <c r="L6174">
        <v>0</v>
      </c>
      <c r="M6174">
        <v>118</v>
      </c>
      <c r="N6174">
        <v>15</v>
      </c>
      <c r="O6174">
        <v>0</v>
      </c>
      <c r="P6174">
        <v>0</v>
      </c>
      <c r="Q6174">
        <v>0</v>
      </c>
    </row>
    <row r="6175" spans="1:17" x14ac:dyDescent="0.2">
      <c r="A6175" s="121">
        <v>41274</v>
      </c>
      <c r="B6175" t="s">
        <v>406</v>
      </c>
      <c r="C6175" t="s">
        <v>577</v>
      </c>
      <c r="D6175" t="s">
        <v>592</v>
      </c>
      <c r="E6175" t="s">
        <v>593</v>
      </c>
      <c r="F6175" t="s">
        <v>410</v>
      </c>
      <c r="G6175">
        <v>496</v>
      </c>
      <c r="H6175">
        <v>496</v>
      </c>
      <c r="I6175">
        <v>495</v>
      </c>
      <c r="J6175">
        <v>495</v>
      </c>
      <c r="K6175">
        <v>0</v>
      </c>
      <c r="L6175">
        <v>0</v>
      </c>
      <c r="M6175">
        <v>449</v>
      </c>
      <c r="N6175">
        <v>45</v>
      </c>
      <c r="O6175">
        <v>2</v>
      </c>
      <c r="P6175">
        <v>0</v>
      </c>
      <c r="Q6175">
        <v>0</v>
      </c>
    </row>
    <row r="6176" spans="1:17" x14ac:dyDescent="0.2">
      <c r="A6176" s="121">
        <v>41274</v>
      </c>
      <c r="B6176" t="s">
        <v>406</v>
      </c>
      <c r="C6176" t="s">
        <v>594</v>
      </c>
      <c r="D6176" t="s">
        <v>595</v>
      </c>
      <c r="E6176" t="s">
        <v>596</v>
      </c>
      <c r="F6176" t="s">
        <v>410</v>
      </c>
      <c r="G6176">
        <v>42</v>
      </c>
      <c r="I6176">
        <v>42</v>
      </c>
    </row>
    <row r="6177" spans="1:17" x14ac:dyDescent="0.2">
      <c r="A6177" s="121">
        <v>41274</v>
      </c>
      <c r="B6177" t="s">
        <v>406</v>
      </c>
      <c r="C6177" t="s">
        <v>594</v>
      </c>
      <c r="D6177" t="s">
        <v>597</v>
      </c>
      <c r="E6177" t="s">
        <v>598</v>
      </c>
      <c r="F6177" t="s">
        <v>413</v>
      </c>
      <c r="G6177">
        <v>463</v>
      </c>
      <c r="H6177">
        <v>463</v>
      </c>
      <c r="I6177">
        <v>453</v>
      </c>
      <c r="J6177">
        <v>453</v>
      </c>
      <c r="K6177">
        <v>126</v>
      </c>
      <c r="L6177">
        <v>0</v>
      </c>
      <c r="M6177">
        <v>320</v>
      </c>
      <c r="N6177">
        <v>16</v>
      </c>
      <c r="O6177">
        <v>1</v>
      </c>
      <c r="P6177">
        <v>0</v>
      </c>
      <c r="Q6177">
        <v>0</v>
      </c>
    </row>
    <row r="6178" spans="1:17" x14ac:dyDescent="0.2">
      <c r="A6178" s="121">
        <v>41274</v>
      </c>
      <c r="B6178" t="s">
        <v>406</v>
      </c>
      <c r="C6178" t="s">
        <v>594</v>
      </c>
      <c r="D6178" t="s">
        <v>599</v>
      </c>
      <c r="E6178" t="s">
        <v>600</v>
      </c>
      <c r="F6178" t="s">
        <v>410</v>
      </c>
      <c r="G6178">
        <v>71</v>
      </c>
      <c r="I6178">
        <v>71</v>
      </c>
    </row>
    <row r="6179" spans="1:17" x14ac:dyDescent="0.2">
      <c r="A6179" s="121">
        <v>41305</v>
      </c>
      <c r="B6179" t="s">
        <v>406</v>
      </c>
      <c r="C6179" t="s">
        <v>407</v>
      </c>
      <c r="D6179" t="s">
        <v>408</v>
      </c>
      <c r="E6179" t="s">
        <v>409</v>
      </c>
      <c r="F6179" t="s">
        <v>410</v>
      </c>
      <c r="G6179">
        <v>181</v>
      </c>
      <c r="I6179">
        <v>181</v>
      </c>
    </row>
    <row r="6180" spans="1:17" x14ac:dyDescent="0.2">
      <c r="A6180" s="121">
        <v>41305</v>
      </c>
      <c r="B6180" t="s">
        <v>406</v>
      </c>
      <c r="C6180" t="s">
        <v>407</v>
      </c>
      <c r="D6180" t="s">
        <v>601</v>
      </c>
      <c r="E6180" t="s">
        <v>602</v>
      </c>
      <c r="F6180" t="s">
        <v>410</v>
      </c>
      <c r="G6180">
        <v>47</v>
      </c>
      <c r="I6180">
        <v>47</v>
      </c>
    </row>
    <row r="6181" spans="1:17" x14ac:dyDescent="0.2">
      <c r="A6181" s="121">
        <v>41305</v>
      </c>
      <c r="B6181" t="s">
        <v>406</v>
      </c>
      <c r="C6181" t="s">
        <v>407</v>
      </c>
      <c r="D6181" t="s">
        <v>411</v>
      </c>
      <c r="E6181" t="s">
        <v>412</v>
      </c>
      <c r="F6181" t="s">
        <v>413</v>
      </c>
      <c r="G6181">
        <v>5683</v>
      </c>
      <c r="H6181">
        <v>5683</v>
      </c>
      <c r="I6181">
        <v>4960</v>
      </c>
      <c r="J6181">
        <v>4960</v>
      </c>
      <c r="K6181">
        <v>2444</v>
      </c>
      <c r="L6181">
        <v>4</v>
      </c>
      <c r="M6181">
        <v>2913</v>
      </c>
      <c r="N6181">
        <v>107</v>
      </c>
      <c r="O6181">
        <v>215</v>
      </c>
      <c r="P6181">
        <v>61</v>
      </c>
      <c r="Q6181">
        <v>11</v>
      </c>
    </row>
    <row r="6182" spans="1:17" x14ac:dyDescent="0.2">
      <c r="A6182" s="121">
        <v>41305</v>
      </c>
      <c r="B6182" t="s">
        <v>406</v>
      </c>
      <c r="C6182" t="s">
        <v>407</v>
      </c>
      <c r="D6182" t="s">
        <v>416</v>
      </c>
      <c r="E6182" t="s">
        <v>417</v>
      </c>
      <c r="F6182" t="s">
        <v>413</v>
      </c>
      <c r="G6182">
        <v>3502</v>
      </c>
      <c r="H6182">
        <v>3502</v>
      </c>
      <c r="I6182">
        <v>2819</v>
      </c>
      <c r="J6182">
        <v>2819</v>
      </c>
      <c r="K6182">
        <v>1418</v>
      </c>
      <c r="L6182">
        <v>8</v>
      </c>
      <c r="M6182">
        <v>1900</v>
      </c>
      <c r="N6182">
        <v>121</v>
      </c>
      <c r="O6182">
        <v>55</v>
      </c>
      <c r="P6182">
        <v>41</v>
      </c>
      <c r="Q6182">
        <v>2</v>
      </c>
    </row>
    <row r="6183" spans="1:17" x14ac:dyDescent="0.2">
      <c r="A6183" s="121">
        <v>41305</v>
      </c>
      <c r="B6183" t="s">
        <v>406</v>
      </c>
      <c r="C6183" t="s">
        <v>407</v>
      </c>
      <c r="D6183" t="s">
        <v>618</v>
      </c>
      <c r="E6183" t="s">
        <v>619</v>
      </c>
      <c r="F6183" t="s">
        <v>410</v>
      </c>
      <c r="G6183">
        <v>67</v>
      </c>
      <c r="I6183">
        <v>67</v>
      </c>
    </row>
    <row r="6184" spans="1:17" x14ac:dyDescent="0.2">
      <c r="A6184" s="121">
        <v>41305</v>
      </c>
      <c r="B6184" t="s">
        <v>406</v>
      </c>
      <c r="C6184" t="s">
        <v>418</v>
      </c>
      <c r="D6184" t="s">
        <v>419</v>
      </c>
      <c r="E6184" t="s">
        <v>420</v>
      </c>
      <c r="F6184" t="s">
        <v>410</v>
      </c>
      <c r="G6184">
        <v>11</v>
      </c>
      <c r="I6184">
        <v>11</v>
      </c>
    </row>
    <row r="6185" spans="1:17" x14ac:dyDescent="0.2">
      <c r="A6185" s="121">
        <v>41305</v>
      </c>
      <c r="B6185" t="s">
        <v>406</v>
      </c>
      <c r="C6185" t="s">
        <v>418</v>
      </c>
      <c r="D6185" t="s">
        <v>421</v>
      </c>
      <c r="E6185" t="s">
        <v>422</v>
      </c>
      <c r="F6185" t="s">
        <v>410</v>
      </c>
      <c r="G6185">
        <v>91</v>
      </c>
      <c r="I6185">
        <v>91</v>
      </c>
    </row>
    <row r="6186" spans="1:17" x14ac:dyDescent="0.2">
      <c r="A6186" s="121">
        <v>41305</v>
      </c>
      <c r="B6186" t="s">
        <v>406</v>
      </c>
      <c r="C6186" t="s">
        <v>418</v>
      </c>
      <c r="D6186" t="s">
        <v>423</v>
      </c>
      <c r="E6186" t="s">
        <v>424</v>
      </c>
      <c r="F6186" t="s">
        <v>410</v>
      </c>
      <c r="G6186">
        <v>16</v>
      </c>
      <c r="I6186">
        <v>16</v>
      </c>
    </row>
    <row r="6187" spans="1:17" x14ac:dyDescent="0.2">
      <c r="A6187" s="121">
        <v>41305</v>
      </c>
      <c r="B6187" t="s">
        <v>406</v>
      </c>
      <c r="C6187" t="s">
        <v>418</v>
      </c>
      <c r="D6187" t="s">
        <v>425</v>
      </c>
      <c r="E6187" t="s">
        <v>426</v>
      </c>
      <c r="F6187" t="s">
        <v>410</v>
      </c>
      <c r="G6187">
        <v>40</v>
      </c>
      <c r="I6187">
        <v>40</v>
      </c>
    </row>
    <row r="6188" spans="1:17" x14ac:dyDescent="0.2">
      <c r="A6188" s="121">
        <v>41305</v>
      </c>
      <c r="B6188" t="s">
        <v>406</v>
      </c>
      <c r="C6188" t="s">
        <v>418</v>
      </c>
      <c r="D6188" t="s">
        <v>427</v>
      </c>
      <c r="E6188" t="s">
        <v>428</v>
      </c>
      <c r="F6188" t="s">
        <v>413</v>
      </c>
      <c r="G6188">
        <v>1886</v>
      </c>
      <c r="H6188">
        <v>1886</v>
      </c>
      <c r="I6188">
        <v>1795</v>
      </c>
      <c r="J6188">
        <v>1795</v>
      </c>
      <c r="K6188">
        <v>767</v>
      </c>
      <c r="L6188">
        <v>4</v>
      </c>
      <c r="M6188">
        <v>886</v>
      </c>
      <c r="N6188">
        <v>211</v>
      </c>
      <c r="O6188">
        <v>18</v>
      </c>
      <c r="P6188">
        <v>4</v>
      </c>
      <c r="Q6188">
        <v>0</v>
      </c>
    </row>
    <row r="6189" spans="1:17" x14ac:dyDescent="0.2">
      <c r="A6189" s="121">
        <v>41305</v>
      </c>
      <c r="B6189" t="s">
        <v>406</v>
      </c>
      <c r="C6189" t="s">
        <v>429</v>
      </c>
      <c r="D6189" t="s">
        <v>430</v>
      </c>
      <c r="E6189" t="s">
        <v>431</v>
      </c>
      <c r="F6189" t="s">
        <v>410</v>
      </c>
      <c r="G6189">
        <v>29</v>
      </c>
      <c r="I6189">
        <v>29</v>
      </c>
    </row>
    <row r="6190" spans="1:17" x14ac:dyDescent="0.2">
      <c r="A6190" s="121">
        <v>41305</v>
      </c>
      <c r="B6190" t="s">
        <v>406</v>
      </c>
      <c r="C6190" t="s">
        <v>429</v>
      </c>
      <c r="D6190" t="s">
        <v>432</v>
      </c>
      <c r="E6190" t="s">
        <v>433</v>
      </c>
      <c r="F6190" t="s">
        <v>410</v>
      </c>
      <c r="G6190">
        <v>33</v>
      </c>
      <c r="I6190">
        <v>33</v>
      </c>
    </row>
    <row r="6191" spans="1:17" x14ac:dyDescent="0.2">
      <c r="A6191" s="121">
        <v>41305</v>
      </c>
      <c r="B6191" t="s">
        <v>406</v>
      </c>
      <c r="C6191" t="s">
        <v>429</v>
      </c>
      <c r="D6191" t="s">
        <v>434</v>
      </c>
      <c r="E6191" t="s">
        <v>435</v>
      </c>
      <c r="F6191" t="s">
        <v>410</v>
      </c>
      <c r="G6191">
        <v>1</v>
      </c>
      <c r="I6191">
        <v>1</v>
      </c>
    </row>
    <row r="6192" spans="1:17" x14ac:dyDescent="0.2">
      <c r="A6192" s="121">
        <v>41305</v>
      </c>
      <c r="B6192" t="s">
        <v>406</v>
      </c>
      <c r="C6192" t="s">
        <v>429</v>
      </c>
      <c r="D6192" t="s">
        <v>436</v>
      </c>
      <c r="E6192" t="s">
        <v>437</v>
      </c>
      <c r="F6192" t="s">
        <v>410</v>
      </c>
      <c r="G6192">
        <v>9</v>
      </c>
      <c r="H6192">
        <v>9</v>
      </c>
      <c r="I6192">
        <v>9</v>
      </c>
      <c r="J6192">
        <v>9</v>
      </c>
      <c r="K6192">
        <v>0</v>
      </c>
      <c r="L6192">
        <v>0</v>
      </c>
      <c r="M6192">
        <v>5</v>
      </c>
      <c r="N6192">
        <v>4</v>
      </c>
      <c r="O6192">
        <v>0</v>
      </c>
      <c r="P6192">
        <v>0</v>
      </c>
      <c r="Q6192">
        <v>0</v>
      </c>
    </row>
    <row r="6193" spans="1:17" x14ac:dyDescent="0.2">
      <c r="A6193" s="121">
        <v>41305</v>
      </c>
      <c r="B6193" t="s">
        <v>406</v>
      </c>
      <c r="C6193" t="s">
        <v>429</v>
      </c>
      <c r="D6193" t="s">
        <v>438</v>
      </c>
      <c r="E6193" t="s">
        <v>439</v>
      </c>
      <c r="F6193" t="s">
        <v>413</v>
      </c>
      <c r="G6193">
        <v>837</v>
      </c>
      <c r="H6193">
        <v>837</v>
      </c>
      <c r="I6193">
        <v>812</v>
      </c>
      <c r="J6193">
        <v>812</v>
      </c>
      <c r="K6193">
        <v>110</v>
      </c>
      <c r="L6193">
        <v>0</v>
      </c>
      <c r="M6193">
        <v>698</v>
      </c>
      <c r="N6193">
        <v>29</v>
      </c>
      <c r="O6193">
        <v>0</v>
      </c>
      <c r="P6193">
        <v>3</v>
      </c>
      <c r="Q6193">
        <v>0</v>
      </c>
    </row>
    <row r="6194" spans="1:17" x14ac:dyDescent="0.2">
      <c r="A6194" s="121">
        <v>41305</v>
      </c>
      <c r="B6194" t="s">
        <v>406</v>
      </c>
      <c r="C6194" t="s">
        <v>429</v>
      </c>
      <c r="D6194" t="s">
        <v>440</v>
      </c>
      <c r="E6194" t="s">
        <v>441</v>
      </c>
      <c r="F6194" t="s">
        <v>413</v>
      </c>
      <c r="G6194">
        <v>2713</v>
      </c>
      <c r="H6194">
        <v>2713</v>
      </c>
      <c r="I6194">
        <v>2493</v>
      </c>
      <c r="J6194">
        <v>2493</v>
      </c>
      <c r="K6194">
        <v>1045</v>
      </c>
      <c r="L6194">
        <v>9</v>
      </c>
      <c r="M6194">
        <v>1573</v>
      </c>
      <c r="N6194">
        <v>86</v>
      </c>
      <c r="O6194">
        <v>0</v>
      </c>
      <c r="P6194">
        <v>5</v>
      </c>
      <c r="Q6194">
        <v>0</v>
      </c>
    </row>
    <row r="6195" spans="1:17" x14ac:dyDescent="0.2">
      <c r="A6195" s="121">
        <v>41305</v>
      </c>
      <c r="B6195" t="s">
        <v>406</v>
      </c>
      <c r="C6195" t="s">
        <v>442</v>
      </c>
      <c r="D6195" t="s">
        <v>443</v>
      </c>
      <c r="E6195" t="s">
        <v>444</v>
      </c>
      <c r="F6195" t="s">
        <v>413</v>
      </c>
      <c r="G6195">
        <v>4811</v>
      </c>
      <c r="H6195">
        <v>4811</v>
      </c>
      <c r="I6195">
        <v>4339</v>
      </c>
      <c r="J6195">
        <v>4339</v>
      </c>
      <c r="K6195">
        <v>1288</v>
      </c>
      <c r="L6195">
        <v>13</v>
      </c>
      <c r="M6195">
        <v>3285</v>
      </c>
      <c r="N6195">
        <v>101</v>
      </c>
      <c r="O6195">
        <v>124</v>
      </c>
      <c r="P6195">
        <v>100</v>
      </c>
      <c r="Q6195">
        <v>28</v>
      </c>
    </row>
    <row r="6196" spans="1:17" x14ac:dyDescent="0.2">
      <c r="A6196" s="121">
        <v>41305</v>
      </c>
      <c r="B6196" t="s">
        <v>406</v>
      </c>
      <c r="C6196" t="s">
        <v>442</v>
      </c>
      <c r="D6196" t="s">
        <v>445</v>
      </c>
      <c r="E6196" t="s">
        <v>446</v>
      </c>
      <c r="F6196" t="s">
        <v>410</v>
      </c>
      <c r="G6196">
        <v>104</v>
      </c>
      <c r="I6196">
        <v>104</v>
      </c>
    </row>
    <row r="6197" spans="1:17" x14ac:dyDescent="0.2">
      <c r="A6197" s="121">
        <v>41305</v>
      </c>
      <c r="B6197" t="s">
        <v>406</v>
      </c>
      <c r="C6197" t="s">
        <v>442</v>
      </c>
      <c r="D6197" t="s">
        <v>447</v>
      </c>
      <c r="E6197" t="s">
        <v>448</v>
      </c>
      <c r="F6197" t="s">
        <v>410</v>
      </c>
      <c r="G6197">
        <v>277</v>
      </c>
      <c r="I6197">
        <v>277</v>
      </c>
    </row>
    <row r="6198" spans="1:17" x14ac:dyDescent="0.2">
      <c r="A6198" s="121">
        <v>41305</v>
      </c>
      <c r="B6198" t="s">
        <v>406</v>
      </c>
      <c r="C6198" t="s">
        <v>442</v>
      </c>
      <c r="D6198" t="s">
        <v>449</v>
      </c>
      <c r="E6198" t="s">
        <v>624</v>
      </c>
      <c r="F6198" t="s">
        <v>410</v>
      </c>
      <c r="G6198">
        <v>1270</v>
      </c>
      <c r="H6198">
        <v>1270</v>
      </c>
      <c r="I6198">
        <v>1270</v>
      </c>
      <c r="J6198">
        <v>1270</v>
      </c>
      <c r="K6198">
        <v>5</v>
      </c>
      <c r="L6198">
        <v>0</v>
      </c>
      <c r="M6198">
        <v>1067</v>
      </c>
      <c r="N6198">
        <v>197</v>
      </c>
      <c r="O6198">
        <v>1</v>
      </c>
      <c r="P6198">
        <v>0</v>
      </c>
      <c r="Q6198">
        <v>0</v>
      </c>
    </row>
    <row r="6199" spans="1:17" x14ac:dyDescent="0.2">
      <c r="A6199" s="121">
        <v>41305</v>
      </c>
      <c r="B6199" t="s">
        <v>406</v>
      </c>
      <c r="C6199" t="s">
        <v>451</v>
      </c>
      <c r="D6199" t="s">
        <v>454</v>
      </c>
      <c r="E6199" t="s">
        <v>621</v>
      </c>
      <c r="F6199" t="s">
        <v>410</v>
      </c>
      <c r="G6199">
        <v>958</v>
      </c>
      <c r="H6199">
        <v>958</v>
      </c>
      <c r="I6199">
        <v>958</v>
      </c>
      <c r="J6199">
        <v>958</v>
      </c>
      <c r="K6199">
        <v>3</v>
      </c>
      <c r="L6199">
        <v>0</v>
      </c>
      <c r="M6199">
        <v>851</v>
      </c>
      <c r="N6199">
        <v>40</v>
      </c>
      <c r="O6199">
        <v>64</v>
      </c>
      <c r="P6199">
        <v>0</v>
      </c>
      <c r="Q6199">
        <v>0</v>
      </c>
    </row>
    <row r="6200" spans="1:17" x14ac:dyDescent="0.2">
      <c r="A6200" s="121">
        <v>41305</v>
      </c>
      <c r="B6200" t="s">
        <v>406</v>
      </c>
      <c r="C6200" t="s">
        <v>451</v>
      </c>
      <c r="D6200" t="s">
        <v>622</v>
      </c>
      <c r="E6200" t="s">
        <v>623</v>
      </c>
      <c r="F6200" t="s">
        <v>413</v>
      </c>
      <c r="G6200">
        <v>4575</v>
      </c>
      <c r="H6200">
        <v>4575</v>
      </c>
      <c r="I6200">
        <v>3873</v>
      </c>
      <c r="J6200">
        <v>3873</v>
      </c>
      <c r="K6200">
        <v>1212</v>
      </c>
      <c r="L6200">
        <v>16</v>
      </c>
      <c r="M6200">
        <v>3107</v>
      </c>
      <c r="N6200">
        <v>67</v>
      </c>
      <c r="O6200">
        <v>173</v>
      </c>
      <c r="P6200">
        <v>141</v>
      </c>
      <c r="Q6200">
        <v>42</v>
      </c>
    </row>
    <row r="6201" spans="1:17" x14ac:dyDescent="0.2">
      <c r="A6201" s="121">
        <v>41305</v>
      </c>
      <c r="B6201" t="s">
        <v>406</v>
      </c>
      <c r="C6201" t="s">
        <v>456</v>
      </c>
      <c r="D6201" t="s">
        <v>457</v>
      </c>
      <c r="E6201" t="s">
        <v>458</v>
      </c>
      <c r="F6201" t="s">
        <v>413</v>
      </c>
      <c r="G6201">
        <v>4970</v>
      </c>
      <c r="H6201">
        <v>4970</v>
      </c>
      <c r="I6201">
        <v>4583</v>
      </c>
      <c r="J6201">
        <v>4583</v>
      </c>
      <c r="K6201">
        <v>1366</v>
      </c>
      <c r="L6201">
        <v>14</v>
      </c>
      <c r="M6201">
        <v>3218</v>
      </c>
      <c r="N6201">
        <v>31</v>
      </c>
      <c r="O6201">
        <v>341</v>
      </c>
      <c r="P6201">
        <v>32</v>
      </c>
      <c r="Q6201">
        <v>2</v>
      </c>
    </row>
    <row r="6202" spans="1:17" x14ac:dyDescent="0.2">
      <c r="A6202" s="121">
        <v>41305</v>
      </c>
      <c r="B6202" t="s">
        <v>406</v>
      </c>
      <c r="C6202" t="s">
        <v>456</v>
      </c>
      <c r="D6202" t="s">
        <v>459</v>
      </c>
      <c r="E6202" t="s">
        <v>460</v>
      </c>
      <c r="F6202" t="s">
        <v>413</v>
      </c>
      <c r="G6202">
        <v>1309</v>
      </c>
      <c r="H6202">
        <v>1309</v>
      </c>
      <c r="I6202">
        <v>1289</v>
      </c>
      <c r="J6202">
        <v>1289</v>
      </c>
      <c r="K6202">
        <v>337</v>
      </c>
      <c r="L6202">
        <v>1</v>
      </c>
      <c r="M6202">
        <v>965</v>
      </c>
      <c r="N6202">
        <v>0</v>
      </c>
      <c r="O6202">
        <v>6</v>
      </c>
      <c r="P6202">
        <v>0</v>
      </c>
      <c r="Q6202">
        <v>0</v>
      </c>
    </row>
    <row r="6203" spans="1:17" x14ac:dyDescent="0.2">
      <c r="A6203" s="121">
        <v>41305</v>
      </c>
      <c r="B6203" t="s">
        <v>406</v>
      </c>
      <c r="C6203" t="s">
        <v>456</v>
      </c>
      <c r="D6203" t="s">
        <v>461</v>
      </c>
      <c r="E6203" t="s">
        <v>462</v>
      </c>
      <c r="F6203" t="s">
        <v>410</v>
      </c>
      <c r="G6203">
        <v>44</v>
      </c>
      <c r="I6203">
        <v>44</v>
      </c>
    </row>
    <row r="6204" spans="1:17" x14ac:dyDescent="0.2">
      <c r="A6204" s="121">
        <v>41305</v>
      </c>
      <c r="B6204" t="s">
        <v>406</v>
      </c>
      <c r="C6204" t="s">
        <v>456</v>
      </c>
      <c r="D6204" t="s">
        <v>463</v>
      </c>
      <c r="E6204" t="s">
        <v>464</v>
      </c>
      <c r="F6204" t="s">
        <v>410</v>
      </c>
      <c r="G6204">
        <v>10</v>
      </c>
      <c r="I6204">
        <v>10</v>
      </c>
    </row>
    <row r="6205" spans="1:17" x14ac:dyDescent="0.2">
      <c r="A6205" s="121">
        <v>41305</v>
      </c>
      <c r="B6205" t="s">
        <v>406</v>
      </c>
      <c r="C6205" t="s">
        <v>456</v>
      </c>
      <c r="D6205" t="s">
        <v>465</v>
      </c>
      <c r="E6205" t="s">
        <v>466</v>
      </c>
      <c r="F6205" t="s">
        <v>410</v>
      </c>
      <c r="G6205">
        <v>41</v>
      </c>
      <c r="I6205">
        <v>41</v>
      </c>
    </row>
    <row r="6206" spans="1:17" x14ac:dyDescent="0.2">
      <c r="A6206" s="121">
        <v>41305</v>
      </c>
      <c r="B6206" t="s">
        <v>406</v>
      </c>
      <c r="C6206" t="s">
        <v>456</v>
      </c>
      <c r="D6206" t="s">
        <v>467</v>
      </c>
      <c r="E6206" t="s">
        <v>468</v>
      </c>
      <c r="F6206" t="s">
        <v>410</v>
      </c>
      <c r="G6206">
        <v>1185</v>
      </c>
      <c r="I6206">
        <v>1182</v>
      </c>
    </row>
    <row r="6207" spans="1:17" x14ac:dyDescent="0.2">
      <c r="A6207" s="121">
        <v>41305</v>
      </c>
      <c r="B6207" t="s">
        <v>406</v>
      </c>
      <c r="C6207" t="s">
        <v>456</v>
      </c>
      <c r="D6207" t="s">
        <v>469</v>
      </c>
      <c r="E6207" t="s">
        <v>470</v>
      </c>
      <c r="F6207" t="s">
        <v>410</v>
      </c>
      <c r="G6207">
        <v>806</v>
      </c>
      <c r="I6207">
        <v>803</v>
      </c>
    </row>
    <row r="6208" spans="1:17" x14ac:dyDescent="0.2">
      <c r="A6208" s="121">
        <v>41305</v>
      </c>
      <c r="B6208" t="s">
        <v>406</v>
      </c>
      <c r="C6208" t="s">
        <v>456</v>
      </c>
      <c r="D6208" t="s">
        <v>471</v>
      </c>
      <c r="E6208" t="s">
        <v>472</v>
      </c>
      <c r="F6208" t="s">
        <v>410</v>
      </c>
      <c r="G6208">
        <v>287</v>
      </c>
      <c r="I6208">
        <v>284</v>
      </c>
    </row>
    <row r="6209" spans="1:17" x14ac:dyDescent="0.2">
      <c r="A6209" s="121">
        <v>41305</v>
      </c>
      <c r="B6209" t="s">
        <v>406</v>
      </c>
      <c r="C6209" t="s">
        <v>456</v>
      </c>
      <c r="D6209" t="s">
        <v>473</v>
      </c>
      <c r="E6209" t="s">
        <v>474</v>
      </c>
      <c r="F6209" t="s">
        <v>410</v>
      </c>
      <c r="G6209">
        <v>143</v>
      </c>
      <c r="I6209">
        <v>143</v>
      </c>
    </row>
    <row r="6210" spans="1:17" x14ac:dyDescent="0.2">
      <c r="A6210" s="121">
        <v>41305</v>
      </c>
      <c r="B6210" t="s">
        <v>406</v>
      </c>
      <c r="C6210" t="s">
        <v>456</v>
      </c>
      <c r="D6210" t="s">
        <v>475</v>
      </c>
      <c r="E6210" t="s">
        <v>476</v>
      </c>
      <c r="F6210" t="s">
        <v>410</v>
      </c>
      <c r="G6210">
        <v>237</v>
      </c>
      <c r="I6210">
        <v>231</v>
      </c>
    </row>
    <row r="6211" spans="1:17" x14ac:dyDescent="0.2">
      <c r="A6211" s="121">
        <v>41305</v>
      </c>
      <c r="B6211" t="s">
        <v>406</v>
      </c>
      <c r="C6211" t="s">
        <v>456</v>
      </c>
      <c r="D6211" t="s">
        <v>477</v>
      </c>
      <c r="E6211" t="s">
        <v>478</v>
      </c>
      <c r="F6211" t="s">
        <v>413</v>
      </c>
      <c r="G6211">
        <v>1832</v>
      </c>
      <c r="H6211">
        <v>1832</v>
      </c>
      <c r="I6211">
        <v>1681</v>
      </c>
      <c r="J6211">
        <v>1681</v>
      </c>
      <c r="K6211">
        <v>388</v>
      </c>
      <c r="L6211">
        <v>7</v>
      </c>
      <c r="M6211">
        <v>1370</v>
      </c>
      <c r="N6211">
        <v>55</v>
      </c>
      <c r="O6211">
        <v>12</v>
      </c>
      <c r="P6211">
        <v>24</v>
      </c>
      <c r="Q6211">
        <v>2</v>
      </c>
    </row>
    <row r="6212" spans="1:17" x14ac:dyDescent="0.2">
      <c r="A6212" s="121">
        <v>41305</v>
      </c>
      <c r="B6212" t="s">
        <v>406</v>
      </c>
      <c r="C6212" t="s">
        <v>456</v>
      </c>
      <c r="D6212" t="s">
        <v>479</v>
      </c>
      <c r="E6212" t="s">
        <v>480</v>
      </c>
      <c r="F6212" t="s">
        <v>410</v>
      </c>
      <c r="G6212">
        <v>44</v>
      </c>
      <c r="I6212">
        <v>44</v>
      </c>
    </row>
    <row r="6213" spans="1:17" x14ac:dyDescent="0.2">
      <c r="A6213" s="121">
        <v>41305</v>
      </c>
      <c r="B6213" t="s">
        <v>406</v>
      </c>
      <c r="C6213" t="s">
        <v>456</v>
      </c>
      <c r="D6213" t="s">
        <v>481</v>
      </c>
      <c r="E6213" t="s">
        <v>482</v>
      </c>
      <c r="F6213" t="s">
        <v>410</v>
      </c>
      <c r="G6213">
        <v>20</v>
      </c>
      <c r="I6213">
        <v>20</v>
      </c>
    </row>
    <row r="6214" spans="1:17" x14ac:dyDescent="0.2">
      <c r="A6214" s="121">
        <v>41305</v>
      </c>
      <c r="B6214" t="s">
        <v>406</v>
      </c>
      <c r="C6214" t="s">
        <v>456</v>
      </c>
      <c r="D6214" t="s">
        <v>483</v>
      </c>
      <c r="E6214" t="s">
        <v>484</v>
      </c>
      <c r="F6214" t="s">
        <v>410</v>
      </c>
      <c r="G6214">
        <v>85</v>
      </c>
      <c r="I6214">
        <v>85</v>
      </c>
    </row>
    <row r="6215" spans="1:17" x14ac:dyDescent="0.2">
      <c r="A6215" s="121">
        <v>41305</v>
      </c>
      <c r="B6215" t="s">
        <v>406</v>
      </c>
      <c r="C6215" t="s">
        <v>456</v>
      </c>
      <c r="D6215" t="s">
        <v>485</v>
      </c>
      <c r="E6215" t="s">
        <v>486</v>
      </c>
      <c r="F6215" t="s">
        <v>410</v>
      </c>
      <c r="G6215">
        <v>32</v>
      </c>
      <c r="I6215">
        <v>32</v>
      </c>
    </row>
    <row r="6216" spans="1:17" x14ac:dyDescent="0.2">
      <c r="A6216" s="121">
        <v>41305</v>
      </c>
      <c r="B6216" t="s">
        <v>406</v>
      </c>
      <c r="C6216" t="s">
        <v>456</v>
      </c>
      <c r="D6216" t="s">
        <v>487</v>
      </c>
      <c r="E6216" t="s">
        <v>488</v>
      </c>
      <c r="F6216" t="s">
        <v>410</v>
      </c>
      <c r="G6216">
        <v>15</v>
      </c>
      <c r="I6216">
        <v>15</v>
      </c>
    </row>
    <row r="6217" spans="1:17" x14ac:dyDescent="0.2">
      <c r="A6217" s="121">
        <v>41305</v>
      </c>
      <c r="B6217" t="s">
        <v>406</v>
      </c>
      <c r="C6217" t="s">
        <v>456</v>
      </c>
      <c r="D6217" t="s">
        <v>489</v>
      </c>
      <c r="E6217" t="s">
        <v>490</v>
      </c>
      <c r="F6217" t="s">
        <v>410</v>
      </c>
      <c r="G6217">
        <v>68</v>
      </c>
      <c r="I6217">
        <v>68</v>
      </c>
    </row>
    <row r="6218" spans="1:17" x14ac:dyDescent="0.2">
      <c r="A6218" s="121">
        <v>41305</v>
      </c>
      <c r="B6218" t="s">
        <v>406</v>
      </c>
      <c r="C6218" t="s">
        <v>491</v>
      </c>
      <c r="D6218" t="s">
        <v>492</v>
      </c>
      <c r="E6218" t="s">
        <v>493</v>
      </c>
      <c r="F6218" t="s">
        <v>410</v>
      </c>
      <c r="G6218">
        <v>1061</v>
      </c>
      <c r="H6218">
        <v>1061</v>
      </c>
      <c r="I6218">
        <v>1032</v>
      </c>
      <c r="J6218">
        <v>1032</v>
      </c>
      <c r="K6218">
        <v>224</v>
      </c>
      <c r="L6218">
        <v>1</v>
      </c>
      <c r="M6218">
        <v>799</v>
      </c>
      <c r="N6218">
        <v>34</v>
      </c>
      <c r="O6218">
        <v>3</v>
      </c>
      <c r="P6218">
        <v>0</v>
      </c>
      <c r="Q6218">
        <v>0</v>
      </c>
    </row>
    <row r="6219" spans="1:17" x14ac:dyDescent="0.2">
      <c r="A6219" s="121">
        <v>41305</v>
      </c>
      <c r="B6219" t="s">
        <v>406</v>
      </c>
      <c r="C6219" t="s">
        <v>491</v>
      </c>
      <c r="D6219" t="s">
        <v>494</v>
      </c>
      <c r="E6219" t="s">
        <v>495</v>
      </c>
      <c r="F6219" t="s">
        <v>413</v>
      </c>
      <c r="G6219">
        <v>2527</v>
      </c>
      <c r="H6219">
        <v>2527</v>
      </c>
      <c r="I6219">
        <v>2270</v>
      </c>
      <c r="J6219">
        <v>2270</v>
      </c>
      <c r="K6219">
        <v>814</v>
      </c>
      <c r="L6219">
        <v>11</v>
      </c>
      <c r="M6219">
        <v>1563</v>
      </c>
      <c r="N6219">
        <v>29</v>
      </c>
      <c r="O6219">
        <v>110</v>
      </c>
      <c r="P6219">
        <v>11</v>
      </c>
      <c r="Q6219">
        <v>0</v>
      </c>
    </row>
    <row r="6220" spans="1:17" x14ac:dyDescent="0.2">
      <c r="A6220" s="121">
        <v>41305</v>
      </c>
      <c r="B6220" t="s">
        <v>406</v>
      </c>
      <c r="C6220" t="s">
        <v>491</v>
      </c>
      <c r="D6220" t="s">
        <v>496</v>
      </c>
      <c r="E6220" t="s">
        <v>497</v>
      </c>
      <c r="F6220" t="s">
        <v>413</v>
      </c>
      <c r="G6220">
        <v>5639</v>
      </c>
      <c r="H6220">
        <v>5639</v>
      </c>
      <c r="I6220">
        <v>4863</v>
      </c>
      <c r="J6220">
        <v>4863</v>
      </c>
      <c r="K6220">
        <v>2089</v>
      </c>
      <c r="L6220">
        <v>7</v>
      </c>
      <c r="M6220">
        <v>3269</v>
      </c>
      <c r="N6220">
        <v>117</v>
      </c>
      <c r="O6220">
        <v>157</v>
      </c>
      <c r="P6220">
        <v>50</v>
      </c>
      <c r="Q6220">
        <v>0</v>
      </c>
    </row>
    <row r="6221" spans="1:17" x14ac:dyDescent="0.2">
      <c r="A6221" s="121">
        <v>41305</v>
      </c>
      <c r="B6221" t="s">
        <v>406</v>
      </c>
      <c r="C6221" t="s">
        <v>491</v>
      </c>
      <c r="D6221" t="s">
        <v>498</v>
      </c>
      <c r="E6221" t="s">
        <v>499</v>
      </c>
      <c r="F6221" t="s">
        <v>413</v>
      </c>
      <c r="G6221">
        <v>6755</v>
      </c>
      <c r="H6221">
        <v>6755</v>
      </c>
      <c r="I6221">
        <v>5955</v>
      </c>
      <c r="J6221">
        <v>5955</v>
      </c>
      <c r="K6221">
        <v>1798</v>
      </c>
      <c r="L6221">
        <v>15</v>
      </c>
      <c r="M6221">
        <v>4373</v>
      </c>
      <c r="N6221">
        <v>137</v>
      </c>
      <c r="O6221">
        <v>432</v>
      </c>
      <c r="P6221">
        <v>34</v>
      </c>
      <c r="Q6221">
        <v>0</v>
      </c>
    </row>
    <row r="6222" spans="1:17" x14ac:dyDescent="0.2">
      <c r="A6222" s="121">
        <v>41305</v>
      </c>
      <c r="B6222" t="s">
        <v>406</v>
      </c>
      <c r="C6222" t="s">
        <v>491</v>
      </c>
      <c r="D6222" t="s">
        <v>500</v>
      </c>
      <c r="E6222" t="s">
        <v>620</v>
      </c>
      <c r="F6222" t="s">
        <v>410</v>
      </c>
      <c r="G6222">
        <v>1116</v>
      </c>
      <c r="H6222">
        <v>1116</v>
      </c>
      <c r="I6222">
        <v>1116</v>
      </c>
      <c r="J6222">
        <v>1116</v>
      </c>
      <c r="K6222">
        <v>5</v>
      </c>
      <c r="L6222">
        <v>0</v>
      </c>
      <c r="M6222">
        <v>988</v>
      </c>
      <c r="N6222">
        <v>4</v>
      </c>
      <c r="O6222">
        <v>119</v>
      </c>
      <c r="P6222">
        <v>0</v>
      </c>
      <c r="Q6222">
        <v>0</v>
      </c>
    </row>
    <row r="6223" spans="1:17" x14ac:dyDescent="0.2">
      <c r="A6223" s="121">
        <v>41305</v>
      </c>
      <c r="B6223" t="s">
        <v>406</v>
      </c>
      <c r="C6223" t="s">
        <v>491</v>
      </c>
      <c r="D6223" t="s">
        <v>502</v>
      </c>
      <c r="E6223" t="s">
        <v>615</v>
      </c>
      <c r="F6223" t="s">
        <v>410</v>
      </c>
      <c r="G6223">
        <v>1517</v>
      </c>
      <c r="H6223">
        <v>1517</v>
      </c>
      <c r="I6223">
        <v>1517</v>
      </c>
      <c r="J6223">
        <v>1517</v>
      </c>
      <c r="K6223">
        <v>8</v>
      </c>
      <c r="L6223">
        <v>3</v>
      </c>
      <c r="M6223">
        <v>1435</v>
      </c>
      <c r="N6223">
        <v>67</v>
      </c>
      <c r="O6223">
        <v>4</v>
      </c>
      <c r="P6223">
        <v>0</v>
      </c>
      <c r="Q6223">
        <v>0</v>
      </c>
    </row>
    <row r="6224" spans="1:17" x14ac:dyDescent="0.2">
      <c r="A6224" s="121">
        <v>41305</v>
      </c>
      <c r="B6224" t="s">
        <v>406</v>
      </c>
      <c r="C6224" t="s">
        <v>491</v>
      </c>
      <c r="D6224" t="s">
        <v>502</v>
      </c>
      <c r="E6224" t="s">
        <v>503</v>
      </c>
      <c r="F6224" t="s">
        <v>413</v>
      </c>
      <c r="G6224">
        <v>5018</v>
      </c>
      <c r="H6224">
        <v>5018</v>
      </c>
      <c r="I6224">
        <v>4054</v>
      </c>
      <c r="J6224">
        <v>4054</v>
      </c>
      <c r="K6224">
        <v>1662</v>
      </c>
      <c r="L6224">
        <v>21</v>
      </c>
      <c r="M6224">
        <v>2876</v>
      </c>
      <c r="N6224">
        <v>320</v>
      </c>
      <c r="O6224">
        <v>139</v>
      </c>
      <c r="P6224">
        <v>147</v>
      </c>
      <c r="Q6224">
        <v>18</v>
      </c>
    </row>
    <row r="6225" spans="1:17" x14ac:dyDescent="0.2">
      <c r="A6225" s="121">
        <v>41305</v>
      </c>
      <c r="B6225" t="s">
        <v>406</v>
      </c>
      <c r="C6225" t="s">
        <v>491</v>
      </c>
      <c r="D6225" t="s">
        <v>504</v>
      </c>
      <c r="E6225" t="s">
        <v>505</v>
      </c>
      <c r="F6225" t="s">
        <v>413</v>
      </c>
      <c r="G6225">
        <v>3801</v>
      </c>
      <c r="H6225">
        <v>3801</v>
      </c>
      <c r="I6225">
        <v>3365</v>
      </c>
      <c r="J6225">
        <v>3365</v>
      </c>
      <c r="K6225">
        <v>1177</v>
      </c>
      <c r="L6225">
        <v>12</v>
      </c>
      <c r="M6225">
        <v>2393</v>
      </c>
      <c r="N6225">
        <v>134</v>
      </c>
      <c r="O6225">
        <v>85</v>
      </c>
      <c r="P6225">
        <v>33</v>
      </c>
      <c r="Q6225">
        <v>1</v>
      </c>
    </row>
    <row r="6226" spans="1:17" x14ac:dyDescent="0.2">
      <c r="A6226" s="121">
        <v>41305</v>
      </c>
      <c r="B6226" t="s">
        <v>406</v>
      </c>
      <c r="C6226" t="s">
        <v>491</v>
      </c>
      <c r="D6226" t="s">
        <v>506</v>
      </c>
      <c r="E6226" t="s">
        <v>507</v>
      </c>
      <c r="F6226" t="s">
        <v>413</v>
      </c>
      <c r="G6226">
        <v>3494</v>
      </c>
      <c r="H6226">
        <v>3494</v>
      </c>
      <c r="I6226">
        <v>3403</v>
      </c>
      <c r="J6226">
        <v>3403</v>
      </c>
      <c r="K6226">
        <v>480</v>
      </c>
      <c r="L6226">
        <v>1</v>
      </c>
      <c r="M6226">
        <v>3011</v>
      </c>
      <c r="N6226">
        <v>1</v>
      </c>
      <c r="O6226">
        <v>1</v>
      </c>
      <c r="P6226">
        <v>0</v>
      </c>
      <c r="Q6226">
        <v>0</v>
      </c>
    </row>
    <row r="6227" spans="1:17" x14ac:dyDescent="0.2">
      <c r="A6227" s="121">
        <v>41305</v>
      </c>
      <c r="B6227" t="s">
        <v>406</v>
      </c>
      <c r="C6227" t="s">
        <v>491</v>
      </c>
      <c r="D6227" t="s">
        <v>508</v>
      </c>
      <c r="E6227" t="s">
        <v>509</v>
      </c>
      <c r="F6227" t="s">
        <v>413</v>
      </c>
      <c r="G6227">
        <v>4947</v>
      </c>
      <c r="H6227">
        <v>4947</v>
      </c>
      <c r="I6227">
        <v>3918</v>
      </c>
      <c r="J6227">
        <v>3918</v>
      </c>
      <c r="K6227">
        <v>1628</v>
      </c>
      <c r="L6227">
        <v>11</v>
      </c>
      <c r="M6227">
        <v>2939</v>
      </c>
      <c r="N6227">
        <v>94</v>
      </c>
      <c r="O6227">
        <v>275</v>
      </c>
      <c r="P6227">
        <v>239</v>
      </c>
      <c r="Q6227">
        <v>21</v>
      </c>
    </row>
    <row r="6228" spans="1:17" x14ac:dyDescent="0.2">
      <c r="A6228" s="121">
        <v>41305</v>
      </c>
      <c r="B6228" t="s">
        <v>406</v>
      </c>
      <c r="C6228" t="s">
        <v>510</v>
      </c>
      <c r="D6228" t="s">
        <v>513</v>
      </c>
      <c r="E6228" t="s">
        <v>514</v>
      </c>
      <c r="F6228" t="s">
        <v>410</v>
      </c>
      <c r="G6228">
        <v>464</v>
      </c>
      <c r="I6228">
        <v>457</v>
      </c>
    </row>
    <row r="6229" spans="1:17" x14ac:dyDescent="0.2">
      <c r="A6229" s="121">
        <v>41305</v>
      </c>
      <c r="B6229" t="s">
        <v>406</v>
      </c>
      <c r="C6229" t="s">
        <v>510</v>
      </c>
      <c r="D6229" t="s">
        <v>515</v>
      </c>
      <c r="E6229" t="s">
        <v>516</v>
      </c>
      <c r="F6229" t="s">
        <v>410</v>
      </c>
      <c r="G6229">
        <v>45</v>
      </c>
      <c r="I6229">
        <v>43</v>
      </c>
    </row>
    <row r="6230" spans="1:17" x14ac:dyDescent="0.2">
      <c r="A6230" s="121">
        <v>41305</v>
      </c>
      <c r="B6230" t="s">
        <v>406</v>
      </c>
      <c r="C6230" t="s">
        <v>510</v>
      </c>
      <c r="D6230" t="s">
        <v>519</v>
      </c>
      <c r="E6230" t="s">
        <v>520</v>
      </c>
      <c r="F6230" t="s">
        <v>410</v>
      </c>
      <c r="G6230">
        <v>357</v>
      </c>
      <c r="I6230">
        <v>337</v>
      </c>
    </row>
    <row r="6231" spans="1:17" x14ac:dyDescent="0.2">
      <c r="A6231" s="121">
        <v>41305</v>
      </c>
      <c r="B6231" t="s">
        <v>406</v>
      </c>
      <c r="C6231" t="s">
        <v>510</v>
      </c>
      <c r="D6231" t="s">
        <v>523</v>
      </c>
      <c r="E6231" t="s">
        <v>524</v>
      </c>
      <c r="F6231" t="s">
        <v>413</v>
      </c>
      <c r="G6231">
        <v>446</v>
      </c>
      <c r="H6231">
        <v>446</v>
      </c>
      <c r="I6231">
        <v>434</v>
      </c>
      <c r="J6231">
        <v>434</v>
      </c>
      <c r="K6231">
        <v>118</v>
      </c>
      <c r="L6231">
        <v>0</v>
      </c>
      <c r="M6231">
        <v>317</v>
      </c>
      <c r="N6231">
        <v>11</v>
      </c>
      <c r="O6231">
        <v>0</v>
      </c>
      <c r="P6231">
        <v>0</v>
      </c>
      <c r="Q6231">
        <v>0</v>
      </c>
    </row>
    <row r="6232" spans="1:17" x14ac:dyDescent="0.2">
      <c r="A6232" s="121">
        <v>41305</v>
      </c>
      <c r="B6232" t="s">
        <v>406</v>
      </c>
      <c r="C6232" t="s">
        <v>510</v>
      </c>
      <c r="D6232" t="s">
        <v>525</v>
      </c>
      <c r="E6232" t="s">
        <v>526</v>
      </c>
      <c r="F6232" t="s">
        <v>410</v>
      </c>
      <c r="G6232">
        <v>404</v>
      </c>
      <c r="I6232">
        <v>395</v>
      </c>
    </row>
    <row r="6233" spans="1:17" x14ac:dyDescent="0.2">
      <c r="A6233" s="121">
        <v>41305</v>
      </c>
      <c r="B6233" t="s">
        <v>406</v>
      </c>
      <c r="C6233" t="s">
        <v>510</v>
      </c>
      <c r="D6233" t="s">
        <v>527</v>
      </c>
      <c r="E6233" t="s">
        <v>528</v>
      </c>
      <c r="F6233" t="s">
        <v>410</v>
      </c>
      <c r="G6233">
        <v>187</v>
      </c>
      <c r="I6233">
        <v>187</v>
      </c>
    </row>
    <row r="6234" spans="1:17" x14ac:dyDescent="0.2">
      <c r="A6234" s="121">
        <v>41305</v>
      </c>
      <c r="B6234" t="s">
        <v>406</v>
      </c>
      <c r="C6234" t="s">
        <v>510</v>
      </c>
      <c r="D6234" t="s">
        <v>529</v>
      </c>
      <c r="E6234" t="s">
        <v>530</v>
      </c>
      <c r="F6234" t="s">
        <v>413</v>
      </c>
      <c r="G6234">
        <v>508</v>
      </c>
      <c r="H6234">
        <v>508</v>
      </c>
      <c r="I6234">
        <v>493</v>
      </c>
      <c r="J6234">
        <v>493</v>
      </c>
      <c r="K6234">
        <v>151</v>
      </c>
      <c r="L6234">
        <v>4</v>
      </c>
      <c r="M6234">
        <v>352</v>
      </c>
      <c r="N6234">
        <v>1</v>
      </c>
      <c r="O6234">
        <v>0</v>
      </c>
      <c r="P6234">
        <v>1</v>
      </c>
      <c r="Q6234">
        <v>0</v>
      </c>
    </row>
    <row r="6235" spans="1:17" x14ac:dyDescent="0.2">
      <c r="A6235" s="121">
        <v>41305</v>
      </c>
      <c r="B6235" t="s">
        <v>406</v>
      </c>
      <c r="C6235" t="s">
        <v>510</v>
      </c>
      <c r="D6235" t="s">
        <v>531</v>
      </c>
      <c r="E6235" t="s">
        <v>532</v>
      </c>
      <c r="F6235" t="s">
        <v>410</v>
      </c>
      <c r="G6235">
        <v>27</v>
      </c>
      <c r="I6235">
        <v>27</v>
      </c>
    </row>
    <row r="6236" spans="1:17" x14ac:dyDescent="0.2">
      <c r="A6236" s="121">
        <v>41305</v>
      </c>
      <c r="B6236" t="s">
        <v>406</v>
      </c>
      <c r="C6236" t="s">
        <v>510</v>
      </c>
      <c r="D6236" t="s">
        <v>533</v>
      </c>
      <c r="E6236" t="s">
        <v>534</v>
      </c>
      <c r="F6236" t="s">
        <v>413</v>
      </c>
      <c r="G6236">
        <v>2334</v>
      </c>
      <c r="H6236">
        <v>2334</v>
      </c>
      <c r="I6236">
        <v>2261</v>
      </c>
      <c r="J6236">
        <v>2261</v>
      </c>
      <c r="K6236">
        <v>580</v>
      </c>
      <c r="L6236">
        <v>3</v>
      </c>
      <c r="M6236">
        <v>1750</v>
      </c>
      <c r="N6236">
        <v>1</v>
      </c>
      <c r="O6236">
        <v>0</v>
      </c>
      <c r="P6236">
        <v>2</v>
      </c>
      <c r="Q6236">
        <v>0</v>
      </c>
    </row>
    <row r="6237" spans="1:17" x14ac:dyDescent="0.2">
      <c r="A6237" s="121">
        <v>41305</v>
      </c>
      <c r="B6237" t="s">
        <v>406</v>
      </c>
      <c r="C6237" t="s">
        <v>510</v>
      </c>
      <c r="D6237" t="s">
        <v>535</v>
      </c>
      <c r="E6237" t="s">
        <v>536</v>
      </c>
      <c r="F6237" t="s">
        <v>410</v>
      </c>
      <c r="G6237">
        <v>306</v>
      </c>
      <c r="I6237">
        <v>306</v>
      </c>
    </row>
    <row r="6238" spans="1:17" x14ac:dyDescent="0.2">
      <c r="A6238" s="121">
        <v>41305</v>
      </c>
      <c r="B6238" t="s">
        <v>406</v>
      </c>
      <c r="C6238" t="s">
        <v>510</v>
      </c>
      <c r="D6238" t="s">
        <v>537</v>
      </c>
      <c r="E6238" t="s">
        <v>538</v>
      </c>
      <c r="F6238" t="s">
        <v>410</v>
      </c>
      <c r="G6238">
        <v>62</v>
      </c>
      <c r="I6238">
        <v>62</v>
      </c>
    </row>
    <row r="6239" spans="1:17" x14ac:dyDescent="0.2">
      <c r="A6239" s="121">
        <v>41305</v>
      </c>
      <c r="B6239" t="s">
        <v>406</v>
      </c>
      <c r="C6239" t="s">
        <v>510</v>
      </c>
      <c r="D6239" t="s">
        <v>539</v>
      </c>
      <c r="E6239" t="s">
        <v>540</v>
      </c>
      <c r="F6239" t="s">
        <v>413</v>
      </c>
      <c r="G6239">
        <v>586</v>
      </c>
      <c r="H6239">
        <v>586</v>
      </c>
      <c r="I6239">
        <v>549</v>
      </c>
      <c r="J6239">
        <v>549</v>
      </c>
      <c r="K6239">
        <v>130</v>
      </c>
      <c r="L6239">
        <v>1</v>
      </c>
      <c r="M6239">
        <v>451</v>
      </c>
      <c r="N6239">
        <v>4</v>
      </c>
      <c r="O6239">
        <v>0</v>
      </c>
      <c r="P6239">
        <v>2</v>
      </c>
      <c r="Q6239">
        <v>0</v>
      </c>
    </row>
    <row r="6240" spans="1:17" x14ac:dyDescent="0.2">
      <c r="A6240" s="121">
        <v>41305</v>
      </c>
      <c r="B6240" t="s">
        <v>406</v>
      </c>
      <c r="C6240" t="s">
        <v>510</v>
      </c>
      <c r="D6240" t="s">
        <v>541</v>
      </c>
      <c r="E6240" t="s">
        <v>542</v>
      </c>
      <c r="F6240" t="s">
        <v>410</v>
      </c>
      <c r="G6240">
        <v>307</v>
      </c>
      <c r="I6240">
        <v>307</v>
      </c>
    </row>
    <row r="6241" spans="1:17" x14ac:dyDescent="0.2">
      <c r="A6241" s="121">
        <v>41305</v>
      </c>
      <c r="B6241" t="s">
        <v>406</v>
      </c>
      <c r="C6241" t="s">
        <v>510</v>
      </c>
      <c r="D6241" t="s">
        <v>543</v>
      </c>
      <c r="E6241" t="s">
        <v>544</v>
      </c>
      <c r="F6241" t="s">
        <v>410</v>
      </c>
      <c r="G6241">
        <v>199</v>
      </c>
      <c r="I6241">
        <v>199</v>
      </c>
    </row>
    <row r="6242" spans="1:17" x14ac:dyDescent="0.2">
      <c r="A6242" s="121">
        <v>41305</v>
      </c>
      <c r="B6242" t="s">
        <v>406</v>
      </c>
      <c r="C6242" t="s">
        <v>510</v>
      </c>
      <c r="D6242" t="s">
        <v>545</v>
      </c>
      <c r="E6242" t="s">
        <v>546</v>
      </c>
      <c r="F6242" t="s">
        <v>410</v>
      </c>
      <c r="G6242">
        <v>145</v>
      </c>
      <c r="I6242">
        <v>145</v>
      </c>
    </row>
    <row r="6243" spans="1:17" x14ac:dyDescent="0.2">
      <c r="A6243" s="121">
        <v>41305</v>
      </c>
      <c r="B6243" t="s">
        <v>406</v>
      </c>
      <c r="C6243" t="s">
        <v>510</v>
      </c>
      <c r="D6243" t="s">
        <v>547</v>
      </c>
      <c r="E6243" t="s">
        <v>548</v>
      </c>
      <c r="F6243" t="s">
        <v>410</v>
      </c>
      <c r="G6243">
        <v>112</v>
      </c>
      <c r="I6243">
        <v>112</v>
      </c>
    </row>
    <row r="6244" spans="1:17" x14ac:dyDescent="0.2">
      <c r="A6244" s="121">
        <v>41305</v>
      </c>
      <c r="B6244" t="s">
        <v>406</v>
      </c>
      <c r="C6244" t="s">
        <v>510</v>
      </c>
      <c r="D6244" t="s">
        <v>616</v>
      </c>
      <c r="E6244" t="s">
        <v>617</v>
      </c>
      <c r="F6244" t="s">
        <v>410</v>
      </c>
      <c r="G6244">
        <v>275</v>
      </c>
      <c r="I6244">
        <v>267</v>
      </c>
    </row>
    <row r="6245" spans="1:17" x14ac:dyDescent="0.2">
      <c r="A6245" s="121">
        <v>41305</v>
      </c>
      <c r="B6245" t="s">
        <v>406</v>
      </c>
      <c r="C6245" t="s">
        <v>510</v>
      </c>
      <c r="D6245" t="s">
        <v>549</v>
      </c>
      <c r="E6245" t="s">
        <v>550</v>
      </c>
      <c r="F6245" t="s">
        <v>410</v>
      </c>
      <c r="G6245">
        <v>158</v>
      </c>
      <c r="I6245">
        <v>158</v>
      </c>
    </row>
    <row r="6246" spans="1:17" x14ac:dyDescent="0.2">
      <c r="A6246" s="121">
        <v>41305</v>
      </c>
      <c r="B6246" t="s">
        <v>406</v>
      </c>
      <c r="C6246" t="s">
        <v>510</v>
      </c>
      <c r="D6246" t="s">
        <v>625</v>
      </c>
      <c r="E6246" t="s">
        <v>626</v>
      </c>
      <c r="F6246" t="s">
        <v>410</v>
      </c>
      <c r="G6246">
        <v>37</v>
      </c>
      <c r="I6246">
        <v>33</v>
      </c>
    </row>
    <row r="6247" spans="1:17" x14ac:dyDescent="0.2">
      <c r="A6247" s="121">
        <v>41305</v>
      </c>
      <c r="B6247" t="s">
        <v>406</v>
      </c>
      <c r="C6247" t="s">
        <v>551</v>
      </c>
      <c r="D6247" t="s">
        <v>552</v>
      </c>
      <c r="E6247" t="s">
        <v>553</v>
      </c>
      <c r="F6247" t="s">
        <v>413</v>
      </c>
      <c r="G6247">
        <v>5488</v>
      </c>
      <c r="H6247">
        <v>5488</v>
      </c>
      <c r="I6247">
        <v>4851</v>
      </c>
      <c r="J6247">
        <v>4851</v>
      </c>
      <c r="K6247">
        <v>1683</v>
      </c>
      <c r="L6247">
        <v>15</v>
      </c>
      <c r="M6247">
        <v>3434</v>
      </c>
      <c r="N6247">
        <v>251</v>
      </c>
      <c r="O6247">
        <v>105</v>
      </c>
      <c r="P6247">
        <v>106</v>
      </c>
      <c r="Q6247">
        <v>33</v>
      </c>
    </row>
    <row r="6248" spans="1:17" x14ac:dyDescent="0.2">
      <c r="A6248" s="121">
        <v>41305</v>
      </c>
      <c r="B6248" t="s">
        <v>406</v>
      </c>
      <c r="C6248" t="s">
        <v>551</v>
      </c>
      <c r="D6248" t="s">
        <v>554</v>
      </c>
      <c r="E6248" t="s">
        <v>555</v>
      </c>
      <c r="F6248" t="s">
        <v>410</v>
      </c>
      <c r="G6248">
        <v>48</v>
      </c>
      <c r="I6248">
        <v>48</v>
      </c>
    </row>
    <row r="6249" spans="1:17" x14ac:dyDescent="0.2">
      <c r="A6249" s="121">
        <v>41305</v>
      </c>
      <c r="B6249" t="s">
        <v>406</v>
      </c>
      <c r="C6249" t="s">
        <v>551</v>
      </c>
      <c r="D6249" t="s">
        <v>556</v>
      </c>
      <c r="E6249" t="s">
        <v>557</v>
      </c>
      <c r="F6249" t="s">
        <v>410</v>
      </c>
      <c r="G6249">
        <v>84</v>
      </c>
      <c r="I6249">
        <v>84</v>
      </c>
    </row>
    <row r="6250" spans="1:17" x14ac:dyDescent="0.2">
      <c r="A6250" s="121">
        <v>41305</v>
      </c>
      <c r="B6250" t="s">
        <v>406</v>
      </c>
      <c r="C6250" t="s">
        <v>551</v>
      </c>
      <c r="D6250" t="s">
        <v>558</v>
      </c>
      <c r="E6250" t="s">
        <v>559</v>
      </c>
      <c r="F6250" t="s">
        <v>413</v>
      </c>
      <c r="G6250">
        <v>4448</v>
      </c>
      <c r="H6250">
        <v>4448</v>
      </c>
      <c r="I6250">
        <v>3456</v>
      </c>
      <c r="J6250">
        <v>3456</v>
      </c>
      <c r="K6250">
        <v>1373</v>
      </c>
      <c r="L6250">
        <v>5</v>
      </c>
      <c r="M6250">
        <v>2896</v>
      </c>
      <c r="N6250">
        <v>150</v>
      </c>
      <c r="O6250">
        <v>24</v>
      </c>
      <c r="P6250">
        <v>247</v>
      </c>
      <c r="Q6250">
        <v>105</v>
      </c>
    </row>
    <row r="6251" spans="1:17" x14ac:dyDescent="0.2">
      <c r="A6251" s="121">
        <v>41305</v>
      </c>
      <c r="B6251" t="s">
        <v>406</v>
      </c>
      <c r="C6251" t="s">
        <v>551</v>
      </c>
      <c r="D6251" t="s">
        <v>560</v>
      </c>
      <c r="E6251" t="s">
        <v>561</v>
      </c>
      <c r="F6251" t="s">
        <v>413</v>
      </c>
      <c r="G6251">
        <v>5022</v>
      </c>
      <c r="H6251">
        <v>5022</v>
      </c>
      <c r="I6251">
        <v>4159</v>
      </c>
      <c r="J6251">
        <v>4159</v>
      </c>
      <c r="K6251">
        <v>1299</v>
      </c>
      <c r="L6251">
        <v>15</v>
      </c>
      <c r="M6251">
        <v>3245</v>
      </c>
      <c r="N6251">
        <v>378</v>
      </c>
      <c r="O6251">
        <v>85</v>
      </c>
      <c r="P6251">
        <v>220</v>
      </c>
      <c r="Q6251">
        <v>84</v>
      </c>
    </row>
    <row r="6252" spans="1:17" x14ac:dyDescent="0.2">
      <c r="A6252" s="121">
        <v>41305</v>
      </c>
      <c r="B6252" t="s">
        <v>406</v>
      </c>
      <c r="C6252" t="s">
        <v>562</v>
      </c>
      <c r="D6252" t="s">
        <v>605</v>
      </c>
      <c r="E6252" t="s">
        <v>606</v>
      </c>
      <c r="F6252" t="s">
        <v>410</v>
      </c>
      <c r="G6252">
        <v>96</v>
      </c>
      <c r="I6252">
        <v>96</v>
      </c>
    </row>
    <row r="6253" spans="1:17" x14ac:dyDescent="0.2">
      <c r="A6253" s="121">
        <v>41305</v>
      </c>
      <c r="B6253" t="s">
        <v>406</v>
      </c>
      <c r="C6253" t="s">
        <v>562</v>
      </c>
      <c r="D6253" t="s">
        <v>563</v>
      </c>
      <c r="E6253" t="s">
        <v>564</v>
      </c>
      <c r="F6253" t="s">
        <v>410</v>
      </c>
      <c r="G6253">
        <v>3290</v>
      </c>
      <c r="H6253">
        <v>3290</v>
      </c>
      <c r="I6253">
        <v>2744</v>
      </c>
      <c r="J6253">
        <v>2744</v>
      </c>
      <c r="K6253">
        <v>1158</v>
      </c>
      <c r="L6253">
        <v>2</v>
      </c>
      <c r="M6253">
        <v>2090</v>
      </c>
      <c r="N6253">
        <v>40</v>
      </c>
      <c r="O6253">
        <v>0</v>
      </c>
      <c r="P6253">
        <v>97</v>
      </c>
      <c r="Q6253">
        <v>24</v>
      </c>
    </row>
    <row r="6254" spans="1:17" x14ac:dyDescent="0.2">
      <c r="A6254" s="121">
        <v>41305</v>
      </c>
      <c r="B6254" t="s">
        <v>406</v>
      </c>
      <c r="C6254" t="s">
        <v>562</v>
      </c>
      <c r="D6254" t="s">
        <v>565</v>
      </c>
      <c r="E6254" t="s">
        <v>566</v>
      </c>
      <c r="F6254" t="s">
        <v>413</v>
      </c>
      <c r="G6254">
        <v>4059</v>
      </c>
      <c r="H6254">
        <v>4059</v>
      </c>
      <c r="I6254">
        <v>3837</v>
      </c>
      <c r="J6254">
        <v>3837</v>
      </c>
      <c r="K6254">
        <v>1033</v>
      </c>
      <c r="L6254">
        <v>10</v>
      </c>
      <c r="M6254">
        <v>2905</v>
      </c>
      <c r="N6254">
        <v>111</v>
      </c>
      <c r="O6254">
        <v>0</v>
      </c>
      <c r="P6254">
        <v>26</v>
      </c>
      <c r="Q6254">
        <v>6</v>
      </c>
    </row>
    <row r="6255" spans="1:17" x14ac:dyDescent="0.2">
      <c r="A6255" s="121">
        <v>41305</v>
      </c>
      <c r="B6255" t="s">
        <v>406</v>
      </c>
      <c r="C6255" t="s">
        <v>562</v>
      </c>
      <c r="D6255" t="s">
        <v>567</v>
      </c>
      <c r="E6255" t="s">
        <v>568</v>
      </c>
      <c r="F6255" t="s">
        <v>413</v>
      </c>
      <c r="G6255">
        <v>9181</v>
      </c>
      <c r="H6255">
        <v>9181</v>
      </c>
      <c r="I6255">
        <v>7678</v>
      </c>
      <c r="J6255">
        <v>7678</v>
      </c>
      <c r="K6255">
        <v>2910</v>
      </c>
      <c r="L6255">
        <v>29</v>
      </c>
      <c r="M6255">
        <v>5964</v>
      </c>
      <c r="N6255">
        <v>278</v>
      </c>
      <c r="O6255">
        <v>0</v>
      </c>
      <c r="P6255">
        <v>250</v>
      </c>
      <c r="Q6255">
        <v>44</v>
      </c>
    </row>
    <row r="6256" spans="1:17" x14ac:dyDescent="0.2">
      <c r="A6256" s="121">
        <v>41305</v>
      </c>
      <c r="B6256" t="s">
        <v>406</v>
      </c>
      <c r="C6256" t="s">
        <v>562</v>
      </c>
      <c r="D6256" t="s">
        <v>569</v>
      </c>
      <c r="E6256" t="s">
        <v>570</v>
      </c>
      <c r="F6256" t="s">
        <v>413</v>
      </c>
      <c r="G6256">
        <v>3198</v>
      </c>
      <c r="H6256">
        <v>3198</v>
      </c>
      <c r="I6256">
        <v>3135</v>
      </c>
      <c r="J6256">
        <v>3135</v>
      </c>
      <c r="K6256">
        <v>477</v>
      </c>
      <c r="L6256">
        <v>1</v>
      </c>
      <c r="M6256">
        <v>2718</v>
      </c>
      <c r="N6256">
        <v>2</v>
      </c>
      <c r="O6256">
        <v>0</v>
      </c>
      <c r="P6256">
        <v>2</v>
      </c>
      <c r="Q6256">
        <v>1</v>
      </c>
    </row>
    <row r="6257" spans="1:17" x14ac:dyDescent="0.2">
      <c r="A6257" s="121">
        <v>41305</v>
      </c>
      <c r="B6257" t="s">
        <v>406</v>
      </c>
      <c r="C6257" t="s">
        <v>571</v>
      </c>
      <c r="D6257" t="s">
        <v>572</v>
      </c>
      <c r="E6257" t="s">
        <v>573</v>
      </c>
      <c r="F6257" t="s">
        <v>410</v>
      </c>
      <c r="G6257">
        <v>243</v>
      </c>
      <c r="H6257">
        <v>243</v>
      </c>
      <c r="I6257">
        <v>238</v>
      </c>
      <c r="J6257">
        <v>238</v>
      </c>
      <c r="K6257">
        <v>1</v>
      </c>
      <c r="L6257">
        <v>0</v>
      </c>
      <c r="M6257">
        <v>238</v>
      </c>
      <c r="N6257">
        <v>0</v>
      </c>
      <c r="O6257">
        <v>4</v>
      </c>
      <c r="P6257">
        <v>0</v>
      </c>
      <c r="Q6257">
        <v>0</v>
      </c>
    </row>
    <row r="6258" spans="1:17" x14ac:dyDescent="0.2">
      <c r="A6258" s="121">
        <v>41305</v>
      </c>
      <c r="B6258" t="s">
        <v>406</v>
      </c>
      <c r="C6258" t="s">
        <v>574</v>
      </c>
      <c r="D6258" t="s">
        <v>575</v>
      </c>
      <c r="E6258" t="s">
        <v>576</v>
      </c>
      <c r="F6258" t="s">
        <v>413</v>
      </c>
      <c r="G6258">
        <v>681</v>
      </c>
      <c r="H6258">
        <v>681</v>
      </c>
      <c r="I6258">
        <v>672</v>
      </c>
      <c r="J6258">
        <v>672</v>
      </c>
      <c r="K6258">
        <v>199</v>
      </c>
      <c r="L6258">
        <v>1</v>
      </c>
      <c r="M6258">
        <v>457</v>
      </c>
      <c r="N6258">
        <v>4</v>
      </c>
      <c r="O6258">
        <v>20</v>
      </c>
      <c r="P6258">
        <v>0</v>
      </c>
      <c r="Q6258">
        <v>0</v>
      </c>
    </row>
    <row r="6259" spans="1:17" x14ac:dyDescent="0.2">
      <c r="A6259" s="121">
        <v>41305</v>
      </c>
      <c r="B6259" t="s">
        <v>406</v>
      </c>
      <c r="C6259" t="s">
        <v>577</v>
      </c>
      <c r="D6259" t="s">
        <v>578</v>
      </c>
      <c r="E6259" t="s">
        <v>579</v>
      </c>
      <c r="F6259" t="s">
        <v>413</v>
      </c>
      <c r="G6259">
        <v>3390</v>
      </c>
      <c r="H6259">
        <v>3390</v>
      </c>
      <c r="I6259">
        <v>3342</v>
      </c>
      <c r="J6259">
        <v>3342</v>
      </c>
      <c r="K6259">
        <v>837</v>
      </c>
      <c r="L6259">
        <v>11</v>
      </c>
      <c r="M6259">
        <v>2356</v>
      </c>
      <c r="N6259">
        <v>183</v>
      </c>
      <c r="O6259">
        <v>3</v>
      </c>
      <c r="P6259">
        <v>1</v>
      </c>
      <c r="Q6259">
        <v>0</v>
      </c>
    </row>
    <row r="6260" spans="1:17" x14ac:dyDescent="0.2">
      <c r="A6260" s="121">
        <v>41305</v>
      </c>
      <c r="B6260" t="s">
        <v>406</v>
      </c>
      <c r="C6260" t="s">
        <v>577</v>
      </c>
      <c r="D6260" t="s">
        <v>580</v>
      </c>
      <c r="E6260" t="s">
        <v>581</v>
      </c>
      <c r="F6260" t="s">
        <v>413</v>
      </c>
      <c r="G6260">
        <v>1834</v>
      </c>
      <c r="H6260">
        <v>1834</v>
      </c>
      <c r="I6260">
        <v>1803</v>
      </c>
      <c r="J6260">
        <v>1803</v>
      </c>
      <c r="K6260">
        <v>333</v>
      </c>
      <c r="L6260">
        <v>0</v>
      </c>
      <c r="M6260">
        <v>1127</v>
      </c>
      <c r="N6260">
        <v>334</v>
      </c>
      <c r="O6260">
        <v>40</v>
      </c>
      <c r="P6260">
        <v>0</v>
      </c>
      <c r="Q6260">
        <v>0</v>
      </c>
    </row>
    <row r="6261" spans="1:17" x14ac:dyDescent="0.2">
      <c r="A6261" s="121">
        <v>41305</v>
      </c>
      <c r="B6261" t="s">
        <v>406</v>
      </c>
      <c r="C6261" t="s">
        <v>577</v>
      </c>
      <c r="D6261" t="s">
        <v>609</v>
      </c>
      <c r="E6261" t="s">
        <v>610</v>
      </c>
      <c r="F6261" t="s">
        <v>410</v>
      </c>
      <c r="G6261">
        <v>25</v>
      </c>
      <c r="H6261">
        <v>25</v>
      </c>
      <c r="I6261">
        <v>25</v>
      </c>
      <c r="J6261">
        <v>25</v>
      </c>
      <c r="K6261">
        <v>0</v>
      </c>
      <c r="L6261">
        <v>0</v>
      </c>
      <c r="M6261">
        <v>22</v>
      </c>
      <c r="N6261">
        <v>2</v>
      </c>
      <c r="O6261">
        <v>1</v>
      </c>
      <c r="P6261">
        <v>0</v>
      </c>
      <c r="Q6261">
        <v>0</v>
      </c>
    </row>
    <row r="6262" spans="1:17" x14ac:dyDescent="0.2">
      <c r="A6262" s="121">
        <v>41305</v>
      </c>
      <c r="B6262" t="s">
        <v>406</v>
      </c>
      <c r="C6262" t="s">
        <v>577</v>
      </c>
      <c r="D6262" t="s">
        <v>611</v>
      </c>
      <c r="E6262" t="s">
        <v>612</v>
      </c>
      <c r="F6262" t="s">
        <v>410</v>
      </c>
      <c r="G6262">
        <v>4</v>
      </c>
      <c r="H6262">
        <v>4</v>
      </c>
      <c r="I6262">
        <v>4</v>
      </c>
      <c r="J6262">
        <v>4</v>
      </c>
      <c r="K6262">
        <v>0</v>
      </c>
      <c r="L6262">
        <v>0</v>
      </c>
      <c r="M6262">
        <v>3</v>
      </c>
      <c r="N6262">
        <v>0</v>
      </c>
      <c r="O6262">
        <v>1</v>
      </c>
      <c r="P6262">
        <v>0</v>
      </c>
      <c r="Q6262">
        <v>0</v>
      </c>
    </row>
    <row r="6263" spans="1:17" x14ac:dyDescent="0.2">
      <c r="A6263" s="121">
        <v>41305</v>
      </c>
      <c r="B6263" t="s">
        <v>406</v>
      </c>
      <c r="C6263" t="s">
        <v>577</v>
      </c>
      <c r="D6263" t="s">
        <v>584</v>
      </c>
      <c r="E6263" t="s">
        <v>585</v>
      </c>
      <c r="F6263" t="s">
        <v>410</v>
      </c>
      <c r="G6263">
        <v>227</v>
      </c>
      <c r="H6263">
        <v>227</v>
      </c>
      <c r="I6263">
        <v>227</v>
      </c>
      <c r="J6263">
        <v>227</v>
      </c>
      <c r="K6263">
        <v>0</v>
      </c>
      <c r="L6263">
        <v>0</v>
      </c>
      <c r="M6263">
        <v>216</v>
      </c>
      <c r="N6263">
        <v>9</v>
      </c>
      <c r="O6263">
        <v>2</v>
      </c>
      <c r="P6263">
        <v>0</v>
      </c>
      <c r="Q6263">
        <v>0</v>
      </c>
    </row>
    <row r="6264" spans="1:17" x14ac:dyDescent="0.2">
      <c r="A6264" s="121">
        <v>41305</v>
      </c>
      <c r="B6264" t="s">
        <v>406</v>
      </c>
      <c r="C6264" t="s">
        <v>577</v>
      </c>
      <c r="D6264" t="s">
        <v>586</v>
      </c>
      <c r="E6264" t="s">
        <v>587</v>
      </c>
      <c r="F6264" t="s">
        <v>410</v>
      </c>
      <c r="G6264">
        <v>1090</v>
      </c>
      <c r="H6264">
        <v>1090</v>
      </c>
      <c r="I6264">
        <v>1089</v>
      </c>
      <c r="J6264">
        <v>1089</v>
      </c>
      <c r="K6264">
        <v>0</v>
      </c>
      <c r="L6264">
        <v>0</v>
      </c>
      <c r="M6264">
        <v>1008</v>
      </c>
      <c r="N6264">
        <v>81</v>
      </c>
      <c r="O6264">
        <v>1</v>
      </c>
      <c r="P6264">
        <v>0</v>
      </c>
      <c r="Q6264">
        <v>0</v>
      </c>
    </row>
    <row r="6265" spans="1:17" x14ac:dyDescent="0.2">
      <c r="A6265" s="121">
        <v>41305</v>
      </c>
      <c r="B6265" t="s">
        <v>406</v>
      </c>
      <c r="C6265" t="s">
        <v>577</v>
      </c>
      <c r="D6265" t="s">
        <v>588</v>
      </c>
      <c r="E6265" t="s">
        <v>589</v>
      </c>
      <c r="F6265" t="s">
        <v>410</v>
      </c>
      <c r="G6265">
        <v>250</v>
      </c>
      <c r="H6265">
        <v>250</v>
      </c>
      <c r="I6265">
        <v>250</v>
      </c>
      <c r="J6265">
        <v>250</v>
      </c>
      <c r="K6265">
        <v>0</v>
      </c>
      <c r="L6265">
        <v>0</v>
      </c>
      <c r="M6265">
        <v>229</v>
      </c>
      <c r="N6265">
        <v>20</v>
      </c>
      <c r="O6265">
        <v>1</v>
      </c>
      <c r="P6265">
        <v>0</v>
      </c>
      <c r="Q6265">
        <v>0</v>
      </c>
    </row>
    <row r="6266" spans="1:17" x14ac:dyDescent="0.2">
      <c r="A6266" s="121">
        <v>41305</v>
      </c>
      <c r="B6266" t="s">
        <v>406</v>
      </c>
      <c r="C6266" t="s">
        <v>577</v>
      </c>
      <c r="D6266" t="s">
        <v>613</v>
      </c>
      <c r="E6266" t="s">
        <v>614</v>
      </c>
      <c r="F6266" t="s">
        <v>410</v>
      </c>
      <c r="G6266">
        <v>130</v>
      </c>
      <c r="H6266">
        <v>130</v>
      </c>
      <c r="I6266">
        <v>130</v>
      </c>
      <c r="J6266">
        <v>130</v>
      </c>
      <c r="K6266">
        <v>0</v>
      </c>
      <c r="L6266">
        <v>0</v>
      </c>
      <c r="M6266">
        <v>118</v>
      </c>
      <c r="N6266">
        <v>8</v>
      </c>
      <c r="O6266">
        <v>4</v>
      </c>
      <c r="P6266">
        <v>0</v>
      </c>
      <c r="Q6266">
        <v>0</v>
      </c>
    </row>
    <row r="6267" spans="1:17" x14ac:dyDescent="0.2">
      <c r="A6267" s="121">
        <v>41305</v>
      </c>
      <c r="B6267" t="s">
        <v>406</v>
      </c>
      <c r="C6267" t="s">
        <v>577</v>
      </c>
      <c r="D6267" t="s">
        <v>590</v>
      </c>
      <c r="E6267" t="s">
        <v>591</v>
      </c>
      <c r="F6267" t="s">
        <v>410</v>
      </c>
      <c r="G6267">
        <v>561</v>
      </c>
      <c r="H6267">
        <v>561</v>
      </c>
      <c r="I6267">
        <v>561</v>
      </c>
      <c r="J6267">
        <v>561</v>
      </c>
      <c r="K6267">
        <v>0</v>
      </c>
      <c r="L6267">
        <v>0</v>
      </c>
      <c r="M6267">
        <v>525</v>
      </c>
      <c r="N6267">
        <v>35</v>
      </c>
      <c r="O6267">
        <v>1</v>
      </c>
      <c r="P6267">
        <v>0</v>
      </c>
      <c r="Q6267">
        <v>0</v>
      </c>
    </row>
    <row r="6268" spans="1:17" x14ac:dyDescent="0.2">
      <c r="A6268" s="121">
        <v>41305</v>
      </c>
      <c r="B6268" t="s">
        <v>406</v>
      </c>
      <c r="C6268" t="s">
        <v>577</v>
      </c>
      <c r="D6268" t="s">
        <v>607</v>
      </c>
      <c r="E6268" t="s">
        <v>608</v>
      </c>
      <c r="F6268" t="s">
        <v>410</v>
      </c>
      <c r="G6268">
        <v>96</v>
      </c>
      <c r="H6268">
        <v>96</v>
      </c>
      <c r="I6268">
        <v>96</v>
      </c>
      <c r="J6268">
        <v>96</v>
      </c>
      <c r="K6268">
        <v>0</v>
      </c>
      <c r="L6268">
        <v>0</v>
      </c>
      <c r="M6268">
        <v>90</v>
      </c>
      <c r="N6268">
        <v>6</v>
      </c>
      <c r="O6268">
        <v>0</v>
      </c>
      <c r="P6268">
        <v>0</v>
      </c>
      <c r="Q6268">
        <v>0</v>
      </c>
    </row>
    <row r="6269" spans="1:17" x14ac:dyDescent="0.2">
      <c r="A6269" s="121">
        <v>41305</v>
      </c>
      <c r="B6269" t="s">
        <v>406</v>
      </c>
      <c r="C6269" t="s">
        <v>577</v>
      </c>
      <c r="D6269" t="s">
        <v>592</v>
      </c>
      <c r="E6269" t="s">
        <v>593</v>
      </c>
      <c r="F6269" t="s">
        <v>410</v>
      </c>
      <c r="G6269">
        <v>544</v>
      </c>
      <c r="H6269">
        <v>544</v>
      </c>
      <c r="I6269">
        <v>544</v>
      </c>
      <c r="J6269">
        <v>544</v>
      </c>
      <c r="K6269">
        <v>0</v>
      </c>
      <c r="L6269">
        <v>1</v>
      </c>
      <c r="M6269">
        <v>501</v>
      </c>
      <c r="N6269">
        <v>39</v>
      </c>
      <c r="O6269">
        <v>3</v>
      </c>
      <c r="P6269">
        <v>0</v>
      </c>
      <c r="Q6269">
        <v>0</v>
      </c>
    </row>
    <row r="6270" spans="1:17" x14ac:dyDescent="0.2">
      <c r="A6270" s="121">
        <v>41305</v>
      </c>
      <c r="B6270" t="s">
        <v>406</v>
      </c>
      <c r="C6270" t="s">
        <v>594</v>
      </c>
      <c r="D6270" t="s">
        <v>595</v>
      </c>
      <c r="E6270" t="s">
        <v>596</v>
      </c>
      <c r="F6270" t="s">
        <v>410</v>
      </c>
      <c r="G6270">
        <v>32</v>
      </c>
      <c r="I6270">
        <v>32</v>
      </c>
    </row>
    <row r="6271" spans="1:17" x14ac:dyDescent="0.2">
      <c r="A6271" s="121">
        <v>41305</v>
      </c>
      <c r="B6271" t="s">
        <v>406</v>
      </c>
      <c r="C6271" t="s">
        <v>594</v>
      </c>
      <c r="D6271" t="s">
        <v>597</v>
      </c>
      <c r="E6271" t="s">
        <v>598</v>
      </c>
      <c r="F6271" t="s">
        <v>413</v>
      </c>
      <c r="G6271">
        <v>487</v>
      </c>
      <c r="H6271">
        <v>487</v>
      </c>
      <c r="I6271">
        <v>474</v>
      </c>
      <c r="J6271">
        <v>474</v>
      </c>
      <c r="K6271">
        <v>129</v>
      </c>
      <c r="L6271">
        <v>0</v>
      </c>
      <c r="M6271">
        <v>341</v>
      </c>
      <c r="N6271">
        <v>15</v>
      </c>
      <c r="O6271">
        <v>2</v>
      </c>
      <c r="P6271">
        <v>1</v>
      </c>
      <c r="Q6271">
        <v>0</v>
      </c>
    </row>
    <row r="6272" spans="1:17" x14ac:dyDescent="0.2">
      <c r="A6272" s="121">
        <v>41305</v>
      </c>
      <c r="B6272" t="s">
        <v>406</v>
      </c>
      <c r="C6272" t="s">
        <v>594</v>
      </c>
      <c r="D6272" t="s">
        <v>599</v>
      </c>
      <c r="E6272" t="s">
        <v>600</v>
      </c>
      <c r="F6272" t="s">
        <v>410</v>
      </c>
      <c r="G6272">
        <v>77</v>
      </c>
      <c r="I6272">
        <v>77</v>
      </c>
    </row>
    <row r="6273" spans="1:17" x14ac:dyDescent="0.2">
      <c r="A6273" s="121">
        <v>41333</v>
      </c>
      <c r="B6273" t="s">
        <v>406</v>
      </c>
      <c r="C6273" t="s">
        <v>407</v>
      </c>
      <c r="D6273" t="s">
        <v>408</v>
      </c>
      <c r="E6273" t="s">
        <v>409</v>
      </c>
      <c r="F6273" t="s">
        <v>410</v>
      </c>
      <c r="G6273">
        <v>163</v>
      </c>
      <c r="I6273">
        <v>163</v>
      </c>
    </row>
    <row r="6274" spans="1:17" x14ac:dyDescent="0.2">
      <c r="A6274" s="121">
        <v>41333</v>
      </c>
      <c r="B6274" t="s">
        <v>406</v>
      </c>
      <c r="C6274" t="s">
        <v>407</v>
      </c>
      <c r="D6274" t="s">
        <v>601</v>
      </c>
      <c r="E6274" t="s">
        <v>602</v>
      </c>
      <c r="F6274" t="s">
        <v>410</v>
      </c>
      <c r="G6274">
        <v>30</v>
      </c>
      <c r="I6274">
        <v>30</v>
      </c>
    </row>
    <row r="6275" spans="1:17" x14ac:dyDescent="0.2">
      <c r="A6275" s="121">
        <v>41333</v>
      </c>
      <c r="B6275" t="s">
        <v>406</v>
      </c>
      <c r="C6275" t="s">
        <v>407</v>
      </c>
      <c r="D6275" t="s">
        <v>411</v>
      </c>
      <c r="E6275" t="s">
        <v>412</v>
      </c>
      <c r="F6275" t="s">
        <v>413</v>
      </c>
      <c r="G6275">
        <v>5305</v>
      </c>
      <c r="H6275">
        <v>5305</v>
      </c>
      <c r="I6275">
        <v>4938</v>
      </c>
      <c r="J6275">
        <v>4938</v>
      </c>
      <c r="K6275">
        <v>2257</v>
      </c>
      <c r="L6275">
        <v>3</v>
      </c>
      <c r="M6275">
        <v>2795</v>
      </c>
      <c r="N6275">
        <v>71</v>
      </c>
      <c r="O6275">
        <v>179</v>
      </c>
      <c r="P6275">
        <v>35</v>
      </c>
      <c r="Q6275">
        <v>9</v>
      </c>
    </row>
    <row r="6276" spans="1:17" x14ac:dyDescent="0.2">
      <c r="A6276" s="121">
        <v>41333</v>
      </c>
      <c r="B6276" t="s">
        <v>406</v>
      </c>
      <c r="C6276" t="s">
        <v>407</v>
      </c>
      <c r="D6276" t="s">
        <v>416</v>
      </c>
      <c r="E6276" t="s">
        <v>417</v>
      </c>
      <c r="F6276" t="s">
        <v>413</v>
      </c>
      <c r="G6276">
        <v>3300</v>
      </c>
      <c r="H6276">
        <v>3300</v>
      </c>
      <c r="I6276">
        <v>2612</v>
      </c>
      <c r="J6276">
        <v>2612</v>
      </c>
      <c r="K6276">
        <v>1243</v>
      </c>
      <c r="L6276">
        <v>6</v>
      </c>
      <c r="M6276">
        <v>1884</v>
      </c>
      <c r="N6276">
        <v>114</v>
      </c>
      <c r="O6276">
        <v>53</v>
      </c>
      <c r="P6276">
        <v>68</v>
      </c>
      <c r="Q6276">
        <v>13</v>
      </c>
    </row>
    <row r="6277" spans="1:17" x14ac:dyDescent="0.2">
      <c r="A6277" s="121">
        <v>41333</v>
      </c>
      <c r="B6277" t="s">
        <v>406</v>
      </c>
      <c r="C6277" t="s">
        <v>407</v>
      </c>
      <c r="D6277" t="s">
        <v>618</v>
      </c>
      <c r="E6277" t="s">
        <v>619</v>
      </c>
      <c r="F6277" t="s">
        <v>410</v>
      </c>
      <c r="G6277">
        <v>82</v>
      </c>
      <c r="I6277">
        <v>82</v>
      </c>
    </row>
    <row r="6278" spans="1:17" x14ac:dyDescent="0.2">
      <c r="A6278" s="121">
        <v>41333</v>
      </c>
      <c r="B6278" t="s">
        <v>406</v>
      </c>
      <c r="C6278" t="s">
        <v>418</v>
      </c>
      <c r="D6278" t="s">
        <v>419</v>
      </c>
      <c r="E6278" t="s">
        <v>420</v>
      </c>
      <c r="F6278" t="s">
        <v>410</v>
      </c>
      <c r="G6278">
        <v>20</v>
      </c>
      <c r="I6278">
        <v>20</v>
      </c>
    </row>
    <row r="6279" spans="1:17" x14ac:dyDescent="0.2">
      <c r="A6279" s="121">
        <v>41333</v>
      </c>
      <c r="B6279" t="s">
        <v>406</v>
      </c>
      <c r="C6279" t="s">
        <v>418</v>
      </c>
      <c r="D6279" t="s">
        <v>421</v>
      </c>
      <c r="E6279" t="s">
        <v>422</v>
      </c>
      <c r="F6279" t="s">
        <v>410</v>
      </c>
      <c r="G6279">
        <v>118</v>
      </c>
      <c r="I6279">
        <v>118</v>
      </c>
    </row>
    <row r="6280" spans="1:17" x14ac:dyDescent="0.2">
      <c r="A6280" s="121">
        <v>41333</v>
      </c>
      <c r="B6280" t="s">
        <v>406</v>
      </c>
      <c r="C6280" t="s">
        <v>418</v>
      </c>
      <c r="D6280" t="s">
        <v>423</v>
      </c>
      <c r="E6280" t="s">
        <v>424</v>
      </c>
      <c r="F6280" t="s">
        <v>410</v>
      </c>
      <c r="G6280">
        <v>12</v>
      </c>
      <c r="I6280">
        <v>12</v>
      </c>
    </row>
    <row r="6281" spans="1:17" x14ac:dyDescent="0.2">
      <c r="A6281" s="121">
        <v>41333</v>
      </c>
      <c r="B6281" t="s">
        <v>406</v>
      </c>
      <c r="C6281" t="s">
        <v>418</v>
      </c>
      <c r="D6281" t="s">
        <v>425</v>
      </c>
      <c r="E6281" t="s">
        <v>426</v>
      </c>
      <c r="F6281" t="s">
        <v>410</v>
      </c>
      <c r="G6281">
        <v>53</v>
      </c>
      <c r="I6281">
        <v>53</v>
      </c>
    </row>
    <row r="6282" spans="1:17" x14ac:dyDescent="0.2">
      <c r="A6282" s="121">
        <v>41333</v>
      </c>
      <c r="B6282" t="s">
        <v>406</v>
      </c>
      <c r="C6282" t="s">
        <v>418</v>
      </c>
      <c r="D6282" t="s">
        <v>427</v>
      </c>
      <c r="E6282" t="s">
        <v>428</v>
      </c>
      <c r="F6282" t="s">
        <v>413</v>
      </c>
      <c r="G6282">
        <v>1712</v>
      </c>
      <c r="H6282">
        <v>1712</v>
      </c>
      <c r="I6282">
        <v>1652</v>
      </c>
      <c r="J6282">
        <v>1652</v>
      </c>
      <c r="K6282">
        <v>679</v>
      </c>
      <c r="L6282">
        <v>1</v>
      </c>
      <c r="M6282">
        <v>811</v>
      </c>
      <c r="N6282">
        <v>204</v>
      </c>
      <c r="O6282">
        <v>17</v>
      </c>
      <c r="P6282">
        <v>2</v>
      </c>
      <c r="Q6282">
        <v>0</v>
      </c>
    </row>
    <row r="6283" spans="1:17" x14ac:dyDescent="0.2">
      <c r="A6283" s="121">
        <v>41333</v>
      </c>
      <c r="B6283" t="s">
        <v>406</v>
      </c>
      <c r="C6283" t="s">
        <v>429</v>
      </c>
      <c r="D6283" t="s">
        <v>430</v>
      </c>
      <c r="E6283" t="s">
        <v>431</v>
      </c>
      <c r="F6283" t="s">
        <v>410</v>
      </c>
      <c r="G6283">
        <v>22</v>
      </c>
      <c r="I6283">
        <v>22</v>
      </c>
    </row>
    <row r="6284" spans="1:17" x14ac:dyDescent="0.2">
      <c r="A6284" s="121">
        <v>41333</v>
      </c>
      <c r="B6284" t="s">
        <v>406</v>
      </c>
      <c r="C6284" t="s">
        <v>429</v>
      </c>
      <c r="D6284" t="s">
        <v>432</v>
      </c>
      <c r="E6284" t="s">
        <v>433</v>
      </c>
      <c r="F6284" t="s">
        <v>410</v>
      </c>
      <c r="G6284">
        <v>34</v>
      </c>
      <c r="I6284">
        <v>34</v>
      </c>
    </row>
    <row r="6285" spans="1:17" x14ac:dyDescent="0.2">
      <c r="A6285" s="121">
        <v>41333</v>
      </c>
      <c r="B6285" t="s">
        <v>406</v>
      </c>
      <c r="C6285" t="s">
        <v>429</v>
      </c>
      <c r="D6285" t="s">
        <v>434</v>
      </c>
      <c r="E6285" t="s">
        <v>435</v>
      </c>
      <c r="F6285" t="s">
        <v>410</v>
      </c>
      <c r="G6285">
        <v>6</v>
      </c>
      <c r="I6285">
        <v>6</v>
      </c>
    </row>
    <row r="6286" spans="1:17" x14ac:dyDescent="0.2">
      <c r="A6286" s="121">
        <v>41333</v>
      </c>
      <c r="B6286" t="s">
        <v>406</v>
      </c>
      <c r="C6286" t="s">
        <v>429</v>
      </c>
      <c r="D6286" t="s">
        <v>436</v>
      </c>
      <c r="E6286" t="s">
        <v>437</v>
      </c>
      <c r="F6286" t="s">
        <v>410</v>
      </c>
      <c r="G6286">
        <v>24</v>
      </c>
      <c r="H6286">
        <v>24</v>
      </c>
      <c r="I6286">
        <v>24</v>
      </c>
      <c r="J6286">
        <v>24</v>
      </c>
      <c r="K6286">
        <v>1</v>
      </c>
      <c r="L6286">
        <v>0</v>
      </c>
      <c r="M6286">
        <v>13</v>
      </c>
      <c r="N6286">
        <v>10</v>
      </c>
      <c r="O6286">
        <v>0</v>
      </c>
      <c r="P6286">
        <v>0</v>
      </c>
      <c r="Q6286">
        <v>0</v>
      </c>
    </row>
    <row r="6287" spans="1:17" x14ac:dyDescent="0.2">
      <c r="A6287" s="121">
        <v>41333</v>
      </c>
      <c r="B6287" t="s">
        <v>406</v>
      </c>
      <c r="C6287" t="s">
        <v>429</v>
      </c>
      <c r="D6287" t="s">
        <v>438</v>
      </c>
      <c r="E6287" t="s">
        <v>439</v>
      </c>
      <c r="F6287" t="s">
        <v>413</v>
      </c>
      <c r="G6287">
        <v>893</v>
      </c>
      <c r="H6287">
        <v>893</v>
      </c>
      <c r="I6287">
        <v>867</v>
      </c>
      <c r="J6287">
        <v>867</v>
      </c>
      <c r="K6287">
        <v>115</v>
      </c>
      <c r="L6287">
        <v>2</v>
      </c>
      <c r="M6287">
        <v>711</v>
      </c>
      <c r="N6287">
        <v>65</v>
      </c>
      <c r="O6287">
        <v>0</v>
      </c>
      <c r="P6287">
        <v>0</v>
      </c>
      <c r="Q6287">
        <v>0</v>
      </c>
    </row>
    <row r="6288" spans="1:17" x14ac:dyDescent="0.2">
      <c r="A6288" s="121">
        <v>41333</v>
      </c>
      <c r="B6288" t="s">
        <v>406</v>
      </c>
      <c r="C6288" t="s">
        <v>429</v>
      </c>
      <c r="D6288" t="s">
        <v>440</v>
      </c>
      <c r="E6288" t="s">
        <v>441</v>
      </c>
      <c r="F6288" t="s">
        <v>413</v>
      </c>
      <c r="G6288">
        <v>2515</v>
      </c>
      <c r="H6288">
        <v>2515</v>
      </c>
      <c r="I6288">
        <v>2348</v>
      </c>
      <c r="J6288">
        <v>2348</v>
      </c>
      <c r="K6288">
        <v>922</v>
      </c>
      <c r="L6288">
        <v>2</v>
      </c>
      <c r="M6288">
        <v>1525</v>
      </c>
      <c r="N6288">
        <v>65</v>
      </c>
      <c r="O6288">
        <v>1</v>
      </c>
      <c r="P6288">
        <v>1</v>
      </c>
      <c r="Q6288">
        <v>0</v>
      </c>
    </row>
    <row r="6289" spans="1:17" x14ac:dyDescent="0.2">
      <c r="A6289" s="121">
        <v>41333</v>
      </c>
      <c r="B6289" t="s">
        <v>406</v>
      </c>
      <c r="C6289" t="s">
        <v>442</v>
      </c>
      <c r="D6289" t="s">
        <v>443</v>
      </c>
      <c r="E6289" t="s">
        <v>444</v>
      </c>
      <c r="F6289" t="s">
        <v>413</v>
      </c>
      <c r="G6289">
        <v>4686</v>
      </c>
      <c r="H6289">
        <v>4686</v>
      </c>
      <c r="I6289">
        <v>4189</v>
      </c>
      <c r="J6289">
        <v>4189</v>
      </c>
      <c r="K6289">
        <v>1265</v>
      </c>
      <c r="L6289">
        <v>14</v>
      </c>
      <c r="M6289">
        <v>3201</v>
      </c>
      <c r="N6289">
        <v>100</v>
      </c>
      <c r="O6289">
        <v>106</v>
      </c>
      <c r="P6289">
        <v>116</v>
      </c>
      <c r="Q6289">
        <v>14</v>
      </c>
    </row>
    <row r="6290" spans="1:17" x14ac:dyDescent="0.2">
      <c r="A6290" s="121">
        <v>41333</v>
      </c>
      <c r="B6290" t="s">
        <v>406</v>
      </c>
      <c r="C6290" t="s">
        <v>442</v>
      </c>
      <c r="D6290" t="s">
        <v>445</v>
      </c>
      <c r="E6290" t="s">
        <v>446</v>
      </c>
      <c r="F6290" t="s">
        <v>410</v>
      </c>
      <c r="G6290">
        <v>89</v>
      </c>
      <c r="I6290">
        <v>89</v>
      </c>
    </row>
    <row r="6291" spans="1:17" x14ac:dyDescent="0.2">
      <c r="A6291" s="121">
        <v>41333</v>
      </c>
      <c r="B6291" t="s">
        <v>406</v>
      </c>
      <c r="C6291" t="s">
        <v>442</v>
      </c>
      <c r="D6291" t="s">
        <v>447</v>
      </c>
      <c r="E6291" t="s">
        <v>448</v>
      </c>
      <c r="F6291" t="s">
        <v>410</v>
      </c>
      <c r="G6291">
        <v>336</v>
      </c>
      <c r="I6291">
        <v>336</v>
      </c>
    </row>
    <row r="6292" spans="1:17" x14ac:dyDescent="0.2">
      <c r="A6292" s="121">
        <v>41333</v>
      </c>
      <c r="B6292" t="s">
        <v>406</v>
      </c>
      <c r="C6292" t="s">
        <v>442</v>
      </c>
      <c r="D6292" t="s">
        <v>449</v>
      </c>
      <c r="E6292" t="s">
        <v>624</v>
      </c>
      <c r="F6292" t="s">
        <v>410</v>
      </c>
      <c r="G6292">
        <v>1324</v>
      </c>
      <c r="H6292">
        <v>1324</v>
      </c>
      <c r="I6292">
        <v>1324</v>
      </c>
      <c r="J6292">
        <v>1324</v>
      </c>
      <c r="K6292">
        <v>5</v>
      </c>
      <c r="L6292">
        <v>0</v>
      </c>
      <c r="M6292">
        <v>1113</v>
      </c>
      <c r="N6292">
        <v>203</v>
      </c>
      <c r="O6292">
        <v>3</v>
      </c>
      <c r="P6292">
        <v>0</v>
      </c>
      <c r="Q6292">
        <v>0</v>
      </c>
    </row>
    <row r="6293" spans="1:17" x14ac:dyDescent="0.2">
      <c r="A6293" s="121">
        <v>41333</v>
      </c>
      <c r="B6293" t="s">
        <v>406</v>
      </c>
      <c r="C6293" t="s">
        <v>451</v>
      </c>
      <c r="D6293" t="s">
        <v>454</v>
      </c>
      <c r="E6293" t="s">
        <v>621</v>
      </c>
      <c r="F6293" t="s">
        <v>410</v>
      </c>
      <c r="G6293">
        <v>1029</v>
      </c>
      <c r="H6293">
        <v>1029</v>
      </c>
      <c r="I6293">
        <v>1028</v>
      </c>
      <c r="J6293">
        <v>1028</v>
      </c>
      <c r="K6293">
        <v>2</v>
      </c>
      <c r="L6293">
        <v>0</v>
      </c>
      <c r="M6293">
        <v>445</v>
      </c>
      <c r="N6293">
        <v>54</v>
      </c>
      <c r="O6293">
        <v>528</v>
      </c>
      <c r="P6293">
        <v>0</v>
      </c>
      <c r="Q6293">
        <v>0</v>
      </c>
    </row>
    <row r="6294" spans="1:17" x14ac:dyDescent="0.2">
      <c r="A6294" s="121">
        <v>41333</v>
      </c>
      <c r="B6294" t="s">
        <v>406</v>
      </c>
      <c r="C6294" t="s">
        <v>451</v>
      </c>
      <c r="D6294" t="s">
        <v>622</v>
      </c>
      <c r="E6294" t="s">
        <v>623</v>
      </c>
      <c r="F6294" t="s">
        <v>413</v>
      </c>
      <c r="G6294">
        <v>4484</v>
      </c>
      <c r="H6294">
        <v>4484</v>
      </c>
      <c r="I6294">
        <v>3998</v>
      </c>
      <c r="J6294">
        <v>3998</v>
      </c>
      <c r="K6294">
        <v>1198</v>
      </c>
      <c r="L6294">
        <v>4</v>
      </c>
      <c r="M6294">
        <v>2069</v>
      </c>
      <c r="N6294">
        <v>59</v>
      </c>
      <c r="O6294">
        <v>1154</v>
      </c>
      <c r="P6294">
        <v>12</v>
      </c>
      <c r="Q6294">
        <v>0</v>
      </c>
    </row>
    <row r="6295" spans="1:17" x14ac:dyDescent="0.2">
      <c r="A6295" s="121">
        <v>41333</v>
      </c>
      <c r="B6295" t="s">
        <v>406</v>
      </c>
      <c r="C6295" t="s">
        <v>456</v>
      </c>
      <c r="D6295" t="s">
        <v>457</v>
      </c>
      <c r="E6295" t="s">
        <v>458</v>
      </c>
      <c r="F6295" t="s">
        <v>413</v>
      </c>
      <c r="G6295">
        <v>4817</v>
      </c>
      <c r="H6295">
        <v>4817</v>
      </c>
      <c r="I6295">
        <v>4546</v>
      </c>
      <c r="J6295">
        <v>4546</v>
      </c>
      <c r="K6295">
        <v>1259</v>
      </c>
      <c r="L6295">
        <v>15</v>
      </c>
      <c r="M6295">
        <v>3163</v>
      </c>
      <c r="N6295">
        <v>31</v>
      </c>
      <c r="O6295">
        <v>349</v>
      </c>
      <c r="P6295">
        <v>8</v>
      </c>
      <c r="Q6295">
        <v>0</v>
      </c>
    </row>
    <row r="6296" spans="1:17" x14ac:dyDescent="0.2">
      <c r="A6296" s="121">
        <v>41333</v>
      </c>
      <c r="B6296" t="s">
        <v>406</v>
      </c>
      <c r="C6296" t="s">
        <v>456</v>
      </c>
      <c r="D6296" t="s">
        <v>459</v>
      </c>
      <c r="E6296" t="s">
        <v>460</v>
      </c>
      <c r="F6296" t="s">
        <v>413</v>
      </c>
      <c r="G6296">
        <v>1486</v>
      </c>
      <c r="H6296">
        <v>1486</v>
      </c>
      <c r="I6296">
        <v>1461</v>
      </c>
      <c r="J6296">
        <v>1461</v>
      </c>
      <c r="K6296">
        <v>432</v>
      </c>
      <c r="L6296">
        <v>0</v>
      </c>
      <c r="M6296">
        <v>1051</v>
      </c>
      <c r="N6296">
        <v>0</v>
      </c>
      <c r="O6296">
        <v>3</v>
      </c>
      <c r="P6296">
        <v>0</v>
      </c>
      <c r="Q6296">
        <v>0</v>
      </c>
    </row>
    <row r="6297" spans="1:17" x14ac:dyDescent="0.2">
      <c r="A6297" s="121">
        <v>41333</v>
      </c>
      <c r="B6297" t="s">
        <v>406</v>
      </c>
      <c r="C6297" t="s">
        <v>456</v>
      </c>
      <c r="D6297" t="s">
        <v>461</v>
      </c>
      <c r="E6297" t="s">
        <v>462</v>
      </c>
      <c r="F6297" t="s">
        <v>410</v>
      </c>
      <c r="G6297">
        <v>53</v>
      </c>
      <c r="I6297">
        <v>53</v>
      </c>
    </row>
    <row r="6298" spans="1:17" x14ac:dyDescent="0.2">
      <c r="A6298" s="121">
        <v>41333</v>
      </c>
      <c r="B6298" t="s">
        <v>406</v>
      </c>
      <c r="C6298" t="s">
        <v>456</v>
      </c>
      <c r="D6298" t="s">
        <v>463</v>
      </c>
      <c r="E6298" t="s">
        <v>464</v>
      </c>
      <c r="F6298" t="s">
        <v>410</v>
      </c>
      <c r="G6298">
        <v>11</v>
      </c>
      <c r="I6298">
        <v>11</v>
      </c>
    </row>
    <row r="6299" spans="1:17" x14ac:dyDescent="0.2">
      <c r="A6299" s="121">
        <v>41333</v>
      </c>
      <c r="B6299" t="s">
        <v>406</v>
      </c>
      <c r="C6299" t="s">
        <v>456</v>
      </c>
      <c r="D6299" t="s">
        <v>465</v>
      </c>
      <c r="E6299" t="s">
        <v>466</v>
      </c>
      <c r="F6299" t="s">
        <v>410</v>
      </c>
      <c r="G6299">
        <v>29</v>
      </c>
      <c r="I6299">
        <v>29</v>
      </c>
    </row>
    <row r="6300" spans="1:17" x14ac:dyDescent="0.2">
      <c r="A6300" s="121">
        <v>41333</v>
      </c>
      <c r="B6300" t="s">
        <v>406</v>
      </c>
      <c r="C6300" t="s">
        <v>456</v>
      </c>
      <c r="D6300" t="s">
        <v>467</v>
      </c>
      <c r="E6300" t="s">
        <v>468</v>
      </c>
      <c r="F6300" t="s">
        <v>410</v>
      </c>
      <c r="G6300">
        <v>1188</v>
      </c>
      <c r="I6300">
        <v>1183</v>
      </c>
    </row>
    <row r="6301" spans="1:17" x14ac:dyDescent="0.2">
      <c r="A6301" s="121">
        <v>41333</v>
      </c>
      <c r="B6301" t="s">
        <v>406</v>
      </c>
      <c r="C6301" t="s">
        <v>456</v>
      </c>
      <c r="D6301" t="s">
        <v>469</v>
      </c>
      <c r="E6301" t="s">
        <v>470</v>
      </c>
      <c r="F6301" t="s">
        <v>410</v>
      </c>
      <c r="G6301">
        <v>732</v>
      </c>
      <c r="I6301">
        <v>732</v>
      </c>
    </row>
    <row r="6302" spans="1:17" x14ac:dyDescent="0.2">
      <c r="A6302" s="121">
        <v>41333</v>
      </c>
      <c r="B6302" t="s">
        <v>406</v>
      </c>
      <c r="C6302" t="s">
        <v>456</v>
      </c>
      <c r="D6302" t="s">
        <v>471</v>
      </c>
      <c r="E6302" t="s">
        <v>472</v>
      </c>
      <c r="F6302" t="s">
        <v>410</v>
      </c>
      <c r="G6302">
        <v>255</v>
      </c>
      <c r="I6302">
        <v>253</v>
      </c>
    </row>
    <row r="6303" spans="1:17" x14ac:dyDescent="0.2">
      <c r="A6303" s="121">
        <v>41333</v>
      </c>
      <c r="B6303" t="s">
        <v>406</v>
      </c>
      <c r="C6303" t="s">
        <v>456</v>
      </c>
      <c r="D6303" t="s">
        <v>473</v>
      </c>
      <c r="E6303" t="s">
        <v>474</v>
      </c>
      <c r="F6303" t="s">
        <v>410</v>
      </c>
      <c r="G6303">
        <v>180</v>
      </c>
      <c r="I6303">
        <v>180</v>
      </c>
    </row>
    <row r="6304" spans="1:17" x14ac:dyDescent="0.2">
      <c r="A6304" s="121">
        <v>41333</v>
      </c>
      <c r="B6304" t="s">
        <v>406</v>
      </c>
      <c r="C6304" t="s">
        <v>456</v>
      </c>
      <c r="D6304" t="s">
        <v>475</v>
      </c>
      <c r="E6304" t="s">
        <v>476</v>
      </c>
      <c r="F6304" t="s">
        <v>410</v>
      </c>
      <c r="G6304">
        <v>236</v>
      </c>
      <c r="I6304">
        <v>224</v>
      </c>
    </row>
    <row r="6305" spans="1:17" x14ac:dyDescent="0.2">
      <c r="A6305" s="121">
        <v>41333</v>
      </c>
      <c r="B6305" t="s">
        <v>406</v>
      </c>
      <c r="C6305" t="s">
        <v>456</v>
      </c>
      <c r="D6305" t="s">
        <v>477</v>
      </c>
      <c r="E6305" t="s">
        <v>478</v>
      </c>
      <c r="F6305" t="s">
        <v>413</v>
      </c>
      <c r="G6305">
        <v>1924</v>
      </c>
      <c r="H6305">
        <v>1924</v>
      </c>
      <c r="I6305">
        <v>1792</v>
      </c>
      <c r="J6305">
        <v>1792</v>
      </c>
      <c r="K6305">
        <v>421</v>
      </c>
      <c r="L6305">
        <v>2</v>
      </c>
      <c r="M6305">
        <v>1467</v>
      </c>
      <c r="N6305">
        <v>26</v>
      </c>
      <c r="O6305">
        <v>8</v>
      </c>
      <c r="P6305">
        <v>12</v>
      </c>
      <c r="Q6305">
        <v>1</v>
      </c>
    </row>
    <row r="6306" spans="1:17" x14ac:dyDescent="0.2">
      <c r="A6306" s="121">
        <v>41333</v>
      </c>
      <c r="B6306" t="s">
        <v>406</v>
      </c>
      <c r="C6306" t="s">
        <v>456</v>
      </c>
      <c r="D6306" t="s">
        <v>479</v>
      </c>
      <c r="E6306" t="s">
        <v>480</v>
      </c>
      <c r="F6306" t="s">
        <v>410</v>
      </c>
      <c r="G6306">
        <v>49</v>
      </c>
      <c r="I6306">
        <v>49</v>
      </c>
    </row>
    <row r="6307" spans="1:17" x14ac:dyDescent="0.2">
      <c r="A6307" s="121">
        <v>41333</v>
      </c>
      <c r="B6307" t="s">
        <v>406</v>
      </c>
      <c r="C6307" t="s">
        <v>456</v>
      </c>
      <c r="D6307" t="s">
        <v>481</v>
      </c>
      <c r="E6307" t="s">
        <v>482</v>
      </c>
      <c r="F6307" t="s">
        <v>410</v>
      </c>
      <c r="G6307">
        <v>31</v>
      </c>
      <c r="I6307">
        <v>31</v>
      </c>
    </row>
    <row r="6308" spans="1:17" x14ac:dyDescent="0.2">
      <c r="A6308" s="121">
        <v>41333</v>
      </c>
      <c r="B6308" t="s">
        <v>406</v>
      </c>
      <c r="C6308" t="s">
        <v>456</v>
      </c>
      <c r="D6308" t="s">
        <v>483</v>
      </c>
      <c r="E6308" t="s">
        <v>484</v>
      </c>
      <c r="F6308" t="s">
        <v>410</v>
      </c>
      <c r="G6308">
        <v>77</v>
      </c>
      <c r="I6308">
        <v>77</v>
      </c>
    </row>
    <row r="6309" spans="1:17" x14ac:dyDescent="0.2">
      <c r="A6309" s="121">
        <v>41333</v>
      </c>
      <c r="B6309" t="s">
        <v>406</v>
      </c>
      <c r="C6309" t="s">
        <v>456</v>
      </c>
      <c r="D6309" t="s">
        <v>485</v>
      </c>
      <c r="E6309" t="s">
        <v>486</v>
      </c>
      <c r="F6309" t="s">
        <v>410</v>
      </c>
      <c r="G6309">
        <v>25</v>
      </c>
      <c r="I6309">
        <v>25</v>
      </c>
    </row>
    <row r="6310" spans="1:17" x14ac:dyDescent="0.2">
      <c r="A6310" s="121">
        <v>41333</v>
      </c>
      <c r="B6310" t="s">
        <v>406</v>
      </c>
      <c r="C6310" t="s">
        <v>456</v>
      </c>
      <c r="D6310" t="s">
        <v>487</v>
      </c>
      <c r="E6310" t="s">
        <v>488</v>
      </c>
      <c r="F6310" t="s">
        <v>410</v>
      </c>
      <c r="G6310">
        <v>21</v>
      </c>
      <c r="I6310">
        <v>21</v>
      </c>
    </row>
    <row r="6311" spans="1:17" x14ac:dyDescent="0.2">
      <c r="A6311" s="121">
        <v>41333</v>
      </c>
      <c r="B6311" t="s">
        <v>406</v>
      </c>
      <c r="C6311" t="s">
        <v>456</v>
      </c>
      <c r="D6311" t="s">
        <v>489</v>
      </c>
      <c r="E6311" t="s">
        <v>490</v>
      </c>
      <c r="F6311" t="s">
        <v>410</v>
      </c>
      <c r="G6311">
        <v>90</v>
      </c>
      <c r="I6311">
        <v>90</v>
      </c>
    </row>
    <row r="6312" spans="1:17" x14ac:dyDescent="0.2">
      <c r="A6312" s="121">
        <v>41333</v>
      </c>
      <c r="B6312" t="s">
        <v>406</v>
      </c>
      <c r="C6312" t="s">
        <v>491</v>
      </c>
      <c r="D6312" t="s">
        <v>492</v>
      </c>
      <c r="E6312" t="s">
        <v>493</v>
      </c>
      <c r="F6312" t="s">
        <v>410</v>
      </c>
      <c r="G6312">
        <v>1107</v>
      </c>
      <c r="H6312">
        <v>1107</v>
      </c>
      <c r="I6312">
        <v>1071</v>
      </c>
      <c r="J6312">
        <v>1071</v>
      </c>
      <c r="K6312">
        <v>230</v>
      </c>
      <c r="L6312">
        <v>0</v>
      </c>
      <c r="M6312">
        <v>841</v>
      </c>
      <c r="N6312">
        <v>33</v>
      </c>
      <c r="O6312">
        <v>3</v>
      </c>
      <c r="P6312">
        <v>0</v>
      </c>
      <c r="Q6312">
        <v>0</v>
      </c>
    </row>
    <row r="6313" spans="1:17" x14ac:dyDescent="0.2">
      <c r="A6313" s="121">
        <v>41333</v>
      </c>
      <c r="B6313" t="s">
        <v>406</v>
      </c>
      <c r="C6313" t="s">
        <v>491</v>
      </c>
      <c r="D6313" t="s">
        <v>494</v>
      </c>
      <c r="E6313" t="s">
        <v>495</v>
      </c>
      <c r="F6313" t="s">
        <v>413</v>
      </c>
      <c r="G6313">
        <v>2366</v>
      </c>
      <c r="H6313">
        <v>2366</v>
      </c>
      <c r="I6313">
        <v>2158</v>
      </c>
      <c r="J6313">
        <v>2158</v>
      </c>
      <c r="K6313">
        <v>640</v>
      </c>
      <c r="L6313">
        <v>5</v>
      </c>
      <c r="M6313">
        <v>1560</v>
      </c>
      <c r="N6313">
        <v>15</v>
      </c>
      <c r="O6313">
        <v>146</v>
      </c>
      <c r="P6313">
        <v>5</v>
      </c>
      <c r="Q6313">
        <v>0</v>
      </c>
    </row>
    <row r="6314" spans="1:17" x14ac:dyDescent="0.2">
      <c r="A6314" s="121">
        <v>41333</v>
      </c>
      <c r="B6314" t="s">
        <v>406</v>
      </c>
      <c r="C6314" t="s">
        <v>491</v>
      </c>
      <c r="D6314" t="s">
        <v>496</v>
      </c>
      <c r="E6314" t="s">
        <v>497</v>
      </c>
      <c r="F6314" t="s">
        <v>413</v>
      </c>
      <c r="G6314">
        <v>5257</v>
      </c>
      <c r="H6314">
        <v>5257</v>
      </c>
      <c r="I6314">
        <v>4485</v>
      </c>
      <c r="J6314">
        <v>4485</v>
      </c>
      <c r="K6314">
        <v>1878</v>
      </c>
      <c r="L6314">
        <v>16</v>
      </c>
      <c r="M6314">
        <v>3125</v>
      </c>
      <c r="N6314">
        <v>91</v>
      </c>
      <c r="O6314">
        <v>147</v>
      </c>
      <c r="P6314">
        <v>41</v>
      </c>
      <c r="Q6314">
        <v>0</v>
      </c>
    </row>
    <row r="6315" spans="1:17" x14ac:dyDescent="0.2">
      <c r="A6315" s="121">
        <v>41333</v>
      </c>
      <c r="B6315" t="s">
        <v>406</v>
      </c>
      <c r="C6315" t="s">
        <v>491</v>
      </c>
      <c r="D6315" t="s">
        <v>498</v>
      </c>
      <c r="E6315" t="s">
        <v>499</v>
      </c>
      <c r="F6315" t="s">
        <v>413</v>
      </c>
      <c r="G6315">
        <v>6565</v>
      </c>
      <c r="H6315">
        <v>6565</v>
      </c>
      <c r="I6315">
        <v>5876</v>
      </c>
      <c r="J6315">
        <v>5876</v>
      </c>
      <c r="K6315">
        <v>1641</v>
      </c>
      <c r="L6315">
        <v>10</v>
      </c>
      <c r="M6315">
        <v>4401</v>
      </c>
      <c r="N6315">
        <v>115</v>
      </c>
      <c r="O6315">
        <v>398</v>
      </c>
      <c r="P6315">
        <v>22</v>
      </c>
      <c r="Q6315">
        <v>0</v>
      </c>
    </row>
    <row r="6316" spans="1:17" x14ac:dyDescent="0.2">
      <c r="A6316" s="121">
        <v>41333</v>
      </c>
      <c r="B6316" t="s">
        <v>406</v>
      </c>
      <c r="C6316" t="s">
        <v>491</v>
      </c>
      <c r="D6316" t="s">
        <v>500</v>
      </c>
      <c r="E6316" t="s">
        <v>620</v>
      </c>
      <c r="F6316" t="s">
        <v>410</v>
      </c>
      <c r="G6316">
        <v>1193</v>
      </c>
      <c r="H6316">
        <v>1193</v>
      </c>
      <c r="I6316">
        <v>1193</v>
      </c>
      <c r="J6316">
        <v>1193</v>
      </c>
      <c r="K6316">
        <v>7</v>
      </c>
      <c r="L6316">
        <v>0</v>
      </c>
      <c r="M6316">
        <v>1076</v>
      </c>
      <c r="N6316">
        <v>4</v>
      </c>
      <c r="O6316">
        <v>106</v>
      </c>
      <c r="P6316">
        <v>0</v>
      </c>
      <c r="Q6316">
        <v>0</v>
      </c>
    </row>
    <row r="6317" spans="1:17" x14ac:dyDescent="0.2">
      <c r="A6317" s="121">
        <v>41333</v>
      </c>
      <c r="B6317" t="s">
        <v>406</v>
      </c>
      <c r="C6317" t="s">
        <v>491</v>
      </c>
      <c r="D6317" t="s">
        <v>502</v>
      </c>
      <c r="E6317" t="s">
        <v>615</v>
      </c>
      <c r="F6317" t="s">
        <v>410</v>
      </c>
      <c r="G6317">
        <v>1444</v>
      </c>
      <c r="H6317">
        <v>1444</v>
      </c>
      <c r="I6317">
        <v>1444</v>
      </c>
      <c r="J6317">
        <v>1444</v>
      </c>
      <c r="K6317">
        <v>0</v>
      </c>
      <c r="L6317">
        <v>0</v>
      </c>
      <c r="M6317">
        <v>1363</v>
      </c>
      <c r="N6317">
        <v>75</v>
      </c>
      <c r="O6317">
        <v>6</v>
      </c>
      <c r="P6317">
        <v>0</v>
      </c>
      <c r="Q6317">
        <v>0</v>
      </c>
    </row>
    <row r="6318" spans="1:17" x14ac:dyDescent="0.2">
      <c r="A6318" s="121">
        <v>41333</v>
      </c>
      <c r="B6318" t="s">
        <v>406</v>
      </c>
      <c r="C6318" t="s">
        <v>491</v>
      </c>
      <c r="D6318" t="s">
        <v>502</v>
      </c>
      <c r="E6318" t="s">
        <v>503</v>
      </c>
      <c r="F6318" t="s">
        <v>413</v>
      </c>
      <c r="G6318">
        <v>4633</v>
      </c>
      <c r="H6318">
        <v>4633</v>
      </c>
      <c r="I6318">
        <v>3849</v>
      </c>
      <c r="J6318">
        <v>3849</v>
      </c>
      <c r="K6318">
        <v>1473</v>
      </c>
      <c r="L6318">
        <v>10</v>
      </c>
      <c r="M6318">
        <v>2730</v>
      </c>
      <c r="N6318">
        <v>299</v>
      </c>
      <c r="O6318">
        <v>121</v>
      </c>
      <c r="P6318">
        <v>101</v>
      </c>
      <c r="Q6318">
        <v>19</v>
      </c>
    </row>
    <row r="6319" spans="1:17" x14ac:dyDescent="0.2">
      <c r="A6319" s="121">
        <v>41333</v>
      </c>
      <c r="B6319" t="s">
        <v>406</v>
      </c>
      <c r="C6319" t="s">
        <v>491</v>
      </c>
      <c r="D6319" t="s">
        <v>504</v>
      </c>
      <c r="E6319" t="s">
        <v>505</v>
      </c>
      <c r="F6319" t="s">
        <v>413</v>
      </c>
      <c r="G6319">
        <v>3612</v>
      </c>
      <c r="H6319">
        <v>3612</v>
      </c>
      <c r="I6319">
        <v>3211</v>
      </c>
      <c r="J6319">
        <v>3211</v>
      </c>
      <c r="K6319">
        <v>1074</v>
      </c>
      <c r="L6319">
        <v>6</v>
      </c>
      <c r="M6319">
        <v>2323</v>
      </c>
      <c r="N6319">
        <v>149</v>
      </c>
      <c r="O6319">
        <v>60</v>
      </c>
      <c r="P6319">
        <v>19</v>
      </c>
      <c r="Q6319">
        <v>0</v>
      </c>
    </row>
    <row r="6320" spans="1:17" x14ac:dyDescent="0.2">
      <c r="A6320" s="121">
        <v>41333</v>
      </c>
      <c r="B6320" t="s">
        <v>406</v>
      </c>
      <c r="C6320" t="s">
        <v>491</v>
      </c>
      <c r="D6320" t="s">
        <v>506</v>
      </c>
      <c r="E6320" t="s">
        <v>507</v>
      </c>
      <c r="F6320" t="s">
        <v>413</v>
      </c>
      <c r="G6320">
        <v>3586</v>
      </c>
      <c r="H6320">
        <v>3586</v>
      </c>
      <c r="I6320">
        <v>3507</v>
      </c>
      <c r="J6320">
        <v>3507</v>
      </c>
      <c r="K6320">
        <v>416</v>
      </c>
      <c r="L6320">
        <v>1</v>
      </c>
      <c r="M6320">
        <v>3166</v>
      </c>
      <c r="N6320">
        <v>0</v>
      </c>
      <c r="O6320">
        <v>3</v>
      </c>
      <c r="P6320">
        <v>0</v>
      </c>
      <c r="Q6320">
        <v>0</v>
      </c>
    </row>
    <row r="6321" spans="1:17" x14ac:dyDescent="0.2">
      <c r="A6321" s="121">
        <v>41333</v>
      </c>
      <c r="B6321" t="s">
        <v>406</v>
      </c>
      <c r="C6321" t="s">
        <v>491</v>
      </c>
      <c r="D6321" t="s">
        <v>508</v>
      </c>
      <c r="E6321" t="s">
        <v>509</v>
      </c>
      <c r="F6321" t="s">
        <v>413</v>
      </c>
      <c r="G6321">
        <v>4438</v>
      </c>
      <c r="H6321">
        <v>4438</v>
      </c>
      <c r="I6321">
        <v>3665</v>
      </c>
      <c r="J6321">
        <v>3665</v>
      </c>
      <c r="K6321">
        <v>1503</v>
      </c>
      <c r="L6321">
        <v>9</v>
      </c>
      <c r="M6321">
        <v>2634</v>
      </c>
      <c r="N6321">
        <v>69</v>
      </c>
      <c r="O6321">
        <v>223</v>
      </c>
      <c r="P6321">
        <v>129</v>
      </c>
      <c r="Q6321">
        <v>2</v>
      </c>
    </row>
    <row r="6322" spans="1:17" x14ac:dyDescent="0.2">
      <c r="A6322" s="121">
        <v>41333</v>
      </c>
      <c r="B6322" t="s">
        <v>406</v>
      </c>
      <c r="C6322" t="s">
        <v>510</v>
      </c>
      <c r="D6322" t="s">
        <v>513</v>
      </c>
      <c r="E6322" t="s">
        <v>514</v>
      </c>
      <c r="F6322" t="s">
        <v>410</v>
      </c>
      <c r="G6322">
        <v>482</v>
      </c>
      <c r="I6322">
        <v>478</v>
      </c>
    </row>
    <row r="6323" spans="1:17" x14ac:dyDescent="0.2">
      <c r="A6323" s="121">
        <v>41333</v>
      </c>
      <c r="B6323" t="s">
        <v>406</v>
      </c>
      <c r="C6323" t="s">
        <v>510</v>
      </c>
      <c r="D6323" t="s">
        <v>515</v>
      </c>
      <c r="E6323" t="s">
        <v>516</v>
      </c>
      <c r="F6323" t="s">
        <v>410</v>
      </c>
      <c r="G6323">
        <v>64</v>
      </c>
      <c r="I6323">
        <v>59</v>
      </c>
    </row>
    <row r="6324" spans="1:17" x14ac:dyDescent="0.2">
      <c r="A6324" s="121">
        <v>41333</v>
      </c>
      <c r="B6324" t="s">
        <v>406</v>
      </c>
      <c r="C6324" t="s">
        <v>510</v>
      </c>
      <c r="D6324" t="s">
        <v>519</v>
      </c>
      <c r="E6324" t="s">
        <v>520</v>
      </c>
      <c r="F6324" t="s">
        <v>410</v>
      </c>
      <c r="G6324">
        <v>271</v>
      </c>
      <c r="I6324">
        <v>262</v>
      </c>
    </row>
    <row r="6325" spans="1:17" x14ac:dyDescent="0.2">
      <c r="A6325" s="121">
        <v>41333</v>
      </c>
      <c r="B6325" t="s">
        <v>406</v>
      </c>
      <c r="C6325" t="s">
        <v>510</v>
      </c>
      <c r="D6325" t="s">
        <v>523</v>
      </c>
      <c r="E6325" t="s">
        <v>524</v>
      </c>
      <c r="F6325" t="s">
        <v>413</v>
      </c>
      <c r="G6325">
        <v>434</v>
      </c>
      <c r="H6325">
        <v>434</v>
      </c>
      <c r="I6325">
        <v>423</v>
      </c>
      <c r="J6325">
        <v>423</v>
      </c>
      <c r="K6325">
        <v>88</v>
      </c>
      <c r="L6325">
        <v>0</v>
      </c>
      <c r="M6325">
        <v>334</v>
      </c>
      <c r="N6325">
        <v>12</v>
      </c>
      <c r="O6325">
        <v>0</v>
      </c>
      <c r="P6325">
        <v>1</v>
      </c>
      <c r="Q6325">
        <v>0</v>
      </c>
    </row>
    <row r="6326" spans="1:17" x14ac:dyDescent="0.2">
      <c r="A6326" s="121">
        <v>41333</v>
      </c>
      <c r="B6326" t="s">
        <v>406</v>
      </c>
      <c r="C6326" t="s">
        <v>510</v>
      </c>
      <c r="D6326" t="s">
        <v>525</v>
      </c>
      <c r="E6326" t="s">
        <v>526</v>
      </c>
      <c r="F6326" t="s">
        <v>410</v>
      </c>
      <c r="G6326">
        <v>406</v>
      </c>
      <c r="I6326">
        <v>395</v>
      </c>
    </row>
    <row r="6327" spans="1:17" x14ac:dyDescent="0.2">
      <c r="A6327" s="121">
        <v>41333</v>
      </c>
      <c r="B6327" t="s">
        <v>406</v>
      </c>
      <c r="C6327" t="s">
        <v>510</v>
      </c>
      <c r="D6327" t="s">
        <v>527</v>
      </c>
      <c r="E6327" t="s">
        <v>528</v>
      </c>
      <c r="F6327" t="s">
        <v>410</v>
      </c>
      <c r="G6327">
        <v>152</v>
      </c>
      <c r="I6327">
        <v>152</v>
      </c>
    </row>
    <row r="6328" spans="1:17" x14ac:dyDescent="0.2">
      <c r="A6328" s="121">
        <v>41333</v>
      </c>
      <c r="B6328" t="s">
        <v>406</v>
      </c>
      <c r="C6328" t="s">
        <v>510</v>
      </c>
      <c r="D6328" t="s">
        <v>529</v>
      </c>
      <c r="E6328" t="s">
        <v>530</v>
      </c>
      <c r="F6328" t="s">
        <v>413</v>
      </c>
      <c r="G6328">
        <v>471</v>
      </c>
      <c r="H6328">
        <v>471</v>
      </c>
      <c r="I6328">
        <v>462</v>
      </c>
      <c r="J6328">
        <v>462</v>
      </c>
      <c r="K6328">
        <v>140</v>
      </c>
      <c r="L6328">
        <v>0</v>
      </c>
      <c r="M6328">
        <v>331</v>
      </c>
      <c r="N6328">
        <v>0</v>
      </c>
      <c r="O6328">
        <v>0</v>
      </c>
      <c r="P6328">
        <v>0</v>
      </c>
      <c r="Q6328">
        <v>0</v>
      </c>
    </row>
    <row r="6329" spans="1:17" x14ac:dyDescent="0.2">
      <c r="A6329" s="121">
        <v>41333</v>
      </c>
      <c r="B6329" t="s">
        <v>406</v>
      </c>
      <c r="C6329" t="s">
        <v>510</v>
      </c>
      <c r="D6329" t="s">
        <v>531</v>
      </c>
      <c r="E6329" t="s">
        <v>532</v>
      </c>
      <c r="F6329" t="s">
        <v>410</v>
      </c>
      <c r="G6329">
        <v>30</v>
      </c>
      <c r="I6329">
        <v>30</v>
      </c>
    </row>
    <row r="6330" spans="1:17" x14ac:dyDescent="0.2">
      <c r="A6330" s="121">
        <v>41333</v>
      </c>
      <c r="B6330" t="s">
        <v>406</v>
      </c>
      <c r="C6330" t="s">
        <v>510</v>
      </c>
      <c r="D6330" t="s">
        <v>533</v>
      </c>
      <c r="E6330" t="s">
        <v>534</v>
      </c>
      <c r="F6330" t="s">
        <v>413</v>
      </c>
      <c r="G6330">
        <v>2320</v>
      </c>
      <c r="H6330">
        <v>2320</v>
      </c>
      <c r="I6330">
        <v>2222</v>
      </c>
      <c r="J6330">
        <v>2222</v>
      </c>
      <c r="K6330">
        <v>551</v>
      </c>
      <c r="L6330">
        <v>3</v>
      </c>
      <c r="M6330">
        <v>1763</v>
      </c>
      <c r="N6330">
        <v>3</v>
      </c>
      <c r="O6330">
        <v>0</v>
      </c>
      <c r="P6330">
        <v>3</v>
      </c>
      <c r="Q6330">
        <v>0</v>
      </c>
    </row>
    <row r="6331" spans="1:17" x14ac:dyDescent="0.2">
      <c r="A6331" s="121">
        <v>41333</v>
      </c>
      <c r="B6331" t="s">
        <v>406</v>
      </c>
      <c r="C6331" t="s">
        <v>510</v>
      </c>
      <c r="D6331" t="s">
        <v>535</v>
      </c>
      <c r="E6331" t="s">
        <v>536</v>
      </c>
      <c r="F6331" t="s">
        <v>410</v>
      </c>
      <c r="G6331">
        <v>382</v>
      </c>
      <c r="I6331">
        <v>382</v>
      </c>
    </row>
    <row r="6332" spans="1:17" x14ac:dyDescent="0.2">
      <c r="A6332" s="121">
        <v>41333</v>
      </c>
      <c r="B6332" t="s">
        <v>406</v>
      </c>
      <c r="C6332" t="s">
        <v>510</v>
      </c>
      <c r="D6332" t="s">
        <v>537</v>
      </c>
      <c r="E6332" t="s">
        <v>538</v>
      </c>
      <c r="F6332" t="s">
        <v>410</v>
      </c>
      <c r="G6332">
        <v>64</v>
      </c>
      <c r="I6332">
        <v>63</v>
      </c>
    </row>
    <row r="6333" spans="1:17" x14ac:dyDescent="0.2">
      <c r="A6333" s="121">
        <v>41333</v>
      </c>
      <c r="B6333" t="s">
        <v>406</v>
      </c>
      <c r="C6333" t="s">
        <v>510</v>
      </c>
      <c r="D6333" t="s">
        <v>539</v>
      </c>
      <c r="E6333" t="s">
        <v>540</v>
      </c>
      <c r="F6333" t="s">
        <v>413</v>
      </c>
      <c r="G6333">
        <v>593</v>
      </c>
      <c r="H6333">
        <v>593</v>
      </c>
      <c r="I6333">
        <v>581</v>
      </c>
      <c r="J6333">
        <v>581</v>
      </c>
      <c r="K6333">
        <v>104</v>
      </c>
      <c r="L6333">
        <v>0</v>
      </c>
      <c r="M6333">
        <v>487</v>
      </c>
      <c r="N6333">
        <v>2</v>
      </c>
      <c r="O6333">
        <v>0</v>
      </c>
      <c r="P6333">
        <v>1</v>
      </c>
      <c r="Q6333">
        <v>0</v>
      </c>
    </row>
    <row r="6334" spans="1:17" x14ac:dyDescent="0.2">
      <c r="A6334" s="121">
        <v>41333</v>
      </c>
      <c r="B6334" t="s">
        <v>406</v>
      </c>
      <c r="C6334" t="s">
        <v>510</v>
      </c>
      <c r="D6334" t="s">
        <v>541</v>
      </c>
      <c r="E6334" t="s">
        <v>542</v>
      </c>
      <c r="F6334" t="s">
        <v>410</v>
      </c>
      <c r="G6334">
        <v>293</v>
      </c>
      <c r="I6334">
        <v>293</v>
      </c>
    </row>
    <row r="6335" spans="1:17" x14ac:dyDescent="0.2">
      <c r="A6335" s="121">
        <v>41333</v>
      </c>
      <c r="B6335" t="s">
        <v>406</v>
      </c>
      <c r="C6335" t="s">
        <v>510</v>
      </c>
      <c r="D6335" t="s">
        <v>543</v>
      </c>
      <c r="E6335" t="s">
        <v>544</v>
      </c>
      <c r="F6335" t="s">
        <v>410</v>
      </c>
      <c r="G6335">
        <v>191</v>
      </c>
      <c r="I6335">
        <v>191</v>
      </c>
    </row>
    <row r="6336" spans="1:17" x14ac:dyDescent="0.2">
      <c r="A6336" s="121">
        <v>41333</v>
      </c>
      <c r="B6336" t="s">
        <v>406</v>
      </c>
      <c r="C6336" t="s">
        <v>510</v>
      </c>
      <c r="D6336" t="s">
        <v>545</v>
      </c>
      <c r="E6336" t="s">
        <v>546</v>
      </c>
      <c r="F6336" t="s">
        <v>410</v>
      </c>
      <c r="G6336">
        <v>135</v>
      </c>
      <c r="I6336">
        <v>135</v>
      </c>
    </row>
    <row r="6337" spans="1:17" x14ac:dyDescent="0.2">
      <c r="A6337" s="121">
        <v>41333</v>
      </c>
      <c r="B6337" t="s">
        <v>406</v>
      </c>
      <c r="C6337" t="s">
        <v>510</v>
      </c>
      <c r="D6337" t="s">
        <v>547</v>
      </c>
      <c r="E6337" t="s">
        <v>548</v>
      </c>
      <c r="F6337" t="s">
        <v>410</v>
      </c>
      <c r="G6337">
        <v>112</v>
      </c>
      <c r="I6337">
        <v>112</v>
      </c>
    </row>
    <row r="6338" spans="1:17" x14ac:dyDescent="0.2">
      <c r="A6338" s="121">
        <v>41333</v>
      </c>
      <c r="B6338" t="s">
        <v>406</v>
      </c>
      <c r="C6338" t="s">
        <v>510</v>
      </c>
      <c r="D6338" t="s">
        <v>616</v>
      </c>
      <c r="E6338" t="s">
        <v>617</v>
      </c>
      <c r="F6338" t="s">
        <v>410</v>
      </c>
      <c r="G6338">
        <v>239</v>
      </c>
      <c r="I6338">
        <v>229</v>
      </c>
    </row>
    <row r="6339" spans="1:17" x14ac:dyDescent="0.2">
      <c r="A6339" s="121">
        <v>41333</v>
      </c>
      <c r="B6339" t="s">
        <v>406</v>
      </c>
      <c r="C6339" t="s">
        <v>510</v>
      </c>
      <c r="D6339" t="s">
        <v>549</v>
      </c>
      <c r="E6339" t="s">
        <v>550</v>
      </c>
      <c r="F6339" t="s">
        <v>410</v>
      </c>
      <c r="G6339">
        <v>186</v>
      </c>
      <c r="I6339">
        <v>186</v>
      </c>
    </row>
    <row r="6340" spans="1:17" x14ac:dyDescent="0.2">
      <c r="A6340" s="121">
        <v>41333</v>
      </c>
      <c r="B6340" t="s">
        <v>406</v>
      </c>
      <c r="C6340" t="s">
        <v>510</v>
      </c>
      <c r="D6340" t="s">
        <v>625</v>
      </c>
      <c r="E6340" t="s">
        <v>626</v>
      </c>
      <c r="F6340" t="s">
        <v>410</v>
      </c>
      <c r="G6340">
        <v>36</v>
      </c>
      <c r="I6340">
        <v>33</v>
      </c>
    </row>
    <row r="6341" spans="1:17" x14ac:dyDescent="0.2">
      <c r="A6341" s="121">
        <v>41333</v>
      </c>
      <c r="B6341" t="s">
        <v>406</v>
      </c>
      <c r="C6341" t="s">
        <v>551</v>
      </c>
      <c r="D6341" t="s">
        <v>552</v>
      </c>
      <c r="E6341" t="s">
        <v>553</v>
      </c>
      <c r="F6341" t="s">
        <v>413</v>
      </c>
      <c r="G6341">
        <v>5186</v>
      </c>
      <c r="H6341">
        <v>5186</v>
      </c>
      <c r="I6341">
        <v>4855</v>
      </c>
      <c r="J6341">
        <v>4855</v>
      </c>
      <c r="K6341">
        <v>1559</v>
      </c>
      <c r="L6341">
        <v>6</v>
      </c>
      <c r="M6341">
        <v>3362</v>
      </c>
      <c r="N6341">
        <v>179</v>
      </c>
      <c r="O6341">
        <v>80</v>
      </c>
      <c r="P6341">
        <v>21</v>
      </c>
      <c r="Q6341">
        <v>1</v>
      </c>
    </row>
    <row r="6342" spans="1:17" x14ac:dyDescent="0.2">
      <c r="A6342" s="121">
        <v>41333</v>
      </c>
      <c r="B6342" t="s">
        <v>406</v>
      </c>
      <c r="C6342" t="s">
        <v>551</v>
      </c>
      <c r="D6342" t="s">
        <v>554</v>
      </c>
      <c r="E6342" t="s">
        <v>555</v>
      </c>
      <c r="F6342" t="s">
        <v>410</v>
      </c>
      <c r="G6342">
        <v>34</v>
      </c>
      <c r="I6342">
        <v>34</v>
      </c>
    </row>
    <row r="6343" spans="1:17" x14ac:dyDescent="0.2">
      <c r="A6343" s="121">
        <v>41333</v>
      </c>
      <c r="B6343" t="s">
        <v>406</v>
      </c>
      <c r="C6343" t="s">
        <v>551</v>
      </c>
      <c r="D6343" t="s">
        <v>556</v>
      </c>
      <c r="E6343" t="s">
        <v>557</v>
      </c>
      <c r="F6343" t="s">
        <v>410</v>
      </c>
      <c r="G6343">
        <v>78</v>
      </c>
      <c r="I6343">
        <v>78</v>
      </c>
    </row>
    <row r="6344" spans="1:17" x14ac:dyDescent="0.2">
      <c r="A6344" s="121">
        <v>41333</v>
      </c>
      <c r="B6344" t="s">
        <v>406</v>
      </c>
      <c r="C6344" t="s">
        <v>551</v>
      </c>
      <c r="D6344" t="s">
        <v>558</v>
      </c>
      <c r="E6344" t="s">
        <v>559</v>
      </c>
      <c r="F6344" t="s">
        <v>413</v>
      </c>
      <c r="G6344">
        <v>4202</v>
      </c>
      <c r="H6344">
        <v>4202</v>
      </c>
      <c r="I6344">
        <v>3784</v>
      </c>
      <c r="J6344">
        <v>3784</v>
      </c>
      <c r="K6344">
        <v>1258</v>
      </c>
      <c r="L6344">
        <v>8</v>
      </c>
      <c r="M6344">
        <v>2779</v>
      </c>
      <c r="N6344">
        <v>125</v>
      </c>
      <c r="O6344">
        <v>32</v>
      </c>
      <c r="P6344">
        <v>50</v>
      </c>
      <c r="Q6344">
        <v>14</v>
      </c>
    </row>
    <row r="6345" spans="1:17" x14ac:dyDescent="0.2">
      <c r="A6345" s="121">
        <v>41333</v>
      </c>
      <c r="B6345" t="s">
        <v>406</v>
      </c>
      <c r="C6345" t="s">
        <v>551</v>
      </c>
      <c r="D6345" t="s">
        <v>560</v>
      </c>
      <c r="E6345" t="s">
        <v>561</v>
      </c>
      <c r="F6345" t="s">
        <v>413</v>
      </c>
      <c r="G6345">
        <v>4812</v>
      </c>
      <c r="H6345">
        <v>4812</v>
      </c>
      <c r="I6345">
        <v>4225</v>
      </c>
      <c r="J6345">
        <v>4225</v>
      </c>
      <c r="K6345">
        <v>1098</v>
      </c>
      <c r="L6345">
        <v>9</v>
      </c>
      <c r="M6345">
        <v>3322</v>
      </c>
      <c r="N6345">
        <v>268</v>
      </c>
      <c r="O6345">
        <v>115</v>
      </c>
      <c r="P6345">
        <v>62</v>
      </c>
      <c r="Q6345">
        <v>8</v>
      </c>
    </row>
    <row r="6346" spans="1:17" x14ac:dyDescent="0.2">
      <c r="A6346" s="121">
        <v>41333</v>
      </c>
      <c r="B6346" t="s">
        <v>406</v>
      </c>
      <c r="C6346" t="s">
        <v>562</v>
      </c>
      <c r="D6346" t="s">
        <v>605</v>
      </c>
      <c r="E6346" t="s">
        <v>606</v>
      </c>
      <c r="F6346" t="s">
        <v>410</v>
      </c>
      <c r="G6346">
        <v>98</v>
      </c>
      <c r="I6346">
        <v>98</v>
      </c>
    </row>
    <row r="6347" spans="1:17" x14ac:dyDescent="0.2">
      <c r="A6347" s="121">
        <v>41333</v>
      </c>
      <c r="B6347" t="s">
        <v>406</v>
      </c>
      <c r="C6347" t="s">
        <v>562</v>
      </c>
      <c r="D6347" t="s">
        <v>563</v>
      </c>
      <c r="E6347" t="s">
        <v>564</v>
      </c>
      <c r="F6347" t="s">
        <v>410</v>
      </c>
      <c r="G6347">
        <v>2975</v>
      </c>
      <c r="H6347">
        <v>2975</v>
      </c>
      <c r="I6347">
        <v>2743</v>
      </c>
      <c r="J6347">
        <v>2743</v>
      </c>
      <c r="K6347">
        <v>982</v>
      </c>
      <c r="L6347">
        <v>1</v>
      </c>
      <c r="M6347">
        <v>1964</v>
      </c>
      <c r="N6347">
        <v>28</v>
      </c>
      <c r="O6347">
        <v>0</v>
      </c>
      <c r="P6347">
        <v>9</v>
      </c>
      <c r="Q6347">
        <v>0</v>
      </c>
    </row>
    <row r="6348" spans="1:17" x14ac:dyDescent="0.2">
      <c r="A6348" s="121">
        <v>41333</v>
      </c>
      <c r="B6348" t="s">
        <v>406</v>
      </c>
      <c r="C6348" t="s">
        <v>562</v>
      </c>
      <c r="D6348" t="s">
        <v>565</v>
      </c>
      <c r="E6348" t="s">
        <v>566</v>
      </c>
      <c r="F6348" t="s">
        <v>413</v>
      </c>
      <c r="G6348">
        <v>3840</v>
      </c>
      <c r="H6348">
        <v>3840</v>
      </c>
      <c r="I6348">
        <v>3646</v>
      </c>
      <c r="J6348">
        <v>3646</v>
      </c>
      <c r="K6348">
        <v>905</v>
      </c>
      <c r="L6348">
        <v>3</v>
      </c>
      <c r="M6348">
        <v>2842</v>
      </c>
      <c r="N6348">
        <v>90</v>
      </c>
      <c r="O6348">
        <v>0</v>
      </c>
      <c r="P6348">
        <v>12</v>
      </c>
      <c r="Q6348">
        <v>1</v>
      </c>
    </row>
    <row r="6349" spans="1:17" x14ac:dyDescent="0.2">
      <c r="A6349" s="121">
        <v>41333</v>
      </c>
      <c r="B6349" t="s">
        <v>406</v>
      </c>
      <c r="C6349" t="s">
        <v>562</v>
      </c>
      <c r="D6349" t="s">
        <v>567</v>
      </c>
      <c r="E6349" t="s">
        <v>568</v>
      </c>
      <c r="F6349" t="s">
        <v>413</v>
      </c>
      <c r="G6349">
        <v>8322</v>
      </c>
      <c r="H6349">
        <v>8322</v>
      </c>
      <c r="I6349">
        <v>7166</v>
      </c>
      <c r="J6349">
        <v>7166</v>
      </c>
      <c r="K6349">
        <v>2487</v>
      </c>
      <c r="L6349">
        <v>16</v>
      </c>
      <c r="M6349">
        <v>5599</v>
      </c>
      <c r="N6349">
        <v>220</v>
      </c>
      <c r="O6349">
        <v>0</v>
      </c>
      <c r="P6349">
        <v>168</v>
      </c>
      <c r="Q6349">
        <v>7</v>
      </c>
    </row>
    <row r="6350" spans="1:17" x14ac:dyDescent="0.2">
      <c r="A6350" s="121">
        <v>41333</v>
      </c>
      <c r="B6350" t="s">
        <v>406</v>
      </c>
      <c r="C6350" t="s">
        <v>562</v>
      </c>
      <c r="D6350" t="s">
        <v>569</v>
      </c>
      <c r="E6350" t="s">
        <v>570</v>
      </c>
      <c r="F6350" t="s">
        <v>413</v>
      </c>
      <c r="G6350">
        <v>3333</v>
      </c>
      <c r="H6350">
        <v>3333</v>
      </c>
      <c r="I6350">
        <v>3269</v>
      </c>
      <c r="J6350">
        <v>3269</v>
      </c>
      <c r="K6350">
        <v>482</v>
      </c>
      <c r="L6350">
        <v>1</v>
      </c>
      <c r="M6350">
        <v>2850</v>
      </c>
      <c r="N6350">
        <v>0</v>
      </c>
      <c r="O6350">
        <v>0</v>
      </c>
      <c r="P6350">
        <v>1</v>
      </c>
      <c r="Q6350">
        <v>0</v>
      </c>
    </row>
    <row r="6351" spans="1:17" x14ac:dyDescent="0.2">
      <c r="A6351" s="121">
        <v>41333</v>
      </c>
      <c r="B6351" t="s">
        <v>406</v>
      </c>
      <c r="C6351" t="s">
        <v>571</v>
      </c>
      <c r="D6351" t="s">
        <v>572</v>
      </c>
      <c r="E6351" t="s">
        <v>573</v>
      </c>
      <c r="F6351" t="s">
        <v>410</v>
      </c>
      <c r="G6351">
        <v>233</v>
      </c>
      <c r="H6351">
        <v>233</v>
      </c>
      <c r="I6351">
        <v>226</v>
      </c>
      <c r="J6351">
        <v>226</v>
      </c>
      <c r="K6351">
        <v>0</v>
      </c>
      <c r="L6351">
        <v>0</v>
      </c>
      <c r="M6351">
        <v>232</v>
      </c>
      <c r="N6351">
        <v>0</v>
      </c>
      <c r="O6351">
        <v>1</v>
      </c>
      <c r="P6351">
        <v>0</v>
      </c>
      <c r="Q6351">
        <v>0</v>
      </c>
    </row>
    <row r="6352" spans="1:17" x14ac:dyDescent="0.2">
      <c r="A6352" s="121">
        <v>41333</v>
      </c>
      <c r="B6352" t="s">
        <v>406</v>
      </c>
      <c r="C6352" t="s">
        <v>574</v>
      </c>
      <c r="D6352" t="s">
        <v>575</v>
      </c>
      <c r="E6352" t="s">
        <v>576</v>
      </c>
      <c r="F6352" t="s">
        <v>413</v>
      </c>
      <c r="G6352">
        <v>548</v>
      </c>
      <c r="H6352">
        <v>548</v>
      </c>
      <c r="I6352">
        <v>546</v>
      </c>
      <c r="J6352">
        <v>546</v>
      </c>
      <c r="K6352">
        <v>150</v>
      </c>
      <c r="L6352">
        <v>0</v>
      </c>
      <c r="M6352">
        <v>388</v>
      </c>
      <c r="N6352">
        <v>2</v>
      </c>
      <c r="O6352">
        <v>8</v>
      </c>
      <c r="P6352">
        <v>0</v>
      </c>
      <c r="Q6352">
        <v>0</v>
      </c>
    </row>
    <row r="6353" spans="1:17" x14ac:dyDescent="0.2">
      <c r="A6353" s="121">
        <v>41333</v>
      </c>
      <c r="B6353" t="s">
        <v>406</v>
      </c>
      <c r="C6353" t="s">
        <v>577</v>
      </c>
      <c r="D6353" t="s">
        <v>578</v>
      </c>
      <c r="E6353" t="s">
        <v>579</v>
      </c>
      <c r="F6353" t="s">
        <v>413</v>
      </c>
      <c r="G6353">
        <v>3492</v>
      </c>
      <c r="H6353">
        <v>3492</v>
      </c>
      <c r="I6353">
        <v>3414</v>
      </c>
      <c r="J6353">
        <v>3414</v>
      </c>
      <c r="K6353">
        <v>821</v>
      </c>
      <c r="L6353">
        <v>14</v>
      </c>
      <c r="M6353">
        <v>2446</v>
      </c>
      <c r="N6353">
        <v>202</v>
      </c>
      <c r="O6353">
        <v>9</v>
      </c>
      <c r="P6353">
        <v>1</v>
      </c>
      <c r="Q6353">
        <v>0</v>
      </c>
    </row>
    <row r="6354" spans="1:17" x14ac:dyDescent="0.2">
      <c r="A6354" s="121">
        <v>41333</v>
      </c>
      <c r="B6354" t="s">
        <v>406</v>
      </c>
      <c r="C6354" t="s">
        <v>577</v>
      </c>
      <c r="D6354" t="s">
        <v>580</v>
      </c>
      <c r="E6354" t="s">
        <v>581</v>
      </c>
      <c r="F6354" t="s">
        <v>413</v>
      </c>
      <c r="G6354">
        <v>1748</v>
      </c>
      <c r="H6354">
        <v>1748</v>
      </c>
      <c r="I6354">
        <v>1707</v>
      </c>
      <c r="J6354">
        <v>1707</v>
      </c>
      <c r="K6354">
        <v>274</v>
      </c>
      <c r="L6354">
        <v>0</v>
      </c>
      <c r="M6354">
        <v>1133</v>
      </c>
      <c r="N6354">
        <v>314</v>
      </c>
      <c r="O6354">
        <v>27</v>
      </c>
      <c r="P6354">
        <v>0</v>
      </c>
      <c r="Q6354">
        <v>0</v>
      </c>
    </row>
    <row r="6355" spans="1:17" x14ac:dyDescent="0.2">
      <c r="A6355" s="121">
        <v>41333</v>
      </c>
      <c r="B6355" t="s">
        <v>406</v>
      </c>
      <c r="C6355" t="s">
        <v>577</v>
      </c>
      <c r="D6355" t="s">
        <v>609</v>
      </c>
      <c r="E6355" t="s">
        <v>610</v>
      </c>
      <c r="F6355" t="s">
        <v>410</v>
      </c>
      <c r="G6355">
        <v>27</v>
      </c>
      <c r="H6355">
        <v>27</v>
      </c>
      <c r="I6355">
        <v>27</v>
      </c>
      <c r="J6355">
        <v>27</v>
      </c>
      <c r="K6355">
        <v>0</v>
      </c>
      <c r="L6355">
        <v>0</v>
      </c>
      <c r="M6355">
        <v>20</v>
      </c>
      <c r="N6355">
        <v>4</v>
      </c>
      <c r="O6355">
        <v>3</v>
      </c>
      <c r="P6355">
        <v>0</v>
      </c>
      <c r="Q6355">
        <v>0</v>
      </c>
    </row>
    <row r="6356" spans="1:17" x14ac:dyDescent="0.2">
      <c r="A6356" s="121">
        <v>41333</v>
      </c>
      <c r="B6356" t="s">
        <v>406</v>
      </c>
      <c r="C6356" t="s">
        <v>577</v>
      </c>
      <c r="D6356" t="s">
        <v>611</v>
      </c>
      <c r="E6356" t="s">
        <v>612</v>
      </c>
      <c r="F6356" t="s">
        <v>410</v>
      </c>
      <c r="G6356">
        <v>1</v>
      </c>
      <c r="H6356">
        <v>1</v>
      </c>
      <c r="I6356">
        <v>1</v>
      </c>
      <c r="J6356">
        <v>1</v>
      </c>
      <c r="K6356">
        <v>0</v>
      </c>
      <c r="L6356">
        <v>0</v>
      </c>
      <c r="M6356">
        <v>0</v>
      </c>
      <c r="N6356">
        <v>0</v>
      </c>
      <c r="O6356">
        <v>1</v>
      </c>
      <c r="P6356">
        <v>0</v>
      </c>
      <c r="Q6356">
        <v>0</v>
      </c>
    </row>
    <row r="6357" spans="1:17" x14ac:dyDescent="0.2">
      <c r="A6357" s="121">
        <v>41333</v>
      </c>
      <c r="B6357" t="s">
        <v>406</v>
      </c>
      <c r="C6357" t="s">
        <v>577</v>
      </c>
      <c r="D6357" t="s">
        <v>584</v>
      </c>
      <c r="E6357" t="s">
        <v>585</v>
      </c>
      <c r="F6357" t="s">
        <v>410</v>
      </c>
      <c r="G6357">
        <v>229</v>
      </c>
      <c r="H6357">
        <v>229</v>
      </c>
      <c r="I6357">
        <v>229</v>
      </c>
      <c r="J6357">
        <v>229</v>
      </c>
      <c r="K6357">
        <v>0</v>
      </c>
      <c r="L6357">
        <v>0</v>
      </c>
      <c r="M6357">
        <v>211</v>
      </c>
      <c r="N6357">
        <v>17</v>
      </c>
      <c r="O6357">
        <v>1</v>
      </c>
      <c r="P6357">
        <v>0</v>
      </c>
      <c r="Q6357">
        <v>0</v>
      </c>
    </row>
    <row r="6358" spans="1:17" x14ac:dyDescent="0.2">
      <c r="A6358" s="121">
        <v>41333</v>
      </c>
      <c r="B6358" t="s">
        <v>406</v>
      </c>
      <c r="C6358" t="s">
        <v>577</v>
      </c>
      <c r="D6358" t="s">
        <v>586</v>
      </c>
      <c r="E6358" t="s">
        <v>587</v>
      </c>
      <c r="F6358" t="s">
        <v>410</v>
      </c>
      <c r="G6358">
        <v>946</v>
      </c>
      <c r="H6358">
        <v>946</v>
      </c>
      <c r="I6358">
        <v>945</v>
      </c>
      <c r="J6358">
        <v>945</v>
      </c>
      <c r="K6358">
        <v>0</v>
      </c>
      <c r="L6358">
        <v>1</v>
      </c>
      <c r="M6358">
        <v>866</v>
      </c>
      <c r="N6358">
        <v>77</v>
      </c>
      <c r="O6358">
        <v>2</v>
      </c>
      <c r="P6358">
        <v>0</v>
      </c>
      <c r="Q6358">
        <v>0</v>
      </c>
    </row>
    <row r="6359" spans="1:17" x14ac:dyDescent="0.2">
      <c r="A6359" s="121">
        <v>41333</v>
      </c>
      <c r="B6359" t="s">
        <v>406</v>
      </c>
      <c r="C6359" t="s">
        <v>577</v>
      </c>
      <c r="D6359" t="s">
        <v>588</v>
      </c>
      <c r="E6359" t="s">
        <v>589</v>
      </c>
      <c r="F6359" t="s">
        <v>410</v>
      </c>
      <c r="G6359">
        <v>246</v>
      </c>
      <c r="H6359">
        <v>246</v>
      </c>
      <c r="I6359">
        <v>246</v>
      </c>
      <c r="J6359">
        <v>246</v>
      </c>
      <c r="K6359">
        <v>0</v>
      </c>
      <c r="L6359">
        <v>0</v>
      </c>
      <c r="M6359">
        <v>229</v>
      </c>
      <c r="N6359">
        <v>16</v>
      </c>
      <c r="O6359">
        <v>1</v>
      </c>
      <c r="P6359">
        <v>0</v>
      </c>
      <c r="Q6359">
        <v>0</v>
      </c>
    </row>
    <row r="6360" spans="1:17" x14ac:dyDescent="0.2">
      <c r="A6360" s="121">
        <v>41333</v>
      </c>
      <c r="B6360" t="s">
        <v>406</v>
      </c>
      <c r="C6360" t="s">
        <v>577</v>
      </c>
      <c r="D6360" t="s">
        <v>613</v>
      </c>
      <c r="E6360" t="s">
        <v>614</v>
      </c>
      <c r="F6360" t="s">
        <v>410</v>
      </c>
      <c r="G6360">
        <v>150</v>
      </c>
      <c r="H6360">
        <v>150</v>
      </c>
      <c r="I6360">
        <v>150</v>
      </c>
      <c r="J6360">
        <v>150</v>
      </c>
      <c r="K6360">
        <v>0</v>
      </c>
      <c r="L6360">
        <v>0</v>
      </c>
      <c r="M6360">
        <v>133</v>
      </c>
      <c r="N6360">
        <v>15</v>
      </c>
      <c r="O6360">
        <v>2</v>
      </c>
      <c r="P6360">
        <v>0</v>
      </c>
      <c r="Q6360">
        <v>0</v>
      </c>
    </row>
    <row r="6361" spans="1:17" x14ac:dyDescent="0.2">
      <c r="A6361" s="121">
        <v>41333</v>
      </c>
      <c r="B6361" t="s">
        <v>406</v>
      </c>
      <c r="C6361" t="s">
        <v>577</v>
      </c>
      <c r="D6361" t="s">
        <v>590</v>
      </c>
      <c r="E6361" t="s">
        <v>591</v>
      </c>
      <c r="F6361" t="s">
        <v>410</v>
      </c>
      <c r="G6361">
        <v>527</v>
      </c>
      <c r="H6361">
        <v>527</v>
      </c>
      <c r="I6361">
        <v>526</v>
      </c>
      <c r="J6361">
        <v>526</v>
      </c>
      <c r="K6361">
        <v>0</v>
      </c>
      <c r="L6361">
        <v>2</v>
      </c>
      <c r="M6361">
        <v>495</v>
      </c>
      <c r="N6361">
        <v>30</v>
      </c>
      <c r="O6361">
        <v>0</v>
      </c>
      <c r="P6361">
        <v>0</v>
      </c>
      <c r="Q6361">
        <v>0</v>
      </c>
    </row>
    <row r="6362" spans="1:17" x14ac:dyDescent="0.2">
      <c r="A6362" s="121">
        <v>41333</v>
      </c>
      <c r="B6362" t="s">
        <v>406</v>
      </c>
      <c r="C6362" t="s">
        <v>577</v>
      </c>
      <c r="D6362" t="s">
        <v>607</v>
      </c>
      <c r="E6362" t="s">
        <v>608</v>
      </c>
      <c r="F6362" t="s">
        <v>410</v>
      </c>
      <c r="G6362">
        <v>120</v>
      </c>
      <c r="H6362">
        <v>120</v>
      </c>
      <c r="I6362">
        <v>120</v>
      </c>
      <c r="J6362">
        <v>120</v>
      </c>
      <c r="K6362">
        <v>0</v>
      </c>
      <c r="L6362">
        <v>0</v>
      </c>
      <c r="M6362">
        <v>113</v>
      </c>
      <c r="N6362">
        <v>7</v>
      </c>
      <c r="O6362">
        <v>0</v>
      </c>
      <c r="P6362">
        <v>0</v>
      </c>
      <c r="Q6362">
        <v>0</v>
      </c>
    </row>
    <row r="6363" spans="1:17" x14ac:dyDescent="0.2">
      <c r="A6363" s="121">
        <v>41333</v>
      </c>
      <c r="B6363" t="s">
        <v>406</v>
      </c>
      <c r="C6363" t="s">
        <v>577</v>
      </c>
      <c r="D6363" t="s">
        <v>592</v>
      </c>
      <c r="E6363" t="s">
        <v>593</v>
      </c>
      <c r="F6363" t="s">
        <v>410</v>
      </c>
      <c r="G6363">
        <v>445</v>
      </c>
      <c r="H6363">
        <v>445</v>
      </c>
      <c r="I6363">
        <v>445</v>
      </c>
      <c r="J6363">
        <v>445</v>
      </c>
      <c r="K6363">
        <v>0</v>
      </c>
      <c r="L6363">
        <v>0</v>
      </c>
      <c r="M6363">
        <v>419</v>
      </c>
      <c r="N6363">
        <v>23</v>
      </c>
      <c r="O6363">
        <v>3</v>
      </c>
      <c r="P6363">
        <v>0</v>
      </c>
      <c r="Q6363">
        <v>0</v>
      </c>
    </row>
    <row r="6364" spans="1:17" x14ac:dyDescent="0.2">
      <c r="A6364" s="121">
        <v>41333</v>
      </c>
      <c r="B6364" t="s">
        <v>406</v>
      </c>
      <c r="C6364" t="s">
        <v>594</v>
      </c>
      <c r="D6364" t="s">
        <v>595</v>
      </c>
      <c r="E6364" t="s">
        <v>596</v>
      </c>
      <c r="F6364" t="s">
        <v>410</v>
      </c>
      <c r="G6364">
        <v>47</v>
      </c>
      <c r="I6364">
        <v>47</v>
      </c>
    </row>
    <row r="6365" spans="1:17" x14ac:dyDescent="0.2">
      <c r="A6365" s="121">
        <v>41333</v>
      </c>
      <c r="B6365" t="s">
        <v>406</v>
      </c>
      <c r="C6365" t="s">
        <v>594</v>
      </c>
      <c r="D6365" t="s">
        <v>597</v>
      </c>
      <c r="E6365" t="s">
        <v>598</v>
      </c>
      <c r="F6365" t="s">
        <v>413</v>
      </c>
      <c r="G6365">
        <v>467</v>
      </c>
      <c r="H6365">
        <v>467</v>
      </c>
      <c r="I6365">
        <v>459</v>
      </c>
      <c r="J6365">
        <v>459</v>
      </c>
      <c r="K6365">
        <v>112</v>
      </c>
      <c r="L6365">
        <v>0</v>
      </c>
      <c r="M6365">
        <v>342</v>
      </c>
      <c r="N6365">
        <v>13</v>
      </c>
      <c r="O6365">
        <v>0</v>
      </c>
      <c r="P6365">
        <v>0</v>
      </c>
      <c r="Q6365">
        <v>0</v>
      </c>
    </row>
    <row r="6366" spans="1:17" x14ac:dyDescent="0.2">
      <c r="A6366" s="121">
        <v>41333</v>
      </c>
      <c r="B6366" t="s">
        <v>406</v>
      </c>
      <c r="C6366" t="s">
        <v>594</v>
      </c>
      <c r="D6366" t="s">
        <v>599</v>
      </c>
      <c r="E6366" t="s">
        <v>600</v>
      </c>
      <c r="F6366" t="s">
        <v>410</v>
      </c>
      <c r="G6366">
        <v>84</v>
      </c>
      <c r="I6366">
        <v>84</v>
      </c>
    </row>
    <row r="6367" spans="1:17" x14ac:dyDescent="0.2">
      <c r="A6367" s="121">
        <v>41364</v>
      </c>
      <c r="B6367" t="s">
        <v>406</v>
      </c>
      <c r="C6367" t="s">
        <v>407</v>
      </c>
      <c r="D6367" t="s">
        <v>408</v>
      </c>
      <c r="E6367" t="s">
        <v>409</v>
      </c>
      <c r="F6367" t="s">
        <v>410</v>
      </c>
      <c r="G6367">
        <v>202</v>
      </c>
      <c r="I6367">
        <v>202</v>
      </c>
    </row>
    <row r="6368" spans="1:17" x14ac:dyDescent="0.2">
      <c r="A6368" s="121">
        <v>41364</v>
      </c>
      <c r="B6368" t="s">
        <v>406</v>
      </c>
      <c r="C6368" t="s">
        <v>407</v>
      </c>
      <c r="D6368" t="s">
        <v>601</v>
      </c>
      <c r="E6368" t="s">
        <v>602</v>
      </c>
      <c r="F6368" t="s">
        <v>410</v>
      </c>
      <c r="G6368">
        <v>50</v>
      </c>
      <c r="I6368">
        <v>50</v>
      </c>
    </row>
    <row r="6369" spans="1:17" x14ac:dyDescent="0.2">
      <c r="A6369" s="121">
        <v>41364</v>
      </c>
      <c r="B6369" t="s">
        <v>406</v>
      </c>
      <c r="C6369" t="s">
        <v>407</v>
      </c>
      <c r="D6369" t="s">
        <v>411</v>
      </c>
      <c r="E6369" t="s">
        <v>412</v>
      </c>
      <c r="F6369" t="s">
        <v>413</v>
      </c>
      <c r="G6369">
        <v>6064</v>
      </c>
      <c r="H6369">
        <v>6064</v>
      </c>
      <c r="I6369">
        <v>5634</v>
      </c>
      <c r="J6369">
        <v>5634</v>
      </c>
      <c r="K6369">
        <v>2477</v>
      </c>
      <c r="L6369">
        <v>19</v>
      </c>
      <c r="M6369">
        <v>3228</v>
      </c>
      <c r="N6369">
        <v>101</v>
      </c>
      <c r="O6369">
        <v>239</v>
      </c>
      <c r="P6369">
        <v>15</v>
      </c>
      <c r="Q6369">
        <v>0</v>
      </c>
    </row>
    <row r="6370" spans="1:17" x14ac:dyDescent="0.2">
      <c r="A6370" s="121">
        <v>41364</v>
      </c>
      <c r="B6370" t="s">
        <v>406</v>
      </c>
      <c r="C6370" t="s">
        <v>407</v>
      </c>
      <c r="D6370" t="s">
        <v>416</v>
      </c>
      <c r="E6370" t="s">
        <v>417</v>
      </c>
      <c r="F6370" t="s">
        <v>413</v>
      </c>
      <c r="G6370">
        <v>3685</v>
      </c>
      <c r="H6370">
        <v>3685</v>
      </c>
      <c r="I6370">
        <v>3062</v>
      </c>
      <c r="J6370">
        <v>3062</v>
      </c>
      <c r="K6370">
        <v>1343</v>
      </c>
      <c r="L6370">
        <v>4</v>
      </c>
      <c r="M6370">
        <v>2157</v>
      </c>
      <c r="N6370">
        <v>123</v>
      </c>
      <c r="O6370">
        <v>58</v>
      </c>
      <c r="P6370">
        <v>49</v>
      </c>
      <c r="Q6370">
        <v>3</v>
      </c>
    </row>
    <row r="6371" spans="1:17" x14ac:dyDescent="0.2">
      <c r="A6371" s="121">
        <v>41364</v>
      </c>
      <c r="B6371" t="s">
        <v>406</v>
      </c>
      <c r="C6371" t="s">
        <v>407</v>
      </c>
      <c r="D6371" t="s">
        <v>618</v>
      </c>
      <c r="E6371" t="s">
        <v>619</v>
      </c>
      <c r="F6371" t="s">
        <v>410</v>
      </c>
      <c r="G6371">
        <v>87</v>
      </c>
      <c r="I6371">
        <v>87</v>
      </c>
    </row>
    <row r="6372" spans="1:17" x14ac:dyDescent="0.2">
      <c r="A6372" s="121">
        <v>41364</v>
      </c>
      <c r="B6372" t="s">
        <v>406</v>
      </c>
      <c r="C6372" t="s">
        <v>418</v>
      </c>
      <c r="D6372" t="s">
        <v>419</v>
      </c>
      <c r="E6372" t="s">
        <v>420</v>
      </c>
      <c r="F6372" t="s">
        <v>410</v>
      </c>
      <c r="G6372">
        <v>10</v>
      </c>
      <c r="I6372">
        <v>10</v>
      </c>
    </row>
    <row r="6373" spans="1:17" x14ac:dyDescent="0.2">
      <c r="A6373" s="121">
        <v>41364</v>
      </c>
      <c r="B6373" t="s">
        <v>406</v>
      </c>
      <c r="C6373" t="s">
        <v>418</v>
      </c>
      <c r="D6373" t="s">
        <v>421</v>
      </c>
      <c r="E6373" t="s">
        <v>422</v>
      </c>
      <c r="F6373" t="s">
        <v>410</v>
      </c>
      <c r="G6373">
        <v>110</v>
      </c>
      <c r="I6373">
        <v>110</v>
      </c>
    </row>
    <row r="6374" spans="1:17" x14ac:dyDescent="0.2">
      <c r="A6374" s="121">
        <v>41364</v>
      </c>
      <c r="B6374" t="s">
        <v>406</v>
      </c>
      <c r="C6374" t="s">
        <v>418</v>
      </c>
      <c r="D6374" t="s">
        <v>423</v>
      </c>
      <c r="E6374" t="s">
        <v>424</v>
      </c>
      <c r="F6374" t="s">
        <v>410</v>
      </c>
      <c r="G6374">
        <v>25</v>
      </c>
      <c r="I6374">
        <v>25</v>
      </c>
    </row>
    <row r="6375" spans="1:17" x14ac:dyDescent="0.2">
      <c r="A6375" s="121">
        <v>41364</v>
      </c>
      <c r="B6375" t="s">
        <v>406</v>
      </c>
      <c r="C6375" t="s">
        <v>418</v>
      </c>
      <c r="D6375" t="s">
        <v>425</v>
      </c>
      <c r="E6375" t="s">
        <v>426</v>
      </c>
      <c r="F6375" t="s">
        <v>410</v>
      </c>
      <c r="G6375">
        <v>65</v>
      </c>
      <c r="I6375">
        <v>65</v>
      </c>
    </row>
    <row r="6376" spans="1:17" x14ac:dyDescent="0.2">
      <c r="A6376" s="121">
        <v>41364</v>
      </c>
      <c r="B6376" t="s">
        <v>406</v>
      </c>
      <c r="C6376" t="s">
        <v>418</v>
      </c>
      <c r="D6376" t="s">
        <v>427</v>
      </c>
      <c r="E6376" t="s">
        <v>428</v>
      </c>
      <c r="F6376" t="s">
        <v>413</v>
      </c>
      <c r="G6376">
        <v>2006</v>
      </c>
      <c r="H6376">
        <v>2006</v>
      </c>
      <c r="I6376">
        <v>1939</v>
      </c>
      <c r="J6376">
        <v>1939</v>
      </c>
      <c r="K6376">
        <v>733</v>
      </c>
      <c r="L6376">
        <v>3</v>
      </c>
      <c r="M6376">
        <v>989</v>
      </c>
      <c r="N6376">
        <v>253</v>
      </c>
      <c r="O6376">
        <v>28</v>
      </c>
      <c r="P6376">
        <v>4</v>
      </c>
      <c r="Q6376">
        <v>0</v>
      </c>
    </row>
    <row r="6377" spans="1:17" x14ac:dyDescent="0.2">
      <c r="A6377" s="121">
        <v>41364</v>
      </c>
      <c r="B6377" t="s">
        <v>406</v>
      </c>
      <c r="C6377" t="s">
        <v>429</v>
      </c>
      <c r="D6377" t="s">
        <v>430</v>
      </c>
      <c r="E6377" t="s">
        <v>431</v>
      </c>
      <c r="F6377" t="s">
        <v>410</v>
      </c>
      <c r="G6377">
        <v>23</v>
      </c>
      <c r="I6377">
        <v>23</v>
      </c>
    </row>
    <row r="6378" spans="1:17" x14ac:dyDescent="0.2">
      <c r="A6378" s="121">
        <v>41364</v>
      </c>
      <c r="B6378" t="s">
        <v>406</v>
      </c>
      <c r="C6378" t="s">
        <v>429</v>
      </c>
      <c r="D6378" t="s">
        <v>432</v>
      </c>
      <c r="E6378" t="s">
        <v>433</v>
      </c>
      <c r="F6378" t="s">
        <v>410</v>
      </c>
      <c r="G6378">
        <v>32</v>
      </c>
      <c r="I6378">
        <v>32</v>
      </c>
    </row>
    <row r="6379" spans="1:17" x14ac:dyDescent="0.2">
      <c r="A6379" s="121">
        <v>41364</v>
      </c>
      <c r="B6379" t="s">
        <v>406</v>
      </c>
      <c r="C6379" t="s">
        <v>429</v>
      </c>
      <c r="D6379" t="s">
        <v>434</v>
      </c>
      <c r="E6379" t="s">
        <v>435</v>
      </c>
      <c r="F6379" t="s">
        <v>410</v>
      </c>
      <c r="G6379">
        <v>3</v>
      </c>
      <c r="I6379">
        <v>3</v>
      </c>
    </row>
    <row r="6380" spans="1:17" x14ac:dyDescent="0.2">
      <c r="A6380" s="121">
        <v>41364</v>
      </c>
      <c r="B6380" t="s">
        <v>406</v>
      </c>
      <c r="C6380" t="s">
        <v>429</v>
      </c>
      <c r="D6380" t="s">
        <v>436</v>
      </c>
      <c r="E6380" t="s">
        <v>437</v>
      </c>
      <c r="F6380" t="s">
        <v>410</v>
      </c>
      <c r="G6380">
        <v>19</v>
      </c>
      <c r="H6380">
        <v>19</v>
      </c>
      <c r="I6380">
        <v>19</v>
      </c>
      <c r="J6380">
        <v>19</v>
      </c>
      <c r="K6380">
        <v>1</v>
      </c>
      <c r="L6380">
        <v>0</v>
      </c>
      <c r="M6380">
        <v>14</v>
      </c>
      <c r="N6380">
        <v>4</v>
      </c>
      <c r="O6380">
        <v>0</v>
      </c>
      <c r="P6380">
        <v>0</v>
      </c>
      <c r="Q6380">
        <v>0</v>
      </c>
    </row>
    <row r="6381" spans="1:17" x14ac:dyDescent="0.2">
      <c r="A6381" s="121">
        <v>41364</v>
      </c>
      <c r="B6381" t="s">
        <v>406</v>
      </c>
      <c r="C6381" t="s">
        <v>429</v>
      </c>
      <c r="D6381" t="s">
        <v>438</v>
      </c>
      <c r="E6381" t="s">
        <v>439</v>
      </c>
      <c r="F6381" t="s">
        <v>413</v>
      </c>
      <c r="G6381">
        <v>931</v>
      </c>
      <c r="H6381">
        <v>931</v>
      </c>
      <c r="I6381">
        <v>901</v>
      </c>
      <c r="J6381">
        <v>901</v>
      </c>
      <c r="K6381">
        <v>115</v>
      </c>
      <c r="L6381">
        <v>0</v>
      </c>
      <c r="M6381">
        <v>783</v>
      </c>
      <c r="N6381">
        <v>33</v>
      </c>
      <c r="O6381">
        <v>0</v>
      </c>
      <c r="P6381">
        <v>1</v>
      </c>
      <c r="Q6381">
        <v>0</v>
      </c>
    </row>
    <row r="6382" spans="1:17" x14ac:dyDescent="0.2">
      <c r="A6382" s="121">
        <v>41364</v>
      </c>
      <c r="B6382" t="s">
        <v>406</v>
      </c>
      <c r="C6382" t="s">
        <v>429</v>
      </c>
      <c r="D6382" t="s">
        <v>440</v>
      </c>
      <c r="E6382" t="s">
        <v>441</v>
      </c>
      <c r="F6382" t="s">
        <v>413</v>
      </c>
      <c r="G6382">
        <v>2889</v>
      </c>
      <c r="H6382">
        <v>2889</v>
      </c>
      <c r="I6382">
        <v>2687</v>
      </c>
      <c r="J6382">
        <v>2687</v>
      </c>
      <c r="K6382">
        <v>1058</v>
      </c>
      <c r="L6382">
        <v>3</v>
      </c>
      <c r="M6382">
        <v>1749</v>
      </c>
      <c r="N6382">
        <v>79</v>
      </c>
      <c r="O6382">
        <v>0</v>
      </c>
      <c r="P6382">
        <v>4</v>
      </c>
      <c r="Q6382">
        <v>0</v>
      </c>
    </row>
    <row r="6383" spans="1:17" x14ac:dyDescent="0.2">
      <c r="A6383" s="121">
        <v>41364</v>
      </c>
      <c r="B6383" t="s">
        <v>406</v>
      </c>
      <c r="C6383" t="s">
        <v>442</v>
      </c>
      <c r="D6383" t="s">
        <v>443</v>
      </c>
      <c r="E6383" t="s">
        <v>444</v>
      </c>
      <c r="F6383" t="s">
        <v>413</v>
      </c>
      <c r="G6383">
        <v>5188</v>
      </c>
      <c r="H6383">
        <v>5188</v>
      </c>
      <c r="I6383">
        <v>4970</v>
      </c>
      <c r="J6383">
        <v>4970</v>
      </c>
      <c r="K6383">
        <v>1374</v>
      </c>
      <c r="L6383">
        <v>9</v>
      </c>
      <c r="M6383">
        <v>3540</v>
      </c>
      <c r="N6383">
        <v>101</v>
      </c>
      <c r="O6383">
        <v>164</v>
      </c>
      <c r="P6383">
        <v>22</v>
      </c>
      <c r="Q6383">
        <v>4</v>
      </c>
    </row>
    <row r="6384" spans="1:17" x14ac:dyDescent="0.2">
      <c r="A6384" s="121">
        <v>41364</v>
      </c>
      <c r="B6384" t="s">
        <v>406</v>
      </c>
      <c r="C6384" t="s">
        <v>442</v>
      </c>
      <c r="D6384" t="s">
        <v>445</v>
      </c>
      <c r="E6384" t="s">
        <v>446</v>
      </c>
      <c r="F6384" t="s">
        <v>410</v>
      </c>
      <c r="G6384">
        <v>114</v>
      </c>
      <c r="I6384">
        <v>114</v>
      </c>
    </row>
    <row r="6385" spans="1:17" x14ac:dyDescent="0.2">
      <c r="A6385" s="121">
        <v>41364</v>
      </c>
      <c r="B6385" t="s">
        <v>406</v>
      </c>
      <c r="C6385" t="s">
        <v>442</v>
      </c>
      <c r="D6385" t="s">
        <v>447</v>
      </c>
      <c r="E6385" t="s">
        <v>448</v>
      </c>
      <c r="F6385" t="s">
        <v>410</v>
      </c>
      <c r="G6385">
        <v>313</v>
      </c>
      <c r="I6385">
        <v>313</v>
      </c>
    </row>
    <row r="6386" spans="1:17" x14ac:dyDescent="0.2">
      <c r="A6386" s="121">
        <v>41364</v>
      </c>
      <c r="B6386" t="s">
        <v>406</v>
      </c>
      <c r="C6386" t="s">
        <v>442</v>
      </c>
      <c r="D6386" t="s">
        <v>449</v>
      </c>
      <c r="E6386" t="s">
        <v>624</v>
      </c>
      <c r="F6386" t="s">
        <v>410</v>
      </c>
      <c r="G6386">
        <v>1468</v>
      </c>
      <c r="H6386">
        <v>1468</v>
      </c>
      <c r="I6386">
        <v>1468</v>
      </c>
      <c r="J6386">
        <v>1468</v>
      </c>
      <c r="K6386">
        <v>4</v>
      </c>
      <c r="L6386">
        <v>0</v>
      </c>
      <c r="M6386">
        <v>1253</v>
      </c>
      <c r="N6386">
        <v>207</v>
      </c>
      <c r="O6386">
        <v>4</v>
      </c>
      <c r="P6386">
        <v>0</v>
      </c>
      <c r="Q6386">
        <v>0</v>
      </c>
    </row>
    <row r="6387" spans="1:17" x14ac:dyDescent="0.2">
      <c r="A6387" s="121">
        <v>41364</v>
      </c>
      <c r="B6387" t="s">
        <v>406</v>
      </c>
      <c r="C6387" t="s">
        <v>451</v>
      </c>
      <c r="D6387" t="s">
        <v>454</v>
      </c>
      <c r="E6387" t="s">
        <v>621</v>
      </c>
      <c r="F6387" t="s">
        <v>410</v>
      </c>
      <c r="G6387">
        <v>1078</v>
      </c>
      <c r="H6387">
        <v>1078</v>
      </c>
      <c r="I6387">
        <v>1078</v>
      </c>
      <c r="J6387">
        <v>1078</v>
      </c>
      <c r="K6387">
        <v>6</v>
      </c>
      <c r="L6387">
        <v>0</v>
      </c>
      <c r="M6387">
        <v>940</v>
      </c>
      <c r="N6387">
        <v>53</v>
      </c>
      <c r="O6387">
        <v>79</v>
      </c>
      <c r="P6387">
        <v>0</v>
      </c>
      <c r="Q6387">
        <v>0</v>
      </c>
    </row>
    <row r="6388" spans="1:17" x14ac:dyDescent="0.2">
      <c r="A6388" s="121">
        <v>41364</v>
      </c>
      <c r="B6388" t="s">
        <v>406</v>
      </c>
      <c r="C6388" t="s">
        <v>451</v>
      </c>
      <c r="D6388" t="s">
        <v>622</v>
      </c>
      <c r="E6388" t="s">
        <v>623</v>
      </c>
      <c r="F6388" t="s">
        <v>413</v>
      </c>
      <c r="G6388">
        <v>4569</v>
      </c>
      <c r="H6388">
        <v>4569</v>
      </c>
      <c r="I6388">
        <v>3869</v>
      </c>
      <c r="J6388">
        <v>3869</v>
      </c>
      <c r="K6388">
        <v>1170</v>
      </c>
      <c r="L6388">
        <v>13</v>
      </c>
      <c r="M6388">
        <v>3172</v>
      </c>
      <c r="N6388">
        <v>43</v>
      </c>
      <c r="O6388">
        <v>171</v>
      </c>
      <c r="P6388">
        <v>117</v>
      </c>
      <c r="Q6388">
        <v>31</v>
      </c>
    </row>
    <row r="6389" spans="1:17" x14ac:dyDescent="0.2">
      <c r="A6389" s="121">
        <v>41364</v>
      </c>
      <c r="B6389" t="s">
        <v>406</v>
      </c>
      <c r="C6389" t="s">
        <v>456</v>
      </c>
      <c r="D6389" t="s">
        <v>457</v>
      </c>
      <c r="E6389" t="s">
        <v>458</v>
      </c>
      <c r="F6389" t="s">
        <v>413</v>
      </c>
      <c r="G6389">
        <v>5159</v>
      </c>
      <c r="H6389">
        <v>5159</v>
      </c>
      <c r="I6389">
        <v>4786</v>
      </c>
      <c r="J6389">
        <v>4786</v>
      </c>
      <c r="K6389">
        <v>1431</v>
      </c>
      <c r="L6389">
        <v>15</v>
      </c>
      <c r="M6389">
        <v>3258</v>
      </c>
      <c r="N6389">
        <v>42</v>
      </c>
      <c r="O6389">
        <v>413</v>
      </c>
      <c r="P6389">
        <v>15</v>
      </c>
      <c r="Q6389">
        <v>1</v>
      </c>
    </row>
    <row r="6390" spans="1:17" x14ac:dyDescent="0.2">
      <c r="A6390" s="121">
        <v>41364</v>
      </c>
      <c r="B6390" t="s">
        <v>406</v>
      </c>
      <c r="C6390" t="s">
        <v>456</v>
      </c>
      <c r="D6390" t="s">
        <v>459</v>
      </c>
      <c r="E6390" t="s">
        <v>460</v>
      </c>
      <c r="F6390" t="s">
        <v>413</v>
      </c>
      <c r="G6390">
        <v>1689</v>
      </c>
      <c r="H6390">
        <v>1689</v>
      </c>
      <c r="I6390">
        <v>1666</v>
      </c>
      <c r="J6390">
        <v>1666</v>
      </c>
      <c r="K6390">
        <v>452</v>
      </c>
      <c r="L6390">
        <v>2</v>
      </c>
      <c r="M6390">
        <v>1234</v>
      </c>
      <c r="N6390">
        <v>1</v>
      </c>
      <c r="O6390">
        <v>0</v>
      </c>
      <c r="P6390">
        <v>2</v>
      </c>
      <c r="Q6390">
        <v>0</v>
      </c>
    </row>
    <row r="6391" spans="1:17" x14ac:dyDescent="0.2">
      <c r="A6391" s="121">
        <v>41364</v>
      </c>
      <c r="B6391" t="s">
        <v>406</v>
      </c>
      <c r="C6391" t="s">
        <v>456</v>
      </c>
      <c r="D6391" t="s">
        <v>461</v>
      </c>
      <c r="E6391" t="s">
        <v>462</v>
      </c>
      <c r="F6391" t="s">
        <v>410</v>
      </c>
      <c r="G6391">
        <v>59</v>
      </c>
      <c r="I6391">
        <v>59</v>
      </c>
    </row>
    <row r="6392" spans="1:17" x14ac:dyDescent="0.2">
      <c r="A6392" s="121">
        <v>41364</v>
      </c>
      <c r="B6392" t="s">
        <v>406</v>
      </c>
      <c r="C6392" t="s">
        <v>456</v>
      </c>
      <c r="D6392" t="s">
        <v>463</v>
      </c>
      <c r="E6392" t="s">
        <v>464</v>
      </c>
      <c r="F6392" t="s">
        <v>410</v>
      </c>
      <c r="G6392">
        <v>11</v>
      </c>
      <c r="I6392">
        <v>11</v>
      </c>
    </row>
    <row r="6393" spans="1:17" x14ac:dyDescent="0.2">
      <c r="A6393" s="121">
        <v>41364</v>
      </c>
      <c r="B6393" t="s">
        <v>406</v>
      </c>
      <c r="C6393" t="s">
        <v>456</v>
      </c>
      <c r="D6393" t="s">
        <v>465</v>
      </c>
      <c r="E6393" t="s">
        <v>466</v>
      </c>
      <c r="F6393" t="s">
        <v>410</v>
      </c>
      <c r="G6393">
        <v>51</v>
      </c>
      <c r="I6393">
        <v>51</v>
      </c>
    </row>
    <row r="6394" spans="1:17" x14ac:dyDescent="0.2">
      <c r="A6394" s="121">
        <v>41364</v>
      </c>
      <c r="B6394" t="s">
        <v>406</v>
      </c>
      <c r="C6394" t="s">
        <v>456</v>
      </c>
      <c r="D6394" t="s">
        <v>467</v>
      </c>
      <c r="E6394" t="s">
        <v>468</v>
      </c>
      <c r="F6394" t="s">
        <v>410</v>
      </c>
      <c r="G6394">
        <v>1471</v>
      </c>
      <c r="I6394">
        <v>1469</v>
      </c>
    </row>
    <row r="6395" spans="1:17" x14ac:dyDescent="0.2">
      <c r="A6395" s="121">
        <v>41364</v>
      </c>
      <c r="B6395" t="s">
        <v>406</v>
      </c>
      <c r="C6395" t="s">
        <v>456</v>
      </c>
      <c r="D6395" t="s">
        <v>469</v>
      </c>
      <c r="E6395" t="s">
        <v>470</v>
      </c>
      <c r="F6395" t="s">
        <v>410</v>
      </c>
      <c r="G6395">
        <v>823</v>
      </c>
      <c r="I6395">
        <v>823</v>
      </c>
    </row>
    <row r="6396" spans="1:17" x14ac:dyDescent="0.2">
      <c r="A6396" s="121">
        <v>41364</v>
      </c>
      <c r="B6396" t="s">
        <v>406</v>
      </c>
      <c r="C6396" t="s">
        <v>456</v>
      </c>
      <c r="D6396" t="s">
        <v>471</v>
      </c>
      <c r="E6396" t="s">
        <v>472</v>
      </c>
      <c r="F6396" t="s">
        <v>410</v>
      </c>
      <c r="G6396">
        <v>258</v>
      </c>
      <c r="I6396">
        <v>254</v>
      </c>
    </row>
    <row r="6397" spans="1:17" x14ac:dyDescent="0.2">
      <c r="A6397" s="121">
        <v>41364</v>
      </c>
      <c r="B6397" t="s">
        <v>406</v>
      </c>
      <c r="C6397" t="s">
        <v>456</v>
      </c>
      <c r="D6397" t="s">
        <v>473</v>
      </c>
      <c r="E6397" t="s">
        <v>474</v>
      </c>
      <c r="F6397" t="s">
        <v>410</v>
      </c>
      <c r="G6397">
        <v>179</v>
      </c>
      <c r="I6397">
        <v>179</v>
      </c>
    </row>
    <row r="6398" spans="1:17" x14ac:dyDescent="0.2">
      <c r="A6398" s="121">
        <v>41364</v>
      </c>
      <c r="B6398" t="s">
        <v>406</v>
      </c>
      <c r="C6398" t="s">
        <v>456</v>
      </c>
      <c r="D6398" t="s">
        <v>475</v>
      </c>
      <c r="E6398" t="s">
        <v>476</v>
      </c>
      <c r="F6398" t="s">
        <v>410</v>
      </c>
      <c r="G6398">
        <v>309</v>
      </c>
      <c r="I6398">
        <v>298</v>
      </c>
    </row>
    <row r="6399" spans="1:17" x14ac:dyDescent="0.2">
      <c r="A6399" s="121">
        <v>41364</v>
      </c>
      <c r="B6399" t="s">
        <v>406</v>
      </c>
      <c r="C6399" t="s">
        <v>456</v>
      </c>
      <c r="D6399" t="s">
        <v>477</v>
      </c>
      <c r="E6399" t="s">
        <v>478</v>
      </c>
      <c r="F6399" t="s">
        <v>413</v>
      </c>
      <c r="G6399">
        <v>2179</v>
      </c>
      <c r="H6399">
        <v>2179</v>
      </c>
      <c r="I6399">
        <v>1998</v>
      </c>
      <c r="J6399">
        <v>1998</v>
      </c>
      <c r="K6399">
        <v>492</v>
      </c>
      <c r="L6399">
        <v>4</v>
      </c>
      <c r="M6399">
        <v>1615</v>
      </c>
      <c r="N6399">
        <v>54</v>
      </c>
      <c r="O6399">
        <v>14</v>
      </c>
      <c r="P6399">
        <v>18</v>
      </c>
      <c r="Q6399">
        <v>1</v>
      </c>
    </row>
    <row r="6400" spans="1:17" x14ac:dyDescent="0.2">
      <c r="A6400" s="121">
        <v>41364</v>
      </c>
      <c r="B6400" t="s">
        <v>406</v>
      </c>
      <c r="C6400" t="s">
        <v>456</v>
      </c>
      <c r="D6400" t="s">
        <v>479</v>
      </c>
      <c r="E6400" t="s">
        <v>480</v>
      </c>
      <c r="F6400" t="s">
        <v>410</v>
      </c>
      <c r="G6400">
        <v>57</v>
      </c>
      <c r="I6400">
        <v>57</v>
      </c>
    </row>
    <row r="6401" spans="1:17" x14ac:dyDescent="0.2">
      <c r="A6401" s="121">
        <v>41364</v>
      </c>
      <c r="B6401" t="s">
        <v>406</v>
      </c>
      <c r="C6401" t="s">
        <v>456</v>
      </c>
      <c r="D6401" t="s">
        <v>481</v>
      </c>
      <c r="E6401" t="s">
        <v>482</v>
      </c>
      <c r="F6401" t="s">
        <v>410</v>
      </c>
      <c r="G6401">
        <v>38</v>
      </c>
      <c r="I6401">
        <v>38</v>
      </c>
    </row>
    <row r="6402" spans="1:17" x14ac:dyDescent="0.2">
      <c r="A6402" s="121">
        <v>41364</v>
      </c>
      <c r="B6402" t="s">
        <v>406</v>
      </c>
      <c r="C6402" t="s">
        <v>456</v>
      </c>
      <c r="D6402" t="s">
        <v>483</v>
      </c>
      <c r="E6402" t="s">
        <v>484</v>
      </c>
      <c r="F6402" t="s">
        <v>410</v>
      </c>
      <c r="G6402">
        <v>90</v>
      </c>
      <c r="I6402">
        <v>90</v>
      </c>
    </row>
    <row r="6403" spans="1:17" x14ac:dyDescent="0.2">
      <c r="A6403" s="121">
        <v>41364</v>
      </c>
      <c r="B6403" t="s">
        <v>406</v>
      </c>
      <c r="C6403" t="s">
        <v>456</v>
      </c>
      <c r="D6403" t="s">
        <v>485</v>
      </c>
      <c r="E6403" t="s">
        <v>486</v>
      </c>
      <c r="F6403" t="s">
        <v>410</v>
      </c>
      <c r="G6403">
        <v>20</v>
      </c>
      <c r="I6403">
        <v>20</v>
      </c>
    </row>
    <row r="6404" spans="1:17" x14ac:dyDescent="0.2">
      <c r="A6404" s="121">
        <v>41364</v>
      </c>
      <c r="B6404" t="s">
        <v>406</v>
      </c>
      <c r="C6404" t="s">
        <v>456</v>
      </c>
      <c r="D6404" t="s">
        <v>487</v>
      </c>
      <c r="E6404" t="s">
        <v>488</v>
      </c>
      <c r="F6404" t="s">
        <v>410</v>
      </c>
      <c r="G6404">
        <v>20</v>
      </c>
      <c r="I6404">
        <v>20</v>
      </c>
    </row>
    <row r="6405" spans="1:17" x14ac:dyDescent="0.2">
      <c r="A6405" s="121">
        <v>41364</v>
      </c>
      <c r="B6405" t="s">
        <v>406</v>
      </c>
      <c r="C6405" t="s">
        <v>456</v>
      </c>
      <c r="D6405" t="s">
        <v>489</v>
      </c>
      <c r="E6405" t="s">
        <v>490</v>
      </c>
      <c r="F6405" t="s">
        <v>410</v>
      </c>
      <c r="G6405">
        <v>84</v>
      </c>
      <c r="I6405">
        <v>84</v>
      </c>
    </row>
    <row r="6406" spans="1:17" x14ac:dyDescent="0.2">
      <c r="A6406" s="121">
        <v>41364</v>
      </c>
      <c r="B6406" t="s">
        <v>406</v>
      </c>
      <c r="C6406" t="s">
        <v>491</v>
      </c>
      <c r="D6406" t="s">
        <v>492</v>
      </c>
      <c r="E6406" t="s">
        <v>493</v>
      </c>
      <c r="F6406" t="s">
        <v>410</v>
      </c>
      <c r="G6406">
        <v>1179</v>
      </c>
      <c r="H6406">
        <v>1179</v>
      </c>
      <c r="I6406">
        <v>1135</v>
      </c>
      <c r="J6406">
        <v>1135</v>
      </c>
      <c r="K6406">
        <v>212</v>
      </c>
      <c r="L6406">
        <v>2</v>
      </c>
      <c r="M6406">
        <v>917</v>
      </c>
      <c r="N6406">
        <v>46</v>
      </c>
      <c r="O6406">
        <v>2</v>
      </c>
      <c r="P6406">
        <v>0</v>
      </c>
      <c r="Q6406">
        <v>0</v>
      </c>
    </row>
    <row r="6407" spans="1:17" x14ac:dyDescent="0.2">
      <c r="A6407" s="121">
        <v>41364</v>
      </c>
      <c r="B6407" t="s">
        <v>406</v>
      </c>
      <c r="C6407" t="s">
        <v>491</v>
      </c>
      <c r="D6407" t="s">
        <v>494</v>
      </c>
      <c r="E6407" t="s">
        <v>495</v>
      </c>
      <c r="F6407" t="s">
        <v>413</v>
      </c>
      <c r="G6407">
        <v>2622</v>
      </c>
      <c r="H6407">
        <v>2622</v>
      </c>
      <c r="I6407">
        <v>2379</v>
      </c>
      <c r="J6407">
        <v>2379</v>
      </c>
      <c r="K6407">
        <v>722</v>
      </c>
      <c r="L6407">
        <v>4</v>
      </c>
      <c r="M6407">
        <v>1671</v>
      </c>
      <c r="N6407">
        <v>30</v>
      </c>
      <c r="O6407">
        <v>195</v>
      </c>
      <c r="P6407">
        <v>7</v>
      </c>
      <c r="Q6407">
        <v>0</v>
      </c>
    </row>
    <row r="6408" spans="1:17" x14ac:dyDescent="0.2">
      <c r="A6408" s="121">
        <v>41364</v>
      </c>
      <c r="B6408" t="s">
        <v>406</v>
      </c>
      <c r="C6408" t="s">
        <v>491</v>
      </c>
      <c r="D6408" t="s">
        <v>496</v>
      </c>
      <c r="E6408" t="s">
        <v>497</v>
      </c>
      <c r="F6408" t="s">
        <v>413</v>
      </c>
      <c r="G6408">
        <v>6032</v>
      </c>
      <c r="H6408">
        <v>6032</v>
      </c>
      <c r="I6408">
        <v>4948</v>
      </c>
      <c r="J6408">
        <v>4948</v>
      </c>
      <c r="K6408">
        <v>2112</v>
      </c>
      <c r="L6408">
        <v>31</v>
      </c>
      <c r="M6408">
        <v>3576</v>
      </c>
      <c r="N6408">
        <v>147</v>
      </c>
      <c r="O6408">
        <v>166</v>
      </c>
      <c r="P6408">
        <v>76</v>
      </c>
      <c r="Q6408">
        <v>1</v>
      </c>
    </row>
    <row r="6409" spans="1:17" x14ac:dyDescent="0.2">
      <c r="A6409" s="121">
        <v>41364</v>
      </c>
      <c r="B6409" t="s">
        <v>406</v>
      </c>
      <c r="C6409" t="s">
        <v>491</v>
      </c>
      <c r="D6409" t="s">
        <v>498</v>
      </c>
      <c r="E6409" t="s">
        <v>499</v>
      </c>
      <c r="F6409" t="s">
        <v>413</v>
      </c>
      <c r="G6409">
        <v>6953</v>
      </c>
      <c r="H6409">
        <v>6953</v>
      </c>
      <c r="I6409">
        <v>6059</v>
      </c>
      <c r="J6409">
        <v>6059</v>
      </c>
      <c r="K6409">
        <v>1766</v>
      </c>
      <c r="L6409">
        <v>15</v>
      </c>
      <c r="M6409">
        <v>4515</v>
      </c>
      <c r="N6409">
        <v>177</v>
      </c>
      <c r="O6409">
        <v>480</v>
      </c>
      <c r="P6409">
        <v>30</v>
      </c>
      <c r="Q6409">
        <v>0</v>
      </c>
    </row>
    <row r="6410" spans="1:17" x14ac:dyDescent="0.2">
      <c r="A6410" s="121">
        <v>41364</v>
      </c>
      <c r="B6410" t="s">
        <v>406</v>
      </c>
      <c r="C6410" t="s">
        <v>491</v>
      </c>
      <c r="D6410" t="s">
        <v>500</v>
      </c>
      <c r="E6410" t="s">
        <v>620</v>
      </c>
      <c r="F6410" t="s">
        <v>410</v>
      </c>
      <c r="G6410">
        <v>1366</v>
      </c>
      <c r="H6410">
        <v>1366</v>
      </c>
      <c r="I6410">
        <v>1366</v>
      </c>
      <c r="J6410">
        <v>1366</v>
      </c>
      <c r="K6410">
        <v>6</v>
      </c>
      <c r="L6410">
        <v>0</v>
      </c>
      <c r="M6410">
        <v>1220</v>
      </c>
      <c r="N6410">
        <v>8</v>
      </c>
      <c r="O6410">
        <v>132</v>
      </c>
      <c r="P6410">
        <v>0</v>
      </c>
      <c r="Q6410">
        <v>0</v>
      </c>
    </row>
    <row r="6411" spans="1:17" x14ac:dyDescent="0.2">
      <c r="A6411" s="121">
        <v>41364</v>
      </c>
      <c r="B6411" t="s">
        <v>406</v>
      </c>
      <c r="C6411" t="s">
        <v>491</v>
      </c>
      <c r="D6411" t="s">
        <v>502</v>
      </c>
      <c r="E6411" t="s">
        <v>615</v>
      </c>
      <c r="F6411" t="s">
        <v>410</v>
      </c>
      <c r="G6411">
        <v>1650</v>
      </c>
      <c r="H6411">
        <v>1650</v>
      </c>
      <c r="I6411">
        <v>1650</v>
      </c>
      <c r="J6411">
        <v>1650</v>
      </c>
      <c r="K6411">
        <v>1</v>
      </c>
      <c r="L6411">
        <v>0</v>
      </c>
      <c r="M6411">
        <v>1553</v>
      </c>
      <c r="N6411">
        <v>92</v>
      </c>
      <c r="O6411">
        <v>4</v>
      </c>
      <c r="P6411">
        <v>0</v>
      </c>
      <c r="Q6411">
        <v>0</v>
      </c>
    </row>
    <row r="6412" spans="1:17" x14ac:dyDescent="0.2">
      <c r="A6412" s="121">
        <v>41364</v>
      </c>
      <c r="B6412" t="s">
        <v>406</v>
      </c>
      <c r="C6412" t="s">
        <v>491</v>
      </c>
      <c r="D6412" t="s">
        <v>502</v>
      </c>
      <c r="E6412" t="s">
        <v>503</v>
      </c>
      <c r="F6412" t="s">
        <v>413</v>
      </c>
      <c r="G6412">
        <v>5170</v>
      </c>
      <c r="H6412">
        <v>5170</v>
      </c>
      <c r="I6412">
        <v>4596</v>
      </c>
      <c r="J6412">
        <v>4596</v>
      </c>
      <c r="K6412">
        <v>1564</v>
      </c>
      <c r="L6412">
        <v>12</v>
      </c>
      <c r="M6412">
        <v>3210</v>
      </c>
      <c r="N6412">
        <v>293</v>
      </c>
      <c r="O6412">
        <v>91</v>
      </c>
      <c r="P6412">
        <v>34</v>
      </c>
      <c r="Q6412">
        <v>3</v>
      </c>
    </row>
    <row r="6413" spans="1:17" x14ac:dyDescent="0.2">
      <c r="A6413" s="121">
        <v>41364</v>
      </c>
      <c r="B6413" t="s">
        <v>406</v>
      </c>
      <c r="C6413" t="s">
        <v>491</v>
      </c>
      <c r="D6413" t="s">
        <v>504</v>
      </c>
      <c r="E6413" t="s">
        <v>505</v>
      </c>
      <c r="F6413" t="s">
        <v>413</v>
      </c>
      <c r="G6413">
        <v>3929</v>
      </c>
      <c r="H6413">
        <v>3929</v>
      </c>
      <c r="I6413">
        <v>3573</v>
      </c>
      <c r="J6413">
        <v>3573</v>
      </c>
      <c r="K6413">
        <v>1157</v>
      </c>
      <c r="L6413">
        <v>6</v>
      </c>
      <c r="M6413">
        <v>2462</v>
      </c>
      <c r="N6413">
        <v>213</v>
      </c>
      <c r="O6413">
        <v>91</v>
      </c>
      <c r="P6413">
        <v>5</v>
      </c>
      <c r="Q6413">
        <v>0</v>
      </c>
    </row>
    <row r="6414" spans="1:17" x14ac:dyDescent="0.2">
      <c r="A6414" s="121">
        <v>41364</v>
      </c>
      <c r="B6414" t="s">
        <v>406</v>
      </c>
      <c r="C6414" t="s">
        <v>491</v>
      </c>
      <c r="D6414" t="s">
        <v>506</v>
      </c>
      <c r="E6414" t="s">
        <v>507</v>
      </c>
      <c r="F6414" t="s">
        <v>413</v>
      </c>
      <c r="G6414">
        <v>4298</v>
      </c>
      <c r="H6414">
        <v>4298</v>
      </c>
      <c r="I6414">
        <v>4176</v>
      </c>
      <c r="J6414">
        <v>4176</v>
      </c>
      <c r="K6414">
        <v>510</v>
      </c>
      <c r="L6414">
        <v>2</v>
      </c>
      <c r="M6414">
        <v>3779</v>
      </c>
      <c r="N6414">
        <v>0</v>
      </c>
      <c r="O6414">
        <v>7</v>
      </c>
      <c r="P6414">
        <v>1</v>
      </c>
      <c r="Q6414">
        <v>0</v>
      </c>
    </row>
    <row r="6415" spans="1:17" x14ac:dyDescent="0.2">
      <c r="A6415" s="121">
        <v>41364</v>
      </c>
      <c r="B6415" t="s">
        <v>406</v>
      </c>
      <c r="C6415" t="s">
        <v>491</v>
      </c>
      <c r="D6415" t="s">
        <v>508</v>
      </c>
      <c r="E6415" t="s">
        <v>509</v>
      </c>
      <c r="F6415" t="s">
        <v>413</v>
      </c>
      <c r="G6415">
        <v>4981</v>
      </c>
      <c r="H6415">
        <v>4981</v>
      </c>
      <c r="I6415">
        <v>4323</v>
      </c>
      <c r="J6415">
        <v>4323</v>
      </c>
      <c r="K6415">
        <v>1722</v>
      </c>
      <c r="L6415">
        <v>12</v>
      </c>
      <c r="M6415">
        <v>2884</v>
      </c>
      <c r="N6415">
        <v>90</v>
      </c>
      <c r="O6415">
        <v>273</v>
      </c>
      <c r="P6415">
        <v>28</v>
      </c>
      <c r="Q6415">
        <v>0</v>
      </c>
    </row>
    <row r="6416" spans="1:17" x14ac:dyDescent="0.2">
      <c r="A6416" s="121">
        <v>41364</v>
      </c>
      <c r="B6416" t="s">
        <v>406</v>
      </c>
      <c r="C6416" t="s">
        <v>510</v>
      </c>
      <c r="D6416" t="s">
        <v>513</v>
      </c>
      <c r="E6416" t="s">
        <v>514</v>
      </c>
      <c r="F6416" t="s">
        <v>410</v>
      </c>
      <c r="G6416">
        <v>562</v>
      </c>
      <c r="I6416">
        <v>560</v>
      </c>
    </row>
    <row r="6417" spans="1:17" x14ac:dyDescent="0.2">
      <c r="A6417" s="121">
        <v>41364</v>
      </c>
      <c r="B6417" t="s">
        <v>406</v>
      </c>
      <c r="C6417" t="s">
        <v>510</v>
      </c>
      <c r="D6417" t="s">
        <v>515</v>
      </c>
      <c r="E6417" t="s">
        <v>516</v>
      </c>
      <c r="F6417" t="s">
        <v>410</v>
      </c>
      <c r="G6417">
        <v>76</v>
      </c>
      <c r="I6417">
        <v>73</v>
      </c>
    </row>
    <row r="6418" spans="1:17" x14ac:dyDescent="0.2">
      <c r="A6418" s="121">
        <v>41364</v>
      </c>
      <c r="B6418" t="s">
        <v>406</v>
      </c>
      <c r="C6418" t="s">
        <v>510</v>
      </c>
      <c r="D6418" t="s">
        <v>519</v>
      </c>
      <c r="E6418" t="s">
        <v>520</v>
      </c>
      <c r="F6418" t="s">
        <v>410</v>
      </c>
      <c r="G6418">
        <v>311</v>
      </c>
      <c r="I6418">
        <v>298</v>
      </c>
    </row>
    <row r="6419" spans="1:17" x14ac:dyDescent="0.2">
      <c r="A6419" s="121">
        <v>41364</v>
      </c>
      <c r="B6419" t="s">
        <v>406</v>
      </c>
      <c r="C6419" t="s">
        <v>510</v>
      </c>
      <c r="D6419" t="s">
        <v>523</v>
      </c>
      <c r="E6419" t="s">
        <v>524</v>
      </c>
      <c r="F6419" t="s">
        <v>413</v>
      </c>
      <c r="G6419">
        <v>530</v>
      </c>
      <c r="H6419">
        <v>530</v>
      </c>
      <c r="I6419">
        <v>514</v>
      </c>
      <c r="J6419">
        <v>514</v>
      </c>
      <c r="K6419">
        <v>108</v>
      </c>
      <c r="L6419">
        <v>1</v>
      </c>
      <c r="M6419">
        <v>409</v>
      </c>
      <c r="N6419">
        <v>12</v>
      </c>
      <c r="O6419">
        <v>0</v>
      </c>
      <c r="P6419">
        <v>0</v>
      </c>
      <c r="Q6419">
        <v>0</v>
      </c>
    </row>
    <row r="6420" spans="1:17" x14ac:dyDescent="0.2">
      <c r="A6420" s="121">
        <v>41364</v>
      </c>
      <c r="B6420" t="s">
        <v>406</v>
      </c>
      <c r="C6420" t="s">
        <v>510</v>
      </c>
      <c r="D6420" t="s">
        <v>525</v>
      </c>
      <c r="E6420" t="s">
        <v>526</v>
      </c>
      <c r="F6420" t="s">
        <v>410</v>
      </c>
      <c r="G6420">
        <v>433</v>
      </c>
      <c r="I6420">
        <v>412</v>
      </c>
    </row>
    <row r="6421" spans="1:17" x14ac:dyDescent="0.2">
      <c r="A6421" s="121">
        <v>41364</v>
      </c>
      <c r="B6421" t="s">
        <v>406</v>
      </c>
      <c r="C6421" t="s">
        <v>510</v>
      </c>
      <c r="D6421" t="s">
        <v>527</v>
      </c>
      <c r="E6421" t="s">
        <v>528</v>
      </c>
      <c r="F6421" t="s">
        <v>410</v>
      </c>
      <c r="G6421">
        <v>189</v>
      </c>
      <c r="I6421">
        <v>187</v>
      </c>
    </row>
    <row r="6422" spans="1:17" x14ac:dyDescent="0.2">
      <c r="A6422" s="121">
        <v>41364</v>
      </c>
      <c r="B6422" t="s">
        <v>406</v>
      </c>
      <c r="C6422" t="s">
        <v>510</v>
      </c>
      <c r="D6422" t="s">
        <v>529</v>
      </c>
      <c r="E6422" t="s">
        <v>530</v>
      </c>
      <c r="F6422" t="s">
        <v>413</v>
      </c>
      <c r="G6422">
        <v>569</v>
      </c>
      <c r="H6422">
        <v>569</v>
      </c>
      <c r="I6422">
        <v>555</v>
      </c>
      <c r="J6422">
        <v>555</v>
      </c>
      <c r="K6422">
        <v>158</v>
      </c>
      <c r="L6422">
        <v>1</v>
      </c>
      <c r="M6422">
        <v>409</v>
      </c>
      <c r="N6422">
        <v>1</v>
      </c>
      <c r="O6422">
        <v>0</v>
      </c>
      <c r="P6422">
        <v>0</v>
      </c>
      <c r="Q6422">
        <v>0</v>
      </c>
    </row>
    <row r="6423" spans="1:17" x14ac:dyDescent="0.2">
      <c r="A6423" s="121">
        <v>41364</v>
      </c>
      <c r="B6423" t="s">
        <v>406</v>
      </c>
      <c r="C6423" t="s">
        <v>510</v>
      </c>
      <c r="D6423" t="s">
        <v>531</v>
      </c>
      <c r="E6423" t="s">
        <v>532</v>
      </c>
      <c r="F6423" t="s">
        <v>410</v>
      </c>
      <c r="G6423">
        <v>23</v>
      </c>
      <c r="I6423">
        <v>23</v>
      </c>
    </row>
    <row r="6424" spans="1:17" x14ac:dyDescent="0.2">
      <c r="A6424" s="121">
        <v>41364</v>
      </c>
      <c r="B6424" t="s">
        <v>406</v>
      </c>
      <c r="C6424" t="s">
        <v>510</v>
      </c>
      <c r="D6424" t="s">
        <v>533</v>
      </c>
      <c r="E6424" t="s">
        <v>534</v>
      </c>
      <c r="F6424" t="s">
        <v>413</v>
      </c>
      <c r="G6424">
        <v>2493</v>
      </c>
      <c r="H6424">
        <v>2493</v>
      </c>
      <c r="I6424">
        <v>2427</v>
      </c>
      <c r="J6424">
        <v>2427</v>
      </c>
      <c r="K6424">
        <v>553</v>
      </c>
      <c r="L6424">
        <v>3</v>
      </c>
      <c r="M6424">
        <v>1937</v>
      </c>
      <c r="N6424">
        <v>0</v>
      </c>
      <c r="O6424">
        <v>0</v>
      </c>
      <c r="P6424">
        <v>3</v>
      </c>
      <c r="Q6424">
        <v>1</v>
      </c>
    </row>
    <row r="6425" spans="1:17" x14ac:dyDescent="0.2">
      <c r="A6425" s="121">
        <v>41364</v>
      </c>
      <c r="B6425" t="s">
        <v>406</v>
      </c>
      <c r="C6425" t="s">
        <v>510</v>
      </c>
      <c r="D6425" t="s">
        <v>535</v>
      </c>
      <c r="E6425" t="s">
        <v>536</v>
      </c>
      <c r="F6425" t="s">
        <v>410</v>
      </c>
      <c r="G6425">
        <v>470</v>
      </c>
      <c r="I6425">
        <v>470</v>
      </c>
    </row>
    <row r="6426" spans="1:17" x14ac:dyDescent="0.2">
      <c r="A6426" s="121">
        <v>41364</v>
      </c>
      <c r="B6426" t="s">
        <v>406</v>
      </c>
      <c r="C6426" t="s">
        <v>510</v>
      </c>
      <c r="D6426" t="s">
        <v>537</v>
      </c>
      <c r="E6426" t="s">
        <v>538</v>
      </c>
      <c r="F6426" t="s">
        <v>410</v>
      </c>
      <c r="G6426">
        <v>72</v>
      </c>
      <c r="I6426">
        <v>72</v>
      </c>
    </row>
    <row r="6427" spans="1:17" x14ac:dyDescent="0.2">
      <c r="A6427" s="121">
        <v>41364</v>
      </c>
      <c r="B6427" t="s">
        <v>406</v>
      </c>
      <c r="C6427" t="s">
        <v>510</v>
      </c>
      <c r="D6427" t="s">
        <v>539</v>
      </c>
      <c r="E6427" t="s">
        <v>540</v>
      </c>
      <c r="F6427" t="s">
        <v>413</v>
      </c>
      <c r="G6427">
        <v>757</v>
      </c>
      <c r="H6427">
        <v>757</v>
      </c>
      <c r="I6427">
        <v>714</v>
      </c>
      <c r="J6427">
        <v>714</v>
      </c>
      <c r="K6427">
        <v>167</v>
      </c>
      <c r="L6427">
        <v>0</v>
      </c>
      <c r="M6427">
        <v>589</v>
      </c>
      <c r="N6427">
        <v>1</v>
      </c>
      <c r="O6427">
        <v>0</v>
      </c>
      <c r="P6427">
        <v>5</v>
      </c>
      <c r="Q6427">
        <v>0</v>
      </c>
    </row>
    <row r="6428" spans="1:17" x14ac:dyDescent="0.2">
      <c r="A6428" s="121">
        <v>41364</v>
      </c>
      <c r="B6428" t="s">
        <v>406</v>
      </c>
      <c r="C6428" t="s">
        <v>510</v>
      </c>
      <c r="D6428" t="s">
        <v>541</v>
      </c>
      <c r="E6428" t="s">
        <v>542</v>
      </c>
      <c r="F6428" t="s">
        <v>410</v>
      </c>
      <c r="G6428">
        <v>361</v>
      </c>
      <c r="I6428">
        <v>361</v>
      </c>
    </row>
    <row r="6429" spans="1:17" x14ac:dyDescent="0.2">
      <c r="A6429" s="121">
        <v>41364</v>
      </c>
      <c r="B6429" t="s">
        <v>406</v>
      </c>
      <c r="C6429" t="s">
        <v>510</v>
      </c>
      <c r="D6429" t="s">
        <v>543</v>
      </c>
      <c r="E6429" t="s">
        <v>544</v>
      </c>
      <c r="F6429" t="s">
        <v>410</v>
      </c>
      <c r="G6429">
        <v>256</v>
      </c>
      <c r="I6429">
        <v>256</v>
      </c>
    </row>
    <row r="6430" spans="1:17" x14ac:dyDescent="0.2">
      <c r="A6430" s="121">
        <v>41364</v>
      </c>
      <c r="B6430" t="s">
        <v>406</v>
      </c>
      <c r="C6430" t="s">
        <v>510</v>
      </c>
      <c r="D6430" t="s">
        <v>545</v>
      </c>
      <c r="E6430" t="s">
        <v>546</v>
      </c>
      <c r="F6430" t="s">
        <v>410</v>
      </c>
      <c r="G6430">
        <v>118</v>
      </c>
      <c r="I6430">
        <v>118</v>
      </c>
    </row>
    <row r="6431" spans="1:17" x14ac:dyDescent="0.2">
      <c r="A6431" s="121">
        <v>41364</v>
      </c>
      <c r="B6431" t="s">
        <v>406</v>
      </c>
      <c r="C6431" t="s">
        <v>510</v>
      </c>
      <c r="D6431" t="s">
        <v>547</v>
      </c>
      <c r="E6431" t="s">
        <v>548</v>
      </c>
      <c r="F6431" t="s">
        <v>410</v>
      </c>
      <c r="G6431">
        <v>135</v>
      </c>
      <c r="I6431">
        <v>135</v>
      </c>
    </row>
    <row r="6432" spans="1:17" x14ac:dyDescent="0.2">
      <c r="A6432" s="121">
        <v>41364</v>
      </c>
      <c r="B6432" t="s">
        <v>406</v>
      </c>
      <c r="C6432" t="s">
        <v>510</v>
      </c>
      <c r="D6432" t="s">
        <v>616</v>
      </c>
      <c r="E6432" t="s">
        <v>617</v>
      </c>
      <c r="F6432" t="s">
        <v>410</v>
      </c>
      <c r="G6432">
        <v>292</v>
      </c>
      <c r="I6432">
        <v>282</v>
      </c>
    </row>
    <row r="6433" spans="1:17" x14ac:dyDescent="0.2">
      <c r="A6433" s="121">
        <v>41364</v>
      </c>
      <c r="B6433" t="s">
        <v>406</v>
      </c>
      <c r="C6433" t="s">
        <v>510</v>
      </c>
      <c r="D6433" t="s">
        <v>549</v>
      </c>
      <c r="E6433" t="s">
        <v>550</v>
      </c>
      <c r="F6433" t="s">
        <v>410</v>
      </c>
      <c r="G6433">
        <v>153</v>
      </c>
      <c r="I6433">
        <v>153</v>
      </c>
    </row>
    <row r="6434" spans="1:17" x14ac:dyDescent="0.2">
      <c r="A6434" s="121">
        <v>41364</v>
      </c>
      <c r="B6434" t="s">
        <v>406</v>
      </c>
      <c r="C6434" t="s">
        <v>510</v>
      </c>
      <c r="D6434" t="s">
        <v>625</v>
      </c>
      <c r="E6434" t="s">
        <v>626</v>
      </c>
      <c r="F6434" t="s">
        <v>410</v>
      </c>
      <c r="G6434">
        <v>44</v>
      </c>
      <c r="I6434">
        <v>44</v>
      </c>
    </row>
    <row r="6435" spans="1:17" x14ac:dyDescent="0.2">
      <c r="A6435" s="121">
        <v>41364</v>
      </c>
      <c r="B6435" t="s">
        <v>406</v>
      </c>
      <c r="C6435" t="s">
        <v>551</v>
      </c>
      <c r="D6435" t="s">
        <v>552</v>
      </c>
      <c r="E6435" t="s">
        <v>553</v>
      </c>
      <c r="F6435" t="s">
        <v>413</v>
      </c>
      <c r="G6435">
        <v>5665</v>
      </c>
      <c r="H6435">
        <v>5665</v>
      </c>
      <c r="I6435">
        <v>5263</v>
      </c>
      <c r="J6435">
        <v>5263</v>
      </c>
      <c r="K6435">
        <v>1641</v>
      </c>
      <c r="L6435">
        <v>6</v>
      </c>
      <c r="M6435">
        <v>3709</v>
      </c>
      <c r="N6435">
        <v>194</v>
      </c>
      <c r="O6435">
        <v>115</v>
      </c>
      <c r="P6435">
        <v>10</v>
      </c>
      <c r="Q6435">
        <v>0</v>
      </c>
    </row>
    <row r="6436" spans="1:17" x14ac:dyDescent="0.2">
      <c r="A6436" s="121">
        <v>41364</v>
      </c>
      <c r="B6436" t="s">
        <v>406</v>
      </c>
      <c r="C6436" t="s">
        <v>551</v>
      </c>
      <c r="D6436" t="s">
        <v>554</v>
      </c>
      <c r="E6436" t="s">
        <v>555</v>
      </c>
      <c r="F6436" t="s">
        <v>410</v>
      </c>
      <c r="G6436">
        <v>50</v>
      </c>
      <c r="I6436">
        <v>50</v>
      </c>
    </row>
    <row r="6437" spans="1:17" x14ac:dyDescent="0.2">
      <c r="A6437" s="121">
        <v>41364</v>
      </c>
      <c r="B6437" t="s">
        <v>406</v>
      </c>
      <c r="C6437" t="s">
        <v>551</v>
      </c>
      <c r="D6437" t="s">
        <v>556</v>
      </c>
      <c r="E6437" t="s">
        <v>557</v>
      </c>
      <c r="F6437" t="s">
        <v>410</v>
      </c>
      <c r="G6437">
        <v>92</v>
      </c>
      <c r="I6437">
        <v>92</v>
      </c>
    </row>
    <row r="6438" spans="1:17" x14ac:dyDescent="0.2">
      <c r="A6438" s="121">
        <v>41364</v>
      </c>
      <c r="B6438" t="s">
        <v>406</v>
      </c>
      <c r="C6438" t="s">
        <v>551</v>
      </c>
      <c r="D6438" t="s">
        <v>558</v>
      </c>
      <c r="E6438" t="s">
        <v>559</v>
      </c>
      <c r="F6438" t="s">
        <v>413</v>
      </c>
      <c r="G6438">
        <v>4676</v>
      </c>
      <c r="H6438">
        <v>4676</v>
      </c>
      <c r="I6438">
        <v>4200</v>
      </c>
      <c r="J6438">
        <v>4200</v>
      </c>
      <c r="K6438">
        <v>1420</v>
      </c>
      <c r="L6438">
        <v>6</v>
      </c>
      <c r="M6438">
        <v>3055</v>
      </c>
      <c r="N6438">
        <v>181</v>
      </c>
      <c r="O6438">
        <v>14</v>
      </c>
      <c r="P6438">
        <v>73</v>
      </c>
      <c r="Q6438">
        <v>16</v>
      </c>
    </row>
    <row r="6439" spans="1:17" x14ac:dyDescent="0.2">
      <c r="A6439" s="121">
        <v>41364</v>
      </c>
      <c r="B6439" t="s">
        <v>406</v>
      </c>
      <c r="C6439" t="s">
        <v>551</v>
      </c>
      <c r="D6439" t="s">
        <v>560</v>
      </c>
      <c r="E6439" t="s">
        <v>561</v>
      </c>
      <c r="F6439" t="s">
        <v>413</v>
      </c>
      <c r="G6439">
        <v>5105</v>
      </c>
      <c r="H6439">
        <v>5105</v>
      </c>
      <c r="I6439">
        <v>4699</v>
      </c>
      <c r="J6439">
        <v>4699</v>
      </c>
      <c r="K6439">
        <v>1164</v>
      </c>
      <c r="L6439">
        <v>10</v>
      </c>
      <c r="M6439">
        <v>3562</v>
      </c>
      <c r="N6439">
        <v>288</v>
      </c>
      <c r="O6439">
        <v>81</v>
      </c>
      <c r="P6439">
        <v>30</v>
      </c>
      <c r="Q6439">
        <v>1</v>
      </c>
    </row>
    <row r="6440" spans="1:17" x14ac:dyDescent="0.2">
      <c r="A6440" s="121">
        <v>41364</v>
      </c>
      <c r="B6440" t="s">
        <v>406</v>
      </c>
      <c r="C6440" t="s">
        <v>562</v>
      </c>
      <c r="D6440" t="s">
        <v>605</v>
      </c>
      <c r="E6440" t="s">
        <v>606</v>
      </c>
      <c r="F6440" t="s">
        <v>410</v>
      </c>
      <c r="G6440">
        <v>103</v>
      </c>
      <c r="I6440">
        <v>103</v>
      </c>
    </row>
    <row r="6441" spans="1:17" x14ac:dyDescent="0.2">
      <c r="A6441" s="121">
        <v>41364</v>
      </c>
      <c r="B6441" t="s">
        <v>406</v>
      </c>
      <c r="C6441" t="s">
        <v>562</v>
      </c>
      <c r="D6441" t="s">
        <v>563</v>
      </c>
      <c r="E6441" t="s">
        <v>564</v>
      </c>
      <c r="F6441" t="s">
        <v>410</v>
      </c>
      <c r="G6441">
        <v>3293</v>
      </c>
      <c r="H6441">
        <v>3293</v>
      </c>
      <c r="I6441">
        <v>3000</v>
      </c>
      <c r="J6441">
        <v>3000</v>
      </c>
      <c r="K6441">
        <v>1101</v>
      </c>
      <c r="L6441">
        <v>4</v>
      </c>
      <c r="M6441">
        <v>2168</v>
      </c>
      <c r="N6441">
        <v>20</v>
      </c>
      <c r="O6441">
        <v>0</v>
      </c>
      <c r="P6441">
        <v>31</v>
      </c>
      <c r="Q6441">
        <v>0</v>
      </c>
    </row>
    <row r="6442" spans="1:17" x14ac:dyDescent="0.2">
      <c r="A6442" s="121">
        <v>41364</v>
      </c>
      <c r="B6442" t="s">
        <v>406</v>
      </c>
      <c r="C6442" t="s">
        <v>562</v>
      </c>
      <c r="D6442" t="s">
        <v>565</v>
      </c>
      <c r="E6442" t="s">
        <v>566</v>
      </c>
      <c r="F6442" t="s">
        <v>413</v>
      </c>
      <c r="G6442">
        <v>4200</v>
      </c>
      <c r="H6442">
        <v>4200</v>
      </c>
      <c r="I6442">
        <v>3964</v>
      </c>
      <c r="J6442">
        <v>3964</v>
      </c>
      <c r="K6442">
        <v>1060</v>
      </c>
      <c r="L6442">
        <v>4</v>
      </c>
      <c r="M6442">
        <v>3009</v>
      </c>
      <c r="N6442">
        <v>127</v>
      </c>
      <c r="O6442">
        <v>0</v>
      </c>
      <c r="P6442">
        <v>13</v>
      </c>
      <c r="Q6442">
        <v>1</v>
      </c>
    </row>
    <row r="6443" spans="1:17" x14ac:dyDescent="0.2">
      <c r="A6443" s="121">
        <v>41364</v>
      </c>
      <c r="B6443" t="s">
        <v>406</v>
      </c>
      <c r="C6443" t="s">
        <v>562</v>
      </c>
      <c r="D6443" t="s">
        <v>567</v>
      </c>
      <c r="E6443" t="s">
        <v>568</v>
      </c>
      <c r="F6443" t="s">
        <v>413</v>
      </c>
      <c r="G6443">
        <v>9217</v>
      </c>
      <c r="H6443">
        <v>9217</v>
      </c>
      <c r="I6443">
        <v>7390</v>
      </c>
      <c r="J6443">
        <v>7390</v>
      </c>
      <c r="K6443">
        <v>2700</v>
      </c>
      <c r="L6443">
        <v>17</v>
      </c>
      <c r="M6443">
        <v>6285</v>
      </c>
      <c r="N6443">
        <v>215</v>
      </c>
      <c r="O6443">
        <v>0</v>
      </c>
      <c r="P6443">
        <v>284</v>
      </c>
      <c r="Q6443">
        <v>26</v>
      </c>
    </row>
    <row r="6444" spans="1:17" x14ac:dyDescent="0.2">
      <c r="A6444" s="121">
        <v>41364</v>
      </c>
      <c r="B6444" t="s">
        <v>406</v>
      </c>
      <c r="C6444" t="s">
        <v>562</v>
      </c>
      <c r="D6444" t="s">
        <v>569</v>
      </c>
      <c r="E6444" t="s">
        <v>570</v>
      </c>
      <c r="F6444" t="s">
        <v>413</v>
      </c>
      <c r="G6444">
        <v>3674</v>
      </c>
      <c r="H6444">
        <v>3674</v>
      </c>
      <c r="I6444">
        <v>3590</v>
      </c>
      <c r="J6444">
        <v>3590</v>
      </c>
      <c r="K6444">
        <v>502</v>
      </c>
      <c r="L6444">
        <v>0</v>
      </c>
      <c r="M6444">
        <v>3171</v>
      </c>
      <c r="N6444">
        <v>1</v>
      </c>
      <c r="O6444">
        <v>0</v>
      </c>
      <c r="P6444">
        <v>0</v>
      </c>
      <c r="Q6444">
        <v>0</v>
      </c>
    </row>
    <row r="6445" spans="1:17" x14ac:dyDescent="0.2">
      <c r="A6445" s="121">
        <v>41364</v>
      </c>
      <c r="B6445" t="s">
        <v>406</v>
      </c>
      <c r="C6445" t="s">
        <v>571</v>
      </c>
      <c r="D6445" t="s">
        <v>572</v>
      </c>
      <c r="E6445" t="s">
        <v>573</v>
      </c>
      <c r="F6445" t="s">
        <v>410</v>
      </c>
      <c r="G6445">
        <v>276</v>
      </c>
      <c r="H6445">
        <v>276</v>
      </c>
      <c r="I6445">
        <v>272</v>
      </c>
      <c r="J6445">
        <v>272</v>
      </c>
      <c r="K6445">
        <v>0</v>
      </c>
      <c r="L6445">
        <v>0</v>
      </c>
      <c r="M6445">
        <v>264</v>
      </c>
      <c r="N6445">
        <v>0</v>
      </c>
      <c r="O6445">
        <v>12</v>
      </c>
      <c r="P6445">
        <v>0</v>
      </c>
      <c r="Q6445">
        <v>0</v>
      </c>
    </row>
    <row r="6446" spans="1:17" x14ac:dyDescent="0.2">
      <c r="A6446" s="121">
        <v>41364</v>
      </c>
      <c r="B6446" t="s">
        <v>406</v>
      </c>
      <c r="C6446" t="s">
        <v>574</v>
      </c>
      <c r="D6446" t="s">
        <v>575</v>
      </c>
      <c r="E6446" t="s">
        <v>576</v>
      </c>
      <c r="F6446" t="s">
        <v>413</v>
      </c>
      <c r="G6446">
        <v>650</v>
      </c>
      <c r="H6446">
        <v>650</v>
      </c>
      <c r="I6446">
        <v>647</v>
      </c>
      <c r="J6446">
        <v>647</v>
      </c>
      <c r="K6446">
        <v>164</v>
      </c>
      <c r="L6446">
        <v>0</v>
      </c>
      <c r="M6446">
        <v>469</v>
      </c>
      <c r="N6446">
        <v>5</v>
      </c>
      <c r="O6446">
        <v>12</v>
      </c>
      <c r="P6446">
        <v>0</v>
      </c>
      <c r="Q6446">
        <v>0</v>
      </c>
    </row>
    <row r="6447" spans="1:17" x14ac:dyDescent="0.2">
      <c r="A6447" s="121">
        <v>41364</v>
      </c>
      <c r="B6447" t="s">
        <v>406</v>
      </c>
      <c r="C6447" t="s">
        <v>577</v>
      </c>
      <c r="D6447" t="s">
        <v>578</v>
      </c>
      <c r="E6447" t="s">
        <v>579</v>
      </c>
      <c r="F6447" t="s">
        <v>413</v>
      </c>
      <c r="G6447">
        <v>3721</v>
      </c>
      <c r="H6447">
        <v>3721</v>
      </c>
      <c r="I6447">
        <v>3677</v>
      </c>
      <c r="J6447">
        <v>3677</v>
      </c>
      <c r="K6447">
        <v>900</v>
      </c>
      <c r="L6447">
        <v>17</v>
      </c>
      <c r="M6447">
        <v>2604</v>
      </c>
      <c r="N6447">
        <v>192</v>
      </c>
      <c r="O6447">
        <v>8</v>
      </c>
      <c r="P6447">
        <v>1</v>
      </c>
      <c r="Q6447">
        <v>0</v>
      </c>
    </row>
    <row r="6448" spans="1:17" x14ac:dyDescent="0.2">
      <c r="A6448" s="121">
        <v>41364</v>
      </c>
      <c r="B6448" t="s">
        <v>406</v>
      </c>
      <c r="C6448" t="s">
        <v>577</v>
      </c>
      <c r="D6448" t="s">
        <v>580</v>
      </c>
      <c r="E6448" t="s">
        <v>581</v>
      </c>
      <c r="F6448" t="s">
        <v>413</v>
      </c>
      <c r="G6448">
        <v>1993</v>
      </c>
      <c r="H6448">
        <v>1993</v>
      </c>
      <c r="I6448">
        <v>1929</v>
      </c>
      <c r="J6448">
        <v>1929</v>
      </c>
      <c r="K6448">
        <v>341</v>
      </c>
      <c r="L6448">
        <v>0</v>
      </c>
      <c r="M6448">
        <v>1268</v>
      </c>
      <c r="N6448">
        <v>322</v>
      </c>
      <c r="O6448">
        <v>62</v>
      </c>
      <c r="P6448">
        <v>0</v>
      </c>
      <c r="Q6448">
        <v>0</v>
      </c>
    </row>
    <row r="6449" spans="1:17" x14ac:dyDescent="0.2">
      <c r="A6449" s="121">
        <v>41364</v>
      </c>
      <c r="B6449" t="s">
        <v>406</v>
      </c>
      <c r="C6449" t="s">
        <v>577</v>
      </c>
      <c r="D6449" t="s">
        <v>609</v>
      </c>
      <c r="E6449" t="s">
        <v>610</v>
      </c>
      <c r="F6449" t="s">
        <v>410</v>
      </c>
      <c r="G6449">
        <v>32</v>
      </c>
      <c r="H6449">
        <v>32</v>
      </c>
      <c r="I6449">
        <v>32</v>
      </c>
      <c r="J6449">
        <v>32</v>
      </c>
      <c r="K6449">
        <v>0</v>
      </c>
      <c r="L6449">
        <v>0</v>
      </c>
      <c r="M6449">
        <v>30</v>
      </c>
      <c r="N6449">
        <v>1</v>
      </c>
      <c r="O6449">
        <v>1</v>
      </c>
      <c r="P6449">
        <v>0</v>
      </c>
      <c r="Q6449">
        <v>0</v>
      </c>
    </row>
    <row r="6450" spans="1:17" x14ac:dyDescent="0.2">
      <c r="A6450" s="121">
        <v>41364</v>
      </c>
      <c r="B6450" t="s">
        <v>406</v>
      </c>
      <c r="C6450" t="s">
        <v>577</v>
      </c>
      <c r="D6450" t="s">
        <v>611</v>
      </c>
      <c r="E6450" t="s">
        <v>612</v>
      </c>
      <c r="F6450" t="s">
        <v>410</v>
      </c>
      <c r="G6450">
        <v>4</v>
      </c>
      <c r="H6450">
        <v>4</v>
      </c>
      <c r="I6450">
        <v>4</v>
      </c>
      <c r="J6450">
        <v>4</v>
      </c>
      <c r="K6450">
        <v>0</v>
      </c>
      <c r="L6450">
        <v>0</v>
      </c>
      <c r="M6450">
        <v>2</v>
      </c>
      <c r="N6450">
        <v>0</v>
      </c>
      <c r="O6450">
        <v>2</v>
      </c>
      <c r="P6450">
        <v>0</v>
      </c>
      <c r="Q6450">
        <v>0</v>
      </c>
    </row>
    <row r="6451" spans="1:17" x14ac:dyDescent="0.2">
      <c r="A6451" s="121">
        <v>41364</v>
      </c>
      <c r="B6451" t="s">
        <v>406</v>
      </c>
      <c r="C6451" t="s">
        <v>577</v>
      </c>
      <c r="D6451" t="s">
        <v>584</v>
      </c>
      <c r="E6451" t="s">
        <v>585</v>
      </c>
      <c r="F6451" t="s">
        <v>410</v>
      </c>
      <c r="G6451">
        <v>251</v>
      </c>
      <c r="H6451">
        <v>251</v>
      </c>
      <c r="I6451">
        <v>250</v>
      </c>
      <c r="J6451">
        <v>250</v>
      </c>
      <c r="K6451">
        <v>0</v>
      </c>
      <c r="L6451">
        <v>0</v>
      </c>
      <c r="M6451">
        <v>234</v>
      </c>
      <c r="N6451">
        <v>16</v>
      </c>
      <c r="O6451">
        <v>1</v>
      </c>
      <c r="P6451">
        <v>0</v>
      </c>
      <c r="Q6451">
        <v>0</v>
      </c>
    </row>
    <row r="6452" spans="1:17" x14ac:dyDescent="0.2">
      <c r="A6452" s="121">
        <v>41364</v>
      </c>
      <c r="B6452" t="s">
        <v>406</v>
      </c>
      <c r="C6452" t="s">
        <v>577</v>
      </c>
      <c r="D6452" t="s">
        <v>586</v>
      </c>
      <c r="E6452" t="s">
        <v>587</v>
      </c>
      <c r="F6452" t="s">
        <v>410</v>
      </c>
      <c r="G6452">
        <v>1059</v>
      </c>
      <c r="H6452">
        <v>1059</v>
      </c>
      <c r="I6452">
        <v>1057</v>
      </c>
      <c r="J6452">
        <v>1057</v>
      </c>
      <c r="K6452">
        <v>0</v>
      </c>
      <c r="L6452">
        <v>0</v>
      </c>
      <c r="M6452">
        <v>983</v>
      </c>
      <c r="N6452">
        <v>70</v>
      </c>
      <c r="O6452">
        <v>6</v>
      </c>
      <c r="P6452">
        <v>0</v>
      </c>
      <c r="Q6452">
        <v>0</v>
      </c>
    </row>
    <row r="6453" spans="1:17" x14ac:dyDescent="0.2">
      <c r="A6453" s="121">
        <v>41364</v>
      </c>
      <c r="B6453" t="s">
        <v>406</v>
      </c>
      <c r="C6453" t="s">
        <v>577</v>
      </c>
      <c r="D6453" t="s">
        <v>588</v>
      </c>
      <c r="E6453" t="s">
        <v>589</v>
      </c>
      <c r="F6453" t="s">
        <v>410</v>
      </c>
      <c r="G6453">
        <v>307</v>
      </c>
      <c r="H6453">
        <v>307</v>
      </c>
      <c r="I6453">
        <v>307</v>
      </c>
      <c r="J6453">
        <v>307</v>
      </c>
      <c r="K6453">
        <v>0</v>
      </c>
      <c r="L6453">
        <v>0</v>
      </c>
      <c r="M6453">
        <v>283</v>
      </c>
      <c r="N6453">
        <v>24</v>
      </c>
      <c r="O6453">
        <v>0</v>
      </c>
      <c r="P6453">
        <v>0</v>
      </c>
      <c r="Q6453">
        <v>0</v>
      </c>
    </row>
    <row r="6454" spans="1:17" x14ac:dyDescent="0.2">
      <c r="A6454" s="121">
        <v>41364</v>
      </c>
      <c r="B6454" t="s">
        <v>406</v>
      </c>
      <c r="C6454" t="s">
        <v>577</v>
      </c>
      <c r="D6454" t="s">
        <v>613</v>
      </c>
      <c r="E6454" t="s">
        <v>614</v>
      </c>
      <c r="F6454" t="s">
        <v>410</v>
      </c>
      <c r="G6454">
        <v>188</v>
      </c>
      <c r="H6454">
        <v>188</v>
      </c>
      <c r="I6454">
        <v>188</v>
      </c>
      <c r="J6454">
        <v>188</v>
      </c>
      <c r="K6454">
        <v>0</v>
      </c>
      <c r="L6454">
        <v>0</v>
      </c>
      <c r="M6454">
        <v>175</v>
      </c>
      <c r="N6454">
        <v>7</v>
      </c>
      <c r="O6454">
        <v>6</v>
      </c>
      <c r="P6454">
        <v>0</v>
      </c>
      <c r="Q6454">
        <v>0</v>
      </c>
    </row>
    <row r="6455" spans="1:17" x14ac:dyDescent="0.2">
      <c r="A6455" s="121">
        <v>41364</v>
      </c>
      <c r="B6455" t="s">
        <v>406</v>
      </c>
      <c r="C6455" t="s">
        <v>577</v>
      </c>
      <c r="D6455" t="s">
        <v>590</v>
      </c>
      <c r="E6455" t="s">
        <v>591</v>
      </c>
      <c r="F6455" t="s">
        <v>410</v>
      </c>
      <c r="G6455">
        <v>559</v>
      </c>
      <c r="H6455">
        <v>559</v>
      </c>
      <c r="I6455">
        <v>559</v>
      </c>
      <c r="J6455">
        <v>559</v>
      </c>
      <c r="K6455">
        <v>0</v>
      </c>
      <c r="L6455">
        <v>0</v>
      </c>
      <c r="M6455">
        <v>533</v>
      </c>
      <c r="N6455">
        <v>26</v>
      </c>
      <c r="O6455">
        <v>0</v>
      </c>
      <c r="P6455">
        <v>0</v>
      </c>
      <c r="Q6455">
        <v>0</v>
      </c>
    </row>
    <row r="6456" spans="1:17" x14ac:dyDescent="0.2">
      <c r="A6456" s="121">
        <v>41364</v>
      </c>
      <c r="B6456" t="s">
        <v>406</v>
      </c>
      <c r="C6456" t="s">
        <v>577</v>
      </c>
      <c r="D6456" t="s">
        <v>607</v>
      </c>
      <c r="E6456" t="s">
        <v>608</v>
      </c>
      <c r="F6456" t="s">
        <v>410</v>
      </c>
      <c r="G6456">
        <v>137</v>
      </c>
      <c r="H6456">
        <v>137</v>
      </c>
      <c r="I6456">
        <v>137</v>
      </c>
      <c r="J6456">
        <v>137</v>
      </c>
      <c r="K6456">
        <v>0</v>
      </c>
      <c r="L6456">
        <v>0</v>
      </c>
      <c r="M6456">
        <v>126</v>
      </c>
      <c r="N6456">
        <v>11</v>
      </c>
      <c r="O6456">
        <v>0</v>
      </c>
      <c r="P6456">
        <v>0</v>
      </c>
      <c r="Q6456">
        <v>0</v>
      </c>
    </row>
    <row r="6457" spans="1:17" x14ac:dyDescent="0.2">
      <c r="A6457" s="121">
        <v>41364</v>
      </c>
      <c r="B6457" t="s">
        <v>406</v>
      </c>
      <c r="C6457" t="s">
        <v>577</v>
      </c>
      <c r="D6457" t="s">
        <v>592</v>
      </c>
      <c r="E6457" t="s">
        <v>593</v>
      </c>
      <c r="F6457" t="s">
        <v>410</v>
      </c>
      <c r="G6457">
        <v>516</v>
      </c>
      <c r="H6457">
        <v>516</v>
      </c>
      <c r="I6457">
        <v>516</v>
      </c>
      <c r="J6457">
        <v>516</v>
      </c>
      <c r="K6457">
        <v>0</v>
      </c>
      <c r="L6457">
        <v>0</v>
      </c>
      <c r="M6457">
        <v>474</v>
      </c>
      <c r="N6457">
        <v>39</v>
      </c>
      <c r="O6457">
        <v>3</v>
      </c>
      <c r="P6457">
        <v>0</v>
      </c>
      <c r="Q6457">
        <v>0</v>
      </c>
    </row>
    <row r="6458" spans="1:17" x14ac:dyDescent="0.2">
      <c r="A6458" s="121">
        <v>41364</v>
      </c>
      <c r="B6458" t="s">
        <v>406</v>
      </c>
      <c r="C6458" t="s">
        <v>594</v>
      </c>
      <c r="D6458" t="s">
        <v>595</v>
      </c>
      <c r="E6458" t="s">
        <v>596</v>
      </c>
      <c r="F6458" t="s">
        <v>410</v>
      </c>
      <c r="G6458">
        <v>33</v>
      </c>
      <c r="I6458">
        <v>33</v>
      </c>
    </row>
    <row r="6459" spans="1:17" x14ac:dyDescent="0.2">
      <c r="A6459" s="121">
        <v>41364</v>
      </c>
      <c r="B6459" t="s">
        <v>406</v>
      </c>
      <c r="C6459" t="s">
        <v>594</v>
      </c>
      <c r="D6459" t="s">
        <v>597</v>
      </c>
      <c r="E6459" t="s">
        <v>598</v>
      </c>
      <c r="F6459" t="s">
        <v>413</v>
      </c>
      <c r="G6459">
        <v>497</v>
      </c>
      <c r="H6459">
        <v>497</v>
      </c>
      <c r="I6459">
        <v>490</v>
      </c>
      <c r="J6459">
        <v>490</v>
      </c>
      <c r="K6459">
        <v>91</v>
      </c>
      <c r="L6459">
        <v>0</v>
      </c>
      <c r="M6459">
        <v>388</v>
      </c>
      <c r="N6459">
        <v>15</v>
      </c>
      <c r="O6459">
        <v>3</v>
      </c>
      <c r="P6459">
        <v>0</v>
      </c>
      <c r="Q6459">
        <v>0</v>
      </c>
    </row>
    <row r="6460" spans="1:17" x14ac:dyDescent="0.2">
      <c r="A6460" s="121">
        <v>41364</v>
      </c>
      <c r="B6460" t="s">
        <v>406</v>
      </c>
      <c r="C6460" t="s">
        <v>594</v>
      </c>
      <c r="D6460" t="s">
        <v>599</v>
      </c>
      <c r="E6460" t="s">
        <v>600</v>
      </c>
      <c r="F6460" t="s">
        <v>410</v>
      </c>
      <c r="G6460">
        <v>104</v>
      </c>
      <c r="I6460">
        <v>104</v>
      </c>
    </row>
    <row r="6461" spans="1:17" x14ac:dyDescent="0.2">
      <c r="A6461" s="121">
        <v>41394</v>
      </c>
      <c r="B6461" t="s">
        <v>406</v>
      </c>
      <c r="C6461" t="s">
        <v>407</v>
      </c>
      <c r="D6461" t="s">
        <v>408</v>
      </c>
      <c r="E6461" t="s">
        <v>409</v>
      </c>
      <c r="F6461" t="s">
        <v>410</v>
      </c>
      <c r="G6461">
        <v>174</v>
      </c>
      <c r="I6461">
        <v>174</v>
      </c>
    </row>
    <row r="6462" spans="1:17" x14ac:dyDescent="0.2">
      <c r="A6462" s="121">
        <v>41394</v>
      </c>
      <c r="B6462" t="s">
        <v>406</v>
      </c>
      <c r="C6462" t="s">
        <v>407</v>
      </c>
      <c r="D6462" t="s">
        <v>601</v>
      </c>
      <c r="E6462" t="s">
        <v>602</v>
      </c>
      <c r="F6462" t="s">
        <v>410</v>
      </c>
      <c r="G6462">
        <v>43</v>
      </c>
      <c r="I6462">
        <v>43</v>
      </c>
    </row>
    <row r="6463" spans="1:17" x14ac:dyDescent="0.2">
      <c r="A6463" s="121">
        <v>41394</v>
      </c>
      <c r="B6463" t="s">
        <v>406</v>
      </c>
      <c r="C6463" t="s">
        <v>407</v>
      </c>
      <c r="D6463" t="s">
        <v>411</v>
      </c>
      <c r="E6463" t="s">
        <v>412</v>
      </c>
      <c r="F6463" t="s">
        <v>413</v>
      </c>
      <c r="G6463">
        <v>6151</v>
      </c>
      <c r="H6463">
        <v>6151</v>
      </c>
      <c r="I6463">
        <v>5492</v>
      </c>
      <c r="J6463">
        <v>5492</v>
      </c>
      <c r="K6463">
        <v>2531</v>
      </c>
      <c r="L6463">
        <v>9</v>
      </c>
      <c r="M6463">
        <v>3279</v>
      </c>
      <c r="N6463">
        <v>108</v>
      </c>
      <c r="O6463">
        <v>224</v>
      </c>
      <c r="P6463">
        <v>56</v>
      </c>
      <c r="Q6463">
        <v>6</v>
      </c>
    </row>
    <row r="6464" spans="1:17" x14ac:dyDescent="0.2">
      <c r="A6464" s="121">
        <v>41394</v>
      </c>
      <c r="B6464" t="s">
        <v>406</v>
      </c>
      <c r="C6464" t="s">
        <v>407</v>
      </c>
      <c r="D6464" t="s">
        <v>416</v>
      </c>
      <c r="E6464" t="s">
        <v>417</v>
      </c>
      <c r="F6464" t="s">
        <v>413</v>
      </c>
      <c r="G6464">
        <v>3793</v>
      </c>
      <c r="H6464">
        <v>3793</v>
      </c>
      <c r="I6464">
        <v>3297</v>
      </c>
      <c r="J6464">
        <v>3297</v>
      </c>
      <c r="K6464">
        <v>1271</v>
      </c>
      <c r="L6464">
        <v>9</v>
      </c>
      <c r="M6464">
        <v>2273</v>
      </c>
      <c r="N6464">
        <v>158</v>
      </c>
      <c r="O6464">
        <v>82</v>
      </c>
      <c r="P6464">
        <v>53</v>
      </c>
      <c r="Q6464">
        <v>10</v>
      </c>
    </row>
    <row r="6465" spans="1:17" x14ac:dyDescent="0.2">
      <c r="A6465" s="121">
        <v>41394</v>
      </c>
      <c r="B6465" t="s">
        <v>406</v>
      </c>
      <c r="C6465" t="s">
        <v>407</v>
      </c>
      <c r="D6465" t="s">
        <v>618</v>
      </c>
      <c r="E6465" t="s">
        <v>619</v>
      </c>
      <c r="F6465" t="s">
        <v>410</v>
      </c>
      <c r="G6465">
        <v>108</v>
      </c>
      <c r="I6465">
        <v>108</v>
      </c>
    </row>
    <row r="6466" spans="1:17" x14ac:dyDescent="0.2">
      <c r="A6466" s="121">
        <v>41394</v>
      </c>
      <c r="B6466" t="s">
        <v>406</v>
      </c>
      <c r="C6466" t="s">
        <v>418</v>
      </c>
      <c r="D6466" t="s">
        <v>419</v>
      </c>
      <c r="E6466" t="s">
        <v>420</v>
      </c>
      <c r="F6466" t="s">
        <v>410</v>
      </c>
      <c r="G6466">
        <v>15</v>
      </c>
      <c r="I6466">
        <v>15</v>
      </c>
    </row>
    <row r="6467" spans="1:17" x14ac:dyDescent="0.2">
      <c r="A6467" s="121">
        <v>41394</v>
      </c>
      <c r="B6467" t="s">
        <v>406</v>
      </c>
      <c r="C6467" t="s">
        <v>418</v>
      </c>
      <c r="D6467" t="s">
        <v>421</v>
      </c>
      <c r="E6467" t="s">
        <v>422</v>
      </c>
      <c r="F6467" t="s">
        <v>410</v>
      </c>
      <c r="G6467">
        <v>112</v>
      </c>
      <c r="I6467">
        <v>112</v>
      </c>
    </row>
    <row r="6468" spans="1:17" x14ac:dyDescent="0.2">
      <c r="A6468" s="121">
        <v>41394</v>
      </c>
      <c r="B6468" t="s">
        <v>406</v>
      </c>
      <c r="C6468" t="s">
        <v>418</v>
      </c>
      <c r="D6468" t="s">
        <v>423</v>
      </c>
      <c r="E6468" t="s">
        <v>424</v>
      </c>
      <c r="F6468" t="s">
        <v>410</v>
      </c>
      <c r="G6468">
        <v>11</v>
      </c>
      <c r="I6468">
        <v>11</v>
      </c>
    </row>
    <row r="6469" spans="1:17" x14ac:dyDescent="0.2">
      <c r="A6469" s="121">
        <v>41394</v>
      </c>
      <c r="B6469" t="s">
        <v>406</v>
      </c>
      <c r="C6469" t="s">
        <v>418</v>
      </c>
      <c r="D6469" t="s">
        <v>425</v>
      </c>
      <c r="E6469" t="s">
        <v>426</v>
      </c>
      <c r="F6469" t="s">
        <v>410</v>
      </c>
      <c r="G6469">
        <v>51</v>
      </c>
      <c r="I6469">
        <v>51</v>
      </c>
    </row>
    <row r="6470" spans="1:17" x14ac:dyDescent="0.2">
      <c r="A6470" s="121">
        <v>41394</v>
      </c>
      <c r="B6470" t="s">
        <v>406</v>
      </c>
      <c r="C6470" t="s">
        <v>418</v>
      </c>
      <c r="D6470" t="s">
        <v>427</v>
      </c>
      <c r="E6470" t="s">
        <v>428</v>
      </c>
      <c r="F6470" t="s">
        <v>413</v>
      </c>
      <c r="G6470">
        <v>2117</v>
      </c>
      <c r="H6470">
        <v>2117</v>
      </c>
      <c r="I6470">
        <v>2031</v>
      </c>
      <c r="J6470">
        <v>2031</v>
      </c>
      <c r="K6470">
        <v>743</v>
      </c>
      <c r="L6470">
        <v>5</v>
      </c>
      <c r="M6470">
        <v>1034</v>
      </c>
      <c r="N6470">
        <v>313</v>
      </c>
      <c r="O6470">
        <v>22</v>
      </c>
      <c r="P6470">
        <v>6</v>
      </c>
      <c r="Q6470">
        <v>0</v>
      </c>
    </row>
    <row r="6471" spans="1:17" x14ac:dyDescent="0.2">
      <c r="A6471" s="121">
        <v>41394</v>
      </c>
      <c r="B6471" t="s">
        <v>406</v>
      </c>
      <c r="C6471" t="s">
        <v>429</v>
      </c>
      <c r="D6471" t="s">
        <v>430</v>
      </c>
      <c r="E6471" t="s">
        <v>431</v>
      </c>
      <c r="F6471" t="s">
        <v>410</v>
      </c>
      <c r="G6471">
        <v>32</v>
      </c>
      <c r="I6471">
        <v>32</v>
      </c>
    </row>
    <row r="6472" spans="1:17" x14ac:dyDescent="0.2">
      <c r="A6472" s="121">
        <v>41394</v>
      </c>
      <c r="B6472" t="s">
        <v>406</v>
      </c>
      <c r="C6472" t="s">
        <v>429</v>
      </c>
      <c r="D6472" t="s">
        <v>432</v>
      </c>
      <c r="E6472" t="s">
        <v>433</v>
      </c>
      <c r="F6472" t="s">
        <v>410</v>
      </c>
      <c r="G6472">
        <v>30</v>
      </c>
      <c r="I6472">
        <v>30</v>
      </c>
    </row>
    <row r="6473" spans="1:17" x14ac:dyDescent="0.2">
      <c r="A6473" s="121">
        <v>41394</v>
      </c>
      <c r="B6473" t="s">
        <v>406</v>
      </c>
      <c r="C6473" t="s">
        <v>429</v>
      </c>
      <c r="D6473" t="s">
        <v>434</v>
      </c>
      <c r="E6473" t="s">
        <v>435</v>
      </c>
      <c r="F6473" t="s">
        <v>410</v>
      </c>
      <c r="G6473">
        <v>4</v>
      </c>
      <c r="I6473">
        <v>4</v>
      </c>
    </row>
    <row r="6474" spans="1:17" x14ac:dyDescent="0.2">
      <c r="A6474" s="121">
        <v>41394</v>
      </c>
      <c r="B6474" t="s">
        <v>406</v>
      </c>
      <c r="C6474" t="s">
        <v>429</v>
      </c>
      <c r="D6474" t="s">
        <v>436</v>
      </c>
      <c r="E6474" t="s">
        <v>437</v>
      </c>
      <c r="F6474" t="s">
        <v>410</v>
      </c>
      <c r="G6474">
        <v>11</v>
      </c>
      <c r="H6474">
        <v>11</v>
      </c>
      <c r="I6474">
        <v>11</v>
      </c>
      <c r="J6474">
        <v>11</v>
      </c>
      <c r="K6474">
        <v>0</v>
      </c>
      <c r="L6474">
        <v>0</v>
      </c>
      <c r="M6474">
        <v>8</v>
      </c>
      <c r="N6474">
        <v>3</v>
      </c>
      <c r="O6474">
        <v>0</v>
      </c>
      <c r="P6474">
        <v>0</v>
      </c>
      <c r="Q6474">
        <v>0</v>
      </c>
    </row>
    <row r="6475" spans="1:17" x14ac:dyDescent="0.2">
      <c r="A6475" s="121">
        <v>41394</v>
      </c>
      <c r="B6475" t="s">
        <v>406</v>
      </c>
      <c r="C6475" t="s">
        <v>429</v>
      </c>
      <c r="D6475" t="s">
        <v>438</v>
      </c>
      <c r="E6475" t="s">
        <v>439</v>
      </c>
      <c r="F6475" t="s">
        <v>413</v>
      </c>
      <c r="G6475">
        <v>914</v>
      </c>
      <c r="H6475">
        <v>914</v>
      </c>
      <c r="I6475">
        <v>894</v>
      </c>
      <c r="J6475">
        <v>894</v>
      </c>
      <c r="K6475">
        <v>94</v>
      </c>
      <c r="L6475">
        <v>1</v>
      </c>
      <c r="M6475">
        <v>793</v>
      </c>
      <c r="N6475">
        <v>26</v>
      </c>
      <c r="O6475">
        <v>0</v>
      </c>
      <c r="P6475">
        <v>1</v>
      </c>
      <c r="Q6475">
        <v>0</v>
      </c>
    </row>
    <row r="6476" spans="1:17" x14ac:dyDescent="0.2">
      <c r="A6476" s="121">
        <v>41394</v>
      </c>
      <c r="B6476" t="s">
        <v>406</v>
      </c>
      <c r="C6476" t="s">
        <v>429</v>
      </c>
      <c r="D6476" t="s">
        <v>440</v>
      </c>
      <c r="E6476" t="s">
        <v>441</v>
      </c>
      <c r="F6476" t="s">
        <v>413</v>
      </c>
      <c r="G6476">
        <v>2903</v>
      </c>
      <c r="H6476">
        <v>2903</v>
      </c>
      <c r="I6476">
        <v>2707</v>
      </c>
      <c r="J6476">
        <v>2707</v>
      </c>
      <c r="K6476">
        <v>985</v>
      </c>
      <c r="L6476">
        <v>2</v>
      </c>
      <c r="M6476">
        <v>1835</v>
      </c>
      <c r="N6476">
        <v>80</v>
      </c>
      <c r="O6476">
        <v>1</v>
      </c>
      <c r="P6476">
        <v>2</v>
      </c>
      <c r="Q6476">
        <v>0</v>
      </c>
    </row>
    <row r="6477" spans="1:17" x14ac:dyDescent="0.2">
      <c r="A6477" s="121">
        <v>41394</v>
      </c>
      <c r="B6477" t="s">
        <v>406</v>
      </c>
      <c r="C6477" t="s">
        <v>442</v>
      </c>
      <c r="D6477" t="s">
        <v>443</v>
      </c>
      <c r="E6477" t="s">
        <v>444</v>
      </c>
      <c r="F6477" t="s">
        <v>413</v>
      </c>
      <c r="G6477">
        <v>5251</v>
      </c>
      <c r="H6477">
        <v>5251</v>
      </c>
      <c r="I6477">
        <v>4779</v>
      </c>
      <c r="J6477">
        <v>4779</v>
      </c>
      <c r="K6477">
        <v>1414</v>
      </c>
      <c r="L6477">
        <v>8</v>
      </c>
      <c r="M6477">
        <v>3484</v>
      </c>
      <c r="N6477">
        <v>158</v>
      </c>
      <c r="O6477">
        <v>187</v>
      </c>
      <c r="P6477">
        <v>93</v>
      </c>
      <c r="Q6477">
        <v>3</v>
      </c>
    </row>
    <row r="6478" spans="1:17" x14ac:dyDescent="0.2">
      <c r="A6478" s="121">
        <v>41394</v>
      </c>
      <c r="B6478" t="s">
        <v>406</v>
      </c>
      <c r="C6478" t="s">
        <v>442</v>
      </c>
      <c r="D6478" t="s">
        <v>445</v>
      </c>
      <c r="E6478" t="s">
        <v>446</v>
      </c>
      <c r="F6478" t="s">
        <v>410</v>
      </c>
      <c r="G6478">
        <v>131</v>
      </c>
      <c r="I6478">
        <v>131</v>
      </c>
    </row>
    <row r="6479" spans="1:17" x14ac:dyDescent="0.2">
      <c r="A6479" s="121">
        <v>41394</v>
      </c>
      <c r="B6479" t="s">
        <v>406</v>
      </c>
      <c r="C6479" t="s">
        <v>442</v>
      </c>
      <c r="D6479" t="s">
        <v>447</v>
      </c>
      <c r="E6479" t="s">
        <v>448</v>
      </c>
      <c r="F6479" t="s">
        <v>410</v>
      </c>
      <c r="G6479">
        <v>363</v>
      </c>
      <c r="I6479">
        <v>363</v>
      </c>
    </row>
    <row r="6480" spans="1:17" x14ac:dyDescent="0.2">
      <c r="A6480" s="121">
        <v>41394</v>
      </c>
      <c r="B6480" t="s">
        <v>406</v>
      </c>
      <c r="C6480" t="s">
        <v>442</v>
      </c>
      <c r="D6480" t="s">
        <v>449</v>
      </c>
      <c r="E6480" t="s">
        <v>624</v>
      </c>
      <c r="F6480" t="s">
        <v>410</v>
      </c>
      <c r="G6480">
        <v>1566</v>
      </c>
      <c r="H6480">
        <v>1566</v>
      </c>
      <c r="I6480">
        <v>1560</v>
      </c>
      <c r="J6480">
        <v>1560</v>
      </c>
      <c r="K6480">
        <v>5</v>
      </c>
      <c r="L6480">
        <v>0</v>
      </c>
      <c r="M6480">
        <v>1371</v>
      </c>
      <c r="N6480">
        <v>175</v>
      </c>
      <c r="O6480">
        <v>15</v>
      </c>
      <c r="P6480">
        <v>0</v>
      </c>
      <c r="Q6480">
        <v>0</v>
      </c>
    </row>
    <row r="6481" spans="1:17" x14ac:dyDescent="0.2">
      <c r="A6481" s="121">
        <v>41394</v>
      </c>
      <c r="B6481" t="s">
        <v>406</v>
      </c>
      <c r="C6481" t="s">
        <v>451</v>
      </c>
      <c r="D6481" t="s">
        <v>454</v>
      </c>
      <c r="E6481" t="s">
        <v>621</v>
      </c>
      <c r="F6481" t="s">
        <v>410</v>
      </c>
      <c r="G6481">
        <v>1173</v>
      </c>
      <c r="H6481">
        <v>1173</v>
      </c>
      <c r="I6481">
        <v>1173</v>
      </c>
      <c r="J6481">
        <v>1173</v>
      </c>
      <c r="K6481">
        <v>1</v>
      </c>
      <c r="L6481">
        <v>0</v>
      </c>
      <c r="M6481">
        <v>368</v>
      </c>
      <c r="N6481">
        <v>50</v>
      </c>
      <c r="O6481">
        <v>754</v>
      </c>
      <c r="P6481">
        <v>0</v>
      </c>
      <c r="Q6481">
        <v>0</v>
      </c>
    </row>
    <row r="6482" spans="1:17" x14ac:dyDescent="0.2">
      <c r="A6482" s="121">
        <v>41394</v>
      </c>
      <c r="B6482" t="s">
        <v>406</v>
      </c>
      <c r="C6482" t="s">
        <v>451</v>
      </c>
      <c r="D6482" t="s">
        <v>622</v>
      </c>
      <c r="E6482" t="s">
        <v>623</v>
      </c>
      <c r="F6482" t="s">
        <v>413</v>
      </c>
      <c r="G6482">
        <v>4827</v>
      </c>
      <c r="H6482">
        <v>4827</v>
      </c>
      <c r="I6482">
        <v>4045</v>
      </c>
      <c r="J6482">
        <v>4045</v>
      </c>
      <c r="K6482">
        <v>1217</v>
      </c>
      <c r="L6482">
        <v>6</v>
      </c>
      <c r="M6482">
        <v>1681</v>
      </c>
      <c r="N6482">
        <v>69</v>
      </c>
      <c r="O6482">
        <v>1854</v>
      </c>
      <c r="P6482">
        <v>133</v>
      </c>
      <c r="Q6482">
        <v>38</v>
      </c>
    </row>
    <row r="6483" spans="1:17" x14ac:dyDescent="0.2">
      <c r="A6483" s="121">
        <v>41394</v>
      </c>
      <c r="B6483" t="s">
        <v>406</v>
      </c>
      <c r="C6483" t="s">
        <v>456</v>
      </c>
      <c r="D6483" t="s">
        <v>457</v>
      </c>
      <c r="E6483" t="s">
        <v>458</v>
      </c>
      <c r="F6483" t="s">
        <v>413</v>
      </c>
      <c r="G6483">
        <v>5213</v>
      </c>
      <c r="H6483">
        <v>5213</v>
      </c>
      <c r="I6483">
        <v>4793</v>
      </c>
      <c r="J6483">
        <v>4793</v>
      </c>
      <c r="K6483">
        <v>1332</v>
      </c>
      <c r="L6483">
        <v>17</v>
      </c>
      <c r="M6483">
        <v>3385</v>
      </c>
      <c r="N6483">
        <v>33</v>
      </c>
      <c r="O6483">
        <v>446</v>
      </c>
      <c r="P6483">
        <v>30</v>
      </c>
      <c r="Q6483">
        <v>1</v>
      </c>
    </row>
    <row r="6484" spans="1:17" x14ac:dyDescent="0.2">
      <c r="A6484" s="121">
        <v>41394</v>
      </c>
      <c r="B6484" t="s">
        <v>406</v>
      </c>
      <c r="C6484" t="s">
        <v>456</v>
      </c>
      <c r="D6484" t="s">
        <v>459</v>
      </c>
      <c r="E6484" t="s">
        <v>460</v>
      </c>
      <c r="F6484" t="s">
        <v>413</v>
      </c>
      <c r="G6484">
        <v>1628</v>
      </c>
      <c r="H6484">
        <v>1628</v>
      </c>
      <c r="I6484">
        <v>1603</v>
      </c>
      <c r="J6484">
        <v>1603</v>
      </c>
      <c r="K6484">
        <v>394</v>
      </c>
      <c r="L6484">
        <v>0</v>
      </c>
      <c r="M6484">
        <v>1231</v>
      </c>
      <c r="N6484">
        <v>0</v>
      </c>
      <c r="O6484">
        <v>3</v>
      </c>
      <c r="P6484">
        <v>0</v>
      </c>
      <c r="Q6484">
        <v>0</v>
      </c>
    </row>
    <row r="6485" spans="1:17" x14ac:dyDescent="0.2">
      <c r="A6485" s="121">
        <v>41394</v>
      </c>
      <c r="B6485" t="s">
        <v>406</v>
      </c>
      <c r="C6485" t="s">
        <v>456</v>
      </c>
      <c r="D6485" t="s">
        <v>461</v>
      </c>
      <c r="E6485" t="s">
        <v>462</v>
      </c>
      <c r="F6485" t="s">
        <v>410</v>
      </c>
      <c r="G6485">
        <v>87</v>
      </c>
      <c r="I6485">
        <v>87</v>
      </c>
    </row>
    <row r="6486" spans="1:17" x14ac:dyDescent="0.2">
      <c r="A6486" s="121">
        <v>41394</v>
      </c>
      <c r="B6486" t="s">
        <v>406</v>
      </c>
      <c r="C6486" t="s">
        <v>456</v>
      </c>
      <c r="D6486" t="s">
        <v>463</v>
      </c>
      <c r="E6486" t="s">
        <v>464</v>
      </c>
      <c r="F6486" t="s">
        <v>410</v>
      </c>
      <c r="G6486">
        <v>19</v>
      </c>
      <c r="I6486">
        <v>19</v>
      </c>
    </row>
    <row r="6487" spans="1:17" x14ac:dyDescent="0.2">
      <c r="A6487" s="121">
        <v>41394</v>
      </c>
      <c r="B6487" t="s">
        <v>406</v>
      </c>
      <c r="C6487" t="s">
        <v>456</v>
      </c>
      <c r="D6487" t="s">
        <v>465</v>
      </c>
      <c r="E6487" t="s">
        <v>466</v>
      </c>
      <c r="F6487" t="s">
        <v>410</v>
      </c>
      <c r="G6487">
        <v>52</v>
      </c>
      <c r="I6487">
        <v>52</v>
      </c>
    </row>
    <row r="6488" spans="1:17" x14ac:dyDescent="0.2">
      <c r="A6488" s="121">
        <v>41394</v>
      </c>
      <c r="B6488" t="s">
        <v>406</v>
      </c>
      <c r="C6488" t="s">
        <v>456</v>
      </c>
      <c r="D6488" t="s">
        <v>467</v>
      </c>
      <c r="E6488" t="s">
        <v>468</v>
      </c>
      <c r="F6488" t="s">
        <v>410</v>
      </c>
      <c r="G6488">
        <v>1361</v>
      </c>
      <c r="I6488">
        <v>1359</v>
      </c>
    </row>
    <row r="6489" spans="1:17" x14ac:dyDescent="0.2">
      <c r="A6489" s="121">
        <v>41394</v>
      </c>
      <c r="B6489" t="s">
        <v>406</v>
      </c>
      <c r="C6489" t="s">
        <v>456</v>
      </c>
      <c r="D6489" t="s">
        <v>469</v>
      </c>
      <c r="E6489" t="s">
        <v>470</v>
      </c>
      <c r="F6489" t="s">
        <v>410</v>
      </c>
      <c r="G6489">
        <v>834</v>
      </c>
      <c r="I6489">
        <v>830</v>
      </c>
    </row>
    <row r="6490" spans="1:17" x14ac:dyDescent="0.2">
      <c r="A6490" s="121">
        <v>41394</v>
      </c>
      <c r="B6490" t="s">
        <v>406</v>
      </c>
      <c r="C6490" t="s">
        <v>456</v>
      </c>
      <c r="D6490" t="s">
        <v>471</v>
      </c>
      <c r="E6490" t="s">
        <v>472</v>
      </c>
      <c r="F6490" t="s">
        <v>410</v>
      </c>
      <c r="G6490">
        <v>274</v>
      </c>
      <c r="I6490">
        <v>273</v>
      </c>
    </row>
    <row r="6491" spans="1:17" x14ac:dyDescent="0.2">
      <c r="A6491" s="121">
        <v>41394</v>
      </c>
      <c r="B6491" t="s">
        <v>406</v>
      </c>
      <c r="C6491" t="s">
        <v>456</v>
      </c>
      <c r="D6491" t="s">
        <v>473</v>
      </c>
      <c r="E6491" t="s">
        <v>474</v>
      </c>
      <c r="F6491" t="s">
        <v>410</v>
      </c>
      <c r="G6491">
        <v>216</v>
      </c>
      <c r="I6491">
        <v>216</v>
      </c>
    </row>
    <row r="6492" spans="1:17" x14ac:dyDescent="0.2">
      <c r="A6492" s="121">
        <v>41394</v>
      </c>
      <c r="B6492" t="s">
        <v>406</v>
      </c>
      <c r="C6492" t="s">
        <v>456</v>
      </c>
      <c r="D6492" t="s">
        <v>475</v>
      </c>
      <c r="E6492" t="s">
        <v>476</v>
      </c>
      <c r="F6492" t="s">
        <v>410</v>
      </c>
      <c r="G6492">
        <v>323</v>
      </c>
      <c r="I6492">
        <v>316</v>
      </c>
    </row>
    <row r="6493" spans="1:17" x14ac:dyDescent="0.2">
      <c r="A6493" s="121">
        <v>41394</v>
      </c>
      <c r="B6493" t="s">
        <v>406</v>
      </c>
      <c r="C6493" t="s">
        <v>456</v>
      </c>
      <c r="D6493" t="s">
        <v>477</v>
      </c>
      <c r="E6493" t="s">
        <v>478</v>
      </c>
      <c r="F6493" t="s">
        <v>413</v>
      </c>
      <c r="G6493">
        <v>2138</v>
      </c>
      <c r="H6493">
        <v>2138</v>
      </c>
      <c r="I6493">
        <v>1944</v>
      </c>
      <c r="J6493">
        <v>1944</v>
      </c>
      <c r="K6493">
        <v>441</v>
      </c>
      <c r="L6493">
        <v>5</v>
      </c>
      <c r="M6493">
        <v>1639</v>
      </c>
      <c r="N6493">
        <v>47</v>
      </c>
      <c r="O6493">
        <v>6</v>
      </c>
      <c r="P6493">
        <v>28</v>
      </c>
      <c r="Q6493">
        <v>3</v>
      </c>
    </row>
    <row r="6494" spans="1:17" x14ac:dyDescent="0.2">
      <c r="A6494" s="121">
        <v>41394</v>
      </c>
      <c r="B6494" t="s">
        <v>406</v>
      </c>
      <c r="C6494" t="s">
        <v>456</v>
      </c>
      <c r="D6494" t="s">
        <v>479</v>
      </c>
      <c r="E6494" t="s">
        <v>480</v>
      </c>
      <c r="F6494" t="s">
        <v>410</v>
      </c>
      <c r="G6494">
        <v>65</v>
      </c>
      <c r="I6494">
        <v>65</v>
      </c>
    </row>
    <row r="6495" spans="1:17" x14ac:dyDescent="0.2">
      <c r="A6495" s="121">
        <v>41394</v>
      </c>
      <c r="B6495" t="s">
        <v>406</v>
      </c>
      <c r="C6495" t="s">
        <v>456</v>
      </c>
      <c r="D6495" t="s">
        <v>481</v>
      </c>
      <c r="E6495" t="s">
        <v>482</v>
      </c>
      <c r="F6495" t="s">
        <v>410</v>
      </c>
      <c r="G6495">
        <v>41</v>
      </c>
      <c r="I6495">
        <v>41</v>
      </c>
    </row>
    <row r="6496" spans="1:17" x14ac:dyDescent="0.2">
      <c r="A6496" s="121">
        <v>41394</v>
      </c>
      <c r="B6496" t="s">
        <v>406</v>
      </c>
      <c r="C6496" t="s">
        <v>456</v>
      </c>
      <c r="D6496" t="s">
        <v>483</v>
      </c>
      <c r="E6496" t="s">
        <v>484</v>
      </c>
      <c r="F6496" t="s">
        <v>410</v>
      </c>
      <c r="G6496">
        <v>103</v>
      </c>
      <c r="I6496">
        <v>103</v>
      </c>
    </row>
    <row r="6497" spans="1:17" x14ac:dyDescent="0.2">
      <c r="A6497" s="121">
        <v>41394</v>
      </c>
      <c r="B6497" t="s">
        <v>406</v>
      </c>
      <c r="C6497" t="s">
        <v>456</v>
      </c>
      <c r="D6497" t="s">
        <v>485</v>
      </c>
      <c r="E6497" t="s">
        <v>486</v>
      </c>
      <c r="F6497" t="s">
        <v>410</v>
      </c>
      <c r="G6497">
        <v>23</v>
      </c>
      <c r="I6497">
        <v>23</v>
      </c>
    </row>
    <row r="6498" spans="1:17" x14ac:dyDescent="0.2">
      <c r="A6498" s="121">
        <v>41394</v>
      </c>
      <c r="B6498" t="s">
        <v>406</v>
      </c>
      <c r="C6498" t="s">
        <v>456</v>
      </c>
      <c r="D6498" t="s">
        <v>487</v>
      </c>
      <c r="E6498" t="s">
        <v>488</v>
      </c>
      <c r="F6498" t="s">
        <v>410</v>
      </c>
      <c r="G6498">
        <v>24</v>
      </c>
      <c r="I6498">
        <v>24</v>
      </c>
    </row>
    <row r="6499" spans="1:17" x14ac:dyDescent="0.2">
      <c r="A6499" s="121">
        <v>41394</v>
      </c>
      <c r="B6499" t="s">
        <v>406</v>
      </c>
      <c r="C6499" t="s">
        <v>456</v>
      </c>
      <c r="D6499" t="s">
        <v>489</v>
      </c>
      <c r="E6499" t="s">
        <v>490</v>
      </c>
      <c r="F6499" t="s">
        <v>410</v>
      </c>
      <c r="G6499">
        <v>115</v>
      </c>
      <c r="I6499">
        <v>115</v>
      </c>
    </row>
    <row r="6500" spans="1:17" x14ac:dyDescent="0.2">
      <c r="A6500" s="121">
        <v>41394</v>
      </c>
      <c r="B6500" t="s">
        <v>406</v>
      </c>
      <c r="C6500" t="s">
        <v>491</v>
      </c>
      <c r="D6500" t="s">
        <v>492</v>
      </c>
      <c r="E6500" t="s">
        <v>493</v>
      </c>
      <c r="F6500" t="s">
        <v>410</v>
      </c>
      <c r="G6500">
        <v>1245</v>
      </c>
      <c r="H6500">
        <v>1245</v>
      </c>
      <c r="I6500">
        <v>1192</v>
      </c>
      <c r="J6500">
        <v>1192</v>
      </c>
      <c r="K6500">
        <v>216</v>
      </c>
      <c r="L6500">
        <v>2</v>
      </c>
      <c r="M6500">
        <v>975</v>
      </c>
      <c r="N6500">
        <v>48</v>
      </c>
      <c r="O6500">
        <v>4</v>
      </c>
      <c r="P6500">
        <v>1</v>
      </c>
      <c r="Q6500">
        <v>0</v>
      </c>
    </row>
    <row r="6501" spans="1:17" x14ac:dyDescent="0.2">
      <c r="A6501" s="121">
        <v>41394</v>
      </c>
      <c r="B6501" t="s">
        <v>406</v>
      </c>
      <c r="C6501" t="s">
        <v>491</v>
      </c>
      <c r="D6501" t="s">
        <v>494</v>
      </c>
      <c r="E6501" t="s">
        <v>495</v>
      </c>
      <c r="F6501" t="s">
        <v>413</v>
      </c>
      <c r="G6501">
        <v>2699</v>
      </c>
      <c r="H6501">
        <v>2699</v>
      </c>
      <c r="I6501">
        <v>2458</v>
      </c>
      <c r="J6501">
        <v>2458</v>
      </c>
      <c r="K6501">
        <v>770</v>
      </c>
      <c r="L6501">
        <v>5</v>
      </c>
      <c r="M6501">
        <v>1700</v>
      </c>
      <c r="N6501">
        <v>20</v>
      </c>
      <c r="O6501">
        <v>204</v>
      </c>
      <c r="P6501">
        <v>4</v>
      </c>
      <c r="Q6501">
        <v>0</v>
      </c>
    </row>
    <row r="6502" spans="1:17" x14ac:dyDescent="0.2">
      <c r="A6502" s="121">
        <v>41394</v>
      </c>
      <c r="B6502" t="s">
        <v>406</v>
      </c>
      <c r="C6502" t="s">
        <v>491</v>
      </c>
      <c r="D6502" t="s">
        <v>496</v>
      </c>
      <c r="E6502" t="s">
        <v>497</v>
      </c>
      <c r="F6502" t="s">
        <v>413</v>
      </c>
      <c r="G6502">
        <v>5817</v>
      </c>
      <c r="H6502">
        <v>5817</v>
      </c>
      <c r="I6502">
        <v>5135</v>
      </c>
      <c r="J6502">
        <v>5135</v>
      </c>
      <c r="K6502">
        <v>2016</v>
      </c>
      <c r="L6502">
        <v>19</v>
      </c>
      <c r="M6502">
        <v>3492</v>
      </c>
      <c r="N6502">
        <v>116</v>
      </c>
      <c r="O6502">
        <v>174</v>
      </c>
      <c r="P6502">
        <v>31</v>
      </c>
      <c r="Q6502">
        <v>0</v>
      </c>
    </row>
    <row r="6503" spans="1:17" x14ac:dyDescent="0.2">
      <c r="A6503" s="121">
        <v>41394</v>
      </c>
      <c r="B6503" t="s">
        <v>406</v>
      </c>
      <c r="C6503" t="s">
        <v>491</v>
      </c>
      <c r="D6503" t="s">
        <v>498</v>
      </c>
      <c r="E6503" t="s">
        <v>499</v>
      </c>
      <c r="F6503" t="s">
        <v>413</v>
      </c>
      <c r="G6503">
        <v>6990</v>
      </c>
      <c r="H6503">
        <v>6990</v>
      </c>
      <c r="I6503">
        <v>6192</v>
      </c>
      <c r="J6503">
        <v>6192</v>
      </c>
      <c r="K6503">
        <v>1703</v>
      </c>
      <c r="L6503">
        <v>16</v>
      </c>
      <c r="M6503">
        <v>4701</v>
      </c>
      <c r="N6503">
        <v>123</v>
      </c>
      <c r="O6503">
        <v>447</v>
      </c>
      <c r="P6503">
        <v>22</v>
      </c>
      <c r="Q6503">
        <v>0</v>
      </c>
    </row>
    <row r="6504" spans="1:17" x14ac:dyDescent="0.2">
      <c r="A6504" s="121">
        <v>41394</v>
      </c>
      <c r="B6504" t="s">
        <v>406</v>
      </c>
      <c r="C6504" t="s">
        <v>491</v>
      </c>
      <c r="D6504" t="s">
        <v>500</v>
      </c>
      <c r="E6504" t="s">
        <v>620</v>
      </c>
      <c r="F6504" t="s">
        <v>410</v>
      </c>
      <c r="G6504">
        <v>1331</v>
      </c>
      <c r="H6504">
        <v>1331</v>
      </c>
      <c r="I6504">
        <v>1331</v>
      </c>
      <c r="J6504">
        <v>1331</v>
      </c>
      <c r="K6504">
        <v>7</v>
      </c>
      <c r="L6504">
        <v>0</v>
      </c>
      <c r="M6504">
        <v>1187</v>
      </c>
      <c r="N6504">
        <v>3</v>
      </c>
      <c r="O6504">
        <v>134</v>
      </c>
      <c r="P6504">
        <v>0</v>
      </c>
      <c r="Q6504">
        <v>0</v>
      </c>
    </row>
    <row r="6505" spans="1:17" x14ac:dyDescent="0.2">
      <c r="A6505" s="121">
        <v>41394</v>
      </c>
      <c r="B6505" t="s">
        <v>406</v>
      </c>
      <c r="C6505" t="s">
        <v>491</v>
      </c>
      <c r="D6505" t="s">
        <v>502</v>
      </c>
      <c r="E6505" t="s">
        <v>615</v>
      </c>
      <c r="F6505" t="s">
        <v>410</v>
      </c>
      <c r="G6505">
        <v>1629</v>
      </c>
      <c r="H6505">
        <v>1629</v>
      </c>
      <c r="I6505">
        <v>1629</v>
      </c>
      <c r="J6505">
        <v>1629</v>
      </c>
      <c r="K6505">
        <v>0</v>
      </c>
      <c r="L6505">
        <v>1</v>
      </c>
      <c r="M6505">
        <v>1546</v>
      </c>
      <c r="N6505">
        <v>77</v>
      </c>
      <c r="O6505">
        <v>5</v>
      </c>
      <c r="P6505">
        <v>0</v>
      </c>
      <c r="Q6505">
        <v>0</v>
      </c>
    </row>
    <row r="6506" spans="1:17" x14ac:dyDescent="0.2">
      <c r="A6506" s="121">
        <v>41394</v>
      </c>
      <c r="B6506" t="s">
        <v>406</v>
      </c>
      <c r="C6506" t="s">
        <v>491</v>
      </c>
      <c r="D6506" t="s">
        <v>502</v>
      </c>
      <c r="E6506" t="s">
        <v>503</v>
      </c>
      <c r="F6506" t="s">
        <v>413</v>
      </c>
      <c r="G6506">
        <v>5119</v>
      </c>
      <c r="H6506">
        <v>5119</v>
      </c>
      <c r="I6506">
        <v>4573</v>
      </c>
      <c r="J6506">
        <v>4573</v>
      </c>
      <c r="K6506">
        <v>1588</v>
      </c>
      <c r="L6506">
        <v>13</v>
      </c>
      <c r="M6506">
        <v>3077</v>
      </c>
      <c r="N6506">
        <v>323</v>
      </c>
      <c r="O6506">
        <v>118</v>
      </c>
      <c r="P6506">
        <v>39</v>
      </c>
      <c r="Q6506">
        <v>0</v>
      </c>
    </row>
    <row r="6507" spans="1:17" x14ac:dyDescent="0.2">
      <c r="A6507" s="121">
        <v>41394</v>
      </c>
      <c r="B6507" t="s">
        <v>406</v>
      </c>
      <c r="C6507" t="s">
        <v>491</v>
      </c>
      <c r="D6507" t="s">
        <v>504</v>
      </c>
      <c r="E6507" t="s">
        <v>505</v>
      </c>
      <c r="F6507" t="s">
        <v>413</v>
      </c>
      <c r="G6507">
        <v>3969</v>
      </c>
      <c r="H6507">
        <v>3969</v>
      </c>
      <c r="I6507">
        <v>3635</v>
      </c>
      <c r="J6507">
        <v>3635</v>
      </c>
      <c r="K6507">
        <v>1128</v>
      </c>
      <c r="L6507">
        <v>12</v>
      </c>
      <c r="M6507">
        <v>2581</v>
      </c>
      <c r="N6507">
        <v>168</v>
      </c>
      <c r="O6507">
        <v>80</v>
      </c>
      <c r="P6507">
        <v>4</v>
      </c>
      <c r="Q6507">
        <v>0</v>
      </c>
    </row>
    <row r="6508" spans="1:17" x14ac:dyDescent="0.2">
      <c r="A6508" s="121">
        <v>41394</v>
      </c>
      <c r="B6508" t="s">
        <v>406</v>
      </c>
      <c r="C6508" t="s">
        <v>491</v>
      </c>
      <c r="D6508" t="s">
        <v>506</v>
      </c>
      <c r="E6508" t="s">
        <v>507</v>
      </c>
      <c r="F6508" t="s">
        <v>413</v>
      </c>
      <c r="G6508">
        <v>4151</v>
      </c>
      <c r="H6508">
        <v>4151</v>
      </c>
      <c r="I6508">
        <v>3979</v>
      </c>
      <c r="J6508">
        <v>3979</v>
      </c>
      <c r="K6508">
        <v>528</v>
      </c>
      <c r="L6508">
        <v>0</v>
      </c>
      <c r="M6508">
        <v>3616</v>
      </c>
      <c r="N6508">
        <v>4</v>
      </c>
      <c r="O6508">
        <v>3</v>
      </c>
      <c r="P6508">
        <v>0</v>
      </c>
      <c r="Q6508">
        <v>0</v>
      </c>
    </row>
    <row r="6509" spans="1:17" x14ac:dyDescent="0.2">
      <c r="A6509" s="121">
        <v>41394</v>
      </c>
      <c r="B6509" t="s">
        <v>406</v>
      </c>
      <c r="C6509" t="s">
        <v>491</v>
      </c>
      <c r="D6509" t="s">
        <v>508</v>
      </c>
      <c r="E6509" t="s">
        <v>509</v>
      </c>
      <c r="F6509" t="s">
        <v>413</v>
      </c>
      <c r="G6509">
        <v>4938</v>
      </c>
      <c r="H6509">
        <v>4938</v>
      </c>
      <c r="I6509">
        <v>4402</v>
      </c>
      <c r="J6509">
        <v>4402</v>
      </c>
      <c r="K6509">
        <v>1648</v>
      </c>
      <c r="L6509">
        <v>11</v>
      </c>
      <c r="M6509">
        <v>2944</v>
      </c>
      <c r="N6509">
        <v>85</v>
      </c>
      <c r="O6509">
        <v>250</v>
      </c>
      <c r="P6509">
        <v>63</v>
      </c>
      <c r="Q6509">
        <v>5</v>
      </c>
    </row>
    <row r="6510" spans="1:17" x14ac:dyDescent="0.2">
      <c r="A6510" s="121">
        <v>41394</v>
      </c>
      <c r="B6510" t="s">
        <v>406</v>
      </c>
      <c r="C6510" t="s">
        <v>510</v>
      </c>
      <c r="D6510" t="s">
        <v>513</v>
      </c>
      <c r="E6510" t="s">
        <v>514</v>
      </c>
      <c r="F6510" t="s">
        <v>410</v>
      </c>
      <c r="G6510">
        <v>600</v>
      </c>
      <c r="I6510">
        <v>597</v>
      </c>
    </row>
    <row r="6511" spans="1:17" x14ac:dyDescent="0.2">
      <c r="A6511" s="121">
        <v>41394</v>
      </c>
      <c r="B6511" t="s">
        <v>406</v>
      </c>
      <c r="C6511" t="s">
        <v>510</v>
      </c>
      <c r="D6511" t="s">
        <v>515</v>
      </c>
      <c r="E6511" t="s">
        <v>516</v>
      </c>
      <c r="F6511" t="s">
        <v>410</v>
      </c>
      <c r="G6511">
        <v>89</v>
      </c>
      <c r="I6511">
        <v>87</v>
      </c>
    </row>
    <row r="6512" spans="1:17" x14ac:dyDescent="0.2">
      <c r="A6512" s="121">
        <v>41394</v>
      </c>
      <c r="B6512" t="s">
        <v>406</v>
      </c>
      <c r="C6512" t="s">
        <v>510</v>
      </c>
      <c r="D6512" t="s">
        <v>519</v>
      </c>
      <c r="E6512" t="s">
        <v>520</v>
      </c>
      <c r="F6512" t="s">
        <v>410</v>
      </c>
      <c r="G6512">
        <v>311</v>
      </c>
      <c r="I6512">
        <v>298</v>
      </c>
    </row>
    <row r="6513" spans="1:17" x14ac:dyDescent="0.2">
      <c r="A6513" s="121">
        <v>41394</v>
      </c>
      <c r="B6513" t="s">
        <v>406</v>
      </c>
      <c r="C6513" t="s">
        <v>510</v>
      </c>
      <c r="D6513" t="s">
        <v>523</v>
      </c>
      <c r="E6513" t="s">
        <v>524</v>
      </c>
      <c r="F6513" t="s">
        <v>413</v>
      </c>
      <c r="G6513">
        <v>510</v>
      </c>
      <c r="H6513">
        <v>510</v>
      </c>
      <c r="I6513">
        <v>492</v>
      </c>
      <c r="J6513">
        <v>492</v>
      </c>
      <c r="K6513">
        <v>99</v>
      </c>
      <c r="L6513">
        <v>0</v>
      </c>
      <c r="M6513">
        <v>401</v>
      </c>
      <c r="N6513">
        <v>10</v>
      </c>
      <c r="O6513">
        <v>0</v>
      </c>
      <c r="P6513">
        <v>0</v>
      </c>
      <c r="Q6513">
        <v>0</v>
      </c>
    </row>
    <row r="6514" spans="1:17" x14ac:dyDescent="0.2">
      <c r="A6514" s="121">
        <v>41394</v>
      </c>
      <c r="B6514" t="s">
        <v>406</v>
      </c>
      <c r="C6514" t="s">
        <v>510</v>
      </c>
      <c r="D6514" t="s">
        <v>525</v>
      </c>
      <c r="E6514" t="s">
        <v>526</v>
      </c>
      <c r="F6514" t="s">
        <v>410</v>
      </c>
      <c r="G6514">
        <v>431</v>
      </c>
      <c r="I6514">
        <v>424</v>
      </c>
    </row>
    <row r="6515" spans="1:17" x14ac:dyDescent="0.2">
      <c r="A6515" s="121">
        <v>41394</v>
      </c>
      <c r="B6515" t="s">
        <v>406</v>
      </c>
      <c r="C6515" t="s">
        <v>510</v>
      </c>
      <c r="D6515" t="s">
        <v>527</v>
      </c>
      <c r="E6515" t="s">
        <v>528</v>
      </c>
      <c r="F6515" t="s">
        <v>410</v>
      </c>
      <c r="G6515">
        <v>165</v>
      </c>
      <c r="I6515">
        <v>164</v>
      </c>
    </row>
    <row r="6516" spans="1:17" x14ac:dyDescent="0.2">
      <c r="A6516" s="121">
        <v>41394</v>
      </c>
      <c r="B6516" t="s">
        <v>406</v>
      </c>
      <c r="C6516" t="s">
        <v>510</v>
      </c>
      <c r="D6516" t="s">
        <v>529</v>
      </c>
      <c r="E6516" t="s">
        <v>530</v>
      </c>
      <c r="F6516" t="s">
        <v>413</v>
      </c>
      <c r="G6516">
        <v>503</v>
      </c>
      <c r="H6516">
        <v>503</v>
      </c>
      <c r="I6516">
        <v>492</v>
      </c>
      <c r="J6516">
        <v>492</v>
      </c>
      <c r="K6516">
        <v>167</v>
      </c>
      <c r="L6516">
        <v>0</v>
      </c>
      <c r="M6516">
        <v>334</v>
      </c>
      <c r="N6516">
        <v>2</v>
      </c>
      <c r="O6516">
        <v>0</v>
      </c>
      <c r="P6516">
        <v>1</v>
      </c>
      <c r="Q6516">
        <v>0</v>
      </c>
    </row>
    <row r="6517" spans="1:17" x14ac:dyDescent="0.2">
      <c r="A6517" s="121">
        <v>41394</v>
      </c>
      <c r="B6517" t="s">
        <v>406</v>
      </c>
      <c r="C6517" t="s">
        <v>510</v>
      </c>
      <c r="D6517" t="s">
        <v>531</v>
      </c>
      <c r="E6517" t="s">
        <v>532</v>
      </c>
      <c r="F6517" t="s">
        <v>410</v>
      </c>
      <c r="G6517">
        <v>29</v>
      </c>
      <c r="I6517">
        <v>29</v>
      </c>
    </row>
    <row r="6518" spans="1:17" x14ac:dyDescent="0.2">
      <c r="A6518" s="121">
        <v>41394</v>
      </c>
      <c r="B6518" t="s">
        <v>406</v>
      </c>
      <c r="C6518" t="s">
        <v>510</v>
      </c>
      <c r="D6518" t="s">
        <v>533</v>
      </c>
      <c r="E6518" t="s">
        <v>534</v>
      </c>
      <c r="F6518" t="s">
        <v>413</v>
      </c>
      <c r="G6518">
        <v>2545</v>
      </c>
      <c r="H6518">
        <v>2545</v>
      </c>
      <c r="I6518">
        <v>2448</v>
      </c>
      <c r="J6518">
        <v>2448</v>
      </c>
      <c r="K6518">
        <v>547</v>
      </c>
      <c r="L6518">
        <v>2</v>
      </c>
      <c r="M6518">
        <v>1992</v>
      </c>
      <c r="N6518">
        <v>4</v>
      </c>
      <c r="O6518">
        <v>0</v>
      </c>
      <c r="P6518">
        <v>3</v>
      </c>
      <c r="Q6518">
        <v>1</v>
      </c>
    </row>
    <row r="6519" spans="1:17" x14ac:dyDescent="0.2">
      <c r="A6519" s="121">
        <v>41394</v>
      </c>
      <c r="B6519" t="s">
        <v>406</v>
      </c>
      <c r="C6519" t="s">
        <v>510</v>
      </c>
      <c r="D6519" t="s">
        <v>535</v>
      </c>
      <c r="E6519" t="s">
        <v>536</v>
      </c>
      <c r="F6519" t="s">
        <v>410</v>
      </c>
      <c r="G6519">
        <v>457</v>
      </c>
      <c r="I6519">
        <v>457</v>
      </c>
    </row>
    <row r="6520" spans="1:17" x14ac:dyDescent="0.2">
      <c r="A6520" s="121">
        <v>41394</v>
      </c>
      <c r="B6520" t="s">
        <v>406</v>
      </c>
      <c r="C6520" t="s">
        <v>510</v>
      </c>
      <c r="D6520" t="s">
        <v>537</v>
      </c>
      <c r="E6520" t="s">
        <v>538</v>
      </c>
      <c r="F6520" t="s">
        <v>410</v>
      </c>
      <c r="G6520">
        <v>73</v>
      </c>
      <c r="I6520">
        <v>73</v>
      </c>
    </row>
    <row r="6521" spans="1:17" x14ac:dyDescent="0.2">
      <c r="A6521" s="121">
        <v>41394</v>
      </c>
      <c r="B6521" t="s">
        <v>406</v>
      </c>
      <c r="C6521" t="s">
        <v>510</v>
      </c>
      <c r="D6521" t="s">
        <v>539</v>
      </c>
      <c r="E6521" t="s">
        <v>540</v>
      </c>
      <c r="F6521" t="s">
        <v>413</v>
      </c>
      <c r="G6521">
        <v>703</v>
      </c>
      <c r="H6521">
        <v>703</v>
      </c>
      <c r="I6521">
        <v>673</v>
      </c>
      <c r="J6521">
        <v>673</v>
      </c>
      <c r="K6521">
        <v>121</v>
      </c>
      <c r="L6521">
        <v>1</v>
      </c>
      <c r="M6521">
        <v>577</v>
      </c>
      <c r="N6521">
        <v>4</v>
      </c>
      <c r="O6521">
        <v>0</v>
      </c>
      <c r="P6521">
        <v>2</v>
      </c>
      <c r="Q6521">
        <v>0</v>
      </c>
    </row>
    <row r="6522" spans="1:17" x14ac:dyDescent="0.2">
      <c r="A6522" s="121">
        <v>41394</v>
      </c>
      <c r="B6522" t="s">
        <v>406</v>
      </c>
      <c r="C6522" t="s">
        <v>510</v>
      </c>
      <c r="D6522" t="s">
        <v>541</v>
      </c>
      <c r="E6522" t="s">
        <v>542</v>
      </c>
      <c r="F6522" t="s">
        <v>410</v>
      </c>
      <c r="G6522">
        <v>417</v>
      </c>
      <c r="I6522">
        <v>417</v>
      </c>
    </row>
    <row r="6523" spans="1:17" x14ac:dyDescent="0.2">
      <c r="A6523" s="121">
        <v>41394</v>
      </c>
      <c r="B6523" t="s">
        <v>406</v>
      </c>
      <c r="C6523" t="s">
        <v>510</v>
      </c>
      <c r="D6523" t="s">
        <v>543</v>
      </c>
      <c r="E6523" t="s">
        <v>544</v>
      </c>
      <c r="F6523" t="s">
        <v>410</v>
      </c>
      <c r="G6523">
        <v>246</v>
      </c>
      <c r="I6523">
        <v>246</v>
      </c>
    </row>
    <row r="6524" spans="1:17" x14ac:dyDescent="0.2">
      <c r="A6524" s="121">
        <v>41394</v>
      </c>
      <c r="B6524" t="s">
        <v>406</v>
      </c>
      <c r="C6524" t="s">
        <v>510</v>
      </c>
      <c r="D6524" t="s">
        <v>545</v>
      </c>
      <c r="E6524" t="s">
        <v>546</v>
      </c>
      <c r="F6524" t="s">
        <v>410</v>
      </c>
      <c r="G6524">
        <v>123</v>
      </c>
      <c r="I6524">
        <v>123</v>
      </c>
    </row>
    <row r="6525" spans="1:17" x14ac:dyDescent="0.2">
      <c r="A6525" s="121">
        <v>41394</v>
      </c>
      <c r="B6525" t="s">
        <v>406</v>
      </c>
      <c r="C6525" t="s">
        <v>510</v>
      </c>
      <c r="D6525" t="s">
        <v>547</v>
      </c>
      <c r="E6525" t="s">
        <v>548</v>
      </c>
      <c r="F6525" t="s">
        <v>410</v>
      </c>
      <c r="G6525">
        <v>145</v>
      </c>
      <c r="I6525">
        <v>145</v>
      </c>
    </row>
    <row r="6526" spans="1:17" x14ac:dyDescent="0.2">
      <c r="A6526" s="121">
        <v>41394</v>
      </c>
      <c r="B6526" t="s">
        <v>406</v>
      </c>
      <c r="C6526" t="s">
        <v>510</v>
      </c>
      <c r="D6526" t="s">
        <v>616</v>
      </c>
      <c r="E6526" t="s">
        <v>617</v>
      </c>
      <c r="F6526" t="s">
        <v>410</v>
      </c>
      <c r="G6526">
        <v>308</v>
      </c>
      <c r="I6526">
        <v>300</v>
      </c>
    </row>
    <row r="6527" spans="1:17" x14ac:dyDescent="0.2">
      <c r="A6527" s="121">
        <v>41394</v>
      </c>
      <c r="B6527" t="s">
        <v>406</v>
      </c>
      <c r="C6527" t="s">
        <v>510</v>
      </c>
      <c r="D6527" t="s">
        <v>549</v>
      </c>
      <c r="E6527" t="s">
        <v>550</v>
      </c>
      <c r="F6527" t="s">
        <v>410</v>
      </c>
      <c r="G6527">
        <v>153</v>
      </c>
      <c r="I6527">
        <v>153</v>
      </c>
    </row>
    <row r="6528" spans="1:17" x14ac:dyDescent="0.2">
      <c r="A6528" s="121">
        <v>41394</v>
      </c>
      <c r="B6528" t="s">
        <v>406</v>
      </c>
      <c r="C6528" t="s">
        <v>510</v>
      </c>
      <c r="D6528" t="s">
        <v>625</v>
      </c>
      <c r="E6528" t="s">
        <v>626</v>
      </c>
      <c r="F6528" t="s">
        <v>410</v>
      </c>
      <c r="G6528">
        <v>57</v>
      </c>
      <c r="I6528">
        <v>55</v>
      </c>
    </row>
    <row r="6529" spans="1:17" x14ac:dyDescent="0.2">
      <c r="A6529" s="121">
        <v>41394</v>
      </c>
      <c r="B6529" t="s">
        <v>406</v>
      </c>
      <c r="C6529" t="s">
        <v>551</v>
      </c>
      <c r="D6529" t="s">
        <v>552</v>
      </c>
      <c r="E6529" t="s">
        <v>553</v>
      </c>
      <c r="F6529" t="s">
        <v>413</v>
      </c>
      <c r="G6529">
        <v>5782</v>
      </c>
      <c r="H6529">
        <v>5782</v>
      </c>
      <c r="I6529">
        <v>5217</v>
      </c>
      <c r="J6529">
        <v>5217</v>
      </c>
      <c r="K6529">
        <v>1701</v>
      </c>
      <c r="L6529">
        <v>6</v>
      </c>
      <c r="M6529">
        <v>3768</v>
      </c>
      <c r="N6529">
        <v>178</v>
      </c>
      <c r="O6529">
        <v>129</v>
      </c>
      <c r="P6529">
        <v>24</v>
      </c>
      <c r="Q6529">
        <v>4</v>
      </c>
    </row>
    <row r="6530" spans="1:17" x14ac:dyDescent="0.2">
      <c r="A6530" s="121">
        <v>41394</v>
      </c>
      <c r="B6530" t="s">
        <v>406</v>
      </c>
      <c r="C6530" t="s">
        <v>551</v>
      </c>
      <c r="D6530" t="s">
        <v>554</v>
      </c>
      <c r="E6530" t="s">
        <v>555</v>
      </c>
      <c r="F6530" t="s">
        <v>410</v>
      </c>
      <c r="G6530">
        <v>52</v>
      </c>
      <c r="I6530">
        <v>52</v>
      </c>
    </row>
    <row r="6531" spans="1:17" x14ac:dyDescent="0.2">
      <c r="A6531" s="121">
        <v>41394</v>
      </c>
      <c r="B6531" t="s">
        <v>406</v>
      </c>
      <c r="C6531" t="s">
        <v>551</v>
      </c>
      <c r="D6531" t="s">
        <v>556</v>
      </c>
      <c r="E6531" t="s">
        <v>557</v>
      </c>
      <c r="F6531" t="s">
        <v>410</v>
      </c>
      <c r="G6531">
        <v>105</v>
      </c>
      <c r="I6531">
        <v>105</v>
      </c>
    </row>
    <row r="6532" spans="1:17" x14ac:dyDescent="0.2">
      <c r="A6532" s="121">
        <v>41394</v>
      </c>
      <c r="B6532" t="s">
        <v>406</v>
      </c>
      <c r="C6532" t="s">
        <v>551</v>
      </c>
      <c r="D6532" t="s">
        <v>558</v>
      </c>
      <c r="E6532" t="s">
        <v>559</v>
      </c>
      <c r="F6532" t="s">
        <v>413</v>
      </c>
      <c r="G6532">
        <v>4732</v>
      </c>
      <c r="H6532">
        <v>4732</v>
      </c>
      <c r="I6532">
        <v>3979</v>
      </c>
      <c r="J6532">
        <v>3979</v>
      </c>
      <c r="K6532">
        <v>1322</v>
      </c>
      <c r="L6532">
        <v>7</v>
      </c>
      <c r="M6532">
        <v>3209</v>
      </c>
      <c r="N6532">
        <v>166</v>
      </c>
      <c r="O6532">
        <v>28</v>
      </c>
      <c r="P6532">
        <v>151</v>
      </c>
      <c r="Q6532">
        <v>61</v>
      </c>
    </row>
    <row r="6533" spans="1:17" x14ac:dyDescent="0.2">
      <c r="A6533" s="121">
        <v>41394</v>
      </c>
      <c r="B6533" t="s">
        <v>406</v>
      </c>
      <c r="C6533" t="s">
        <v>551</v>
      </c>
      <c r="D6533" t="s">
        <v>560</v>
      </c>
      <c r="E6533" t="s">
        <v>561</v>
      </c>
      <c r="F6533" t="s">
        <v>413</v>
      </c>
      <c r="G6533">
        <v>5226</v>
      </c>
      <c r="H6533">
        <v>5226</v>
      </c>
      <c r="I6533">
        <v>4623</v>
      </c>
      <c r="J6533">
        <v>4623</v>
      </c>
      <c r="K6533">
        <v>1198</v>
      </c>
      <c r="L6533">
        <v>6</v>
      </c>
      <c r="M6533">
        <v>3684</v>
      </c>
      <c r="N6533">
        <v>223</v>
      </c>
      <c r="O6533">
        <v>115</v>
      </c>
      <c r="P6533">
        <v>66</v>
      </c>
      <c r="Q6533">
        <v>20</v>
      </c>
    </row>
    <row r="6534" spans="1:17" x14ac:dyDescent="0.2">
      <c r="A6534" s="121">
        <v>41394</v>
      </c>
      <c r="B6534" t="s">
        <v>406</v>
      </c>
      <c r="C6534" t="s">
        <v>562</v>
      </c>
      <c r="D6534" t="s">
        <v>605</v>
      </c>
      <c r="E6534" t="s">
        <v>606</v>
      </c>
      <c r="F6534" t="s">
        <v>410</v>
      </c>
      <c r="G6534">
        <v>118</v>
      </c>
      <c r="I6534">
        <v>118</v>
      </c>
    </row>
    <row r="6535" spans="1:17" x14ac:dyDescent="0.2">
      <c r="A6535" s="121">
        <v>41394</v>
      </c>
      <c r="B6535" t="s">
        <v>406</v>
      </c>
      <c r="C6535" t="s">
        <v>562</v>
      </c>
      <c r="D6535" t="s">
        <v>563</v>
      </c>
      <c r="E6535" t="s">
        <v>564</v>
      </c>
      <c r="F6535" t="s">
        <v>410</v>
      </c>
      <c r="G6535">
        <v>3356</v>
      </c>
      <c r="H6535">
        <v>3356</v>
      </c>
      <c r="I6535">
        <v>2968</v>
      </c>
      <c r="J6535">
        <v>2968</v>
      </c>
      <c r="K6535">
        <v>1105</v>
      </c>
      <c r="L6535">
        <v>1</v>
      </c>
      <c r="M6535">
        <v>2234</v>
      </c>
      <c r="N6535">
        <v>16</v>
      </c>
      <c r="O6535">
        <v>0</v>
      </c>
      <c r="P6535">
        <v>40</v>
      </c>
      <c r="Q6535">
        <v>1</v>
      </c>
    </row>
    <row r="6536" spans="1:17" x14ac:dyDescent="0.2">
      <c r="A6536" s="121">
        <v>41394</v>
      </c>
      <c r="B6536" t="s">
        <v>406</v>
      </c>
      <c r="C6536" t="s">
        <v>562</v>
      </c>
      <c r="D6536" t="s">
        <v>565</v>
      </c>
      <c r="E6536" t="s">
        <v>566</v>
      </c>
      <c r="F6536" t="s">
        <v>413</v>
      </c>
      <c r="G6536">
        <v>4357</v>
      </c>
      <c r="H6536">
        <v>4357</v>
      </c>
      <c r="I6536">
        <v>4062</v>
      </c>
      <c r="J6536">
        <v>4062</v>
      </c>
      <c r="K6536">
        <v>1035</v>
      </c>
      <c r="L6536">
        <v>7</v>
      </c>
      <c r="M6536">
        <v>3186</v>
      </c>
      <c r="N6536">
        <v>129</v>
      </c>
      <c r="O6536">
        <v>0</v>
      </c>
      <c r="P6536">
        <v>10</v>
      </c>
      <c r="Q6536">
        <v>2</v>
      </c>
    </row>
    <row r="6537" spans="1:17" x14ac:dyDescent="0.2">
      <c r="A6537" s="121">
        <v>41394</v>
      </c>
      <c r="B6537" t="s">
        <v>406</v>
      </c>
      <c r="C6537" t="s">
        <v>562</v>
      </c>
      <c r="D6537" t="s">
        <v>567</v>
      </c>
      <c r="E6537" t="s">
        <v>568</v>
      </c>
      <c r="F6537" t="s">
        <v>413</v>
      </c>
      <c r="G6537">
        <v>9377</v>
      </c>
      <c r="H6537">
        <v>9377</v>
      </c>
      <c r="I6537">
        <v>7736</v>
      </c>
      <c r="J6537">
        <v>7736</v>
      </c>
      <c r="K6537">
        <v>2686</v>
      </c>
      <c r="L6537">
        <v>19</v>
      </c>
      <c r="M6537">
        <v>6431</v>
      </c>
      <c r="N6537">
        <v>241</v>
      </c>
      <c r="O6537">
        <v>0</v>
      </c>
      <c r="P6537">
        <v>205</v>
      </c>
      <c r="Q6537">
        <v>6</v>
      </c>
    </row>
    <row r="6538" spans="1:17" x14ac:dyDescent="0.2">
      <c r="A6538" s="121">
        <v>41394</v>
      </c>
      <c r="B6538" t="s">
        <v>406</v>
      </c>
      <c r="C6538" t="s">
        <v>562</v>
      </c>
      <c r="D6538" t="s">
        <v>569</v>
      </c>
      <c r="E6538" t="s">
        <v>570</v>
      </c>
      <c r="F6538" t="s">
        <v>413</v>
      </c>
      <c r="G6538">
        <v>3674</v>
      </c>
      <c r="H6538">
        <v>3674</v>
      </c>
      <c r="I6538">
        <v>3612</v>
      </c>
      <c r="J6538">
        <v>3612</v>
      </c>
      <c r="K6538">
        <v>472</v>
      </c>
      <c r="L6538">
        <v>0</v>
      </c>
      <c r="M6538">
        <v>3202</v>
      </c>
      <c r="N6538">
        <v>0</v>
      </c>
      <c r="O6538">
        <v>0</v>
      </c>
      <c r="P6538">
        <v>0</v>
      </c>
      <c r="Q6538">
        <v>0</v>
      </c>
    </row>
    <row r="6539" spans="1:17" x14ac:dyDescent="0.2">
      <c r="A6539" s="121">
        <v>41394</v>
      </c>
      <c r="B6539" t="s">
        <v>406</v>
      </c>
      <c r="C6539" t="s">
        <v>571</v>
      </c>
      <c r="D6539" t="s">
        <v>572</v>
      </c>
      <c r="E6539" t="s">
        <v>573</v>
      </c>
      <c r="F6539" t="s">
        <v>410</v>
      </c>
      <c r="G6539">
        <v>245</v>
      </c>
      <c r="H6539">
        <v>245</v>
      </c>
      <c r="I6539">
        <v>240</v>
      </c>
      <c r="J6539">
        <v>240</v>
      </c>
      <c r="K6539">
        <v>1</v>
      </c>
      <c r="L6539">
        <v>0</v>
      </c>
      <c r="M6539">
        <v>237</v>
      </c>
      <c r="N6539">
        <v>1</v>
      </c>
      <c r="O6539">
        <v>6</v>
      </c>
      <c r="P6539">
        <v>0</v>
      </c>
      <c r="Q6539">
        <v>0</v>
      </c>
    </row>
    <row r="6540" spans="1:17" x14ac:dyDescent="0.2">
      <c r="A6540" s="121">
        <v>41394</v>
      </c>
      <c r="B6540" t="s">
        <v>406</v>
      </c>
      <c r="C6540" t="s">
        <v>574</v>
      </c>
      <c r="D6540" t="s">
        <v>575</v>
      </c>
      <c r="E6540" t="s">
        <v>576</v>
      </c>
      <c r="F6540" t="s">
        <v>413</v>
      </c>
      <c r="G6540">
        <v>630</v>
      </c>
      <c r="H6540">
        <v>630</v>
      </c>
      <c r="I6540">
        <v>627</v>
      </c>
      <c r="J6540">
        <v>627</v>
      </c>
      <c r="K6540">
        <v>153</v>
      </c>
      <c r="L6540">
        <v>2</v>
      </c>
      <c r="M6540">
        <v>451</v>
      </c>
      <c r="N6540">
        <v>0</v>
      </c>
      <c r="O6540">
        <v>24</v>
      </c>
      <c r="P6540">
        <v>1</v>
      </c>
      <c r="Q6540">
        <v>0</v>
      </c>
    </row>
    <row r="6541" spans="1:17" x14ac:dyDescent="0.2">
      <c r="A6541" s="121">
        <v>41394</v>
      </c>
      <c r="B6541" t="s">
        <v>406</v>
      </c>
      <c r="C6541" t="s">
        <v>577</v>
      </c>
      <c r="D6541" t="s">
        <v>578</v>
      </c>
      <c r="E6541" t="s">
        <v>579</v>
      </c>
      <c r="F6541" t="s">
        <v>413</v>
      </c>
      <c r="G6541">
        <v>3773</v>
      </c>
      <c r="H6541">
        <v>3773</v>
      </c>
      <c r="I6541">
        <v>3723</v>
      </c>
      <c r="J6541">
        <v>3723</v>
      </c>
      <c r="K6541">
        <v>877</v>
      </c>
      <c r="L6541">
        <v>18</v>
      </c>
      <c r="M6541">
        <v>2818</v>
      </c>
      <c r="N6541">
        <v>60</v>
      </c>
      <c r="O6541">
        <v>0</v>
      </c>
      <c r="P6541">
        <v>0</v>
      </c>
      <c r="Q6541">
        <v>0</v>
      </c>
    </row>
    <row r="6542" spans="1:17" x14ac:dyDescent="0.2">
      <c r="A6542" s="121">
        <v>41394</v>
      </c>
      <c r="B6542" t="s">
        <v>406</v>
      </c>
      <c r="C6542" t="s">
        <v>577</v>
      </c>
      <c r="D6542" t="s">
        <v>580</v>
      </c>
      <c r="E6542" t="s">
        <v>581</v>
      </c>
      <c r="F6542" t="s">
        <v>413</v>
      </c>
      <c r="G6542">
        <v>2130</v>
      </c>
      <c r="H6542">
        <v>2130</v>
      </c>
      <c r="I6542">
        <v>2071</v>
      </c>
      <c r="J6542">
        <v>2071</v>
      </c>
      <c r="K6542">
        <v>363</v>
      </c>
      <c r="L6542">
        <v>3</v>
      </c>
      <c r="M6542">
        <v>1390</v>
      </c>
      <c r="N6542">
        <v>353</v>
      </c>
      <c r="O6542">
        <v>21</v>
      </c>
      <c r="P6542">
        <v>2</v>
      </c>
      <c r="Q6542">
        <v>0</v>
      </c>
    </row>
    <row r="6543" spans="1:17" x14ac:dyDescent="0.2">
      <c r="A6543" s="121">
        <v>41394</v>
      </c>
      <c r="B6543" t="s">
        <v>406</v>
      </c>
      <c r="C6543" t="s">
        <v>577</v>
      </c>
      <c r="D6543" t="s">
        <v>609</v>
      </c>
      <c r="E6543" t="s">
        <v>610</v>
      </c>
      <c r="F6543" t="s">
        <v>410</v>
      </c>
      <c r="G6543">
        <v>38</v>
      </c>
      <c r="H6543">
        <v>38</v>
      </c>
      <c r="I6543">
        <v>38</v>
      </c>
      <c r="J6543">
        <v>38</v>
      </c>
      <c r="K6543">
        <v>0</v>
      </c>
      <c r="L6543">
        <v>0</v>
      </c>
      <c r="M6543">
        <v>28</v>
      </c>
      <c r="N6543">
        <v>8</v>
      </c>
      <c r="O6543">
        <v>2</v>
      </c>
      <c r="P6543">
        <v>0</v>
      </c>
      <c r="Q6543">
        <v>0</v>
      </c>
    </row>
    <row r="6544" spans="1:17" x14ac:dyDescent="0.2">
      <c r="A6544" s="121">
        <v>41394</v>
      </c>
      <c r="B6544" t="s">
        <v>406</v>
      </c>
      <c r="C6544" t="s">
        <v>577</v>
      </c>
      <c r="D6544" t="s">
        <v>611</v>
      </c>
      <c r="E6544" t="s">
        <v>612</v>
      </c>
      <c r="F6544" t="s">
        <v>410</v>
      </c>
      <c r="G6544">
        <v>8</v>
      </c>
      <c r="H6544">
        <v>8</v>
      </c>
      <c r="I6544">
        <v>8</v>
      </c>
      <c r="J6544">
        <v>8</v>
      </c>
      <c r="K6544">
        <v>0</v>
      </c>
      <c r="L6544">
        <v>0</v>
      </c>
      <c r="M6544">
        <v>3</v>
      </c>
      <c r="N6544">
        <v>0</v>
      </c>
      <c r="O6544">
        <v>5</v>
      </c>
      <c r="P6544">
        <v>0</v>
      </c>
      <c r="Q6544">
        <v>0</v>
      </c>
    </row>
    <row r="6545" spans="1:17" x14ac:dyDescent="0.2">
      <c r="A6545" s="121">
        <v>41394</v>
      </c>
      <c r="B6545" t="s">
        <v>406</v>
      </c>
      <c r="C6545" t="s">
        <v>577</v>
      </c>
      <c r="D6545" t="s">
        <v>584</v>
      </c>
      <c r="E6545" t="s">
        <v>585</v>
      </c>
      <c r="F6545" t="s">
        <v>410</v>
      </c>
      <c r="G6545">
        <v>232</v>
      </c>
      <c r="H6545">
        <v>232</v>
      </c>
      <c r="I6545">
        <v>232</v>
      </c>
      <c r="J6545">
        <v>232</v>
      </c>
      <c r="K6545">
        <v>0</v>
      </c>
      <c r="L6545">
        <v>0</v>
      </c>
      <c r="M6545">
        <v>214</v>
      </c>
      <c r="N6545">
        <v>17</v>
      </c>
      <c r="O6545">
        <v>1</v>
      </c>
      <c r="P6545">
        <v>0</v>
      </c>
      <c r="Q6545">
        <v>0</v>
      </c>
    </row>
    <row r="6546" spans="1:17" x14ac:dyDescent="0.2">
      <c r="A6546" s="121">
        <v>41394</v>
      </c>
      <c r="B6546" t="s">
        <v>406</v>
      </c>
      <c r="C6546" t="s">
        <v>577</v>
      </c>
      <c r="D6546" t="s">
        <v>586</v>
      </c>
      <c r="E6546" t="s">
        <v>587</v>
      </c>
      <c r="F6546" t="s">
        <v>410</v>
      </c>
      <c r="G6546">
        <v>1217</v>
      </c>
      <c r="H6546">
        <v>1217</v>
      </c>
      <c r="I6546">
        <v>1215</v>
      </c>
      <c r="J6546">
        <v>1215</v>
      </c>
      <c r="K6546">
        <v>0</v>
      </c>
      <c r="L6546">
        <v>0</v>
      </c>
      <c r="M6546">
        <v>1115</v>
      </c>
      <c r="N6546">
        <v>94</v>
      </c>
      <c r="O6546">
        <v>8</v>
      </c>
      <c r="P6546">
        <v>0</v>
      </c>
      <c r="Q6546">
        <v>0</v>
      </c>
    </row>
    <row r="6547" spans="1:17" x14ac:dyDescent="0.2">
      <c r="A6547" s="121">
        <v>41394</v>
      </c>
      <c r="B6547" t="s">
        <v>406</v>
      </c>
      <c r="C6547" t="s">
        <v>577</v>
      </c>
      <c r="D6547" t="s">
        <v>588</v>
      </c>
      <c r="E6547" t="s">
        <v>589</v>
      </c>
      <c r="F6547" t="s">
        <v>410</v>
      </c>
      <c r="G6547">
        <v>304</v>
      </c>
      <c r="H6547">
        <v>304</v>
      </c>
      <c r="I6547">
        <v>304</v>
      </c>
      <c r="J6547">
        <v>304</v>
      </c>
      <c r="K6547">
        <v>0</v>
      </c>
      <c r="L6547">
        <v>0</v>
      </c>
      <c r="M6547">
        <v>288</v>
      </c>
      <c r="N6547">
        <v>15</v>
      </c>
      <c r="O6547">
        <v>1</v>
      </c>
      <c r="P6547">
        <v>0</v>
      </c>
      <c r="Q6547">
        <v>0</v>
      </c>
    </row>
    <row r="6548" spans="1:17" x14ac:dyDescent="0.2">
      <c r="A6548" s="121">
        <v>41394</v>
      </c>
      <c r="B6548" t="s">
        <v>406</v>
      </c>
      <c r="C6548" t="s">
        <v>577</v>
      </c>
      <c r="D6548" t="s">
        <v>613</v>
      </c>
      <c r="E6548" t="s">
        <v>614</v>
      </c>
      <c r="F6548" t="s">
        <v>410</v>
      </c>
      <c r="G6548">
        <v>167</v>
      </c>
      <c r="H6548">
        <v>167</v>
      </c>
      <c r="I6548">
        <v>167</v>
      </c>
      <c r="J6548">
        <v>167</v>
      </c>
      <c r="K6548">
        <v>1</v>
      </c>
      <c r="L6548">
        <v>0</v>
      </c>
      <c r="M6548">
        <v>159</v>
      </c>
      <c r="N6548">
        <v>6</v>
      </c>
      <c r="O6548">
        <v>1</v>
      </c>
      <c r="P6548">
        <v>0</v>
      </c>
      <c r="Q6548">
        <v>0</v>
      </c>
    </row>
    <row r="6549" spans="1:17" x14ac:dyDescent="0.2">
      <c r="A6549" s="121">
        <v>41394</v>
      </c>
      <c r="B6549" t="s">
        <v>406</v>
      </c>
      <c r="C6549" t="s">
        <v>577</v>
      </c>
      <c r="D6549" t="s">
        <v>590</v>
      </c>
      <c r="E6549" t="s">
        <v>591</v>
      </c>
      <c r="F6549" t="s">
        <v>410</v>
      </c>
      <c r="G6549">
        <v>665</v>
      </c>
      <c r="H6549">
        <v>665</v>
      </c>
      <c r="I6549">
        <v>665</v>
      </c>
      <c r="J6549">
        <v>665</v>
      </c>
      <c r="K6549">
        <v>0</v>
      </c>
      <c r="L6549">
        <v>0</v>
      </c>
      <c r="M6549">
        <v>633</v>
      </c>
      <c r="N6549">
        <v>32</v>
      </c>
      <c r="O6549">
        <v>0</v>
      </c>
      <c r="P6549">
        <v>0</v>
      </c>
      <c r="Q6549">
        <v>0</v>
      </c>
    </row>
    <row r="6550" spans="1:17" x14ac:dyDescent="0.2">
      <c r="A6550" s="121">
        <v>41394</v>
      </c>
      <c r="B6550" t="s">
        <v>406</v>
      </c>
      <c r="C6550" t="s">
        <v>577</v>
      </c>
      <c r="D6550" t="s">
        <v>607</v>
      </c>
      <c r="E6550" t="s">
        <v>608</v>
      </c>
      <c r="F6550" t="s">
        <v>410</v>
      </c>
      <c r="G6550">
        <v>175</v>
      </c>
      <c r="H6550">
        <v>175</v>
      </c>
      <c r="I6550">
        <v>175</v>
      </c>
      <c r="J6550">
        <v>175</v>
      </c>
      <c r="K6550">
        <v>0</v>
      </c>
      <c r="L6550">
        <v>0</v>
      </c>
      <c r="M6550">
        <v>161</v>
      </c>
      <c r="N6550">
        <v>14</v>
      </c>
      <c r="O6550">
        <v>0</v>
      </c>
      <c r="P6550">
        <v>0</v>
      </c>
      <c r="Q6550">
        <v>0</v>
      </c>
    </row>
    <row r="6551" spans="1:17" x14ac:dyDescent="0.2">
      <c r="A6551" s="121">
        <v>41394</v>
      </c>
      <c r="B6551" t="s">
        <v>406</v>
      </c>
      <c r="C6551" t="s">
        <v>577</v>
      </c>
      <c r="D6551" t="s">
        <v>592</v>
      </c>
      <c r="E6551" t="s">
        <v>593</v>
      </c>
      <c r="F6551" t="s">
        <v>410</v>
      </c>
      <c r="G6551">
        <v>499</v>
      </c>
      <c r="H6551">
        <v>499</v>
      </c>
      <c r="I6551">
        <v>498</v>
      </c>
      <c r="J6551">
        <v>498</v>
      </c>
      <c r="K6551">
        <v>0</v>
      </c>
      <c r="L6551">
        <v>0</v>
      </c>
      <c r="M6551">
        <v>467</v>
      </c>
      <c r="N6551">
        <v>32</v>
      </c>
      <c r="O6551">
        <v>0</v>
      </c>
      <c r="P6551">
        <v>0</v>
      </c>
      <c r="Q6551">
        <v>0</v>
      </c>
    </row>
    <row r="6552" spans="1:17" x14ac:dyDescent="0.2">
      <c r="A6552" s="121">
        <v>41394</v>
      </c>
      <c r="B6552" t="s">
        <v>406</v>
      </c>
      <c r="C6552" t="s">
        <v>594</v>
      </c>
      <c r="D6552" t="s">
        <v>595</v>
      </c>
      <c r="E6552" t="s">
        <v>596</v>
      </c>
      <c r="F6552" t="s">
        <v>410</v>
      </c>
      <c r="G6552">
        <v>29</v>
      </c>
      <c r="I6552">
        <v>29</v>
      </c>
    </row>
    <row r="6553" spans="1:17" x14ac:dyDescent="0.2">
      <c r="A6553" s="121">
        <v>41394</v>
      </c>
      <c r="B6553" t="s">
        <v>406</v>
      </c>
      <c r="C6553" t="s">
        <v>594</v>
      </c>
      <c r="D6553" t="s">
        <v>597</v>
      </c>
      <c r="E6553" t="s">
        <v>598</v>
      </c>
      <c r="F6553" t="s">
        <v>413</v>
      </c>
      <c r="G6553">
        <v>500</v>
      </c>
      <c r="H6553">
        <v>500</v>
      </c>
      <c r="I6553">
        <v>488</v>
      </c>
      <c r="J6553">
        <v>488</v>
      </c>
      <c r="K6553">
        <v>114</v>
      </c>
      <c r="L6553">
        <v>0</v>
      </c>
      <c r="M6553">
        <v>370</v>
      </c>
      <c r="N6553">
        <v>13</v>
      </c>
      <c r="O6553">
        <v>3</v>
      </c>
      <c r="P6553">
        <v>1</v>
      </c>
      <c r="Q6553">
        <v>0</v>
      </c>
    </row>
    <row r="6554" spans="1:17" x14ac:dyDescent="0.2">
      <c r="A6554" s="121">
        <v>41394</v>
      </c>
      <c r="B6554" t="s">
        <v>406</v>
      </c>
      <c r="C6554" t="s">
        <v>594</v>
      </c>
      <c r="D6554" t="s">
        <v>599</v>
      </c>
      <c r="E6554" t="s">
        <v>600</v>
      </c>
      <c r="F6554" t="s">
        <v>410</v>
      </c>
      <c r="G6554">
        <v>102</v>
      </c>
      <c r="I6554">
        <v>102</v>
      </c>
    </row>
    <row r="6555" spans="1:17" x14ac:dyDescent="0.2">
      <c r="A6555" s="121">
        <v>41425</v>
      </c>
      <c r="B6555" t="s">
        <v>406</v>
      </c>
      <c r="C6555" t="s">
        <v>407</v>
      </c>
      <c r="D6555" t="s">
        <v>408</v>
      </c>
      <c r="E6555" t="s">
        <v>409</v>
      </c>
      <c r="F6555" t="s">
        <v>410</v>
      </c>
      <c r="G6555">
        <v>245</v>
      </c>
      <c r="I6555">
        <v>245</v>
      </c>
    </row>
    <row r="6556" spans="1:17" x14ac:dyDescent="0.2">
      <c r="A6556" s="121">
        <v>41425</v>
      </c>
      <c r="B6556" t="s">
        <v>406</v>
      </c>
      <c r="C6556" t="s">
        <v>407</v>
      </c>
      <c r="D6556" t="s">
        <v>601</v>
      </c>
      <c r="E6556" t="s">
        <v>602</v>
      </c>
      <c r="F6556" t="s">
        <v>410</v>
      </c>
      <c r="G6556">
        <v>58</v>
      </c>
      <c r="I6556">
        <v>58</v>
      </c>
    </row>
    <row r="6557" spans="1:17" x14ac:dyDescent="0.2">
      <c r="A6557" s="121">
        <v>41425</v>
      </c>
      <c r="B6557" t="s">
        <v>406</v>
      </c>
      <c r="C6557" t="s">
        <v>407</v>
      </c>
      <c r="D6557" t="s">
        <v>411</v>
      </c>
      <c r="E6557" t="s">
        <v>412</v>
      </c>
      <c r="F6557" t="s">
        <v>413</v>
      </c>
      <c r="G6557">
        <v>6361</v>
      </c>
      <c r="H6557">
        <v>6361</v>
      </c>
      <c r="I6557">
        <v>5944</v>
      </c>
      <c r="J6557">
        <v>5944</v>
      </c>
      <c r="K6557">
        <v>2519</v>
      </c>
      <c r="L6557">
        <v>18</v>
      </c>
      <c r="M6557">
        <v>3446</v>
      </c>
      <c r="N6557">
        <v>113</v>
      </c>
      <c r="O6557">
        <v>265</v>
      </c>
      <c r="P6557">
        <v>7</v>
      </c>
      <c r="Q6557">
        <v>0</v>
      </c>
    </row>
    <row r="6558" spans="1:17" x14ac:dyDescent="0.2">
      <c r="A6558" s="121">
        <v>41425</v>
      </c>
      <c r="B6558" t="s">
        <v>406</v>
      </c>
      <c r="C6558" t="s">
        <v>407</v>
      </c>
      <c r="D6558" t="s">
        <v>416</v>
      </c>
      <c r="E6558" t="s">
        <v>417</v>
      </c>
      <c r="F6558" t="s">
        <v>413</v>
      </c>
      <c r="G6558">
        <v>3779</v>
      </c>
      <c r="H6558">
        <v>3779</v>
      </c>
      <c r="I6558">
        <v>3377</v>
      </c>
      <c r="J6558">
        <v>3377</v>
      </c>
      <c r="K6558">
        <v>1343</v>
      </c>
      <c r="L6558">
        <v>4</v>
      </c>
      <c r="M6558">
        <v>2252</v>
      </c>
      <c r="N6558">
        <v>134</v>
      </c>
      <c r="O6558">
        <v>46</v>
      </c>
      <c r="P6558">
        <v>37</v>
      </c>
      <c r="Q6558">
        <v>5</v>
      </c>
    </row>
    <row r="6559" spans="1:17" x14ac:dyDescent="0.2">
      <c r="A6559" s="121">
        <v>41425</v>
      </c>
      <c r="B6559" t="s">
        <v>406</v>
      </c>
      <c r="C6559" t="s">
        <v>407</v>
      </c>
      <c r="D6559" t="s">
        <v>618</v>
      </c>
      <c r="E6559" t="s">
        <v>619</v>
      </c>
      <c r="F6559" t="s">
        <v>410</v>
      </c>
      <c r="G6559">
        <v>102</v>
      </c>
      <c r="I6559">
        <v>102</v>
      </c>
    </row>
    <row r="6560" spans="1:17" x14ac:dyDescent="0.2">
      <c r="A6560" s="121">
        <v>41425</v>
      </c>
      <c r="B6560" t="s">
        <v>406</v>
      </c>
      <c r="C6560" t="s">
        <v>418</v>
      </c>
      <c r="D6560" t="s">
        <v>419</v>
      </c>
      <c r="E6560" t="s">
        <v>420</v>
      </c>
      <c r="F6560" t="s">
        <v>410</v>
      </c>
      <c r="G6560">
        <v>11</v>
      </c>
      <c r="I6560">
        <v>11</v>
      </c>
    </row>
    <row r="6561" spans="1:17" x14ac:dyDescent="0.2">
      <c r="A6561" s="121">
        <v>41425</v>
      </c>
      <c r="B6561" t="s">
        <v>406</v>
      </c>
      <c r="C6561" t="s">
        <v>418</v>
      </c>
      <c r="D6561" t="s">
        <v>421</v>
      </c>
      <c r="E6561" t="s">
        <v>422</v>
      </c>
      <c r="F6561" t="s">
        <v>410</v>
      </c>
      <c r="G6561">
        <v>100</v>
      </c>
      <c r="I6561">
        <v>100</v>
      </c>
    </row>
    <row r="6562" spans="1:17" x14ac:dyDescent="0.2">
      <c r="A6562" s="121">
        <v>41425</v>
      </c>
      <c r="B6562" t="s">
        <v>406</v>
      </c>
      <c r="C6562" t="s">
        <v>418</v>
      </c>
      <c r="D6562" t="s">
        <v>423</v>
      </c>
      <c r="E6562" t="s">
        <v>424</v>
      </c>
      <c r="F6562" t="s">
        <v>410</v>
      </c>
      <c r="G6562">
        <v>33</v>
      </c>
      <c r="I6562">
        <v>33</v>
      </c>
    </row>
    <row r="6563" spans="1:17" x14ac:dyDescent="0.2">
      <c r="A6563" s="121">
        <v>41425</v>
      </c>
      <c r="B6563" t="s">
        <v>406</v>
      </c>
      <c r="C6563" t="s">
        <v>418</v>
      </c>
      <c r="D6563" t="s">
        <v>425</v>
      </c>
      <c r="E6563" t="s">
        <v>426</v>
      </c>
      <c r="F6563" t="s">
        <v>410</v>
      </c>
      <c r="G6563">
        <v>51</v>
      </c>
      <c r="I6563">
        <v>51</v>
      </c>
    </row>
    <row r="6564" spans="1:17" x14ac:dyDescent="0.2">
      <c r="A6564" s="121">
        <v>41425</v>
      </c>
      <c r="B6564" t="s">
        <v>406</v>
      </c>
      <c r="C6564" t="s">
        <v>418</v>
      </c>
      <c r="D6564" t="s">
        <v>427</v>
      </c>
      <c r="E6564" t="s">
        <v>428</v>
      </c>
      <c r="F6564" t="s">
        <v>413</v>
      </c>
      <c r="G6564">
        <v>2004</v>
      </c>
      <c r="H6564">
        <v>2004</v>
      </c>
      <c r="I6564">
        <v>1985</v>
      </c>
      <c r="J6564">
        <v>1985</v>
      </c>
      <c r="K6564">
        <v>674</v>
      </c>
      <c r="L6564">
        <v>6</v>
      </c>
      <c r="M6564">
        <v>1067</v>
      </c>
      <c r="N6564">
        <v>225</v>
      </c>
      <c r="O6564">
        <v>32</v>
      </c>
      <c r="P6564">
        <v>0</v>
      </c>
      <c r="Q6564">
        <v>0</v>
      </c>
    </row>
    <row r="6565" spans="1:17" x14ac:dyDescent="0.2">
      <c r="A6565" s="121">
        <v>41425</v>
      </c>
      <c r="B6565" t="s">
        <v>406</v>
      </c>
      <c r="C6565" t="s">
        <v>429</v>
      </c>
      <c r="D6565" t="s">
        <v>430</v>
      </c>
      <c r="E6565" t="s">
        <v>431</v>
      </c>
      <c r="F6565" t="s">
        <v>410</v>
      </c>
      <c r="G6565">
        <v>50</v>
      </c>
      <c r="I6565">
        <v>50</v>
      </c>
    </row>
    <row r="6566" spans="1:17" x14ac:dyDescent="0.2">
      <c r="A6566" s="121">
        <v>41425</v>
      </c>
      <c r="B6566" t="s">
        <v>406</v>
      </c>
      <c r="C6566" t="s">
        <v>429</v>
      </c>
      <c r="D6566" t="s">
        <v>432</v>
      </c>
      <c r="E6566" t="s">
        <v>433</v>
      </c>
      <c r="F6566" t="s">
        <v>410</v>
      </c>
      <c r="G6566">
        <v>27</v>
      </c>
      <c r="I6566">
        <v>27</v>
      </c>
    </row>
    <row r="6567" spans="1:17" x14ac:dyDescent="0.2">
      <c r="A6567" s="121">
        <v>41425</v>
      </c>
      <c r="B6567" t="s">
        <v>406</v>
      </c>
      <c r="C6567" t="s">
        <v>429</v>
      </c>
      <c r="D6567" t="s">
        <v>434</v>
      </c>
      <c r="E6567" t="s">
        <v>435</v>
      </c>
      <c r="F6567" t="s">
        <v>410</v>
      </c>
      <c r="G6567">
        <v>3</v>
      </c>
      <c r="I6567">
        <v>3</v>
      </c>
    </row>
    <row r="6568" spans="1:17" x14ac:dyDescent="0.2">
      <c r="A6568" s="121">
        <v>41425</v>
      </c>
      <c r="B6568" t="s">
        <v>406</v>
      </c>
      <c r="C6568" t="s">
        <v>429</v>
      </c>
      <c r="D6568" t="s">
        <v>436</v>
      </c>
      <c r="E6568" t="s">
        <v>437</v>
      </c>
      <c r="F6568" t="s">
        <v>410</v>
      </c>
      <c r="G6568">
        <v>25</v>
      </c>
      <c r="H6568">
        <v>25</v>
      </c>
      <c r="I6568">
        <v>25</v>
      </c>
      <c r="J6568">
        <v>25</v>
      </c>
      <c r="K6568">
        <v>0</v>
      </c>
      <c r="L6568">
        <v>0</v>
      </c>
      <c r="M6568">
        <v>21</v>
      </c>
      <c r="N6568">
        <v>4</v>
      </c>
      <c r="O6568">
        <v>0</v>
      </c>
      <c r="P6568">
        <v>0</v>
      </c>
      <c r="Q6568">
        <v>0</v>
      </c>
    </row>
    <row r="6569" spans="1:17" x14ac:dyDescent="0.2">
      <c r="A6569" s="121">
        <v>41425</v>
      </c>
      <c r="B6569" t="s">
        <v>406</v>
      </c>
      <c r="C6569" t="s">
        <v>429</v>
      </c>
      <c r="D6569" t="s">
        <v>438</v>
      </c>
      <c r="E6569" t="s">
        <v>439</v>
      </c>
      <c r="F6569" t="s">
        <v>413</v>
      </c>
      <c r="G6569">
        <v>972</v>
      </c>
      <c r="H6569">
        <v>972</v>
      </c>
      <c r="I6569">
        <v>941</v>
      </c>
      <c r="J6569">
        <v>941</v>
      </c>
      <c r="K6569">
        <v>98</v>
      </c>
      <c r="L6569">
        <v>1</v>
      </c>
      <c r="M6569">
        <v>828</v>
      </c>
      <c r="N6569">
        <v>44</v>
      </c>
      <c r="O6569">
        <v>1</v>
      </c>
      <c r="P6569">
        <v>2</v>
      </c>
      <c r="Q6569">
        <v>0</v>
      </c>
    </row>
    <row r="6570" spans="1:17" x14ac:dyDescent="0.2">
      <c r="A6570" s="121">
        <v>41425</v>
      </c>
      <c r="B6570" t="s">
        <v>406</v>
      </c>
      <c r="C6570" t="s">
        <v>429</v>
      </c>
      <c r="D6570" t="s">
        <v>440</v>
      </c>
      <c r="E6570" t="s">
        <v>441</v>
      </c>
      <c r="F6570" t="s">
        <v>413</v>
      </c>
      <c r="G6570">
        <v>3023</v>
      </c>
      <c r="H6570">
        <v>3023</v>
      </c>
      <c r="I6570">
        <v>2838</v>
      </c>
      <c r="J6570">
        <v>2838</v>
      </c>
      <c r="K6570">
        <v>1028</v>
      </c>
      <c r="L6570">
        <v>2</v>
      </c>
      <c r="M6570">
        <v>1902</v>
      </c>
      <c r="N6570">
        <v>91</v>
      </c>
      <c r="O6570">
        <v>0</v>
      </c>
      <c r="P6570">
        <v>1</v>
      </c>
      <c r="Q6570">
        <v>0</v>
      </c>
    </row>
    <row r="6571" spans="1:17" x14ac:dyDescent="0.2">
      <c r="A6571" s="121">
        <v>41425</v>
      </c>
      <c r="B6571" t="s">
        <v>406</v>
      </c>
      <c r="C6571" t="s">
        <v>442</v>
      </c>
      <c r="D6571" t="s">
        <v>443</v>
      </c>
      <c r="E6571" t="s">
        <v>444</v>
      </c>
      <c r="F6571" t="s">
        <v>413</v>
      </c>
      <c r="G6571">
        <v>5493</v>
      </c>
      <c r="H6571">
        <v>5493</v>
      </c>
      <c r="I6571">
        <v>5231</v>
      </c>
      <c r="J6571">
        <v>5231</v>
      </c>
      <c r="K6571">
        <v>1372</v>
      </c>
      <c r="L6571">
        <v>8</v>
      </c>
      <c r="M6571">
        <v>3823</v>
      </c>
      <c r="N6571">
        <v>134</v>
      </c>
      <c r="O6571">
        <v>156</v>
      </c>
      <c r="P6571">
        <v>26</v>
      </c>
      <c r="Q6571">
        <v>4</v>
      </c>
    </row>
    <row r="6572" spans="1:17" x14ac:dyDescent="0.2">
      <c r="A6572" s="121">
        <v>41425</v>
      </c>
      <c r="B6572" t="s">
        <v>406</v>
      </c>
      <c r="C6572" t="s">
        <v>442</v>
      </c>
      <c r="D6572" t="s">
        <v>445</v>
      </c>
      <c r="E6572" t="s">
        <v>446</v>
      </c>
      <c r="F6572" t="s">
        <v>410</v>
      </c>
      <c r="G6572">
        <v>142</v>
      </c>
      <c r="I6572">
        <v>142</v>
      </c>
    </row>
    <row r="6573" spans="1:17" x14ac:dyDescent="0.2">
      <c r="A6573" s="121">
        <v>41425</v>
      </c>
      <c r="B6573" t="s">
        <v>406</v>
      </c>
      <c r="C6573" t="s">
        <v>442</v>
      </c>
      <c r="D6573" t="s">
        <v>447</v>
      </c>
      <c r="E6573" t="s">
        <v>448</v>
      </c>
      <c r="F6573" t="s">
        <v>410</v>
      </c>
      <c r="G6573">
        <v>400</v>
      </c>
      <c r="I6573">
        <v>400</v>
      </c>
    </row>
    <row r="6574" spans="1:17" x14ac:dyDescent="0.2">
      <c r="A6574" s="121">
        <v>41425</v>
      </c>
      <c r="B6574" t="s">
        <v>406</v>
      </c>
      <c r="C6574" t="s">
        <v>442</v>
      </c>
      <c r="D6574" t="s">
        <v>449</v>
      </c>
      <c r="E6574" t="s">
        <v>624</v>
      </c>
      <c r="F6574" t="s">
        <v>410</v>
      </c>
      <c r="G6574">
        <v>1620</v>
      </c>
      <c r="H6574">
        <v>1620</v>
      </c>
      <c r="I6574">
        <v>1620</v>
      </c>
      <c r="J6574">
        <v>1620</v>
      </c>
      <c r="K6574">
        <v>6</v>
      </c>
      <c r="L6574">
        <v>0</v>
      </c>
      <c r="M6574">
        <v>1423</v>
      </c>
      <c r="N6574">
        <v>187</v>
      </c>
      <c r="O6574">
        <v>4</v>
      </c>
      <c r="P6574">
        <v>0</v>
      </c>
      <c r="Q6574">
        <v>0</v>
      </c>
    </row>
    <row r="6575" spans="1:17" x14ac:dyDescent="0.2">
      <c r="A6575" s="121">
        <v>41425</v>
      </c>
      <c r="B6575" t="s">
        <v>406</v>
      </c>
      <c r="C6575" t="s">
        <v>451</v>
      </c>
      <c r="D6575" t="s">
        <v>454</v>
      </c>
      <c r="E6575" t="s">
        <v>621</v>
      </c>
      <c r="F6575" t="s">
        <v>410</v>
      </c>
      <c r="G6575">
        <v>1353</v>
      </c>
      <c r="H6575">
        <v>1353</v>
      </c>
      <c r="I6575">
        <v>1353</v>
      </c>
      <c r="J6575">
        <v>1353</v>
      </c>
      <c r="K6575">
        <v>4</v>
      </c>
      <c r="L6575">
        <v>0</v>
      </c>
      <c r="M6575">
        <v>1191</v>
      </c>
      <c r="N6575">
        <v>64</v>
      </c>
      <c r="O6575">
        <v>94</v>
      </c>
      <c r="P6575">
        <v>0</v>
      </c>
      <c r="Q6575">
        <v>0</v>
      </c>
    </row>
    <row r="6576" spans="1:17" x14ac:dyDescent="0.2">
      <c r="A6576" s="121">
        <v>41425</v>
      </c>
      <c r="B6576" t="s">
        <v>406</v>
      </c>
      <c r="C6576" t="s">
        <v>451</v>
      </c>
      <c r="D6576" t="s">
        <v>622</v>
      </c>
      <c r="E6576" t="s">
        <v>623</v>
      </c>
      <c r="F6576" t="s">
        <v>413</v>
      </c>
      <c r="G6576">
        <v>5263</v>
      </c>
      <c r="H6576">
        <v>5263</v>
      </c>
      <c r="I6576">
        <v>5010</v>
      </c>
      <c r="J6576">
        <v>5010</v>
      </c>
      <c r="K6576">
        <v>1277</v>
      </c>
      <c r="L6576">
        <v>10</v>
      </c>
      <c r="M6576">
        <v>3749</v>
      </c>
      <c r="N6576">
        <v>35</v>
      </c>
      <c r="O6576">
        <v>192</v>
      </c>
      <c r="P6576">
        <v>28</v>
      </c>
      <c r="Q6576">
        <v>6</v>
      </c>
    </row>
    <row r="6577" spans="1:17" x14ac:dyDescent="0.2">
      <c r="A6577" s="121">
        <v>41425</v>
      </c>
      <c r="B6577" t="s">
        <v>406</v>
      </c>
      <c r="C6577" t="s">
        <v>456</v>
      </c>
      <c r="D6577" t="s">
        <v>457</v>
      </c>
      <c r="E6577" t="s">
        <v>458</v>
      </c>
      <c r="F6577" t="s">
        <v>413</v>
      </c>
      <c r="G6577">
        <v>5517</v>
      </c>
      <c r="H6577">
        <v>5517</v>
      </c>
      <c r="I6577">
        <v>5280</v>
      </c>
      <c r="J6577">
        <v>5280</v>
      </c>
      <c r="K6577">
        <v>1387</v>
      </c>
      <c r="L6577">
        <v>24</v>
      </c>
      <c r="M6577">
        <v>3659</v>
      </c>
      <c r="N6577">
        <v>28</v>
      </c>
      <c r="O6577">
        <v>419</v>
      </c>
      <c r="P6577">
        <v>7</v>
      </c>
      <c r="Q6577">
        <v>0</v>
      </c>
    </row>
    <row r="6578" spans="1:17" x14ac:dyDescent="0.2">
      <c r="A6578" s="121">
        <v>41425</v>
      </c>
      <c r="B6578" t="s">
        <v>406</v>
      </c>
      <c r="C6578" t="s">
        <v>456</v>
      </c>
      <c r="D6578" t="s">
        <v>459</v>
      </c>
      <c r="E6578" t="s">
        <v>460</v>
      </c>
      <c r="F6578" t="s">
        <v>413</v>
      </c>
      <c r="G6578">
        <v>1853</v>
      </c>
      <c r="H6578">
        <v>1853</v>
      </c>
      <c r="I6578">
        <v>1826</v>
      </c>
      <c r="J6578">
        <v>1826</v>
      </c>
      <c r="K6578">
        <v>384</v>
      </c>
      <c r="L6578">
        <v>1</v>
      </c>
      <c r="M6578">
        <v>1460</v>
      </c>
      <c r="N6578">
        <v>1</v>
      </c>
      <c r="O6578">
        <v>7</v>
      </c>
      <c r="P6578">
        <v>0</v>
      </c>
      <c r="Q6578">
        <v>0</v>
      </c>
    </row>
    <row r="6579" spans="1:17" x14ac:dyDescent="0.2">
      <c r="A6579" s="121">
        <v>41425</v>
      </c>
      <c r="B6579" t="s">
        <v>406</v>
      </c>
      <c r="C6579" t="s">
        <v>456</v>
      </c>
      <c r="D6579" t="s">
        <v>461</v>
      </c>
      <c r="E6579" t="s">
        <v>462</v>
      </c>
      <c r="F6579" t="s">
        <v>410</v>
      </c>
      <c r="G6579">
        <v>94</v>
      </c>
      <c r="I6579">
        <v>94</v>
      </c>
    </row>
    <row r="6580" spans="1:17" x14ac:dyDescent="0.2">
      <c r="A6580" s="121">
        <v>41425</v>
      </c>
      <c r="B6580" t="s">
        <v>406</v>
      </c>
      <c r="C6580" t="s">
        <v>456</v>
      </c>
      <c r="D6580" t="s">
        <v>463</v>
      </c>
      <c r="E6580" t="s">
        <v>464</v>
      </c>
      <c r="F6580" t="s">
        <v>410</v>
      </c>
      <c r="G6580">
        <v>25</v>
      </c>
      <c r="I6580">
        <v>25</v>
      </c>
    </row>
    <row r="6581" spans="1:17" x14ac:dyDescent="0.2">
      <c r="A6581" s="121">
        <v>41425</v>
      </c>
      <c r="B6581" t="s">
        <v>406</v>
      </c>
      <c r="C6581" t="s">
        <v>456</v>
      </c>
      <c r="D6581" t="s">
        <v>465</v>
      </c>
      <c r="E6581" t="s">
        <v>466</v>
      </c>
      <c r="F6581" t="s">
        <v>410</v>
      </c>
      <c r="G6581">
        <v>70</v>
      </c>
      <c r="I6581">
        <v>70</v>
      </c>
    </row>
    <row r="6582" spans="1:17" x14ac:dyDescent="0.2">
      <c r="A6582" s="121">
        <v>41425</v>
      </c>
      <c r="B6582" t="s">
        <v>406</v>
      </c>
      <c r="C6582" t="s">
        <v>456</v>
      </c>
      <c r="D6582" t="s">
        <v>467</v>
      </c>
      <c r="E6582" t="s">
        <v>468</v>
      </c>
      <c r="F6582" t="s">
        <v>410</v>
      </c>
      <c r="G6582">
        <v>1508</v>
      </c>
      <c r="I6582">
        <v>1505</v>
      </c>
    </row>
    <row r="6583" spans="1:17" x14ac:dyDescent="0.2">
      <c r="A6583" s="121">
        <v>41425</v>
      </c>
      <c r="B6583" t="s">
        <v>406</v>
      </c>
      <c r="C6583" t="s">
        <v>456</v>
      </c>
      <c r="D6583" t="s">
        <v>469</v>
      </c>
      <c r="E6583" t="s">
        <v>470</v>
      </c>
      <c r="F6583" t="s">
        <v>410</v>
      </c>
      <c r="G6583">
        <v>874</v>
      </c>
      <c r="I6583">
        <v>873</v>
      </c>
    </row>
    <row r="6584" spans="1:17" x14ac:dyDescent="0.2">
      <c r="A6584" s="121">
        <v>41425</v>
      </c>
      <c r="B6584" t="s">
        <v>406</v>
      </c>
      <c r="C6584" t="s">
        <v>456</v>
      </c>
      <c r="D6584" t="s">
        <v>471</v>
      </c>
      <c r="E6584" t="s">
        <v>472</v>
      </c>
      <c r="F6584" t="s">
        <v>410</v>
      </c>
      <c r="G6584">
        <v>340</v>
      </c>
      <c r="I6584">
        <v>340</v>
      </c>
    </row>
    <row r="6585" spans="1:17" x14ac:dyDescent="0.2">
      <c r="A6585" s="121">
        <v>41425</v>
      </c>
      <c r="B6585" t="s">
        <v>406</v>
      </c>
      <c r="C6585" t="s">
        <v>456</v>
      </c>
      <c r="D6585" t="s">
        <v>473</v>
      </c>
      <c r="E6585" t="s">
        <v>474</v>
      </c>
      <c r="F6585" t="s">
        <v>410</v>
      </c>
      <c r="G6585">
        <v>218</v>
      </c>
      <c r="I6585">
        <v>218</v>
      </c>
    </row>
    <row r="6586" spans="1:17" x14ac:dyDescent="0.2">
      <c r="A6586" s="121">
        <v>41425</v>
      </c>
      <c r="B6586" t="s">
        <v>406</v>
      </c>
      <c r="C6586" t="s">
        <v>456</v>
      </c>
      <c r="D6586" t="s">
        <v>475</v>
      </c>
      <c r="E6586" t="s">
        <v>476</v>
      </c>
      <c r="F6586" t="s">
        <v>410</v>
      </c>
      <c r="G6586">
        <v>366</v>
      </c>
      <c r="I6586">
        <v>361</v>
      </c>
    </row>
    <row r="6587" spans="1:17" x14ac:dyDescent="0.2">
      <c r="A6587" s="121">
        <v>41425</v>
      </c>
      <c r="B6587" t="s">
        <v>406</v>
      </c>
      <c r="C6587" t="s">
        <v>456</v>
      </c>
      <c r="D6587" t="s">
        <v>477</v>
      </c>
      <c r="E6587" t="s">
        <v>478</v>
      </c>
      <c r="F6587" t="s">
        <v>413</v>
      </c>
      <c r="G6587">
        <v>2111</v>
      </c>
      <c r="H6587">
        <v>2111</v>
      </c>
      <c r="I6587">
        <v>2010</v>
      </c>
      <c r="J6587">
        <v>2010</v>
      </c>
      <c r="K6587">
        <v>443</v>
      </c>
      <c r="L6587">
        <v>0</v>
      </c>
      <c r="M6587">
        <v>1606</v>
      </c>
      <c r="N6587">
        <v>30</v>
      </c>
      <c r="O6587">
        <v>32</v>
      </c>
      <c r="P6587">
        <v>2</v>
      </c>
      <c r="Q6587">
        <v>1</v>
      </c>
    </row>
    <row r="6588" spans="1:17" x14ac:dyDescent="0.2">
      <c r="A6588" s="121">
        <v>41425</v>
      </c>
      <c r="B6588" t="s">
        <v>406</v>
      </c>
      <c r="C6588" t="s">
        <v>456</v>
      </c>
      <c r="D6588" t="s">
        <v>479</v>
      </c>
      <c r="E6588" t="s">
        <v>480</v>
      </c>
      <c r="F6588" t="s">
        <v>410</v>
      </c>
      <c r="G6588">
        <v>77</v>
      </c>
      <c r="I6588">
        <v>77</v>
      </c>
    </row>
    <row r="6589" spans="1:17" x14ac:dyDescent="0.2">
      <c r="A6589" s="121">
        <v>41425</v>
      </c>
      <c r="B6589" t="s">
        <v>406</v>
      </c>
      <c r="C6589" t="s">
        <v>456</v>
      </c>
      <c r="D6589" t="s">
        <v>481</v>
      </c>
      <c r="E6589" t="s">
        <v>482</v>
      </c>
      <c r="F6589" t="s">
        <v>410</v>
      </c>
      <c r="G6589">
        <v>31</v>
      </c>
      <c r="I6589">
        <v>31</v>
      </c>
    </row>
    <row r="6590" spans="1:17" x14ac:dyDescent="0.2">
      <c r="A6590" s="121">
        <v>41425</v>
      </c>
      <c r="B6590" t="s">
        <v>406</v>
      </c>
      <c r="C6590" t="s">
        <v>456</v>
      </c>
      <c r="D6590" t="s">
        <v>483</v>
      </c>
      <c r="E6590" t="s">
        <v>484</v>
      </c>
      <c r="F6590" t="s">
        <v>410</v>
      </c>
      <c r="G6590">
        <v>97</v>
      </c>
      <c r="I6590">
        <v>97</v>
      </c>
    </row>
    <row r="6591" spans="1:17" x14ac:dyDescent="0.2">
      <c r="A6591" s="121">
        <v>41425</v>
      </c>
      <c r="B6591" t="s">
        <v>406</v>
      </c>
      <c r="C6591" t="s">
        <v>456</v>
      </c>
      <c r="D6591" t="s">
        <v>485</v>
      </c>
      <c r="E6591" t="s">
        <v>486</v>
      </c>
      <c r="F6591" t="s">
        <v>410</v>
      </c>
      <c r="G6591">
        <v>33</v>
      </c>
      <c r="I6591">
        <v>33</v>
      </c>
    </row>
    <row r="6592" spans="1:17" x14ac:dyDescent="0.2">
      <c r="A6592" s="121">
        <v>41425</v>
      </c>
      <c r="B6592" t="s">
        <v>406</v>
      </c>
      <c r="C6592" t="s">
        <v>456</v>
      </c>
      <c r="D6592" t="s">
        <v>487</v>
      </c>
      <c r="E6592" t="s">
        <v>488</v>
      </c>
      <c r="F6592" t="s">
        <v>410</v>
      </c>
      <c r="G6592">
        <v>41</v>
      </c>
      <c r="I6592">
        <v>41</v>
      </c>
    </row>
    <row r="6593" spans="1:17" x14ac:dyDescent="0.2">
      <c r="A6593" s="121">
        <v>41425</v>
      </c>
      <c r="B6593" t="s">
        <v>406</v>
      </c>
      <c r="C6593" t="s">
        <v>456</v>
      </c>
      <c r="D6593" t="s">
        <v>489</v>
      </c>
      <c r="E6593" t="s">
        <v>490</v>
      </c>
      <c r="F6593" t="s">
        <v>410</v>
      </c>
      <c r="G6593">
        <v>133</v>
      </c>
      <c r="I6593">
        <v>133</v>
      </c>
    </row>
    <row r="6594" spans="1:17" x14ac:dyDescent="0.2">
      <c r="A6594" s="121">
        <v>41425</v>
      </c>
      <c r="B6594" t="s">
        <v>406</v>
      </c>
      <c r="C6594" t="s">
        <v>491</v>
      </c>
      <c r="D6594" t="s">
        <v>492</v>
      </c>
      <c r="E6594" t="s">
        <v>493</v>
      </c>
      <c r="F6594" t="s">
        <v>410</v>
      </c>
      <c r="G6594">
        <v>1307</v>
      </c>
      <c r="H6594">
        <v>1307</v>
      </c>
      <c r="I6594">
        <v>1279</v>
      </c>
      <c r="J6594">
        <v>1279</v>
      </c>
      <c r="K6594">
        <v>227</v>
      </c>
      <c r="L6594">
        <v>0</v>
      </c>
      <c r="M6594">
        <v>1019</v>
      </c>
      <c r="N6594">
        <v>54</v>
      </c>
      <c r="O6594">
        <v>7</v>
      </c>
      <c r="P6594">
        <v>0</v>
      </c>
      <c r="Q6594">
        <v>0</v>
      </c>
    </row>
    <row r="6595" spans="1:17" x14ac:dyDescent="0.2">
      <c r="A6595" s="121">
        <v>41425</v>
      </c>
      <c r="B6595" t="s">
        <v>406</v>
      </c>
      <c r="C6595" t="s">
        <v>491</v>
      </c>
      <c r="D6595" t="s">
        <v>494</v>
      </c>
      <c r="E6595" t="s">
        <v>495</v>
      </c>
      <c r="F6595" t="s">
        <v>413</v>
      </c>
      <c r="G6595">
        <v>2632</v>
      </c>
      <c r="H6595">
        <v>2632</v>
      </c>
      <c r="I6595">
        <v>2459</v>
      </c>
      <c r="J6595">
        <v>2459</v>
      </c>
      <c r="K6595">
        <v>671</v>
      </c>
      <c r="L6595">
        <v>1</v>
      </c>
      <c r="M6595">
        <v>1836</v>
      </c>
      <c r="N6595">
        <v>18</v>
      </c>
      <c r="O6595">
        <v>106</v>
      </c>
      <c r="P6595">
        <v>1</v>
      </c>
      <c r="Q6595">
        <v>0</v>
      </c>
    </row>
    <row r="6596" spans="1:17" x14ac:dyDescent="0.2">
      <c r="A6596" s="121">
        <v>41425</v>
      </c>
      <c r="B6596" t="s">
        <v>406</v>
      </c>
      <c r="C6596" t="s">
        <v>491</v>
      </c>
      <c r="D6596" t="s">
        <v>496</v>
      </c>
      <c r="E6596" t="s">
        <v>497</v>
      </c>
      <c r="F6596" t="s">
        <v>413</v>
      </c>
      <c r="G6596">
        <v>5900</v>
      </c>
      <c r="H6596">
        <v>5900</v>
      </c>
      <c r="I6596">
        <v>5383</v>
      </c>
      <c r="J6596">
        <v>5383</v>
      </c>
      <c r="K6596">
        <v>1952</v>
      </c>
      <c r="L6596">
        <v>16</v>
      </c>
      <c r="M6596">
        <v>3615</v>
      </c>
      <c r="N6596">
        <v>123</v>
      </c>
      <c r="O6596">
        <v>194</v>
      </c>
      <c r="P6596">
        <v>20</v>
      </c>
      <c r="Q6596">
        <v>0</v>
      </c>
    </row>
    <row r="6597" spans="1:17" x14ac:dyDescent="0.2">
      <c r="A6597" s="121">
        <v>41425</v>
      </c>
      <c r="B6597" t="s">
        <v>406</v>
      </c>
      <c r="C6597" t="s">
        <v>491</v>
      </c>
      <c r="D6597" t="s">
        <v>498</v>
      </c>
      <c r="E6597" t="s">
        <v>499</v>
      </c>
      <c r="F6597" t="s">
        <v>413</v>
      </c>
      <c r="G6597">
        <v>7321</v>
      </c>
      <c r="H6597">
        <v>7321</v>
      </c>
      <c r="I6597">
        <v>6614</v>
      </c>
      <c r="J6597">
        <v>6614</v>
      </c>
      <c r="K6597">
        <v>1799</v>
      </c>
      <c r="L6597">
        <v>13</v>
      </c>
      <c r="M6597">
        <v>4919</v>
      </c>
      <c r="N6597">
        <v>115</v>
      </c>
      <c r="O6597">
        <v>475</v>
      </c>
      <c r="P6597">
        <v>18</v>
      </c>
      <c r="Q6597">
        <v>0</v>
      </c>
    </row>
    <row r="6598" spans="1:17" x14ac:dyDescent="0.2">
      <c r="A6598" s="121">
        <v>41425</v>
      </c>
      <c r="B6598" t="s">
        <v>406</v>
      </c>
      <c r="C6598" t="s">
        <v>491</v>
      </c>
      <c r="D6598" t="s">
        <v>500</v>
      </c>
      <c r="E6598" t="s">
        <v>620</v>
      </c>
      <c r="F6598" t="s">
        <v>410</v>
      </c>
      <c r="G6598">
        <v>1521</v>
      </c>
      <c r="H6598">
        <v>1521</v>
      </c>
      <c r="I6598">
        <v>1521</v>
      </c>
      <c r="J6598">
        <v>1521</v>
      </c>
      <c r="K6598">
        <v>4</v>
      </c>
      <c r="L6598">
        <v>0</v>
      </c>
      <c r="M6598">
        <v>1369</v>
      </c>
      <c r="N6598">
        <v>16</v>
      </c>
      <c r="O6598">
        <v>132</v>
      </c>
      <c r="P6598">
        <v>0</v>
      </c>
      <c r="Q6598">
        <v>0</v>
      </c>
    </row>
    <row r="6599" spans="1:17" x14ac:dyDescent="0.2">
      <c r="A6599" s="121">
        <v>41425</v>
      </c>
      <c r="B6599" t="s">
        <v>406</v>
      </c>
      <c r="C6599" t="s">
        <v>491</v>
      </c>
      <c r="D6599" t="s">
        <v>502</v>
      </c>
      <c r="E6599" t="s">
        <v>615</v>
      </c>
      <c r="F6599" t="s">
        <v>410</v>
      </c>
      <c r="G6599">
        <v>1995</v>
      </c>
      <c r="H6599">
        <v>1995</v>
      </c>
      <c r="I6599">
        <v>1994</v>
      </c>
      <c r="J6599">
        <v>1994</v>
      </c>
      <c r="K6599">
        <v>0</v>
      </c>
      <c r="L6599">
        <v>2</v>
      </c>
      <c r="M6599">
        <v>1895</v>
      </c>
      <c r="N6599">
        <v>94</v>
      </c>
      <c r="O6599">
        <v>4</v>
      </c>
      <c r="P6599">
        <v>0</v>
      </c>
      <c r="Q6599">
        <v>0</v>
      </c>
    </row>
    <row r="6600" spans="1:17" x14ac:dyDescent="0.2">
      <c r="A6600" s="121">
        <v>41425</v>
      </c>
      <c r="B6600" t="s">
        <v>406</v>
      </c>
      <c r="C6600" t="s">
        <v>491</v>
      </c>
      <c r="D6600" t="s">
        <v>502</v>
      </c>
      <c r="E6600" t="s">
        <v>503</v>
      </c>
      <c r="F6600" t="s">
        <v>413</v>
      </c>
      <c r="G6600">
        <v>5320</v>
      </c>
      <c r="H6600">
        <v>5320</v>
      </c>
      <c r="I6600">
        <v>4927</v>
      </c>
      <c r="J6600">
        <v>4927</v>
      </c>
      <c r="K6600">
        <v>1576</v>
      </c>
      <c r="L6600">
        <v>9</v>
      </c>
      <c r="M6600">
        <v>3320</v>
      </c>
      <c r="N6600">
        <v>305</v>
      </c>
      <c r="O6600">
        <v>110</v>
      </c>
      <c r="P6600">
        <v>20</v>
      </c>
      <c r="Q6600">
        <v>2</v>
      </c>
    </row>
    <row r="6601" spans="1:17" x14ac:dyDescent="0.2">
      <c r="A6601" s="121">
        <v>41425</v>
      </c>
      <c r="B6601" t="s">
        <v>406</v>
      </c>
      <c r="C6601" t="s">
        <v>491</v>
      </c>
      <c r="D6601" t="s">
        <v>504</v>
      </c>
      <c r="E6601" t="s">
        <v>505</v>
      </c>
      <c r="F6601" t="s">
        <v>413</v>
      </c>
      <c r="G6601">
        <v>4131</v>
      </c>
      <c r="H6601">
        <v>4131</v>
      </c>
      <c r="I6601">
        <v>3721</v>
      </c>
      <c r="J6601">
        <v>3721</v>
      </c>
      <c r="K6601">
        <v>1146</v>
      </c>
      <c r="L6601">
        <v>12</v>
      </c>
      <c r="M6601">
        <v>2737</v>
      </c>
      <c r="N6601">
        <v>174</v>
      </c>
      <c r="O6601">
        <v>62</v>
      </c>
      <c r="P6601">
        <v>11</v>
      </c>
      <c r="Q6601">
        <v>0</v>
      </c>
    </row>
    <row r="6602" spans="1:17" x14ac:dyDescent="0.2">
      <c r="A6602" s="121">
        <v>41425</v>
      </c>
      <c r="B6602" t="s">
        <v>406</v>
      </c>
      <c r="C6602" t="s">
        <v>491</v>
      </c>
      <c r="D6602" t="s">
        <v>506</v>
      </c>
      <c r="E6602" t="s">
        <v>507</v>
      </c>
      <c r="F6602" t="s">
        <v>413</v>
      </c>
      <c r="G6602">
        <v>3946</v>
      </c>
      <c r="H6602">
        <v>3946</v>
      </c>
      <c r="I6602">
        <v>3832</v>
      </c>
      <c r="J6602">
        <v>3832</v>
      </c>
      <c r="K6602">
        <v>634</v>
      </c>
      <c r="L6602">
        <v>1</v>
      </c>
      <c r="M6602">
        <v>3296</v>
      </c>
      <c r="N6602">
        <v>0</v>
      </c>
      <c r="O6602">
        <v>15</v>
      </c>
      <c r="P6602">
        <v>3</v>
      </c>
      <c r="Q6602">
        <v>0</v>
      </c>
    </row>
    <row r="6603" spans="1:17" x14ac:dyDescent="0.2">
      <c r="A6603" s="121">
        <v>41425</v>
      </c>
      <c r="B6603" t="s">
        <v>406</v>
      </c>
      <c r="C6603" t="s">
        <v>491</v>
      </c>
      <c r="D6603" t="s">
        <v>508</v>
      </c>
      <c r="E6603" t="s">
        <v>509</v>
      </c>
      <c r="F6603" t="s">
        <v>413</v>
      </c>
      <c r="G6603">
        <v>5112</v>
      </c>
      <c r="H6603">
        <v>5112</v>
      </c>
      <c r="I6603">
        <v>4486</v>
      </c>
      <c r="J6603">
        <v>4486</v>
      </c>
      <c r="K6603">
        <v>1735</v>
      </c>
      <c r="L6603">
        <v>16</v>
      </c>
      <c r="M6603">
        <v>3016</v>
      </c>
      <c r="N6603">
        <v>92</v>
      </c>
      <c r="O6603">
        <v>253</v>
      </c>
      <c r="P6603">
        <v>33</v>
      </c>
      <c r="Q6603">
        <v>0</v>
      </c>
    </row>
    <row r="6604" spans="1:17" x14ac:dyDescent="0.2">
      <c r="A6604" s="121">
        <v>41425</v>
      </c>
      <c r="B6604" t="s">
        <v>406</v>
      </c>
      <c r="C6604" t="s">
        <v>510</v>
      </c>
      <c r="D6604" t="s">
        <v>513</v>
      </c>
      <c r="E6604" t="s">
        <v>514</v>
      </c>
      <c r="F6604" t="s">
        <v>410</v>
      </c>
      <c r="G6604">
        <v>593</v>
      </c>
      <c r="I6604">
        <v>589</v>
      </c>
    </row>
    <row r="6605" spans="1:17" x14ac:dyDescent="0.2">
      <c r="A6605" s="121">
        <v>41425</v>
      </c>
      <c r="B6605" t="s">
        <v>406</v>
      </c>
      <c r="C6605" t="s">
        <v>510</v>
      </c>
      <c r="D6605" t="s">
        <v>515</v>
      </c>
      <c r="E6605" t="s">
        <v>516</v>
      </c>
      <c r="F6605" t="s">
        <v>410</v>
      </c>
      <c r="G6605">
        <v>111</v>
      </c>
      <c r="I6605">
        <v>107</v>
      </c>
    </row>
    <row r="6606" spans="1:17" x14ac:dyDescent="0.2">
      <c r="A6606" s="121">
        <v>41425</v>
      </c>
      <c r="B6606" t="s">
        <v>406</v>
      </c>
      <c r="C6606" t="s">
        <v>510</v>
      </c>
      <c r="D6606" t="s">
        <v>519</v>
      </c>
      <c r="E6606" t="s">
        <v>520</v>
      </c>
      <c r="F6606" t="s">
        <v>410</v>
      </c>
      <c r="G6606">
        <v>343</v>
      </c>
      <c r="I6606">
        <v>338</v>
      </c>
    </row>
    <row r="6607" spans="1:17" x14ac:dyDescent="0.2">
      <c r="A6607" s="121">
        <v>41425</v>
      </c>
      <c r="B6607" t="s">
        <v>406</v>
      </c>
      <c r="C6607" t="s">
        <v>510</v>
      </c>
      <c r="D6607" t="s">
        <v>523</v>
      </c>
      <c r="E6607" t="s">
        <v>524</v>
      </c>
      <c r="F6607" t="s">
        <v>413</v>
      </c>
      <c r="G6607">
        <v>575</v>
      </c>
      <c r="H6607">
        <v>575</v>
      </c>
      <c r="I6607">
        <v>558</v>
      </c>
      <c r="J6607">
        <v>558</v>
      </c>
      <c r="K6607">
        <v>106</v>
      </c>
      <c r="L6607">
        <v>0</v>
      </c>
      <c r="M6607">
        <v>449</v>
      </c>
      <c r="N6607">
        <v>20</v>
      </c>
      <c r="O6607">
        <v>0</v>
      </c>
      <c r="P6607">
        <v>0</v>
      </c>
      <c r="Q6607">
        <v>0</v>
      </c>
    </row>
    <row r="6608" spans="1:17" x14ac:dyDescent="0.2">
      <c r="A6608" s="121">
        <v>41425</v>
      </c>
      <c r="B6608" t="s">
        <v>406</v>
      </c>
      <c r="C6608" t="s">
        <v>510</v>
      </c>
      <c r="D6608" t="s">
        <v>525</v>
      </c>
      <c r="E6608" t="s">
        <v>526</v>
      </c>
      <c r="F6608" t="s">
        <v>410</v>
      </c>
      <c r="G6608">
        <v>437</v>
      </c>
      <c r="I6608">
        <v>427</v>
      </c>
    </row>
    <row r="6609" spans="1:17" x14ac:dyDescent="0.2">
      <c r="A6609" s="121">
        <v>41425</v>
      </c>
      <c r="B6609" t="s">
        <v>406</v>
      </c>
      <c r="C6609" t="s">
        <v>510</v>
      </c>
      <c r="D6609" t="s">
        <v>527</v>
      </c>
      <c r="E6609" t="s">
        <v>528</v>
      </c>
      <c r="F6609" t="s">
        <v>410</v>
      </c>
      <c r="G6609">
        <v>201</v>
      </c>
      <c r="I6609">
        <v>200</v>
      </c>
    </row>
    <row r="6610" spans="1:17" x14ac:dyDescent="0.2">
      <c r="A6610" s="121">
        <v>41425</v>
      </c>
      <c r="B6610" t="s">
        <v>406</v>
      </c>
      <c r="C6610" t="s">
        <v>510</v>
      </c>
      <c r="D6610" t="s">
        <v>529</v>
      </c>
      <c r="E6610" t="s">
        <v>530</v>
      </c>
      <c r="F6610" t="s">
        <v>413</v>
      </c>
      <c r="G6610">
        <v>558</v>
      </c>
      <c r="H6610">
        <v>558</v>
      </c>
      <c r="I6610">
        <v>536</v>
      </c>
      <c r="J6610">
        <v>536</v>
      </c>
      <c r="K6610">
        <v>170</v>
      </c>
      <c r="L6610">
        <v>3</v>
      </c>
      <c r="M6610">
        <v>383</v>
      </c>
      <c r="N6610">
        <v>2</v>
      </c>
      <c r="O6610">
        <v>0</v>
      </c>
      <c r="P6610">
        <v>1</v>
      </c>
      <c r="Q6610">
        <v>0</v>
      </c>
    </row>
    <row r="6611" spans="1:17" x14ac:dyDescent="0.2">
      <c r="A6611" s="121">
        <v>41425</v>
      </c>
      <c r="B6611" t="s">
        <v>406</v>
      </c>
      <c r="C6611" t="s">
        <v>510</v>
      </c>
      <c r="D6611" t="s">
        <v>531</v>
      </c>
      <c r="E6611" t="s">
        <v>532</v>
      </c>
      <c r="F6611" t="s">
        <v>410</v>
      </c>
      <c r="G6611">
        <v>35</v>
      </c>
      <c r="I6611">
        <v>35</v>
      </c>
    </row>
    <row r="6612" spans="1:17" x14ac:dyDescent="0.2">
      <c r="A6612" s="121">
        <v>41425</v>
      </c>
      <c r="B6612" t="s">
        <v>406</v>
      </c>
      <c r="C6612" t="s">
        <v>510</v>
      </c>
      <c r="D6612" t="s">
        <v>533</v>
      </c>
      <c r="E6612" t="s">
        <v>534</v>
      </c>
      <c r="F6612" t="s">
        <v>413</v>
      </c>
      <c r="G6612">
        <v>2767</v>
      </c>
      <c r="H6612">
        <v>2767</v>
      </c>
      <c r="I6612">
        <v>2670</v>
      </c>
      <c r="J6612">
        <v>2670</v>
      </c>
      <c r="K6612">
        <v>639</v>
      </c>
      <c r="L6612">
        <v>5</v>
      </c>
      <c r="M6612">
        <v>2113</v>
      </c>
      <c r="N6612">
        <v>10</v>
      </c>
      <c r="O6612">
        <v>0</v>
      </c>
      <c r="P6612">
        <v>5</v>
      </c>
      <c r="Q6612">
        <v>0</v>
      </c>
    </row>
    <row r="6613" spans="1:17" x14ac:dyDescent="0.2">
      <c r="A6613" s="121">
        <v>41425</v>
      </c>
      <c r="B6613" t="s">
        <v>406</v>
      </c>
      <c r="C6613" t="s">
        <v>510</v>
      </c>
      <c r="D6613" t="s">
        <v>535</v>
      </c>
      <c r="E6613" t="s">
        <v>536</v>
      </c>
      <c r="F6613" t="s">
        <v>410</v>
      </c>
      <c r="G6613">
        <v>474</v>
      </c>
      <c r="I6613">
        <v>474</v>
      </c>
    </row>
    <row r="6614" spans="1:17" x14ac:dyDescent="0.2">
      <c r="A6614" s="121">
        <v>41425</v>
      </c>
      <c r="B6614" t="s">
        <v>406</v>
      </c>
      <c r="C6614" t="s">
        <v>510</v>
      </c>
      <c r="D6614" t="s">
        <v>537</v>
      </c>
      <c r="E6614" t="s">
        <v>538</v>
      </c>
      <c r="F6614" t="s">
        <v>410</v>
      </c>
      <c r="G6614">
        <v>102</v>
      </c>
      <c r="I6614">
        <v>102</v>
      </c>
    </row>
    <row r="6615" spans="1:17" x14ac:dyDescent="0.2">
      <c r="A6615" s="121">
        <v>41425</v>
      </c>
      <c r="B6615" t="s">
        <v>406</v>
      </c>
      <c r="C6615" t="s">
        <v>510</v>
      </c>
      <c r="D6615" t="s">
        <v>539</v>
      </c>
      <c r="E6615" t="s">
        <v>540</v>
      </c>
      <c r="F6615" t="s">
        <v>413</v>
      </c>
      <c r="G6615">
        <v>927</v>
      </c>
      <c r="H6615">
        <v>927</v>
      </c>
      <c r="I6615">
        <v>864</v>
      </c>
      <c r="J6615">
        <v>864</v>
      </c>
      <c r="K6615">
        <v>161</v>
      </c>
      <c r="L6615">
        <v>1</v>
      </c>
      <c r="M6615">
        <v>759</v>
      </c>
      <c r="N6615">
        <v>6</v>
      </c>
      <c r="O6615">
        <v>0</v>
      </c>
      <c r="P6615">
        <v>2</v>
      </c>
      <c r="Q6615">
        <v>1</v>
      </c>
    </row>
    <row r="6616" spans="1:17" x14ac:dyDescent="0.2">
      <c r="A6616" s="121">
        <v>41425</v>
      </c>
      <c r="B6616" t="s">
        <v>406</v>
      </c>
      <c r="C6616" t="s">
        <v>510</v>
      </c>
      <c r="D6616" t="s">
        <v>541</v>
      </c>
      <c r="E6616" t="s">
        <v>542</v>
      </c>
      <c r="F6616" t="s">
        <v>410</v>
      </c>
      <c r="G6616">
        <v>398</v>
      </c>
      <c r="I6616">
        <v>398</v>
      </c>
    </row>
    <row r="6617" spans="1:17" x14ac:dyDescent="0.2">
      <c r="A6617" s="121">
        <v>41425</v>
      </c>
      <c r="B6617" t="s">
        <v>406</v>
      </c>
      <c r="C6617" t="s">
        <v>510</v>
      </c>
      <c r="D6617" t="s">
        <v>543</v>
      </c>
      <c r="E6617" t="s">
        <v>544</v>
      </c>
      <c r="F6617" t="s">
        <v>410</v>
      </c>
      <c r="G6617">
        <v>282</v>
      </c>
      <c r="I6617">
        <v>282</v>
      </c>
    </row>
    <row r="6618" spans="1:17" x14ac:dyDescent="0.2">
      <c r="A6618" s="121">
        <v>41425</v>
      </c>
      <c r="B6618" t="s">
        <v>406</v>
      </c>
      <c r="C6618" t="s">
        <v>510</v>
      </c>
      <c r="D6618" t="s">
        <v>545</v>
      </c>
      <c r="E6618" t="s">
        <v>546</v>
      </c>
      <c r="F6618" t="s">
        <v>410</v>
      </c>
      <c r="G6618">
        <v>192</v>
      </c>
      <c r="I6618">
        <v>192</v>
      </c>
    </row>
    <row r="6619" spans="1:17" x14ac:dyDescent="0.2">
      <c r="A6619" s="121">
        <v>41425</v>
      </c>
      <c r="B6619" t="s">
        <v>406</v>
      </c>
      <c r="C6619" t="s">
        <v>510</v>
      </c>
      <c r="D6619" t="s">
        <v>547</v>
      </c>
      <c r="E6619" t="s">
        <v>548</v>
      </c>
      <c r="F6619" t="s">
        <v>410</v>
      </c>
      <c r="G6619">
        <v>146</v>
      </c>
      <c r="I6619">
        <v>146</v>
      </c>
    </row>
    <row r="6620" spans="1:17" x14ac:dyDescent="0.2">
      <c r="A6620" s="121">
        <v>41425</v>
      </c>
      <c r="B6620" t="s">
        <v>406</v>
      </c>
      <c r="C6620" t="s">
        <v>510</v>
      </c>
      <c r="D6620" t="s">
        <v>616</v>
      </c>
      <c r="E6620" t="s">
        <v>617</v>
      </c>
      <c r="F6620" t="s">
        <v>410</v>
      </c>
      <c r="G6620">
        <v>330</v>
      </c>
      <c r="I6620">
        <v>322</v>
      </c>
    </row>
    <row r="6621" spans="1:17" x14ac:dyDescent="0.2">
      <c r="A6621" s="121">
        <v>41425</v>
      </c>
      <c r="B6621" t="s">
        <v>406</v>
      </c>
      <c r="C6621" t="s">
        <v>510</v>
      </c>
      <c r="D6621" t="s">
        <v>549</v>
      </c>
      <c r="E6621" t="s">
        <v>550</v>
      </c>
      <c r="F6621" t="s">
        <v>410</v>
      </c>
      <c r="G6621">
        <v>160</v>
      </c>
      <c r="I6621">
        <v>160</v>
      </c>
    </row>
    <row r="6622" spans="1:17" x14ac:dyDescent="0.2">
      <c r="A6622" s="121">
        <v>41425</v>
      </c>
      <c r="B6622" t="s">
        <v>406</v>
      </c>
      <c r="C6622" t="s">
        <v>510</v>
      </c>
      <c r="D6622" t="s">
        <v>625</v>
      </c>
      <c r="E6622" t="s">
        <v>626</v>
      </c>
      <c r="F6622" t="s">
        <v>410</v>
      </c>
      <c r="G6622">
        <v>68</v>
      </c>
      <c r="I6622">
        <v>67</v>
      </c>
    </row>
    <row r="6623" spans="1:17" x14ac:dyDescent="0.2">
      <c r="A6623" s="121">
        <v>41425</v>
      </c>
      <c r="B6623" t="s">
        <v>406</v>
      </c>
      <c r="C6623" t="s">
        <v>551</v>
      </c>
      <c r="D6623" t="s">
        <v>552</v>
      </c>
      <c r="E6623" t="s">
        <v>553</v>
      </c>
      <c r="F6623" t="s">
        <v>413</v>
      </c>
      <c r="G6623">
        <v>5982</v>
      </c>
      <c r="H6623">
        <v>5982</v>
      </c>
      <c r="I6623">
        <v>5589</v>
      </c>
      <c r="J6623">
        <v>5589</v>
      </c>
      <c r="K6623">
        <v>1684</v>
      </c>
      <c r="L6623">
        <v>2</v>
      </c>
      <c r="M6623">
        <v>4003</v>
      </c>
      <c r="N6623">
        <v>163</v>
      </c>
      <c r="O6623">
        <v>130</v>
      </c>
      <c r="P6623">
        <v>13</v>
      </c>
      <c r="Q6623">
        <v>0</v>
      </c>
    </row>
    <row r="6624" spans="1:17" x14ac:dyDescent="0.2">
      <c r="A6624" s="121">
        <v>41425</v>
      </c>
      <c r="B6624" t="s">
        <v>406</v>
      </c>
      <c r="C6624" t="s">
        <v>551</v>
      </c>
      <c r="D6624" t="s">
        <v>554</v>
      </c>
      <c r="E6624" t="s">
        <v>555</v>
      </c>
      <c r="F6624" t="s">
        <v>410</v>
      </c>
      <c r="G6624">
        <v>56</v>
      </c>
      <c r="I6624">
        <v>56</v>
      </c>
    </row>
    <row r="6625" spans="1:17" x14ac:dyDescent="0.2">
      <c r="A6625" s="121">
        <v>41425</v>
      </c>
      <c r="B6625" t="s">
        <v>406</v>
      </c>
      <c r="C6625" t="s">
        <v>551</v>
      </c>
      <c r="D6625" t="s">
        <v>556</v>
      </c>
      <c r="E6625" t="s">
        <v>557</v>
      </c>
      <c r="F6625" t="s">
        <v>410</v>
      </c>
      <c r="G6625">
        <v>107</v>
      </c>
      <c r="I6625">
        <v>107</v>
      </c>
    </row>
    <row r="6626" spans="1:17" x14ac:dyDescent="0.2">
      <c r="A6626" s="121">
        <v>41425</v>
      </c>
      <c r="B6626" t="s">
        <v>406</v>
      </c>
      <c r="C6626" t="s">
        <v>551</v>
      </c>
      <c r="D6626" t="s">
        <v>558</v>
      </c>
      <c r="E6626" t="s">
        <v>559</v>
      </c>
      <c r="F6626" t="s">
        <v>413</v>
      </c>
      <c r="G6626">
        <v>4817</v>
      </c>
      <c r="H6626">
        <v>4817</v>
      </c>
      <c r="I6626">
        <v>4465</v>
      </c>
      <c r="J6626">
        <v>4465</v>
      </c>
      <c r="K6626">
        <v>1310</v>
      </c>
      <c r="L6626">
        <v>6</v>
      </c>
      <c r="M6626">
        <v>3335</v>
      </c>
      <c r="N6626">
        <v>157</v>
      </c>
      <c r="O6626">
        <v>9</v>
      </c>
      <c r="P6626">
        <v>35</v>
      </c>
      <c r="Q6626">
        <v>3</v>
      </c>
    </row>
    <row r="6627" spans="1:17" x14ac:dyDescent="0.2">
      <c r="A6627" s="121">
        <v>41425</v>
      </c>
      <c r="B6627" t="s">
        <v>406</v>
      </c>
      <c r="C6627" t="s">
        <v>551</v>
      </c>
      <c r="D6627" t="s">
        <v>560</v>
      </c>
      <c r="E6627" t="s">
        <v>561</v>
      </c>
      <c r="F6627" t="s">
        <v>413</v>
      </c>
      <c r="G6627">
        <v>5497</v>
      </c>
      <c r="H6627">
        <v>5497</v>
      </c>
      <c r="I6627">
        <v>4857</v>
      </c>
      <c r="J6627">
        <v>4857</v>
      </c>
      <c r="K6627">
        <v>1040</v>
      </c>
      <c r="L6627">
        <v>8</v>
      </c>
      <c r="M6627">
        <v>4081</v>
      </c>
      <c r="N6627">
        <v>226</v>
      </c>
      <c r="O6627">
        <v>142</v>
      </c>
      <c r="P6627">
        <v>23</v>
      </c>
      <c r="Q6627">
        <v>0</v>
      </c>
    </row>
    <row r="6628" spans="1:17" x14ac:dyDescent="0.2">
      <c r="A6628" s="121">
        <v>41425</v>
      </c>
      <c r="B6628" t="s">
        <v>406</v>
      </c>
      <c r="C6628" t="s">
        <v>562</v>
      </c>
      <c r="D6628" t="s">
        <v>605</v>
      </c>
      <c r="E6628" t="s">
        <v>606</v>
      </c>
      <c r="F6628" t="s">
        <v>410</v>
      </c>
      <c r="G6628">
        <v>136</v>
      </c>
      <c r="I6628">
        <v>136</v>
      </c>
    </row>
    <row r="6629" spans="1:17" x14ac:dyDescent="0.2">
      <c r="A6629" s="121">
        <v>41425</v>
      </c>
      <c r="B6629" t="s">
        <v>406</v>
      </c>
      <c r="C6629" t="s">
        <v>562</v>
      </c>
      <c r="D6629" t="s">
        <v>563</v>
      </c>
      <c r="E6629" t="s">
        <v>564</v>
      </c>
      <c r="F6629" t="s">
        <v>410</v>
      </c>
      <c r="G6629">
        <v>3532</v>
      </c>
      <c r="H6629">
        <v>3532</v>
      </c>
      <c r="I6629">
        <v>3369</v>
      </c>
      <c r="J6629">
        <v>3369</v>
      </c>
      <c r="K6629">
        <v>1138</v>
      </c>
      <c r="L6629">
        <v>2</v>
      </c>
      <c r="M6629">
        <v>2364</v>
      </c>
      <c r="N6629">
        <v>28</v>
      </c>
      <c r="O6629">
        <v>0</v>
      </c>
      <c r="P6629">
        <v>5</v>
      </c>
      <c r="Q6629">
        <v>0</v>
      </c>
    </row>
    <row r="6630" spans="1:17" x14ac:dyDescent="0.2">
      <c r="A6630" s="121">
        <v>41425</v>
      </c>
      <c r="B6630" t="s">
        <v>406</v>
      </c>
      <c r="C6630" t="s">
        <v>562</v>
      </c>
      <c r="D6630" t="s">
        <v>565</v>
      </c>
      <c r="E6630" t="s">
        <v>566</v>
      </c>
      <c r="F6630" t="s">
        <v>413</v>
      </c>
      <c r="G6630">
        <v>4472</v>
      </c>
      <c r="H6630">
        <v>4472</v>
      </c>
      <c r="I6630">
        <v>4348</v>
      </c>
      <c r="J6630">
        <v>4348</v>
      </c>
      <c r="K6630">
        <v>979</v>
      </c>
      <c r="L6630">
        <v>6</v>
      </c>
      <c r="M6630">
        <v>3373</v>
      </c>
      <c r="N6630">
        <v>114</v>
      </c>
      <c r="O6630">
        <v>0</v>
      </c>
      <c r="P6630">
        <v>4</v>
      </c>
      <c r="Q6630">
        <v>0</v>
      </c>
    </row>
    <row r="6631" spans="1:17" x14ac:dyDescent="0.2">
      <c r="A6631" s="121">
        <v>41425</v>
      </c>
      <c r="B6631" t="s">
        <v>406</v>
      </c>
      <c r="C6631" t="s">
        <v>562</v>
      </c>
      <c r="D6631" t="s">
        <v>567</v>
      </c>
      <c r="E6631" t="s">
        <v>568</v>
      </c>
      <c r="F6631" t="s">
        <v>413</v>
      </c>
      <c r="G6631">
        <v>9591</v>
      </c>
      <c r="H6631">
        <v>9591</v>
      </c>
      <c r="I6631">
        <v>8849</v>
      </c>
      <c r="J6631">
        <v>8849</v>
      </c>
      <c r="K6631">
        <v>2907</v>
      </c>
      <c r="L6631">
        <v>18</v>
      </c>
      <c r="M6631">
        <v>6443</v>
      </c>
      <c r="N6631">
        <v>223</v>
      </c>
      <c r="O6631">
        <v>0</v>
      </c>
      <c r="P6631">
        <v>41</v>
      </c>
      <c r="Q6631">
        <v>1</v>
      </c>
    </row>
    <row r="6632" spans="1:17" x14ac:dyDescent="0.2">
      <c r="A6632" s="121">
        <v>41425</v>
      </c>
      <c r="B6632" t="s">
        <v>406</v>
      </c>
      <c r="C6632" t="s">
        <v>562</v>
      </c>
      <c r="D6632" t="s">
        <v>569</v>
      </c>
      <c r="E6632" t="s">
        <v>570</v>
      </c>
      <c r="F6632" t="s">
        <v>413</v>
      </c>
      <c r="G6632">
        <v>3808</v>
      </c>
      <c r="H6632">
        <v>3808</v>
      </c>
      <c r="I6632">
        <v>3744</v>
      </c>
      <c r="J6632">
        <v>3744</v>
      </c>
      <c r="K6632">
        <v>482</v>
      </c>
      <c r="L6632">
        <v>0</v>
      </c>
      <c r="M6632">
        <v>3326</v>
      </c>
      <c r="N6632">
        <v>0</v>
      </c>
      <c r="O6632">
        <v>0</v>
      </c>
      <c r="P6632">
        <v>0</v>
      </c>
      <c r="Q6632">
        <v>0</v>
      </c>
    </row>
    <row r="6633" spans="1:17" x14ac:dyDescent="0.2">
      <c r="A6633" s="121">
        <v>41425</v>
      </c>
      <c r="B6633" t="s">
        <v>406</v>
      </c>
      <c r="C6633" t="s">
        <v>571</v>
      </c>
      <c r="D6633" t="s">
        <v>572</v>
      </c>
      <c r="E6633" t="s">
        <v>573</v>
      </c>
      <c r="F6633" t="s">
        <v>410</v>
      </c>
      <c r="G6633">
        <v>332</v>
      </c>
      <c r="H6633">
        <v>332</v>
      </c>
      <c r="I6633">
        <v>325</v>
      </c>
      <c r="J6633">
        <v>325</v>
      </c>
      <c r="K6633">
        <v>0</v>
      </c>
      <c r="L6633">
        <v>0</v>
      </c>
      <c r="M6633">
        <v>330</v>
      </c>
      <c r="N6633">
        <v>0</v>
      </c>
      <c r="O6633">
        <v>2</v>
      </c>
      <c r="P6633">
        <v>1</v>
      </c>
      <c r="Q6633">
        <v>0</v>
      </c>
    </row>
    <row r="6634" spans="1:17" x14ac:dyDescent="0.2">
      <c r="A6634" s="121">
        <v>41425</v>
      </c>
      <c r="B6634" t="s">
        <v>406</v>
      </c>
      <c r="C6634" t="s">
        <v>574</v>
      </c>
      <c r="D6634" t="s">
        <v>575</v>
      </c>
      <c r="E6634" t="s">
        <v>576</v>
      </c>
      <c r="F6634" t="s">
        <v>413</v>
      </c>
      <c r="G6634">
        <v>706</v>
      </c>
      <c r="H6634">
        <v>706</v>
      </c>
      <c r="I6634">
        <v>690</v>
      </c>
      <c r="J6634">
        <v>690</v>
      </c>
      <c r="K6634">
        <v>159</v>
      </c>
      <c r="L6634">
        <v>0</v>
      </c>
      <c r="M6634">
        <v>508</v>
      </c>
      <c r="N6634">
        <v>8</v>
      </c>
      <c r="O6634">
        <v>31</v>
      </c>
      <c r="P6634">
        <v>0</v>
      </c>
      <c r="Q6634">
        <v>0</v>
      </c>
    </row>
    <row r="6635" spans="1:17" x14ac:dyDescent="0.2">
      <c r="A6635" s="121">
        <v>41425</v>
      </c>
      <c r="B6635" t="s">
        <v>406</v>
      </c>
      <c r="C6635" t="s">
        <v>577</v>
      </c>
      <c r="D6635" t="s">
        <v>578</v>
      </c>
      <c r="E6635" t="s">
        <v>579</v>
      </c>
      <c r="F6635" t="s">
        <v>413</v>
      </c>
      <c r="G6635">
        <v>4088</v>
      </c>
      <c r="H6635">
        <v>4088</v>
      </c>
      <c r="I6635">
        <v>4052</v>
      </c>
      <c r="J6635">
        <v>4052</v>
      </c>
      <c r="K6635">
        <v>855</v>
      </c>
      <c r="L6635">
        <v>10</v>
      </c>
      <c r="M6635">
        <v>2984</v>
      </c>
      <c r="N6635">
        <v>238</v>
      </c>
      <c r="O6635">
        <v>1</v>
      </c>
      <c r="P6635">
        <v>0</v>
      </c>
      <c r="Q6635">
        <v>0</v>
      </c>
    </row>
    <row r="6636" spans="1:17" x14ac:dyDescent="0.2">
      <c r="A6636" s="121">
        <v>41425</v>
      </c>
      <c r="B6636" t="s">
        <v>406</v>
      </c>
      <c r="C6636" t="s">
        <v>577</v>
      </c>
      <c r="D6636" t="s">
        <v>580</v>
      </c>
      <c r="E6636" t="s">
        <v>581</v>
      </c>
      <c r="F6636" t="s">
        <v>413</v>
      </c>
      <c r="G6636">
        <v>2201</v>
      </c>
      <c r="H6636">
        <v>2201</v>
      </c>
      <c r="I6636">
        <v>2181</v>
      </c>
      <c r="J6636">
        <v>2181</v>
      </c>
      <c r="K6636">
        <v>311</v>
      </c>
      <c r="L6636">
        <v>0</v>
      </c>
      <c r="M6636">
        <v>1501</v>
      </c>
      <c r="N6636">
        <v>336</v>
      </c>
      <c r="O6636">
        <v>53</v>
      </c>
      <c r="P6636">
        <v>0</v>
      </c>
      <c r="Q6636">
        <v>0</v>
      </c>
    </row>
    <row r="6637" spans="1:17" x14ac:dyDescent="0.2">
      <c r="A6637" s="121">
        <v>41425</v>
      </c>
      <c r="B6637" t="s">
        <v>406</v>
      </c>
      <c r="C6637" t="s">
        <v>577</v>
      </c>
      <c r="D6637" t="s">
        <v>609</v>
      </c>
      <c r="E6637" t="s">
        <v>610</v>
      </c>
      <c r="F6637" t="s">
        <v>410</v>
      </c>
      <c r="G6637">
        <v>35</v>
      </c>
      <c r="H6637">
        <v>35</v>
      </c>
      <c r="I6637">
        <v>35</v>
      </c>
      <c r="J6637">
        <v>35</v>
      </c>
      <c r="K6637">
        <v>0</v>
      </c>
      <c r="L6637">
        <v>0</v>
      </c>
      <c r="M6637">
        <v>32</v>
      </c>
      <c r="N6637">
        <v>3</v>
      </c>
      <c r="O6637">
        <v>0</v>
      </c>
      <c r="P6637">
        <v>0</v>
      </c>
      <c r="Q6637">
        <v>0</v>
      </c>
    </row>
    <row r="6638" spans="1:17" x14ac:dyDescent="0.2">
      <c r="A6638" s="121">
        <v>41425</v>
      </c>
      <c r="B6638" t="s">
        <v>406</v>
      </c>
      <c r="C6638" t="s">
        <v>577</v>
      </c>
      <c r="D6638" t="s">
        <v>611</v>
      </c>
      <c r="E6638" t="s">
        <v>612</v>
      </c>
      <c r="F6638" t="s">
        <v>410</v>
      </c>
      <c r="G6638">
        <v>5</v>
      </c>
      <c r="H6638">
        <v>5</v>
      </c>
      <c r="I6638">
        <v>5</v>
      </c>
      <c r="J6638">
        <v>5</v>
      </c>
      <c r="K6638">
        <v>0</v>
      </c>
      <c r="L6638">
        <v>0</v>
      </c>
      <c r="M6638">
        <v>2</v>
      </c>
      <c r="N6638">
        <v>0</v>
      </c>
      <c r="O6638">
        <v>3</v>
      </c>
      <c r="P6638">
        <v>0</v>
      </c>
      <c r="Q6638">
        <v>0</v>
      </c>
    </row>
    <row r="6639" spans="1:17" x14ac:dyDescent="0.2">
      <c r="A6639" s="121">
        <v>41425</v>
      </c>
      <c r="B6639" t="s">
        <v>406</v>
      </c>
      <c r="C6639" t="s">
        <v>577</v>
      </c>
      <c r="D6639" t="s">
        <v>584</v>
      </c>
      <c r="E6639" t="s">
        <v>585</v>
      </c>
      <c r="F6639" t="s">
        <v>410</v>
      </c>
      <c r="G6639">
        <v>322</v>
      </c>
      <c r="H6639">
        <v>322</v>
      </c>
      <c r="I6639">
        <v>322</v>
      </c>
      <c r="J6639">
        <v>322</v>
      </c>
      <c r="K6639">
        <v>0</v>
      </c>
      <c r="L6639">
        <v>0</v>
      </c>
      <c r="M6639">
        <v>304</v>
      </c>
      <c r="N6639">
        <v>17</v>
      </c>
      <c r="O6639">
        <v>1</v>
      </c>
      <c r="P6639">
        <v>0</v>
      </c>
      <c r="Q6639">
        <v>0</v>
      </c>
    </row>
    <row r="6640" spans="1:17" x14ac:dyDescent="0.2">
      <c r="A6640" s="121">
        <v>41425</v>
      </c>
      <c r="B6640" t="s">
        <v>406</v>
      </c>
      <c r="C6640" t="s">
        <v>577</v>
      </c>
      <c r="D6640" t="s">
        <v>586</v>
      </c>
      <c r="E6640" t="s">
        <v>587</v>
      </c>
      <c r="F6640" t="s">
        <v>410</v>
      </c>
      <c r="G6640">
        <v>1351</v>
      </c>
      <c r="H6640">
        <v>1351</v>
      </c>
      <c r="I6640">
        <v>1351</v>
      </c>
      <c r="J6640">
        <v>1351</v>
      </c>
      <c r="K6640">
        <v>0</v>
      </c>
      <c r="L6640">
        <v>1</v>
      </c>
      <c r="M6640">
        <v>1250</v>
      </c>
      <c r="N6640">
        <v>95</v>
      </c>
      <c r="O6640">
        <v>5</v>
      </c>
      <c r="P6640">
        <v>0</v>
      </c>
      <c r="Q6640">
        <v>0</v>
      </c>
    </row>
    <row r="6641" spans="1:17" x14ac:dyDescent="0.2">
      <c r="A6641" s="121">
        <v>41425</v>
      </c>
      <c r="B6641" t="s">
        <v>406</v>
      </c>
      <c r="C6641" t="s">
        <v>577</v>
      </c>
      <c r="D6641" t="s">
        <v>588</v>
      </c>
      <c r="E6641" t="s">
        <v>589</v>
      </c>
      <c r="F6641" t="s">
        <v>410</v>
      </c>
      <c r="G6641">
        <v>332</v>
      </c>
      <c r="H6641">
        <v>332</v>
      </c>
      <c r="I6641">
        <v>331</v>
      </c>
      <c r="J6641">
        <v>331</v>
      </c>
      <c r="K6641">
        <v>0</v>
      </c>
      <c r="L6641">
        <v>0</v>
      </c>
      <c r="M6641">
        <v>306</v>
      </c>
      <c r="N6641">
        <v>25</v>
      </c>
      <c r="O6641">
        <v>1</v>
      </c>
      <c r="P6641">
        <v>0</v>
      </c>
      <c r="Q6641">
        <v>0</v>
      </c>
    </row>
    <row r="6642" spans="1:17" x14ac:dyDescent="0.2">
      <c r="A6642" s="121">
        <v>41425</v>
      </c>
      <c r="B6642" t="s">
        <v>406</v>
      </c>
      <c r="C6642" t="s">
        <v>577</v>
      </c>
      <c r="D6642" t="s">
        <v>613</v>
      </c>
      <c r="E6642" t="s">
        <v>614</v>
      </c>
      <c r="F6642" t="s">
        <v>410</v>
      </c>
      <c r="G6642">
        <v>145</v>
      </c>
      <c r="H6642">
        <v>145</v>
      </c>
      <c r="I6642">
        <v>145</v>
      </c>
      <c r="J6642">
        <v>145</v>
      </c>
      <c r="K6642">
        <v>0</v>
      </c>
      <c r="L6642">
        <v>0</v>
      </c>
      <c r="M6642">
        <v>136</v>
      </c>
      <c r="N6642">
        <v>5</v>
      </c>
      <c r="O6642">
        <v>4</v>
      </c>
      <c r="P6642">
        <v>0</v>
      </c>
      <c r="Q6642">
        <v>0</v>
      </c>
    </row>
    <row r="6643" spans="1:17" x14ac:dyDescent="0.2">
      <c r="A6643" s="121">
        <v>41425</v>
      </c>
      <c r="B6643" t="s">
        <v>406</v>
      </c>
      <c r="C6643" t="s">
        <v>577</v>
      </c>
      <c r="D6643" t="s">
        <v>590</v>
      </c>
      <c r="E6643" t="s">
        <v>591</v>
      </c>
      <c r="F6643" t="s">
        <v>410</v>
      </c>
      <c r="G6643">
        <v>658</v>
      </c>
      <c r="H6643">
        <v>658</v>
      </c>
      <c r="I6643">
        <v>658</v>
      </c>
      <c r="J6643">
        <v>658</v>
      </c>
      <c r="K6643">
        <v>0</v>
      </c>
      <c r="L6643">
        <v>1</v>
      </c>
      <c r="M6643">
        <v>631</v>
      </c>
      <c r="N6643">
        <v>26</v>
      </c>
      <c r="O6643">
        <v>0</v>
      </c>
      <c r="P6643">
        <v>0</v>
      </c>
      <c r="Q6643">
        <v>0</v>
      </c>
    </row>
    <row r="6644" spans="1:17" x14ac:dyDescent="0.2">
      <c r="A6644" s="121">
        <v>41425</v>
      </c>
      <c r="B6644" t="s">
        <v>406</v>
      </c>
      <c r="C6644" t="s">
        <v>577</v>
      </c>
      <c r="D6644" t="s">
        <v>607</v>
      </c>
      <c r="E6644" t="s">
        <v>608</v>
      </c>
      <c r="F6644" t="s">
        <v>410</v>
      </c>
      <c r="G6644">
        <v>202</v>
      </c>
      <c r="H6644">
        <v>202</v>
      </c>
      <c r="I6644">
        <v>202</v>
      </c>
      <c r="J6644">
        <v>202</v>
      </c>
      <c r="K6644">
        <v>0</v>
      </c>
      <c r="L6644">
        <v>0</v>
      </c>
      <c r="M6644">
        <v>187</v>
      </c>
      <c r="N6644">
        <v>14</v>
      </c>
      <c r="O6644">
        <v>1</v>
      </c>
      <c r="P6644">
        <v>0</v>
      </c>
      <c r="Q6644">
        <v>0</v>
      </c>
    </row>
    <row r="6645" spans="1:17" x14ac:dyDescent="0.2">
      <c r="A6645" s="121">
        <v>41425</v>
      </c>
      <c r="B6645" t="s">
        <v>406</v>
      </c>
      <c r="C6645" t="s">
        <v>577</v>
      </c>
      <c r="D6645" t="s">
        <v>592</v>
      </c>
      <c r="E6645" t="s">
        <v>593</v>
      </c>
      <c r="F6645" t="s">
        <v>410</v>
      </c>
      <c r="G6645">
        <v>584</v>
      </c>
      <c r="H6645">
        <v>584</v>
      </c>
      <c r="I6645">
        <v>583</v>
      </c>
      <c r="J6645">
        <v>583</v>
      </c>
      <c r="K6645">
        <v>0</v>
      </c>
      <c r="L6645">
        <v>0</v>
      </c>
      <c r="M6645">
        <v>537</v>
      </c>
      <c r="N6645">
        <v>45</v>
      </c>
      <c r="O6645">
        <v>2</v>
      </c>
      <c r="P6645">
        <v>0</v>
      </c>
      <c r="Q6645">
        <v>0</v>
      </c>
    </row>
    <row r="6646" spans="1:17" x14ac:dyDescent="0.2">
      <c r="A6646" s="121">
        <v>41425</v>
      </c>
      <c r="B6646" t="s">
        <v>406</v>
      </c>
      <c r="C6646" t="s">
        <v>594</v>
      </c>
      <c r="D6646" t="s">
        <v>595</v>
      </c>
      <c r="E6646" t="s">
        <v>596</v>
      </c>
      <c r="F6646" t="s">
        <v>410</v>
      </c>
      <c r="G6646">
        <v>60</v>
      </c>
      <c r="I6646">
        <v>60</v>
      </c>
    </row>
    <row r="6647" spans="1:17" x14ac:dyDescent="0.2">
      <c r="A6647" s="121">
        <v>41425</v>
      </c>
      <c r="B6647" t="s">
        <v>406</v>
      </c>
      <c r="C6647" t="s">
        <v>594</v>
      </c>
      <c r="D6647" t="s">
        <v>597</v>
      </c>
      <c r="E6647" t="s">
        <v>598</v>
      </c>
      <c r="F6647" t="s">
        <v>413</v>
      </c>
      <c r="G6647">
        <v>549</v>
      </c>
      <c r="H6647">
        <v>549</v>
      </c>
      <c r="I6647">
        <v>545</v>
      </c>
      <c r="J6647">
        <v>545</v>
      </c>
      <c r="K6647">
        <v>133</v>
      </c>
      <c r="L6647">
        <v>0</v>
      </c>
      <c r="M6647">
        <v>407</v>
      </c>
      <c r="N6647">
        <v>8</v>
      </c>
      <c r="O6647">
        <v>1</v>
      </c>
      <c r="P6647">
        <v>0</v>
      </c>
      <c r="Q6647">
        <v>0</v>
      </c>
    </row>
    <row r="6648" spans="1:17" x14ac:dyDescent="0.2">
      <c r="A6648" s="121">
        <v>41425</v>
      </c>
      <c r="B6648" t="s">
        <v>406</v>
      </c>
      <c r="C6648" t="s">
        <v>594</v>
      </c>
      <c r="D6648" t="s">
        <v>599</v>
      </c>
      <c r="E6648" t="s">
        <v>600</v>
      </c>
      <c r="F6648" t="s">
        <v>410</v>
      </c>
      <c r="G6648">
        <v>83</v>
      </c>
      <c r="I6648">
        <v>83</v>
      </c>
    </row>
    <row r="6649" spans="1:17" x14ac:dyDescent="0.2">
      <c r="A6649" s="121">
        <v>41455</v>
      </c>
      <c r="B6649" t="s">
        <v>406</v>
      </c>
      <c r="C6649" t="s">
        <v>407</v>
      </c>
      <c r="D6649" t="s">
        <v>408</v>
      </c>
      <c r="E6649" t="s">
        <v>409</v>
      </c>
      <c r="F6649" t="s">
        <v>410</v>
      </c>
      <c r="G6649">
        <v>294</v>
      </c>
      <c r="I6649">
        <v>294</v>
      </c>
    </row>
    <row r="6650" spans="1:17" x14ac:dyDescent="0.2">
      <c r="A6650" s="121">
        <v>41455</v>
      </c>
      <c r="B6650" t="s">
        <v>406</v>
      </c>
      <c r="C6650" t="s">
        <v>407</v>
      </c>
      <c r="D6650" t="s">
        <v>601</v>
      </c>
      <c r="E6650" t="s">
        <v>602</v>
      </c>
      <c r="F6650" t="s">
        <v>410</v>
      </c>
      <c r="G6650">
        <v>72</v>
      </c>
      <c r="I6650">
        <v>72</v>
      </c>
    </row>
    <row r="6651" spans="1:17" x14ac:dyDescent="0.2">
      <c r="A6651" s="121">
        <v>41455</v>
      </c>
      <c r="B6651" t="s">
        <v>406</v>
      </c>
      <c r="C6651" t="s">
        <v>407</v>
      </c>
      <c r="D6651" t="s">
        <v>411</v>
      </c>
      <c r="E6651" t="s">
        <v>412</v>
      </c>
      <c r="F6651" t="s">
        <v>413</v>
      </c>
      <c r="G6651">
        <v>6084</v>
      </c>
      <c r="H6651">
        <v>6084</v>
      </c>
      <c r="I6651">
        <v>5790</v>
      </c>
      <c r="J6651">
        <v>5790</v>
      </c>
      <c r="K6651">
        <v>2288</v>
      </c>
      <c r="L6651">
        <v>8</v>
      </c>
      <c r="M6651">
        <v>3481</v>
      </c>
      <c r="N6651">
        <v>103</v>
      </c>
      <c r="O6651">
        <v>204</v>
      </c>
      <c r="P6651">
        <v>5</v>
      </c>
      <c r="Q6651">
        <v>0</v>
      </c>
    </row>
    <row r="6652" spans="1:17" x14ac:dyDescent="0.2">
      <c r="A6652" s="121">
        <v>41455</v>
      </c>
      <c r="B6652" t="s">
        <v>406</v>
      </c>
      <c r="C6652" t="s">
        <v>407</v>
      </c>
      <c r="D6652" t="s">
        <v>416</v>
      </c>
      <c r="E6652" t="s">
        <v>417</v>
      </c>
      <c r="F6652" t="s">
        <v>413</v>
      </c>
      <c r="G6652">
        <v>3794</v>
      </c>
      <c r="H6652">
        <v>3794</v>
      </c>
      <c r="I6652">
        <v>3342</v>
      </c>
      <c r="J6652">
        <v>3342</v>
      </c>
      <c r="K6652">
        <v>1274</v>
      </c>
      <c r="L6652">
        <v>6</v>
      </c>
      <c r="M6652">
        <v>2330</v>
      </c>
      <c r="N6652">
        <v>125</v>
      </c>
      <c r="O6652">
        <v>59</v>
      </c>
      <c r="P6652">
        <v>45</v>
      </c>
      <c r="Q6652">
        <v>14</v>
      </c>
    </row>
    <row r="6653" spans="1:17" x14ac:dyDescent="0.2">
      <c r="A6653" s="121">
        <v>41455</v>
      </c>
      <c r="B6653" t="s">
        <v>406</v>
      </c>
      <c r="C6653" t="s">
        <v>407</v>
      </c>
      <c r="D6653" t="s">
        <v>618</v>
      </c>
      <c r="E6653" t="s">
        <v>619</v>
      </c>
      <c r="F6653" t="s">
        <v>410</v>
      </c>
      <c r="G6653">
        <v>92</v>
      </c>
      <c r="I6653">
        <v>92</v>
      </c>
    </row>
    <row r="6654" spans="1:17" x14ac:dyDescent="0.2">
      <c r="A6654" s="121">
        <v>41455</v>
      </c>
      <c r="B6654" t="s">
        <v>406</v>
      </c>
      <c r="C6654" t="s">
        <v>418</v>
      </c>
      <c r="D6654" t="s">
        <v>419</v>
      </c>
      <c r="E6654" t="s">
        <v>420</v>
      </c>
      <c r="F6654" t="s">
        <v>410</v>
      </c>
      <c r="G6654">
        <v>13</v>
      </c>
      <c r="I6654">
        <v>13</v>
      </c>
    </row>
    <row r="6655" spans="1:17" x14ac:dyDescent="0.2">
      <c r="A6655" s="121">
        <v>41455</v>
      </c>
      <c r="B6655" t="s">
        <v>406</v>
      </c>
      <c r="C6655" t="s">
        <v>418</v>
      </c>
      <c r="D6655" t="s">
        <v>421</v>
      </c>
      <c r="E6655" t="s">
        <v>422</v>
      </c>
      <c r="F6655" t="s">
        <v>410</v>
      </c>
      <c r="G6655">
        <v>137</v>
      </c>
      <c r="I6655">
        <v>137</v>
      </c>
    </row>
    <row r="6656" spans="1:17" x14ac:dyDescent="0.2">
      <c r="A6656" s="121">
        <v>41455</v>
      </c>
      <c r="B6656" t="s">
        <v>406</v>
      </c>
      <c r="C6656" t="s">
        <v>418</v>
      </c>
      <c r="D6656" t="s">
        <v>423</v>
      </c>
      <c r="E6656" t="s">
        <v>424</v>
      </c>
      <c r="F6656" t="s">
        <v>410</v>
      </c>
      <c r="G6656">
        <v>23</v>
      </c>
      <c r="I6656">
        <v>23</v>
      </c>
    </row>
    <row r="6657" spans="1:17" x14ac:dyDescent="0.2">
      <c r="A6657" s="121">
        <v>41455</v>
      </c>
      <c r="B6657" t="s">
        <v>406</v>
      </c>
      <c r="C6657" t="s">
        <v>418</v>
      </c>
      <c r="D6657" t="s">
        <v>425</v>
      </c>
      <c r="E6657" t="s">
        <v>426</v>
      </c>
      <c r="F6657" t="s">
        <v>410</v>
      </c>
      <c r="G6657">
        <v>54</v>
      </c>
      <c r="I6657">
        <v>54</v>
      </c>
    </row>
    <row r="6658" spans="1:17" x14ac:dyDescent="0.2">
      <c r="A6658" s="121">
        <v>41455</v>
      </c>
      <c r="B6658" t="s">
        <v>406</v>
      </c>
      <c r="C6658" t="s">
        <v>418</v>
      </c>
      <c r="D6658" t="s">
        <v>427</v>
      </c>
      <c r="E6658" t="s">
        <v>428</v>
      </c>
      <c r="F6658" t="s">
        <v>413</v>
      </c>
      <c r="G6658">
        <v>1972</v>
      </c>
      <c r="H6658">
        <v>1972</v>
      </c>
      <c r="I6658">
        <v>1957</v>
      </c>
      <c r="J6658">
        <v>1957</v>
      </c>
      <c r="K6658">
        <v>646</v>
      </c>
      <c r="L6658">
        <v>2</v>
      </c>
      <c r="M6658">
        <v>1018</v>
      </c>
      <c r="N6658">
        <v>282</v>
      </c>
      <c r="O6658">
        <v>24</v>
      </c>
      <c r="P6658">
        <v>0</v>
      </c>
      <c r="Q6658">
        <v>0</v>
      </c>
    </row>
    <row r="6659" spans="1:17" x14ac:dyDescent="0.2">
      <c r="A6659" s="121">
        <v>41455</v>
      </c>
      <c r="B6659" t="s">
        <v>406</v>
      </c>
      <c r="C6659" t="s">
        <v>429</v>
      </c>
      <c r="D6659" t="s">
        <v>430</v>
      </c>
      <c r="E6659" t="s">
        <v>431</v>
      </c>
      <c r="F6659" t="s">
        <v>410</v>
      </c>
      <c r="G6659">
        <v>35</v>
      </c>
      <c r="I6659">
        <v>35</v>
      </c>
    </row>
    <row r="6660" spans="1:17" x14ac:dyDescent="0.2">
      <c r="A6660" s="121">
        <v>41455</v>
      </c>
      <c r="B6660" t="s">
        <v>406</v>
      </c>
      <c r="C6660" t="s">
        <v>429</v>
      </c>
      <c r="D6660" t="s">
        <v>432</v>
      </c>
      <c r="E6660" t="s">
        <v>433</v>
      </c>
      <c r="F6660" t="s">
        <v>410</v>
      </c>
      <c r="G6660">
        <v>30</v>
      </c>
      <c r="I6660">
        <v>30</v>
      </c>
    </row>
    <row r="6661" spans="1:17" x14ac:dyDescent="0.2">
      <c r="A6661" s="121">
        <v>41455</v>
      </c>
      <c r="B6661" t="s">
        <v>406</v>
      </c>
      <c r="C6661" t="s">
        <v>429</v>
      </c>
      <c r="D6661" t="s">
        <v>436</v>
      </c>
      <c r="E6661" t="s">
        <v>437</v>
      </c>
      <c r="F6661" t="s">
        <v>410</v>
      </c>
      <c r="G6661">
        <v>32</v>
      </c>
      <c r="H6661">
        <v>32</v>
      </c>
      <c r="I6661">
        <v>32</v>
      </c>
      <c r="J6661">
        <v>32</v>
      </c>
      <c r="K6661">
        <v>0</v>
      </c>
      <c r="L6661">
        <v>0</v>
      </c>
      <c r="M6661">
        <v>26</v>
      </c>
      <c r="N6661">
        <v>6</v>
      </c>
      <c r="O6661">
        <v>0</v>
      </c>
      <c r="P6661">
        <v>0</v>
      </c>
      <c r="Q6661">
        <v>0</v>
      </c>
    </row>
    <row r="6662" spans="1:17" x14ac:dyDescent="0.2">
      <c r="A6662" s="121">
        <v>41455</v>
      </c>
      <c r="B6662" t="s">
        <v>406</v>
      </c>
      <c r="C6662" t="s">
        <v>429</v>
      </c>
      <c r="D6662" t="s">
        <v>438</v>
      </c>
      <c r="E6662" t="s">
        <v>439</v>
      </c>
      <c r="F6662" t="s">
        <v>413</v>
      </c>
      <c r="G6662">
        <v>1044</v>
      </c>
      <c r="H6662">
        <v>1044</v>
      </c>
      <c r="I6662">
        <v>1027</v>
      </c>
      <c r="J6662">
        <v>1027</v>
      </c>
      <c r="K6662">
        <v>97</v>
      </c>
      <c r="L6662">
        <v>2</v>
      </c>
      <c r="M6662">
        <v>867</v>
      </c>
      <c r="N6662">
        <v>78</v>
      </c>
      <c r="O6662">
        <v>0</v>
      </c>
      <c r="P6662">
        <v>4</v>
      </c>
      <c r="Q6662">
        <v>0</v>
      </c>
    </row>
    <row r="6663" spans="1:17" x14ac:dyDescent="0.2">
      <c r="A6663" s="121">
        <v>41455</v>
      </c>
      <c r="B6663" t="s">
        <v>406</v>
      </c>
      <c r="C6663" t="s">
        <v>429</v>
      </c>
      <c r="D6663" t="s">
        <v>440</v>
      </c>
      <c r="E6663" t="s">
        <v>441</v>
      </c>
      <c r="F6663" t="s">
        <v>413</v>
      </c>
      <c r="G6663">
        <v>2960</v>
      </c>
      <c r="H6663">
        <v>2960</v>
      </c>
      <c r="I6663">
        <v>2826</v>
      </c>
      <c r="J6663">
        <v>2826</v>
      </c>
      <c r="K6663">
        <v>922</v>
      </c>
      <c r="L6663">
        <v>6</v>
      </c>
      <c r="M6663">
        <v>1941</v>
      </c>
      <c r="N6663">
        <v>91</v>
      </c>
      <c r="O6663">
        <v>0</v>
      </c>
      <c r="P6663">
        <v>0</v>
      </c>
      <c r="Q6663">
        <v>0</v>
      </c>
    </row>
    <row r="6664" spans="1:17" x14ac:dyDescent="0.2">
      <c r="A6664" s="121">
        <v>41455</v>
      </c>
      <c r="B6664" t="s">
        <v>406</v>
      </c>
      <c r="C6664" t="s">
        <v>442</v>
      </c>
      <c r="D6664" t="s">
        <v>443</v>
      </c>
      <c r="E6664" t="s">
        <v>444</v>
      </c>
      <c r="F6664" t="s">
        <v>413</v>
      </c>
      <c r="G6664">
        <v>5373</v>
      </c>
      <c r="H6664">
        <v>5373</v>
      </c>
      <c r="I6664">
        <v>5134</v>
      </c>
      <c r="J6664">
        <v>5134</v>
      </c>
      <c r="K6664">
        <v>1357</v>
      </c>
      <c r="L6664">
        <v>10</v>
      </c>
      <c r="M6664">
        <v>3743</v>
      </c>
      <c r="N6664">
        <v>121</v>
      </c>
      <c r="O6664">
        <v>142</v>
      </c>
      <c r="P6664">
        <v>17</v>
      </c>
      <c r="Q6664">
        <v>0</v>
      </c>
    </row>
    <row r="6665" spans="1:17" x14ac:dyDescent="0.2">
      <c r="A6665" s="121">
        <v>41455</v>
      </c>
      <c r="B6665" t="s">
        <v>406</v>
      </c>
      <c r="C6665" t="s">
        <v>442</v>
      </c>
      <c r="D6665" t="s">
        <v>445</v>
      </c>
      <c r="E6665" t="s">
        <v>446</v>
      </c>
      <c r="F6665" t="s">
        <v>410</v>
      </c>
      <c r="G6665">
        <v>138</v>
      </c>
      <c r="I6665">
        <v>138</v>
      </c>
    </row>
    <row r="6666" spans="1:17" x14ac:dyDescent="0.2">
      <c r="A6666" s="121">
        <v>41455</v>
      </c>
      <c r="B6666" t="s">
        <v>406</v>
      </c>
      <c r="C6666" t="s">
        <v>442</v>
      </c>
      <c r="D6666" t="s">
        <v>447</v>
      </c>
      <c r="E6666" t="s">
        <v>448</v>
      </c>
      <c r="F6666" t="s">
        <v>410</v>
      </c>
      <c r="G6666">
        <v>386</v>
      </c>
      <c r="I6666">
        <v>386</v>
      </c>
    </row>
    <row r="6667" spans="1:17" x14ac:dyDescent="0.2">
      <c r="A6667" s="121">
        <v>41455</v>
      </c>
      <c r="B6667" t="s">
        <v>406</v>
      </c>
      <c r="C6667" t="s">
        <v>442</v>
      </c>
      <c r="D6667" t="s">
        <v>449</v>
      </c>
      <c r="E6667" t="s">
        <v>624</v>
      </c>
      <c r="F6667" t="s">
        <v>410</v>
      </c>
      <c r="G6667">
        <v>1668</v>
      </c>
      <c r="H6667">
        <v>1668</v>
      </c>
      <c r="I6667">
        <v>1641</v>
      </c>
      <c r="J6667">
        <v>1641</v>
      </c>
      <c r="K6667">
        <v>8</v>
      </c>
      <c r="L6667">
        <v>0</v>
      </c>
      <c r="M6667">
        <v>1446</v>
      </c>
      <c r="N6667">
        <v>201</v>
      </c>
      <c r="O6667">
        <v>13</v>
      </c>
      <c r="P6667">
        <v>0</v>
      </c>
      <c r="Q6667">
        <v>0</v>
      </c>
    </row>
    <row r="6668" spans="1:17" x14ac:dyDescent="0.2">
      <c r="A6668" s="121">
        <v>41455</v>
      </c>
      <c r="B6668" t="s">
        <v>406</v>
      </c>
      <c r="C6668" t="s">
        <v>451</v>
      </c>
      <c r="D6668" t="s">
        <v>454</v>
      </c>
      <c r="E6668" t="s">
        <v>621</v>
      </c>
      <c r="F6668" t="s">
        <v>410</v>
      </c>
      <c r="G6668">
        <v>1354</v>
      </c>
      <c r="H6668">
        <v>1354</v>
      </c>
      <c r="I6668">
        <v>1351</v>
      </c>
      <c r="J6668">
        <v>1351</v>
      </c>
      <c r="K6668">
        <v>2</v>
      </c>
      <c r="L6668">
        <v>0</v>
      </c>
      <c r="M6668">
        <v>295</v>
      </c>
      <c r="N6668">
        <v>64</v>
      </c>
      <c r="O6668">
        <v>993</v>
      </c>
      <c r="P6668">
        <v>0</v>
      </c>
      <c r="Q6668">
        <v>0</v>
      </c>
    </row>
    <row r="6669" spans="1:17" x14ac:dyDescent="0.2">
      <c r="A6669" s="121">
        <v>41455</v>
      </c>
      <c r="B6669" t="s">
        <v>406</v>
      </c>
      <c r="C6669" t="s">
        <v>451</v>
      </c>
      <c r="D6669" t="s">
        <v>622</v>
      </c>
      <c r="E6669" t="s">
        <v>623</v>
      </c>
      <c r="F6669" t="s">
        <v>413</v>
      </c>
      <c r="G6669">
        <v>5411</v>
      </c>
      <c r="H6669">
        <v>5411</v>
      </c>
      <c r="I6669">
        <v>5049</v>
      </c>
      <c r="J6669">
        <v>5049</v>
      </c>
      <c r="K6669">
        <v>1326</v>
      </c>
      <c r="L6669">
        <v>7</v>
      </c>
      <c r="M6669">
        <v>1756</v>
      </c>
      <c r="N6669">
        <v>36</v>
      </c>
      <c r="O6669">
        <v>2286</v>
      </c>
      <c r="P6669">
        <v>19</v>
      </c>
      <c r="Q6669">
        <v>2</v>
      </c>
    </row>
    <row r="6670" spans="1:17" x14ac:dyDescent="0.2">
      <c r="A6670" s="121">
        <v>41455</v>
      </c>
      <c r="B6670" t="s">
        <v>406</v>
      </c>
      <c r="C6670" t="s">
        <v>456</v>
      </c>
      <c r="D6670" t="s">
        <v>457</v>
      </c>
      <c r="E6670" t="s">
        <v>458</v>
      </c>
      <c r="F6670" t="s">
        <v>413</v>
      </c>
      <c r="G6670">
        <v>5209</v>
      </c>
      <c r="H6670">
        <v>5209</v>
      </c>
      <c r="I6670">
        <v>5077</v>
      </c>
      <c r="J6670">
        <v>5077</v>
      </c>
      <c r="K6670">
        <v>1339</v>
      </c>
      <c r="L6670">
        <v>17</v>
      </c>
      <c r="M6670">
        <v>3355</v>
      </c>
      <c r="N6670">
        <v>27</v>
      </c>
      <c r="O6670">
        <v>471</v>
      </c>
      <c r="P6670">
        <v>2</v>
      </c>
      <c r="Q6670">
        <v>0</v>
      </c>
    </row>
    <row r="6671" spans="1:17" x14ac:dyDescent="0.2">
      <c r="A6671" s="121">
        <v>41455</v>
      </c>
      <c r="B6671" t="s">
        <v>406</v>
      </c>
      <c r="C6671" t="s">
        <v>456</v>
      </c>
      <c r="D6671" t="s">
        <v>459</v>
      </c>
      <c r="E6671" t="s">
        <v>460</v>
      </c>
      <c r="F6671" t="s">
        <v>413</v>
      </c>
      <c r="G6671">
        <v>1754</v>
      </c>
      <c r="H6671">
        <v>1754</v>
      </c>
      <c r="I6671">
        <v>1742</v>
      </c>
      <c r="J6671">
        <v>1742</v>
      </c>
      <c r="K6671">
        <v>332</v>
      </c>
      <c r="L6671">
        <v>0</v>
      </c>
      <c r="M6671">
        <v>1411</v>
      </c>
      <c r="N6671">
        <v>11</v>
      </c>
      <c r="O6671">
        <v>0</v>
      </c>
      <c r="P6671">
        <v>0</v>
      </c>
      <c r="Q6671">
        <v>0</v>
      </c>
    </row>
    <row r="6672" spans="1:17" x14ac:dyDescent="0.2">
      <c r="A6672" s="121">
        <v>41455</v>
      </c>
      <c r="B6672" t="s">
        <v>406</v>
      </c>
      <c r="C6672" t="s">
        <v>456</v>
      </c>
      <c r="D6672" t="s">
        <v>461</v>
      </c>
      <c r="E6672" t="s">
        <v>462</v>
      </c>
      <c r="F6672" t="s">
        <v>410</v>
      </c>
      <c r="G6672">
        <v>107</v>
      </c>
      <c r="I6672">
        <v>107</v>
      </c>
    </row>
    <row r="6673" spans="1:17" x14ac:dyDescent="0.2">
      <c r="A6673" s="121">
        <v>41455</v>
      </c>
      <c r="B6673" t="s">
        <v>406</v>
      </c>
      <c r="C6673" t="s">
        <v>456</v>
      </c>
      <c r="D6673" t="s">
        <v>463</v>
      </c>
      <c r="E6673" t="s">
        <v>464</v>
      </c>
      <c r="F6673" t="s">
        <v>410</v>
      </c>
      <c r="G6673">
        <v>19</v>
      </c>
      <c r="I6673">
        <v>19</v>
      </c>
    </row>
    <row r="6674" spans="1:17" x14ac:dyDescent="0.2">
      <c r="A6674" s="121">
        <v>41455</v>
      </c>
      <c r="B6674" t="s">
        <v>406</v>
      </c>
      <c r="C6674" t="s">
        <v>456</v>
      </c>
      <c r="D6674" t="s">
        <v>465</v>
      </c>
      <c r="E6674" t="s">
        <v>466</v>
      </c>
      <c r="F6674" t="s">
        <v>410</v>
      </c>
      <c r="G6674">
        <v>65</v>
      </c>
      <c r="I6674">
        <v>65</v>
      </c>
    </row>
    <row r="6675" spans="1:17" x14ac:dyDescent="0.2">
      <c r="A6675" s="121">
        <v>41455</v>
      </c>
      <c r="B6675" t="s">
        <v>406</v>
      </c>
      <c r="C6675" t="s">
        <v>456</v>
      </c>
      <c r="D6675" t="s">
        <v>467</v>
      </c>
      <c r="E6675" t="s">
        <v>468</v>
      </c>
      <c r="F6675" t="s">
        <v>410</v>
      </c>
      <c r="G6675">
        <v>1450</v>
      </c>
      <c r="I6675">
        <v>1446</v>
      </c>
    </row>
    <row r="6676" spans="1:17" x14ac:dyDescent="0.2">
      <c r="A6676" s="121">
        <v>41455</v>
      </c>
      <c r="B6676" t="s">
        <v>406</v>
      </c>
      <c r="C6676" t="s">
        <v>456</v>
      </c>
      <c r="D6676" t="s">
        <v>469</v>
      </c>
      <c r="E6676" t="s">
        <v>470</v>
      </c>
      <c r="F6676" t="s">
        <v>410</v>
      </c>
      <c r="G6676">
        <v>898</v>
      </c>
      <c r="I6676">
        <v>896</v>
      </c>
    </row>
    <row r="6677" spans="1:17" x14ac:dyDescent="0.2">
      <c r="A6677" s="121">
        <v>41455</v>
      </c>
      <c r="B6677" t="s">
        <v>406</v>
      </c>
      <c r="C6677" t="s">
        <v>456</v>
      </c>
      <c r="D6677" t="s">
        <v>471</v>
      </c>
      <c r="E6677" t="s">
        <v>472</v>
      </c>
      <c r="F6677" t="s">
        <v>410</v>
      </c>
      <c r="G6677">
        <v>313</v>
      </c>
      <c r="I6677">
        <v>313</v>
      </c>
    </row>
    <row r="6678" spans="1:17" x14ac:dyDescent="0.2">
      <c r="A6678" s="121">
        <v>41455</v>
      </c>
      <c r="B6678" t="s">
        <v>406</v>
      </c>
      <c r="C6678" t="s">
        <v>456</v>
      </c>
      <c r="D6678" t="s">
        <v>473</v>
      </c>
      <c r="E6678" t="s">
        <v>474</v>
      </c>
      <c r="F6678" t="s">
        <v>410</v>
      </c>
      <c r="G6678">
        <v>213</v>
      </c>
      <c r="I6678">
        <v>213</v>
      </c>
    </row>
    <row r="6679" spans="1:17" x14ac:dyDescent="0.2">
      <c r="A6679" s="121">
        <v>41455</v>
      </c>
      <c r="B6679" t="s">
        <v>406</v>
      </c>
      <c r="C6679" t="s">
        <v>456</v>
      </c>
      <c r="D6679" t="s">
        <v>475</v>
      </c>
      <c r="E6679" t="s">
        <v>476</v>
      </c>
      <c r="F6679" t="s">
        <v>410</v>
      </c>
      <c r="G6679">
        <v>346</v>
      </c>
      <c r="I6679">
        <v>340</v>
      </c>
    </row>
    <row r="6680" spans="1:17" x14ac:dyDescent="0.2">
      <c r="A6680" s="121">
        <v>41455</v>
      </c>
      <c r="B6680" t="s">
        <v>406</v>
      </c>
      <c r="C6680" t="s">
        <v>456</v>
      </c>
      <c r="D6680" t="s">
        <v>477</v>
      </c>
      <c r="E6680" t="s">
        <v>478</v>
      </c>
      <c r="F6680" t="s">
        <v>413</v>
      </c>
      <c r="G6680">
        <v>2143</v>
      </c>
      <c r="H6680">
        <v>2143</v>
      </c>
      <c r="I6680">
        <v>2084</v>
      </c>
      <c r="J6680">
        <v>2084</v>
      </c>
      <c r="K6680">
        <v>442</v>
      </c>
      <c r="L6680">
        <v>1</v>
      </c>
      <c r="M6680">
        <v>1665</v>
      </c>
      <c r="N6680">
        <v>26</v>
      </c>
      <c r="O6680">
        <v>9</v>
      </c>
      <c r="P6680">
        <v>2</v>
      </c>
      <c r="Q6680">
        <v>0</v>
      </c>
    </row>
    <row r="6681" spans="1:17" x14ac:dyDescent="0.2">
      <c r="A6681" s="121">
        <v>41455</v>
      </c>
      <c r="B6681" t="s">
        <v>406</v>
      </c>
      <c r="C6681" t="s">
        <v>456</v>
      </c>
      <c r="D6681" t="s">
        <v>479</v>
      </c>
      <c r="E6681" t="s">
        <v>480</v>
      </c>
      <c r="F6681" t="s">
        <v>410</v>
      </c>
      <c r="G6681">
        <v>70</v>
      </c>
      <c r="I6681">
        <v>70</v>
      </c>
    </row>
    <row r="6682" spans="1:17" x14ac:dyDescent="0.2">
      <c r="A6682" s="121">
        <v>41455</v>
      </c>
      <c r="B6682" t="s">
        <v>406</v>
      </c>
      <c r="C6682" t="s">
        <v>456</v>
      </c>
      <c r="D6682" t="s">
        <v>481</v>
      </c>
      <c r="E6682" t="s">
        <v>482</v>
      </c>
      <c r="F6682" t="s">
        <v>410</v>
      </c>
      <c r="G6682">
        <v>46</v>
      </c>
      <c r="I6682">
        <v>46</v>
      </c>
    </row>
    <row r="6683" spans="1:17" x14ac:dyDescent="0.2">
      <c r="A6683" s="121">
        <v>41455</v>
      </c>
      <c r="B6683" t="s">
        <v>406</v>
      </c>
      <c r="C6683" t="s">
        <v>456</v>
      </c>
      <c r="D6683" t="s">
        <v>483</v>
      </c>
      <c r="E6683" t="s">
        <v>484</v>
      </c>
      <c r="F6683" t="s">
        <v>410</v>
      </c>
      <c r="G6683">
        <v>62</v>
      </c>
      <c r="I6683">
        <v>62</v>
      </c>
    </row>
    <row r="6684" spans="1:17" x14ac:dyDescent="0.2">
      <c r="A6684" s="121">
        <v>41455</v>
      </c>
      <c r="B6684" t="s">
        <v>406</v>
      </c>
      <c r="C6684" t="s">
        <v>456</v>
      </c>
      <c r="D6684" t="s">
        <v>485</v>
      </c>
      <c r="E6684" t="s">
        <v>486</v>
      </c>
      <c r="F6684" t="s">
        <v>410</v>
      </c>
      <c r="G6684">
        <v>30</v>
      </c>
      <c r="I6684">
        <v>30</v>
      </c>
    </row>
    <row r="6685" spans="1:17" x14ac:dyDescent="0.2">
      <c r="A6685" s="121">
        <v>41455</v>
      </c>
      <c r="B6685" t="s">
        <v>406</v>
      </c>
      <c r="C6685" t="s">
        <v>456</v>
      </c>
      <c r="D6685" t="s">
        <v>487</v>
      </c>
      <c r="E6685" t="s">
        <v>488</v>
      </c>
      <c r="F6685" t="s">
        <v>410</v>
      </c>
      <c r="G6685">
        <v>38</v>
      </c>
      <c r="I6685">
        <v>38</v>
      </c>
    </row>
    <row r="6686" spans="1:17" x14ac:dyDescent="0.2">
      <c r="A6686" s="121">
        <v>41455</v>
      </c>
      <c r="B6686" t="s">
        <v>406</v>
      </c>
      <c r="C6686" t="s">
        <v>456</v>
      </c>
      <c r="D6686" t="s">
        <v>489</v>
      </c>
      <c r="E6686" t="s">
        <v>490</v>
      </c>
      <c r="F6686" t="s">
        <v>410</v>
      </c>
      <c r="G6686">
        <v>100</v>
      </c>
      <c r="I6686">
        <v>100</v>
      </c>
    </row>
    <row r="6687" spans="1:17" x14ac:dyDescent="0.2">
      <c r="A6687" s="121">
        <v>41455</v>
      </c>
      <c r="B6687" t="s">
        <v>406</v>
      </c>
      <c r="C6687" t="s">
        <v>491</v>
      </c>
      <c r="D6687" t="s">
        <v>492</v>
      </c>
      <c r="E6687" t="s">
        <v>493</v>
      </c>
      <c r="F6687" t="s">
        <v>410</v>
      </c>
      <c r="G6687">
        <v>1303</v>
      </c>
      <c r="H6687">
        <v>1303</v>
      </c>
      <c r="I6687">
        <v>1282</v>
      </c>
      <c r="J6687">
        <v>1282</v>
      </c>
      <c r="K6687">
        <v>226</v>
      </c>
      <c r="L6687">
        <v>2</v>
      </c>
      <c r="M6687">
        <v>1015</v>
      </c>
      <c r="N6687">
        <v>50</v>
      </c>
      <c r="O6687">
        <v>10</v>
      </c>
      <c r="P6687">
        <v>0</v>
      </c>
      <c r="Q6687">
        <v>0</v>
      </c>
    </row>
    <row r="6688" spans="1:17" x14ac:dyDescent="0.2">
      <c r="A6688" s="121">
        <v>41455</v>
      </c>
      <c r="B6688" t="s">
        <v>406</v>
      </c>
      <c r="C6688" t="s">
        <v>491</v>
      </c>
      <c r="D6688" t="s">
        <v>494</v>
      </c>
      <c r="E6688" t="s">
        <v>495</v>
      </c>
      <c r="F6688" t="s">
        <v>413</v>
      </c>
      <c r="G6688">
        <v>2685</v>
      </c>
      <c r="H6688">
        <v>2685</v>
      </c>
      <c r="I6688">
        <v>2491</v>
      </c>
      <c r="J6688">
        <v>2491</v>
      </c>
      <c r="K6688">
        <v>687</v>
      </c>
      <c r="L6688">
        <v>4</v>
      </c>
      <c r="M6688">
        <v>1787</v>
      </c>
      <c r="N6688">
        <v>16</v>
      </c>
      <c r="O6688">
        <v>191</v>
      </c>
      <c r="P6688">
        <v>6</v>
      </c>
      <c r="Q6688">
        <v>0</v>
      </c>
    </row>
    <row r="6689" spans="1:17" x14ac:dyDescent="0.2">
      <c r="A6689" s="121">
        <v>41455</v>
      </c>
      <c r="B6689" t="s">
        <v>406</v>
      </c>
      <c r="C6689" t="s">
        <v>491</v>
      </c>
      <c r="D6689" t="s">
        <v>496</v>
      </c>
      <c r="E6689" t="s">
        <v>497</v>
      </c>
      <c r="F6689" t="s">
        <v>413</v>
      </c>
      <c r="G6689">
        <v>5880</v>
      </c>
      <c r="H6689">
        <v>5880</v>
      </c>
      <c r="I6689">
        <v>5434</v>
      </c>
      <c r="J6689">
        <v>5434</v>
      </c>
      <c r="K6689">
        <v>1817</v>
      </c>
      <c r="L6689">
        <v>19</v>
      </c>
      <c r="M6689">
        <v>3800</v>
      </c>
      <c r="N6689">
        <v>112</v>
      </c>
      <c r="O6689">
        <v>132</v>
      </c>
      <c r="P6689">
        <v>11</v>
      </c>
      <c r="Q6689">
        <v>0</v>
      </c>
    </row>
    <row r="6690" spans="1:17" x14ac:dyDescent="0.2">
      <c r="A6690" s="121">
        <v>41455</v>
      </c>
      <c r="B6690" t="s">
        <v>406</v>
      </c>
      <c r="C6690" t="s">
        <v>491</v>
      </c>
      <c r="D6690" t="s">
        <v>498</v>
      </c>
      <c r="E6690" t="s">
        <v>499</v>
      </c>
      <c r="F6690" t="s">
        <v>413</v>
      </c>
      <c r="G6690">
        <v>7086</v>
      </c>
      <c r="H6690">
        <v>7086</v>
      </c>
      <c r="I6690">
        <v>5980</v>
      </c>
      <c r="J6690">
        <v>5980</v>
      </c>
      <c r="K6690">
        <v>2327</v>
      </c>
      <c r="L6690">
        <v>24</v>
      </c>
      <c r="M6690">
        <v>4074</v>
      </c>
      <c r="N6690">
        <v>68</v>
      </c>
      <c r="O6690">
        <v>593</v>
      </c>
      <c r="P6690">
        <v>17</v>
      </c>
      <c r="Q6690">
        <v>0</v>
      </c>
    </row>
    <row r="6691" spans="1:17" x14ac:dyDescent="0.2">
      <c r="A6691" s="121">
        <v>41455</v>
      </c>
      <c r="B6691" t="s">
        <v>406</v>
      </c>
      <c r="C6691" t="s">
        <v>491</v>
      </c>
      <c r="D6691" t="s">
        <v>500</v>
      </c>
      <c r="E6691" t="s">
        <v>620</v>
      </c>
      <c r="F6691" t="s">
        <v>410</v>
      </c>
      <c r="G6691">
        <v>1530</v>
      </c>
      <c r="H6691">
        <v>1530</v>
      </c>
      <c r="I6691">
        <v>1530</v>
      </c>
      <c r="J6691">
        <v>1530</v>
      </c>
      <c r="K6691">
        <v>1</v>
      </c>
      <c r="L6691">
        <v>0</v>
      </c>
      <c r="M6691">
        <v>1431</v>
      </c>
      <c r="N6691">
        <v>72</v>
      </c>
      <c r="O6691">
        <v>26</v>
      </c>
      <c r="P6691">
        <v>0</v>
      </c>
      <c r="Q6691">
        <v>0</v>
      </c>
    </row>
    <row r="6692" spans="1:17" x14ac:dyDescent="0.2">
      <c r="A6692" s="121">
        <v>41455</v>
      </c>
      <c r="B6692" t="s">
        <v>406</v>
      </c>
      <c r="C6692" t="s">
        <v>491</v>
      </c>
      <c r="D6692" t="s">
        <v>502</v>
      </c>
      <c r="E6692" t="s">
        <v>615</v>
      </c>
      <c r="F6692" t="s">
        <v>410</v>
      </c>
      <c r="G6692">
        <v>2063</v>
      </c>
      <c r="H6692">
        <v>2063</v>
      </c>
      <c r="I6692">
        <v>2063</v>
      </c>
      <c r="J6692">
        <v>2063</v>
      </c>
      <c r="K6692">
        <v>1</v>
      </c>
      <c r="L6692">
        <v>0</v>
      </c>
      <c r="M6692">
        <v>1946</v>
      </c>
      <c r="N6692">
        <v>105</v>
      </c>
      <c r="O6692">
        <v>11</v>
      </c>
      <c r="P6692">
        <v>0</v>
      </c>
      <c r="Q6692">
        <v>0</v>
      </c>
    </row>
    <row r="6693" spans="1:17" x14ac:dyDescent="0.2">
      <c r="A6693" s="121">
        <v>41455</v>
      </c>
      <c r="B6693" t="s">
        <v>406</v>
      </c>
      <c r="C6693" t="s">
        <v>491</v>
      </c>
      <c r="D6693" t="s">
        <v>502</v>
      </c>
      <c r="E6693" t="s">
        <v>503</v>
      </c>
      <c r="F6693" t="s">
        <v>413</v>
      </c>
      <c r="G6693">
        <v>5100</v>
      </c>
      <c r="H6693">
        <v>5100</v>
      </c>
      <c r="I6693">
        <v>4844</v>
      </c>
      <c r="J6693">
        <v>4844</v>
      </c>
      <c r="K6693">
        <v>1472</v>
      </c>
      <c r="L6693">
        <v>13</v>
      </c>
      <c r="M6693">
        <v>3206</v>
      </c>
      <c r="N6693">
        <v>285</v>
      </c>
      <c r="O6693">
        <v>124</v>
      </c>
      <c r="P6693">
        <v>2</v>
      </c>
      <c r="Q6693">
        <v>0</v>
      </c>
    </row>
    <row r="6694" spans="1:17" x14ac:dyDescent="0.2">
      <c r="A6694" s="121">
        <v>41455</v>
      </c>
      <c r="B6694" t="s">
        <v>406</v>
      </c>
      <c r="C6694" t="s">
        <v>491</v>
      </c>
      <c r="D6694" t="s">
        <v>504</v>
      </c>
      <c r="E6694" t="s">
        <v>505</v>
      </c>
      <c r="F6694" t="s">
        <v>413</v>
      </c>
      <c r="G6694">
        <v>4029</v>
      </c>
      <c r="H6694">
        <v>4029</v>
      </c>
      <c r="I6694">
        <v>3757</v>
      </c>
      <c r="J6694">
        <v>3757</v>
      </c>
      <c r="K6694">
        <v>1137</v>
      </c>
      <c r="L6694">
        <v>12</v>
      </c>
      <c r="M6694">
        <v>2666</v>
      </c>
      <c r="N6694">
        <v>132</v>
      </c>
      <c r="O6694">
        <v>82</v>
      </c>
      <c r="P6694">
        <v>4</v>
      </c>
      <c r="Q6694">
        <v>0</v>
      </c>
    </row>
    <row r="6695" spans="1:17" x14ac:dyDescent="0.2">
      <c r="A6695" s="121">
        <v>41455</v>
      </c>
      <c r="B6695" t="s">
        <v>406</v>
      </c>
      <c r="C6695" t="s">
        <v>491</v>
      </c>
      <c r="D6695" t="s">
        <v>506</v>
      </c>
      <c r="E6695" t="s">
        <v>507</v>
      </c>
      <c r="F6695" t="s">
        <v>413</v>
      </c>
      <c r="G6695">
        <v>3899</v>
      </c>
      <c r="H6695">
        <v>3899</v>
      </c>
      <c r="I6695">
        <v>3811</v>
      </c>
      <c r="J6695">
        <v>3811</v>
      </c>
      <c r="K6695">
        <v>1104</v>
      </c>
      <c r="L6695">
        <v>1</v>
      </c>
      <c r="M6695">
        <v>2783</v>
      </c>
      <c r="N6695">
        <v>1</v>
      </c>
      <c r="O6695">
        <v>10</v>
      </c>
      <c r="P6695">
        <v>0</v>
      </c>
      <c r="Q6695">
        <v>0</v>
      </c>
    </row>
    <row r="6696" spans="1:17" x14ac:dyDescent="0.2">
      <c r="A6696" s="121">
        <v>41455</v>
      </c>
      <c r="B6696" t="s">
        <v>406</v>
      </c>
      <c r="C6696" t="s">
        <v>491</v>
      </c>
      <c r="D6696" t="s">
        <v>508</v>
      </c>
      <c r="E6696" t="s">
        <v>509</v>
      </c>
      <c r="F6696" t="s">
        <v>413</v>
      </c>
      <c r="G6696">
        <v>4981</v>
      </c>
      <c r="H6696">
        <v>4981</v>
      </c>
      <c r="I6696">
        <v>4179</v>
      </c>
      <c r="J6696">
        <v>4179</v>
      </c>
      <c r="K6696">
        <v>1701</v>
      </c>
      <c r="L6696">
        <v>14</v>
      </c>
      <c r="M6696">
        <v>2981</v>
      </c>
      <c r="N6696">
        <v>121</v>
      </c>
      <c r="O6696">
        <v>164</v>
      </c>
      <c r="P6696">
        <v>35</v>
      </c>
      <c r="Q6696">
        <v>0</v>
      </c>
    </row>
    <row r="6697" spans="1:17" x14ac:dyDescent="0.2">
      <c r="A6697" s="121">
        <v>41455</v>
      </c>
      <c r="B6697" t="s">
        <v>406</v>
      </c>
      <c r="C6697" t="s">
        <v>510</v>
      </c>
      <c r="D6697" t="s">
        <v>513</v>
      </c>
      <c r="E6697" t="s">
        <v>514</v>
      </c>
      <c r="F6697" t="s">
        <v>410</v>
      </c>
      <c r="G6697">
        <v>644</v>
      </c>
      <c r="I6697">
        <v>644</v>
      </c>
    </row>
    <row r="6698" spans="1:17" x14ac:dyDescent="0.2">
      <c r="A6698" s="121">
        <v>41455</v>
      </c>
      <c r="B6698" t="s">
        <v>406</v>
      </c>
      <c r="C6698" t="s">
        <v>510</v>
      </c>
      <c r="D6698" t="s">
        <v>515</v>
      </c>
      <c r="E6698" t="s">
        <v>516</v>
      </c>
      <c r="F6698" t="s">
        <v>410</v>
      </c>
      <c r="G6698">
        <v>77</v>
      </c>
      <c r="I6698">
        <v>76</v>
      </c>
    </row>
    <row r="6699" spans="1:17" x14ac:dyDescent="0.2">
      <c r="A6699" s="121">
        <v>41455</v>
      </c>
      <c r="B6699" t="s">
        <v>406</v>
      </c>
      <c r="C6699" t="s">
        <v>510</v>
      </c>
      <c r="D6699" t="s">
        <v>519</v>
      </c>
      <c r="E6699" t="s">
        <v>520</v>
      </c>
      <c r="F6699" t="s">
        <v>410</v>
      </c>
      <c r="G6699">
        <v>365</v>
      </c>
      <c r="I6699">
        <v>362</v>
      </c>
    </row>
    <row r="6700" spans="1:17" x14ac:dyDescent="0.2">
      <c r="A6700" s="121">
        <v>41455</v>
      </c>
      <c r="B6700" t="s">
        <v>406</v>
      </c>
      <c r="C6700" t="s">
        <v>510</v>
      </c>
      <c r="D6700" t="s">
        <v>523</v>
      </c>
      <c r="E6700" t="s">
        <v>524</v>
      </c>
      <c r="F6700" t="s">
        <v>413</v>
      </c>
      <c r="G6700">
        <v>573</v>
      </c>
      <c r="H6700">
        <v>573</v>
      </c>
      <c r="I6700">
        <v>565</v>
      </c>
      <c r="J6700">
        <v>565</v>
      </c>
      <c r="K6700">
        <v>112</v>
      </c>
      <c r="L6700">
        <v>0</v>
      </c>
      <c r="M6700">
        <v>450</v>
      </c>
      <c r="N6700">
        <v>11</v>
      </c>
      <c r="O6700">
        <v>0</v>
      </c>
      <c r="P6700">
        <v>0</v>
      </c>
      <c r="Q6700">
        <v>0</v>
      </c>
    </row>
    <row r="6701" spans="1:17" x14ac:dyDescent="0.2">
      <c r="A6701" s="121">
        <v>41455</v>
      </c>
      <c r="B6701" t="s">
        <v>406</v>
      </c>
      <c r="C6701" t="s">
        <v>510</v>
      </c>
      <c r="D6701" t="s">
        <v>525</v>
      </c>
      <c r="E6701" t="s">
        <v>526</v>
      </c>
      <c r="F6701" t="s">
        <v>410</v>
      </c>
      <c r="G6701">
        <v>485</v>
      </c>
      <c r="I6701">
        <v>483</v>
      </c>
    </row>
    <row r="6702" spans="1:17" x14ac:dyDescent="0.2">
      <c r="A6702" s="121">
        <v>41455</v>
      </c>
      <c r="B6702" t="s">
        <v>406</v>
      </c>
      <c r="C6702" t="s">
        <v>510</v>
      </c>
      <c r="D6702" t="s">
        <v>527</v>
      </c>
      <c r="E6702" t="s">
        <v>528</v>
      </c>
      <c r="F6702" t="s">
        <v>410</v>
      </c>
      <c r="G6702">
        <v>206</v>
      </c>
      <c r="I6702">
        <v>204</v>
      </c>
    </row>
    <row r="6703" spans="1:17" x14ac:dyDescent="0.2">
      <c r="A6703" s="121">
        <v>41455</v>
      </c>
      <c r="B6703" t="s">
        <v>406</v>
      </c>
      <c r="C6703" t="s">
        <v>510</v>
      </c>
      <c r="D6703" t="s">
        <v>529</v>
      </c>
      <c r="E6703" t="s">
        <v>530</v>
      </c>
      <c r="F6703" t="s">
        <v>413</v>
      </c>
      <c r="G6703">
        <v>571</v>
      </c>
      <c r="H6703">
        <v>571</v>
      </c>
      <c r="I6703">
        <v>547</v>
      </c>
      <c r="J6703">
        <v>547</v>
      </c>
      <c r="K6703">
        <v>171</v>
      </c>
      <c r="L6703">
        <v>0</v>
      </c>
      <c r="M6703">
        <v>396</v>
      </c>
      <c r="N6703">
        <v>4</v>
      </c>
      <c r="O6703">
        <v>0</v>
      </c>
      <c r="P6703">
        <v>1</v>
      </c>
      <c r="Q6703">
        <v>0</v>
      </c>
    </row>
    <row r="6704" spans="1:17" x14ac:dyDescent="0.2">
      <c r="A6704" s="121">
        <v>41455</v>
      </c>
      <c r="B6704" t="s">
        <v>406</v>
      </c>
      <c r="C6704" t="s">
        <v>510</v>
      </c>
      <c r="D6704" t="s">
        <v>531</v>
      </c>
      <c r="E6704" t="s">
        <v>532</v>
      </c>
      <c r="F6704" t="s">
        <v>410</v>
      </c>
      <c r="G6704">
        <v>26</v>
      </c>
      <c r="I6704">
        <v>26</v>
      </c>
    </row>
    <row r="6705" spans="1:17" x14ac:dyDescent="0.2">
      <c r="A6705" s="121">
        <v>41455</v>
      </c>
      <c r="B6705" t="s">
        <v>406</v>
      </c>
      <c r="C6705" t="s">
        <v>510</v>
      </c>
      <c r="D6705" t="s">
        <v>533</v>
      </c>
      <c r="E6705" t="s">
        <v>534</v>
      </c>
      <c r="F6705" t="s">
        <v>413</v>
      </c>
      <c r="G6705">
        <v>2705</v>
      </c>
      <c r="H6705">
        <v>2705</v>
      </c>
      <c r="I6705">
        <v>2614</v>
      </c>
      <c r="J6705">
        <v>2614</v>
      </c>
      <c r="K6705">
        <v>558</v>
      </c>
      <c r="L6705">
        <v>10</v>
      </c>
      <c r="M6705">
        <v>2129</v>
      </c>
      <c r="N6705">
        <v>8</v>
      </c>
      <c r="O6705">
        <v>0</v>
      </c>
      <c r="P6705">
        <v>3</v>
      </c>
      <c r="Q6705">
        <v>0</v>
      </c>
    </row>
    <row r="6706" spans="1:17" x14ac:dyDescent="0.2">
      <c r="A6706" s="121">
        <v>41455</v>
      </c>
      <c r="B6706" t="s">
        <v>406</v>
      </c>
      <c r="C6706" t="s">
        <v>510</v>
      </c>
      <c r="D6706" t="s">
        <v>535</v>
      </c>
      <c r="E6706" t="s">
        <v>536</v>
      </c>
      <c r="F6706" t="s">
        <v>410</v>
      </c>
      <c r="G6706">
        <v>494</v>
      </c>
      <c r="I6706">
        <v>494</v>
      </c>
    </row>
    <row r="6707" spans="1:17" x14ac:dyDescent="0.2">
      <c r="A6707" s="121">
        <v>41455</v>
      </c>
      <c r="B6707" t="s">
        <v>406</v>
      </c>
      <c r="C6707" t="s">
        <v>510</v>
      </c>
      <c r="D6707" t="s">
        <v>537</v>
      </c>
      <c r="E6707" t="s">
        <v>538</v>
      </c>
      <c r="F6707" t="s">
        <v>410</v>
      </c>
      <c r="G6707">
        <v>121</v>
      </c>
      <c r="I6707">
        <v>121</v>
      </c>
    </row>
    <row r="6708" spans="1:17" x14ac:dyDescent="0.2">
      <c r="A6708" s="121">
        <v>41455</v>
      </c>
      <c r="B6708" t="s">
        <v>406</v>
      </c>
      <c r="C6708" t="s">
        <v>510</v>
      </c>
      <c r="D6708" t="s">
        <v>539</v>
      </c>
      <c r="E6708" t="s">
        <v>540</v>
      </c>
      <c r="F6708" t="s">
        <v>413</v>
      </c>
      <c r="G6708">
        <v>894</v>
      </c>
      <c r="H6708">
        <v>894</v>
      </c>
      <c r="I6708">
        <v>861</v>
      </c>
      <c r="J6708">
        <v>861</v>
      </c>
      <c r="K6708">
        <v>111</v>
      </c>
      <c r="L6708">
        <v>1</v>
      </c>
      <c r="M6708">
        <v>779</v>
      </c>
      <c r="N6708">
        <v>3</v>
      </c>
      <c r="O6708">
        <v>0</v>
      </c>
      <c r="P6708">
        <v>1</v>
      </c>
      <c r="Q6708">
        <v>0</v>
      </c>
    </row>
    <row r="6709" spans="1:17" x14ac:dyDescent="0.2">
      <c r="A6709" s="121">
        <v>41455</v>
      </c>
      <c r="B6709" t="s">
        <v>406</v>
      </c>
      <c r="C6709" t="s">
        <v>510</v>
      </c>
      <c r="D6709" t="s">
        <v>541</v>
      </c>
      <c r="E6709" t="s">
        <v>542</v>
      </c>
      <c r="F6709" t="s">
        <v>410</v>
      </c>
      <c r="G6709">
        <v>476</v>
      </c>
      <c r="I6709">
        <v>476</v>
      </c>
    </row>
    <row r="6710" spans="1:17" x14ac:dyDescent="0.2">
      <c r="A6710" s="121">
        <v>41455</v>
      </c>
      <c r="B6710" t="s">
        <v>406</v>
      </c>
      <c r="C6710" t="s">
        <v>510</v>
      </c>
      <c r="D6710" t="s">
        <v>543</v>
      </c>
      <c r="E6710" t="s">
        <v>544</v>
      </c>
      <c r="F6710" t="s">
        <v>410</v>
      </c>
      <c r="G6710">
        <v>279</v>
      </c>
      <c r="I6710">
        <v>279</v>
      </c>
    </row>
    <row r="6711" spans="1:17" x14ac:dyDescent="0.2">
      <c r="A6711" s="121">
        <v>41455</v>
      </c>
      <c r="B6711" t="s">
        <v>406</v>
      </c>
      <c r="C6711" t="s">
        <v>510</v>
      </c>
      <c r="D6711" t="s">
        <v>545</v>
      </c>
      <c r="E6711" t="s">
        <v>546</v>
      </c>
      <c r="F6711" t="s">
        <v>410</v>
      </c>
      <c r="G6711">
        <v>149</v>
      </c>
      <c r="I6711">
        <v>149</v>
      </c>
    </row>
    <row r="6712" spans="1:17" x14ac:dyDescent="0.2">
      <c r="A6712" s="121">
        <v>41455</v>
      </c>
      <c r="B6712" t="s">
        <v>406</v>
      </c>
      <c r="C6712" t="s">
        <v>510</v>
      </c>
      <c r="D6712" t="s">
        <v>547</v>
      </c>
      <c r="E6712" t="s">
        <v>548</v>
      </c>
      <c r="F6712" t="s">
        <v>410</v>
      </c>
      <c r="G6712">
        <v>188</v>
      </c>
      <c r="I6712">
        <v>188</v>
      </c>
    </row>
    <row r="6713" spans="1:17" x14ac:dyDescent="0.2">
      <c r="A6713" s="121">
        <v>41455</v>
      </c>
      <c r="B6713" t="s">
        <v>406</v>
      </c>
      <c r="C6713" t="s">
        <v>510</v>
      </c>
      <c r="D6713" t="s">
        <v>616</v>
      </c>
      <c r="E6713" t="s">
        <v>617</v>
      </c>
      <c r="F6713" t="s">
        <v>410</v>
      </c>
      <c r="G6713">
        <v>311</v>
      </c>
      <c r="I6713">
        <v>304</v>
      </c>
    </row>
    <row r="6714" spans="1:17" x14ac:dyDescent="0.2">
      <c r="A6714" s="121">
        <v>41455</v>
      </c>
      <c r="B6714" t="s">
        <v>406</v>
      </c>
      <c r="C6714" t="s">
        <v>510</v>
      </c>
      <c r="D6714" t="s">
        <v>549</v>
      </c>
      <c r="E6714" t="s">
        <v>550</v>
      </c>
      <c r="F6714" t="s">
        <v>410</v>
      </c>
      <c r="G6714">
        <v>152</v>
      </c>
      <c r="I6714">
        <v>152</v>
      </c>
    </row>
    <row r="6715" spans="1:17" x14ac:dyDescent="0.2">
      <c r="A6715" s="121">
        <v>41455</v>
      </c>
      <c r="B6715" t="s">
        <v>406</v>
      </c>
      <c r="C6715" t="s">
        <v>510</v>
      </c>
      <c r="D6715" t="s">
        <v>625</v>
      </c>
      <c r="E6715" t="s">
        <v>626</v>
      </c>
      <c r="F6715" t="s">
        <v>410</v>
      </c>
      <c r="G6715">
        <v>65</v>
      </c>
      <c r="I6715">
        <v>64</v>
      </c>
    </row>
    <row r="6716" spans="1:17" x14ac:dyDescent="0.2">
      <c r="A6716" s="121">
        <v>41455</v>
      </c>
      <c r="B6716" t="s">
        <v>406</v>
      </c>
      <c r="C6716" t="s">
        <v>551</v>
      </c>
      <c r="D6716" t="s">
        <v>552</v>
      </c>
      <c r="E6716" t="s">
        <v>553</v>
      </c>
      <c r="F6716" t="s">
        <v>413</v>
      </c>
      <c r="G6716">
        <v>5700</v>
      </c>
      <c r="H6716">
        <v>5700</v>
      </c>
      <c r="I6716">
        <v>5338</v>
      </c>
      <c r="J6716">
        <v>5338</v>
      </c>
      <c r="K6716">
        <v>1511</v>
      </c>
      <c r="L6716">
        <v>9</v>
      </c>
      <c r="M6716">
        <v>3863</v>
      </c>
      <c r="N6716">
        <v>180</v>
      </c>
      <c r="O6716">
        <v>137</v>
      </c>
      <c r="P6716">
        <v>19</v>
      </c>
      <c r="Q6716">
        <v>1</v>
      </c>
    </row>
    <row r="6717" spans="1:17" x14ac:dyDescent="0.2">
      <c r="A6717" s="121">
        <v>41455</v>
      </c>
      <c r="B6717" t="s">
        <v>406</v>
      </c>
      <c r="C6717" t="s">
        <v>551</v>
      </c>
      <c r="D6717" t="s">
        <v>554</v>
      </c>
      <c r="E6717" t="s">
        <v>555</v>
      </c>
      <c r="F6717" t="s">
        <v>410</v>
      </c>
      <c r="G6717">
        <v>68</v>
      </c>
      <c r="I6717">
        <v>68</v>
      </c>
    </row>
    <row r="6718" spans="1:17" x14ac:dyDescent="0.2">
      <c r="A6718" s="121">
        <v>41455</v>
      </c>
      <c r="B6718" t="s">
        <v>406</v>
      </c>
      <c r="C6718" t="s">
        <v>551</v>
      </c>
      <c r="D6718" t="s">
        <v>556</v>
      </c>
      <c r="E6718" t="s">
        <v>557</v>
      </c>
      <c r="F6718" t="s">
        <v>410</v>
      </c>
      <c r="G6718">
        <v>99</v>
      </c>
      <c r="I6718">
        <v>99</v>
      </c>
    </row>
    <row r="6719" spans="1:17" x14ac:dyDescent="0.2">
      <c r="A6719" s="121">
        <v>41455</v>
      </c>
      <c r="B6719" t="s">
        <v>406</v>
      </c>
      <c r="C6719" t="s">
        <v>551</v>
      </c>
      <c r="D6719" t="s">
        <v>558</v>
      </c>
      <c r="E6719" t="s">
        <v>559</v>
      </c>
      <c r="F6719" t="s">
        <v>413</v>
      </c>
      <c r="G6719">
        <v>4946</v>
      </c>
      <c r="H6719">
        <v>4946</v>
      </c>
      <c r="I6719">
        <v>4686</v>
      </c>
      <c r="J6719">
        <v>4686</v>
      </c>
      <c r="K6719">
        <v>1282</v>
      </c>
      <c r="L6719">
        <v>7</v>
      </c>
      <c r="M6719">
        <v>3488</v>
      </c>
      <c r="N6719">
        <v>161</v>
      </c>
      <c r="O6719">
        <v>8</v>
      </c>
      <c r="P6719">
        <v>15</v>
      </c>
      <c r="Q6719">
        <v>0</v>
      </c>
    </row>
    <row r="6720" spans="1:17" x14ac:dyDescent="0.2">
      <c r="A6720" s="121">
        <v>41455</v>
      </c>
      <c r="B6720" t="s">
        <v>406</v>
      </c>
      <c r="C6720" t="s">
        <v>551</v>
      </c>
      <c r="D6720" t="s">
        <v>560</v>
      </c>
      <c r="E6720" t="s">
        <v>561</v>
      </c>
      <c r="F6720" t="s">
        <v>413</v>
      </c>
      <c r="G6720">
        <v>5380</v>
      </c>
      <c r="H6720">
        <v>5380</v>
      </c>
      <c r="I6720">
        <v>4797</v>
      </c>
      <c r="J6720">
        <v>4797</v>
      </c>
      <c r="K6720">
        <v>972</v>
      </c>
      <c r="L6720">
        <v>9</v>
      </c>
      <c r="M6720">
        <v>4074</v>
      </c>
      <c r="N6720">
        <v>208</v>
      </c>
      <c r="O6720">
        <v>117</v>
      </c>
      <c r="P6720">
        <v>40</v>
      </c>
      <c r="Q6720">
        <v>5</v>
      </c>
    </row>
    <row r="6721" spans="1:17" x14ac:dyDescent="0.2">
      <c r="A6721" s="121">
        <v>41455</v>
      </c>
      <c r="B6721" t="s">
        <v>406</v>
      </c>
      <c r="C6721" t="s">
        <v>562</v>
      </c>
      <c r="D6721" t="s">
        <v>605</v>
      </c>
      <c r="E6721" t="s">
        <v>606</v>
      </c>
      <c r="F6721" t="s">
        <v>410</v>
      </c>
      <c r="G6721">
        <v>128</v>
      </c>
      <c r="I6721">
        <v>128</v>
      </c>
    </row>
    <row r="6722" spans="1:17" x14ac:dyDescent="0.2">
      <c r="A6722" s="121">
        <v>41455</v>
      </c>
      <c r="B6722" t="s">
        <v>406</v>
      </c>
      <c r="C6722" t="s">
        <v>562</v>
      </c>
      <c r="D6722" t="s">
        <v>563</v>
      </c>
      <c r="E6722" t="s">
        <v>564</v>
      </c>
      <c r="F6722" t="s">
        <v>410</v>
      </c>
      <c r="G6722">
        <v>3407</v>
      </c>
      <c r="H6722">
        <v>3407</v>
      </c>
      <c r="I6722">
        <v>3207</v>
      </c>
      <c r="J6722">
        <v>3207</v>
      </c>
      <c r="K6722">
        <v>1054</v>
      </c>
      <c r="L6722">
        <v>2</v>
      </c>
      <c r="M6722">
        <v>2319</v>
      </c>
      <c r="N6722">
        <v>32</v>
      </c>
      <c r="O6722">
        <v>0</v>
      </c>
      <c r="P6722">
        <v>20</v>
      </c>
      <c r="Q6722">
        <v>0</v>
      </c>
    </row>
    <row r="6723" spans="1:17" x14ac:dyDescent="0.2">
      <c r="A6723" s="121">
        <v>41455</v>
      </c>
      <c r="B6723" t="s">
        <v>406</v>
      </c>
      <c r="C6723" t="s">
        <v>562</v>
      </c>
      <c r="D6723" t="s">
        <v>565</v>
      </c>
      <c r="E6723" t="s">
        <v>566</v>
      </c>
      <c r="F6723" t="s">
        <v>413</v>
      </c>
      <c r="G6723">
        <v>4445</v>
      </c>
      <c r="H6723">
        <v>4445</v>
      </c>
      <c r="I6723">
        <v>4355</v>
      </c>
      <c r="J6723">
        <v>4355</v>
      </c>
      <c r="K6723">
        <v>992</v>
      </c>
      <c r="L6723">
        <v>4</v>
      </c>
      <c r="M6723">
        <v>3347</v>
      </c>
      <c r="N6723">
        <v>102</v>
      </c>
      <c r="O6723">
        <v>0</v>
      </c>
      <c r="P6723">
        <v>0</v>
      </c>
      <c r="Q6723">
        <v>0</v>
      </c>
    </row>
    <row r="6724" spans="1:17" x14ac:dyDescent="0.2">
      <c r="A6724" s="121">
        <v>41455</v>
      </c>
      <c r="B6724" t="s">
        <v>406</v>
      </c>
      <c r="C6724" t="s">
        <v>562</v>
      </c>
      <c r="D6724" t="s">
        <v>567</v>
      </c>
      <c r="E6724" t="s">
        <v>568</v>
      </c>
      <c r="F6724" t="s">
        <v>413</v>
      </c>
      <c r="G6724">
        <v>9200</v>
      </c>
      <c r="H6724">
        <v>9200</v>
      </c>
      <c r="I6724">
        <v>8389</v>
      </c>
      <c r="J6724">
        <v>8389</v>
      </c>
      <c r="K6724">
        <v>2785</v>
      </c>
      <c r="L6724">
        <v>18</v>
      </c>
      <c r="M6724">
        <v>6142</v>
      </c>
      <c r="N6724">
        <v>255</v>
      </c>
      <c r="O6724">
        <v>0</v>
      </c>
      <c r="P6724">
        <v>44</v>
      </c>
      <c r="Q6724">
        <v>2</v>
      </c>
    </row>
    <row r="6725" spans="1:17" x14ac:dyDescent="0.2">
      <c r="A6725" s="121">
        <v>41455</v>
      </c>
      <c r="B6725" t="s">
        <v>406</v>
      </c>
      <c r="C6725" t="s">
        <v>562</v>
      </c>
      <c r="D6725" t="s">
        <v>569</v>
      </c>
      <c r="E6725" t="s">
        <v>570</v>
      </c>
      <c r="F6725" t="s">
        <v>413</v>
      </c>
      <c r="G6725">
        <v>3696</v>
      </c>
      <c r="H6725">
        <v>3696</v>
      </c>
      <c r="I6725">
        <v>3671</v>
      </c>
      <c r="J6725">
        <v>3671</v>
      </c>
      <c r="K6725">
        <v>439</v>
      </c>
      <c r="L6725">
        <v>0</v>
      </c>
      <c r="M6725">
        <v>3257</v>
      </c>
      <c r="N6725">
        <v>0</v>
      </c>
      <c r="O6725">
        <v>0</v>
      </c>
      <c r="P6725">
        <v>0</v>
      </c>
      <c r="Q6725">
        <v>0</v>
      </c>
    </row>
    <row r="6726" spans="1:17" x14ac:dyDescent="0.2">
      <c r="A6726" s="121">
        <v>41455</v>
      </c>
      <c r="B6726" t="s">
        <v>406</v>
      </c>
      <c r="C6726" t="s">
        <v>571</v>
      </c>
      <c r="D6726" t="s">
        <v>572</v>
      </c>
      <c r="E6726" t="s">
        <v>573</v>
      </c>
      <c r="F6726" t="s">
        <v>410</v>
      </c>
      <c r="G6726">
        <v>332</v>
      </c>
      <c r="H6726">
        <v>332</v>
      </c>
      <c r="I6726">
        <v>326</v>
      </c>
      <c r="J6726">
        <v>326</v>
      </c>
      <c r="K6726">
        <v>0</v>
      </c>
      <c r="L6726">
        <v>0</v>
      </c>
      <c r="M6726">
        <v>325</v>
      </c>
      <c r="N6726">
        <v>1</v>
      </c>
      <c r="O6726">
        <v>6</v>
      </c>
      <c r="P6726">
        <v>0</v>
      </c>
      <c r="Q6726">
        <v>0</v>
      </c>
    </row>
    <row r="6727" spans="1:17" x14ac:dyDescent="0.2">
      <c r="A6727" s="121">
        <v>41455</v>
      </c>
      <c r="B6727" t="s">
        <v>406</v>
      </c>
      <c r="C6727" t="s">
        <v>574</v>
      </c>
      <c r="D6727" t="s">
        <v>575</v>
      </c>
      <c r="E6727" t="s">
        <v>576</v>
      </c>
      <c r="F6727" t="s">
        <v>413</v>
      </c>
      <c r="G6727">
        <v>747</v>
      </c>
      <c r="H6727">
        <v>747</v>
      </c>
      <c r="I6727">
        <v>740</v>
      </c>
      <c r="J6727">
        <v>740</v>
      </c>
      <c r="K6727">
        <v>162</v>
      </c>
      <c r="L6727">
        <v>0</v>
      </c>
      <c r="M6727">
        <v>560</v>
      </c>
      <c r="N6727">
        <v>2</v>
      </c>
      <c r="O6727">
        <v>23</v>
      </c>
      <c r="P6727">
        <v>0</v>
      </c>
      <c r="Q6727">
        <v>0</v>
      </c>
    </row>
    <row r="6728" spans="1:17" x14ac:dyDescent="0.2">
      <c r="A6728" s="121">
        <v>41455</v>
      </c>
      <c r="B6728" t="s">
        <v>406</v>
      </c>
      <c r="C6728" t="s">
        <v>577</v>
      </c>
      <c r="D6728" t="s">
        <v>578</v>
      </c>
      <c r="E6728" t="s">
        <v>579</v>
      </c>
      <c r="F6728" t="s">
        <v>413</v>
      </c>
      <c r="G6728">
        <v>4126</v>
      </c>
      <c r="H6728">
        <v>4126</v>
      </c>
      <c r="I6728">
        <v>4065</v>
      </c>
      <c r="J6728">
        <v>4065</v>
      </c>
      <c r="K6728">
        <v>867</v>
      </c>
      <c r="L6728">
        <v>14</v>
      </c>
      <c r="M6728">
        <v>2975</v>
      </c>
      <c r="N6728">
        <v>264</v>
      </c>
      <c r="O6728">
        <v>6</v>
      </c>
      <c r="P6728">
        <v>0</v>
      </c>
      <c r="Q6728">
        <v>0</v>
      </c>
    </row>
    <row r="6729" spans="1:17" x14ac:dyDescent="0.2">
      <c r="A6729" s="121">
        <v>41455</v>
      </c>
      <c r="B6729" t="s">
        <v>406</v>
      </c>
      <c r="C6729" t="s">
        <v>577</v>
      </c>
      <c r="D6729" t="s">
        <v>580</v>
      </c>
      <c r="E6729" t="s">
        <v>581</v>
      </c>
      <c r="F6729" t="s">
        <v>413</v>
      </c>
      <c r="G6729">
        <v>2159</v>
      </c>
      <c r="H6729">
        <v>2159</v>
      </c>
      <c r="I6729">
        <v>2143</v>
      </c>
      <c r="J6729">
        <v>2143</v>
      </c>
      <c r="K6729">
        <v>304</v>
      </c>
      <c r="L6729">
        <v>0</v>
      </c>
      <c r="M6729">
        <v>1483</v>
      </c>
      <c r="N6729">
        <v>322</v>
      </c>
      <c r="O6729">
        <v>50</v>
      </c>
      <c r="P6729">
        <v>0</v>
      </c>
      <c r="Q6729">
        <v>0</v>
      </c>
    </row>
    <row r="6730" spans="1:17" x14ac:dyDescent="0.2">
      <c r="A6730" s="121">
        <v>41455</v>
      </c>
      <c r="B6730" t="s">
        <v>406</v>
      </c>
      <c r="C6730" t="s">
        <v>577</v>
      </c>
      <c r="D6730" t="s">
        <v>609</v>
      </c>
      <c r="E6730" t="s">
        <v>610</v>
      </c>
      <c r="F6730" t="s">
        <v>410</v>
      </c>
      <c r="G6730">
        <v>40</v>
      </c>
      <c r="H6730">
        <v>40</v>
      </c>
      <c r="I6730">
        <v>40</v>
      </c>
      <c r="J6730">
        <v>40</v>
      </c>
      <c r="K6730">
        <v>0</v>
      </c>
      <c r="L6730">
        <v>0</v>
      </c>
      <c r="M6730">
        <v>38</v>
      </c>
      <c r="N6730">
        <v>2</v>
      </c>
      <c r="O6730">
        <v>0</v>
      </c>
      <c r="P6730">
        <v>0</v>
      </c>
      <c r="Q6730">
        <v>0</v>
      </c>
    </row>
    <row r="6731" spans="1:17" x14ac:dyDescent="0.2">
      <c r="A6731" s="121">
        <v>41455</v>
      </c>
      <c r="B6731" t="s">
        <v>406</v>
      </c>
      <c r="C6731" t="s">
        <v>577</v>
      </c>
      <c r="D6731" t="s">
        <v>611</v>
      </c>
      <c r="E6731" t="s">
        <v>612</v>
      </c>
      <c r="F6731" t="s">
        <v>410</v>
      </c>
      <c r="G6731">
        <v>9</v>
      </c>
      <c r="H6731">
        <v>9</v>
      </c>
      <c r="I6731">
        <v>9</v>
      </c>
      <c r="J6731">
        <v>9</v>
      </c>
      <c r="K6731">
        <v>0</v>
      </c>
      <c r="L6731">
        <v>0</v>
      </c>
      <c r="M6731">
        <v>4</v>
      </c>
      <c r="N6731">
        <v>0</v>
      </c>
      <c r="O6731">
        <v>5</v>
      </c>
      <c r="P6731">
        <v>0</v>
      </c>
      <c r="Q6731">
        <v>0</v>
      </c>
    </row>
    <row r="6732" spans="1:17" x14ac:dyDescent="0.2">
      <c r="A6732" s="121">
        <v>41455</v>
      </c>
      <c r="B6732" t="s">
        <v>406</v>
      </c>
      <c r="C6732" t="s">
        <v>577</v>
      </c>
      <c r="D6732" t="s">
        <v>584</v>
      </c>
      <c r="E6732" t="s">
        <v>585</v>
      </c>
      <c r="F6732" t="s">
        <v>410</v>
      </c>
      <c r="G6732">
        <v>290</v>
      </c>
      <c r="H6732">
        <v>290</v>
      </c>
      <c r="I6732">
        <v>290</v>
      </c>
      <c r="J6732">
        <v>290</v>
      </c>
      <c r="K6732">
        <v>0</v>
      </c>
      <c r="L6732">
        <v>0</v>
      </c>
      <c r="M6732">
        <v>270</v>
      </c>
      <c r="N6732">
        <v>19</v>
      </c>
      <c r="O6732">
        <v>1</v>
      </c>
      <c r="P6732">
        <v>0</v>
      </c>
      <c r="Q6732">
        <v>0</v>
      </c>
    </row>
    <row r="6733" spans="1:17" x14ac:dyDescent="0.2">
      <c r="A6733" s="121">
        <v>41455</v>
      </c>
      <c r="B6733" t="s">
        <v>406</v>
      </c>
      <c r="C6733" t="s">
        <v>577</v>
      </c>
      <c r="D6733" t="s">
        <v>586</v>
      </c>
      <c r="E6733" t="s">
        <v>587</v>
      </c>
      <c r="F6733" t="s">
        <v>410</v>
      </c>
      <c r="G6733">
        <v>1257</v>
      </c>
      <c r="H6733">
        <v>1257</v>
      </c>
      <c r="I6733">
        <v>1257</v>
      </c>
      <c r="J6733">
        <v>1257</v>
      </c>
      <c r="K6733">
        <v>0</v>
      </c>
      <c r="L6733">
        <v>0</v>
      </c>
      <c r="M6733">
        <v>1171</v>
      </c>
      <c r="N6733">
        <v>80</v>
      </c>
      <c r="O6733">
        <v>6</v>
      </c>
      <c r="P6733">
        <v>0</v>
      </c>
      <c r="Q6733">
        <v>0</v>
      </c>
    </row>
    <row r="6734" spans="1:17" x14ac:dyDescent="0.2">
      <c r="A6734" s="121">
        <v>41455</v>
      </c>
      <c r="B6734" t="s">
        <v>406</v>
      </c>
      <c r="C6734" t="s">
        <v>577</v>
      </c>
      <c r="D6734" t="s">
        <v>588</v>
      </c>
      <c r="E6734" t="s">
        <v>589</v>
      </c>
      <c r="F6734" t="s">
        <v>410</v>
      </c>
      <c r="G6734">
        <v>339</v>
      </c>
      <c r="H6734">
        <v>339</v>
      </c>
      <c r="I6734">
        <v>339</v>
      </c>
      <c r="J6734">
        <v>339</v>
      </c>
      <c r="K6734">
        <v>0</v>
      </c>
      <c r="L6734">
        <v>1</v>
      </c>
      <c r="M6734">
        <v>318</v>
      </c>
      <c r="N6734">
        <v>20</v>
      </c>
      <c r="O6734">
        <v>0</v>
      </c>
      <c r="P6734">
        <v>0</v>
      </c>
      <c r="Q6734">
        <v>0</v>
      </c>
    </row>
    <row r="6735" spans="1:17" x14ac:dyDescent="0.2">
      <c r="A6735" s="121">
        <v>41455</v>
      </c>
      <c r="B6735" t="s">
        <v>406</v>
      </c>
      <c r="C6735" t="s">
        <v>577</v>
      </c>
      <c r="D6735" t="s">
        <v>613</v>
      </c>
      <c r="E6735" t="s">
        <v>614</v>
      </c>
      <c r="F6735" t="s">
        <v>410</v>
      </c>
      <c r="G6735">
        <v>191</v>
      </c>
      <c r="H6735">
        <v>191</v>
      </c>
      <c r="I6735">
        <v>191</v>
      </c>
      <c r="J6735">
        <v>191</v>
      </c>
      <c r="K6735">
        <v>0</v>
      </c>
      <c r="L6735">
        <v>0</v>
      </c>
      <c r="M6735">
        <v>176</v>
      </c>
      <c r="N6735">
        <v>12</v>
      </c>
      <c r="O6735">
        <v>3</v>
      </c>
      <c r="P6735">
        <v>0</v>
      </c>
      <c r="Q6735">
        <v>0</v>
      </c>
    </row>
    <row r="6736" spans="1:17" x14ac:dyDescent="0.2">
      <c r="A6736" s="121">
        <v>41455</v>
      </c>
      <c r="B6736" t="s">
        <v>406</v>
      </c>
      <c r="C6736" t="s">
        <v>577</v>
      </c>
      <c r="D6736" t="s">
        <v>590</v>
      </c>
      <c r="E6736" t="s">
        <v>591</v>
      </c>
      <c r="F6736" t="s">
        <v>410</v>
      </c>
      <c r="G6736">
        <v>650</v>
      </c>
      <c r="H6736">
        <v>650</v>
      </c>
      <c r="I6736">
        <v>650</v>
      </c>
      <c r="J6736">
        <v>650</v>
      </c>
      <c r="K6736">
        <v>0</v>
      </c>
      <c r="L6736">
        <v>0</v>
      </c>
      <c r="M6736">
        <v>616</v>
      </c>
      <c r="N6736">
        <v>33</v>
      </c>
      <c r="O6736">
        <v>1</v>
      </c>
      <c r="P6736">
        <v>0</v>
      </c>
      <c r="Q6736">
        <v>0</v>
      </c>
    </row>
    <row r="6737" spans="1:17" x14ac:dyDescent="0.2">
      <c r="A6737" s="121">
        <v>41455</v>
      </c>
      <c r="B6737" t="s">
        <v>406</v>
      </c>
      <c r="C6737" t="s">
        <v>577</v>
      </c>
      <c r="D6737" t="s">
        <v>607</v>
      </c>
      <c r="E6737" t="s">
        <v>608</v>
      </c>
      <c r="F6737" t="s">
        <v>410</v>
      </c>
      <c r="G6737">
        <v>212</v>
      </c>
      <c r="H6737">
        <v>212</v>
      </c>
      <c r="I6737">
        <v>212</v>
      </c>
      <c r="J6737">
        <v>212</v>
      </c>
      <c r="K6737">
        <v>0</v>
      </c>
      <c r="L6737">
        <v>0</v>
      </c>
      <c r="M6737">
        <v>199</v>
      </c>
      <c r="N6737">
        <v>12</v>
      </c>
      <c r="O6737">
        <v>1</v>
      </c>
      <c r="P6737">
        <v>0</v>
      </c>
      <c r="Q6737">
        <v>0</v>
      </c>
    </row>
    <row r="6738" spans="1:17" x14ac:dyDescent="0.2">
      <c r="A6738" s="121">
        <v>41455</v>
      </c>
      <c r="B6738" t="s">
        <v>406</v>
      </c>
      <c r="C6738" t="s">
        <v>577</v>
      </c>
      <c r="D6738" t="s">
        <v>592</v>
      </c>
      <c r="E6738" t="s">
        <v>593</v>
      </c>
      <c r="F6738" t="s">
        <v>410</v>
      </c>
      <c r="G6738">
        <v>547</v>
      </c>
      <c r="H6738">
        <v>547</v>
      </c>
      <c r="I6738">
        <v>547</v>
      </c>
      <c r="J6738">
        <v>547</v>
      </c>
      <c r="K6738">
        <v>0</v>
      </c>
      <c r="L6738">
        <v>1</v>
      </c>
      <c r="M6738">
        <v>512</v>
      </c>
      <c r="N6738">
        <v>32</v>
      </c>
      <c r="O6738">
        <v>2</v>
      </c>
      <c r="P6738">
        <v>0</v>
      </c>
      <c r="Q6738">
        <v>0</v>
      </c>
    </row>
    <row r="6739" spans="1:17" x14ac:dyDescent="0.2">
      <c r="A6739" s="121">
        <v>41455</v>
      </c>
      <c r="B6739" t="s">
        <v>406</v>
      </c>
      <c r="C6739" t="s">
        <v>594</v>
      </c>
      <c r="D6739" t="s">
        <v>595</v>
      </c>
      <c r="E6739" t="s">
        <v>596</v>
      </c>
      <c r="F6739" t="s">
        <v>410</v>
      </c>
      <c r="G6739">
        <v>43</v>
      </c>
      <c r="I6739">
        <v>43</v>
      </c>
    </row>
    <row r="6740" spans="1:17" x14ac:dyDescent="0.2">
      <c r="A6740" s="121">
        <v>41455</v>
      </c>
      <c r="B6740" t="s">
        <v>406</v>
      </c>
      <c r="C6740" t="s">
        <v>594</v>
      </c>
      <c r="D6740" t="s">
        <v>597</v>
      </c>
      <c r="E6740" t="s">
        <v>598</v>
      </c>
      <c r="F6740" t="s">
        <v>413</v>
      </c>
      <c r="G6740">
        <v>620</v>
      </c>
      <c r="H6740">
        <v>620</v>
      </c>
      <c r="I6740">
        <v>604</v>
      </c>
      <c r="J6740">
        <v>604</v>
      </c>
      <c r="K6740">
        <v>132</v>
      </c>
      <c r="L6740">
        <v>0</v>
      </c>
      <c r="M6740">
        <v>476</v>
      </c>
      <c r="N6740">
        <v>6</v>
      </c>
      <c r="O6740">
        <v>6</v>
      </c>
      <c r="P6740">
        <v>0</v>
      </c>
      <c r="Q6740">
        <v>0</v>
      </c>
    </row>
    <row r="6741" spans="1:17" x14ac:dyDescent="0.2">
      <c r="A6741" s="121">
        <v>41455</v>
      </c>
      <c r="B6741" t="s">
        <v>406</v>
      </c>
      <c r="C6741" t="s">
        <v>594</v>
      </c>
      <c r="D6741" t="s">
        <v>599</v>
      </c>
      <c r="E6741" t="s">
        <v>600</v>
      </c>
      <c r="F6741" t="s">
        <v>410</v>
      </c>
      <c r="G6741">
        <v>105</v>
      </c>
      <c r="I6741">
        <v>105</v>
      </c>
    </row>
    <row r="6742" spans="1:17" x14ac:dyDescent="0.2">
      <c r="A6742" s="121">
        <v>41486</v>
      </c>
      <c r="B6742" t="s">
        <v>406</v>
      </c>
      <c r="C6742" t="s">
        <v>407</v>
      </c>
      <c r="D6742" t="s">
        <v>408</v>
      </c>
      <c r="E6742" t="s">
        <v>409</v>
      </c>
      <c r="F6742" t="s">
        <v>410</v>
      </c>
      <c r="G6742">
        <v>305</v>
      </c>
      <c r="I6742">
        <v>305</v>
      </c>
    </row>
    <row r="6743" spans="1:17" x14ac:dyDescent="0.2">
      <c r="A6743" s="121">
        <v>41486</v>
      </c>
      <c r="B6743" t="s">
        <v>406</v>
      </c>
      <c r="C6743" t="s">
        <v>407</v>
      </c>
      <c r="D6743" t="s">
        <v>601</v>
      </c>
      <c r="E6743" t="s">
        <v>602</v>
      </c>
      <c r="F6743" t="s">
        <v>410</v>
      </c>
      <c r="G6743">
        <v>136</v>
      </c>
      <c r="I6743">
        <v>136</v>
      </c>
    </row>
    <row r="6744" spans="1:17" x14ac:dyDescent="0.2">
      <c r="A6744" s="121">
        <v>41486</v>
      </c>
      <c r="B6744" t="s">
        <v>406</v>
      </c>
      <c r="C6744" t="s">
        <v>407</v>
      </c>
      <c r="D6744" t="s">
        <v>411</v>
      </c>
      <c r="E6744" t="s">
        <v>412</v>
      </c>
      <c r="F6744" t="s">
        <v>413</v>
      </c>
      <c r="G6744">
        <v>6485</v>
      </c>
      <c r="H6744">
        <v>6485</v>
      </c>
      <c r="I6744">
        <v>6135</v>
      </c>
      <c r="J6744">
        <v>6135</v>
      </c>
      <c r="K6744">
        <v>2470</v>
      </c>
      <c r="L6744">
        <v>10</v>
      </c>
      <c r="M6744">
        <v>3645</v>
      </c>
      <c r="N6744">
        <v>94</v>
      </c>
      <c r="O6744">
        <v>266</v>
      </c>
      <c r="P6744">
        <v>5</v>
      </c>
      <c r="Q6744">
        <v>0</v>
      </c>
    </row>
    <row r="6745" spans="1:17" x14ac:dyDescent="0.2">
      <c r="A6745" s="121">
        <v>41486</v>
      </c>
      <c r="B6745" t="s">
        <v>406</v>
      </c>
      <c r="C6745" t="s">
        <v>407</v>
      </c>
      <c r="D6745" t="s">
        <v>416</v>
      </c>
      <c r="E6745" t="s">
        <v>417</v>
      </c>
      <c r="F6745" t="s">
        <v>413</v>
      </c>
      <c r="G6745">
        <v>4258</v>
      </c>
      <c r="H6745">
        <v>4258</v>
      </c>
      <c r="I6745">
        <v>4002</v>
      </c>
      <c r="J6745">
        <v>4002</v>
      </c>
      <c r="K6745">
        <v>1347</v>
      </c>
      <c r="L6745">
        <v>5</v>
      </c>
      <c r="M6745">
        <v>2701</v>
      </c>
      <c r="N6745">
        <v>145</v>
      </c>
      <c r="O6745">
        <v>60</v>
      </c>
      <c r="P6745">
        <v>6</v>
      </c>
      <c r="Q6745">
        <v>0</v>
      </c>
    </row>
    <row r="6746" spans="1:17" x14ac:dyDescent="0.2">
      <c r="A6746" s="121">
        <v>41486</v>
      </c>
      <c r="B6746" t="s">
        <v>406</v>
      </c>
      <c r="C6746" t="s">
        <v>407</v>
      </c>
      <c r="D6746" t="s">
        <v>618</v>
      </c>
      <c r="E6746" t="s">
        <v>619</v>
      </c>
      <c r="F6746" t="s">
        <v>410</v>
      </c>
      <c r="G6746">
        <v>167</v>
      </c>
      <c r="I6746">
        <v>167</v>
      </c>
    </row>
    <row r="6747" spans="1:17" x14ac:dyDescent="0.2">
      <c r="A6747" s="121">
        <v>41486</v>
      </c>
      <c r="B6747" t="s">
        <v>406</v>
      </c>
      <c r="C6747" t="s">
        <v>418</v>
      </c>
      <c r="D6747" t="s">
        <v>419</v>
      </c>
      <c r="E6747" t="s">
        <v>420</v>
      </c>
      <c r="F6747" t="s">
        <v>410</v>
      </c>
      <c r="G6747">
        <v>20</v>
      </c>
      <c r="I6747">
        <v>20</v>
      </c>
    </row>
    <row r="6748" spans="1:17" x14ac:dyDescent="0.2">
      <c r="A6748" s="121">
        <v>41486</v>
      </c>
      <c r="B6748" t="s">
        <v>406</v>
      </c>
      <c r="C6748" t="s">
        <v>418</v>
      </c>
      <c r="D6748" t="s">
        <v>421</v>
      </c>
      <c r="E6748" t="s">
        <v>422</v>
      </c>
      <c r="F6748" t="s">
        <v>410</v>
      </c>
      <c r="G6748">
        <v>166</v>
      </c>
      <c r="I6748">
        <v>166</v>
      </c>
    </row>
    <row r="6749" spans="1:17" x14ac:dyDescent="0.2">
      <c r="A6749" s="121">
        <v>41486</v>
      </c>
      <c r="B6749" t="s">
        <v>406</v>
      </c>
      <c r="C6749" t="s">
        <v>418</v>
      </c>
      <c r="D6749" t="s">
        <v>423</v>
      </c>
      <c r="E6749" t="s">
        <v>424</v>
      </c>
      <c r="F6749" t="s">
        <v>410</v>
      </c>
      <c r="G6749">
        <v>37</v>
      </c>
      <c r="I6749">
        <v>37</v>
      </c>
    </row>
    <row r="6750" spans="1:17" x14ac:dyDescent="0.2">
      <c r="A6750" s="121">
        <v>41486</v>
      </c>
      <c r="B6750" t="s">
        <v>406</v>
      </c>
      <c r="C6750" t="s">
        <v>418</v>
      </c>
      <c r="D6750" t="s">
        <v>425</v>
      </c>
      <c r="E6750" t="s">
        <v>426</v>
      </c>
      <c r="F6750" t="s">
        <v>410</v>
      </c>
      <c r="G6750">
        <v>60</v>
      </c>
      <c r="I6750">
        <v>60</v>
      </c>
    </row>
    <row r="6751" spans="1:17" x14ac:dyDescent="0.2">
      <c r="A6751" s="121">
        <v>41486</v>
      </c>
      <c r="B6751" t="s">
        <v>406</v>
      </c>
      <c r="C6751" t="s">
        <v>418</v>
      </c>
      <c r="D6751" t="s">
        <v>427</v>
      </c>
      <c r="E6751" t="s">
        <v>428</v>
      </c>
      <c r="F6751" t="s">
        <v>413</v>
      </c>
      <c r="G6751">
        <v>2170</v>
      </c>
      <c r="H6751">
        <v>2170</v>
      </c>
      <c r="I6751">
        <v>2149</v>
      </c>
      <c r="J6751">
        <v>2149</v>
      </c>
      <c r="K6751">
        <v>722</v>
      </c>
      <c r="L6751">
        <v>2</v>
      </c>
      <c r="M6751">
        <v>1094</v>
      </c>
      <c r="N6751">
        <v>302</v>
      </c>
      <c r="O6751">
        <v>50</v>
      </c>
      <c r="P6751">
        <v>0</v>
      </c>
      <c r="Q6751">
        <v>0</v>
      </c>
    </row>
    <row r="6752" spans="1:17" x14ac:dyDescent="0.2">
      <c r="A6752" s="121">
        <v>41486</v>
      </c>
      <c r="B6752" t="s">
        <v>406</v>
      </c>
      <c r="C6752" t="s">
        <v>429</v>
      </c>
      <c r="D6752" t="s">
        <v>430</v>
      </c>
      <c r="E6752" t="s">
        <v>431</v>
      </c>
      <c r="F6752" t="s">
        <v>410</v>
      </c>
      <c r="G6752">
        <v>38</v>
      </c>
      <c r="I6752">
        <v>38</v>
      </c>
    </row>
    <row r="6753" spans="1:17" x14ac:dyDescent="0.2">
      <c r="A6753" s="121">
        <v>41486</v>
      </c>
      <c r="B6753" t="s">
        <v>406</v>
      </c>
      <c r="C6753" t="s">
        <v>429</v>
      </c>
      <c r="D6753" t="s">
        <v>432</v>
      </c>
      <c r="E6753" t="s">
        <v>433</v>
      </c>
      <c r="F6753" t="s">
        <v>410</v>
      </c>
      <c r="G6753">
        <v>68</v>
      </c>
      <c r="I6753">
        <v>68</v>
      </c>
    </row>
    <row r="6754" spans="1:17" x14ac:dyDescent="0.2">
      <c r="A6754" s="121">
        <v>41486</v>
      </c>
      <c r="B6754" t="s">
        <v>406</v>
      </c>
      <c r="C6754" t="s">
        <v>429</v>
      </c>
      <c r="D6754" t="s">
        <v>434</v>
      </c>
      <c r="E6754" t="s">
        <v>435</v>
      </c>
      <c r="F6754" t="s">
        <v>410</v>
      </c>
      <c r="G6754">
        <v>4</v>
      </c>
      <c r="I6754">
        <v>4</v>
      </c>
    </row>
    <row r="6755" spans="1:17" x14ac:dyDescent="0.2">
      <c r="A6755" s="121">
        <v>41486</v>
      </c>
      <c r="B6755" t="s">
        <v>406</v>
      </c>
      <c r="C6755" t="s">
        <v>429</v>
      </c>
      <c r="D6755" t="s">
        <v>436</v>
      </c>
      <c r="E6755" t="s">
        <v>437</v>
      </c>
      <c r="F6755" t="s">
        <v>410</v>
      </c>
      <c r="G6755">
        <v>22</v>
      </c>
      <c r="H6755">
        <v>22</v>
      </c>
      <c r="I6755">
        <v>22</v>
      </c>
      <c r="J6755">
        <v>22</v>
      </c>
      <c r="K6755">
        <v>0</v>
      </c>
      <c r="L6755">
        <v>0</v>
      </c>
      <c r="M6755">
        <v>19</v>
      </c>
      <c r="N6755">
        <v>3</v>
      </c>
      <c r="O6755">
        <v>0</v>
      </c>
      <c r="P6755">
        <v>0</v>
      </c>
      <c r="Q6755">
        <v>0</v>
      </c>
    </row>
    <row r="6756" spans="1:17" x14ac:dyDescent="0.2">
      <c r="A6756" s="121">
        <v>41486</v>
      </c>
      <c r="B6756" t="s">
        <v>406</v>
      </c>
      <c r="C6756" t="s">
        <v>429</v>
      </c>
      <c r="D6756" t="s">
        <v>438</v>
      </c>
      <c r="E6756" t="s">
        <v>439</v>
      </c>
      <c r="F6756" t="s">
        <v>413</v>
      </c>
      <c r="G6756">
        <v>1167</v>
      </c>
      <c r="H6756">
        <v>1167</v>
      </c>
      <c r="I6756">
        <v>1142</v>
      </c>
      <c r="J6756">
        <v>1142</v>
      </c>
      <c r="K6756">
        <v>103</v>
      </c>
      <c r="L6756">
        <v>3</v>
      </c>
      <c r="M6756">
        <v>1042</v>
      </c>
      <c r="N6756">
        <v>19</v>
      </c>
      <c r="O6756">
        <v>0</v>
      </c>
      <c r="P6756">
        <v>0</v>
      </c>
      <c r="Q6756">
        <v>0</v>
      </c>
    </row>
    <row r="6757" spans="1:17" x14ac:dyDescent="0.2">
      <c r="A6757" s="121">
        <v>41486</v>
      </c>
      <c r="B6757" t="s">
        <v>406</v>
      </c>
      <c r="C6757" t="s">
        <v>429</v>
      </c>
      <c r="D6757" t="s">
        <v>440</v>
      </c>
      <c r="E6757" t="s">
        <v>441</v>
      </c>
      <c r="F6757" t="s">
        <v>413</v>
      </c>
      <c r="G6757">
        <v>3193</v>
      </c>
      <c r="H6757">
        <v>3193</v>
      </c>
      <c r="I6757">
        <v>3008</v>
      </c>
      <c r="J6757">
        <v>3008</v>
      </c>
      <c r="K6757">
        <v>1016</v>
      </c>
      <c r="L6757">
        <v>5</v>
      </c>
      <c r="M6757">
        <v>2071</v>
      </c>
      <c r="N6757">
        <v>101</v>
      </c>
      <c r="O6757">
        <v>0</v>
      </c>
      <c r="P6757">
        <v>1</v>
      </c>
      <c r="Q6757">
        <v>0</v>
      </c>
    </row>
    <row r="6758" spans="1:17" x14ac:dyDescent="0.2">
      <c r="A6758" s="121">
        <v>41486</v>
      </c>
      <c r="B6758" t="s">
        <v>406</v>
      </c>
      <c r="C6758" t="s">
        <v>442</v>
      </c>
      <c r="D6758" t="s">
        <v>443</v>
      </c>
      <c r="E6758" t="s">
        <v>444</v>
      </c>
      <c r="F6758" t="s">
        <v>413</v>
      </c>
      <c r="G6758">
        <v>5586</v>
      </c>
      <c r="H6758">
        <v>5586</v>
      </c>
      <c r="I6758">
        <v>5399</v>
      </c>
      <c r="J6758">
        <v>5399</v>
      </c>
      <c r="K6758">
        <v>1364</v>
      </c>
      <c r="L6758">
        <v>7</v>
      </c>
      <c r="M6758">
        <v>3929</v>
      </c>
      <c r="N6758">
        <v>119</v>
      </c>
      <c r="O6758">
        <v>167</v>
      </c>
      <c r="P6758">
        <v>16</v>
      </c>
      <c r="Q6758">
        <v>0</v>
      </c>
    </row>
    <row r="6759" spans="1:17" x14ac:dyDescent="0.2">
      <c r="A6759" s="121">
        <v>41486</v>
      </c>
      <c r="B6759" t="s">
        <v>406</v>
      </c>
      <c r="C6759" t="s">
        <v>442</v>
      </c>
      <c r="D6759" t="s">
        <v>445</v>
      </c>
      <c r="E6759" t="s">
        <v>446</v>
      </c>
      <c r="F6759" t="s">
        <v>410</v>
      </c>
      <c r="G6759">
        <v>152</v>
      </c>
      <c r="I6759">
        <v>152</v>
      </c>
    </row>
    <row r="6760" spans="1:17" x14ac:dyDescent="0.2">
      <c r="A6760" s="121">
        <v>41486</v>
      </c>
      <c r="B6760" t="s">
        <v>406</v>
      </c>
      <c r="C6760" t="s">
        <v>442</v>
      </c>
      <c r="D6760" t="s">
        <v>447</v>
      </c>
      <c r="E6760" t="s">
        <v>448</v>
      </c>
      <c r="F6760" t="s">
        <v>410</v>
      </c>
      <c r="G6760">
        <v>441</v>
      </c>
      <c r="I6760">
        <v>441</v>
      </c>
    </row>
    <row r="6761" spans="1:17" x14ac:dyDescent="0.2">
      <c r="A6761" s="121">
        <v>41486</v>
      </c>
      <c r="B6761" t="s">
        <v>406</v>
      </c>
      <c r="C6761" t="s">
        <v>442</v>
      </c>
      <c r="D6761" t="s">
        <v>449</v>
      </c>
      <c r="E6761" t="s">
        <v>624</v>
      </c>
      <c r="F6761" t="s">
        <v>410</v>
      </c>
      <c r="G6761">
        <v>1751</v>
      </c>
      <c r="H6761">
        <v>1751</v>
      </c>
      <c r="I6761">
        <v>1751</v>
      </c>
      <c r="J6761">
        <v>1751</v>
      </c>
      <c r="K6761">
        <v>16</v>
      </c>
      <c r="L6761">
        <v>0</v>
      </c>
      <c r="M6761">
        <v>1532</v>
      </c>
      <c r="N6761">
        <v>201</v>
      </c>
      <c r="O6761">
        <v>2</v>
      </c>
      <c r="P6761">
        <v>0</v>
      </c>
      <c r="Q6761">
        <v>0</v>
      </c>
    </row>
    <row r="6762" spans="1:17" x14ac:dyDescent="0.2">
      <c r="A6762" s="121">
        <v>41486</v>
      </c>
      <c r="B6762" t="s">
        <v>406</v>
      </c>
      <c r="C6762" t="s">
        <v>451</v>
      </c>
      <c r="D6762" t="s">
        <v>454</v>
      </c>
      <c r="E6762" t="s">
        <v>621</v>
      </c>
      <c r="F6762" t="s">
        <v>410</v>
      </c>
      <c r="G6762">
        <v>1346</v>
      </c>
      <c r="H6762">
        <v>1346</v>
      </c>
      <c r="I6762">
        <v>1346</v>
      </c>
      <c r="J6762">
        <v>1346</v>
      </c>
      <c r="K6762">
        <v>4</v>
      </c>
      <c r="L6762">
        <v>0</v>
      </c>
      <c r="M6762">
        <v>398</v>
      </c>
      <c r="N6762">
        <v>49</v>
      </c>
      <c r="O6762">
        <v>895</v>
      </c>
      <c r="P6762">
        <v>0</v>
      </c>
      <c r="Q6762">
        <v>0</v>
      </c>
    </row>
    <row r="6763" spans="1:17" x14ac:dyDescent="0.2">
      <c r="A6763" s="121">
        <v>41486</v>
      </c>
      <c r="B6763" t="s">
        <v>406</v>
      </c>
      <c r="C6763" t="s">
        <v>451</v>
      </c>
      <c r="D6763" t="s">
        <v>622</v>
      </c>
      <c r="E6763" t="s">
        <v>623</v>
      </c>
      <c r="F6763" t="s">
        <v>413</v>
      </c>
      <c r="G6763">
        <v>5498</v>
      </c>
      <c r="H6763">
        <v>5498</v>
      </c>
      <c r="I6763">
        <v>5247</v>
      </c>
      <c r="J6763">
        <v>5247</v>
      </c>
      <c r="K6763">
        <v>1309</v>
      </c>
      <c r="L6763">
        <v>8</v>
      </c>
      <c r="M6763">
        <v>1737</v>
      </c>
      <c r="N6763">
        <v>33</v>
      </c>
      <c r="O6763">
        <v>2411</v>
      </c>
      <c r="P6763">
        <v>2</v>
      </c>
      <c r="Q6763">
        <v>0</v>
      </c>
    </row>
    <row r="6764" spans="1:17" x14ac:dyDescent="0.2">
      <c r="A6764" s="121">
        <v>41486</v>
      </c>
      <c r="B6764" t="s">
        <v>406</v>
      </c>
      <c r="C6764" t="s">
        <v>456</v>
      </c>
      <c r="D6764" t="s">
        <v>457</v>
      </c>
      <c r="E6764" t="s">
        <v>458</v>
      </c>
      <c r="F6764" t="s">
        <v>413</v>
      </c>
      <c r="G6764">
        <v>5643</v>
      </c>
      <c r="H6764">
        <v>5643</v>
      </c>
      <c r="I6764">
        <v>5507</v>
      </c>
      <c r="J6764">
        <v>5507</v>
      </c>
      <c r="K6764">
        <v>1311</v>
      </c>
      <c r="L6764">
        <v>19</v>
      </c>
      <c r="M6764">
        <v>3790</v>
      </c>
      <c r="N6764">
        <v>49</v>
      </c>
      <c r="O6764">
        <v>474</v>
      </c>
      <c r="P6764">
        <v>1</v>
      </c>
      <c r="Q6764">
        <v>0</v>
      </c>
    </row>
    <row r="6765" spans="1:17" x14ac:dyDescent="0.2">
      <c r="A6765" s="121">
        <v>41486</v>
      </c>
      <c r="B6765" t="s">
        <v>406</v>
      </c>
      <c r="C6765" t="s">
        <v>456</v>
      </c>
      <c r="D6765" t="s">
        <v>459</v>
      </c>
      <c r="E6765" t="s">
        <v>460</v>
      </c>
      <c r="F6765" t="s">
        <v>413</v>
      </c>
      <c r="G6765">
        <v>1462</v>
      </c>
      <c r="H6765">
        <v>1462</v>
      </c>
      <c r="I6765">
        <v>1454</v>
      </c>
      <c r="J6765">
        <v>1454</v>
      </c>
      <c r="K6765">
        <v>315</v>
      </c>
      <c r="L6765">
        <v>0</v>
      </c>
      <c r="M6765">
        <v>1135</v>
      </c>
      <c r="N6765">
        <v>10</v>
      </c>
      <c r="O6765">
        <v>2</v>
      </c>
      <c r="P6765">
        <v>0</v>
      </c>
      <c r="Q6765">
        <v>0</v>
      </c>
    </row>
    <row r="6766" spans="1:17" x14ac:dyDescent="0.2">
      <c r="A6766" s="121">
        <v>41486</v>
      </c>
      <c r="B6766" t="s">
        <v>406</v>
      </c>
      <c r="C6766" t="s">
        <v>456</v>
      </c>
      <c r="D6766" t="s">
        <v>461</v>
      </c>
      <c r="E6766" t="s">
        <v>462</v>
      </c>
      <c r="F6766" t="s">
        <v>410</v>
      </c>
      <c r="G6766">
        <v>106</v>
      </c>
      <c r="I6766">
        <v>106</v>
      </c>
    </row>
    <row r="6767" spans="1:17" x14ac:dyDescent="0.2">
      <c r="A6767" s="121">
        <v>41486</v>
      </c>
      <c r="B6767" t="s">
        <v>406</v>
      </c>
      <c r="C6767" t="s">
        <v>456</v>
      </c>
      <c r="D6767" t="s">
        <v>463</v>
      </c>
      <c r="E6767" t="s">
        <v>464</v>
      </c>
      <c r="F6767" t="s">
        <v>410</v>
      </c>
      <c r="G6767">
        <v>2</v>
      </c>
      <c r="I6767">
        <v>2</v>
      </c>
    </row>
    <row r="6768" spans="1:17" x14ac:dyDescent="0.2">
      <c r="A6768" s="121">
        <v>41486</v>
      </c>
      <c r="B6768" t="s">
        <v>406</v>
      </c>
      <c r="C6768" t="s">
        <v>456</v>
      </c>
      <c r="D6768" t="s">
        <v>465</v>
      </c>
      <c r="E6768" t="s">
        <v>466</v>
      </c>
      <c r="F6768" t="s">
        <v>410</v>
      </c>
      <c r="G6768">
        <v>78</v>
      </c>
      <c r="I6768">
        <v>78</v>
      </c>
    </row>
    <row r="6769" spans="1:17" x14ac:dyDescent="0.2">
      <c r="A6769" s="121">
        <v>41486</v>
      </c>
      <c r="B6769" t="s">
        <v>406</v>
      </c>
      <c r="C6769" t="s">
        <v>456</v>
      </c>
      <c r="D6769" t="s">
        <v>467</v>
      </c>
      <c r="E6769" t="s">
        <v>468</v>
      </c>
      <c r="F6769" t="s">
        <v>410</v>
      </c>
      <c r="G6769">
        <v>1466</v>
      </c>
      <c r="I6769">
        <v>1465</v>
      </c>
    </row>
    <row r="6770" spans="1:17" x14ac:dyDescent="0.2">
      <c r="A6770" s="121">
        <v>41486</v>
      </c>
      <c r="B6770" t="s">
        <v>406</v>
      </c>
      <c r="C6770" t="s">
        <v>456</v>
      </c>
      <c r="D6770" t="s">
        <v>469</v>
      </c>
      <c r="E6770" t="s">
        <v>470</v>
      </c>
      <c r="F6770" t="s">
        <v>410</v>
      </c>
      <c r="G6770">
        <v>1009</v>
      </c>
      <c r="I6770">
        <v>1008</v>
      </c>
    </row>
    <row r="6771" spans="1:17" x14ac:dyDescent="0.2">
      <c r="A6771" s="121">
        <v>41486</v>
      </c>
      <c r="B6771" t="s">
        <v>406</v>
      </c>
      <c r="C6771" t="s">
        <v>456</v>
      </c>
      <c r="D6771" t="s">
        <v>471</v>
      </c>
      <c r="E6771" t="s">
        <v>472</v>
      </c>
      <c r="F6771" t="s">
        <v>410</v>
      </c>
      <c r="G6771">
        <v>299</v>
      </c>
      <c r="I6771">
        <v>299</v>
      </c>
    </row>
    <row r="6772" spans="1:17" x14ac:dyDescent="0.2">
      <c r="A6772" s="121">
        <v>41486</v>
      </c>
      <c r="B6772" t="s">
        <v>406</v>
      </c>
      <c r="C6772" t="s">
        <v>456</v>
      </c>
      <c r="D6772" t="s">
        <v>473</v>
      </c>
      <c r="E6772" t="s">
        <v>474</v>
      </c>
      <c r="F6772" t="s">
        <v>410</v>
      </c>
      <c r="G6772">
        <v>218</v>
      </c>
      <c r="I6772">
        <v>218</v>
      </c>
    </row>
    <row r="6773" spans="1:17" x14ac:dyDescent="0.2">
      <c r="A6773" s="121">
        <v>41486</v>
      </c>
      <c r="B6773" t="s">
        <v>406</v>
      </c>
      <c r="C6773" t="s">
        <v>456</v>
      </c>
      <c r="D6773" t="s">
        <v>475</v>
      </c>
      <c r="E6773" t="s">
        <v>476</v>
      </c>
      <c r="F6773" t="s">
        <v>410</v>
      </c>
      <c r="G6773">
        <v>380</v>
      </c>
      <c r="I6773">
        <v>378</v>
      </c>
    </row>
    <row r="6774" spans="1:17" x14ac:dyDescent="0.2">
      <c r="A6774" s="121">
        <v>41486</v>
      </c>
      <c r="B6774" t="s">
        <v>406</v>
      </c>
      <c r="C6774" t="s">
        <v>456</v>
      </c>
      <c r="D6774" t="s">
        <v>477</v>
      </c>
      <c r="E6774" t="s">
        <v>478</v>
      </c>
      <c r="F6774" t="s">
        <v>413</v>
      </c>
      <c r="G6774">
        <v>2345</v>
      </c>
      <c r="H6774">
        <v>2345</v>
      </c>
      <c r="I6774">
        <v>2303</v>
      </c>
      <c r="J6774">
        <v>2303</v>
      </c>
      <c r="K6774">
        <v>508</v>
      </c>
      <c r="L6774">
        <v>7</v>
      </c>
      <c r="M6774">
        <v>1789</v>
      </c>
      <c r="N6774">
        <v>26</v>
      </c>
      <c r="O6774">
        <v>15</v>
      </c>
      <c r="P6774">
        <v>1</v>
      </c>
      <c r="Q6774">
        <v>0</v>
      </c>
    </row>
    <row r="6775" spans="1:17" x14ac:dyDescent="0.2">
      <c r="A6775" s="121">
        <v>41486</v>
      </c>
      <c r="B6775" t="s">
        <v>406</v>
      </c>
      <c r="C6775" t="s">
        <v>456</v>
      </c>
      <c r="D6775" t="s">
        <v>479</v>
      </c>
      <c r="E6775" t="s">
        <v>480</v>
      </c>
      <c r="F6775" t="s">
        <v>410</v>
      </c>
      <c r="G6775">
        <v>86</v>
      </c>
      <c r="I6775">
        <v>86</v>
      </c>
    </row>
    <row r="6776" spans="1:17" x14ac:dyDescent="0.2">
      <c r="A6776" s="121">
        <v>41486</v>
      </c>
      <c r="B6776" t="s">
        <v>406</v>
      </c>
      <c r="C6776" t="s">
        <v>456</v>
      </c>
      <c r="D6776" t="s">
        <v>481</v>
      </c>
      <c r="E6776" t="s">
        <v>482</v>
      </c>
      <c r="F6776" t="s">
        <v>410</v>
      </c>
      <c r="G6776">
        <v>53</v>
      </c>
      <c r="I6776">
        <v>53</v>
      </c>
    </row>
    <row r="6777" spans="1:17" x14ac:dyDescent="0.2">
      <c r="A6777" s="121">
        <v>41486</v>
      </c>
      <c r="B6777" t="s">
        <v>406</v>
      </c>
      <c r="C6777" t="s">
        <v>456</v>
      </c>
      <c r="D6777" t="s">
        <v>483</v>
      </c>
      <c r="E6777" t="s">
        <v>484</v>
      </c>
      <c r="F6777" t="s">
        <v>410</v>
      </c>
      <c r="G6777">
        <v>133</v>
      </c>
      <c r="I6777">
        <v>133</v>
      </c>
    </row>
    <row r="6778" spans="1:17" x14ac:dyDescent="0.2">
      <c r="A6778" s="121">
        <v>41486</v>
      </c>
      <c r="B6778" t="s">
        <v>406</v>
      </c>
      <c r="C6778" t="s">
        <v>456</v>
      </c>
      <c r="D6778" t="s">
        <v>485</v>
      </c>
      <c r="E6778" t="s">
        <v>486</v>
      </c>
      <c r="F6778" t="s">
        <v>410</v>
      </c>
      <c r="G6778">
        <v>42</v>
      </c>
      <c r="I6778">
        <v>42</v>
      </c>
    </row>
    <row r="6779" spans="1:17" x14ac:dyDescent="0.2">
      <c r="A6779" s="121">
        <v>41486</v>
      </c>
      <c r="B6779" t="s">
        <v>406</v>
      </c>
      <c r="C6779" t="s">
        <v>456</v>
      </c>
      <c r="D6779" t="s">
        <v>487</v>
      </c>
      <c r="E6779" t="s">
        <v>488</v>
      </c>
      <c r="F6779" t="s">
        <v>410</v>
      </c>
      <c r="G6779">
        <v>42</v>
      </c>
      <c r="I6779">
        <v>42</v>
      </c>
    </row>
    <row r="6780" spans="1:17" x14ac:dyDescent="0.2">
      <c r="A6780" s="121">
        <v>41486</v>
      </c>
      <c r="B6780" t="s">
        <v>406</v>
      </c>
      <c r="C6780" t="s">
        <v>456</v>
      </c>
      <c r="D6780" t="s">
        <v>489</v>
      </c>
      <c r="E6780" t="s">
        <v>490</v>
      </c>
      <c r="F6780" t="s">
        <v>410</v>
      </c>
      <c r="G6780">
        <v>121</v>
      </c>
      <c r="I6780">
        <v>121</v>
      </c>
    </row>
    <row r="6781" spans="1:17" x14ac:dyDescent="0.2">
      <c r="A6781" s="121">
        <v>41486</v>
      </c>
      <c r="B6781" t="s">
        <v>406</v>
      </c>
      <c r="C6781" t="s">
        <v>491</v>
      </c>
      <c r="D6781" t="s">
        <v>492</v>
      </c>
      <c r="E6781" t="s">
        <v>493</v>
      </c>
      <c r="F6781" t="s">
        <v>410</v>
      </c>
      <c r="G6781">
        <v>1392</v>
      </c>
      <c r="H6781">
        <v>1392</v>
      </c>
      <c r="I6781">
        <v>1381</v>
      </c>
      <c r="J6781">
        <v>1381</v>
      </c>
      <c r="K6781">
        <v>245</v>
      </c>
      <c r="L6781">
        <v>0</v>
      </c>
      <c r="M6781">
        <v>1090</v>
      </c>
      <c r="N6781">
        <v>52</v>
      </c>
      <c r="O6781">
        <v>5</v>
      </c>
      <c r="P6781">
        <v>0</v>
      </c>
      <c r="Q6781">
        <v>0</v>
      </c>
    </row>
    <row r="6782" spans="1:17" x14ac:dyDescent="0.2">
      <c r="A6782" s="121">
        <v>41486</v>
      </c>
      <c r="B6782" t="s">
        <v>406</v>
      </c>
      <c r="C6782" t="s">
        <v>491</v>
      </c>
      <c r="D6782" t="s">
        <v>494</v>
      </c>
      <c r="E6782" t="s">
        <v>495</v>
      </c>
      <c r="F6782" t="s">
        <v>413</v>
      </c>
      <c r="G6782">
        <v>2883</v>
      </c>
      <c r="H6782">
        <v>2883</v>
      </c>
      <c r="I6782">
        <v>2741</v>
      </c>
      <c r="J6782">
        <v>2741</v>
      </c>
      <c r="K6782">
        <v>713</v>
      </c>
      <c r="L6782">
        <v>6</v>
      </c>
      <c r="M6782">
        <v>1928</v>
      </c>
      <c r="N6782">
        <v>26</v>
      </c>
      <c r="O6782">
        <v>210</v>
      </c>
      <c r="P6782">
        <v>1</v>
      </c>
      <c r="Q6782">
        <v>0</v>
      </c>
    </row>
    <row r="6783" spans="1:17" x14ac:dyDescent="0.2">
      <c r="A6783" s="121">
        <v>41486</v>
      </c>
      <c r="B6783" t="s">
        <v>406</v>
      </c>
      <c r="C6783" t="s">
        <v>491</v>
      </c>
      <c r="D6783" t="s">
        <v>496</v>
      </c>
      <c r="E6783" t="s">
        <v>497</v>
      </c>
      <c r="F6783" t="s">
        <v>413</v>
      </c>
      <c r="G6783">
        <v>5989</v>
      </c>
      <c r="H6783">
        <v>5989</v>
      </c>
      <c r="I6783">
        <v>5557</v>
      </c>
      <c r="J6783">
        <v>5557</v>
      </c>
      <c r="K6783">
        <v>1903</v>
      </c>
      <c r="L6783">
        <v>14</v>
      </c>
      <c r="M6783">
        <v>3747</v>
      </c>
      <c r="N6783">
        <v>113</v>
      </c>
      <c r="O6783">
        <v>212</v>
      </c>
      <c r="P6783">
        <v>8</v>
      </c>
      <c r="Q6783">
        <v>0</v>
      </c>
    </row>
    <row r="6784" spans="1:17" x14ac:dyDescent="0.2">
      <c r="A6784" s="121">
        <v>41486</v>
      </c>
      <c r="B6784" t="s">
        <v>406</v>
      </c>
      <c r="C6784" t="s">
        <v>491</v>
      </c>
      <c r="D6784" t="s">
        <v>498</v>
      </c>
      <c r="E6784" t="s">
        <v>499</v>
      </c>
      <c r="F6784" t="s">
        <v>413</v>
      </c>
      <c r="G6784">
        <v>7342</v>
      </c>
      <c r="H6784">
        <v>7342</v>
      </c>
      <c r="I6784">
        <v>6704</v>
      </c>
      <c r="J6784">
        <v>6704</v>
      </c>
      <c r="K6784">
        <v>2357</v>
      </c>
      <c r="L6784">
        <v>23</v>
      </c>
      <c r="M6784">
        <v>4424</v>
      </c>
      <c r="N6784">
        <v>65</v>
      </c>
      <c r="O6784">
        <v>473</v>
      </c>
      <c r="P6784">
        <v>2</v>
      </c>
      <c r="Q6784">
        <v>0</v>
      </c>
    </row>
    <row r="6785" spans="1:17" x14ac:dyDescent="0.2">
      <c r="A6785" s="121">
        <v>41486</v>
      </c>
      <c r="B6785" t="s">
        <v>406</v>
      </c>
      <c r="C6785" t="s">
        <v>491</v>
      </c>
      <c r="D6785" t="s">
        <v>500</v>
      </c>
      <c r="E6785" t="s">
        <v>620</v>
      </c>
      <c r="F6785" t="s">
        <v>410</v>
      </c>
      <c r="G6785">
        <v>1515</v>
      </c>
      <c r="H6785">
        <v>1515</v>
      </c>
      <c r="I6785">
        <v>1515</v>
      </c>
      <c r="J6785">
        <v>1515</v>
      </c>
      <c r="K6785">
        <v>1</v>
      </c>
      <c r="L6785">
        <v>4</v>
      </c>
      <c r="M6785">
        <v>1395</v>
      </c>
      <c r="N6785">
        <v>77</v>
      </c>
      <c r="O6785">
        <v>38</v>
      </c>
      <c r="P6785">
        <v>0</v>
      </c>
      <c r="Q6785">
        <v>0</v>
      </c>
    </row>
    <row r="6786" spans="1:17" x14ac:dyDescent="0.2">
      <c r="A6786" s="121">
        <v>41486</v>
      </c>
      <c r="B6786" t="s">
        <v>406</v>
      </c>
      <c r="C6786" t="s">
        <v>491</v>
      </c>
      <c r="D6786" t="s">
        <v>502</v>
      </c>
      <c r="E6786" t="s">
        <v>615</v>
      </c>
      <c r="F6786" t="s">
        <v>410</v>
      </c>
      <c r="G6786">
        <v>2271</v>
      </c>
      <c r="H6786">
        <v>2271</v>
      </c>
      <c r="I6786">
        <v>2271</v>
      </c>
      <c r="J6786">
        <v>2271</v>
      </c>
      <c r="K6786">
        <v>0</v>
      </c>
      <c r="L6786">
        <v>0</v>
      </c>
      <c r="M6786">
        <v>2089</v>
      </c>
      <c r="N6786">
        <v>176</v>
      </c>
      <c r="O6786">
        <v>6</v>
      </c>
      <c r="P6786">
        <v>0</v>
      </c>
      <c r="Q6786">
        <v>0</v>
      </c>
    </row>
    <row r="6787" spans="1:17" x14ac:dyDescent="0.2">
      <c r="A6787" s="121">
        <v>41486</v>
      </c>
      <c r="B6787" t="s">
        <v>406</v>
      </c>
      <c r="C6787" t="s">
        <v>491</v>
      </c>
      <c r="D6787" t="s">
        <v>502</v>
      </c>
      <c r="E6787" t="s">
        <v>503</v>
      </c>
      <c r="F6787" t="s">
        <v>413</v>
      </c>
      <c r="G6787">
        <v>5387</v>
      </c>
      <c r="H6787">
        <v>5387</v>
      </c>
      <c r="I6787">
        <v>5139</v>
      </c>
      <c r="J6787">
        <v>5139</v>
      </c>
      <c r="K6787">
        <v>1591</v>
      </c>
      <c r="L6787">
        <v>10</v>
      </c>
      <c r="M6787">
        <v>3339</v>
      </c>
      <c r="N6787">
        <v>326</v>
      </c>
      <c r="O6787">
        <v>121</v>
      </c>
      <c r="P6787">
        <v>4</v>
      </c>
      <c r="Q6787">
        <v>0</v>
      </c>
    </row>
    <row r="6788" spans="1:17" x14ac:dyDescent="0.2">
      <c r="A6788" s="121">
        <v>41486</v>
      </c>
      <c r="B6788" t="s">
        <v>406</v>
      </c>
      <c r="C6788" t="s">
        <v>491</v>
      </c>
      <c r="D6788" t="s">
        <v>504</v>
      </c>
      <c r="E6788" t="s">
        <v>505</v>
      </c>
      <c r="F6788" t="s">
        <v>413</v>
      </c>
      <c r="G6788">
        <v>4381</v>
      </c>
      <c r="H6788">
        <v>4381</v>
      </c>
      <c r="I6788">
        <v>4118</v>
      </c>
      <c r="J6788">
        <v>4118</v>
      </c>
      <c r="K6788">
        <v>1231</v>
      </c>
      <c r="L6788">
        <v>16</v>
      </c>
      <c r="M6788">
        <v>2889</v>
      </c>
      <c r="N6788">
        <v>149</v>
      </c>
      <c r="O6788">
        <v>96</v>
      </c>
      <c r="P6788">
        <v>4</v>
      </c>
      <c r="Q6788">
        <v>0</v>
      </c>
    </row>
    <row r="6789" spans="1:17" x14ac:dyDescent="0.2">
      <c r="A6789" s="121">
        <v>41486</v>
      </c>
      <c r="B6789" t="s">
        <v>406</v>
      </c>
      <c r="C6789" t="s">
        <v>491</v>
      </c>
      <c r="D6789" t="s">
        <v>506</v>
      </c>
      <c r="E6789" t="s">
        <v>507</v>
      </c>
      <c r="F6789" t="s">
        <v>413</v>
      </c>
      <c r="G6789">
        <v>3448</v>
      </c>
      <c r="H6789">
        <v>3448</v>
      </c>
      <c r="I6789">
        <v>3406</v>
      </c>
      <c r="J6789">
        <v>3406</v>
      </c>
      <c r="K6789">
        <v>936</v>
      </c>
      <c r="L6789">
        <v>0</v>
      </c>
      <c r="M6789">
        <v>2498</v>
      </c>
      <c r="N6789">
        <v>5</v>
      </c>
      <c r="O6789">
        <v>9</v>
      </c>
      <c r="P6789">
        <v>1</v>
      </c>
      <c r="Q6789">
        <v>0</v>
      </c>
    </row>
    <row r="6790" spans="1:17" x14ac:dyDescent="0.2">
      <c r="A6790" s="121">
        <v>41486</v>
      </c>
      <c r="B6790" t="s">
        <v>406</v>
      </c>
      <c r="C6790" t="s">
        <v>491</v>
      </c>
      <c r="D6790" t="s">
        <v>508</v>
      </c>
      <c r="E6790" t="s">
        <v>509</v>
      </c>
      <c r="F6790" t="s">
        <v>413</v>
      </c>
      <c r="G6790">
        <v>5201</v>
      </c>
      <c r="H6790">
        <v>5201</v>
      </c>
      <c r="I6790">
        <v>4627</v>
      </c>
      <c r="J6790">
        <v>4627</v>
      </c>
      <c r="K6790">
        <v>1758</v>
      </c>
      <c r="L6790">
        <v>7</v>
      </c>
      <c r="M6790">
        <v>3144</v>
      </c>
      <c r="N6790">
        <v>128</v>
      </c>
      <c r="O6790">
        <v>164</v>
      </c>
      <c r="P6790">
        <v>12</v>
      </c>
      <c r="Q6790">
        <v>0</v>
      </c>
    </row>
    <row r="6791" spans="1:17" x14ac:dyDescent="0.2">
      <c r="A6791" s="121">
        <v>41486</v>
      </c>
      <c r="B6791" t="s">
        <v>406</v>
      </c>
      <c r="C6791" t="s">
        <v>510</v>
      </c>
      <c r="D6791" t="s">
        <v>513</v>
      </c>
      <c r="E6791" t="s">
        <v>514</v>
      </c>
      <c r="F6791" t="s">
        <v>410</v>
      </c>
      <c r="G6791">
        <v>715</v>
      </c>
      <c r="I6791">
        <v>708</v>
      </c>
    </row>
    <row r="6792" spans="1:17" x14ac:dyDescent="0.2">
      <c r="A6792" s="121">
        <v>41486</v>
      </c>
      <c r="B6792" t="s">
        <v>406</v>
      </c>
      <c r="C6792" t="s">
        <v>510</v>
      </c>
      <c r="D6792" t="s">
        <v>515</v>
      </c>
      <c r="E6792" t="s">
        <v>516</v>
      </c>
      <c r="F6792" t="s">
        <v>410</v>
      </c>
      <c r="G6792">
        <v>124</v>
      </c>
      <c r="I6792">
        <v>122</v>
      </c>
    </row>
    <row r="6793" spans="1:17" x14ac:dyDescent="0.2">
      <c r="A6793" s="121">
        <v>41486</v>
      </c>
      <c r="B6793" t="s">
        <v>406</v>
      </c>
      <c r="C6793" t="s">
        <v>510</v>
      </c>
      <c r="D6793" t="s">
        <v>519</v>
      </c>
      <c r="E6793" t="s">
        <v>520</v>
      </c>
      <c r="F6793" t="s">
        <v>410</v>
      </c>
      <c r="G6793">
        <v>396</v>
      </c>
      <c r="I6793">
        <v>388</v>
      </c>
    </row>
    <row r="6794" spans="1:17" x14ac:dyDescent="0.2">
      <c r="A6794" s="121">
        <v>41486</v>
      </c>
      <c r="B6794" t="s">
        <v>406</v>
      </c>
      <c r="C6794" t="s">
        <v>510</v>
      </c>
      <c r="D6794" t="s">
        <v>523</v>
      </c>
      <c r="E6794" t="s">
        <v>524</v>
      </c>
      <c r="F6794" t="s">
        <v>413</v>
      </c>
      <c r="G6794">
        <v>676</v>
      </c>
      <c r="H6794">
        <v>676</v>
      </c>
      <c r="I6794">
        <v>649</v>
      </c>
      <c r="J6794">
        <v>649</v>
      </c>
      <c r="K6794">
        <v>113</v>
      </c>
      <c r="L6794">
        <v>0</v>
      </c>
      <c r="M6794">
        <v>548</v>
      </c>
      <c r="N6794">
        <v>15</v>
      </c>
      <c r="O6794">
        <v>0</v>
      </c>
      <c r="P6794">
        <v>2</v>
      </c>
      <c r="Q6794">
        <v>1</v>
      </c>
    </row>
    <row r="6795" spans="1:17" x14ac:dyDescent="0.2">
      <c r="A6795" s="121">
        <v>41486</v>
      </c>
      <c r="B6795" t="s">
        <v>406</v>
      </c>
      <c r="C6795" t="s">
        <v>510</v>
      </c>
      <c r="D6795" t="s">
        <v>525</v>
      </c>
      <c r="E6795" t="s">
        <v>526</v>
      </c>
      <c r="F6795" t="s">
        <v>410</v>
      </c>
      <c r="G6795">
        <v>534</v>
      </c>
      <c r="I6795">
        <v>526</v>
      </c>
    </row>
    <row r="6796" spans="1:17" x14ac:dyDescent="0.2">
      <c r="A6796" s="121">
        <v>41486</v>
      </c>
      <c r="B6796" t="s">
        <v>406</v>
      </c>
      <c r="C6796" t="s">
        <v>510</v>
      </c>
      <c r="D6796" t="s">
        <v>527</v>
      </c>
      <c r="E6796" t="s">
        <v>528</v>
      </c>
      <c r="F6796" t="s">
        <v>410</v>
      </c>
      <c r="G6796">
        <v>213</v>
      </c>
      <c r="I6796">
        <v>213</v>
      </c>
    </row>
    <row r="6797" spans="1:17" x14ac:dyDescent="0.2">
      <c r="A6797" s="121">
        <v>41486</v>
      </c>
      <c r="B6797" t="s">
        <v>406</v>
      </c>
      <c r="C6797" t="s">
        <v>510</v>
      </c>
      <c r="D6797" t="s">
        <v>529</v>
      </c>
      <c r="E6797" t="s">
        <v>530</v>
      </c>
      <c r="F6797" t="s">
        <v>413</v>
      </c>
      <c r="G6797">
        <v>600</v>
      </c>
      <c r="H6797">
        <v>600</v>
      </c>
      <c r="I6797">
        <v>579</v>
      </c>
      <c r="J6797">
        <v>579</v>
      </c>
      <c r="K6797">
        <v>184</v>
      </c>
      <c r="L6797">
        <v>0</v>
      </c>
      <c r="M6797">
        <v>414</v>
      </c>
      <c r="N6797">
        <v>2</v>
      </c>
      <c r="O6797">
        <v>0</v>
      </c>
      <c r="P6797">
        <v>1</v>
      </c>
      <c r="Q6797">
        <v>0</v>
      </c>
    </row>
    <row r="6798" spans="1:17" x14ac:dyDescent="0.2">
      <c r="A6798" s="121">
        <v>41486</v>
      </c>
      <c r="B6798" t="s">
        <v>406</v>
      </c>
      <c r="C6798" t="s">
        <v>510</v>
      </c>
      <c r="D6798" t="s">
        <v>531</v>
      </c>
      <c r="E6798" t="s">
        <v>532</v>
      </c>
      <c r="F6798" t="s">
        <v>410</v>
      </c>
      <c r="G6798">
        <v>41</v>
      </c>
      <c r="I6798">
        <v>41</v>
      </c>
    </row>
    <row r="6799" spans="1:17" x14ac:dyDescent="0.2">
      <c r="A6799" s="121">
        <v>41486</v>
      </c>
      <c r="B6799" t="s">
        <v>406</v>
      </c>
      <c r="C6799" t="s">
        <v>510</v>
      </c>
      <c r="D6799" t="s">
        <v>533</v>
      </c>
      <c r="E6799" t="s">
        <v>534</v>
      </c>
      <c r="F6799" t="s">
        <v>413</v>
      </c>
      <c r="G6799">
        <v>2813</v>
      </c>
      <c r="H6799">
        <v>2813</v>
      </c>
      <c r="I6799">
        <v>2755</v>
      </c>
      <c r="J6799">
        <v>2755</v>
      </c>
      <c r="K6799">
        <v>579</v>
      </c>
      <c r="L6799">
        <v>3</v>
      </c>
      <c r="M6799">
        <v>2226</v>
      </c>
      <c r="N6799">
        <v>5</v>
      </c>
      <c r="O6799">
        <v>0</v>
      </c>
      <c r="P6799">
        <v>1</v>
      </c>
      <c r="Q6799">
        <v>0</v>
      </c>
    </row>
    <row r="6800" spans="1:17" x14ac:dyDescent="0.2">
      <c r="A6800" s="121">
        <v>41486</v>
      </c>
      <c r="B6800" t="s">
        <v>406</v>
      </c>
      <c r="C6800" t="s">
        <v>510</v>
      </c>
      <c r="D6800" t="s">
        <v>535</v>
      </c>
      <c r="E6800" t="s">
        <v>536</v>
      </c>
      <c r="F6800" t="s">
        <v>410</v>
      </c>
      <c r="G6800">
        <v>543</v>
      </c>
      <c r="I6800">
        <v>543</v>
      </c>
    </row>
    <row r="6801" spans="1:17" x14ac:dyDescent="0.2">
      <c r="A6801" s="121">
        <v>41486</v>
      </c>
      <c r="B6801" t="s">
        <v>406</v>
      </c>
      <c r="C6801" t="s">
        <v>510</v>
      </c>
      <c r="D6801" t="s">
        <v>537</v>
      </c>
      <c r="E6801" t="s">
        <v>538</v>
      </c>
      <c r="F6801" t="s">
        <v>410</v>
      </c>
      <c r="G6801">
        <v>145</v>
      </c>
      <c r="I6801">
        <v>145</v>
      </c>
    </row>
    <row r="6802" spans="1:17" x14ac:dyDescent="0.2">
      <c r="A6802" s="121">
        <v>41486</v>
      </c>
      <c r="B6802" t="s">
        <v>406</v>
      </c>
      <c r="C6802" t="s">
        <v>510</v>
      </c>
      <c r="D6802" t="s">
        <v>539</v>
      </c>
      <c r="E6802" t="s">
        <v>540</v>
      </c>
      <c r="F6802" t="s">
        <v>413</v>
      </c>
      <c r="G6802">
        <v>962</v>
      </c>
      <c r="H6802">
        <v>962</v>
      </c>
      <c r="I6802">
        <v>922</v>
      </c>
      <c r="J6802">
        <v>922</v>
      </c>
      <c r="K6802">
        <v>124</v>
      </c>
      <c r="L6802">
        <v>3</v>
      </c>
      <c r="M6802">
        <v>830</v>
      </c>
      <c r="N6802">
        <v>5</v>
      </c>
      <c r="O6802">
        <v>0</v>
      </c>
      <c r="P6802">
        <v>1</v>
      </c>
      <c r="Q6802">
        <v>0</v>
      </c>
    </row>
    <row r="6803" spans="1:17" x14ac:dyDescent="0.2">
      <c r="A6803" s="121">
        <v>41486</v>
      </c>
      <c r="B6803" t="s">
        <v>406</v>
      </c>
      <c r="C6803" t="s">
        <v>510</v>
      </c>
      <c r="D6803" t="s">
        <v>541</v>
      </c>
      <c r="E6803" t="s">
        <v>542</v>
      </c>
      <c r="F6803" t="s">
        <v>410</v>
      </c>
      <c r="G6803">
        <v>507</v>
      </c>
      <c r="I6803">
        <v>507</v>
      </c>
    </row>
    <row r="6804" spans="1:17" x14ac:dyDescent="0.2">
      <c r="A6804" s="121">
        <v>41486</v>
      </c>
      <c r="B6804" t="s">
        <v>406</v>
      </c>
      <c r="C6804" t="s">
        <v>510</v>
      </c>
      <c r="D6804" t="s">
        <v>543</v>
      </c>
      <c r="E6804" t="s">
        <v>544</v>
      </c>
      <c r="F6804" t="s">
        <v>410</v>
      </c>
      <c r="G6804">
        <v>323</v>
      </c>
      <c r="I6804">
        <v>323</v>
      </c>
    </row>
    <row r="6805" spans="1:17" x14ac:dyDescent="0.2">
      <c r="A6805" s="121">
        <v>41486</v>
      </c>
      <c r="B6805" t="s">
        <v>406</v>
      </c>
      <c r="C6805" t="s">
        <v>510</v>
      </c>
      <c r="D6805" t="s">
        <v>545</v>
      </c>
      <c r="E6805" t="s">
        <v>546</v>
      </c>
      <c r="F6805" t="s">
        <v>410</v>
      </c>
      <c r="G6805">
        <v>212</v>
      </c>
      <c r="I6805">
        <v>212</v>
      </c>
    </row>
    <row r="6806" spans="1:17" x14ac:dyDescent="0.2">
      <c r="A6806" s="121">
        <v>41486</v>
      </c>
      <c r="B6806" t="s">
        <v>406</v>
      </c>
      <c r="C6806" t="s">
        <v>510</v>
      </c>
      <c r="D6806" t="s">
        <v>547</v>
      </c>
      <c r="E6806" t="s">
        <v>548</v>
      </c>
      <c r="F6806" t="s">
        <v>410</v>
      </c>
      <c r="G6806">
        <v>189</v>
      </c>
      <c r="I6806">
        <v>189</v>
      </c>
    </row>
    <row r="6807" spans="1:17" x14ac:dyDescent="0.2">
      <c r="A6807" s="121">
        <v>41486</v>
      </c>
      <c r="B6807" t="s">
        <v>406</v>
      </c>
      <c r="C6807" t="s">
        <v>510</v>
      </c>
      <c r="D6807" t="s">
        <v>616</v>
      </c>
      <c r="E6807" t="s">
        <v>617</v>
      </c>
      <c r="F6807" t="s">
        <v>410</v>
      </c>
      <c r="G6807">
        <v>356</v>
      </c>
      <c r="I6807">
        <v>353</v>
      </c>
    </row>
    <row r="6808" spans="1:17" x14ac:dyDescent="0.2">
      <c r="A6808" s="121">
        <v>41486</v>
      </c>
      <c r="B6808" t="s">
        <v>406</v>
      </c>
      <c r="C6808" t="s">
        <v>510</v>
      </c>
      <c r="D6808" t="s">
        <v>549</v>
      </c>
      <c r="E6808" t="s">
        <v>550</v>
      </c>
      <c r="F6808" t="s">
        <v>410</v>
      </c>
      <c r="G6808">
        <v>209</v>
      </c>
      <c r="I6808">
        <v>209</v>
      </c>
    </row>
    <row r="6809" spans="1:17" x14ac:dyDescent="0.2">
      <c r="A6809" s="121">
        <v>41486</v>
      </c>
      <c r="B6809" t="s">
        <v>406</v>
      </c>
      <c r="C6809" t="s">
        <v>510</v>
      </c>
      <c r="D6809" t="s">
        <v>625</v>
      </c>
      <c r="E6809" t="s">
        <v>626</v>
      </c>
      <c r="F6809" t="s">
        <v>410</v>
      </c>
      <c r="G6809">
        <v>85</v>
      </c>
      <c r="I6809">
        <v>82</v>
      </c>
    </row>
    <row r="6810" spans="1:17" x14ac:dyDescent="0.2">
      <c r="A6810" s="121">
        <v>41486</v>
      </c>
      <c r="B6810" t="s">
        <v>406</v>
      </c>
      <c r="C6810" t="s">
        <v>551</v>
      </c>
      <c r="D6810" t="s">
        <v>552</v>
      </c>
      <c r="E6810" t="s">
        <v>553</v>
      </c>
      <c r="F6810" t="s">
        <v>413</v>
      </c>
      <c r="G6810">
        <v>5930</v>
      </c>
      <c r="H6810">
        <v>5930</v>
      </c>
      <c r="I6810">
        <v>5677</v>
      </c>
      <c r="J6810">
        <v>5677</v>
      </c>
      <c r="K6810">
        <v>1592</v>
      </c>
      <c r="L6810">
        <v>4</v>
      </c>
      <c r="M6810">
        <v>4057</v>
      </c>
      <c r="N6810">
        <v>169</v>
      </c>
      <c r="O6810">
        <v>108</v>
      </c>
      <c r="P6810">
        <v>7</v>
      </c>
      <c r="Q6810">
        <v>0</v>
      </c>
    </row>
    <row r="6811" spans="1:17" x14ac:dyDescent="0.2">
      <c r="A6811" s="121">
        <v>41486</v>
      </c>
      <c r="B6811" t="s">
        <v>406</v>
      </c>
      <c r="C6811" t="s">
        <v>551</v>
      </c>
      <c r="D6811" t="s">
        <v>554</v>
      </c>
      <c r="E6811" t="s">
        <v>555</v>
      </c>
      <c r="F6811" t="s">
        <v>410</v>
      </c>
      <c r="G6811">
        <v>84</v>
      </c>
      <c r="I6811">
        <v>84</v>
      </c>
    </row>
    <row r="6812" spans="1:17" x14ac:dyDescent="0.2">
      <c r="A6812" s="121">
        <v>41486</v>
      </c>
      <c r="B6812" t="s">
        <v>406</v>
      </c>
      <c r="C6812" t="s">
        <v>551</v>
      </c>
      <c r="D6812" t="s">
        <v>556</v>
      </c>
      <c r="E6812" t="s">
        <v>557</v>
      </c>
      <c r="F6812" t="s">
        <v>410</v>
      </c>
      <c r="G6812">
        <v>96</v>
      </c>
      <c r="I6812">
        <v>96</v>
      </c>
    </row>
    <row r="6813" spans="1:17" x14ac:dyDescent="0.2">
      <c r="A6813" s="121">
        <v>41486</v>
      </c>
      <c r="B6813" t="s">
        <v>406</v>
      </c>
      <c r="C6813" t="s">
        <v>551</v>
      </c>
      <c r="D6813" t="s">
        <v>558</v>
      </c>
      <c r="E6813" t="s">
        <v>559</v>
      </c>
      <c r="F6813" t="s">
        <v>413</v>
      </c>
      <c r="G6813">
        <v>4994</v>
      </c>
      <c r="H6813">
        <v>4994</v>
      </c>
      <c r="I6813">
        <v>4756</v>
      </c>
      <c r="J6813">
        <v>4756</v>
      </c>
      <c r="K6813">
        <v>1383</v>
      </c>
      <c r="L6813">
        <v>3</v>
      </c>
      <c r="M6813">
        <v>3455</v>
      </c>
      <c r="N6813">
        <v>133</v>
      </c>
      <c r="O6813">
        <v>20</v>
      </c>
      <c r="P6813">
        <v>2</v>
      </c>
      <c r="Q6813">
        <v>0</v>
      </c>
    </row>
    <row r="6814" spans="1:17" x14ac:dyDescent="0.2">
      <c r="A6814" s="121">
        <v>41486</v>
      </c>
      <c r="B6814" t="s">
        <v>406</v>
      </c>
      <c r="C6814" t="s">
        <v>551</v>
      </c>
      <c r="D6814" t="s">
        <v>560</v>
      </c>
      <c r="E6814" t="s">
        <v>561</v>
      </c>
      <c r="F6814" t="s">
        <v>413</v>
      </c>
      <c r="G6814">
        <v>5459</v>
      </c>
      <c r="H6814">
        <v>5459</v>
      </c>
      <c r="I6814">
        <v>5044</v>
      </c>
      <c r="J6814">
        <v>5044</v>
      </c>
      <c r="K6814">
        <v>973</v>
      </c>
      <c r="L6814">
        <v>3</v>
      </c>
      <c r="M6814">
        <v>4193</v>
      </c>
      <c r="N6814">
        <v>221</v>
      </c>
      <c r="O6814">
        <v>69</v>
      </c>
      <c r="P6814">
        <v>22</v>
      </c>
      <c r="Q6814">
        <v>1</v>
      </c>
    </row>
    <row r="6815" spans="1:17" x14ac:dyDescent="0.2">
      <c r="A6815" s="121">
        <v>41486</v>
      </c>
      <c r="B6815" t="s">
        <v>406</v>
      </c>
      <c r="C6815" t="s">
        <v>562</v>
      </c>
      <c r="D6815" t="s">
        <v>605</v>
      </c>
      <c r="E6815" t="s">
        <v>606</v>
      </c>
      <c r="F6815" t="s">
        <v>410</v>
      </c>
      <c r="G6815">
        <v>167</v>
      </c>
      <c r="I6815">
        <v>167</v>
      </c>
    </row>
    <row r="6816" spans="1:17" x14ac:dyDescent="0.2">
      <c r="A6816" s="121">
        <v>41486</v>
      </c>
      <c r="B6816" t="s">
        <v>406</v>
      </c>
      <c r="C6816" t="s">
        <v>562</v>
      </c>
      <c r="D6816" t="s">
        <v>563</v>
      </c>
      <c r="E6816" t="s">
        <v>564</v>
      </c>
      <c r="F6816" t="s">
        <v>410</v>
      </c>
      <c r="G6816">
        <v>3503</v>
      </c>
      <c r="H6816">
        <v>3503</v>
      </c>
      <c r="I6816">
        <v>3421</v>
      </c>
      <c r="J6816">
        <v>3421</v>
      </c>
      <c r="K6816">
        <v>1118</v>
      </c>
      <c r="L6816">
        <v>0</v>
      </c>
      <c r="M6816">
        <v>2357</v>
      </c>
      <c r="N6816">
        <v>28</v>
      </c>
      <c r="O6816">
        <v>0</v>
      </c>
      <c r="P6816">
        <v>3</v>
      </c>
      <c r="Q6816">
        <v>2</v>
      </c>
    </row>
    <row r="6817" spans="1:17" x14ac:dyDescent="0.2">
      <c r="A6817" s="121">
        <v>41486</v>
      </c>
      <c r="B6817" t="s">
        <v>406</v>
      </c>
      <c r="C6817" t="s">
        <v>562</v>
      </c>
      <c r="D6817" t="s">
        <v>565</v>
      </c>
      <c r="E6817" t="s">
        <v>566</v>
      </c>
      <c r="F6817" t="s">
        <v>413</v>
      </c>
      <c r="G6817">
        <v>4364</v>
      </c>
      <c r="H6817">
        <v>4364</v>
      </c>
      <c r="I6817">
        <v>4282</v>
      </c>
      <c r="J6817">
        <v>4282</v>
      </c>
      <c r="K6817">
        <v>958</v>
      </c>
      <c r="L6817">
        <v>1</v>
      </c>
      <c r="M6817">
        <v>3301</v>
      </c>
      <c r="N6817">
        <v>104</v>
      </c>
      <c r="O6817">
        <v>0</v>
      </c>
      <c r="P6817">
        <v>0</v>
      </c>
      <c r="Q6817">
        <v>0</v>
      </c>
    </row>
    <row r="6818" spans="1:17" x14ac:dyDescent="0.2">
      <c r="A6818" s="121">
        <v>41486</v>
      </c>
      <c r="B6818" t="s">
        <v>406</v>
      </c>
      <c r="C6818" t="s">
        <v>562</v>
      </c>
      <c r="D6818" t="s">
        <v>567</v>
      </c>
      <c r="E6818" t="s">
        <v>568</v>
      </c>
      <c r="F6818" t="s">
        <v>413</v>
      </c>
      <c r="G6818">
        <v>9782</v>
      </c>
      <c r="H6818">
        <v>9782</v>
      </c>
      <c r="I6818">
        <v>8959</v>
      </c>
      <c r="J6818">
        <v>8959</v>
      </c>
      <c r="K6818">
        <v>2920</v>
      </c>
      <c r="L6818">
        <v>18</v>
      </c>
      <c r="M6818">
        <v>6552</v>
      </c>
      <c r="N6818">
        <v>292</v>
      </c>
      <c r="O6818">
        <v>0</v>
      </c>
      <c r="P6818">
        <v>43</v>
      </c>
      <c r="Q6818">
        <v>0</v>
      </c>
    </row>
    <row r="6819" spans="1:17" x14ac:dyDescent="0.2">
      <c r="A6819" s="121">
        <v>41486</v>
      </c>
      <c r="B6819" t="s">
        <v>406</v>
      </c>
      <c r="C6819" t="s">
        <v>562</v>
      </c>
      <c r="D6819" t="s">
        <v>569</v>
      </c>
      <c r="E6819" t="s">
        <v>570</v>
      </c>
      <c r="F6819" t="s">
        <v>413</v>
      </c>
      <c r="G6819">
        <v>2948</v>
      </c>
      <c r="H6819">
        <v>2948</v>
      </c>
      <c r="I6819">
        <v>2918</v>
      </c>
      <c r="J6819">
        <v>2918</v>
      </c>
      <c r="K6819">
        <v>434</v>
      </c>
      <c r="L6819">
        <v>0</v>
      </c>
      <c r="M6819">
        <v>2514</v>
      </c>
      <c r="N6819">
        <v>0</v>
      </c>
      <c r="O6819">
        <v>0</v>
      </c>
      <c r="P6819">
        <v>0</v>
      </c>
      <c r="Q6819">
        <v>0</v>
      </c>
    </row>
    <row r="6820" spans="1:17" x14ac:dyDescent="0.2">
      <c r="A6820" s="121">
        <v>41486</v>
      </c>
      <c r="B6820" t="s">
        <v>406</v>
      </c>
      <c r="C6820" t="s">
        <v>571</v>
      </c>
      <c r="D6820" t="s">
        <v>572</v>
      </c>
      <c r="E6820" t="s">
        <v>573</v>
      </c>
      <c r="F6820" t="s">
        <v>410</v>
      </c>
      <c r="G6820">
        <v>295</v>
      </c>
      <c r="H6820">
        <v>295</v>
      </c>
      <c r="I6820">
        <v>289</v>
      </c>
      <c r="J6820">
        <v>289</v>
      </c>
      <c r="K6820">
        <v>0</v>
      </c>
      <c r="L6820">
        <v>0</v>
      </c>
      <c r="M6820">
        <v>285</v>
      </c>
      <c r="N6820">
        <v>0</v>
      </c>
      <c r="O6820">
        <v>10</v>
      </c>
      <c r="P6820">
        <v>0</v>
      </c>
      <c r="Q6820">
        <v>0</v>
      </c>
    </row>
    <row r="6821" spans="1:17" x14ac:dyDescent="0.2">
      <c r="A6821" s="121">
        <v>41486</v>
      </c>
      <c r="B6821" t="s">
        <v>406</v>
      </c>
      <c r="C6821" t="s">
        <v>574</v>
      </c>
      <c r="D6821" t="s">
        <v>575</v>
      </c>
      <c r="E6821" t="s">
        <v>576</v>
      </c>
      <c r="F6821" t="s">
        <v>413</v>
      </c>
      <c r="G6821">
        <v>673</v>
      </c>
      <c r="H6821">
        <v>673</v>
      </c>
      <c r="I6821">
        <v>671</v>
      </c>
      <c r="J6821">
        <v>671</v>
      </c>
      <c r="K6821">
        <v>156</v>
      </c>
      <c r="L6821">
        <v>0</v>
      </c>
      <c r="M6821">
        <v>493</v>
      </c>
      <c r="N6821">
        <v>2</v>
      </c>
      <c r="O6821">
        <v>22</v>
      </c>
      <c r="P6821">
        <v>0</v>
      </c>
      <c r="Q6821">
        <v>0</v>
      </c>
    </row>
    <row r="6822" spans="1:17" x14ac:dyDescent="0.2">
      <c r="A6822" s="121">
        <v>41486</v>
      </c>
      <c r="B6822" t="s">
        <v>406</v>
      </c>
      <c r="C6822" t="s">
        <v>577</v>
      </c>
      <c r="D6822" t="s">
        <v>578</v>
      </c>
      <c r="E6822" t="s">
        <v>579</v>
      </c>
      <c r="F6822" t="s">
        <v>413</v>
      </c>
      <c r="G6822">
        <v>3994</v>
      </c>
      <c r="H6822">
        <v>3994</v>
      </c>
      <c r="I6822">
        <v>3957</v>
      </c>
      <c r="J6822">
        <v>3957</v>
      </c>
      <c r="K6822">
        <v>748</v>
      </c>
      <c r="L6822">
        <v>11</v>
      </c>
      <c r="M6822">
        <v>2933</v>
      </c>
      <c r="N6822">
        <v>298</v>
      </c>
      <c r="O6822">
        <v>4</v>
      </c>
      <c r="P6822">
        <v>0</v>
      </c>
      <c r="Q6822">
        <v>0</v>
      </c>
    </row>
    <row r="6823" spans="1:17" x14ac:dyDescent="0.2">
      <c r="A6823" s="121">
        <v>41486</v>
      </c>
      <c r="B6823" t="s">
        <v>406</v>
      </c>
      <c r="C6823" t="s">
        <v>577</v>
      </c>
      <c r="D6823" t="s">
        <v>580</v>
      </c>
      <c r="E6823" t="s">
        <v>581</v>
      </c>
      <c r="F6823" t="s">
        <v>413</v>
      </c>
      <c r="G6823">
        <v>2295</v>
      </c>
      <c r="H6823">
        <v>2295</v>
      </c>
      <c r="I6823">
        <v>2267</v>
      </c>
      <c r="J6823">
        <v>2267</v>
      </c>
      <c r="K6823">
        <v>332</v>
      </c>
      <c r="L6823">
        <v>0</v>
      </c>
      <c r="M6823">
        <v>1506</v>
      </c>
      <c r="N6823">
        <v>402</v>
      </c>
      <c r="O6823">
        <v>55</v>
      </c>
      <c r="P6823">
        <v>0</v>
      </c>
      <c r="Q6823">
        <v>0</v>
      </c>
    </row>
    <row r="6824" spans="1:17" x14ac:dyDescent="0.2">
      <c r="A6824" s="121">
        <v>41486</v>
      </c>
      <c r="B6824" t="s">
        <v>406</v>
      </c>
      <c r="C6824" t="s">
        <v>577</v>
      </c>
      <c r="D6824" t="s">
        <v>609</v>
      </c>
      <c r="E6824" t="s">
        <v>610</v>
      </c>
      <c r="F6824" t="s">
        <v>410</v>
      </c>
      <c r="G6824">
        <v>53</v>
      </c>
      <c r="H6824">
        <v>53</v>
      </c>
      <c r="I6824">
        <v>53</v>
      </c>
      <c r="J6824">
        <v>53</v>
      </c>
      <c r="K6824">
        <v>0</v>
      </c>
      <c r="L6824">
        <v>0</v>
      </c>
      <c r="M6824">
        <v>40</v>
      </c>
      <c r="N6824">
        <v>11</v>
      </c>
      <c r="O6824">
        <v>2</v>
      </c>
      <c r="P6824">
        <v>0</v>
      </c>
      <c r="Q6824">
        <v>0</v>
      </c>
    </row>
    <row r="6825" spans="1:17" x14ac:dyDescent="0.2">
      <c r="A6825" s="121">
        <v>41486</v>
      </c>
      <c r="B6825" t="s">
        <v>406</v>
      </c>
      <c r="C6825" t="s">
        <v>577</v>
      </c>
      <c r="D6825" t="s">
        <v>611</v>
      </c>
      <c r="E6825" t="s">
        <v>612</v>
      </c>
      <c r="F6825" t="s">
        <v>410</v>
      </c>
      <c r="G6825">
        <v>19</v>
      </c>
      <c r="H6825">
        <v>19</v>
      </c>
      <c r="I6825">
        <v>18</v>
      </c>
      <c r="J6825">
        <v>18</v>
      </c>
      <c r="K6825">
        <v>0</v>
      </c>
      <c r="L6825">
        <v>0</v>
      </c>
      <c r="M6825">
        <v>14</v>
      </c>
      <c r="N6825">
        <v>1</v>
      </c>
      <c r="O6825">
        <v>4</v>
      </c>
      <c r="P6825">
        <v>0</v>
      </c>
      <c r="Q6825">
        <v>0</v>
      </c>
    </row>
    <row r="6826" spans="1:17" x14ac:dyDescent="0.2">
      <c r="A6826" s="121">
        <v>41486</v>
      </c>
      <c r="B6826" t="s">
        <v>406</v>
      </c>
      <c r="C6826" t="s">
        <v>577</v>
      </c>
      <c r="D6826" t="s">
        <v>584</v>
      </c>
      <c r="E6826" t="s">
        <v>585</v>
      </c>
      <c r="F6826" t="s">
        <v>410</v>
      </c>
      <c r="G6826">
        <v>299</v>
      </c>
      <c r="H6826">
        <v>299</v>
      </c>
      <c r="I6826">
        <v>299</v>
      </c>
      <c r="J6826">
        <v>299</v>
      </c>
      <c r="K6826">
        <v>1</v>
      </c>
      <c r="L6826">
        <v>0</v>
      </c>
      <c r="M6826">
        <v>278</v>
      </c>
      <c r="N6826">
        <v>18</v>
      </c>
      <c r="O6826">
        <v>2</v>
      </c>
      <c r="P6826">
        <v>0</v>
      </c>
      <c r="Q6826">
        <v>0</v>
      </c>
    </row>
    <row r="6827" spans="1:17" x14ac:dyDescent="0.2">
      <c r="A6827" s="121">
        <v>41486</v>
      </c>
      <c r="B6827" t="s">
        <v>406</v>
      </c>
      <c r="C6827" t="s">
        <v>577</v>
      </c>
      <c r="D6827" t="s">
        <v>586</v>
      </c>
      <c r="E6827" t="s">
        <v>587</v>
      </c>
      <c r="F6827" t="s">
        <v>410</v>
      </c>
      <c r="G6827">
        <v>1313</v>
      </c>
      <c r="H6827">
        <v>1313</v>
      </c>
      <c r="I6827">
        <v>1312</v>
      </c>
      <c r="J6827">
        <v>1312</v>
      </c>
      <c r="K6827">
        <v>0</v>
      </c>
      <c r="L6827">
        <v>0</v>
      </c>
      <c r="M6827">
        <v>1235</v>
      </c>
      <c r="N6827">
        <v>73</v>
      </c>
      <c r="O6827">
        <v>5</v>
      </c>
      <c r="P6827">
        <v>0</v>
      </c>
      <c r="Q6827">
        <v>0</v>
      </c>
    </row>
    <row r="6828" spans="1:17" x14ac:dyDescent="0.2">
      <c r="A6828" s="121">
        <v>41486</v>
      </c>
      <c r="B6828" t="s">
        <v>406</v>
      </c>
      <c r="C6828" t="s">
        <v>577</v>
      </c>
      <c r="D6828" t="s">
        <v>588</v>
      </c>
      <c r="E6828" t="s">
        <v>589</v>
      </c>
      <c r="F6828" t="s">
        <v>410</v>
      </c>
      <c r="G6828">
        <v>288</v>
      </c>
      <c r="H6828">
        <v>288</v>
      </c>
      <c r="I6828">
        <v>288</v>
      </c>
      <c r="J6828">
        <v>288</v>
      </c>
      <c r="K6828">
        <v>0</v>
      </c>
      <c r="L6828">
        <v>0</v>
      </c>
      <c r="M6828">
        <v>272</v>
      </c>
      <c r="N6828">
        <v>15</v>
      </c>
      <c r="O6828">
        <v>1</v>
      </c>
      <c r="P6828">
        <v>0</v>
      </c>
      <c r="Q6828">
        <v>0</v>
      </c>
    </row>
    <row r="6829" spans="1:17" x14ac:dyDescent="0.2">
      <c r="A6829" s="121">
        <v>41486</v>
      </c>
      <c r="B6829" t="s">
        <v>406</v>
      </c>
      <c r="C6829" t="s">
        <v>577</v>
      </c>
      <c r="D6829" t="s">
        <v>613</v>
      </c>
      <c r="E6829" t="s">
        <v>614</v>
      </c>
      <c r="F6829" t="s">
        <v>410</v>
      </c>
      <c r="G6829">
        <v>225</v>
      </c>
      <c r="H6829">
        <v>225</v>
      </c>
      <c r="I6829">
        <v>225</v>
      </c>
      <c r="J6829">
        <v>225</v>
      </c>
      <c r="K6829">
        <v>0</v>
      </c>
      <c r="L6829">
        <v>0</v>
      </c>
      <c r="M6829">
        <v>209</v>
      </c>
      <c r="N6829">
        <v>5</v>
      </c>
      <c r="O6829">
        <v>11</v>
      </c>
      <c r="P6829">
        <v>0</v>
      </c>
      <c r="Q6829">
        <v>0</v>
      </c>
    </row>
    <row r="6830" spans="1:17" x14ac:dyDescent="0.2">
      <c r="A6830" s="121">
        <v>41486</v>
      </c>
      <c r="B6830" t="s">
        <v>406</v>
      </c>
      <c r="C6830" t="s">
        <v>577</v>
      </c>
      <c r="D6830" t="s">
        <v>590</v>
      </c>
      <c r="E6830" t="s">
        <v>591</v>
      </c>
      <c r="F6830" t="s">
        <v>410</v>
      </c>
      <c r="G6830">
        <v>641</v>
      </c>
      <c r="H6830">
        <v>641</v>
      </c>
      <c r="I6830">
        <v>641</v>
      </c>
      <c r="J6830">
        <v>641</v>
      </c>
      <c r="K6830">
        <v>0</v>
      </c>
      <c r="L6830">
        <v>0</v>
      </c>
      <c r="M6830">
        <v>608</v>
      </c>
      <c r="N6830">
        <v>32</v>
      </c>
      <c r="O6830">
        <v>1</v>
      </c>
      <c r="P6830">
        <v>0</v>
      </c>
      <c r="Q6830">
        <v>0</v>
      </c>
    </row>
    <row r="6831" spans="1:17" x14ac:dyDescent="0.2">
      <c r="A6831" s="121">
        <v>41486</v>
      </c>
      <c r="B6831" t="s">
        <v>406</v>
      </c>
      <c r="C6831" t="s">
        <v>577</v>
      </c>
      <c r="D6831" t="s">
        <v>607</v>
      </c>
      <c r="E6831" t="s">
        <v>608</v>
      </c>
      <c r="F6831" t="s">
        <v>410</v>
      </c>
      <c r="G6831">
        <v>342</v>
      </c>
      <c r="H6831">
        <v>342</v>
      </c>
      <c r="I6831">
        <v>342</v>
      </c>
      <c r="J6831">
        <v>342</v>
      </c>
      <c r="K6831">
        <v>0</v>
      </c>
      <c r="L6831">
        <v>0</v>
      </c>
      <c r="M6831">
        <v>309</v>
      </c>
      <c r="N6831">
        <v>32</v>
      </c>
      <c r="O6831">
        <v>1</v>
      </c>
      <c r="P6831">
        <v>0</v>
      </c>
      <c r="Q6831">
        <v>0</v>
      </c>
    </row>
    <row r="6832" spans="1:17" x14ac:dyDescent="0.2">
      <c r="A6832" s="121">
        <v>41486</v>
      </c>
      <c r="B6832" t="s">
        <v>406</v>
      </c>
      <c r="C6832" t="s">
        <v>577</v>
      </c>
      <c r="D6832" t="s">
        <v>592</v>
      </c>
      <c r="E6832" t="s">
        <v>593</v>
      </c>
      <c r="F6832" t="s">
        <v>410</v>
      </c>
      <c r="G6832">
        <v>635</v>
      </c>
      <c r="H6832">
        <v>635</v>
      </c>
      <c r="I6832">
        <v>634</v>
      </c>
      <c r="J6832">
        <v>634</v>
      </c>
      <c r="K6832">
        <v>0</v>
      </c>
      <c r="L6832">
        <v>1</v>
      </c>
      <c r="M6832">
        <v>603</v>
      </c>
      <c r="N6832">
        <v>28</v>
      </c>
      <c r="O6832">
        <v>3</v>
      </c>
      <c r="P6832">
        <v>1</v>
      </c>
      <c r="Q6832">
        <v>0</v>
      </c>
    </row>
    <row r="6833" spans="1:17" x14ac:dyDescent="0.2">
      <c r="A6833" s="121">
        <v>41486</v>
      </c>
      <c r="B6833" t="s">
        <v>406</v>
      </c>
      <c r="C6833" t="s">
        <v>594</v>
      </c>
      <c r="D6833" t="s">
        <v>595</v>
      </c>
      <c r="E6833" t="s">
        <v>596</v>
      </c>
      <c r="F6833" t="s">
        <v>410</v>
      </c>
      <c r="G6833">
        <v>82</v>
      </c>
      <c r="I6833">
        <v>82</v>
      </c>
    </row>
    <row r="6834" spans="1:17" x14ac:dyDescent="0.2">
      <c r="A6834" s="121">
        <v>41486</v>
      </c>
      <c r="B6834" t="s">
        <v>406</v>
      </c>
      <c r="C6834" t="s">
        <v>594</v>
      </c>
      <c r="D6834" t="s">
        <v>597</v>
      </c>
      <c r="E6834" t="s">
        <v>598</v>
      </c>
      <c r="F6834" t="s">
        <v>413</v>
      </c>
      <c r="G6834">
        <v>692</v>
      </c>
      <c r="H6834">
        <v>692</v>
      </c>
      <c r="I6834">
        <v>684</v>
      </c>
      <c r="J6834">
        <v>684</v>
      </c>
      <c r="K6834">
        <v>124</v>
      </c>
      <c r="L6834">
        <v>0</v>
      </c>
      <c r="M6834">
        <v>553</v>
      </c>
      <c r="N6834">
        <v>5</v>
      </c>
      <c r="O6834">
        <v>10</v>
      </c>
      <c r="P6834">
        <v>0</v>
      </c>
      <c r="Q6834">
        <v>0</v>
      </c>
    </row>
    <row r="6835" spans="1:17" x14ac:dyDescent="0.2">
      <c r="A6835" s="121">
        <v>41486</v>
      </c>
      <c r="B6835" t="s">
        <v>406</v>
      </c>
      <c r="C6835" t="s">
        <v>594</v>
      </c>
      <c r="D6835" t="s">
        <v>599</v>
      </c>
      <c r="E6835" t="s">
        <v>600</v>
      </c>
      <c r="F6835" t="s">
        <v>410</v>
      </c>
      <c r="G6835">
        <v>135</v>
      </c>
      <c r="I6835">
        <v>135</v>
      </c>
    </row>
    <row r="6836" spans="1:17" x14ac:dyDescent="0.2">
      <c r="A6836" s="121">
        <v>41517</v>
      </c>
      <c r="B6836" t="s">
        <v>406</v>
      </c>
      <c r="C6836" t="s">
        <v>407</v>
      </c>
      <c r="D6836" t="s">
        <v>408</v>
      </c>
      <c r="E6836" t="s">
        <v>409</v>
      </c>
      <c r="F6836" t="s">
        <v>410</v>
      </c>
      <c r="G6836">
        <v>272</v>
      </c>
      <c r="I6836">
        <v>272</v>
      </c>
    </row>
    <row r="6837" spans="1:17" x14ac:dyDescent="0.2">
      <c r="A6837" s="121">
        <v>41517</v>
      </c>
      <c r="B6837" t="s">
        <v>406</v>
      </c>
      <c r="C6837" t="s">
        <v>407</v>
      </c>
      <c r="D6837" t="s">
        <v>601</v>
      </c>
      <c r="E6837" t="s">
        <v>602</v>
      </c>
      <c r="F6837" t="s">
        <v>410</v>
      </c>
      <c r="G6837">
        <v>77</v>
      </c>
      <c r="I6837">
        <v>77</v>
      </c>
    </row>
    <row r="6838" spans="1:17" x14ac:dyDescent="0.2">
      <c r="A6838" s="121">
        <v>41517</v>
      </c>
      <c r="B6838" t="s">
        <v>406</v>
      </c>
      <c r="C6838" t="s">
        <v>407</v>
      </c>
      <c r="D6838" t="s">
        <v>411</v>
      </c>
      <c r="E6838" t="s">
        <v>412</v>
      </c>
      <c r="F6838" t="s">
        <v>413</v>
      </c>
      <c r="G6838">
        <v>6310</v>
      </c>
      <c r="H6838">
        <v>6310</v>
      </c>
      <c r="I6838">
        <v>5896</v>
      </c>
      <c r="J6838">
        <v>5896</v>
      </c>
      <c r="K6838">
        <v>2407</v>
      </c>
      <c r="L6838">
        <v>6</v>
      </c>
      <c r="M6838">
        <v>3487</v>
      </c>
      <c r="N6838">
        <v>121</v>
      </c>
      <c r="O6838">
        <v>289</v>
      </c>
      <c r="P6838">
        <v>14</v>
      </c>
      <c r="Q6838">
        <v>1</v>
      </c>
    </row>
    <row r="6839" spans="1:17" x14ac:dyDescent="0.2">
      <c r="A6839" s="121">
        <v>41517</v>
      </c>
      <c r="B6839" t="s">
        <v>406</v>
      </c>
      <c r="C6839" t="s">
        <v>407</v>
      </c>
      <c r="D6839" t="s">
        <v>416</v>
      </c>
      <c r="E6839" t="s">
        <v>417</v>
      </c>
      <c r="F6839" t="s">
        <v>413</v>
      </c>
      <c r="G6839">
        <v>4078</v>
      </c>
      <c r="H6839">
        <v>4078</v>
      </c>
      <c r="I6839">
        <v>3884</v>
      </c>
      <c r="J6839">
        <v>3884</v>
      </c>
      <c r="K6839">
        <v>1361</v>
      </c>
      <c r="L6839">
        <v>4</v>
      </c>
      <c r="M6839">
        <v>2531</v>
      </c>
      <c r="N6839">
        <v>129</v>
      </c>
      <c r="O6839">
        <v>53</v>
      </c>
      <c r="P6839">
        <v>3</v>
      </c>
      <c r="Q6839">
        <v>0</v>
      </c>
    </row>
    <row r="6840" spans="1:17" x14ac:dyDescent="0.2">
      <c r="A6840" s="121">
        <v>41517</v>
      </c>
      <c r="B6840" t="s">
        <v>406</v>
      </c>
      <c r="C6840" t="s">
        <v>407</v>
      </c>
      <c r="D6840" t="s">
        <v>618</v>
      </c>
      <c r="E6840" t="s">
        <v>619</v>
      </c>
      <c r="F6840" t="s">
        <v>410</v>
      </c>
      <c r="G6840">
        <v>115</v>
      </c>
      <c r="I6840">
        <v>115</v>
      </c>
    </row>
    <row r="6841" spans="1:17" x14ac:dyDescent="0.2">
      <c r="A6841" s="121">
        <v>41517</v>
      </c>
      <c r="B6841" t="s">
        <v>406</v>
      </c>
      <c r="C6841" t="s">
        <v>418</v>
      </c>
      <c r="D6841" t="s">
        <v>419</v>
      </c>
      <c r="E6841" t="s">
        <v>420</v>
      </c>
      <c r="F6841" t="s">
        <v>410</v>
      </c>
      <c r="G6841">
        <v>18</v>
      </c>
      <c r="I6841">
        <v>18</v>
      </c>
    </row>
    <row r="6842" spans="1:17" x14ac:dyDescent="0.2">
      <c r="A6842" s="121">
        <v>41517</v>
      </c>
      <c r="B6842" t="s">
        <v>406</v>
      </c>
      <c r="C6842" t="s">
        <v>418</v>
      </c>
      <c r="D6842" t="s">
        <v>421</v>
      </c>
      <c r="E6842" t="s">
        <v>422</v>
      </c>
      <c r="F6842" t="s">
        <v>410</v>
      </c>
      <c r="G6842">
        <v>163</v>
      </c>
      <c r="I6842">
        <v>163</v>
      </c>
    </row>
    <row r="6843" spans="1:17" x14ac:dyDescent="0.2">
      <c r="A6843" s="121">
        <v>41517</v>
      </c>
      <c r="B6843" t="s">
        <v>406</v>
      </c>
      <c r="C6843" t="s">
        <v>418</v>
      </c>
      <c r="D6843" t="s">
        <v>423</v>
      </c>
      <c r="E6843" t="s">
        <v>424</v>
      </c>
      <c r="F6843" t="s">
        <v>410</v>
      </c>
      <c r="G6843">
        <v>16</v>
      </c>
      <c r="I6843">
        <v>16</v>
      </c>
    </row>
    <row r="6844" spans="1:17" x14ac:dyDescent="0.2">
      <c r="A6844" s="121">
        <v>41517</v>
      </c>
      <c r="B6844" t="s">
        <v>406</v>
      </c>
      <c r="C6844" t="s">
        <v>418</v>
      </c>
      <c r="D6844" t="s">
        <v>425</v>
      </c>
      <c r="E6844" t="s">
        <v>426</v>
      </c>
      <c r="F6844" t="s">
        <v>410</v>
      </c>
      <c r="G6844">
        <v>56</v>
      </c>
      <c r="I6844">
        <v>56</v>
      </c>
    </row>
    <row r="6845" spans="1:17" x14ac:dyDescent="0.2">
      <c r="A6845" s="121">
        <v>41517</v>
      </c>
      <c r="B6845" t="s">
        <v>406</v>
      </c>
      <c r="C6845" t="s">
        <v>418</v>
      </c>
      <c r="D6845" t="s">
        <v>427</v>
      </c>
      <c r="E6845" t="s">
        <v>428</v>
      </c>
      <c r="F6845" t="s">
        <v>413</v>
      </c>
      <c r="G6845">
        <v>2232</v>
      </c>
      <c r="H6845">
        <v>2232</v>
      </c>
      <c r="I6845">
        <v>2177</v>
      </c>
      <c r="J6845">
        <v>2177</v>
      </c>
      <c r="K6845">
        <v>775</v>
      </c>
      <c r="L6845">
        <v>2</v>
      </c>
      <c r="M6845">
        <v>1122</v>
      </c>
      <c r="N6845">
        <v>282</v>
      </c>
      <c r="O6845">
        <v>51</v>
      </c>
      <c r="P6845">
        <v>1</v>
      </c>
      <c r="Q6845">
        <v>0</v>
      </c>
    </row>
    <row r="6846" spans="1:17" x14ac:dyDescent="0.2">
      <c r="A6846" s="121">
        <v>41517</v>
      </c>
      <c r="B6846" t="s">
        <v>406</v>
      </c>
      <c r="C6846" t="s">
        <v>429</v>
      </c>
      <c r="D6846" t="s">
        <v>430</v>
      </c>
      <c r="E6846" t="s">
        <v>431</v>
      </c>
      <c r="F6846" t="s">
        <v>410</v>
      </c>
      <c r="G6846">
        <v>35</v>
      </c>
      <c r="I6846">
        <v>35</v>
      </c>
    </row>
    <row r="6847" spans="1:17" x14ac:dyDescent="0.2">
      <c r="A6847" s="121">
        <v>41517</v>
      </c>
      <c r="B6847" t="s">
        <v>406</v>
      </c>
      <c r="C6847" t="s">
        <v>429</v>
      </c>
      <c r="D6847" t="s">
        <v>432</v>
      </c>
      <c r="E6847" t="s">
        <v>433</v>
      </c>
      <c r="F6847" t="s">
        <v>410</v>
      </c>
      <c r="G6847">
        <v>80</v>
      </c>
      <c r="I6847">
        <v>80</v>
      </c>
    </row>
    <row r="6848" spans="1:17" x14ac:dyDescent="0.2">
      <c r="A6848" s="121">
        <v>41517</v>
      </c>
      <c r="B6848" t="s">
        <v>406</v>
      </c>
      <c r="C6848" t="s">
        <v>429</v>
      </c>
      <c r="D6848" t="s">
        <v>434</v>
      </c>
      <c r="E6848" t="s">
        <v>435</v>
      </c>
      <c r="F6848" t="s">
        <v>410</v>
      </c>
      <c r="G6848">
        <v>6</v>
      </c>
      <c r="I6848">
        <v>6</v>
      </c>
    </row>
    <row r="6849" spans="1:17" x14ac:dyDescent="0.2">
      <c r="A6849" s="121">
        <v>41517</v>
      </c>
      <c r="B6849" t="s">
        <v>406</v>
      </c>
      <c r="C6849" t="s">
        <v>429</v>
      </c>
      <c r="D6849" t="s">
        <v>436</v>
      </c>
      <c r="E6849" t="s">
        <v>437</v>
      </c>
      <c r="F6849" t="s">
        <v>410</v>
      </c>
      <c r="G6849">
        <v>20</v>
      </c>
      <c r="H6849">
        <v>20</v>
      </c>
      <c r="I6849">
        <v>20</v>
      </c>
      <c r="J6849">
        <v>20</v>
      </c>
      <c r="K6849">
        <v>0</v>
      </c>
      <c r="L6849">
        <v>0</v>
      </c>
      <c r="M6849">
        <v>14</v>
      </c>
      <c r="N6849">
        <v>6</v>
      </c>
      <c r="O6849">
        <v>0</v>
      </c>
      <c r="P6849">
        <v>0</v>
      </c>
      <c r="Q6849">
        <v>0</v>
      </c>
    </row>
    <row r="6850" spans="1:17" x14ac:dyDescent="0.2">
      <c r="A6850" s="121">
        <v>41517</v>
      </c>
      <c r="B6850" t="s">
        <v>406</v>
      </c>
      <c r="C6850" t="s">
        <v>429</v>
      </c>
      <c r="D6850" t="s">
        <v>438</v>
      </c>
      <c r="E6850" t="s">
        <v>439</v>
      </c>
      <c r="F6850" t="s">
        <v>413</v>
      </c>
      <c r="G6850">
        <v>1099</v>
      </c>
      <c r="H6850">
        <v>1099</v>
      </c>
      <c r="I6850">
        <v>1077</v>
      </c>
      <c r="J6850">
        <v>1077</v>
      </c>
      <c r="K6850">
        <v>108</v>
      </c>
      <c r="L6850">
        <v>4</v>
      </c>
      <c r="M6850">
        <v>918</v>
      </c>
      <c r="N6850">
        <v>69</v>
      </c>
      <c r="O6850">
        <v>0</v>
      </c>
      <c r="P6850">
        <v>0</v>
      </c>
      <c r="Q6850">
        <v>0</v>
      </c>
    </row>
    <row r="6851" spans="1:17" x14ac:dyDescent="0.2">
      <c r="A6851" s="121">
        <v>41517</v>
      </c>
      <c r="B6851" t="s">
        <v>406</v>
      </c>
      <c r="C6851" t="s">
        <v>429</v>
      </c>
      <c r="D6851" t="s">
        <v>440</v>
      </c>
      <c r="E6851" t="s">
        <v>441</v>
      </c>
      <c r="F6851" t="s">
        <v>413</v>
      </c>
      <c r="G6851">
        <v>3150</v>
      </c>
      <c r="H6851">
        <v>3150</v>
      </c>
      <c r="I6851">
        <v>2943</v>
      </c>
      <c r="J6851">
        <v>2943</v>
      </c>
      <c r="K6851">
        <v>1023</v>
      </c>
      <c r="L6851">
        <v>5</v>
      </c>
      <c r="M6851">
        <v>2028</v>
      </c>
      <c r="N6851">
        <v>94</v>
      </c>
      <c r="O6851">
        <v>0</v>
      </c>
      <c r="P6851">
        <v>0</v>
      </c>
      <c r="Q6851">
        <v>0</v>
      </c>
    </row>
    <row r="6852" spans="1:17" x14ac:dyDescent="0.2">
      <c r="A6852" s="121">
        <v>41517</v>
      </c>
      <c r="B6852" t="s">
        <v>406</v>
      </c>
      <c r="C6852" t="s">
        <v>442</v>
      </c>
      <c r="D6852" t="s">
        <v>443</v>
      </c>
      <c r="E6852" t="s">
        <v>444</v>
      </c>
      <c r="F6852" t="s">
        <v>413</v>
      </c>
      <c r="G6852">
        <v>5519</v>
      </c>
      <c r="H6852">
        <v>5519</v>
      </c>
      <c r="I6852">
        <v>5320</v>
      </c>
      <c r="J6852">
        <v>5320</v>
      </c>
      <c r="K6852">
        <v>1279</v>
      </c>
      <c r="L6852">
        <v>9</v>
      </c>
      <c r="M6852">
        <v>3949</v>
      </c>
      <c r="N6852">
        <v>101</v>
      </c>
      <c r="O6852">
        <v>181</v>
      </c>
      <c r="P6852">
        <v>7</v>
      </c>
      <c r="Q6852">
        <v>0</v>
      </c>
    </row>
    <row r="6853" spans="1:17" x14ac:dyDescent="0.2">
      <c r="A6853" s="121">
        <v>41517</v>
      </c>
      <c r="B6853" t="s">
        <v>406</v>
      </c>
      <c r="C6853" t="s">
        <v>442</v>
      </c>
      <c r="D6853" t="s">
        <v>445</v>
      </c>
      <c r="E6853" t="s">
        <v>446</v>
      </c>
      <c r="F6853" t="s">
        <v>410</v>
      </c>
      <c r="G6853">
        <v>156</v>
      </c>
      <c r="I6853">
        <v>156</v>
      </c>
    </row>
    <row r="6854" spans="1:17" x14ac:dyDescent="0.2">
      <c r="A6854" s="121">
        <v>41517</v>
      </c>
      <c r="B6854" t="s">
        <v>406</v>
      </c>
      <c r="C6854" t="s">
        <v>442</v>
      </c>
      <c r="D6854" t="s">
        <v>447</v>
      </c>
      <c r="E6854" t="s">
        <v>448</v>
      </c>
      <c r="F6854" t="s">
        <v>410</v>
      </c>
      <c r="G6854">
        <v>388</v>
      </c>
      <c r="I6854">
        <v>388</v>
      </c>
    </row>
    <row r="6855" spans="1:17" x14ac:dyDescent="0.2">
      <c r="A6855" s="121">
        <v>41517</v>
      </c>
      <c r="B6855" t="s">
        <v>406</v>
      </c>
      <c r="C6855" t="s">
        <v>442</v>
      </c>
      <c r="D6855" t="s">
        <v>449</v>
      </c>
      <c r="E6855" t="s">
        <v>624</v>
      </c>
      <c r="F6855" t="s">
        <v>410</v>
      </c>
      <c r="G6855">
        <v>1800</v>
      </c>
      <c r="H6855">
        <v>1800</v>
      </c>
      <c r="I6855">
        <v>1800</v>
      </c>
      <c r="J6855">
        <v>1800</v>
      </c>
      <c r="K6855">
        <v>9</v>
      </c>
      <c r="L6855">
        <v>0</v>
      </c>
      <c r="M6855">
        <v>1577</v>
      </c>
      <c r="N6855">
        <v>210</v>
      </c>
      <c r="O6855">
        <v>4</v>
      </c>
      <c r="P6855">
        <v>0</v>
      </c>
      <c r="Q6855">
        <v>0</v>
      </c>
    </row>
    <row r="6856" spans="1:17" x14ac:dyDescent="0.2">
      <c r="A6856" s="121">
        <v>41517</v>
      </c>
      <c r="B6856" t="s">
        <v>406</v>
      </c>
      <c r="C6856" t="s">
        <v>451</v>
      </c>
      <c r="D6856" t="s">
        <v>454</v>
      </c>
      <c r="E6856" t="s">
        <v>621</v>
      </c>
      <c r="F6856" t="s">
        <v>410</v>
      </c>
      <c r="G6856">
        <v>1408</v>
      </c>
      <c r="H6856">
        <v>1408</v>
      </c>
      <c r="I6856">
        <v>1408</v>
      </c>
      <c r="J6856">
        <v>1408</v>
      </c>
      <c r="K6856">
        <v>3</v>
      </c>
      <c r="L6856">
        <v>0</v>
      </c>
      <c r="M6856">
        <v>368</v>
      </c>
      <c r="N6856">
        <v>64</v>
      </c>
      <c r="O6856">
        <v>973</v>
      </c>
      <c r="P6856">
        <v>0</v>
      </c>
      <c r="Q6856">
        <v>0</v>
      </c>
    </row>
    <row r="6857" spans="1:17" x14ac:dyDescent="0.2">
      <c r="A6857" s="121">
        <v>41517</v>
      </c>
      <c r="B6857" t="s">
        <v>406</v>
      </c>
      <c r="C6857" t="s">
        <v>451</v>
      </c>
      <c r="D6857" t="s">
        <v>622</v>
      </c>
      <c r="E6857" t="s">
        <v>623</v>
      </c>
      <c r="F6857" t="s">
        <v>413</v>
      </c>
      <c r="G6857">
        <v>5578</v>
      </c>
      <c r="H6857">
        <v>5578</v>
      </c>
      <c r="I6857">
        <v>5095</v>
      </c>
      <c r="J6857">
        <v>5095</v>
      </c>
      <c r="K6857">
        <v>1389</v>
      </c>
      <c r="L6857">
        <v>10</v>
      </c>
      <c r="M6857">
        <v>1668</v>
      </c>
      <c r="N6857">
        <v>47</v>
      </c>
      <c r="O6857">
        <v>2464</v>
      </c>
      <c r="P6857">
        <v>13</v>
      </c>
      <c r="Q6857">
        <v>0</v>
      </c>
    </row>
    <row r="6858" spans="1:17" x14ac:dyDescent="0.2">
      <c r="A6858" s="121">
        <v>41517</v>
      </c>
      <c r="B6858" t="s">
        <v>406</v>
      </c>
      <c r="C6858" t="s">
        <v>456</v>
      </c>
      <c r="D6858" t="s">
        <v>457</v>
      </c>
      <c r="E6858" t="s">
        <v>458</v>
      </c>
      <c r="F6858" t="s">
        <v>413</v>
      </c>
      <c r="G6858">
        <v>5382</v>
      </c>
      <c r="H6858">
        <v>5382</v>
      </c>
      <c r="I6858">
        <v>5131</v>
      </c>
      <c r="J6858">
        <v>5131</v>
      </c>
      <c r="K6858">
        <v>1376</v>
      </c>
      <c r="L6858">
        <v>17</v>
      </c>
      <c r="M6858">
        <v>3493</v>
      </c>
      <c r="N6858">
        <v>32</v>
      </c>
      <c r="O6858">
        <v>464</v>
      </c>
      <c r="P6858">
        <v>4</v>
      </c>
      <c r="Q6858">
        <v>1</v>
      </c>
    </row>
    <row r="6859" spans="1:17" x14ac:dyDescent="0.2">
      <c r="A6859" s="121">
        <v>41517</v>
      </c>
      <c r="B6859" t="s">
        <v>406</v>
      </c>
      <c r="C6859" t="s">
        <v>456</v>
      </c>
      <c r="D6859" t="s">
        <v>459</v>
      </c>
      <c r="E6859" t="s">
        <v>460</v>
      </c>
      <c r="F6859" t="s">
        <v>413</v>
      </c>
      <c r="G6859">
        <v>1512</v>
      </c>
      <c r="H6859">
        <v>1512</v>
      </c>
      <c r="I6859">
        <v>1488</v>
      </c>
      <c r="J6859">
        <v>1488</v>
      </c>
      <c r="K6859">
        <v>316</v>
      </c>
      <c r="L6859">
        <v>1</v>
      </c>
      <c r="M6859">
        <v>1188</v>
      </c>
      <c r="N6859">
        <v>3</v>
      </c>
      <c r="O6859">
        <v>4</v>
      </c>
      <c r="P6859">
        <v>0</v>
      </c>
      <c r="Q6859">
        <v>0</v>
      </c>
    </row>
    <row r="6860" spans="1:17" x14ac:dyDescent="0.2">
      <c r="A6860" s="121">
        <v>41517</v>
      </c>
      <c r="B6860" t="s">
        <v>406</v>
      </c>
      <c r="C6860" t="s">
        <v>456</v>
      </c>
      <c r="D6860" t="s">
        <v>461</v>
      </c>
      <c r="E6860" t="s">
        <v>462</v>
      </c>
      <c r="F6860" t="s">
        <v>410</v>
      </c>
      <c r="G6860">
        <v>103</v>
      </c>
      <c r="I6860">
        <v>103</v>
      </c>
    </row>
    <row r="6861" spans="1:17" x14ac:dyDescent="0.2">
      <c r="A6861" s="121">
        <v>41517</v>
      </c>
      <c r="B6861" t="s">
        <v>406</v>
      </c>
      <c r="C6861" t="s">
        <v>456</v>
      </c>
      <c r="D6861" t="s">
        <v>463</v>
      </c>
      <c r="E6861" t="s">
        <v>464</v>
      </c>
      <c r="F6861" t="s">
        <v>410</v>
      </c>
      <c r="G6861">
        <v>14</v>
      </c>
      <c r="I6861">
        <v>14</v>
      </c>
    </row>
    <row r="6862" spans="1:17" x14ac:dyDescent="0.2">
      <c r="A6862" s="121">
        <v>41517</v>
      </c>
      <c r="B6862" t="s">
        <v>406</v>
      </c>
      <c r="C6862" t="s">
        <v>456</v>
      </c>
      <c r="D6862" t="s">
        <v>465</v>
      </c>
      <c r="E6862" t="s">
        <v>466</v>
      </c>
      <c r="F6862" t="s">
        <v>410</v>
      </c>
      <c r="G6862">
        <v>74</v>
      </c>
      <c r="I6862">
        <v>74</v>
      </c>
    </row>
    <row r="6863" spans="1:17" x14ac:dyDescent="0.2">
      <c r="A6863" s="121">
        <v>41517</v>
      </c>
      <c r="B6863" t="s">
        <v>406</v>
      </c>
      <c r="C6863" t="s">
        <v>456</v>
      </c>
      <c r="D6863" t="s">
        <v>467</v>
      </c>
      <c r="E6863" t="s">
        <v>468</v>
      </c>
      <c r="F6863" t="s">
        <v>410</v>
      </c>
      <c r="G6863">
        <v>1346</v>
      </c>
      <c r="I6863">
        <v>1344</v>
      </c>
    </row>
    <row r="6864" spans="1:17" x14ac:dyDescent="0.2">
      <c r="A6864" s="121">
        <v>41517</v>
      </c>
      <c r="B6864" t="s">
        <v>406</v>
      </c>
      <c r="C6864" t="s">
        <v>456</v>
      </c>
      <c r="D6864" t="s">
        <v>469</v>
      </c>
      <c r="E6864" t="s">
        <v>470</v>
      </c>
      <c r="F6864" t="s">
        <v>410</v>
      </c>
      <c r="G6864">
        <v>926</v>
      </c>
      <c r="I6864">
        <v>923</v>
      </c>
    </row>
    <row r="6865" spans="1:17" x14ac:dyDescent="0.2">
      <c r="A6865" s="121">
        <v>41517</v>
      </c>
      <c r="B6865" t="s">
        <v>406</v>
      </c>
      <c r="C6865" t="s">
        <v>456</v>
      </c>
      <c r="D6865" t="s">
        <v>471</v>
      </c>
      <c r="E6865" t="s">
        <v>472</v>
      </c>
      <c r="F6865" t="s">
        <v>410</v>
      </c>
      <c r="G6865">
        <v>300</v>
      </c>
      <c r="I6865">
        <v>297</v>
      </c>
    </row>
    <row r="6866" spans="1:17" x14ac:dyDescent="0.2">
      <c r="A6866" s="121">
        <v>41517</v>
      </c>
      <c r="B6866" t="s">
        <v>406</v>
      </c>
      <c r="C6866" t="s">
        <v>456</v>
      </c>
      <c r="D6866" t="s">
        <v>473</v>
      </c>
      <c r="E6866" t="s">
        <v>474</v>
      </c>
      <c r="F6866" t="s">
        <v>410</v>
      </c>
      <c r="G6866">
        <v>235</v>
      </c>
      <c r="I6866">
        <v>235</v>
      </c>
    </row>
    <row r="6867" spans="1:17" x14ac:dyDescent="0.2">
      <c r="A6867" s="121">
        <v>41517</v>
      </c>
      <c r="B6867" t="s">
        <v>406</v>
      </c>
      <c r="C6867" t="s">
        <v>456</v>
      </c>
      <c r="D6867" t="s">
        <v>475</v>
      </c>
      <c r="E6867" t="s">
        <v>476</v>
      </c>
      <c r="F6867" t="s">
        <v>410</v>
      </c>
      <c r="G6867">
        <v>336</v>
      </c>
      <c r="I6867">
        <v>327</v>
      </c>
    </row>
    <row r="6868" spans="1:17" x14ac:dyDescent="0.2">
      <c r="A6868" s="121">
        <v>41517</v>
      </c>
      <c r="B6868" t="s">
        <v>406</v>
      </c>
      <c r="C6868" t="s">
        <v>456</v>
      </c>
      <c r="D6868" t="s">
        <v>477</v>
      </c>
      <c r="E6868" t="s">
        <v>478</v>
      </c>
      <c r="F6868" t="s">
        <v>413</v>
      </c>
      <c r="G6868">
        <v>2189</v>
      </c>
      <c r="H6868">
        <v>2189</v>
      </c>
      <c r="I6868">
        <v>2067</v>
      </c>
      <c r="J6868">
        <v>2067</v>
      </c>
      <c r="K6868">
        <v>535</v>
      </c>
      <c r="L6868">
        <v>1</v>
      </c>
      <c r="M6868">
        <v>1607</v>
      </c>
      <c r="N6868">
        <v>23</v>
      </c>
      <c r="O6868">
        <v>23</v>
      </c>
      <c r="P6868">
        <v>5</v>
      </c>
      <c r="Q6868">
        <v>1</v>
      </c>
    </row>
    <row r="6869" spans="1:17" x14ac:dyDescent="0.2">
      <c r="A6869" s="121">
        <v>41517</v>
      </c>
      <c r="B6869" t="s">
        <v>406</v>
      </c>
      <c r="C6869" t="s">
        <v>456</v>
      </c>
      <c r="D6869" t="s">
        <v>479</v>
      </c>
      <c r="E6869" t="s">
        <v>480</v>
      </c>
      <c r="F6869" t="s">
        <v>410</v>
      </c>
      <c r="G6869">
        <v>49</v>
      </c>
      <c r="I6869">
        <v>49</v>
      </c>
    </row>
    <row r="6870" spans="1:17" x14ac:dyDescent="0.2">
      <c r="A6870" s="121">
        <v>41517</v>
      </c>
      <c r="B6870" t="s">
        <v>406</v>
      </c>
      <c r="C6870" t="s">
        <v>456</v>
      </c>
      <c r="D6870" t="s">
        <v>481</v>
      </c>
      <c r="E6870" t="s">
        <v>482</v>
      </c>
      <c r="F6870" t="s">
        <v>410</v>
      </c>
      <c r="G6870">
        <v>35</v>
      </c>
      <c r="I6870">
        <v>35</v>
      </c>
    </row>
    <row r="6871" spans="1:17" x14ac:dyDescent="0.2">
      <c r="A6871" s="121">
        <v>41517</v>
      </c>
      <c r="B6871" t="s">
        <v>406</v>
      </c>
      <c r="C6871" t="s">
        <v>456</v>
      </c>
      <c r="D6871" t="s">
        <v>483</v>
      </c>
      <c r="E6871" t="s">
        <v>484</v>
      </c>
      <c r="F6871" t="s">
        <v>410</v>
      </c>
      <c r="G6871">
        <v>114</v>
      </c>
      <c r="I6871">
        <v>114</v>
      </c>
    </row>
    <row r="6872" spans="1:17" x14ac:dyDescent="0.2">
      <c r="A6872" s="121">
        <v>41517</v>
      </c>
      <c r="B6872" t="s">
        <v>406</v>
      </c>
      <c r="C6872" t="s">
        <v>456</v>
      </c>
      <c r="D6872" t="s">
        <v>485</v>
      </c>
      <c r="E6872" t="s">
        <v>486</v>
      </c>
      <c r="F6872" t="s">
        <v>410</v>
      </c>
      <c r="G6872">
        <v>40</v>
      </c>
      <c r="I6872">
        <v>40</v>
      </c>
    </row>
    <row r="6873" spans="1:17" x14ac:dyDescent="0.2">
      <c r="A6873" s="121">
        <v>41517</v>
      </c>
      <c r="B6873" t="s">
        <v>406</v>
      </c>
      <c r="C6873" t="s">
        <v>456</v>
      </c>
      <c r="D6873" t="s">
        <v>487</v>
      </c>
      <c r="E6873" t="s">
        <v>488</v>
      </c>
      <c r="F6873" t="s">
        <v>410</v>
      </c>
      <c r="G6873">
        <v>47</v>
      </c>
      <c r="I6873">
        <v>47</v>
      </c>
    </row>
    <row r="6874" spans="1:17" x14ac:dyDescent="0.2">
      <c r="A6874" s="121">
        <v>41517</v>
      </c>
      <c r="B6874" t="s">
        <v>406</v>
      </c>
      <c r="C6874" t="s">
        <v>456</v>
      </c>
      <c r="D6874" t="s">
        <v>489</v>
      </c>
      <c r="E6874" t="s">
        <v>490</v>
      </c>
      <c r="F6874" t="s">
        <v>410</v>
      </c>
      <c r="G6874">
        <v>140</v>
      </c>
      <c r="I6874">
        <v>140</v>
      </c>
    </row>
    <row r="6875" spans="1:17" x14ac:dyDescent="0.2">
      <c r="A6875" s="121">
        <v>41517</v>
      </c>
      <c r="B6875" t="s">
        <v>406</v>
      </c>
      <c r="C6875" t="s">
        <v>491</v>
      </c>
      <c r="D6875" t="s">
        <v>492</v>
      </c>
      <c r="E6875" t="s">
        <v>493</v>
      </c>
      <c r="F6875" t="s">
        <v>410</v>
      </c>
      <c r="G6875">
        <v>1348</v>
      </c>
      <c r="H6875">
        <v>1348</v>
      </c>
      <c r="I6875">
        <v>1326</v>
      </c>
      <c r="J6875">
        <v>1326</v>
      </c>
      <c r="K6875">
        <v>225</v>
      </c>
      <c r="L6875">
        <v>0</v>
      </c>
      <c r="M6875">
        <v>1048</v>
      </c>
      <c r="N6875">
        <v>65</v>
      </c>
      <c r="O6875">
        <v>10</v>
      </c>
      <c r="P6875">
        <v>0</v>
      </c>
      <c r="Q6875">
        <v>0</v>
      </c>
    </row>
    <row r="6876" spans="1:17" x14ac:dyDescent="0.2">
      <c r="A6876" s="121">
        <v>41517</v>
      </c>
      <c r="B6876" t="s">
        <v>406</v>
      </c>
      <c r="C6876" t="s">
        <v>491</v>
      </c>
      <c r="D6876" t="s">
        <v>494</v>
      </c>
      <c r="E6876" t="s">
        <v>495</v>
      </c>
      <c r="F6876" t="s">
        <v>413</v>
      </c>
      <c r="G6876">
        <v>2829</v>
      </c>
      <c r="H6876">
        <v>2829</v>
      </c>
      <c r="I6876">
        <v>2680</v>
      </c>
      <c r="J6876">
        <v>2680</v>
      </c>
      <c r="K6876">
        <v>766</v>
      </c>
      <c r="L6876">
        <v>4</v>
      </c>
      <c r="M6876">
        <v>1853</v>
      </c>
      <c r="N6876">
        <v>25</v>
      </c>
      <c r="O6876">
        <v>181</v>
      </c>
      <c r="P6876">
        <v>1</v>
      </c>
      <c r="Q6876">
        <v>0</v>
      </c>
    </row>
    <row r="6877" spans="1:17" x14ac:dyDescent="0.2">
      <c r="A6877" s="121">
        <v>41517</v>
      </c>
      <c r="B6877" t="s">
        <v>406</v>
      </c>
      <c r="C6877" t="s">
        <v>491</v>
      </c>
      <c r="D6877" t="s">
        <v>496</v>
      </c>
      <c r="E6877" t="s">
        <v>497</v>
      </c>
      <c r="F6877" t="s">
        <v>413</v>
      </c>
      <c r="G6877">
        <v>5893</v>
      </c>
      <c r="H6877">
        <v>5893</v>
      </c>
      <c r="I6877">
        <v>5483</v>
      </c>
      <c r="J6877">
        <v>5483</v>
      </c>
      <c r="K6877">
        <v>1954</v>
      </c>
      <c r="L6877">
        <v>12</v>
      </c>
      <c r="M6877">
        <v>3693</v>
      </c>
      <c r="N6877">
        <v>96</v>
      </c>
      <c r="O6877">
        <v>138</v>
      </c>
      <c r="P6877">
        <v>5</v>
      </c>
      <c r="Q6877">
        <v>0</v>
      </c>
    </row>
    <row r="6878" spans="1:17" x14ac:dyDescent="0.2">
      <c r="A6878" s="121">
        <v>41517</v>
      </c>
      <c r="B6878" t="s">
        <v>406</v>
      </c>
      <c r="C6878" t="s">
        <v>491</v>
      </c>
      <c r="D6878" t="s">
        <v>498</v>
      </c>
      <c r="E6878" t="s">
        <v>499</v>
      </c>
      <c r="F6878" t="s">
        <v>413</v>
      </c>
      <c r="G6878">
        <v>7308</v>
      </c>
      <c r="H6878">
        <v>7308</v>
      </c>
      <c r="I6878">
        <v>6720</v>
      </c>
      <c r="J6878">
        <v>6720</v>
      </c>
      <c r="K6878">
        <v>2491</v>
      </c>
      <c r="L6878">
        <v>17</v>
      </c>
      <c r="M6878">
        <v>4249</v>
      </c>
      <c r="N6878">
        <v>82</v>
      </c>
      <c r="O6878">
        <v>469</v>
      </c>
      <c r="P6878">
        <v>7</v>
      </c>
      <c r="Q6878">
        <v>0</v>
      </c>
    </row>
    <row r="6879" spans="1:17" x14ac:dyDescent="0.2">
      <c r="A6879" s="121">
        <v>41517</v>
      </c>
      <c r="B6879" t="s">
        <v>406</v>
      </c>
      <c r="C6879" t="s">
        <v>491</v>
      </c>
      <c r="D6879" t="s">
        <v>500</v>
      </c>
      <c r="E6879" t="s">
        <v>620</v>
      </c>
      <c r="F6879" t="s">
        <v>410</v>
      </c>
      <c r="G6879">
        <v>1552</v>
      </c>
      <c r="H6879">
        <v>1552</v>
      </c>
      <c r="I6879">
        <v>1552</v>
      </c>
      <c r="J6879">
        <v>1552</v>
      </c>
      <c r="K6879">
        <v>1</v>
      </c>
      <c r="L6879">
        <v>0</v>
      </c>
      <c r="M6879">
        <v>1451</v>
      </c>
      <c r="N6879">
        <v>78</v>
      </c>
      <c r="O6879">
        <v>22</v>
      </c>
      <c r="P6879">
        <v>0</v>
      </c>
      <c r="Q6879">
        <v>0</v>
      </c>
    </row>
    <row r="6880" spans="1:17" x14ac:dyDescent="0.2">
      <c r="A6880" s="121">
        <v>41517</v>
      </c>
      <c r="B6880" t="s">
        <v>406</v>
      </c>
      <c r="C6880" t="s">
        <v>491</v>
      </c>
      <c r="D6880" t="s">
        <v>502</v>
      </c>
      <c r="E6880" t="s">
        <v>615</v>
      </c>
      <c r="F6880" t="s">
        <v>410</v>
      </c>
      <c r="G6880">
        <v>2256</v>
      </c>
      <c r="H6880">
        <v>2256</v>
      </c>
      <c r="I6880">
        <v>2255</v>
      </c>
      <c r="J6880">
        <v>2255</v>
      </c>
      <c r="K6880">
        <v>1</v>
      </c>
      <c r="L6880">
        <v>0</v>
      </c>
      <c r="M6880">
        <v>2087</v>
      </c>
      <c r="N6880">
        <v>153</v>
      </c>
      <c r="O6880">
        <v>15</v>
      </c>
      <c r="P6880">
        <v>0</v>
      </c>
      <c r="Q6880">
        <v>0</v>
      </c>
    </row>
    <row r="6881" spans="1:17" x14ac:dyDescent="0.2">
      <c r="A6881" s="121">
        <v>41517</v>
      </c>
      <c r="B6881" t="s">
        <v>406</v>
      </c>
      <c r="C6881" t="s">
        <v>491</v>
      </c>
      <c r="D6881" t="s">
        <v>502</v>
      </c>
      <c r="E6881" t="s">
        <v>503</v>
      </c>
      <c r="F6881" t="s">
        <v>413</v>
      </c>
      <c r="G6881">
        <v>5265</v>
      </c>
      <c r="H6881">
        <v>5265</v>
      </c>
      <c r="I6881">
        <v>4900</v>
      </c>
      <c r="J6881">
        <v>4900</v>
      </c>
      <c r="K6881">
        <v>1626</v>
      </c>
      <c r="L6881">
        <v>18</v>
      </c>
      <c r="M6881">
        <v>3206</v>
      </c>
      <c r="N6881">
        <v>302</v>
      </c>
      <c r="O6881">
        <v>113</v>
      </c>
      <c r="P6881">
        <v>13</v>
      </c>
      <c r="Q6881">
        <v>0</v>
      </c>
    </row>
    <row r="6882" spans="1:17" x14ac:dyDescent="0.2">
      <c r="A6882" s="121">
        <v>41517</v>
      </c>
      <c r="B6882" t="s">
        <v>406</v>
      </c>
      <c r="C6882" t="s">
        <v>491</v>
      </c>
      <c r="D6882" t="s">
        <v>504</v>
      </c>
      <c r="E6882" t="s">
        <v>505</v>
      </c>
      <c r="F6882" t="s">
        <v>413</v>
      </c>
      <c r="G6882">
        <v>4164</v>
      </c>
      <c r="H6882">
        <v>4164</v>
      </c>
      <c r="I6882">
        <v>3922</v>
      </c>
      <c r="J6882">
        <v>3922</v>
      </c>
      <c r="K6882">
        <v>1190</v>
      </c>
      <c r="L6882">
        <v>7</v>
      </c>
      <c r="M6882">
        <v>2757</v>
      </c>
      <c r="N6882">
        <v>125</v>
      </c>
      <c r="O6882">
        <v>85</v>
      </c>
      <c r="P6882">
        <v>4</v>
      </c>
      <c r="Q6882">
        <v>0</v>
      </c>
    </row>
    <row r="6883" spans="1:17" x14ac:dyDescent="0.2">
      <c r="A6883" s="121">
        <v>41517</v>
      </c>
      <c r="B6883" t="s">
        <v>406</v>
      </c>
      <c r="C6883" t="s">
        <v>491</v>
      </c>
      <c r="D6883" t="s">
        <v>506</v>
      </c>
      <c r="E6883" t="s">
        <v>507</v>
      </c>
      <c r="F6883" t="s">
        <v>413</v>
      </c>
      <c r="G6883">
        <v>3425</v>
      </c>
      <c r="H6883">
        <v>3425</v>
      </c>
      <c r="I6883">
        <v>3377</v>
      </c>
      <c r="J6883">
        <v>3377</v>
      </c>
      <c r="K6883">
        <v>1008</v>
      </c>
      <c r="L6883">
        <v>4</v>
      </c>
      <c r="M6883">
        <v>2404</v>
      </c>
      <c r="N6883">
        <v>2</v>
      </c>
      <c r="O6883">
        <v>7</v>
      </c>
      <c r="P6883">
        <v>0</v>
      </c>
      <c r="Q6883">
        <v>0</v>
      </c>
    </row>
    <row r="6884" spans="1:17" x14ac:dyDescent="0.2">
      <c r="A6884" s="121">
        <v>41517</v>
      </c>
      <c r="B6884" t="s">
        <v>406</v>
      </c>
      <c r="C6884" t="s">
        <v>491</v>
      </c>
      <c r="D6884" t="s">
        <v>508</v>
      </c>
      <c r="E6884" t="s">
        <v>509</v>
      </c>
      <c r="F6884" t="s">
        <v>413</v>
      </c>
      <c r="G6884">
        <v>5242</v>
      </c>
      <c r="H6884">
        <v>5242</v>
      </c>
      <c r="I6884">
        <v>4589</v>
      </c>
      <c r="J6884">
        <v>4589</v>
      </c>
      <c r="K6884">
        <v>1744</v>
      </c>
      <c r="L6884">
        <v>23</v>
      </c>
      <c r="M6884">
        <v>3152</v>
      </c>
      <c r="N6884">
        <v>133</v>
      </c>
      <c r="O6884">
        <v>190</v>
      </c>
      <c r="P6884">
        <v>27</v>
      </c>
      <c r="Q6884">
        <v>0</v>
      </c>
    </row>
    <row r="6885" spans="1:17" x14ac:dyDescent="0.2">
      <c r="A6885" s="121">
        <v>41517</v>
      </c>
      <c r="B6885" t="s">
        <v>406</v>
      </c>
      <c r="C6885" t="s">
        <v>510</v>
      </c>
      <c r="D6885" t="s">
        <v>513</v>
      </c>
      <c r="E6885" t="s">
        <v>514</v>
      </c>
      <c r="F6885" t="s">
        <v>410</v>
      </c>
      <c r="G6885">
        <v>640</v>
      </c>
      <c r="I6885">
        <v>638</v>
      </c>
    </row>
    <row r="6886" spans="1:17" x14ac:dyDescent="0.2">
      <c r="A6886" s="121">
        <v>41517</v>
      </c>
      <c r="B6886" t="s">
        <v>406</v>
      </c>
      <c r="C6886" t="s">
        <v>510</v>
      </c>
      <c r="D6886" t="s">
        <v>515</v>
      </c>
      <c r="E6886" t="s">
        <v>516</v>
      </c>
      <c r="F6886" t="s">
        <v>410</v>
      </c>
      <c r="G6886">
        <v>136</v>
      </c>
      <c r="I6886">
        <v>134</v>
      </c>
    </row>
    <row r="6887" spans="1:17" x14ac:dyDescent="0.2">
      <c r="A6887" s="121">
        <v>41517</v>
      </c>
      <c r="B6887" t="s">
        <v>406</v>
      </c>
      <c r="C6887" t="s">
        <v>510</v>
      </c>
      <c r="D6887" t="s">
        <v>519</v>
      </c>
      <c r="E6887" t="s">
        <v>520</v>
      </c>
      <c r="F6887" t="s">
        <v>410</v>
      </c>
      <c r="G6887">
        <v>440</v>
      </c>
      <c r="I6887">
        <v>422</v>
      </c>
    </row>
    <row r="6888" spans="1:17" x14ac:dyDescent="0.2">
      <c r="A6888" s="121">
        <v>41517</v>
      </c>
      <c r="B6888" t="s">
        <v>406</v>
      </c>
      <c r="C6888" t="s">
        <v>510</v>
      </c>
      <c r="D6888" t="s">
        <v>523</v>
      </c>
      <c r="E6888" t="s">
        <v>524</v>
      </c>
      <c r="F6888" t="s">
        <v>413</v>
      </c>
      <c r="G6888">
        <v>643</v>
      </c>
      <c r="H6888">
        <v>643</v>
      </c>
      <c r="I6888">
        <v>625</v>
      </c>
      <c r="J6888">
        <v>625</v>
      </c>
      <c r="K6888">
        <v>111</v>
      </c>
      <c r="L6888">
        <v>1</v>
      </c>
      <c r="M6888">
        <v>523</v>
      </c>
      <c r="N6888">
        <v>8</v>
      </c>
      <c r="O6888">
        <v>0</v>
      </c>
      <c r="P6888">
        <v>0</v>
      </c>
      <c r="Q6888">
        <v>0</v>
      </c>
    </row>
    <row r="6889" spans="1:17" x14ac:dyDescent="0.2">
      <c r="A6889" s="121">
        <v>41517</v>
      </c>
      <c r="B6889" t="s">
        <v>406</v>
      </c>
      <c r="C6889" t="s">
        <v>510</v>
      </c>
      <c r="D6889" t="s">
        <v>525</v>
      </c>
      <c r="E6889" t="s">
        <v>526</v>
      </c>
      <c r="F6889" t="s">
        <v>410</v>
      </c>
      <c r="G6889">
        <v>453</v>
      </c>
      <c r="I6889">
        <v>433</v>
      </c>
    </row>
    <row r="6890" spans="1:17" x14ac:dyDescent="0.2">
      <c r="A6890" s="121">
        <v>41517</v>
      </c>
      <c r="B6890" t="s">
        <v>406</v>
      </c>
      <c r="C6890" t="s">
        <v>510</v>
      </c>
      <c r="D6890" t="s">
        <v>527</v>
      </c>
      <c r="E6890" t="s">
        <v>528</v>
      </c>
      <c r="F6890" t="s">
        <v>410</v>
      </c>
      <c r="G6890">
        <v>235</v>
      </c>
      <c r="I6890">
        <v>234</v>
      </c>
    </row>
    <row r="6891" spans="1:17" x14ac:dyDescent="0.2">
      <c r="A6891" s="121">
        <v>41517</v>
      </c>
      <c r="B6891" t="s">
        <v>406</v>
      </c>
      <c r="C6891" t="s">
        <v>510</v>
      </c>
      <c r="D6891" t="s">
        <v>529</v>
      </c>
      <c r="E6891" t="s">
        <v>530</v>
      </c>
      <c r="F6891" t="s">
        <v>413</v>
      </c>
      <c r="G6891">
        <v>593</v>
      </c>
      <c r="H6891">
        <v>593</v>
      </c>
      <c r="I6891">
        <v>566</v>
      </c>
      <c r="J6891">
        <v>566</v>
      </c>
      <c r="K6891">
        <v>153</v>
      </c>
      <c r="L6891">
        <v>0</v>
      </c>
      <c r="M6891">
        <v>436</v>
      </c>
      <c r="N6891">
        <v>4</v>
      </c>
      <c r="O6891">
        <v>0</v>
      </c>
      <c r="P6891">
        <v>1</v>
      </c>
      <c r="Q6891">
        <v>0</v>
      </c>
    </row>
    <row r="6892" spans="1:17" x14ac:dyDescent="0.2">
      <c r="A6892" s="121">
        <v>41517</v>
      </c>
      <c r="B6892" t="s">
        <v>406</v>
      </c>
      <c r="C6892" t="s">
        <v>510</v>
      </c>
      <c r="D6892" t="s">
        <v>531</v>
      </c>
      <c r="E6892" t="s">
        <v>532</v>
      </c>
      <c r="F6892" t="s">
        <v>410</v>
      </c>
      <c r="G6892">
        <v>41</v>
      </c>
      <c r="I6892">
        <v>41</v>
      </c>
    </row>
    <row r="6893" spans="1:17" x14ac:dyDescent="0.2">
      <c r="A6893" s="121">
        <v>41517</v>
      </c>
      <c r="B6893" t="s">
        <v>406</v>
      </c>
      <c r="C6893" t="s">
        <v>510</v>
      </c>
      <c r="D6893" t="s">
        <v>533</v>
      </c>
      <c r="E6893" t="s">
        <v>534</v>
      </c>
      <c r="F6893" t="s">
        <v>413</v>
      </c>
      <c r="G6893">
        <v>2938</v>
      </c>
      <c r="H6893">
        <v>2938</v>
      </c>
      <c r="I6893">
        <v>2826</v>
      </c>
      <c r="J6893">
        <v>2826</v>
      </c>
      <c r="K6893">
        <v>643</v>
      </c>
      <c r="L6893">
        <v>3</v>
      </c>
      <c r="M6893">
        <v>2285</v>
      </c>
      <c r="N6893">
        <v>7</v>
      </c>
      <c r="O6893">
        <v>0</v>
      </c>
      <c r="P6893">
        <v>1</v>
      </c>
      <c r="Q6893">
        <v>1</v>
      </c>
    </row>
    <row r="6894" spans="1:17" x14ac:dyDescent="0.2">
      <c r="A6894" s="121">
        <v>41517</v>
      </c>
      <c r="B6894" t="s">
        <v>406</v>
      </c>
      <c r="C6894" t="s">
        <v>510</v>
      </c>
      <c r="D6894" t="s">
        <v>535</v>
      </c>
      <c r="E6894" t="s">
        <v>536</v>
      </c>
      <c r="F6894" t="s">
        <v>410</v>
      </c>
      <c r="G6894">
        <v>518</v>
      </c>
      <c r="I6894">
        <v>518</v>
      </c>
    </row>
    <row r="6895" spans="1:17" x14ac:dyDescent="0.2">
      <c r="A6895" s="121">
        <v>41517</v>
      </c>
      <c r="B6895" t="s">
        <v>406</v>
      </c>
      <c r="C6895" t="s">
        <v>510</v>
      </c>
      <c r="D6895" t="s">
        <v>537</v>
      </c>
      <c r="E6895" t="s">
        <v>538</v>
      </c>
      <c r="F6895" t="s">
        <v>410</v>
      </c>
      <c r="G6895">
        <v>135</v>
      </c>
      <c r="I6895">
        <v>134</v>
      </c>
    </row>
    <row r="6896" spans="1:17" x14ac:dyDescent="0.2">
      <c r="A6896" s="121">
        <v>41517</v>
      </c>
      <c r="B6896" t="s">
        <v>406</v>
      </c>
      <c r="C6896" t="s">
        <v>510</v>
      </c>
      <c r="D6896" t="s">
        <v>539</v>
      </c>
      <c r="E6896" t="s">
        <v>540</v>
      </c>
      <c r="F6896" t="s">
        <v>413</v>
      </c>
      <c r="G6896">
        <v>938</v>
      </c>
      <c r="H6896">
        <v>938</v>
      </c>
      <c r="I6896">
        <v>922</v>
      </c>
      <c r="J6896">
        <v>922</v>
      </c>
      <c r="K6896">
        <v>152</v>
      </c>
      <c r="L6896">
        <v>0</v>
      </c>
      <c r="M6896">
        <v>783</v>
      </c>
      <c r="N6896">
        <v>3</v>
      </c>
      <c r="O6896">
        <v>0</v>
      </c>
      <c r="P6896">
        <v>1</v>
      </c>
      <c r="Q6896">
        <v>0</v>
      </c>
    </row>
    <row r="6897" spans="1:17" x14ac:dyDescent="0.2">
      <c r="A6897" s="121">
        <v>41517</v>
      </c>
      <c r="B6897" t="s">
        <v>406</v>
      </c>
      <c r="C6897" t="s">
        <v>510</v>
      </c>
      <c r="D6897" t="s">
        <v>541</v>
      </c>
      <c r="E6897" t="s">
        <v>542</v>
      </c>
      <c r="F6897" t="s">
        <v>410</v>
      </c>
      <c r="G6897">
        <v>455</v>
      </c>
      <c r="I6897">
        <v>455</v>
      </c>
    </row>
    <row r="6898" spans="1:17" x14ac:dyDescent="0.2">
      <c r="A6898" s="121">
        <v>41517</v>
      </c>
      <c r="B6898" t="s">
        <v>406</v>
      </c>
      <c r="C6898" t="s">
        <v>510</v>
      </c>
      <c r="D6898" t="s">
        <v>543</v>
      </c>
      <c r="E6898" t="s">
        <v>544</v>
      </c>
      <c r="F6898" t="s">
        <v>410</v>
      </c>
      <c r="G6898">
        <v>315</v>
      </c>
      <c r="I6898">
        <v>315</v>
      </c>
    </row>
    <row r="6899" spans="1:17" x14ac:dyDescent="0.2">
      <c r="A6899" s="121">
        <v>41517</v>
      </c>
      <c r="B6899" t="s">
        <v>406</v>
      </c>
      <c r="C6899" t="s">
        <v>510</v>
      </c>
      <c r="D6899" t="s">
        <v>545</v>
      </c>
      <c r="E6899" t="s">
        <v>546</v>
      </c>
      <c r="F6899" t="s">
        <v>410</v>
      </c>
      <c r="G6899">
        <v>206</v>
      </c>
      <c r="I6899">
        <v>206</v>
      </c>
    </row>
    <row r="6900" spans="1:17" x14ac:dyDescent="0.2">
      <c r="A6900" s="121">
        <v>41517</v>
      </c>
      <c r="B6900" t="s">
        <v>406</v>
      </c>
      <c r="C6900" t="s">
        <v>510</v>
      </c>
      <c r="D6900" t="s">
        <v>547</v>
      </c>
      <c r="E6900" t="s">
        <v>548</v>
      </c>
      <c r="F6900" t="s">
        <v>410</v>
      </c>
      <c r="G6900">
        <v>175</v>
      </c>
      <c r="I6900">
        <v>175</v>
      </c>
    </row>
    <row r="6901" spans="1:17" x14ac:dyDescent="0.2">
      <c r="A6901" s="121">
        <v>41517</v>
      </c>
      <c r="B6901" t="s">
        <v>406</v>
      </c>
      <c r="C6901" t="s">
        <v>510</v>
      </c>
      <c r="D6901" t="s">
        <v>616</v>
      </c>
      <c r="E6901" t="s">
        <v>617</v>
      </c>
      <c r="F6901" t="s">
        <v>410</v>
      </c>
      <c r="G6901">
        <v>366</v>
      </c>
      <c r="I6901">
        <v>361</v>
      </c>
    </row>
    <row r="6902" spans="1:17" x14ac:dyDescent="0.2">
      <c r="A6902" s="121">
        <v>41517</v>
      </c>
      <c r="B6902" t="s">
        <v>406</v>
      </c>
      <c r="C6902" t="s">
        <v>510</v>
      </c>
      <c r="D6902" t="s">
        <v>549</v>
      </c>
      <c r="E6902" t="s">
        <v>550</v>
      </c>
      <c r="F6902" t="s">
        <v>410</v>
      </c>
      <c r="G6902">
        <v>185</v>
      </c>
      <c r="I6902">
        <v>185</v>
      </c>
    </row>
    <row r="6903" spans="1:17" x14ac:dyDescent="0.2">
      <c r="A6903" s="121">
        <v>41517</v>
      </c>
      <c r="B6903" t="s">
        <v>406</v>
      </c>
      <c r="C6903" t="s">
        <v>510</v>
      </c>
      <c r="D6903" t="s">
        <v>625</v>
      </c>
      <c r="E6903" t="s">
        <v>626</v>
      </c>
      <c r="F6903" t="s">
        <v>410</v>
      </c>
      <c r="G6903">
        <v>102</v>
      </c>
      <c r="I6903">
        <v>101</v>
      </c>
    </row>
    <row r="6904" spans="1:17" x14ac:dyDescent="0.2">
      <c r="A6904" s="121">
        <v>41517</v>
      </c>
      <c r="B6904" t="s">
        <v>406</v>
      </c>
      <c r="C6904" t="s">
        <v>551</v>
      </c>
      <c r="D6904" t="s">
        <v>552</v>
      </c>
      <c r="E6904" t="s">
        <v>553</v>
      </c>
      <c r="F6904" t="s">
        <v>413</v>
      </c>
      <c r="G6904">
        <v>5783</v>
      </c>
      <c r="H6904">
        <v>5783</v>
      </c>
      <c r="I6904">
        <v>5236</v>
      </c>
      <c r="J6904">
        <v>5236</v>
      </c>
      <c r="K6904">
        <v>1609</v>
      </c>
      <c r="L6904">
        <v>7</v>
      </c>
      <c r="M6904">
        <v>3829</v>
      </c>
      <c r="N6904">
        <v>181</v>
      </c>
      <c r="O6904">
        <v>157</v>
      </c>
      <c r="P6904">
        <v>25</v>
      </c>
      <c r="Q6904">
        <v>0</v>
      </c>
    </row>
    <row r="6905" spans="1:17" x14ac:dyDescent="0.2">
      <c r="A6905" s="121">
        <v>41517</v>
      </c>
      <c r="B6905" t="s">
        <v>406</v>
      </c>
      <c r="C6905" t="s">
        <v>551</v>
      </c>
      <c r="D6905" t="s">
        <v>554</v>
      </c>
      <c r="E6905" t="s">
        <v>555</v>
      </c>
      <c r="F6905" t="s">
        <v>410</v>
      </c>
      <c r="G6905">
        <v>56</v>
      </c>
      <c r="I6905">
        <v>56</v>
      </c>
    </row>
    <row r="6906" spans="1:17" x14ac:dyDescent="0.2">
      <c r="A6906" s="121">
        <v>41517</v>
      </c>
      <c r="B6906" t="s">
        <v>406</v>
      </c>
      <c r="C6906" t="s">
        <v>551</v>
      </c>
      <c r="D6906" t="s">
        <v>556</v>
      </c>
      <c r="E6906" t="s">
        <v>557</v>
      </c>
      <c r="F6906" t="s">
        <v>410</v>
      </c>
      <c r="G6906">
        <v>97</v>
      </c>
      <c r="I6906">
        <v>97</v>
      </c>
    </row>
    <row r="6907" spans="1:17" x14ac:dyDescent="0.2">
      <c r="A6907" s="121">
        <v>41517</v>
      </c>
      <c r="B6907" t="s">
        <v>406</v>
      </c>
      <c r="C6907" t="s">
        <v>551</v>
      </c>
      <c r="D6907" t="s">
        <v>558</v>
      </c>
      <c r="E6907" t="s">
        <v>559</v>
      </c>
      <c r="F6907" t="s">
        <v>413</v>
      </c>
      <c r="G6907">
        <v>4871</v>
      </c>
      <c r="H6907">
        <v>4871</v>
      </c>
      <c r="I6907">
        <v>4664</v>
      </c>
      <c r="J6907">
        <v>4664</v>
      </c>
      <c r="K6907">
        <v>1335</v>
      </c>
      <c r="L6907">
        <v>5</v>
      </c>
      <c r="M6907">
        <v>3410</v>
      </c>
      <c r="N6907">
        <v>112</v>
      </c>
      <c r="O6907">
        <v>9</v>
      </c>
      <c r="P6907">
        <v>3</v>
      </c>
      <c r="Q6907">
        <v>0</v>
      </c>
    </row>
    <row r="6908" spans="1:17" x14ac:dyDescent="0.2">
      <c r="A6908" s="121">
        <v>41517</v>
      </c>
      <c r="B6908" t="s">
        <v>406</v>
      </c>
      <c r="C6908" t="s">
        <v>551</v>
      </c>
      <c r="D6908" t="s">
        <v>560</v>
      </c>
      <c r="E6908" t="s">
        <v>561</v>
      </c>
      <c r="F6908" t="s">
        <v>413</v>
      </c>
      <c r="G6908">
        <v>5427</v>
      </c>
      <c r="H6908">
        <v>5427</v>
      </c>
      <c r="I6908">
        <v>5046</v>
      </c>
      <c r="J6908">
        <v>5046</v>
      </c>
      <c r="K6908">
        <v>1070</v>
      </c>
      <c r="L6908">
        <v>8</v>
      </c>
      <c r="M6908">
        <v>4004</v>
      </c>
      <c r="N6908">
        <v>242</v>
      </c>
      <c r="O6908">
        <v>103</v>
      </c>
      <c r="P6908">
        <v>10</v>
      </c>
      <c r="Q6908">
        <v>0</v>
      </c>
    </row>
    <row r="6909" spans="1:17" x14ac:dyDescent="0.2">
      <c r="A6909" s="121">
        <v>41517</v>
      </c>
      <c r="B6909" t="s">
        <v>406</v>
      </c>
      <c r="C6909" t="s">
        <v>562</v>
      </c>
      <c r="D6909" t="s">
        <v>605</v>
      </c>
      <c r="E6909" t="s">
        <v>606</v>
      </c>
      <c r="F6909" t="s">
        <v>410</v>
      </c>
      <c r="G6909">
        <v>148</v>
      </c>
      <c r="I6909">
        <v>148</v>
      </c>
    </row>
    <row r="6910" spans="1:17" x14ac:dyDescent="0.2">
      <c r="A6910" s="121">
        <v>41517</v>
      </c>
      <c r="B6910" t="s">
        <v>406</v>
      </c>
      <c r="C6910" t="s">
        <v>562</v>
      </c>
      <c r="D6910" t="s">
        <v>563</v>
      </c>
      <c r="E6910" t="s">
        <v>564</v>
      </c>
      <c r="F6910" t="s">
        <v>410</v>
      </c>
      <c r="G6910">
        <v>3615</v>
      </c>
      <c r="H6910">
        <v>3615</v>
      </c>
      <c r="I6910">
        <v>3395</v>
      </c>
      <c r="J6910">
        <v>3395</v>
      </c>
      <c r="K6910">
        <v>1127</v>
      </c>
      <c r="L6910">
        <v>1</v>
      </c>
      <c r="M6910">
        <v>2456</v>
      </c>
      <c r="N6910">
        <v>31</v>
      </c>
      <c r="O6910">
        <v>0</v>
      </c>
      <c r="P6910">
        <v>15</v>
      </c>
      <c r="Q6910">
        <v>0</v>
      </c>
    </row>
    <row r="6911" spans="1:17" x14ac:dyDescent="0.2">
      <c r="A6911" s="121">
        <v>41517</v>
      </c>
      <c r="B6911" t="s">
        <v>406</v>
      </c>
      <c r="C6911" t="s">
        <v>562</v>
      </c>
      <c r="D6911" t="s">
        <v>565</v>
      </c>
      <c r="E6911" t="s">
        <v>566</v>
      </c>
      <c r="F6911" t="s">
        <v>413</v>
      </c>
      <c r="G6911">
        <v>4415</v>
      </c>
      <c r="H6911">
        <v>4415</v>
      </c>
      <c r="I6911">
        <v>4310</v>
      </c>
      <c r="J6911">
        <v>4310</v>
      </c>
      <c r="K6911">
        <v>931</v>
      </c>
      <c r="L6911">
        <v>3</v>
      </c>
      <c r="M6911">
        <v>3401</v>
      </c>
      <c r="N6911">
        <v>80</v>
      </c>
      <c r="O6911">
        <v>0</v>
      </c>
      <c r="P6911">
        <v>0</v>
      </c>
      <c r="Q6911">
        <v>0</v>
      </c>
    </row>
    <row r="6912" spans="1:17" x14ac:dyDescent="0.2">
      <c r="A6912" s="121">
        <v>41517</v>
      </c>
      <c r="B6912" t="s">
        <v>406</v>
      </c>
      <c r="C6912" t="s">
        <v>562</v>
      </c>
      <c r="D6912" t="s">
        <v>567</v>
      </c>
      <c r="E6912" t="s">
        <v>568</v>
      </c>
      <c r="F6912" t="s">
        <v>413</v>
      </c>
      <c r="G6912">
        <v>10231</v>
      </c>
      <c r="H6912">
        <v>10231</v>
      </c>
      <c r="I6912">
        <v>9544</v>
      </c>
      <c r="J6912">
        <v>9544</v>
      </c>
      <c r="K6912">
        <v>3033</v>
      </c>
      <c r="L6912">
        <v>15</v>
      </c>
      <c r="M6912">
        <v>6866</v>
      </c>
      <c r="N6912">
        <v>317</v>
      </c>
      <c r="O6912">
        <v>0</v>
      </c>
      <c r="P6912">
        <v>40</v>
      </c>
      <c r="Q6912">
        <v>2</v>
      </c>
    </row>
    <row r="6913" spans="1:17" x14ac:dyDescent="0.2">
      <c r="A6913" s="121">
        <v>41517</v>
      </c>
      <c r="B6913" t="s">
        <v>406</v>
      </c>
      <c r="C6913" t="s">
        <v>562</v>
      </c>
      <c r="D6913" t="s">
        <v>569</v>
      </c>
      <c r="E6913" t="s">
        <v>570</v>
      </c>
      <c r="F6913" t="s">
        <v>413</v>
      </c>
      <c r="G6913">
        <v>3293</v>
      </c>
      <c r="H6913">
        <v>3293</v>
      </c>
      <c r="I6913">
        <v>3259</v>
      </c>
      <c r="J6913">
        <v>3259</v>
      </c>
      <c r="K6913">
        <v>464</v>
      </c>
      <c r="L6913">
        <v>0</v>
      </c>
      <c r="M6913">
        <v>2829</v>
      </c>
      <c r="N6913">
        <v>0</v>
      </c>
      <c r="O6913">
        <v>0</v>
      </c>
      <c r="P6913">
        <v>0</v>
      </c>
      <c r="Q6913">
        <v>0</v>
      </c>
    </row>
    <row r="6914" spans="1:17" x14ac:dyDescent="0.2">
      <c r="A6914" s="121">
        <v>41517</v>
      </c>
      <c r="B6914" t="s">
        <v>406</v>
      </c>
      <c r="C6914" t="s">
        <v>571</v>
      </c>
      <c r="D6914" t="s">
        <v>572</v>
      </c>
      <c r="E6914" t="s">
        <v>573</v>
      </c>
      <c r="F6914" t="s">
        <v>410</v>
      </c>
      <c r="G6914">
        <v>400</v>
      </c>
      <c r="H6914">
        <v>400</v>
      </c>
      <c r="I6914">
        <v>395</v>
      </c>
      <c r="J6914">
        <v>395</v>
      </c>
      <c r="K6914">
        <v>108</v>
      </c>
      <c r="L6914">
        <v>0</v>
      </c>
      <c r="M6914">
        <v>278</v>
      </c>
      <c r="N6914">
        <v>2</v>
      </c>
      <c r="O6914">
        <v>12</v>
      </c>
      <c r="P6914">
        <v>0</v>
      </c>
      <c r="Q6914">
        <v>0</v>
      </c>
    </row>
    <row r="6915" spans="1:17" x14ac:dyDescent="0.2">
      <c r="A6915" s="121">
        <v>41517</v>
      </c>
      <c r="B6915" t="s">
        <v>406</v>
      </c>
      <c r="C6915" t="s">
        <v>574</v>
      </c>
      <c r="D6915" t="s">
        <v>575</v>
      </c>
      <c r="E6915" t="s">
        <v>576</v>
      </c>
      <c r="F6915" t="s">
        <v>413</v>
      </c>
      <c r="G6915">
        <v>665</v>
      </c>
      <c r="H6915">
        <v>665</v>
      </c>
      <c r="I6915">
        <v>660</v>
      </c>
      <c r="J6915">
        <v>660</v>
      </c>
      <c r="K6915">
        <v>181</v>
      </c>
      <c r="L6915">
        <v>0</v>
      </c>
      <c r="M6915">
        <v>451</v>
      </c>
      <c r="N6915">
        <v>1</v>
      </c>
      <c r="O6915">
        <v>32</v>
      </c>
      <c r="P6915">
        <v>0</v>
      </c>
      <c r="Q6915">
        <v>0</v>
      </c>
    </row>
    <row r="6916" spans="1:17" x14ac:dyDescent="0.2">
      <c r="A6916" s="121">
        <v>41517</v>
      </c>
      <c r="B6916" t="s">
        <v>406</v>
      </c>
      <c r="C6916" t="s">
        <v>577</v>
      </c>
      <c r="D6916" t="s">
        <v>578</v>
      </c>
      <c r="E6916" t="s">
        <v>579</v>
      </c>
      <c r="F6916" t="s">
        <v>413</v>
      </c>
      <c r="G6916">
        <v>4146</v>
      </c>
      <c r="H6916">
        <v>4146</v>
      </c>
      <c r="I6916">
        <v>4074</v>
      </c>
      <c r="J6916">
        <v>4074</v>
      </c>
      <c r="K6916">
        <v>838</v>
      </c>
      <c r="L6916">
        <v>7</v>
      </c>
      <c r="M6916">
        <v>3028</v>
      </c>
      <c r="N6916">
        <v>268</v>
      </c>
      <c r="O6916">
        <v>5</v>
      </c>
      <c r="P6916">
        <v>0</v>
      </c>
      <c r="Q6916">
        <v>0</v>
      </c>
    </row>
    <row r="6917" spans="1:17" x14ac:dyDescent="0.2">
      <c r="A6917" s="121">
        <v>41517</v>
      </c>
      <c r="B6917" t="s">
        <v>406</v>
      </c>
      <c r="C6917" t="s">
        <v>577</v>
      </c>
      <c r="D6917" t="s">
        <v>580</v>
      </c>
      <c r="E6917" t="s">
        <v>581</v>
      </c>
      <c r="F6917" t="s">
        <v>413</v>
      </c>
      <c r="G6917">
        <v>2340</v>
      </c>
      <c r="H6917">
        <v>2340</v>
      </c>
      <c r="I6917">
        <v>2308</v>
      </c>
      <c r="J6917">
        <v>2308</v>
      </c>
      <c r="K6917">
        <v>370</v>
      </c>
      <c r="L6917">
        <v>0</v>
      </c>
      <c r="M6917">
        <v>1552</v>
      </c>
      <c r="N6917">
        <v>343</v>
      </c>
      <c r="O6917">
        <v>75</v>
      </c>
      <c r="P6917">
        <v>0</v>
      </c>
      <c r="Q6917">
        <v>0</v>
      </c>
    </row>
    <row r="6918" spans="1:17" x14ac:dyDescent="0.2">
      <c r="A6918" s="121">
        <v>41517</v>
      </c>
      <c r="B6918" t="s">
        <v>406</v>
      </c>
      <c r="C6918" t="s">
        <v>577</v>
      </c>
      <c r="D6918" t="s">
        <v>609</v>
      </c>
      <c r="E6918" t="s">
        <v>610</v>
      </c>
      <c r="F6918" t="s">
        <v>410</v>
      </c>
      <c r="G6918">
        <v>38</v>
      </c>
      <c r="H6918">
        <v>38</v>
      </c>
      <c r="I6918">
        <v>38</v>
      </c>
      <c r="J6918">
        <v>38</v>
      </c>
      <c r="K6918">
        <v>1</v>
      </c>
      <c r="L6918">
        <v>0</v>
      </c>
      <c r="M6918">
        <v>36</v>
      </c>
      <c r="N6918">
        <v>1</v>
      </c>
      <c r="O6918">
        <v>0</v>
      </c>
      <c r="P6918">
        <v>0</v>
      </c>
      <c r="Q6918">
        <v>0</v>
      </c>
    </row>
    <row r="6919" spans="1:17" x14ac:dyDescent="0.2">
      <c r="A6919" s="121">
        <v>41517</v>
      </c>
      <c r="B6919" t="s">
        <v>406</v>
      </c>
      <c r="C6919" t="s">
        <v>577</v>
      </c>
      <c r="D6919" t="s">
        <v>611</v>
      </c>
      <c r="E6919" t="s">
        <v>612</v>
      </c>
      <c r="F6919" t="s">
        <v>410</v>
      </c>
      <c r="G6919">
        <v>26</v>
      </c>
      <c r="H6919">
        <v>26</v>
      </c>
      <c r="I6919">
        <v>26</v>
      </c>
      <c r="J6919">
        <v>26</v>
      </c>
      <c r="K6919">
        <v>0</v>
      </c>
      <c r="L6919">
        <v>0</v>
      </c>
      <c r="M6919">
        <v>14</v>
      </c>
      <c r="N6919">
        <v>2</v>
      </c>
      <c r="O6919">
        <v>10</v>
      </c>
      <c r="P6919">
        <v>0</v>
      </c>
      <c r="Q6919">
        <v>0</v>
      </c>
    </row>
    <row r="6920" spans="1:17" x14ac:dyDescent="0.2">
      <c r="A6920" s="121">
        <v>41517</v>
      </c>
      <c r="B6920" t="s">
        <v>406</v>
      </c>
      <c r="C6920" t="s">
        <v>577</v>
      </c>
      <c r="D6920" t="s">
        <v>584</v>
      </c>
      <c r="E6920" t="s">
        <v>585</v>
      </c>
      <c r="F6920" t="s">
        <v>410</v>
      </c>
      <c r="G6920">
        <v>295</v>
      </c>
      <c r="H6920">
        <v>295</v>
      </c>
      <c r="I6920">
        <v>295</v>
      </c>
      <c r="J6920">
        <v>295</v>
      </c>
      <c r="K6920">
        <v>0</v>
      </c>
      <c r="L6920">
        <v>0</v>
      </c>
      <c r="M6920">
        <v>280</v>
      </c>
      <c r="N6920">
        <v>14</v>
      </c>
      <c r="O6920">
        <v>1</v>
      </c>
      <c r="P6920">
        <v>0</v>
      </c>
      <c r="Q6920">
        <v>0</v>
      </c>
    </row>
    <row r="6921" spans="1:17" x14ac:dyDescent="0.2">
      <c r="A6921" s="121">
        <v>41517</v>
      </c>
      <c r="B6921" t="s">
        <v>406</v>
      </c>
      <c r="C6921" t="s">
        <v>577</v>
      </c>
      <c r="D6921" t="s">
        <v>586</v>
      </c>
      <c r="E6921" t="s">
        <v>587</v>
      </c>
      <c r="F6921" t="s">
        <v>410</v>
      </c>
      <c r="G6921">
        <v>1240</v>
      </c>
      <c r="H6921">
        <v>1240</v>
      </c>
      <c r="I6921">
        <v>1238</v>
      </c>
      <c r="J6921">
        <v>1238</v>
      </c>
      <c r="K6921">
        <v>0</v>
      </c>
      <c r="L6921">
        <v>1</v>
      </c>
      <c r="M6921">
        <v>1153</v>
      </c>
      <c r="N6921">
        <v>81</v>
      </c>
      <c r="O6921">
        <v>5</v>
      </c>
      <c r="P6921">
        <v>0</v>
      </c>
      <c r="Q6921">
        <v>0</v>
      </c>
    </row>
    <row r="6922" spans="1:17" x14ac:dyDescent="0.2">
      <c r="A6922" s="121">
        <v>41517</v>
      </c>
      <c r="B6922" t="s">
        <v>406</v>
      </c>
      <c r="C6922" t="s">
        <v>577</v>
      </c>
      <c r="D6922" t="s">
        <v>588</v>
      </c>
      <c r="E6922" t="s">
        <v>589</v>
      </c>
      <c r="F6922" t="s">
        <v>410</v>
      </c>
      <c r="G6922">
        <v>313</v>
      </c>
      <c r="H6922">
        <v>313</v>
      </c>
      <c r="I6922">
        <v>313</v>
      </c>
      <c r="J6922">
        <v>313</v>
      </c>
      <c r="K6922">
        <v>0</v>
      </c>
      <c r="L6922">
        <v>0</v>
      </c>
      <c r="M6922">
        <v>285</v>
      </c>
      <c r="N6922">
        <v>27</v>
      </c>
      <c r="O6922">
        <v>1</v>
      </c>
      <c r="P6922">
        <v>0</v>
      </c>
      <c r="Q6922">
        <v>0</v>
      </c>
    </row>
    <row r="6923" spans="1:17" x14ac:dyDescent="0.2">
      <c r="A6923" s="121">
        <v>41517</v>
      </c>
      <c r="B6923" t="s">
        <v>406</v>
      </c>
      <c r="C6923" t="s">
        <v>577</v>
      </c>
      <c r="D6923" t="s">
        <v>613</v>
      </c>
      <c r="E6923" t="s">
        <v>614</v>
      </c>
      <c r="F6923" t="s">
        <v>410</v>
      </c>
      <c r="G6923">
        <v>226</v>
      </c>
      <c r="H6923">
        <v>226</v>
      </c>
      <c r="I6923">
        <v>226</v>
      </c>
      <c r="J6923">
        <v>226</v>
      </c>
      <c r="K6923">
        <v>0</v>
      </c>
      <c r="L6923">
        <v>0</v>
      </c>
      <c r="M6923">
        <v>205</v>
      </c>
      <c r="N6923">
        <v>16</v>
      </c>
      <c r="O6923">
        <v>5</v>
      </c>
      <c r="P6923">
        <v>0</v>
      </c>
      <c r="Q6923">
        <v>0</v>
      </c>
    </row>
    <row r="6924" spans="1:17" x14ac:dyDescent="0.2">
      <c r="A6924" s="121">
        <v>41517</v>
      </c>
      <c r="B6924" t="s">
        <v>406</v>
      </c>
      <c r="C6924" t="s">
        <v>577</v>
      </c>
      <c r="D6924" t="s">
        <v>590</v>
      </c>
      <c r="E6924" t="s">
        <v>591</v>
      </c>
      <c r="F6924" t="s">
        <v>410</v>
      </c>
      <c r="G6924">
        <v>595</v>
      </c>
      <c r="H6924">
        <v>595</v>
      </c>
      <c r="I6924">
        <v>595</v>
      </c>
      <c r="J6924">
        <v>595</v>
      </c>
      <c r="K6924">
        <v>0</v>
      </c>
      <c r="L6924">
        <v>0</v>
      </c>
      <c r="M6924">
        <v>565</v>
      </c>
      <c r="N6924">
        <v>30</v>
      </c>
      <c r="O6924">
        <v>0</v>
      </c>
      <c r="P6924">
        <v>0</v>
      </c>
      <c r="Q6924">
        <v>0</v>
      </c>
    </row>
    <row r="6925" spans="1:17" x14ac:dyDescent="0.2">
      <c r="A6925" s="121">
        <v>41517</v>
      </c>
      <c r="B6925" t="s">
        <v>406</v>
      </c>
      <c r="C6925" t="s">
        <v>577</v>
      </c>
      <c r="D6925" t="s">
        <v>607</v>
      </c>
      <c r="E6925" t="s">
        <v>608</v>
      </c>
      <c r="F6925" t="s">
        <v>410</v>
      </c>
      <c r="G6925">
        <v>300</v>
      </c>
      <c r="H6925">
        <v>300</v>
      </c>
      <c r="I6925">
        <v>300</v>
      </c>
      <c r="J6925">
        <v>300</v>
      </c>
      <c r="K6925">
        <v>0</v>
      </c>
      <c r="L6925">
        <v>0</v>
      </c>
      <c r="M6925">
        <v>270</v>
      </c>
      <c r="N6925">
        <v>25</v>
      </c>
      <c r="O6925">
        <v>5</v>
      </c>
      <c r="P6925">
        <v>0</v>
      </c>
      <c r="Q6925">
        <v>0</v>
      </c>
    </row>
    <row r="6926" spans="1:17" x14ac:dyDescent="0.2">
      <c r="A6926" s="121">
        <v>41517</v>
      </c>
      <c r="B6926" t="s">
        <v>406</v>
      </c>
      <c r="C6926" t="s">
        <v>577</v>
      </c>
      <c r="D6926" t="s">
        <v>592</v>
      </c>
      <c r="E6926" t="s">
        <v>593</v>
      </c>
      <c r="F6926" t="s">
        <v>410</v>
      </c>
      <c r="G6926">
        <v>629</v>
      </c>
      <c r="H6926">
        <v>629</v>
      </c>
      <c r="I6926">
        <v>629</v>
      </c>
      <c r="J6926">
        <v>629</v>
      </c>
      <c r="K6926">
        <v>0</v>
      </c>
      <c r="L6926">
        <v>0</v>
      </c>
      <c r="M6926">
        <v>590</v>
      </c>
      <c r="N6926">
        <v>36</v>
      </c>
      <c r="O6926">
        <v>3</v>
      </c>
      <c r="P6926">
        <v>0</v>
      </c>
      <c r="Q6926">
        <v>0</v>
      </c>
    </row>
    <row r="6927" spans="1:17" x14ac:dyDescent="0.2">
      <c r="A6927" s="121">
        <v>41517</v>
      </c>
      <c r="B6927" t="s">
        <v>406</v>
      </c>
      <c r="C6927" t="s">
        <v>594</v>
      </c>
      <c r="D6927" t="s">
        <v>595</v>
      </c>
      <c r="E6927" t="s">
        <v>596</v>
      </c>
      <c r="F6927" t="s">
        <v>410</v>
      </c>
      <c r="G6927">
        <v>60</v>
      </c>
      <c r="I6927">
        <v>60</v>
      </c>
    </row>
    <row r="6928" spans="1:17" x14ac:dyDescent="0.2">
      <c r="A6928" s="121">
        <v>41517</v>
      </c>
      <c r="B6928" t="s">
        <v>406</v>
      </c>
      <c r="C6928" t="s">
        <v>594</v>
      </c>
      <c r="D6928" t="s">
        <v>597</v>
      </c>
      <c r="E6928" t="s">
        <v>598</v>
      </c>
      <c r="F6928" t="s">
        <v>413</v>
      </c>
      <c r="G6928">
        <v>565</v>
      </c>
      <c r="H6928">
        <v>565</v>
      </c>
      <c r="I6928">
        <v>546</v>
      </c>
      <c r="J6928">
        <v>546</v>
      </c>
      <c r="K6928">
        <v>110</v>
      </c>
      <c r="L6928">
        <v>1</v>
      </c>
      <c r="M6928">
        <v>436</v>
      </c>
      <c r="N6928">
        <v>11</v>
      </c>
      <c r="O6928">
        <v>7</v>
      </c>
      <c r="P6928">
        <v>0</v>
      </c>
      <c r="Q6928">
        <v>0</v>
      </c>
    </row>
    <row r="6929" spans="1:17" x14ac:dyDescent="0.2">
      <c r="A6929" s="121">
        <v>41517</v>
      </c>
      <c r="B6929" t="s">
        <v>406</v>
      </c>
      <c r="C6929" t="s">
        <v>594</v>
      </c>
      <c r="D6929" t="s">
        <v>599</v>
      </c>
      <c r="E6929" t="s">
        <v>600</v>
      </c>
      <c r="F6929" t="s">
        <v>410</v>
      </c>
      <c r="G6929">
        <v>120</v>
      </c>
      <c r="I6929">
        <v>120</v>
      </c>
    </row>
    <row r="6930" spans="1:17" x14ac:dyDescent="0.2">
      <c r="A6930" s="121">
        <v>41547</v>
      </c>
      <c r="B6930" t="s">
        <v>406</v>
      </c>
      <c r="C6930" t="s">
        <v>407</v>
      </c>
      <c r="D6930" t="s">
        <v>408</v>
      </c>
      <c r="E6930" t="s">
        <v>409</v>
      </c>
      <c r="F6930" t="s">
        <v>410</v>
      </c>
      <c r="G6930">
        <v>214</v>
      </c>
      <c r="I6930">
        <v>214</v>
      </c>
    </row>
    <row r="6931" spans="1:17" x14ac:dyDescent="0.2">
      <c r="A6931" s="121">
        <v>41547</v>
      </c>
      <c r="B6931" t="s">
        <v>406</v>
      </c>
      <c r="C6931" t="s">
        <v>407</v>
      </c>
      <c r="D6931" t="s">
        <v>601</v>
      </c>
      <c r="E6931" t="s">
        <v>602</v>
      </c>
      <c r="F6931" t="s">
        <v>410</v>
      </c>
      <c r="G6931">
        <v>77</v>
      </c>
      <c r="I6931">
        <v>77</v>
      </c>
    </row>
    <row r="6932" spans="1:17" x14ac:dyDescent="0.2">
      <c r="A6932" s="121">
        <v>41547</v>
      </c>
      <c r="B6932" t="s">
        <v>406</v>
      </c>
      <c r="C6932" t="s">
        <v>407</v>
      </c>
      <c r="D6932" t="s">
        <v>411</v>
      </c>
      <c r="E6932" t="s">
        <v>412</v>
      </c>
      <c r="F6932" t="s">
        <v>413</v>
      </c>
      <c r="G6932">
        <v>6000</v>
      </c>
      <c r="H6932">
        <v>6000</v>
      </c>
      <c r="I6932">
        <v>5659</v>
      </c>
      <c r="J6932">
        <v>5659</v>
      </c>
      <c r="K6932">
        <v>2329</v>
      </c>
      <c r="L6932">
        <v>12</v>
      </c>
      <c r="M6932">
        <v>3231</v>
      </c>
      <c r="N6932">
        <v>112</v>
      </c>
      <c r="O6932">
        <v>316</v>
      </c>
      <c r="P6932">
        <v>15</v>
      </c>
      <c r="Q6932">
        <v>0</v>
      </c>
    </row>
    <row r="6933" spans="1:17" x14ac:dyDescent="0.2">
      <c r="A6933" s="121">
        <v>41547</v>
      </c>
      <c r="B6933" t="s">
        <v>406</v>
      </c>
      <c r="C6933" t="s">
        <v>407</v>
      </c>
      <c r="D6933" t="s">
        <v>416</v>
      </c>
      <c r="E6933" t="s">
        <v>417</v>
      </c>
      <c r="F6933" t="s">
        <v>413</v>
      </c>
      <c r="G6933">
        <v>3739</v>
      </c>
      <c r="H6933">
        <v>3739</v>
      </c>
      <c r="I6933">
        <v>3399</v>
      </c>
      <c r="J6933">
        <v>3399</v>
      </c>
      <c r="K6933">
        <v>1325</v>
      </c>
      <c r="L6933">
        <v>3</v>
      </c>
      <c r="M6933">
        <v>2257</v>
      </c>
      <c r="N6933">
        <v>111</v>
      </c>
      <c r="O6933">
        <v>43</v>
      </c>
      <c r="P6933">
        <v>22</v>
      </c>
      <c r="Q6933">
        <v>2</v>
      </c>
    </row>
    <row r="6934" spans="1:17" x14ac:dyDescent="0.2">
      <c r="A6934" s="121">
        <v>41547</v>
      </c>
      <c r="B6934" t="s">
        <v>406</v>
      </c>
      <c r="C6934" t="s">
        <v>407</v>
      </c>
      <c r="D6934" t="s">
        <v>618</v>
      </c>
      <c r="E6934" t="s">
        <v>619</v>
      </c>
      <c r="F6934" t="s">
        <v>410</v>
      </c>
      <c r="G6934">
        <v>122</v>
      </c>
      <c r="I6934">
        <v>122</v>
      </c>
    </row>
    <row r="6935" spans="1:17" x14ac:dyDescent="0.2">
      <c r="A6935" s="121">
        <v>41547</v>
      </c>
      <c r="B6935" t="s">
        <v>406</v>
      </c>
      <c r="C6935" t="s">
        <v>418</v>
      </c>
      <c r="D6935" t="s">
        <v>419</v>
      </c>
      <c r="E6935" t="s">
        <v>420</v>
      </c>
      <c r="F6935" t="s">
        <v>410</v>
      </c>
      <c r="G6935">
        <v>13</v>
      </c>
      <c r="I6935">
        <v>13</v>
      </c>
    </row>
    <row r="6936" spans="1:17" x14ac:dyDescent="0.2">
      <c r="A6936" s="121">
        <v>41547</v>
      </c>
      <c r="B6936" t="s">
        <v>406</v>
      </c>
      <c r="C6936" t="s">
        <v>418</v>
      </c>
      <c r="D6936" t="s">
        <v>421</v>
      </c>
      <c r="E6936" t="s">
        <v>422</v>
      </c>
      <c r="F6936" t="s">
        <v>410</v>
      </c>
      <c r="G6936">
        <v>108</v>
      </c>
      <c r="I6936">
        <v>108</v>
      </c>
    </row>
    <row r="6937" spans="1:17" x14ac:dyDescent="0.2">
      <c r="A6937" s="121">
        <v>41547</v>
      </c>
      <c r="B6937" t="s">
        <v>406</v>
      </c>
      <c r="C6937" t="s">
        <v>418</v>
      </c>
      <c r="D6937" t="s">
        <v>423</v>
      </c>
      <c r="E6937" t="s">
        <v>424</v>
      </c>
      <c r="F6937" t="s">
        <v>410</v>
      </c>
      <c r="G6937">
        <v>20</v>
      </c>
      <c r="I6937">
        <v>20</v>
      </c>
    </row>
    <row r="6938" spans="1:17" x14ac:dyDescent="0.2">
      <c r="A6938" s="121">
        <v>41547</v>
      </c>
      <c r="B6938" t="s">
        <v>406</v>
      </c>
      <c r="C6938" t="s">
        <v>418</v>
      </c>
      <c r="D6938" t="s">
        <v>425</v>
      </c>
      <c r="E6938" t="s">
        <v>426</v>
      </c>
      <c r="F6938" t="s">
        <v>410</v>
      </c>
      <c r="G6938">
        <v>62</v>
      </c>
      <c r="I6938">
        <v>62</v>
      </c>
    </row>
    <row r="6939" spans="1:17" x14ac:dyDescent="0.2">
      <c r="A6939" s="121">
        <v>41547</v>
      </c>
      <c r="B6939" t="s">
        <v>406</v>
      </c>
      <c r="C6939" t="s">
        <v>418</v>
      </c>
      <c r="D6939" t="s">
        <v>427</v>
      </c>
      <c r="E6939" t="s">
        <v>428</v>
      </c>
      <c r="F6939" t="s">
        <v>413</v>
      </c>
      <c r="G6939">
        <v>2185</v>
      </c>
      <c r="H6939">
        <v>2185</v>
      </c>
      <c r="I6939">
        <v>2141</v>
      </c>
      <c r="J6939">
        <v>2141</v>
      </c>
      <c r="K6939">
        <v>788</v>
      </c>
      <c r="L6939">
        <v>2</v>
      </c>
      <c r="M6939">
        <v>1051</v>
      </c>
      <c r="N6939">
        <v>249</v>
      </c>
      <c r="O6939">
        <v>95</v>
      </c>
      <c r="P6939">
        <v>1</v>
      </c>
      <c r="Q6939">
        <v>0</v>
      </c>
    </row>
    <row r="6940" spans="1:17" x14ac:dyDescent="0.2">
      <c r="A6940" s="121">
        <v>41547</v>
      </c>
      <c r="B6940" t="s">
        <v>406</v>
      </c>
      <c r="C6940" t="s">
        <v>429</v>
      </c>
      <c r="D6940" t="s">
        <v>430</v>
      </c>
      <c r="E6940" t="s">
        <v>431</v>
      </c>
      <c r="F6940" t="s">
        <v>410</v>
      </c>
      <c r="G6940">
        <v>25</v>
      </c>
      <c r="I6940">
        <v>25</v>
      </c>
    </row>
    <row r="6941" spans="1:17" x14ac:dyDescent="0.2">
      <c r="A6941" s="121">
        <v>41547</v>
      </c>
      <c r="B6941" t="s">
        <v>406</v>
      </c>
      <c r="C6941" t="s">
        <v>429</v>
      </c>
      <c r="D6941" t="s">
        <v>432</v>
      </c>
      <c r="E6941" t="s">
        <v>433</v>
      </c>
      <c r="F6941" t="s">
        <v>410</v>
      </c>
      <c r="G6941">
        <v>44</v>
      </c>
      <c r="I6941">
        <v>44</v>
      </c>
    </row>
    <row r="6942" spans="1:17" x14ac:dyDescent="0.2">
      <c r="A6942" s="121">
        <v>41547</v>
      </c>
      <c r="B6942" t="s">
        <v>406</v>
      </c>
      <c r="C6942" t="s">
        <v>429</v>
      </c>
      <c r="D6942" t="s">
        <v>434</v>
      </c>
      <c r="E6942" t="s">
        <v>435</v>
      </c>
      <c r="F6942" t="s">
        <v>410</v>
      </c>
      <c r="G6942">
        <v>10</v>
      </c>
      <c r="I6942">
        <v>10</v>
      </c>
    </row>
    <row r="6943" spans="1:17" x14ac:dyDescent="0.2">
      <c r="A6943" s="121">
        <v>41547</v>
      </c>
      <c r="B6943" t="s">
        <v>406</v>
      </c>
      <c r="C6943" t="s">
        <v>429</v>
      </c>
      <c r="D6943" t="s">
        <v>436</v>
      </c>
      <c r="E6943" t="s">
        <v>437</v>
      </c>
      <c r="F6943" t="s">
        <v>410</v>
      </c>
      <c r="G6943">
        <v>18</v>
      </c>
      <c r="H6943">
        <v>18</v>
      </c>
      <c r="I6943">
        <v>18</v>
      </c>
      <c r="J6943">
        <v>18</v>
      </c>
      <c r="K6943">
        <v>0</v>
      </c>
      <c r="L6943">
        <v>0</v>
      </c>
      <c r="M6943">
        <v>11</v>
      </c>
      <c r="N6943">
        <v>7</v>
      </c>
      <c r="O6943">
        <v>0</v>
      </c>
      <c r="P6943">
        <v>0</v>
      </c>
      <c r="Q6943">
        <v>0</v>
      </c>
    </row>
    <row r="6944" spans="1:17" x14ac:dyDescent="0.2">
      <c r="A6944" s="121">
        <v>41547</v>
      </c>
      <c r="B6944" t="s">
        <v>406</v>
      </c>
      <c r="C6944" t="s">
        <v>429</v>
      </c>
      <c r="D6944" t="s">
        <v>438</v>
      </c>
      <c r="E6944" t="s">
        <v>439</v>
      </c>
      <c r="F6944" t="s">
        <v>413</v>
      </c>
      <c r="G6944">
        <v>969</v>
      </c>
      <c r="H6944">
        <v>969</v>
      </c>
      <c r="I6944">
        <v>933</v>
      </c>
      <c r="J6944">
        <v>933</v>
      </c>
      <c r="K6944">
        <v>98</v>
      </c>
      <c r="L6944">
        <v>0</v>
      </c>
      <c r="M6944">
        <v>855</v>
      </c>
      <c r="N6944">
        <v>16</v>
      </c>
      <c r="O6944">
        <v>0</v>
      </c>
      <c r="P6944">
        <v>2</v>
      </c>
      <c r="Q6944">
        <v>0</v>
      </c>
    </row>
    <row r="6945" spans="1:17" x14ac:dyDescent="0.2">
      <c r="A6945" s="121">
        <v>41547</v>
      </c>
      <c r="B6945" t="s">
        <v>406</v>
      </c>
      <c r="C6945" t="s">
        <v>429</v>
      </c>
      <c r="D6945" t="s">
        <v>440</v>
      </c>
      <c r="E6945" t="s">
        <v>441</v>
      </c>
      <c r="F6945" t="s">
        <v>413</v>
      </c>
      <c r="G6945">
        <v>2961</v>
      </c>
      <c r="H6945">
        <v>2961</v>
      </c>
      <c r="I6945">
        <v>2748</v>
      </c>
      <c r="J6945">
        <v>2748</v>
      </c>
      <c r="K6945">
        <v>986</v>
      </c>
      <c r="L6945">
        <v>3</v>
      </c>
      <c r="M6945">
        <v>1880</v>
      </c>
      <c r="N6945">
        <v>92</v>
      </c>
      <c r="O6945">
        <v>0</v>
      </c>
      <c r="P6945">
        <v>2</v>
      </c>
      <c r="Q6945">
        <v>0</v>
      </c>
    </row>
    <row r="6946" spans="1:17" x14ac:dyDescent="0.2">
      <c r="A6946" s="121">
        <v>41547</v>
      </c>
      <c r="B6946" t="s">
        <v>406</v>
      </c>
      <c r="C6946" t="s">
        <v>442</v>
      </c>
      <c r="D6946" t="s">
        <v>443</v>
      </c>
      <c r="E6946" t="s">
        <v>444</v>
      </c>
      <c r="F6946" t="s">
        <v>413</v>
      </c>
      <c r="G6946">
        <v>5259</v>
      </c>
      <c r="H6946">
        <v>5259</v>
      </c>
      <c r="I6946">
        <v>4968</v>
      </c>
      <c r="J6946">
        <v>4968</v>
      </c>
      <c r="K6946">
        <v>1243</v>
      </c>
      <c r="L6946">
        <v>7</v>
      </c>
      <c r="M6946">
        <v>3707</v>
      </c>
      <c r="N6946">
        <v>132</v>
      </c>
      <c r="O6946">
        <v>170</v>
      </c>
      <c r="P6946">
        <v>17</v>
      </c>
      <c r="Q6946">
        <v>0</v>
      </c>
    </row>
    <row r="6947" spans="1:17" x14ac:dyDescent="0.2">
      <c r="A6947" s="121">
        <v>41547</v>
      </c>
      <c r="B6947" t="s">
        <v>406</v>
      </c>
      <c r="C6947" t="s">
        <v>442</v>
      </c>
      <c r="D6947" t="s">
        <v>445</v>
      </c>
      <c r="E6947" t="s">
        <v>446</v>
      </c>
      <c r="F6947" t="s">
        <v>410</v>
      </c>
      <c r="G6947">
        <v>177</v>
      </c>
      <c r="I6947">
        <v>177</v>
      </c>
    </row>
    <row r="6948" spans="1:17" x14ac:dyDescent="0.2">
      <c r="A6948" s="121">
        <v>41547</v>
      </c>
      <c r="B6948" t="s">
        <v>406</v>
      </c>
      <c r="C6948" t="s">
        <v>442</v>
      </c>
      <c r="D6948" t="s">
        <v>447</v>
      </c>
      <c r="E6948" t="s">
        <v>448</v>
      </c>
      <c r="F6948" t="s">
        <v>410</v>
      </c>
      <c r="G6948">
        <v>431</v>
      </c>
      <c r="I6948">
        <v>431</v>
      </c>
    </row>
    <row r="6949" spans="1:17" x14ac:dyDescent="0.2">
      <c r="A6949" s="121">
        <v>41547</v>
      </c>
      <c r="B6949" t="s">
        <v>406</v>
      </c>
      <c r="C6949" t="s">
        <v>442</v>
      </c>
      <c r="D6949" t="s">
        <v>449</v>
      </c>
      <c r="E6949" t="s">
        <v>624</v>
      </c>
      <c r="F6949" t="s">
        <v>410</v>
      </c>
      <c r="G6949">
        <v>1691</v>
      </c>
      <c r="H6949">
        <v>1691</v>
      </c>
      <c r="I6949">
        <v>1691</v>
      </c>
      <c r="J6949">
        <v>1691</v>
      </c>
      <c r="K6949">
        <v>13</v>
      </c>
      <c r="L6949">
        <v>0</v>
      </c>
      <c r="M6949">
        <v>1502</v>
      </c>
      <c r="N6949">
        <v>170</v>
      </c>
      <c r="O6949">
        <v>6</v>
      </c>
      <c r="P6949">
        <v>0</v>
      </c>
      <c r="Q6949">
        <v>0</v>
      </c>
    </row>
    <row r="6950" spans="1:17" x14ac:dyDescent="0.2">
      <c r="A6950" s="121">
        <v>41547</v>
      </c>
      <c r="B6950" t="s">
        <v>406</v>
      </c>
      <c r="C6950" t="s">
        <v>451</v>
      </c>
      <c r="D6950" t="s">
        <v>454</v>
      </c>
      <c r="E6950" t="s">
        <v>621</v>
      </c>
      <c r="F6950" t="s">
        <v>410</v>
      </c>
      <c r="G6950">
        <v>1321</v>
      </c>
      <c r="H6950">
        <v>1321</v>
      </c>
      <c r="I6950">
        <v>1321</v>
      </c>
      <c r="J6950">
        <v>1321</v>
      </c>
      <c r="K6950">
        <v>1</v>
      </c>
      <c r="L6950">
        <v>0</v>
      </c>
      <c r="M6950">
        <v>568</v>
      </c>
      <c r="N6950">
        <v>54</v>
      </c>
      <c r="O6950">
        <v>698</v>
      </c>
      <c r="P6950">
        <v>0</v>
      </c>
      <c r="Q6950">
        <v>0</v>
      </c>
    </row>
    <row r="6951" spans="1:17" x14ac:dyDescent="0.2">
      <c r="A6951" s="121">
        <v>41547</v>
      </c>
      <c r="B6951" t="s">
        <v>406</v>
      </c>
      <c r="C6951" t="s">
        <v>451</v>
      </c>
      <c r="D6951" t="s">
        <v>622</v>
      </c>
      <c r="E6951" t="s">
        <v>623</v>
      </c>
      <c r="F6951" t="s">
        <v>413</v>
      </c>
      <c r="G6951">
        <v>5155</v>
      </c>
      <c r="H6951">
        <v>5155</v>
      </c>
      <c r="I6951">
        <v>4729</v>
      </c>
      <c r="J6951">
        <v>4729</v>
      </c>
      <c r="K6951">
        <v>1210</v>
      </c>
      <c r="L6951">
        <v>4</v>
      </c>
      <c r="M6951">
        <v>1466</v>
      </c>
      <c r="N6951">
        <v>34</v>
      </c>
      <c r="O6951">
        <v>2441</v>
      </c>
      <c r="P6951">
        <v>49</v>
      </c>
      <c r="Q6951">
        <v>10</v>
      </c>
    </row>
    <row r="6952" spans="1:17" x14ac:dyDescent="0.2">
      <c r="A6952" s="121">
        <v>41547</v>
      </c>
      <c r="B6952" t="s">
        <v>406</v>
      </c>
      <c r="C6952" t="s">
        <v>456</v>
      </c>
      <c r="D6952" t="s">
        <v>457</v>
      </c>
      <c r="E6952" t="s">
        <v>458</v>
      </c>
      <c r="F6952" t="s">
        <v>413</v>
      </c>
      <c r="G6952">
        <v>5331</v>
      </c>
      <c r="H6952">
        <v>5331</v>
      </c>
      <c r="I6952">
        <v>5072</v>
      </c>
      <c r="J6952">
        <v>5072</v>
      </c>
      <c r="K6952">
        <v>1300</v>
      </c>
      <c r="L6952">
        <v>21</v>
      </c>
      <c r="M6952">
        <v>3538</v>
      </c>
      <c r="N6952">
        <v>32</v>
      </c>
      <c r="O6952">
        <v>440</v>
      </c>
      <c r="P6952">
        <v>11</v>
      </c>
      <c r="Q6952">
        <v>0</v>
      </c>
    </row>
    <row r="6953" spans="1:17" x14ac:dyDescent="0.2">
      <c r="A6953" s="121">
        <v>41547</v>
      </c>
      <c r="B6953" t="s">
        <v>406</v>
      </c>
      <c r="C6953" t="s">
        <v>456</v>
      </c>
      <c r="D6953" t="s">
        <v>459</v>
      </c>
      <c r="E6953" t="s">
        <v>460</v>
      </c>
      <c r="F6953" t="s">
        <v>413</v>
      </c>
      <c r="G6953">
        <v>1721</v>
      </c>
      <c r="H6953">
        <v>1721</v>
      </c>
      <c r="I6953">
        <v>1704</v>
      </c>
      <c r="J6953">
        <v>1704</v>
      </c>
      <c r="K6953">
        <v>379</v>
      </c>
      <c r="L6953">
        <v>0</v>
      </c>
      <c r="M6953">
        <v>1338</v>
      </c>
      <c r="N6953">
        <v>0</v>
      </c>
      <c r="O6953">
        <v>4</v>
      </c>
      <c r="P6953">
        <v>1</v>
      </c>
      <c r="Q6953">
        <v>0</v>
      </c>
    </row>
    <row r="6954" spans="1:17" x14ac:dyDescent="0.2">
      <c r="A6954" s="121">
        <v>41547</v>
      </c>
      <c r="B6954" t="s">
        <v>406</v>
      </c>
      <c r="C6954" t="s">
        <v>456</v>
      </c>
      <c r="D6954" t="s">
        <v>461</v>
      </c>
      <c r="E6954" t="s">
        <v>462</v>
      </c>
      <c r="F6954" t="s">
        <v>410</v>
      </c>
      <c r="G6954">
        <v>86</v>
      </c>
      <c r="I6954">
        <v>86</v>
      </c>
    </row>
    <row r="6955" spans="1:17" x14ac:dyDescent="0.2">
      <c r="A6955" s="121">
        <v>41547</v>
      </c>
      <c r="B6955" t="s">
        <v>406</v>
      </c>
      <c r="C6955" t="s">
        <v>456</v>
      </c>
      <c r="D6955" t="s">
        <v>463</v>
      </c>
      <c r="E6955" t="s">
        <v>464</v>
      </c>
      <c r="F6955" t="s">
        <v>410</v>
      </c>
      <c r="G6955">
        <v>14</v>
      </c>
      <c r="I6955">
        <v>14</v>
      </c>
    </row>
    <row r="6956" spans="1:17" x14ac:dyDescent="0.2">
      <c r="A6956" s="121">
        <v>41547</v>
      </c>
      <c r="B6956" t="s">
        <v>406</v>
      </c>
      <c r="C6956" t="s">
        <v>456</v>
      </c>
      <c r="D6956" t="s">
        <v>465</v>
      </c>
      <c r="E6956" t="s">
        <v>466</v>
      </c>
      <c r="F6956" t="s">
        <v>410</v>
      </c>
      <c r="G6956">
        <v>76</v>
      </c>
      <c r="I6956">
        <v>76</v>
      </c>
    </row>
    <row r="6957" spans="1:17" x14ac:dyDescent="0.2">
      <c r="A6957" s="121">
        <v>41547</v>
      </c>
      <c r="B6957" t="s">
        <v>406</v>
      </c>
      <c r="C6957" t="s">
        <v>456</v>
      </c>
      <c r="D6957" t="s">
        <v>467</v>
      </c>
      <c r="E6957" t="s">
        <v>468</v>
      </c>
      <c r="F6957" t="s">
        <v>410</v>
      </c>
      <c r="G6957">
        <v>1349</v>
      </c>
      <c r="I6957">
        <v>1346</v>
      </c>
    </row>
    <row r="6958" spans="1:17" x14ac:dyDescent="0.2">
      <c r="A6958" s="121">
        <v>41547</v>
      </c>
      <c r="B6958" t="s">
        <v>406</v>
      </c>
      <c r="C6958" t="s">
        <v>456</v>
      </c>
      <c r="D6958" t="s">
        <v>469</v>
      </c>
      <c r="E6958" t="s">
        <v>470</v>
      </c>
      <c r="F6958" t="s">
        <v>410</v>
      </c>
      <c r="G6958">
        <v>813</v>
      </c>
      <c r="I6958">
        <v>811</v>
      </c>
    </row>
    <row r="6959" spans="1:17" x14ac:dyDescent="0.2">
      <c r="A6959" s="121">
        <v>41547</v>
      </c>
      <c r="B6959" t="s">
        <v>406</v>
      </c>
      <c r="C6959" t="s">
        <v>456</v>
      </c>
      <c r="D6959" t="s">
        <v>471</v>
      </c>
      <c r="E6959" t="s">
        <v>472</v>
      </c>
      <c r="F6959" t="s">
        <v>410</v>
      </c>
      <c r="G6959">
        <v>345</v>
      </c>
      <c r="I6959">
        <v>345</v>
      </c>
    </row>
    <row r="6960" spans="1:17" x14ac:dyDescent="0.2">
      <c r="A6960" s="121">
        <v>41547</v>
      </c>
      <c r="B6960" t="s">
        <v>406</v>
      </c>
      <c r="C6960" t="s">
        <v>456</v>
      </c>
      <c r="D6960" t="s">
        <v>473</v>
      </c>
      <c r="E6960" t="s">
        <v>474</v>
      </c>
      <c r="F6960" t="s">
        <v>410</v>
      </c>
      <c r="G6960">
        <v>199</v>
      </c>
      <c r="I6960">
        <v>199</v>
      </c>
    </row>
    <row r="6961" spans="1:17" x14ac:dyDescent="0.2">
      <c r="A6961" s="121">
        <v>41547</v>
      </c>
      <c r="B6961" t="s">
        <v>406</v>
      </c>
      <c r="C6961" t="s">
        <v>456</v>
      </c>
      <c r="D6961" t="s">
        <v>475</v>
      </c>
      <c r="E6961" t="s">
        <v>476</v>
      </c>
      <c r="F6961" t="s">
        <v>410</v>
      </c>
      <c r="G6961">
        <v>300</v>
      </c>
      <c r="I6961">
        <v>298</v>
      </c>
    </row>
    <row r="6962" spans="1:17" x14ac:dyDescent="0.2">
      <c r="A6962" s="121">
        <v>41547</v>
      </c>
      <c r="B6962" t="s">
        <v>406</v>
      </c>
      <c r="C6962" t="s">
        <v>456</v>
      </c>
      <c r="D6962" t="s">
        <v>477</v>
      </c>
      <c r="E6962" t="s">
        <v>478</v>
      </c>
      <c r="F6962" t="s">
        <v>413</v>
      </c>
      <c r="G6962">
        <v>2137</v>
      </c>
      <c r="H6962">
        <v>2137</v>
      </c>
      <c r="I6962">
        <v>1961</v>
      </c>
      <c r="J6962">
        <v>1961</v>
      </c>
      <c r="K6962">
        <v>468</v>
      </c>
      <c r="L6962">
        <v>5</v>
      </c>
      <c r="M6962">
        <v>1606</v>
      </c>
      <c r="N6962">
        <v>35</v>
      </c>
      <c r="O6962">
        <v>23</v>
      </c>
      <c r="P6962">
        <v>14</v>
      </c>
      <c r="Q6962">
        <v>0</v>
      </c>
    </row>
    <row r="6963" spans="1:17" x14ac:dyDescent="0.2">
      <c r="A6963" s="121">
        <v>41547</v>
      </c>
      <c r="B6963" t="s">
        <v>406</v>
      </c>
      <c r="C6963" t="s">
        <v>456</v>
      </c>
      <c r="D6963" t="s">
        <v>479</v>
      </c>
      <c r="E6963" t="s">
        <v>480</v>
      </c>
      <c r="F6963" t="s">
        <v>410</v>
      </c>
      <c r="G6963">
        <v>42</v>
      </c>
      <c r="I6963">
        <v>42</v>
      </c>
    </row>
    <row r="6964" spans="1:17" x14ac:dyDescent="0.2">
      <c r="A6964" s="121">
        <v>41547</v>
      </c>
      <c r="B6964" t="s">
        <v>406</v>
      </c>
      <c r="C6964" t="s">
        <v>456</v>
      </c>
      <c r="D6964" t="s">
        <v>481</v>
      </c>
      <c r="E6964" t="s">
        <v>482</v>
      </c>
      <c r="F6964" t="s">
        <v>410</v>
      </c>
      <c r="G6964">
        <v>30</v>
      </c>
      <c r="I6964">
        <v>30</v>
      </c>
    </row>
    <row r="6965" spans="1:17" x14ac:dyDescent="0.2">
      <c r="A6965" s="121">
        <v>41547</v>
      </c>
      <c r="B6965" t="s">
        <v>406</v>
      </c>
      <c r="C6965" t="s">
        <v>456</v>
      </c>
      <c r="D6965" t="s">
        <v>483</v>
      </c>
      <c r="E6965" t="s">
        <v>484</v>
      </c>
      <c r="F6965" t="s">
        <v>410</v>
      </c>
      <c r="G6965">
        <v>117</v>
      </c>
      <c r="I6965">
        <v>117</v>
      </c>
    </row>
    <row r="6966" spans="1:17" x14ac:dyDescent="0.2">
      <c r="A6966" s="121">
        <v>41547</v>
      </c>
      <c r="B6966" t="s">
        <v>406</v>
      </c>
      <c r="C6966" t="s">
        <v>456</v>
      </c>
      <c r="D6966" t="s">
        <v>485</v>
      </c>
      <c r="E6966" t="s">
        <v>486</v>
      </c>
      <c r="F6966" t="s">
        <v>410</v>
      </c>
      <c r="G6966">
        <v>38</v>
      </c>
      <c r="I6966">
        <v>38</v>
      </c>
    </row>
    <row r="6967" spans="1:17" x14ac:dyDescent="0.2">
      <c r="A6967" s="121">
        <v>41547</v>
      </c>
      <c r="B6967" t="s">
        <v>406</v>
      </c>
      <c r="C6967" t="s">
        <v>456</v>
      </c>
      <c r="D6967" t="s">
        <v>487</v>
      </c>
      <c r="E6967" t="s">
        <v>488</v>
      </c>
      <c r="F6967" t="s">
        <v>410</v>
      </c>
      <c r="G6967">
        <v>39</v>
      </c>
      <c r="I6967">
        <v>39</v>
      </c>
    </row>
    <row r="6968" spans="1:17" x14ac:dyDescent="0.2">
      <c r="A6968" s="121">
        <v>41547</v>
      </c>
      <c r="B6968" t="s">
        <v>406</v>
      </c>
      <c r="C6968" t="s">
        <v>456</v>
      </c>
      <c r="D6968" t="s">
        <v>489</v>
      </c>
      <c r="E6968" t="s">
        <v>490</v>
      </c>
      <c r="F6968" t="s">
        <v>410</v>
      </c>
      <c r="G6968">
        <v>131</v>
      </c>
      <c r="I6968">
        <v>131</v>
      </c>
    </row>
    <row r="6969" spans="1:17" x14ac:dyDescent="0.2">
      <c r="A6969" s="121">
        <v>41547</v>
      </c>
      <c r="B6969" t="s">
        <v>406</v>
      </c>
      <c r="C6969" t="s">
        <v>491</v>
      </c>
      <c r="D6969" t="s">
        <v>492</v>
      </c>
      <c r="E6969" t="s">
        <v>493</v>
      </c>
      <c r="F6969" t="s">
        <v>410</v>
      </c>
      <c r="G6969">
        <v>1250</v>
      </c>
      <c r="H6969">
        <v>1250</v>
      </c>
      <c r="I6969">
        <v>1235</v>
      </c>
      <c r="J6969">
        <v>1235</v>
      </c>
      <c r="K6969">
        <v>228</v>
      </c>
      <c r="L6969">
        <v>0</v>
      </c>
      <c r="M6969">
        <v>962</v>
      </c>
      <c r="N6969">
        <v>58</v>
      </c>
      <c r="O6969">
        <v>2</v>
      </c>
      <c r="P6969">
        <v>0</v>
      </c>
      <c r="Q6969">
        <v>0</v>
      </c>
    </row>
    <row r="6970" spans="1:17" x14ac:dyDescent="0.2">
      <c r="A6970" s="121">
        <v>41547</v>
      </c>
      <c r="B6970" t="s">
        <v>406</v>
      </c>
      <c r="C6970" t="s">
        <v>491</v>
      </c>
      <c r="D6970" t="s">
        <v>494</v>
      </c>
      <c r="E6970" t="s">
        <v>495</v>
      </c>
      <c r="F6970" t="s">
        <v>413</v>
      </c>
      <c r="G6970">
        <v>2611</v>
      </c>
      <c r="H6970">
        <v>2611</v>
      </c>
      <c r="I6970">
        <v>2470</v>
      </c>
      <c r="J6970">
        <v>2470</v>
      </c>
      <c r="K6970">
        <v>742</v>
      </c>
      <c r="L6970">
        <v>1</v>
      </c>
      <c r="M6970">
        <v>1641</v>
      </c>
      <c r="N6970">
        <v>29</v>
      </c>
      <c r="O6970">
        <v>198</v>
      </c>
      <c r="P6970">
        <v>11</v>
      </c>
      <c r="Q6970">
        <v>0</v>
      </c>
    </row>
    <row r="6971" spans="1:17" x14ac:dyDescent="0.2">
      <c r="A6971" s="121">
        <v>41547</v>
      </c>
      <c r="B6971" t="s">
        <v>406</v>
      </c>
      <c r="C6971" t="s">
        <v>491</v>
      </c>
      <c r="D6971" t="s">
        <v>496</v>
      </c>
      <c r="E6971" t="s">
        <v>497</v>
      </c>
      <c r="F6971" t="s">
        <v>413</v>
      </c>
      <c r="G6971">
        <v>5613</v>
      </c>
      <c r="H6971">
        <v>5613</v>
      </c>
      <c r="I6971">
        <v>5287</v>
      </c>
      <c r="J6971">
        <v>5287</v>
      </c>
      <c r="K6971">
        <v>1916</v>
      </c>
      <c r="L6971">
        <v>17</v>
      </c>
      <c r="M6971">
        <v>3479</v>
      </c>
      <c r="N6971">
        <v>83</v>
      </c>
      <c r="O6971">
        <v>118</v>
      </c>
      <c r="P6971">
        <v>8</v>
      </c>
      <c r="Q6971">
        <v>0</v>
      </c>
    </row>
    <row r="6972" spans="1:17" x14ac:dyDescent="0.2">
      <c r="A6972" s="121">
        <v>41547</v>
      </c>
      <c r="B6972" t="s">
        <v>406</v>
      </c>
      <c r="C6972" t="s">
        <v>491</v>
      </c>
      <c r="D6972" t="s">
        <v>498</v>
      </c>
      <c r="E6972" t="s">
        <v>499</v>
      </c>
      <c r="F6972" t="s">
        <v>413</v>
      </c>
      <c r="G6972">
        <v>6911</v>
      </c>
      <c r="H6972">
        <v>6911</v>
      </c>
      <c r="I6972">
        <v>6462</v>
      </c>
      <c r="J6972">
        <v>6462</v>
      </c>
      <c r="K6972">
        <v>2290</v>
      </c>
      <c r="L6972">
        <v>18</v>
      </c>
      <c r="M6972">
        <v>4176</v>
      </c>
      <c r="N6972">
        <v>86</v>
      </c>
      <c r="O6972">
        <v>341</v>
      </c>
      <c r="P6972">
        <v>1</v>
      </c>
      <c r="Q6972">
        <v>0</v>
      </c>
    </row>
    <row r="6973" spans="1:17" x14ac:dyDescent="0.2">
      <c r="A6973" s="121">
        <v>41547</v>
      </c>
      <c r="B6973" t="s">
        <v>406</v>
      </c>
      <c r="C6973" t="s">
        <v>491</v>
      </c>
      <c r="D6973" t="s">
        <v>500</v>
      </c>
      <c r="E6973" t="s">
        <v>620</v>
      </c>
      <c r="F6973" t="s">
        <v>410</v>
      </c>
      <c r="G6973">
        <v>1474</v>
      </c>
      <c r="H6973">
        <v>1474</v>
      </c>
      <c r="I6973">
        <v>1472</v>
      </c>
      <c r="J6973">
        <v>1472</v>
      </c>
      <c r="K6973">
        <v>0</v>
      </c>
      <c r="L6973">
        <v>0</v>
      </c>
      <c r="M6973">
        <v>1355</v>
      </c>
      <c r="N6973">
        <v>80</v>
      </c>
      <c r="O6973">
        <v>39</v>
      </c>
      <c r="P6973">
        <v>0</v>
      </c>
      <c r="Q6973">
        <v>0</v>
      </c>
    </row>
    <row r="6974" spans="1:17" x14ac:dyDescent="0.2">
      <c r="A6974" s="121">
        <v>41547</v>
      </c>
      <c r="B6974" t="s">
        <v>406</v>
      </c>
      <c r="C6974" t="s">
        <v>491</v>
      </c>
      <c r="D6974" t="s">
        <v>502</v>
      </c>
      <c r="E6974" t="s">
        <v>615</v>
      </c>
      <c r="F6974" t="s">
        <v>410</v>
      </c>
      <c r="G6974">
        <v>2142</v>
      </c>
      <c r="H6974">
        <v>2142</v>
      </c>
      <c r="I6974">
        <v>2141</v>
      </c>
      <c r="J6974">
        <v>2141</v>
      </c>
      <c r="K6974">
        <v>0</v>
      </c>
      <c r="L6974">
        <v>0</v>
      </c>
      <c r="M6974">
        <v>2025</v>
      </c>
      <c r="N6974">
        <v>105</v>
      </c>
      <c r="O6974">
        <v>12</v>
      </c>
      <c r="P6974">
        <v>0</v>
      </c>
      <c r="Q6974">
        <v>0</v>
      </c>
    </row>
    <row r="6975" spans="1:17" x14ac:dyDescent="0.2">
      <c r="A6975" s="121">
        <v>41547</v>
      </c>
      <c r="B6975" t="s">
        <v>406</v>
      </c>
      <c r="C6975" t="s">
        <v>491</v>
      </c>
      <c r="D6975" t="s">
        <v>502</v>
      </c>
      <c r="E6975" t="s">
        <v>503</v>
      </c>
      <c r="F6975" t="s">
        <v>413</v>
      </c>
      <c r="G6975">
        <v>4865</v>
      </c>
      <c r="H6975">
        <v>4865</v>
      </c>
      <c r="I6975">
        <v>4543</v>
      </c>
      <c r="J6975">
        <v>4543</v>
      </c>
      <c r="K6975">
        <v>1543</v>
      </c>
      <c r="L6975">
        <v>9</v>
      </c>
      <c r="M6975">
        <v>2988</v>
      </c>
      <c r="N6975">
        <v>256</v>
      </c>
      <c r="O6975">
        <v>69</v>
      </c>
      <c r="P6975">
        <v>24</v>
      </c>
      <c r="Q6975">
        <v>0</v>
      </c>
    </row>
    <row r="6976" spans="1:17" x14ac:dyDescent="0.2">
      <c r="A6976" s="121">
        <v>41547</v>
      </c>
      <c r="B6976" t="s">
        <v>406</v>
      </c>
      <c r="C6976" t="s">
        <v>491</v>
      </c>
      <c r="D6976" t="s">
        <v>504</v>
      </c>
      <c r="E6976" t="s">
        <v>505</v>
      </c>
      <c r="F6976" t="s">
        <v>413</v>
      </c>
      <c r="G6976">
        <v>3868</v>
      </c>
      <c r="H6976">
        <v>3868</v>
      </c>
      <c r="I6976">
        <v>3675</v>
      </c>
      <c r="J6976">
        <v>3675</v>
      </c>
      <c r="K6976">
        <v>1147</v>
      </c>
      <c r="L6976">
        <v>7</v>
      </c>
      <c r="M6976">
        <v>2512</v>
      </c>
      <c r="N6976">
        <v>134</v>
      </c>
      <c r="O6976">
        <v>68</v>
      </c>
      <c r="P6976">
        <v>0</v>
      </c>
      <c r="Q6976">
        <v>0</v>
      </c>
    </row>
    <row r="6977" spans="1:17" x14ac:dyDescent="0.2">
      <c r="A6977" s="121">
        <v>41547</v>
      </c>
      <c r="B6977" t="s">
        <v>406</v>
      </c>
      <c r="C6977" t="s">
        <v>491</v>
      </c>
      <c r="D6977" t="s">
        <v>506</v>
      </c>
      <c r="E6977" t="s">
        <v>507</v>
      </c>
      <c r="F6977" t="s">
        <v>413</v>
      </c>
      <c r="G6977">
        <v>3586</v>
      </c>
      <c r="H6977">
        <v>3586</v>
      </c>
      <c r="I6977">
        <v>3535</v>
      </c>
      <c r="J6977">
        <v>3535</v>
      </c>
      <c r="K6977">
        <v>1091</v>
      </c>
      <c r="L6977">
        <v>3</v>
      </c>
      <c r="M6977">
        <v>2483</v>
      </c>
      <c r="N6977">
        <v>1</v>
      </c>
      <c r="O6977">
        <v>8</v>
      </c>
      <c r="P6977">
        <v>0</v>
      </c>
      <c r="Q6977">
        <v>0</v>
      </c>
    </row>
    <row r="6978" spans="1:17" x14ac:dyDescent="0.2">
      <c r="A6978" s="121">
        <v>41547</v>
      </c>
      <c r="B6978" t="s">
        <v>406</v>
      </c>
      <c r="C6978" t="s">
        <v>491</v>
      </c>
      <c r="D6978" t="s">
        <v>508</v>
      </c>
      <c r="E6978" t="s">
        <v>509</v>
      </c>
      <c r="F6978" t="s">
        <v>413</v>
      </c>
      <c r="G6978">
        <v>4904</v>
      </c>
      <c r="H6978">
        <v>4904</v>
      </c>
      <c r="I6978">
        <v>4272</v>
      </c>
      <c r="J6978">
        <v>4272</v>
      </c>
      <c r="K6978">
        <v>1583</v>
      </c>
      <c r="L6978">
        <v>12</v>
      </c>
      <c r="M6978">
        <v>2993</v>
      </c>
      <c r="N6978">
        <v>107</v>
      </c>
      <c r="O6978">
        <v>209</v>
      </c>
      <c r="P6978">
        <v>45</v>
      </c>
      <c r="Q6978">
        <v>0</v>
      </c>
    </row>
    <row r="6979" spans="1:17" x14ac:dyDescent="0.2">
      <c r="A6979" s="121">
        <v>41547</v>
      </c>
      <c r="B6979" t="s">
        <v>406</v>
      </c>
      <c r="C6979" t="s">
        <v>510</v>
      </c>
      <c r="D6979" t="s">
        <v>513</v>
      </c>
      <c r="E6979" t="s">
        <v>514</v>
      </c>
      <c r="F6979" t="s">
        <v>410</v>
      </c>
      <c r="G6979">
        <v>585</v>
      </c>
      <c r="I6979">
        <v>579</v>
      </c>
    </row>
    <row r="6980" spans="1:17" x14ac:dyDescent="0.2">
      <c r="A6980" s="121">
        <v>41547</v>
      </c>
      <c r="B6980" t="s">
        <v>406</v>
      </c>
      <c r="C6980" t="s">
        <v>510</v>
      </c>
      <c r="D6980" t="s">
        <v>515</v>
      </c>
      <c r="E6980" t="s">
        <v>516</v>
      </c>
      <c r="F6980" t="s">
        <v>410</v>
      </c>
      <c r="G6980">
        <v>88</v>
      </c>
      <c r="I6980">
        <v>85</v>
      </c>
    </row>
    <row r="6981" spans="1:17" x14ac:dyDescent="0.2">
      <c r="A6981" s="121">
        <v>41547</v>
      </c>
      <c r="B6981" t="s">
        <v>406</v>
      </c>
      <c r="C6981" t="s">
        <v>510</v>
      </c>
      <c r="D6981" t="s">
        <v>519</v>
      </c>
      <c r="E6981" t="s">
        <v>520</v>
      </c>
      <c r="F6981" t="s">
        <v>410</v>
      </c>
      <c r="G6981">
        <v>332</v>
      </c>
      <c r="I6981">
        <v>326</v>
      </c>
    </row>
    <row r="6982" spans="1:17" x14ac:dyDescent="0.2">
      <c r="A6982" s="121">
        <v>41547</v>
      </c>
      <c r="B6982" t="s">
        <v>406</v>
      </c>
      <c r="C6982" t="s">
        <v>510</v>
      </c>
      <c r="D6982" t="s">
        <v>523</v>
      </c>
      <c r="E6982" t="s">
        <v>524</v>
      </c>
      <c r="F6982" t="s">
        <v>413</v>
      </c>
      <c r="G6982">
        <v>581</v>
      </c>
      <c r="H6982">
        <v>581</v>
      </c>
      <c r="I6982">
        <v>574</v>
      </c>
      <c r="J6982">
        <v>574</v>
      </c>
      <c r="K6982">
        <v>95</v>
      </c>
      <c r="L6982">
        <v>0</v>
      </c>
      <c r="M6982">
        <v>475</v>
      </c>
      <c r="N6982">
        <v>11</v>
      </c>
      <c r="O6982">
        <v>0</v>
      </c>
      <c r="P6982">
        <v>0</v>
      </c>
      <c r="Q6982">
        <v>0</v>
      </c>
    </row>
    <row r="6983" spans="1:17" x14ac:dyDescent="0.2">
      <c r="A6983" s="121">
        <v>41547</v>
      </c>
      <c r="B6983" t="s">
        <v>406</v>
      </c>
      <c r="C6983" t="s">
        <v>510</v>
      </c>
      <c r="D6983" t="s">
        <v>525</v>
      </c>
      <c r="E6983" t="s">
        <v>526</v>
      </c>
      <c r="F6983" t="s">
        <v>410</v>
      </c>
      <c r="G6983">
        <v>457</v>
      </c>
      <c r="I6983">
        <v>446</v>
      </c>
    </row>
    <row r="6984" spans="1:17" x14ac:dyDescent="0.2">
      <c r="A6984" s="121">
        <v>41547</v>
      </c>
      <c r="B6984" t="s">
        <v>406</v>
      </c>
      <c r="C6984" t="s">
        <v>510</v>
      </c>
      <c r="D6984" t="s">
        <v>527</v>
      </c>
      <c r="E6984" t="s">
        <v>528</v>
      </c>
      <c r="F6984" t="s">
        <v>410</v>
      </c>
      <c r="G6984">
        <v>195</v>
      </c>
      <c r="I6984">
        <v>192</v>
      </c>
    </row>
    <row r="6985" spans="1:17" x14ac:dyDescent="0.2">
      <c r="A6985" s="121">
        <v>41547</v>
      </c>
      <c r="B6985" t="s">
        <v>406</v>
      </c>
      <c r="C6985" t="s">
        <v>510</v>
      </c>
      <c r="D6985" t="s">
        <v>529</v>
      </c>
      <c r="E6985" t="s">
        <v>530</v>
      </c>
      <c r="F6985" t="s">
        <v>413</v>
      </c>
      <c r="G6985">
        <v>446</v>
      </c>
      <c r="H6985">
        <v>446</v>
      </c>
      <c r="I6985">
        <v>423</v>
      </c>
      <c r="J6985">
        <v>423</v>
      </c>
      <c r="K6985">
        <v>145</v>
      </c>
      <c r="L6985">
        <v>1</v>
      </c>
      <c r="M6985">
        <v>295</v>
      </c>
      <c r="N6985">
        <v>5</v>
      </c>
      <c r="O6985">
        <v>0</v>
      </c>
      <c r="P6985">
        <v>1</v>
      </c>
      <c r="Q6985">
        <v>0</v>
      </c>
    </row>
    <row r="6986" spans="1:17" x14ac:dyDescent="0.2">
      <c r="A6986" s="121">
        <v>41547</v>
      </c>
      <c r="B6986" t="s">
        <v>406</v>
      </c>
      <c r="C6986" t="s">
        <v>510</v>
      </c>
      <c r="D6986" t="s">
        <v>531</v>
      </c>
      <c r="E6986" t="s">
        <v>532</v>
      </c>
      <c r="F6986" t="s">
        <v>410</v>
      </c>
      <c r="G6986">
        <v>15</v>
      </c>
      <c r="I6986">
        <v>15</v>
      </c>
    </row>
    <row r="6987" spans="1:17" x14ac:dyDescent="0.2">
      <c r="A6987" s="121">
        <v>41547</v>
      </c>
      <c r="B6987" t="s">
        <v>406</v>
      </c>
      <c r="C6987" t="s">
        <v>510</v>
      </c>
      <c r="D6987" t="s">
        <v>533</v>
      </c>
      <c r="E6987" t="s">
        <v>534</v>
      </c>
      <c r="F6987" t="s">
        <v>413</v>
      </c>
      <c r="G6987">
        <v>2690</v>
      </c>
      <c r="H6987">
        <v>2690</v>
      </c>
      <c r="I6987">
        <v>2594</v>
      </c>
      <c r="J6987">
        <v>2594</v>
      </c>
      <c r="K6987">
        <v>711</v>
      </c>
      <c r="L6987">
        <v>2</v>
      </c>
      <c r="M6987">
        <v>1970</v>
      </c>
      <c r="N6987">
        <v>7</v>
      </c>
      <c r="O6987">
        <v>0</v>
      </c>
      <c r="P6987">
        <v>2</v>
      </c>
      <c r="Q6987">
        <v>0</v>
      </c>
    </row>
    <row r="6988" spans="1:17" x14ac:dyDescent="0.2">
      <c r="A6988" s="121">
        <v>41547</v>
      </c>
      <c r="B6988" t="s">
        <v>406</v>
      </c>
      <c r="C6988" t="s">
        <v>510</v>
      </c>
      <c r="D6988" t="s">
        <v>535</v>
      </c>
      <c r="E6988" t="s">
        <v>536</v>
      </c>
      <c r="F6988" t="s">
        <v>410</v>
      </c>
      <c r="G6988">
        <v>599</v>
      </c>
      <c r="I6988">
        <v>599</v>
      </c>
    </row>
    <row r="6989" spans="1:17" x14ac:dyDescent="0.2">
      <c r="A6989" s="121">
        <v>41547</v>
      </c>
      <c r="B6989" t="s">
        <v>406</v>
      </c>
      <c r="C6989" t="s">
        <v>510</v>
      </c>
      <c r="D6989" t="s">
        <v>537</v>
      </c>
      <c r="E6989" t="s">
        <v>538</v>
      </c>
      <c r="F6989" t="s">
        <v>410</v>
      </c>
      <c r="G6989">
        <v>101</v>
      </c>
      <c r="I6989">
        <v>101</v>
      </c>
    </row>
    <row r="6990" spans="1:17" x14ac:dyDescent="0.2">
      <c r="A6990" s="121">
        <v>41547</v>
      </c>
      <c r="B6990" t="s">
        <v>406</v>
      </c>
      <c r="C6990" t="s">
        <v>510</v>
      </c>
      <c r="D6990" t="s">
        <v>539</v>
      </c>
      <c r="E6990" t="s">
        <v>540</v>
      </c>
      <c r="F6990" t="s">
        <v>413</v>
      </c>
      <c r="G6990">
        <v>766</v>
      </c>
      <c r="H6990">
        <v>766</v>
      </c>
      <c r="I6990">
        <v>735</v>
      </c>
      <c r="J6990">
        <v>735</v>
      </c>
      <c r="K6990">
        <v>134</v>
      </c>
      <c r="L6990">
        <v>0</v>
      </c>
      <c r="M6990">
        <v>629</v>
      </c>
      <c r="N6990">
        <v>3</v>
      </c>
      <c r="O6990">
        <v>0</v>
      </c>
      <c r="P6990">
        <v>0</v>
      </c>
      <c r="Q6990">
        <v>0</v>
      </c>
    </row>
    <row r="6991" spans="1:17" x14ac:dyDescent="0.2">
      <c r="A6991" s="121">
        <v>41547</v>
      </c>
      <c r="B6991" t="s">
        <v>406</v>
      </c>
      <c r="C6991" t="s">
        <v>510</v>
      </c>
      <c r="D6991" t="s">
        <v>541</v>
      </c>
      <c r="E6991" t="s">
        <v>542</v>
      </c>
      <c r="F6991" t="s">
        <v>410</v>
      </c>
      <c r="G6991">
        <v>411</v>
      </c>
      <c r="I6991">
        <v>411</v>
      </c>
    </row>
    <row r="6992" spans="1:17" x14ac:dyDescent="0.2">
      <c r="A6992" s="121">
        <v>41547</v>
      </c>
      <c r="B6992" t="s">
        <v>406</v>
      </c>
      <c r="C6992" t="s">
        <v>510</v>
      </c>
      <c r="D6992" t="s">
        <v>543</v>
      </c>
      <c r="E6992" t="s">
        <v>544</v>
      </c>
      <c r="F6992" t="s">
        <v>410</v>
      </c>
      <c r="G6992">
        <v>251</v>
      </c>
      <c r="I6992">
        <v>251</v>
      </c>
    </row>
    <row r="6993" spans="1:17" x14ac:dyDescent="0.2">
      <c r="A6993" s="121">
        <v>41547</v>
      </c>
      <c r="B6993" t="s">
        <v>406</v>
      </c>
      <c r="C6993" t="s">
        <v>510</v>
      </c>
      <c r="D6993" t="s">
        <v>545</v>
      </c>
      <c r="E6993" t="s">
        <v>546</v>
      </c>
      <c r="F6993" t="s">
        <v>410</v>
      </c>
      <c r="G6993">
        <v>166</v>
      </c>
      <c r="I6993">
        <v>166</v>
      </c>
    </row>
    <row r="6994" spans="1:17" x14ac:dyDescent="0.2">
      <c r="A6994" s="121">
        <v>41547</v>
      </c>
      <c r="B6994" t="s">
        <v>406</v>
      </c>
      <c r="C6994" t="s">
        <v>510</v>
      </c>
      <c r="D6994" t="s">
        <v>547</v>
      </c>
      <c r="E6994" t="s">
        <v>548</v>
      </c>
      <c r="F6994" t="s">
        <v>410</v>
      </c>
      <c r="G6994">
        <v>164</v>
      </c>
      <c r="I6994">
        <v>163</v>
      </c>
    </row>
    <row r="6995" spans="1:17" x14ac:dyDescent="0.2">
      <c r="A6995" s="121">
        <v>41547</v>
      </c>
      <c r="B6995" t="s">
        <v>406</v>
      </c>
      <c r="C6995" t="s">
        <v>510</v>
      </c>
      <c r="D6995" t="s">
        <v>616</v>
      </c>
      <c r="E6995" t="s">
        <v>617</v>
      </c>
      <c r="F6995" t="s">
        <v>410</v>
      </c>
      <c r="G6995">
        <v>341</v>
      </c>
      <c r="I6995">
        <v>327</v>
      </c>
    </row>
    <row r="6996" spans="1:17" x14ac:dyDescent="0.2">
      <c r="A6996" s="121">
        <v>41547</v>
      </c>
      <c r="B6996" t="s">
        <v>406</v>
      </c>
      <c r="C6996" t="s">
        <v>510</v>
      </c>
      <c r="D6996" t="s">
        <v>549</v>
      </c>
      <c r="E6996" t="s">
        <v>550</v>
      </c>
      <c r="F6996" t="s">
        <v>410</v>
      </c>
      <c r="G6996">
        <v>124</v>
      </c>
      <c r="I6996">
        <v>124</v>
      </c>
    </row>
    <row r="6997" spans="1:17" x14ac:dyDescent="0.2">
      <c r="A6997" s="121">
        <v>41547</v>
      </c>
      <c r="B6997" t="s">
        <v>406</v>
      </c>
      <c r="C6997" t="s">
        <v>510</v>
      </c>
      <c r="D6997" t="s">
        <v>625</v>
      </c>
      <c r="E6997" t="s">
        <v>626</v>
      </c>
      <c r="F6997" t="s">
        <v>410</v>
      </c>
      <c r="G6997">
        <v>57</v>
      </c>
      <c r="I6997">
        <v>54</v>
      </c>
    </row>
    <row r="6998" spans="1:17" x14ac:dyDescent="0.2">
      <c r="A6998" s="121">
        <v>41547</v>
      </c>
      <c r="B6998" t="s">
        <v>406</v>
      </c>
      <c r="C6998" t="s">
        <v>551</v>
      </c>
      <c r="D6998" t="s">
        <v>552</v>
      </c>
      <c r="E6998" t="s">
        <v>553</v>
      </c>
      <c r="F6998" t="s">
        <v>413</v>
      </c>
      <c r="G6998">
        <v>5500</v>
      </c>
      <c r="H6998">
        <v>5500</v>
      </c>
      <c r="I6998">
        <v>4914</v>
      </c>
      <c r="J6998">
        <v>4914</v>
      </c>
      <c r="K6998">
        <v>1475</v>
      </c>
      <c r="L6998">
        <v>7</v>
      </c>
      <c r="M6998">
        <v>3680</v>
      </c>
      <c r="N6998">
        <v>195</v>
      </c>
      <c r="O6998">
        <v>143</v>
      </c>
      <c r="P6998">
        <v>23</v>
      </c>
      <c r="Q6998">
        <v>0</v>
      </c>
    </row>
    <row r="6999" spans="1:17" x14ac:dyDescent="0.2">
      <c r="A6999" s="121">
        <v>41547</v>
      </c>
      <c r="B6999" t="s">
        <v>406</v>
      </c>
      <c r="C6999" t="s">
        <v>551</v>
      </c>
      <c r="D6999" t="s">
        <v>554</v>
      </c>
      <c r="E6999" t="s">
        <v>555</v>
      </c>
      <c r="F6999" t="s">
        <v>410</v>
      </c>
      <c r="G6999">
        <v>61</v>
      </c>
      <c r="I6999">
        <v>61</v>
      </c>
    </row>
    <row r="7000" spans="1:17" x14ac:dyDescent="0.2">
      <c r="A7000" s="121">
        <v>41547</v>
      </c>
      <c r="B7000" t="s">
        <v>406</v>
      </c>
      <c r="C7000" t="s">
        <v>551</v>
      </c>
      <c r="D7000" t="s">
        <v>556</v>
      </c>
      <c r="E7000" t="s">
        <v>557</v>
      </c>
      <c r="F7000" t="s">
        <v>410</v>
      </c>
      <c r="G7000">
        <v>97</v>
      </c>
      <c r="I7000">
        <v>97</v>
      </c>
    </row>
    <row r="7001" spans="1:17" x14ac:dyDescent="0.2">
      <c r="A7001" s="121">
        <v>41547</v>
      </c>
      <c r="B7001" t="s">
        <v>406</v>
      </c>
      <c r="C7001" t="s">
        <v>551</v>
      </c>
      <c r="D7001" t="s">
        <v>558</v>
      </c>
      <c r="E7001" t="s">
        <v>559</v>
      </c>
      <c r="F7001" t="s">
        <v>413</v>
      </c>
      <c r="G7001">
        <v>4615</v>
      </c>
      <c r="H7001">
        <v>4615</v>
      </c>
      <c r="I7001">
        <v>4323</v>
      </c>
      <c r="J7001">
        <v>4323</v>
      </c>
      <c r="K7001">
        <v>1257</v>
      </c>
      <c r="L7001">
        <v>1</v>
      </c>
      <c r="M7001">
        <v>3220</v>
      </c>
      <c r="N7001">
        <v>126</v>
      </c>
      <c r="O7001">
        <v>11</v>
      </c>
      <c r="P7001">
        <v>37</v>
      </c>
      <c r="Q7001">
        <v>8</v>
      </c>
    </row>
    <row r="7002" spans="1:17" x14ac:dyDescent="0.2">
      <c r="A7002" s="121">
        <v>41547</v>
      </c>
      <c r="B7002" t="s">
        <v>406</v>
      </c>
      <c r="C7002" t="s">
        <v>551</v>
      </c>
      <c r="D7002" t="s">
        <v>560</v>
      </c>
      <c r="E7002" t="s">
        <v>561</v>
      </c>
      <c r="F7002" t="s">
        <v>413</v>
      </c>
      <c r="G7002">
        <v>5037</v>
      </c>
      <c r="H7002">
        <v>5037</v>
      </c>
      <c r="I7002">
        <v>4710</v>
      </c>
      <c r="J7002">
        <v>4710</v>
      </c>
      <c r="K7002">
        <v>1077</v>
      </c>
      <c r="L7002">
        <v>13</v>
      </c>
      <c r="M7002">
        <v>3684</v>
      </c>
      <c r="N7002">
        <v>213</v>
      </c>
      <c r="O7002">
        <v>50</v>
      </c>
      <c r="P7002">
        <v>11</v>
      </c>
      <c r="Q7002">
        <v>1</v>
      </c>
    </row>
    <row r="7003" spans="1:17" x14ac:dyDescent="0.2">
      <c r="A7003" s="121">
        <v>41547</v>
      </c>
      <c r="B7003" t="s">
        <v>406</v>
      </c>
      <c r="C7003" t="s">
        <v>562</v>
      </c>
      <c r="D7003" t="s">
        <v>605</v>
      </c>
      <c r="E7003" t="s">
        <v>606</v>
      </c>
      <c r="F7003" t="s">
        <v>410</v>
      </c>
      <c r="G7003">
        <v>100</v>
      </c>
      <c r="I7003">
        <v>100</v>
      </c>
    </row>
    <row r="7004" spans="1:17" x14ac:dyDescent="0.2">
      <c r="A7004" s="121">
        <v>41547</v>
      </c>
      <c r="B7004" t="s">
        <v>406</v>
      </c>
      <c r="C7004" t="s">
        <v>562</v>
      </c>
      <c r="D7004" t="s">
        <v>563</v>
      </c>
      <c r="E7004" t="s">
        <v>564</v>
      </c>
      <c r="F7004" t="s">
        <v>410</v>
      </c>
      <c r="G7004">
        <v>3482</v>
      </c>
      <c r="H7004">
        <v>3482</v>
      </c>
      <c r="I7004">
        <v>3221</v>
      </c>
      <c r="J7004">
        <v>3221</v>
      </c>
      <c r="K7004">
        <v>1110</v>
      </c>
      <c r="L7004">
        <v>1</v>
      </c>
      <c r="M7004">
        <v>2344</v>
      </c>
      <c r="N7004">
        <v>27</v>
      </c>
      <c r="O7004">
        <v>0</v>
      </c>
      <c r="P7004">
        <v>28</v>
      </c>
      <c r="Q7004">
        <v>0</v>
      </c>
    </row>
    <row r="7005" spans="1:17" x14ac:dyDescent="0.2">
      <c r="A7005" s="121">
        <v>41547</v>
      </c>
      <c r="B7005" t="s">
        <v>406</v>
      </c>
      <c r="C7005" t="s">
        <v>562</v>
      </c>
      <c r="D7005" t="s">
        <v>565</v>
      </c>
      <c r="E7005" t="s">
        <v>566</v>
      </c>
      <c r="F7005" t="s">
        <v>413</v>
      </c>
      <c r="G7005">
        <v>4264</v>
      </c>
      <c r="H7005">
        <v>4264</v>
      </c>
      <c r="I7005">
        <v>4148</v>
      </c>
      <c r="J7005">
        <v>4148</v>
      </c>
      <c r="K7005">
        <v>908</v>
      </c>
      <c r="L7005">
        <v>7</v>
      </c>
      <c r="M7005">
        <v>3264</v>
      </c>
      <c r="N7005">
        <v>85</v>
      </c>
      <c r="O7005">
        <v>0</v>
      </c>
      <c r="P7005">
        <v>8</v>
      </c>
      <c r="Q7005">
        <v>1</v>
      </c>
    </row>
    <row r="7006" spans="1:17" x14ac:dyDescent="0.2">
      <c r="A7006" s="121">
        <v>41547</v>
      </c>
      <c r="B7006" t="s">
        <v>406</v>
      </c>
      <c r="C7006" t="s">
        <v>562</v>
      </c>
      <c r="D7006" t="s">
        <v>567</v>
      </c>
      <c r="E7006" t="s">
        <v>568</v>
      </c>
      <c r="F7006" t="s">
        <v>413</v>
      </c>
      <c r="G7006">
        <v>9725</v>
      </c>
      <c r="H7006">
        <v>9725</v>
      </c>
      <c r="I7006">
        <v>8874</v>
      </c>
      <c r="J7006">
        <v>8874</v>
      </c>
      <c r="K7006">
        <v>2752</v>
      </c>
      <c r="L7006">
        <v>18</v>
      </c>
      <c r="M7006">
        <v>6702</v>
      </c>
      <c r="N7006">
        <v>253</v>
      </c>
      <c r="O7006">
        <v>0</v>
      </c>
      <c r="P7006">
        <v>104</v>
      </c>
      <c r="Q7006">
        <v>5</v>
      </c>
    </row>
    <row r="7007" spans="1:17" x14ac:dyDescent="0.2">
      <c r="A7007" s="121">
        <v>41547</v>
      </c>
      <c r="B7007" t="s">
        <v>406</v>
      </c>
      <c r="C7007" t="s">
        <v>562</v>
      </c>
      <c r="D7007" t="s">
        <v>569</v>
      </c>
      <c r="E7007" t="s">
        <v>570</v>
      </c>
      <c r="F7007" t="s">
        <v>413</v>
      </c>
      <c r="G7007">
        <v>3516</v>
      </c>
      <c r="H7007">
        <v>3516</v>
      </c>
      <c r="I7007">
        <v>3486</v>
      </c>
      <c r="J7007">
        <v>3486</v>
      </c>
      <c r="K7007">
        <v>454</v>
      </c>
      <c r="L7007">
        <v>0</v>
      </c>
      <c r="M7007">
        <v>3062</v>
      </c>
      <c r="N7007">
        <v>0</v>
      </c>
      <c r="O7007">
        <v>0</v>
      </c>
      <c r="P7007">
        <v>1</v>
      </c>
      <c r="Q7007">
        <v>0</v>
      </c>
    </row>
    <row r="7008" spans="1:17" x14ac:dyDescent="0.2">
      <c r="A7008" s="121">
        <v>41547</v>
      </c>
      <c r="B7008" t="s">
        <v>406</v>
      </c>
      <c r="C7008" t="s">
        <v>571</v>
      </c>
      <c r="D7008" t="s">
        <v>572</v>
      </c>
      <c r="E7008" t="s">
        <v>573</v>
      </c>
      <c r="F7008" t="s">
        <v>410</v>
      </c>
      <c r="G7008">
        <v>413</v>
      </c>
      <c r="H7008">
        <v>413</v>
      </c>
      <c r="I7008">
        <v>412</v>
      </c>
      <c r="J7008">
        <v>412</v>
      </c>
      <c r="K7008">
        <v>119</v>
      </c>
      <c r="L7008">
        <v>0</v>
      </c>
      <c r="M7008">
        <v>292</v>
      </c>
      <c r="N7008">
        <v>0</v>
      </c>
      <c r="O7008">
        <v>2</v>
      </c>
      <c r="P7008">
        <v>0</v>
      </c>
      <c r="Q7008">
        <v>0</v>
      </c>
    </row>
    <row r="7009" spans="1:17" x14ac:dyDescent="0.2">
      <c r="A7009" s="121">
        <v>41547</v>
      </c>
      <c r="B7009" t="s">
        <v>406</v>
      </c>
      <c r="C7009" t="s">
        <v>574</v>
      </c>
      <c r="D7009" t="s">
        <v>575</v>
      </c>
      <c r="E7009" t="s">
        <v>576</v>
      </c>
      <c r="F7009" t="s">
        <v>413</v>
      </c>
      <c r="G7009">
        <v>639</v>
      </c>
      <c r="H7009">
        <v>639</v>
      </c>
      <c r="I7009">
        <v>629</v>
      </c>
      <c r="J7009">
        <v>629</v>
      </c>
      <c r="K7009">
        <v>148</v>
      </c>
      <c r="L7009">
        <v>0</v>
      </c>
      <c r="M7009">
        <v>467</v>
      </c>
      <c r="N7009">
        <v>5</v>
      </c>
      <c r="O7009">
        <v>19</v>
      </c>
      <c r="P7009">
        <v>1</v>
      </c>
      <c r="Q7009">
        <v>0</v>
      </c>
    </row>
    <row r="7010" spans="1:17" x14ac:dyDescent="0.2">
      <c r="A7010" s="121">
        <v>41547</v>
      </c>
      <c r="B7010" t="s">
        <v>406</v>
      </c>
      <c r="C7010" t="s">
        <v>577</v>
      </c>
      <c r="D7010" t="s">
        <v>578</v>
      </c>
      <c r="E7010" t="s">
        <v>579</v>
      </c>
      <c r="F7010" t="s">
        <v>413</v>
      </c>
      <c r="G7010">
        <v>4164</v>
      </c>
      <c r="H7010">
        <v>4164</v>
      </c>
      <c r="I7010">
        <v>4094</v>
      </c>
      <c r="J7010">
        <v>4094</v>
      </c>
      <c r="K7010">
        <v>858</v>
      </c>
      <c r="L7010">
        <v>13</v>
      </c>
      <c r="M7010">
        <v>3065</v>
      </c>
      <c r="N7010">
        <v>226</v>
      </c>
      <c r="O7010">
        <v>2</v>
      </c>
      <c r="P7010">
        <v>0</v>
      </c>
      <c r="Q7010">
        <v>0</v>
      </c>
    </row>
    <row r="7011" spans="1:17" x14ac:dyDescent="0.2">
      <c r="A7011" s="121">
        <v>41547</v>
      </c>
      <c r="B7011" t="s">
        <v>406</v>
      </c>
      <c r="C7011" t="s">
        <v>577</v>
      </c>
      <c r="D7011" t="s">
        <v>580</v>
      </c>
      <c r="E7011" t="s">
        <v>581</v>
      </c>
      <c r="F7011" t="s">
        <v>413</v>
      </c>
      <c r="G7011">
        <v>2085</v>
      </c>
      <c r="H7011">
        <v>2085</v>
      </c>
      <c r="I7011">
        <v>2059</v>
      </c>
      <c r="J7011">
        <v>2059</v>
      </c>
      <c r="K7011">
        <v>293</v>
      </c>
      <c r="L7011">
        <v>0</v>
      </c>
      <c r="M7011">
        <v>1421</v>
      </c>
      <c r="N7011">
        <v>306</v>
      </c>
      <c r="O7011">
        <v>65</v>
      </c>
      <c r="P7011">
        <v>1</v>
      </c>
      <c r="Q7011">
        <v>0</v>
      </c>
    </row>
    <row r="7012" spans="1:17" x14ac:dyDescent="0.2">
      <c r="A7012" s="121">
        <v>41547</v>
      </c>
      <c r="B7012" t="s">
        <v>406</v>
      </c>
      <c r="C7012" t="s">
        <v>577</v>
      </c>
      <c r="D7012" t="s">
        <v>609</v>
      </c>
      <c r="E7012" t="s">
        <v>610</v>
      </c>
      <c r="F7012" t="s">
        <v>410</v>
      </c>
      <c r="G7012">
        <v>30</v>
      </c>
      <c r="H7012">
        <v>30</v>
      </c>
      <c r="I7012">
        <v>30</v>
      </c>
      <c r="J7012">
        <v>30</v>
      </c>
      <c r="K7012">
        <v>0</v>
      </c>
      <c r="L7012">
        <v>0</v>
      </c>
      <c r="M7012">
        <v>26</v>
      </c>
      <c r="N7012">
        <v>4</v>
      </c>
      <c r="O7012">
        <v>0</v>
      </c>
      <c r="P7012">
        <v>0</v>
      </c>
      <c r="Q7012">
        <v>0</v>
      </c>
    </row>
    <row r="7013" spans="1:17" x14ac:dyDescent="0.2">
      <c r="A7013" s="121">
        <v>41547</v>
      </c>
      <c r="B7013" t="s">
        <v>406</v>
      </c>
      <c r="C7013" t="s">
        <v>577</v>
      </c>
      <c r="D7013" t="s">
        <v>611</v>
      </c>
      <c r="E7013" t="s">
        <v>612</v>
      </c>
      <c r="F7013" t="s">
        <v>410</v>
      </c>
      <c r="G7013">
        <v>10</v>
      </c>
      <c r="H7013">
        <v>10</v>
      </c>
      <c r="I7013">
        <v>10</v>
      </c>
      <c r="J7013">
        <v>10</v>
      </c>
      <c r="K7013">
        <v>0</v>
      </c>
      <c r="L7013">
        <v>0</v>
      </c>
      <c r="M7013">
        <v>6</v>
      </c>
      <c r="N7013">
        <v>2</v>
      </c>
      <c r="O7013">
        <v>2</v>
      </c>
      <c r="P7013">
        <v>0</v>
      </c>
      <c r="Q7013">
        <v>0</v>
      </c>
    </row>
    <row r="7014" spans="1:17" x14ac:dyDescent="0.2">
      <c r="A7014" s="121">
        <v>41547</v>
      </c>
      <c r="B7014" t="s">
        <v>406</v>
      </c>
      <c r="C7014" t="s">
        <v>577</v>
      </c>
      <c r="D7014" t="s">
        <v>584</v>
      </c>
      <c r="E7014" t="s">
        <v>585</v>
      </c>
      <c r="F7014" t="s">
        <v>410</v>
      </c>
      <c r="G7014">
        <v>280</v>
      </c>
      <c r="H7014">
        <v>280</v>
      </c>
      <c r="I7014">
        <v>280</v>
      </c>
      <c r="J7014">
        <v>280</v>
      </c>
      <c r="K7014">
        <v>0</v>
      </c>
      <c r="L7014">
        <v>0</v>
      </c>
      <c r="M7014">
        <v>262</v>
      </c>
      <c r="N7014">
        <v>18</v>
      </c>
      <c r="O7014">
        <v>0</v>
      </c>
      <c r="P7014">
        <v>0</v>
      </c>
      <c r="Q7014">
        <v>0</v>
      </c>
    </row>
    <row r="7015" spans="1:17" x14ac:dyDescent="0.2">
      <c r="A7015" s="121">
        <v>41547</v>
      </c>
      <c r="B7015" t="s">
        <v>406</v>
      </c>
      <c r="C7015" t="s">
        <v>577</v>
      </c>
      <c r="D7015" t="s">
        <v>586</v>
      </c>
      <c r="E7015" t="s">
        <v>587</v>
      </c>
      <c r="F7015" t="s">
        <v>410</v>
      </c>
      <c r="G7015">
        <v>1151</v>
      </c>
      <c r="H7015">
        <v>1151</v>
      </c>
      <c r="I7015">
        <v>1151</v>
      </c>
      <c r="J7015">
        <v>1151</v>
      </c>
      <c r="K7015">
        <v>0</v>
      </c>
      <c r="L7015">
        <v>0</v>
      </c>
      <c r="M7015">
        <v>1042</v>
      </c>
      <c r="N7015">
        <v>105</v>
      </c>
      <c r="O7015">
        <v>4</v>
      </c>
      <c r="P7015">
        <v>0</v>
      </c>
      <c r="Q7015">
        <v>0</v>
      </c>
    </row>
    <row r="7016" spans="1:17" x14ac:dyDescent="0.2">
      <c r="A7016" s="121">
        <v>41547</v>
      </c>
      <c r="B7016" t="s">
        <v>406</v>
      </c>
      <c r="C7016" t="s">
        <v>577</v>
      </c>
      <c r="D7016" t="s">
        <v>588</v>
      </c>
      <c r="E7016" t="s">
        <v>589</v>
      </c>
      <c r="F7016" t="s">
        <v>410</v>
      </c>
      <c r="G7016">
        <v>288</v>
      </c>
      <c r="H7016">
        <v>288</v>
      </c>
      <c r="I7016">
        <v>288</v>
      </c>
      <c r="J7016">
        <v>288</v>
      </c>
      <c r="K7016">
        <v>0</v>
      </c>
      <c r="L7016">
        <v>0</v>
      </c>
      <c r="M7016">
        <v>269</v>
      </c>
      <c r="N7016">
        <v>18</v>
      </c>
      <c r="O7016">
        <v>1</v>
      </c>
      <c r="P7016">
        <v>0</v>
      </c>
      <c r="Q7016">
        <v>0</v>
      </c>
    </row>
    <row r="7017" spans="1:17" x14ac:dyDescent="0.2">
      <c r="A7017" s="121">
        <v>41547</v>
      </c>
      <c r="B7017" t="s">
        <v>406</v>
      </c>
      <c r="C7017" t="s">
        <v>577</v>
      </c>
      <c r="D7017" t="s">
        <v>613</v>
      </c>
      <c r="E7017" t="s">
        <v>614</v>
      </c>
      <c r="F7017" t="s">
        <v>410</v>
      </c>
      <c r="G7017">
        <v>163</v>
      </c>
      <c r="H7017">
        <v>163</v>
      </c>
      <c r="I7017">
        <v>162</v>
      </c>
      <c r="J7017">
        <v>162</v>
      </c>
      <c r="K7017">
        <v>0</v>
      </c>
      <c r="L7017">
        <v>0</v>
      </c>
      <c r="M7017">
        <v>134</v>
      </c>
      <c r="N7017">
        <v>21</v>
      </c>
      <c r="O7017">
        <v>8</v>
      </c>
      <c r="P7017">
        <v>0</v>
      </c>
      <c r="Q7017">
        <v>0</v>
      </c>
    </row>
    <row r="7018" spans="1:17" x14ac:dyDescent="0.2">
      <c r="A7018" s="121">
        <v>41547</v>
      </c>
      <c r="B7018" t="s">
        <v>406</v>
      </c>
      <c r="C7018" t="s">
        <v>577</v>
      </c>
      <c r="D7018" t="s">
        <v>590</v>
      </c>
      <c r="E7018" t="s">
        <v>591</v>
      </c>
      <c r="F7018" t="s">
        <v>410</v>
      </c>
      <c r="G7018">
        <v>626</v>
      </c>
      <c r="H7018">
        <v>626</v>
      </c>
      <c r="I7018">
        <v>626</v>
      </c>
      <c r="J7018">
        <v>626</v>
      </c>
      <c r="K7018">
        <v>0</v>
      </c>
      <c r="L7018">
        <v>1</v>
      </c>
      <c r="M7018">
        <v>586</v>
      </c>
      <c r="N7018">
        <v>37</v>
      </c>
      <c r="O7018">
        <v>2</v>
      </c>
      <c r="P7018">
        <v>0</v>
      </c>
      <c r="Q7018">
        <v>0</v>
      </c>
    </row>
    <row r="7019" spans="1:17" x14ac:dyDescent="0.2">
      <c r="A7019" s="121">
        <v>41547</v>
      </c>
      <c r="B7019" t="s">
        <v>406</v>
      </c>
      <c r="C7019" t="s">
        <v>577</v>
      </c>
      <c r="D7019" t="s">
        <v>607</v>
      </c>
      <c r="E7019" t="s">
        <v>608</v>
      </c>
      <c r="F7019" t="s">
        <v>410</v>
      </c>
      <c r="G7019">
        <v>254</v>
      </c>
      <c r="H7019">
        <v>254</v>
      </c>
      <c r="I7019">
        <v>253</v>
      </c>
      <c r="J7019">
        <v>253</v>
      </c>
      <c r="K7019">
        <v>1</v>
      </c>
      <c r="L7019">
        <v>0</v>
      </c>
      <c r="M7019">
        <v>217</v>
      </c>
      <c r="N7019">
        <v>25</v>
      </c>
      <c r="O7019">
        <v>11</v>
      </c>
      <c r="P7019">
        <v>0</v>
      </c>
      <c r="Q7019">
        <v>0</v>
      </c>
    </row>
    <row r="7020" spans="1:17" x14ac:dyDescent="0.2">
      <c r="A7020" s="121">
        <v>41547</v>
      </c>
      <c r="B7020" t="s">
        <v>406</v>
      </c>
      <c r="C7020" t="s">
        <v>577</v>
      </c>
      <c r="D7020" t="s">
        <v>592</v>
      </c>
      <c r="E7020" t="s">
        <v>593</v>
      </c>
      <c r="F7020" t="s">
        <v>410</v>
      </c>
      <c r="G7020">
        <v>533</v>
      </c>
      <c r="H7020">
        <v>533</v>
      </c>
      <c r="I7020">
        <v>532</v>
      </c>
      <c r="J7020">
        <v>532</v>
      </c>
      <c r="K7020">
        <v>0</v>
      </c>
      <c r="L7020">
        <v>0</v>
      </c>
      <c r="M7020">
        <v>496</v>
      </c>
      <c r="N7020">
        <v>35</v>
      </c>
      <c r="O7020">
        <v>2</v>
      </c>
      <c r="P7020">
        <v>0</v>
      </c>
      <c r="Q7020">
        <v>0</v>
      </c>
    </row>
    <row r="7021" spans="1:17" x14ac:dyDescent="0.2">
      <c r="A7021" s="121">
        <v>41547</v>
      </c>
      <c r="B7021" t="s">
        <v>406</v>
      </c>
      <c r="C7021" t="s">
        <v>594</v>
      </c>
      <c r="D7021" t="s">
        <v>595</v>
      </c>
      <c r="E7021" t="s">
        <v>596</v>
      </c>
      <c r="F7021" t="s">
        <v>410</v>
      </c>
      <c r="G7021">
        <v>34</v>
      </c>
      <c r="I7021">
        <v>34</v>
      </c>
    </row>
    <row r="7022" spans="1:17" x14ac:dyDescent="0.2">
      <c r="A7022" s="121">
        <v>41547</v>
      </c>
      <c r="B7022" t="s">
        <v>406</v>
      </c>
      <c r="C7022" t="s">
        <v>594</v>
      </c>
      <c r="D7022" t="s">
        <v>597</v>
      </c>
      <c r="E7022" t="s">
        <v>598</v>
      </c>
      <c r="F7022" t="s">
        <v>413</v>
      </c>
      <c r="G7022">
        <v>504</v>
      </c>
      <c r="H7022">
        <v>504</v>
      </c>
      <c r="I7022">
        <v>491</v>
      </c>
      <c r="J7022">
        <v>491</v>
      </c>
      <c r="K7022">
        <v>107</v>
      </c>
      <c r="L7022">
        <v>2</v>
      </c>
      <c r="M7022">
        <v>387</v>
      </c>
      <c r="N7022">
        <v>6</v>
      </c>
      <c r="O7022">
        <v>2</v>
      </c>
      <c r="P7022">
        <v>0</v>
      </c>
      <c r="Q7022">
        <v>0</v>
      </c>
    </row>
    <row r="7023" spans="1:17" x14ac:dyDescent="0.2">
      <c r="A7023" s="121">
        <v>41547</v>
      </c>
      <c r="B7023" t="s">
        <v>406</v>
      </c>
      <c r="C7023" t="s">
        <v>594</v>
      </c>
      <c r="D7023" t="s">
        <v>599</v>
      </c>
      <c r="E7023" t="s">
        <v>600</v>
      </c>
      <c r="F7023" t="s">
        <v>410</v>
      </c>
      <c r="G7023">
        <v>125</v>
      </c>
      <c r="I7023">
        <v>125</v>
      </c>
    </row>
    <row r="7024" spans="1:17" x14ac:dyDescent="0.2">
      <c r="A7024" s="121">
        <v>41578</v>
      </c>
      <c r="B7024" t="s">
        <v>406</v>
      </c>
      <c r="C7024" t="s">
        <v>407</v>
      </c>
      <c r="D7024" t="s">
        <v>408</v>
      </c>
      <c r="E7024" t="s">
        <v>409</v>
      </c>
      <c r="F7024" t="s">
        <v>410</v>
      </c>
      <c r="G7024">
        <v>201</v>
      </c>
      <c r="I7024">
        <v>201</v>
      </c>
    </row>
    <row r="7025" spans="1:17" x14ac:dyDescent="0.2">
      <c r="A7025" s="121">
        <v>41578</v>
      </c>
      <c r="B7025" t="s">
        <v>406</v>
      </c>
      <c r="C7025" t="s">
        <v>407</v>
      </c>
      <c r="D7025" t="s">
        <v>601</v>
      </c>
      <c r="E7025" t="s">
        <v>602</v>
      </c>
      <c r="F7025" t="s">
        <v>410</v>
      </c>
      <c r="G7025">
        <v>36</v>
      </c>
      <c r="I7025">
        <v>36</v>
      </c>
    </row>
    <row r="7026" spans="1:17" x14ac:dyDescent="0.2">
      <c r="A7026" s="121">
        <v>41578</v>
      </c>
      <c r="B7026" t="s">
        <v>406</v>
      </c>
      <c r="C7026" t="s">
        <v>407</v>
      </c>
      <c r="D7026" t="s">
        <v>411</v>
      </c>
      <c r="E7026" t="s">
        <v>412</v>
      </c>
      <c r="F7026" t="s">
        <v>413</v>
      </c>
      <c r="G7026">
        <v>5687</v>
      </c>
      <c r="H7026">
        <v>5687</v>
      </c>
      <c r="I7026">
        <v>5454</v>
      </c>
      <c r="J7026">
        <v>5454</v>
      </c>
      <c r="K7026">
        <v>2386</v>
      </c>
      <c r="L7026">
        <v>6</v>
      </c>
      <c r="M7026">
        <v>2976</v>
      </c>
      <c r="N7026">
        <v>84</v>
      </c>
      <c r="O7026">
        <v>235</v>
      </c>
      <c r="P7026">
        <v>3</v>
      </c>
      <c r="Q7026">
        <v>0</v>
      </c>
    </row>
    <row r="7027" spans="1:17" x14ac:dyDescent="0.2">
      <c r="A7027" s="121">
        <v>41578</v>
      </c>
      <c r="B7027" t="s">
        <v>406</v>
      </c>
      <c r="C7027" t="s">
        <v>407</v>
      </c>
      <c r="D7027" t="s">
        <v>416</v>
      </c>
      <c r="E7027" t="s">
        <v>417</v>
      </c>
      <c r="F7027" t="s">
        <v>413</v>
      </c>
      <c r="G7027">
        <v>3620</v>
      </c>
      <c r="H7027">
        <v>3620</v>
      </c>
      <c r="I7027">
        <v>3278</v>
      </c>
      <c r="J7027">
        <v>3278</v>
      </c>
      <c r="K7027">
        <v>1386</v>
      </c>
      <c r="L7027">
        <v>7</v>
      </c>
      <c r="M7027">
        <v>2092</v>
      </c>
      <c r="N7027">
        <v>102</v>
      </c>
      <c r="O7027">
        <v>33</v>
      </c>
      <c r="P7027">
        <v>10</v>
      </c>
      <c r="Q7027">
        <v>0</v>
      </c>
    </row>
    <row r="7028" spans="1:17" x14ac:dyDescent="0.2">
      <c r="A7028" s="121">
        <v>41578</v>
      </c>
      <c r="B7028" t="s">
        <v>406</v>
      </c>
      <c r="C7028" t="s">
        <v>407</v>
      </c>
      <c r="D7028" t="s">
        <v>618</v>
      </c>
      <c r="E7028" t="s">
        <v>619</v>
      </c>
      <c r="F7028" t="s">
        <v>410</v>
      </c>
      <c r="G7028">
        <v>91</v>
      </c>
      <c r="I7028">
        <v>91</v>
      </c>
    </row>
    <row r="7029" spans="1:17" x14ac:dyDescent="0.2">
      <c r="A7029" s="121">
        <v>41578</v>
      </c>
      <c r="B7029" t="s">
        <v>406</v>
      </c>
      <c r="C7029" t="s">
        <v>418</v>
      </c>
      <c r="D7029" t="s">
        <v>419</v>
      </c>
      <c r="E7029" t="s">
        <v>420</v>
      </c>
      <c r="F7029" t="s">
        <v>410</v>
      </c>
      <c r="G7029">
        <v>13</v>
      </c>
      <c r="I7029">
        <v>13</v>
      </c>
    </row>
    <row r="7030" spans="1:17" x14ac:dyDescent="0.2">
      <c r="A7030" s="121">
        <v>41578</v>
      </c>
      <c r="B7030" t="s">
        <v>406</v>
      </c>
      <c r="C7030" t="s">
        <v>418</v>
      </c>
      <c r="D7030" t="s">
        <v>421</v>
      </c>
      <c r="E7030" t="s">
        <v>422</v>
      </c>
      <c r="F7030" t="s">
        <v>410</v>
      </c>
      <c r="G7030">
        <v>103</v>
      </c>
      <c r="I7030">
        <v>103</v>
      </c>
    </row>
    <row r="7031" spans="1:17" x14ac:dyDescent="0.2">
      <c r="A7031" s="121">
        <v>41578</v>
      </c>
      <c r="B7031" t="s">
        <v>406</v>
      </c>
      <c r="C7031" t="s">
        <v>418</v>
      </c>
      <c r="D7031" t="s">
        <v>423</v>
      </c>
      <c r="E7031" t="s">
        <v>424</v>
      </c>
      <c r="F7031" t="s">
        <v>410</v>
      </c>
      <c r="G7031">
        <v>27</v>
      </c>
      <c r="I7031">
        <v>27</v>
      </c>
    </row>
    <row r="7032" spans="1:17" x14ac:dyDescent="0.2">
      <c r="A7032" s="121">
        <v>41578</v>
      </c>
      <c r="B7032" t="s">
        <v>406</v>
      </c>
      <c r="C7032" t="s">
        <v>418</v>
      </c>
      <c r="D7032" t="s">
        <v>425</v>
      </c>
      <c r="E7032" t="s">
        <v>426</v>
      </c>
      <c r="F7032" t="s">
        <v>410</v>
      </c>
      <c r="G7032">
        <v>58</v>
      </c>
      <c r="I7032">
        <v>58</v>
      </c>
    </row>
    <row r="7033" spans="1:17" x14ac:dyDescent="0.2">
      <c r="A7033" s="121">
        <v>41578</v>
      </c>
      <c r="B7033" t="s">
        <v>406</v>
      </c>
      <c r="C7033" t="s">
        <v>418</v>
      </c>
      <c r="D7033" t="s">
        <v>427</v>
      </c>
      <c r="E7033" t="s">
        <v>428</v>
      </c>
      <c r="F7033" t="s">
        <v>413</v>
      </c>
      <c r="G7033">
        <v>2198</v>
      </c>
      <c r="H7033">
        <v>2198</v>
      </c>
      <c r="I7033">
        <v>2151</v>
      </c>
      <c r="J7033">
        <v>2151</v>
      </c>
      <c r="K7033">
        <v>809</v>
      </c>
      <c r="L7033">
        <v>1</v>
      </c>
      <c r="M7033">
        <v>1085</v>
      </c>
      <c r="N7033">
        <v>222</v>
      </c>
      <c r="O7033">
        <v>81</v>
      </c>
      <c r="P7033">
        <v>1</v>
      </c>
      <c r="Q7033">
        <v>0</v>
      </c>
    </row>
    <row r="7034" spans="1:17" x14ac:dyDescent="0.2">
      <c r="A7034" s="121">
        <v>41578</v>
      </c>
      <c r="B7034" t="s">
        <v>406</v>
      </c>
      <c r="C7034" t="s">
        <v>429</v>
      </c>
      <c r="D7034" t="s">
        <v>430</v>
      </c>
      <c r="E7034" t="s">
        <v>431</v>
      </c>
      <c r="F7034" t="s">
        <v>410</v>
      </c>
      <c r="G7034">
        <v>26</v>
      </c>
      <c r="I7034">
        <v>26</v>
      </c>
    </row>
    <row r="7035" spans="1:17" x14ac:dyDescent="0.2">
      <c r="A7035" s="121">
        <v>41578</v>
      </c>
      <c r="B7035" t="s">
        <v>406</v>
      </c>
      <c r="C7035" t="s">
        <v>429</v>
      </c>
      <c r="D7035" t="s">
        <v>432</v>
      </c>
      <c r="E7035" t="s">
        <v>433</v>
      </c>
      <c r="F7035" t="s">
        <v>410</v>
      </c>
      <c r="G7035">
        <v>38</v>
      </c>
      <c r="I7035">
        <v>38</v>
      </c>
    </row>
    <row r="7036" spans="1:17" x14ac:dyDescent="0.2">
      <c r="A7036" s="121">
        <v>41578</v>
      </c>
      <c r="B7036" t="s">
        <v>406</v>
      </c>
      <c r="C7036" t="s">
        <v>429</v>
      </c>
      <c r="D7036" t="s">
        <v>434</v>
      </c>
      <c r="E7036" t="s">
        <v>435</v>
      </c>
      <c r="F7036" t="s">
        <v>410</v>
      </c>
      <c r="G7036">
        <v>6</v>
      </c>
      <c r="I7036">
        <v>6</v>
      </c>
    </row>
    <row r="7037" spans="1:17" x14ac:dyDescent="0.2">
      <c r="A7037" s="121">
        <v>41578</v>
      </c>
      <c r="B7037" t="s">
        <v>406</v>
      </c>
      <c r="C7037" t="s">
        <v>429</v>
      </c>
      <c r="D7037" t="s">
        <v>436</v>
      </c>
      <c r="E7037" t="s">
        <v>437</v>
      </c>
      <c r="F7037" t="s">
        <v>410</v>
      </c>
      <c r="G7037">
        <v>14</v>
      </c>
      <c r="H7037">
        <v>14</v>
      </c>
      <c r="I7037">
        <v>14</v>
      </c>
      <c r="J7037">
        <v>14</v>
      </c>
      <c r="K7037">
        <v>0</v>
      </c>
      <c r="L7037">
        <v>0</v>
      </c>
      <c r="M7037">
        <v>10</v>
      </c>
      <c r="N7037">
        <v>4</v>
      </c>
      <c r="O7037">
        <v>0</v>
      </c>
      <c r="P7037">
        <v>0</v>
      </c>
      <c r="Q7037">
        <v>0</v>
      </c>
    </row>
    <row r="7038" spans="1:17" x14ac:dyDescent="0.2">
      <c r="A7038" s="121">
        <v>41578</v>
      </c>
      <c r="B7038" t="s">
        <v>406</v>
      </c>
      <c r="C7038" t="s">
        <v>429</v>
      </c>
      <c r="D7038" t="s">
        <v>438</v>
      </c>
      <c r="E7038" t="s">
        <v>439</v>
      </c>
      <c r="F7038" t="s">
        <v>413</v>
      </c>
      <c r="G7038">
        <v>949</v>
      </c>
      <c r="H7038">
        <v>949</v>
      </c>
      <c r="I7038">
        <v>937</v>
      </c>
      <c r="J7038">
        <v>937</v>
      </c>
      <c r="K7038">
        <v>110</v>
      </c>
      <c r="L7038">
        <v>0</v>
      </c>
      <c r="M7038">
        <v>813</v>
      </c>
      <c r="N7038">
        <v>26</v>
      </c>
      <c r="O7038">
        <v>0</v>
      </c>
      <c r="P7038">
        <v>0</v>
      </c>
      <c r="Q7038">
        <v>0</v>
      </c>
    </row>
    <row r="7039" spans="1:17" x14ac:dyDescent="0.2">
      <c r="A7039" s="121">
        <v>41578</v>
      </c>
      <c r="B7039" t="s">
        <v>406</v>
      </c>
      <c r="C7039" t="s">
        <v>429</v>
      </c>
      <c r="D7039" t="s">
        <v>440</v>
      </c>
      <c r="E7039" t="s">
        <v>441</v>
      </c>
      <c r="F7039" t="s">
        <v>413</v>
      </c>
      <c r="G7039">
        <v>2737</v>
      </c>
      <c r="H7039">
        <v>2737</v>
      </c>
      <c r="I7039">
        <v>2583</v>
      </c>
      <c r="J7039">
        <v>2583</v>
      </c>
      <c r="K7039">
        <v>933</v>
      </c>
      <c r="L7039">
        <v>0</v>
      </c>
      <c r="M7039">
        <v>1707</v>
      </c>
      <c r="N7039">
        <v>97</v>
      </c>
      <c r="O7039">
        <v>0</v>
      </c>
      <c r="P7039">
        <v>1</v>
      </c>
      <c r="Q7039">
        <v>0</v>
      </c>
    </row>
    <row r="7040" spans="1:17" x14ac:dyDescent="0.2">
      <c r="A7040" s="121">
        <v>41578</v>
      </c>
      <c r="B7040" t="s">
        <v>406</v>
      </c>
      <c r="C7040" t="s">
        <v>442</v>
      </c>
      <c r="D7040" t="s">
        <v>443</v>
      </c>
      <c r="E7040" t="s">
        <v>444</v>
      </c>
      <c r="F7040" t="s">
        <v>413</v>
      </c>
      <c r="G7040">
        <v>5105</v>
      </c>
      <c r="H7040">
        <v>5105</v>
      </c>
      <c r="I7040">
        <v>4773</v>
      </c>
      <c r="J7040">
        <v>4773</v>
      </c>
      <c r="K7040">
        <v>1254</v>
      </c>
      <c r="L7040">
        <v>9</v>
      </c>
      <c r="M7040">
        <v>3538</v>
      </c>
      <c r="N7040">
        <v>127</v>
      </c>
      <c r="O7040">
        <v>177</v>
      </c>
      <c r="P7040">
        <v>25</v>
      </c>
      <c r="Q7040">
        <v>5</v>
      </c>
    </row>
    <row r="7041" spans="1:17" x14ac:dyDescent="0.2">
      <c r="A7041" s="121">
        <v>41578</v>
      </c>
      <c r="B7041" t="s">
        <v>406</v>
      </c>
      <c r="C7041" t="s">
        <v>442</v>
      </c>
      <c r="D7041" t="s">
        <v>445</v>
      </c>
      <c r="E7041" t="s">
        <v>446</v>
      </c>
      <c r="F7041" t="s">
        <v>410</v>
      </c>
      <c r="G7041">
        <v>128</v>
      </c>
      <c r="I7041">
        <v>128</v>
      </c>
    </row>
    <row r="7042" spans="1:17" x14ac:dyDescent="0.2">
      <c r="A7042" s="121">
        <v>41578</v>
      </c>
      <c r="B7042" t="s">
        <v>406</v>
      </c>
      <c r="C7042" t="s">
        <v>442</v>
      </c>
      <c r="D7042" t="s">
        <v>447</v>
      </c>
      <c r="E7042" t="s">
        <v>448</v>
      </c>
      <c r="F7042" t="s">
        <v>410</v>
      </c>
      <c r="G7042">
        <v>350</v>
      </c>
      <c r="I7042">
        <v>350</v>
      </c>
    </row>
    <row r="7043" spans="1:17" x14ac:dyDescent="0.2">
      <c r="A7043" s="121">
        <v>41578</v>
      </c>
      <c r="B7043" t="s">
        <v>406</v>
      </c>
      <c r="C7043" t="s">
        <v>442</v>
      </c>
      <c r="D7043" t="s">
        <v>449</v>
      </c>
      <c r="E7043" t="s">
        <v>624</v>
      </c>
      <c r="F7043" t="s">
        <v>410</v>
      </c>
      <c r="G7043">
        <v>1504</v>
      </c>
      <c r="H7043">
        <v>1504</v>
      </c>
      <c r="I7043">
        <v>1504</v>
      </c>
      <c r="J7043">
        <v>1504</v>
      </c>
      <c r="K7043">
        <v>7</v>
      </c>
      <c r="L7043">
        <v>0</v>
      </c>
      <c r="M7043">
        <v>1324</v>
      </c>
      <c r="N7043">
        <v>171</v>
      </c>
      <c r="O7043">
        <v>2</v>
      </c>
      <c r="P7043">
        <v>0</v>
      </c>
      <c r="Q7043">
        <v>0</v>
      </c>
    </row>
    <row r="7044" spans="1:17" x14ac:dyDescent="0.2">
      <c r="A7044" s="121">
        <v>41578</v>
      </c>
      <c r="B7044" t="s">
        <v>406</v>
      </c>
      <c r="C7044" t="s">
        <v>451</v>
      </c>
      <c r="D7044" t="s">
        <v>454</v>
      </c>
      <c r="E7044" t="s">
        <v>621</v>
      </c>
      <c r="F7044" t="s">
        <v>410</v>
      </c>
      <c r="G7044">
        <v>1243</v>
      </c>
      <c r="H7044">
        <v>1243</v>
      </c>
      <c r="I7044">
        <v>1243</v>
      </c>
      <c r="J7044">
        <v>1243</v>
      </c>
      <c r="K7044">
        <v>2</v>
      </c>
      <c r="L7044">
        <v>0</v>
      </c>
      <c r="M7044">
        <v>429</v>
      </c>
      <c r="N7044">
        <v>55</v>
      </c>
      <c r="O7044">
        <v>757</v>
      </c>
      <c r="P7044">
        <v>0</v>
      </c>
      <c r="Q7044">
        <v>0</v>
      </c>
    </row>
    <row r="7045" spans="1:17" x14ac:dyDescent="0.2">
      <c r="A7045" s="121">
        <v>41578</v>
      </c>
      <c r="B7045" t="s">
        <v>406</v>
      </c>
      <c r="C7045" t="s">
        <v>451</v>
      </c>
      <c r="D7045" t="s">
        <v>622</v>
      </c>
      <c r="E7045" t="s">
        <v>623</v>
      </c>
      <c r="F7045" t="s">
        <v>413</v>
      </c>
      <c r="G7045">
        <v>4795</v>
      </c>
      <c r="H7045">
        <v>4795</v>
      </c>
      <c r="I7045">
        <v>4391</v>
      </c>
      <c r="J7045">
        <v>4391</v>
      </c>
      <c r="K7045">
        <v>1252</v>
      </c>
      <c r="L7045">
        <v>8</v>
      </c>
      <c r="M7045">
        <v>1342</v>
      </c>
      <c r="N7045">
        <v>29</v>
      </c>
      <c r="O7045">
        <v>2164</v>
      </c>
      <c r="P7045">
        <v>17</v>
      </c>
      <c r="Q7045">
        <v>0</v>
      </c>
    </row>
    <row r="7046" spans="1:17" x14ac:dyDescent="0.2">
      <c r="A7046" s="121">
        <v>41578</v>
      </c>
      <c r="B7046" t="s">
        <v>406</v>
      </c>
      <c r="C7046" t="s">
        <v>456</v>
      </c>
      <c r="D7046" t="s">
        <v>457</v>
      </c>
      <c r="E7046" t="s">
        <v>458</v>
      </c>
      <c r="F7046" t="s">
        <v>413</v>
      </c>
      <c r="G7046">
        <v>5121</v>
      </c>
      <c r="H7046">
        <v>5121</v>
      </c>
      <c r="I7046">
        <v>4892</v>
      </c>
      <c r="J7046">
        <v>4892</v>
      </c>
      <c r="K7046">
        <v>1325</v>
      </c>
      <c r="L7046">
        <v>25</v>
      </c>
      <c r="M7046">
        <v>3335</v>
      </c>
      <c r="N7046">
        <v>35</v>
      </c>
      <c r="O7046">
        <v>401</v>
      </c>
      <c r="P7046">
        <v>12</v>
      </c>
      <c r="Q7046">
        <v>1</v>
      </c>
    </row>
    <row r="7047" spans="1:17" x14ac:dyDescent="0.2">
      <c r="A7047" s="121">
        <v>41578</v>
      </c>
      <c r="B7047" t="s">
        <v>406</v>
      </c>
      <c r="C7047" t="s">
        <v>456</v>
      </c>
      <c r="D7047" t="s">
        <v>459</v>
      </c>
      <c r="E7047" t="s">
        <v>460</v>
      </c>
      <c r="F7047" t="s">
        <v>413</v>
      </c>
      <c r="G7047">
        <v>1340</v>
      </c>
      <c r="H7047">
        <v>1340</v>
      </c>
      <c r="I7047">
        <v>1329</v>
      </c>
      <c r="J7047">
        <v>1329</v>
      </c>
      <c r="K7047">
        <v>294</v>
      </c>
      <c r="L7047">
        <v>0</v>
      </c>
      <c r="M7047">
        <v>1037</v>
      </c>
      <c r="N7047">
        <v>0</v>
      </c>
      <c r="O7047">
        <v>9</v>
      </c>
      <c r="P7047">
        <v>0</v>
      </c>
      <c r="Q7047">
        <v>0</v>
      </c>
    </row>
    <row r="7048" spans="1:17" x14ac:dyDescent="0.2">
      <c r="A7048" s="121">
        <v>41578</v>
      </c>
      <c r="B7048" t="s">
        <v>406</v>
      </c>
      <c r="C7048" t="s">
        <v>456</v>
      </c>
      <c r="D7048" t="s">
        <v>461</v>
      </c>
      <c r="E7048" t="s">
        <v>462</v>
      </c>
      <c r="F7048" t="s">
        <v>410</v>
      </c>
      <c r="G7048">
        <v>95</v>
      </c>
      <c r="I7048">
        <v>95</v>
      </c>
    </row>
    <row r="7049" spans="1:17" x14ac:dyDescent="0.2">
      <c r="A7049" s="121">
        <v>41578</v>
      </c>
      <c r="B7049" t="s">
        <v>406</v>
      </c>
      <c r="C7049" t="s">
        <v>456</v>
      </c>
      <c r="D7049" t="s">
        <v>463</v>
      </c>
      <c r="E7049" t="s">
        <v>464</v>
      </c>
      <c r="F7049" t="s">
        <v>410</v>
      </c>
      <c r="G7049">
        <v>6</v>
      </c>
      <c r="I7049">
        <v>6</v>
      </c>
    </row>
    <row r="7050" spans="1:17" x14ac:dyDescent="0.2">
      <c r="A7050" s="121">
        <v>41578</v>
      </c>
      <c r="B7050" t="s">
        <v>406</v>
      </c>
      <c r="C7050" t="s">
        <v>456</v>
      </c>
      <c r="D7050" t="s">
        <v>465</v>
      </c>
      <c r="E7050" t="s">
        <v>466</v>
      </c>
      <c r="F7050" t="s">
        <v>410</v>
      </c>
      <c r="G7050">
        <v>46</v>
      </c>
      <c r="I7050">
        <v>46</v>
      </c>
    </row>
    <row r="7051" spans="1:17" x14ac:dyDescent="0.2">
      <c r="A7051" s="121">
        <v>41578</v>
      </c>
      <c r="B7051" t="s">
        <v>406</v>
      </c>
      <c r="C7051" t="s">
        <v>456</v>
      </c>
      <c r="D7051" t="s">
        <v>467</v>
      </c>
      <c r="E7051" t="s">
        <v>468</v>
      </c>
      <c r="F7051" t="s">
        <v>410</v>
      </c>
      <c r="G7051">
        <v>1263</v>
      </c>
      <c r="I7051">
        <v>1262</v>
      </c>
    </row>
    <row r="7052" spans="1:17" x14ac:dyDescent="0.2">
      <c r="A7052" s="121">
        <v>41578</v>
      </c>
      <c r="B7052" t="s">
        <v>406</v>
      </c>
      <c r="C7052" t="s">
        <v>456</v>
      </c>
      <c r="D7052" t="s">
        <v>469</v>
      </c>
      <c r="E7052" t="s">
        <v>470</v>
      </c>
      <c r="F7052" t="s">
        <v>410</v>
      </c>
      <c r="G7052">
        <v>751</v>
      </c>
      <c r="I7052">
        <v>749</v>
      </c>
    </row>
    <row r="7053" spans="1:17" x14ac:dyDescent="0.2">
      <c r="A7053" s="121">
        <v>41578</v>
      </c>
      <c r="B7053" t="s">
        <v>406</v>
      </c>
      <c r="C7053" t="s">
        <v>456</v>
      </c>
      <c r="D7053" t="s">
        <v>471</v>
      </c>
      <c r="E7053" t="s">
        <v>472</v>
      </c>
      <c r="F7053" t="s">
        <v>410</v>
      </c>
      <c r="G7053">
        <v>228</v>
      </c>
      <c r="I7053">
        <v>227</v>
      </c>
    </row>
    <row r="7054" spans="1:17" x14ac:dyDescent="0.2">
      <c r="A7054" s="121">
        <v>41578</v>
      </c>
      <c r="B7054" t="s">
        <v>406</v>
      </c>
      <c r="C7054" t="s">
        <v>456</v>
      </c>
      <c r="D7054" t="s">
        <v>473</v>
      </c>
      <c r="E7054" t="s">
        <v>474</v>
      </c>
      <c r="F7054" t="s">
        <v>410</v>
      </c>
      <c r="G7054">
        <v>168</v>
      </c>
      <c r="I7054">
        <v>168</v>
      </c>
    </row>
    <row r="7055" spans="1:17" x14ac:dyDescent="0.2">
      <c r="A7055" s="121">
        <v>41578</v>
      </c>
      <c r="B7055" t="s">
        <v>406</v>
      </c>
      <c r="C7055" t="s">
        <v>456</v>
      </c>
      <c r="D7055" t="s">
        <v>475</v>
      </c>
      <c r="E7055" t="s">
        <v>476</v>
      </c>
      <c r="F7055" t="s">
        <v>410</v>
      </c>
      <c r="G7055">
        <v>270</v>
      </c>
      <c r="I7055">
        <v>265</v>
      </c>
    </row>
    <row r="7056" spans="1:17" x14ac:dyDescent="0.2">
      <c r="A7056" s="121">
        <v>41578</v>
      </c>
      <c r="B7056" t="s">
        <v>406</v>
      </c>
      <c r="C7056" t="s">
        <v>456</v>
      </c>
      <c r="D7056" t="s">
        <v>477</v>
      </c>
      <c r="E7056" t="s">
        <v>478</v>
      </c>
      <c r="F7056" t="s">
        <v>413</v>
      </c>
      <c r="G7056">
        <v>2006</v>
      </c>
      <c r="H7056">
        <v>2006</v>
      </c>
      <c r="I7056">
        <v>1881</v>
      </c>
      <c r="J7056">
        <v>1881</v>
      </c>
      <c r="K7056">
        <v>503</v>
      </c>
      <c r="L7056">
        <v>2</v>
      </c>
      <c r="M7056">
        <v>1481</v>
      </c>
      <c r="N7056">
        <v>20</v>
      </c>
      <c r="O7056">
        <v>0</v>
      </c>
      <c r="P7056">
        <v>12</v>
      </c>
      <c r="Q7056">
        <v>1</v>
      </c>
    </row>
    <row r="7057" spans="1:17" x14ac:dyDescent="0.2">
      <c r="A7057" s="121">
        <v>41578</v>
      </c>
      <c r="B7057" t="s">
        <v>406</v>
      </c>
      <c r="C7057" t="s">
        <v>456</v>
      </c>
      <c r="D7057" t="s">
        <v>479</v>
      </c>
      <c r="E7057" t="s">
        <v>480</v>
      </c>
      <c r="F7057" t="s">
        <v>410</v>
      </c>
      <c r="G7057">
        <v>30</v>
      </c>
      <c r="I7057">
        <v>30</v>
      </c>
    </row>
    <row r="7058" spans="1:17" x14ac:dyDescent="0.2">
      <c r="A7058" s="121">
        <v>41578</v>
      </c>
      <c r="B7058" t="s">
        <v>406</v>
      </c>
      <c r="C7058" t="s">
        <v>456</v>
      </c>
      <c r="D7058" t="s">
        <v>481</v>
      </c>
      <c r="E7058" t="s">
        <v>482</v>
      </c>
      <c r="F7058" t="s">
        <v>410</v>
      </c>
      <c r="G7058">
        <v>18</v>
      </c>
      <c r="I7058">
        <v>18</v>
      </c>
    </row>
    <row r="7059" spans="1:17" x14ac:dyDescent="0.2">
      <c r="A7059" s="121">
        <v>41578</v>
      </c>
      <c r="B7059" t="s">
        <v>406</v>
      </c>
      <c r="C7059" t="s">
        <v>456</v>
      </c>
      <c r="D7059" t="s">
        <v>483</v>
      </c>
      <c r="E7059" t="s">
        <v>484</v>
      </c>
      <c r="F7059" t="s">
        <v>410</v>
      </c>
      <c r="G7059">
        <v>82</v>
      </c>
      <c r="I7059">
        <v>82</v>
      </c>
    </row>
    <row r="7060" spans="1:17" x14ac:dyDescent="0.2">
      <c r="A7060" s="121">
        <v>41578</v>
      </c>
      <c r="B7060" t="s">
        <v>406</v>
      </c>
      <c r="C7060" t="s">
        <v>456</v>
      </c>
      <c r="D7060" t="s">
        <v>485</v>
      </c>
      <c r="E7060" t="s">
        <v>486</v>
      </c>
      <c r="F7060" t="s">
        <v>410</v>
      </c>
      <c r="G7060">
        <v>31</v>
      </c>
      <c r="I7060">
        <v>31</v>
      </c>
    </row>
    <row r="7061" spans="1:17" x14ac:dyDescent="0.2">
      <c r="A7061" s="121">
        <v>41578</v>
      </c>
      <c r="B7061" t="s">
        <v>406</v>
      </c>
      <c r="C7061" t="s">
        <v>456</v>
      </c>
      <c r="D7061" t="s">
        <v>487</v>
      </c>
      <c r="E7061" t="s">
        <v>488</v>
      </c>
      <c r="F7061" t="s">
        <v>410</v>
      </c>
      <c r="G7061">
        <v>30</v>
      </c>
      <c r="I7061">
        <v>30</v>
      </c>
    </row>
    <row r="7062" spans="1:17" x14ac:dyDescent="0.2">
      <c r="A7062" s="121">
        <v>41578</v>
      </c>
      <c r="B7062" t="s">
        <v>406</v>
      </c>
      <c r="C7062" t="s">
        <v>456</v>
      </c>
      <c r="D7062" t="s">
        <v>489</v>
      </c>
      <c r="E7062" t="s">
        <v>490</v>
      </c>
      <c r="F7062" t="s">
        <v>410</v>
      </c>
      <c r="G7062">
        <v>94</v>
      </c>
      <c r="I7062">
        <v>94</v>
      </c>
    </row>
    <row r="7063" spans="1:17" x14ac:dyDescent="0.2">
      <c r="A7063" s="121">
        <v>41578</v>
      </c>
      <c r="B7063" t="s">
        <v>406</v>
      </c>
      <c r="C7063" t="s">
        <v>491</v>
      </c>
      <c r="D7063" t="s">
        <v>492</v>
      </c>
      <c r="E7063" t="s">
        <v>493</v>
      </c>
      <c r="F7063" t="s">
        <v>410</v>
      </c>
      <c r="G7063">
        <v>1242</v>
      </c>
      <c r="H7063">
        <v>1242</v>
      </c>
      <c r="I7063">
        <v>1200</v>
      </c>
      <c r="J7063">
        <v>1200</v>
      </c>
      <c r="K7063">
        <v>243</v>
      </c>
      <c r="L7063">
        <v>1</v>
      </c>
      <c r="M7063">
        <v>931</v>
      </c>
      <c r="N7063">
        <v>63</v>
      </c>
      <c r="O7063">
        <v>4</v>
      </c>
      <c r="P7063">
        <v>1</v>
      </c>
      <c r="Q7063">
        <v>1</v>
      </c>
    </row>
    <row r="7064" spans="1:17" x14ac:dyDescent="0.2">
      <c r="A7064" s="121">
        <v>41578</v>
      </c>
      <c r="B7064" t="s">
        <v>406</v>
      </c>
      <c r="C7064" t="s">
        <v>491</v>
      </c>
      <c r="D7064" t="s">
        <v>494</v>
      </c>
      <c r="E7064" t="s">
        <v>495</v>
      </c>
      <c r="F7064" t="s">
        <v>413</v>
      </c>
      <c r="G7064">
        <v>2687</v>
      </c>
      <c r="H7064">
        <v>2687</v>
      </c>
      <c r="I7064">
        <v>2566</v>
      </c>
      <c r="J7064">
        <v>2566</v>
      </c>
      <c r="K7064">
        <v>777</v>
      </c>
      <c r="L7064">
        <v>8</v>
      </c>
      <c r="M7064">
        <v>1729</v>
      </c>
      <c r="N7064">
        <v>32</v>
      </c>
      <c r="O7064">
        <v>141</v>
      </c>
      <c r="P7064">
        <v>2</v>
      </c>
      <c r="Q7064">
        <v>0</v>
      </c>
    </row>
    <row r="7065" spans="1:17" x14ac:dyDescent="0.2">
      <c r="A7065" s="121">
        <v>41578</v>
      </c>
      <c r="B7065" t="s">
        <v>406</v>
      </c>
      <c r="C7065" t="s">
        <v>491</v>
      </c>
      <c r="D7065" t="s">
        <v>496</v>
      </c>
      <c r="E7065" t="s">
        <v>497</v>
      </c>
      <c r="F7065" t="s">
        <v>413</v>
      </c>
      <c r="G7065">
        <v>5656</v>
      </c>
      <c r="H7065">
        <v>5656</v>
      </c>
      <c r="I7065">
        <v>5144</v>
      </c>
      <c r="J7065">
        <v>5144</v>
      </c>
      <c r="K7065">
        <v>2007</v>
      </c>
      <c r="L7065">
        <v>10</v>
      </c>
      <c r="M7065">
        <v>3381</v>
      </c>
      <c r="N7065">
        <v>98</v>
      </c>
      <c r="O7065">
        <v>160</v>
      </c>
      <c r="P7065">
        <v>11</v>
      </c>
      <c r="Q7065">
        <v>0</v>
      </c>
    </row>
    <row r="7066" spans="1:17" x14ac:dyDescent="0.2">
      <c r="A7066" s="121">
        <v>41578</v>
      </c>
      <c r="B7066" t="s">
        <v>406</v>
      </c>
      <c r="C7066" t="s">
        <v>491</v>
      </c>
      <c r="D7066" t="s">
        <v>498</v>
      </c>
      <c r="E7066" t="s">
        <v>499</v>
      </c>
      <c r="F7066" t="s">
        <v>413</v>
      </c>
      <c r="G7066">
        <v>7135</v>
      </c>
      <c r="H7066">
        <v>7135</v>
      </c>
      <c r="I7066">
        <v>6430</v>
      </c>
      <c r="J7066">
        <v>6430</v>
      </c>
      <c r="K7066">
        <v>2397</v>
      </c>
      <c r="L7066">
        <v>21</v>
      </c>
      <c r="M7066">
        <v>4214</v>
      </c>
      <c r="N7066">
        <v>94</v>
      </c>
      <c r="O7066">
        <v>409</v>
      </c>
      <c r="P7066">
        <v>7</v>
      </c>
      <c r="Q7066">
        <v>0</v>
      </c>
    </row>
    <row r="7067" spans="1:17" x14ac:dyDescent="0.2">
      <c r="A7067" s="121">
        <v>41578</v>
      </c>
      <c r="B7067" t="s">
        <v>406</v>
      </c>
      <c r="C7067" t="s">
        <v>491</v>
      </c>
      <c r="D7067" t="s">
        <v>500</v>
      </c>
      <c r="E7067" t="s">
        <v>620</v>
      </c>
      <c r="F7067" t="s">
        <v>410</v>
      </c>
      <c r="G7067">
        <v>1323</v>
      </c>
      <c r="H7067">
        <v>1323</v>
      </c>
      <c r="I7067">
        <v>1323</v>
      </c>
      <c r="J7067">
        <v>1323</v>
      </c>
      <c r="K7067">
        <v>1</v>
      </c>
      <c r="L7067">
        <v>2</v>
      </c>
      <c r="M7067">
        <v>1220</v>
      </c>
      <c r="N7067">
        <v>73</v>
      </c>
      <c r="O7067">
        <v>27</v>
      </c>
      <c r="P7067">
        <v>0</v>
      </c>
      <c r="Q7067">
        <v>0</v>
      </c>
    </row>
    <row r="7068" spans="1:17" x14ac:dyDescent="0.2">
      <c r="A7068" s="121">
        <v>41578</v>
      </c>
      <c r="B7068" t="s">
        <v>406</v>
      </c>
      <c r="C7068" t="s">
        <v>491</v>
      </c>
      <c r="D7068" t="s">
        <v>502</v>
      </c>
      <c r="E7068" t="s">
        <v>615</v>
      </c>
      <c r="F7068" t="s">
        <v>410</v>
      </c>
      <c r="G7068">
        <v>1875</v>
      </c>
      <c r="H7068">
        <v>1875</v>
      </c>
      <c r="I7068">
        <v>1874</v>
      </c>
      <c r="J7068">
        <v>1874</v>
      </c>
      <c r="K7068">
        <v>3</v>
      </c>
      <c r="L7068">
        <v>1</v>
      </c>
      <c r="M7068">
        <v>1773</v>
      </c>
      <c r="N7068">
        <v>92</v>
      </c>
      <c r="O7068">
        <v>6</v>
      </c>
      <c r="P7068">
        <v>0</v>
      </c>
      <c r="Q7068">
        <v>0</v>
      </c>
    </row>
    <row r="7069" spans="1:17" x14ac:dyDescent="0.2">
      <c r="A7069" s="121">
        <v>41578</v>
      </c>
      <c r="B7069" t="s">
        <v>406</v>
      </c>
      <c r="C7069" t="s">
        <v>491</v>
      </c>
      <c r="D7069" t="s">
        <v>502</v>
      </c>
      <c r="E7069" t="s">
        <v>503</v>
      </c>
      <c r="F7069" t="s">
        <v>413</v>
      </c>
      <c r="G7069">
        <v>4955</v>
      </c>
      <c r="H7069">
        <v>4955</v>
      </c>
      <c r="I7069">
        <v>4488</v>
      </c>
      <c r="J7069">
        <v>4488</v>
      </c>
      <c r="K7069">
        <v>1613</v>
      </c>
      <c r="L7069">
        <v>10</v>
      </c>
      <c r="M7069">
        <v>3009</v>
      </c>
      <c r="N7069">
        <v>232</v>
      </c>
      <c r="O7069">
        <v>91</v>
      </c>
      <c r="P7069">
        <v>41</v>
      </c>
      <c r="Q7069">
        <v>2</v>
      </c>
    </row>
    <row r="7070" spans="1:17" x14ac:dyDescent="0.2">
      <c r="A7070" s="121">
        <v>41578</v>
      </c>
      <c r="B7070" t="s">
        <v>406</v>
      </c>
      <c r="C7070" t="s">
        <v>491</v>
      </c>
      <c r="D7070" t="s">
        <v>504</v>
      </c>
      <c r="E7070" t="s">
        <v>505</v>
      </c>
      <c r="F7070" t="s">
        <v>413</v>
      </c>
      <c r="G7070">
        <v>3963</v>
      </c>
      <c r="H7070">
        <v>3963</v>
      </c>
      <c r="I7070">
        <v>3692</v>
      </c>
      <c r="J7070">
        <v>3692</v>
      </c>
      <c r="K7070">
        <v>1172</v>
      </c>
      <c r="L7070">
        <v>2</v>
      </c>
      <c r="M7070">
        <v>2586</v>
      </c>
      <c r="N7070">
        <v>139</v>
      </c>
      <c r="O7070">
        <v>64</v>
      </c>
      <c r="P7070">
        <v>3</v>
      </c>
      <c r="Q7070">
        <v>1</v>
      </c>
    </row>
    <row r="7071" spans="1:17" x14ac:dyDescent="0.2">
      <c r="A7071" s="121">
        <v>41578</v>
      </c>
      <c r="B7071" t="s">
        <v>406</v>
      </c>
      <c r="C7071" t="s">
        <v>491</v>
      </c>
      <c r="D7071" t="s">
        <v>506</v>
      </c>
      <c r="E7071" t="s">
        <v>507</v>
      </c>
      <c r="F7071" t="s">
        <v>413</v>
      </c>
      <c r="G7071">
        <v>3546</v>
      </c>
      <c r="H7071">
        <v>3546</v>
      </c>
      <c r="I7071">
        <v>3478</v>
      </c>
      <c r="J7071">
        <v>3478</v>
      </c>
      <c r="K7071">
        <v>1068</v>
      </c>
      <c r="L7071">
        <v>3</v>
      </c>
      <c r="M7071">
        <v>2465</v>
      </c>
      <c r="N7071">
        <v>2</v>
      </c>
      <c r="O7071">
        <v>8</v>
      </c>
      <c r="P7071">
        <v>2</v>
      </c>
      <c r="Q7071">
        <v>0</v>
      </c>
    </row>
    <row r="7072" spans="1:17" x14ac:dyDescent="0.2">
      <c r="A7072" s="121">
        <v>41578</v>
      </c>
      <c r="B7072" t="s">
        <v>406</v>
      </c>
      <c r="C7072" t="s">
        <v>491</v>
      </c>
      <c r="D7072" t="s">
        <v>508</v>
      </c>
      <c r="E7072" t="s">
        <v>509</v>
      </c>
      <c r="F7072" t="s">
        <v>413</v>
      </c>
      <c r="G7072">
        <v>5048</v>
      </c>
      <c r="H7072">
        <v>5048</v>
      </c>
      <c r="I7072">
        <v>4243</v>
      </c>
      <c r="J7072">
        <v>4243</v>
      </c>
      <c r="K7072">
        <v>1593</v>
      </c>
      <c r="L7072">
        <v>9</v>
      </c>
      <c r="M7072">
        <v>3103</v>
      </c>
      <c r="N7072">
        <v>111</v>
      </c>
      <c r="O7072">
        <v>232</v>
      </c>
      <c r="P7072">
        <v>49</v>
      </c>
      <c r="Q7072">
        <v>0</v>
      </c>
    </row>
    <row r="7073" spans="1:17" x14ac:dyDescent="0.2">
      <c r="A7073" s="121">
        <v>41578</v>
      </c>
      <c r="B7073" t="s">
        <v>406</v>
      </c>
      <c r="C7073" t="s">
        <v>510</v>
      </c>
      <c r="D7073" t="s">
        <v>513</v>
      </c>
      <c r="E7073" t="s">
        <v>514</v>
      </c>
      <c r="F7073" t="s">
        <v>410</v>
      </c>
      <c r="G7073">
        <v>545</v>
      </c>
      <c r="I7073">
        <v>543</v>
      </c>
    </row>
    <row r="7074" spans="1:17" x14ac:dyDescent="0.2">
      <c r="A7074" s="121">
        <v>41578</v>
      </c>
      <c r="B7074" t="s">
        <v>406</v>
      </c>
      <c r="C7074" t="s">
        <v>510</v>
      </c>
      <c r="D7074" t="s">
        <v>515</v>
      </c>
      <c r="E7074" t="s">
        <v>516</v>
      </c>
      <c r="F7074" t="s">
        <v>410</v>
      </c>
      <c r="G7074">
        <v>62</v>
      </c>
      <c r="I7074">
        <v>62</v>
      </c>
    </row>
    <row r="7075" spans="1:17" x14ac:dyDescent="0.2">
      <c r="A7075" s="121">
        <v>41578</v>
      </c>
      <c r="B7075" t="s">
        <v>406</v>
      </c>
      <c r="C7075" t="s">
        <v>510</v>
      </c>
      <c r="D7075" t="s">
        <v>519</v>
      </c>
      <c r="E7075" t="s">
        <v>520</v>
      </c>
      <c r="F7075" t="s">
        <v>410</v>
      </c>
      <c r="G7075">
        <v>333</v>
      </c>
      <c r="I7075">
        <v>321</v>
      </c>
    </row>
    <row r="7076" spans="1:17" x14ac:dyDescent="0.2">
      <c r="A7076" s="121">
        <v>41578</v>
      </c>
      <c r="B7076" t="s">
        <v>406</v>
      </c>
      <c r="C7076" t="s">
        <v>510</v>
      </c>
      <c r="D7076" t="s">
        <v>523</v>
      </c>
      <c r="E7076" t="s">
        <v>524</v>
      </c>
      <c r="F7076" t="s">
        <v>413</v>
      </c>
      <c r="G7076">
        <v>469</v>
      </c>
      <c r="H7076">
        <v>469</v>
      </c>
      <c r="I7076">
        <v>457</v>
      </c>
      <c r="J7076">
        <v>457</v>
      </c>
      <c r="K7076">
        <v>107</v>
      </c>
      <c r="L7076">
        <v>1</v>
      </c>
      <c r="M7076">
        <v>353</v>
      </c>
      <c r="N7076">
        <v>8</v>
      </c>
      <c r="O7076">
        <v>0</v>
      </c>
      <c r="P7076">
        <v>0</v>
      </c>
      <c r="Q7076">
        <v>0</v>
      </c>
    </row>
    <row r="7077" spans="1:17" x14ac:dyDescent="0.2">
      <c r="A7077" s="121">
        <v>41578</v>
      </c>
      <c r="B7077" t="s">
        <v>406</v>
      </c>
      <c r="C7077" t="s">
        <v>510</v>
      </c>
      <c r="D7077" t="s">
        <v>525</v>
      </c>
      <c r="E7077" t="s">
        <v>526</v>
      </c>
      <c r="F7077" t="s">
        <v>410</v>
      </c>
      <c r="G7077">
        <v>403</v>
      </c>
      <c r="I7077">
        <v>390</v>
      </c>
    </row>
    <row r="7078" spans="1:17" x14ac:dyDescent="0.2">
      <c r="A7078" s="121">
        <v>41578</v>
      </c>
      <c r="B7078" t="s">
        <v>406</v>
      </c>
      <c r="C7078" t="s">
        <v>510</v>
      </c>
      <c r="D7078" t="s">
        <v>527</v>
      </c>
      <c r="E7078" t="s">
        <v>528</v>
      </c>
      <c r="F7078" t="s">
        <v>410</v>
      </c>
      <c r="G7078">
        <v>179</v>
      </c>
      <c r="I7078">
        <v>178</v>
      </c>
    </row>
    <row r="7079" spans="1:17" x14ac:dyDescent="0.2">
      <c r="A7079" s="121">
        <v>41578</v>
      </c>
      <c r="B7079" t="s">
        <v>406</v>
      </c>
      <c r="C7079" t="s">
        <v>510</v>
      </c>
      <c r="D7079" t="s">
        <v>529</v>
      </c>
      <c r="E7079" t="s">
        <v>530</v>
      </c>
      <c r="F7079" t="s">
        <v>413</v>
      </c>
      <c r="G7079">
        <v>481</v>
      </c>
      <c r="H7079">
        <v>481</v>
      </c>
      <c r="I7079">
        <v>467</v>
      </c>
      <c r="J7079">
        <v>467</v>
      </c>
      <c r="K7079">
        <v>171</v>
      </c>
      <c r="L7079">
        <v>0</v>
      </c>
      <c r="M7079">
        <v>307</v>
      </c>
      <c r="N7079">
        <v>3</v>
      </c>
      <c r="O7079">
        <v>0</v>
      </c>
      <c r="P7079">
        <v>0</v>
      </c>
      <c r="Q7079">
        <v>0</v>
      </c>
    </row>
    <row r="7080" spans="1:17" x14ac:dyDescent="0.2">
      <c r="A7080" s="121">
        <v>41578</v>
      </c>
      <c r="B7080" t="s">
        <v>406</v>
      </c>
      <c r="C7080" t="s">
        <v>510</v>
      </c>
      <c r="D7080" t="s">
        <v>531</v>
      </c>
      <c r="E7080" t="s">
        <v>532</v>
      </c>
      <c r="F7080" t="s">
        <v>410</v>
      </c>
      <c r="G7080">
        <v>33</v>
      </c>
      <c r="I7080">
        <v>33</v>
      </c>
    </row>
    <row r="7081" spans="1:17" x14ac:dyDescent="0.2">
      <c r="A7081" s="121">
        <v>41578</v>
      </c>
      <c r="B7081" t="s">
        <v>406</v>
      </c>
      <c r="C7081" t="s">
        <v>510</v>
      </c>
      <c r="D7081" t="s">
        <v>533</v>
      </c>
      <c r="E7081" t="s">
        <v>534</v>
      </c>
      <c r="F7081" t="s">
        <v>413</v>
      </c>
      <c r="G7081">
        <v>2420</v>
      </c>
      <c r="H7081">
        <v>2420</v>
      </c>
      <c r="I7081">
        <v>2318</v>
      </c>
      <c r="J7081">
        <v>2318</v>
      </c>
      <c r="K7081">
        <v>602</v>
      </c>
      <c r="L7081">
        <v>4</v>
      </c>
      <c r="M7081">
        <v>1805</v>
      </c>
      <c r="N7081">
        <v>9</v>
      </c>
      <c r="O7081">
        <v>0</v>
      </c>
      <c r="P7081">
        <v>3</v>
      </c>
      <c r="Q7081">
        <v>0</v>
      </c>
    </row>
    <row r="7082" spans="1:17" x14ac:dyDescent="0.2">
      <c r="A7082" s="121">
        <v>41578</v>
      </c>
      <c r="B7082" t="s">
        <v>406</v>
      </c>
      <c r="C7082" t="s">
        <v>510</v>
      </c>
      <c r="D7082" t="s">
        <v>535</v>
      </c>
      <c r="E7082" t="s">
        <v>536</v>
      </c>
      <c r="F7082" t="s">
        <v>410</v>
      </c>
      <c r="G7082">
        <v>486</v>
      </c>
      <c r="I7082">
        <v>485</v>
      </c>
    </row>
    <row r="7083" spans="1:17" x14ac:dyDescent="0.2">
      <c r="A7083" s="121">
        <v>41578</v>
      </c>
      <c r="B7083" t="s">
        <v>406</v>
      </c>
      <c r="C7083" t="s">
        <v>510</v>
      </c>
      <c r="D7083" t="s">
        <v>537</v>
      </c>
      <c r="E7083" t="s">
        <v>538</v>
      </c>
      <c r="F7083" t="s">
        <v>410</v>
      </c>
      <c r="G7083">
        <v>109</v>
      </c>
      <c r="I7083">
        <v>109</v>
      </c>
    </row>
    <row r="7084" spans="1:17" x14ac:dyDescent="0.2">
      <c r="A7084" s="121">
        <v>41578</v>
      </c>
      <c r="B7084" t="s">
        <v>406</v>
      </c>
      <c r="C7084" t="s">
        <v>510</v>
      </c>
      <c r="D7084" t="s">
        <v>539</v>
      </c>
      <c r="E7084" t="s">
        <v>540</v>
      </c>
      <c r="F7084" t="s">
        <v>413</v>
      </c>
      <c r="G7084">
        <v>647</v>
      </c>
      <c r="H7084">
        <v>647</v>
      </c>
      <c r="I7084">
        <v>624</v>
      </c>
      <c r="J7084">
        <v>624</v>
      </c>
      <c r="K7084">
        <v>128</v>
      </c>
      <c r="L7084">
        <v>0</v>
      </c>
      <c r="M7084">
        <v>514</v>
      </c>
      <c r="N7084">
        <v>5</v>
      </c>
      <c r="O7084">
        <v>0</v>
      </c>
      <c r="P7084">
        <v>0</v>
      </c>
      <c r="Q7084">
        <v>0</v>
      </c>
    </row>
    <row r="7085" spans="1:17" x14ac:dyDescent="0.2">
      <c r="A7085" s="121">
        <v>41578</v>
      </c>
      <c r="B7085" t="s">
        <v>406</v>
      </c>
      <c r="C7085" t="s">
        <v>510</v>
      </c>
      <c r="D7085" t="s">
        <v>541</v>
      </c>
      <c r="E7085" t="s">
        <v>542</v>
      </c>
      <c r="F7085" t="s">
        <v>410</v>
      </c>
      <c r="G7085">
        <v>330</v>
      </c>
      <c r="I7085">
        <v>330</v>
      </c>
    </row>
    <row r="7086" spans="1:17" x14ac:dyDescent="0.2">
      <c r="A7086" s="121">
        <v>41578</v>
      </c>
      <c r="B7086" t="s">
        <v>406</v>
      </c>
      <c r="C7086" t="s">
        <v>510</v>
      </c>
      <c r="D7086" t="s">
        <v>543</v>
      </c>
      <c r="E7086" t="s">
        <v>544</v>
      </c>
      <c r="F7086" t="s">
        <v>410</v>
      </c>
      <c r="G7086">
        <v>211</v>
      </c>
      <c r="I7086">
        <v>211</v>
      </c>
    </row>
    <row r="7087" spans="1:17" x14ac:dyDescent="0.2">
      <c r="A7087" s="121">
        <v>41578</v>
      </c>
      <c r="B7087" t="s">
        <v>406</v>
      </c>
      <c r="C7087" t="s">
        <v>510</v>
      </c>
      <c r="D7087" t="s">
        <v>545</v>
      </c>
      <c r="E7087" t="s">
        <v>546</v>
      </c>
      <c r="F7087" t="s">
        <v>410</v>
      </c>
      <c r="G7087">
        <v>180</v>
      </c>
      <c r="I7087">
        <v>180</v>
      </c>
    </row>
    <row r="7088" spans="1:17" x14ac:dyDescent="0.2">
      <c r="A7088" s="121">
        <v>41578</v>
      </c>
      <c r="B7088" t="s">
        <v>406</v>
      </c>
      <c r="C7088" t="s">
        <v>510</v>
      </c>
      <c r="D7088" t="s">
        <v>547</v>
      </c>
      <c r="E7088" t="s">
        <v>548</v>
      </c>
      <c r="F7088" t="s">
        <v>410</v>
      </c>
      <c r="G7088">
        <v>137</v>
      </c>
      <c r="I7088">
        <v>137</v>
      </c>
    </row>
    <row r="7089" spans="1:17" x14ac:dyDescent="0.2">
      <c r="A7089" s="121">
        <v>41578</v>
      </c>
      <c r="B7089" t="s">
        <v>406</v>
      </c>
      <c r="C7089" t="s">
        <v>510</v>
      </c>
      <c r="D7089" t="s">
        <v>616</v>
      </c>
      <c r="E7089" t="s">
        <v>617</v>
      </c>
      <c r="F7089" t="s">
        <v>410</v>
      </c>
      <c r="G7089">
        <v>328</v>
      </c>
      <c r="I7089">
        <v>318</v>
      </c>
    </row>
    <row r="7090" spans="1:17" x14ac:dyDescent="0.2">
      <c r="A7090" s="121">
        <v>41578</v>
      </c>
      <c r="B7090" t="s">
        <v>406</v>
      </c>
      <c r="C7090" t="s">
        <v>510</v>
      </c>
      <c r="D7090" t="s">
        <v>549</v>
      </c>
      <c r="E7090" t="s">
        <v>550</v>
      </c>
      <c r="F7090" t="s">
        <v>410</v>
      </c>
      <c r="G7090">
        <v>160</v>
      </c>
      <c r="I7090">
        <v>160</v>
      </c>
    </row>
    <row r="7091" spans="1:17" x14ac:dyDescent="0.2">
      <c r="A7091" s="121">
        <v>41578</v>
      </c>
      <c r="B7091" t="s">
        <v>406</v>
      </c>
      <c r="C7091" t="s">
        <v>510</v>
      </c>
      <c r="D7091" t="s">
        <v>625</v>
      </c>
      <c r="E7091" t="s">
        <v>626</v>
      </c>
      <c r="F7091" t="s">
        <v>410</v>
      </c>
      <c r="G7091">
        <v>50</v>
      </c>
      <c r="I7091">
        <v>49</v>
      </c>
    </row>
    <row r="7092" spans="1:17" x14ac:dyDescent="0.2">
      <c r="A7092" s="121">
        <v>41578</v>
      </c>
      <c r="B7092" t="s">
        <v>406</v>
      </c>
      <c r="C7092" t="s">
        <v>551</v>
      </c>
      <c r="D7092" t="s">
        <v>552</v>
      </c>
      <c r="E7092" t="s">
        <v>553</v>
      </c>
      <c r="F7092" t="s">
        <v>413</v>
      </c>
      <c r="G7092">
        <v>5441</v>
      </c>
      <c r="H7092">
        <v>5441</v>
      </c>
      <c r="I7092">
        <v>4858</v>
      </c>
      <c r="J7092">
        <v>4858</v>
      </c>
      <c r="K7092">
        <v>1659</v>
      </c>
      <c r="L7092">
        <v>5</v>
      </c>
      <c r="M7092">
        <v>3506</v>
      </c>
      <c r="N7092">
        <v>178</v>
      </c>
      <c r="O7092">
        <v>93</v>
      </c>
      <c r="P7092">
        <v>22</v>
      </c>
      <c r="Q7092">
        <v>1</v>
      </c>
    </row>
    <row r="7093" spans="1:17" x14ac:dyDescent="0.2">
      <c r="A7093" s="121">
        <v>41578</v>
      </c>
      <c r="B7093" t="s">
        <v>406</v>
      </c>
      <c r="C7093" t="s">
        <v>551</v>
      </c>
      <c r="D7093" t="s">
        <v>554</v>
      </c>
      <c r="E7093" t="s">
        <v>555</v>
      </c>
      <c r="F7093" t="s">
        <v>410</v>
      </c>
      <c r="G7093">
        <v>65</v>
      </c>
      <c r="I7093">
        <v>65</v>
      </c>
    </row>
    <row r="7094" spans="1:17" x14ac:dyDescent="0.2">
      <c r="A7094" s="121">
        <v>41578</v>
      </c>
      <c r="B7094" t="s">
        <v>406</v>
      </c>
      <c r="C7094" t="s">
        <v>551</v>
      </c>
      <c r="D7094" t="s">
        <v>556</v>
      </c>
      <c r="E7094" t="s">
        <v>557</v>
      </c>
      <c r="F7094" t="s">
        <v>410</v>
      </c>
      <c r="G7094">
        <v>85</v>
      </c>
      <c r="I7094">
        <v>85</v>
      </c>
    </row>
    <row r="7095" spans="1:17" x14ac:dyDescent="0.2">
      <c r="A7095" s="121">
        <v>41578</v>
      </c>
      <c r="B7095" t="s">
        <v>406</v>
      </c>
      <c r="C7095" t="s">
        <v>551</v>
      </c>
      <c r="D7095" t="s">
        <v>558</v>
      </c>
      <c r="E7095" t="s">
        <v>559</v>
      </c>
      <c r="F7095" t="s">
        <v>413</v>
      </c>
      <c r="G7095">
        <v>4613</v>
      </c>
      <c r="H7095">
        <v>4613</v>
      </c>
      <c r="I7095">
        <v>4219</v>
      </c>
      <c r="J7095">
        <v>4219</v>
      </c>
      <c r="K7095">
        <v>1352</v>
      </c>
      <c r="L7095">
        <v>3</v>
      </c>
      <c r="M7095">
        <v>3127</v>
      </c>
      <c r="N7095">
        <v>118</v>
      </c>
      <c r="O7095">
        <v>13</v>
      </c>
      <c r="P7095">
        <v>38</v>
      </c>
      <c r="Q7095">
        <v>9</v>
      </c>
    </row>
    <row r="7096" spans="1:17" x14ac:dyDescent="0.2">
      <c r="A7096" s="121">
        <v>41578</v>
      </c>
      <c r="B7096" t="s">
        <v>406</v>
      </c>
      <c r="C7096" t="s">
        <v>551</v>
      </c>
      <c r="D7096" t="s">
        <v>560</v>
      </c>
      <c r="E7096" t="s">
        <v>561</v>
      </c>
      <c r="F7096" t="s">
        <v>413</v>
      </c>
      <c r="G7096">
        <v>5110</v>
      </c>
      <c r="H7096">
        <v>5110</v>
      </c>
      <c r="I7096">
        <v>4563</v>
      </c>
      <c r="J7096">
        <v>4563</v>
      </c>
      <c r="K7096">
        <v>1112</v>
      </c>
      <c r="L7096">
        <v>9</v>
      </c>
      <c r="M7096">
        <v>3715</v>
      </c>
      <c r="N7096">
        <v>214</v>
      </c>
      <c r="O7096">
        <v>60</v>
      </c>
      <c r="P7096">
        <v>49</v>
      </c>
      <c r="Q7096">
        <v>12</v>
      </c>
    </row>
    <row r="7097" spans="1:17" x14ac:dyDescent="0.2">
      <c r="A7097" s="121">
        <v>41578</v>
      </c>
      <c r="B7097" t="s">
        <v>406</v>
      </c>
      <c r="C7097" t="s">
        <v>562</v>
      </c>
      <c r="D7097" t="s">
        <v>605</v>
      </c>
      <c r="E7097" t="s">
        <v>606</v>
      </c>
      <c r="F7097" t="s">
        <v>410</v>
      </c>
      <c r="G7097">
        <v>98</v>
      </c>
      <c r="I7097">
        <v>98</v>
      </c>
    </row>
    <row r="7098" spans="1:17" x14ac:dyDescent="0.2">
      <c r="A7098" s="121">
        <v>41578</v>
      </c>
      <c r="B7098" t="s">
        <v>406</v>
      </c>
      <c r="C7098" t="s">
        <v>562</v>
      </c>
      <c r="D7098" t="s">
        <v>563</v>
      </c>
      <c r="E7098" t="s">
        <v>564</v>
      </c>
      <c r="F7098" t="s">
        <v>410</v>
      </c>
      <c r="G7098">
        <v>3434</v>
      </c>
      <c r="H7098">
        <v>3434</v>
      </c>
      <c r="I7098">
        <v>3101</v>
      </c>
      <c r="J7098">
        <v>3101</v>
      </c>
      <c r="K7098">
        <v>1133</v>
      </c>
      <c r="L7098">
        <v>2</v>
      </c>
      <c r="M7098">
        <v>2267</v>
      </c>
      <c r="N7098">
        <v>32</v>
      </c>
      <c r="O7098">
        <v>0</v>
      </c>
      <c r="P7098">
        <v>35</v>
      </c>
      <c r="Q7098">
        <v>2</v>
      </c>
    </row>
    <row r="7099" spans="1:17" x14ac:dyDescent="0.2">
      <c r="A7099" s="121">
        <v>41578</v>
      </c>
      <c r="B7099" t="s">
        <v>406</v>
      </c>
      <c r="C7099" t="s">
        <v>562</v>
      </c>
      <c r="D7099" t="s">
        <v>565</v>
      </c>
      <c r="E7099" t="s">
        <v>566</v>
      </c>
      <c r="F7099" t="s">
        <v>413</v>
      </c>
      <c r="G7099">
        <v>4112</v>
      </c>
      <c r="H7099">
        <v>4112</v>
      </c>
      <c r="I7099">
        <v>3982</v>
      </c>
      <c r="J7099">
        <v>3982</v>
      </c>
      <c r="K7099">
        <v>943</v>
      </c>
      <c r="L7099">
        <v>8</v>
      </c>
      <c r="M7099">
        <v>3068</v>
      </c>
      <c r="N7099">
        <v>93</v>
      </c>
      <c r="O7099">
        <v>0</v>
      </c>
      <c r="P7099">
        <v>4</v>
      </c>
      <c r="Q7099">
        <v>0</v>
      </c>
    </row>
    <row r="7100" spans="1:17" x14ac:dyDescent="0.2">
      <c r="A7100" s="121">
        <v>41578</v>
      </c>
      <c r="B7100" t="s">
        <v>406</v>
      </c>
      <c r="C7100" t="s">
        <v>562</v>
      </c>
      <c r="D7100" t="s">
        <v>567</v>
      </c>
      <c r="E7100" t="s">
        <v>568</v>
      </c>
      <c r="F7100" t="s">
        <v>413</v>
      </c>
      <c r="G7100">
        <v>9734</v>
      </c>
      <c r="H7100">
        <v>9734</v>
      </c>
      <c r="I7100">
        <v>8884</v>
      </c>
      <c r="J7100">
        <v>8884</v>
      </c>
      <c r="K7100">
        <v>2810</v>
      </c>
      <c r="L7100">
        <v>17</v>
      </c>
      <c r="M7100">
        <v>6677</v>
      </c>
      <c r="N7100">
        <v>230</v>
      </c>
      <c r="O7100">
        <v>0</v>
      </c>
      <c r="P7100">
        <v>62</v>
      </c>
      <c r="Q7100">
        <v>8</v>
      </c>
    </row>
    <row r="7101" spans="1:17" x14ac:dyDescent="0.2">
      <c r="A7101" s="121">
        <v>41578</v>
      </c>
      <c r="B7101" t="s">
        <v>406</v>
      </c>
      <c r="C7101" t="s">
        <v>562</v>
      </c>
      <c r="D7101" t="s">
        <v>569</v>
      </c>
      <c r="E7101" t="s">
        <v>570</v>
      </c>
      <c r="F7101" t="s">
        <v>413</v>
      </c>
      <c r="G7101">
        <v>3292</v>
      </c>
      <c r="H7101">
        <v>3292</v>
      </c>
      <c r="I7101">
        <v>3253</v>
      </c>
      <c r="J7101">
        <v>3253</v>
      </c>
      <c r="K7101">
        <v>480</v>
      </c>
      <c r="L7101">
        <v>0</v>
      </c>
      <c r="M7101">
        <v>2812</v>
      </c>
      <c r="N7101">
        <v>0</v>
      </c>
      <c r="O7101">
        <v>0</v>
      </c>
      <c r="P7101">
        <v>2</v>
      </c>
      <c r="Q7101">
        <v>0</v>
      </c>
    </row>
    <row r="7102" spans="1:17" x14ac:dyDescent="0.2">
      <c r="A7102" s="121">
        <v>41578</v>
      </c>
      <c r="B7102" t="s">
        <v>406</v>
      </c>
      <c r="C7102" t="s">
        <v>571</v>
      </c>
      <c r="D7102" t="s">
        <v>572</v>
      </c>
      <c r="E7102" t="s">
        <v>573</v>
      </c>
      <c r="F7102" t="s">
        <v>410</v>
      </c>
      <c r="G7102">
        <v>419</v>
      </c>
      <c r="H7102">
        <v>419</v>
      </c>
      <c r="I7102">
        <v>414</v>
      </c>
      <c r="J7102">
        <v>414</v>
      </c>
      <c r="K7102">
        <v>134</v>
      </c>
      <c r="L7102">
        <v>0</v>
      </c>
      <c r="M7102">
        <v>259</v>
      </c>
      <c r="N7102">
        <v>2</v>
      </c>
      <c r="O7102">
        <v>24</v>
      </c>
      <c r="P7102">
        <v>1</v>
      </c>
      <c r="Q7102">
        <v>1</v>
      </c>
    </row>
    <row r="7103" spans="1:17" x14ac:dyDescent="0.2">
      <c r="A7103" s="121">
        <v>41578</v>
      </c>
      <c r="B7103" t="s">
        <v>406</v>
      </c>
      <c r="C7103" t="s">
        <v>574</v>
      </c>
      <c r="D7103" t="s">
        <v>575</v>
      </c>
      <c r="E7103" t="s">
        <v>576</v>
      </c>
      <c r="F7103" t="s">
        <v>413</v>
      </c>
      <c r="G7103">
        <v>641</v>
      </c>
      <c r="H7103">
        <v>641</v>
      </c>
      <c r="I7103">
        <v>635</v>
      </c>
      <c r="J7103">
        <v>635</v>
      </c>
      <c r="K7103">
        <v>147</v>
      </c>
      <c r="L7103">
        <v>0</v>
      </c>
      <c r="M7103">
        <v>471</v>
      </c>
      <c r="N7103">
        <v>1</v>
      </c>
      <c r="O7103">
        <v>22</v>
      </c>
      <c r="P7103">
        <v>0</v>
      </c>
      <c r="Q7103">
        <v>0</v>
      </c>
    </row>
    <row r="7104" spans="1:17" x14ac:dyDescent="0.2">
      <c r="A7104" s="121">
        <v>41578</v>
      </c>
      <c r="B7104" t="s">
        <v>406</v>
      </c>
      <c r="C7104" t="s">
        <v>577</v>
      </c>
      <c r="D7104" t="s">
        <v>578</v>
      </c>
      <c r="E7104" t="s">
        <v>579</v>
      </c>
      <c r="F7104" t="s">
        <v>413</v>
      </c>
      <c r="G7104">
        <v>3888</v>
      </c>
      <c r="H7104">
        <v>3888</v>
      </c>
      <c r="I7104">
        <v>3844</v>
      </c>
      <c r="J7104">
        <v>3844</v>
      </c>
      <c r="K7104">
        <v>847</v>
      </c>
      <c r="L7104">
        <v>14</v>
      </c>
      <c r="M7104">
        <v>2776</v>
      </c>
      <c r="N7104">
        <v>245</v>
      </c>
      <c r="O7104">
        <v>6</v>
      </c>
      <c r="P7104">
        <v>0</v>
      </c>
      <c r="Q7104">
        <v>0</v>
      </c>
    </row>
    <row r="7105" spans="1:17" x14ac:dyDescent="0.2">
      <c r="A7105" s="121">
        <v>41578</v>
      </c>
      <c r="B7105" t="s">
        <v>406</v>
      </c>
      <c r="C7105" t="s">
        <v>577</v>
      </c>
      <c r="D7105" t="s">
        <v>580</v>
      </c>
      <c r="E7105" t="s">
        <v>581</v>
      </c>
      <c r="F7105" t="s">
        <v>413</v>
      </c>
      <c r="G7105">
        <v>1974</v>
      </c>
      <c r="H7105">
        <v>1974</v>
      </c>
      <c r="I7105">
        <v>1948</v>
      </c>
      <c r="J7105">
        <v>1948</v>
      </c>
      <c r="K7105">
        <v>312</v>
      </c>
      <c r="L7105">
        <v>0</v>
      </c>
      <c r="M7105">
        <v>1315</v>
      </c>
      <c r="N7105">
        <v>293</v>
      </c>
      <c r="O7105">
        <v>54</v>
      </c>
      <c r="P7105">
        <v>2</v>
      </c>
      <c r="Q7105">
        <v>1</v>
      </c>
    </row>
    <row r="7106" spans="1:17" x14ac:dyDescent="0.2">
      <c r="A7106" s="121">
        <v>41578</v>
      </c>
      <c r="B7106" t="s">
        <v>406</v>
      </c>
      <c r="C7106" t="s">
        <v>577</v>
      </c>
      <c r="D7106" t="s">
        <v>609</v>
      </c>
      <c r="E7106" t="s">
        <v>610</v>
      </c>
      <c r="F7106" t="s">
        <v>410</v>
      </c>
      <c r="G7106">
        <v>28</v>
      </c>
      <c r="H7106">
        <v>28</v>
      </c>
      <c r="I7106">
        <v>28</v>
      </c>
      <c r="J7106">
        <v>28</v>
      </c>
      <c r="K7106">
        <v>0</v>
      </c>
      <c r="L7106">
        <v>0</v>
      </c>
      <c r="M7106">
        <v>23</v>
      </c>
      <c r="N7106">
        <v>4</v>
      </c>
      <c r="O7106">
        <v>1</v>
      </c>
      <c r="P7106">
        <v>0</v>
      </c>
      <c r="Q7106">
        <v>0</v>
      </c>
    </row>
    <row r="7107" spans="1:17" x14ac:dyDescent="0.2">
      <c r="A7107" s="121">
        <v>41578</v>
      </c>
      <c r="B7107" t="s">
        <v>406</v>
      </c>
      <c r="C7107" t="s">
        <v>577</v>
      </c>
      <c r="D7107" t="s">
        <v>611</v>
      </c>
      <c r="E7107" t="s">
        <v>612</v>
      </c>
      <c r="F7107" t="s">
        <v>410</v>
      </c>
      <c r="G7107">
        <v>15</v>
      </c>
      <c r="H7107">
        <v>15</v>
      </c>
      <c r="I7107">
        <v>15</v>
      </c>
      <c r="J7107">
        <v>15</v>
      </c>
      <c r="K7107">
        <v>0</v>
      </c>
      <c r="L7107">
        <v>0</v>
      </c>
      <c r="M7107">
        <v>10</v>
      </c>
      <c r="N7107">
        <v>1</v>
      </c>
      <c r="O7107">
        <v>4</v>
      </c>
      <c r="P7107">
        <v>0</v>
      </c>
      <c r="Q7107">
        <v>0</v>
      </c>
    </row>
    <row r="7108" spans="1:17" x14ac:dyDescent="0.2">
      <c r="A7108" s="121">
        <v>41578</v>
      </c>
      <c r="B7108" t="s">
        <v>406</v>
      </c>
      <c r="C7108" t="s">
        <v>577</v>
      </c>
      <c r="D7108" t="s">
        <v>584</v>
      </c>
      <c r="E7108" t="s">
        <v>585</v>
      </c>
      <c r="F7108" t="s">
        <v>410</v>
      </c>
      <c r="G7108">
        <v>239</v>
      </c>
      <c r="H7108">
        <v>239</v>
      </c>
      <c r="I7108">
        <v>239</v>
      </c>
      <c r="J7108">
        <v>239</v>
      </c>
      <c r="K7108">
        <v>0</v>
      </c>
      <c r="L7108">
        <v>0</v>
      </c>
      <c r="M7108">
        <v>225</v>
      </c>
      <c r="N7108">
        <v>12</v>
      </c>
      <c r="O7108">
        <v>2</v>
      </c>
      <c r="P7108">
        <v>0</v>
      </c>
      <c r="Q7108">
        <v>0</v>
      </c>
    </row>
    <row r="7109" spans="1:17" x14ac:dyDescent="0.2">
      <c r="A7109" s="121">
        <v>41578</v>
      </c>
      <c r="B7109" t="s">
        <v>406</v>
      </c>
      <c r="C7109" t="s">
        <v>577</v>
      </c>
      <c r="D7109" t="s">
        <v>586</v>
      </c>
      <c r="E7109" t="s">
        <v>587</v>
      </c>
      <c r="F7109" t="s">
        <v>410</v>
      </c>
      <c r="G7109">
        <v>1082</v>
      </c>
      <c r="H7109">
        <v>1082</v>
      </c>
      <c r="I7109">
        <v>1082</v>
      </c>
      <c r="J7109">
        <v>1082</v>
      </c>
      <c r="K7109">
        <v>0</v>
      </c>
      <c r="L7109">
        <v>1</v>
      </c>
      <c r="M7109">
        <v>985</v>
      </c>
      <c r="N7109">
        <v>95</v>
      </c>
      <c r="O7109">
        <v>1</v>
      </c>
      <c r="P7109">
        <v>0</v>
      </c>
      <c r="Q7109">
        <v>0</v>
      </c>
    </row>
    <row r="7110" spans="1:17" x14ac:dyDescent="0.2">
      <c r="A7110" s="121">
        <v>41578</v>
      </c>
      <c r="B7110" t="s">
        <v>406</v>
      </c>
      <c r="C7110" t="s">
        <v>577</v>
      </c>
      <c r="D7110" t="s">
        <v>588</v>
      </c>
      <c r="E7110" t="s">
        <v>589</v>
      </c>
      <c r="F7110" t="s">
        <v>410</v>
      </c>
      <c r="G7110">
        <v>245</v>
      </c>
      <c r="H7110">
        <v>245</v>
      </c>
      <c r="I7110">
        <v>245</v>
      </c>
      <c r="J7110">
        <v>245</v>
      </c>
      <c r="K7110">
        <v>0</v>
      </c>
      <c r="L7110">
        <v>0</v>
      </c>
      <c r="M7110">
        <v>229</v>
      </c>
      <c r="N7110">
        <v>16</v>
      </c>
      <c r="O7110">
        <v>0</v>
      </c>
      <c r="P7110">
        <v>0</v>
      </c>
      <c r="Q7110">
        <v>0</v>
      </c>
    </row>
    <row r="7111" spans="1:17" x14ac:dyDescent="0.2">
      <c r="A7111" s="121">
        <v>41578</v>
      </c>
      <c r="B7111" t="s">
        <v>406</v>
      </c>
      <c r="C7111" t="s">
        <v>577</v>
      </c>
      <c r="D7111" t="s">
        <v>613</v>
      </c>
      <c r="E7111" t="s">
        <v>614</v>
      </c>
      <c r="F7111" t="s">
        <v>410</v>
      </c>
      <c r="G7111">
        <v>128</v>
      </c>
      <c r="H7111">
        <v>128</v>
      </c>
      <c r="I7111">
        <v>128</v>
      </c>
      <c r="J7111">
        <v>128</v>
      </c>
      <c r="K7111">
        <v>0</v>
      </c>
      <c r="L7111">
        <v>0</v>
      </c>
      <c r="M7111">
        <v>101</v>
      </c>
      <c r="N7111">
        <v>20</v>
      </c>
      <c r="O7111">
        <v>7</v>
      </c>
      <c r="P7111">
        <v>0</v>
      </c>
      <c r="Q7111">
        <v>0</v>
      </c>
    </row>
    <row r="7112" spans="1:17" x14ac:dyDescent="0.2">
      <c r="A7112" s="121">
        <v>41578</v>
      </c>
      <c r="B7112" t="s">
        <v>406</v>
      </c>
      <c r="C7112" t="s">
        <v>577</v>
      </c>
      <c r="D7112" t="s">
        <v>590</v>
      </c>
      <c r="E7112" t="s">
        <v>591</v>
      </c>
      <c r="F7112" t="s">
        <v>410</v>
      </c>
      <c r="G7112">
        <v>580</v>
      </c>
      <c r="H7112">
        <v>580</v>
      </c>
      <c r="I7112">
        <v>580</v>
      </c>
      <c r="J7112">
        <v>580</v>
      </c>
      <c r="K7112">
        <v>0</v>
      </c>
      <c r="L7112">
        <v>0</v>
      </c>
      <c r="M7112">
        <v>557</v>
      </c>
      <c r="N7112">
        <v>23</v>
      </c>
      <c r="O7112">
        <v>0</v>
      </c>
      <c r="P7112">
        <v>0</v>
      </c>
      <c r="Q7112">
        <v>0</v>
      </c>
    </row>
    <row r="7113" spans="1:17" x14ac:dyDescent="0.2">
      <c r="A7113" s="121">
        <v>41578</v>
      </c>
      <c r="B7113" t="s">
        <v>406</v>
      </c>
      <c r="C7113" t="s">
        <v>577</v>
      </c>
      <c r="D7113" t="s">
        <v>607</v>
      </c>
      <c r="E7113" t="s">
        <v>608</v>
      </c>
      <c r="F7113" t="s">
        <v>410</v>
      </c>
      <c r="G7113">
        <v>214</v>
      </c>
      <c r="H7113">
        <v>214</v>
      </c>
      <c r="I7113">
        <v>212</v>
      </c>
      <c r="J7113">
        <v>212</v>
      </c>
      <c r="K7113">
        <v>0</v>
      </c>
      <c r="L7113">
        <v>0</v>
      </c>
      <c r="M7113">
        <v>188</v>
      </c>
      <c r="N7113">
        <v>15</v>
      </c>
      <c r="O7113">
        <v>11</v>
      </c>
      <c r="P7113">
        <v>0</v>
      </c>
      <c r="Q7113">
        <v>0</v>
      </c>
    </row>
    <row r="7114" spans="1:17" x14ac:dyDescent="0.2">
      <c r="A7114" s="121">
        <v>41578</v>
      </c>
      <c r="B7114" t="s">
        <v>406</v>
      </c>
      <c r="C7114" t="s">
        <v>577</v>
      </c>
      <c r="D7114" t="s">
        <v>592</v>
      </c>
      <c r="E7114" t="s">
        <v>593</v>
      </c>
      <c r="F7114" t="s">
        <v>410</v>
      </c>
      <c r="G7114">
        <v>515</v>
      </c>
      <c r="H7114">
        <v>515</v>
      </c>
      <c r="I7114">
        <v>515</v>
      </c>
      <c r="J7114">
        <v>515</v>
      </c>
      <c r="K7114">
        <v>0</v>
      </c>
      <c r="L7114">
        <v>1</v>
      </c>
      <c r="M7114">
        <v>473</v>
      </c>
      <c r="N7114">
        <v>37</v>
      </c>
      <c r="O7114">
        <v>4</v>
      </c>
      <c r="P7114">
        <v>0</v>
      </c>
      <c r="Q7114">
        <v>0</v>
      </c>
    </row>
    <row r="7115" spans="1:17" x14ac:dyDescent="0.2">
      <c r="A7115" s="121">
        <v>41578</v>
      </c>
      <c r="B7115" t="s">
        <v>406</v>
      </c>
      <c r="C7115" t="s">
        <v>594</v>
      </c>
      <c r="D7115" t="s">
        <v>595</v>
      </c>
      <c r="E7115" t="s">
        <v>596</v>
      </c>
      <c r="F7115" t="s">
        <v>410</v>
      </c>
      <c r="G7115">
        <v>30</v>
      </c>
      <c r="I7115">
        <v>30</v>
      </c>
    </row>
    <row r="7116" spans="1:17" x14ac:dyDescent="0.2">
      <c r="A7116" s="121">
        <v>41578</v>
      </c>
      <c r="B7116" t="s">
        <v>406</v>
      </c>
      <c r="C7116" t="s">
        <v>594</v>
      </c>
      <c r="D7116" t="s">
        <v>597</v>
      </c>
      <c r="E7116" t="s">
        <v>598</v>
      </c>
      <c r="F7116" t="s">
        <v>413</v>
      </c>
      <c r="G7116">
        <v>485</v>
      </c>
      <c r="H7116">
        <v>485</v>
      </c>
      <c r="I7116">
        <v>479</v>
      </c>
      <c r="J7116">
        <v>479</v>
      </c>
      <c r="K7116">
        <v>95</v>
      </c>
      <c r="L7116">
        <v>2</v>
      </c>
      <c r="M7116">
        <v>376</v>
      </c>
      <c r="N7116">
        <v>10</v>
      </c>
      <c r="O7116">
        <v>2</v>
      </c>
      <c r="P7116">
        <v>0</v>
      </c>
      <c r="Q7116">
        <v>0</v>
      </c>
    </row>
    <row r="7117" spans="1:17" x14ac:dyDescent="0.2">
      <c r="A7117" s="121">
        <v>41578</v>
      </c>
      <c r="B7117" t="s">
        <v>406</v>
      </c>
      <c r="C7117" t="s">
        <v>594</v>
      </c>
      <c r="D7117" t="s">
        <v>599</v>
      </c>
      <c r="E7117" t="s">
        <v>600</v>
      </c>
      <c r="F7117" t="s">
        <v>410</v>
      </c>
      <c r="G7117">
        <v>82</v>
      </c>
      <c r="I7117">
        <v>82</v>
      </c>
    </row>
    <row r="7118" spans="1:17" x14ac:dyDescent="0.2">
      <c r="A7118" s="121">
        <v>41608</v>
      </c>
      <c r="B7118" t="s">
        <v>406</v>
      </c>
      <c r="C7118" t="s">
        <v>407</v>
      </c>
      <c r="D7118" t="s">
        <v>408</v>
      </c>
      <c r="E7118" t="s">
        <v>409</v>
      </c>
      <c r="F7118" t="s">
        <v>410</v>
      </c>
      <c r="G7118">
        <v>146</v>
      </c>
      <c r="I7118">
        <v>146</v>
      </c>
    </row>
    <row r="7119" spans="1:17" x14ac:dyDescent="0.2">
      <c r="A7119" s="121">
        <v>41608</v>
      </c>
      <c r="B7119" t="s">
        <v>406</v>
      </c>
      <c r="C7119" t="s">
        <v>407</v>
      </c>
      <c r="D7119" t="s">
        <v>601</v>
      </c>
      <c r="E7119" t="s">
        <v>602</v>
      </c>
      <c r="F7119" t="s">
        <v>410</v>
      </c>
      <c r="G7119">
        <v>22</v>
      </c>
      <c r="I7119">
        <v>22</v>
      </c>
    </row>
    <row r="7120" spans="1:17" x14ac:dyDescent="0.2">
      <c r="A7120" s="121">
        <v>41608</v>
      </c>
      <c r="B7120" t="s">
        <v>406</v>
      </c>
      <c r="C7120" t="s">
        <v>407</v>
      </c>
      <c r="D7120" t="s">
        <v>411</v>
      </c>
      <c r="E7120" t="s">
        <v>412</v>
      </c>
      <c r="F7120" t="s">
        <v>413</v>
      </c>
      <c r="G7120">
        <v>5510</v>
      </c>
      <c r="H7120">
        <v>5510</v>
      </c>
      <c r="I7120">
        <v>5127</v>
      </c>
      <c r="J7120">
        <v>5127</v>
      </c>
      <c r="K7120">
        <v>2317</v>
      </c>
      <c r="L7120">
        <v>5</v>
      </c>
      <c r="M7120">
        <v>2854</v>
      </c>
      <c r="N7120">
        <v>93</v>
      </c>
      <c r="O7120">
        <v>241</v>
      </c>
      <c r="P7120">
        <v>28</v>
      </c>
      <c r="Q7120">
        <v>10</v>
      </c>
    </row>
    <row r="7121" spans="1:17" x14ac:dyDescent="0.2">
      <c r="A7121" s="121">
        <v>41608</v>
      </c>
      <c r="B7121" t="s">
        <v>406</v>
      </c>
      <c r="C7121" t="s">
        <v>407</v>
      </c>
      <c r="D7121" t="s">
        <v>416</v>
      </c>
      <c r="E7121" t="s">
        <v>417</v>
      </c>
      <c r="F7121" t="s">
        <v>413</v>
      </c>
      <c r="G7121">
        <v>3322</v>
      </c>
      <c r="H7121">
        <v>3322</v>
      </c>
      <c r="I7121">
        <v>3113</v>
      </c>
      <c r="J7121">
        <v>3113</v>
      </c>
      <c r="K7121">
        <v>1248</v>
      </c>
      <c r="L7121">
        <v>4</v>
      </c>
      <c r="M7121">
        <v>1914</v>
      </c>
      <c r="N7121">
        <v>117</v>
      </c>
      <c r="O7121">
        <v>39</v>
      </c>
      <c r="P7121">
        <v>19</v>
      </c>
      <c r="Q7121">
        <v>8</v>
      </c>
    </row>
    <row r="7122" spans="1:17" x14ac:dyDescent="0.2">
      <c r="A7122" s="121">
        <v>41608</v>
      </c>
      <c r="B7122" t="s">
        <v>406</v>
      </c>
      <c r="C7122" t="s">
        <v>407</v>
      </c>
      <c r="D7122" t="s">
        <v>618</v>
      </c>
      <c r="E7122" t="s">
        <v>619</v>
      </c>
      <c r="F7122" t="s">
        <v>410</v>
      </c>
      <c r="G7122">
        <v>87</v>
      </c>
      <c r="I7122">
        <v>87</v>
      </c>
    </row>
    <row r="7123" spans="1:17" x14ac:dyDescent="0.2">
      <c r="A7123" s="121">
        <v>41608</v>
      </c>
      <c r="B7123" t="s">
        <v>406</v>
      </c>
      <c r="C7123" t="s">
        <v>418</v>
      </c>
      <c r="D7123" t="s">
        <v>419</v>
      </c>
      <c r="E7123" t="s">
        <v>420</v>
      </c>
      <c r="F7123" t="s">
        <v>410</v>
      </c>
      <c r="G7123">
        <v>10</v>
      </c>
      <c r="I7123">
        <v>10</v>
      </c>
    </row>
    <row r="7124" spans="1:17" x14ac:dyDescent="0.2">
      <c r="A7124" s="121">
        <v>41608</v>
      </c>
      <c r="B7124" t="s">
        <v>406</v>
      </c>
      <c r="C7124" t="s">
        <v>418</v>
      </c>
      <c r="D7124" t="s">
        <v>421</v>
      </c>
      <c r="E7124" t="s">
        <v>422</v>
      </c>
      <c r="F7124" t="s">
        <v>410</v>
      </c>
      <c r="G7124">
        <v>96</v>
      </c>
      <c r="I7124">
        <v>96</v>
      </c>
    </row>
    <row r="7125" spans="1:17" x14ac:dyDescent="0.2">
      <c r="A7125" s="121">
        <v>41608</v>
      </c>
      <c r="B7125" t="s">
        <v>406</v>
      </c>
      <c r="C7125" t="s">
        <v>418</v>
      </c>
      <c r="D7125" t="s">
        <v>423</v>
      </c>
      <c r="E7125" t="s">
        <v>424</v>
      </c>
      <c r="F7125" t="s">
        <v>410</v>
      </c>
      <c r="G7125">
        <v>14</v>
      </c>
      <c r="I7125">
        <v>14</v>
      </c>
    </row>
    <row r="7126" spans="1:17" x14ac:dyDescent="0.2">
      <c r="A7126" s="121">
        <v>41608</v>
      </c>
      <c r="B7126" t="s">
        <v>406</v>
      </c>
      <c r="C7126" t="s">
        <v>418</v>
      </c>
      <c r="D7126" t="s">
        <v>425</v>
      </c>
      <c r="E7126" t="s">
        <v>426</v>
      </c>
      <c r="F7126" t="s">
        <v>410</v>
      </c>
      <c r="G7126">
        <v>48</v>
      </c>
      <c r="I7126">
        <v>48</v>
      </c>
    </row>
    <row r="7127" spans="1:17" x14ac:dyDescent="0.2">
      <c r="A7127" s="121">
        <v>41608</v>
      </c>
      <c r="B7127" t="s">
        <v>406</v>
      </c>
      <c r="C7127" t="s">
        <v>418</v>
      </c>
      <c r="D7127" t="s">
        <v>427</v>
      </c>
      <c r="E7127" t="s">
        <v>428</v>
      </c>
      <c r="F7127" t="s">
        <v>413</v>
      </c>
      <c r="G7127">
        <v>1985</v>
      </c>
      <c r="H7127">
        <v>1985</v>
      </c>
      <c r="I7127">
        <v>1940</v>
      </c>
      <c r="J7127">
        <v>1940</v>
      </c>
      <c r="K7127">
        <v>750</v>
      </c>
      <c r="L7127">
        <v>4</v>
      </c>
      <c r="M7127">
        <v>1012</v>
      </c>
      <c r="N7127">
        <v>154</v>
      </c>
      <c r="O7127">
        <v>65</v>
      </c>
      <c r="P7127">
        <v>0</v>
      </c>
      <c r="Q7127">
        <v>0</v>
      </c>
    </row>
    <row r="7128" spans="1:17" x14ac:dyDescent="0.2">
      <c r="A7128" s="121">
        <v>41608</v>
      </c>
      <c r="B7128" t="s">
        <v>406</v>
      </c>
      <c r="C7128" t="s">
        <v>429</v>
      </c>
      <c r="D7128" t="s">
        <v>430</v>
      </c>
      <c r="E7128" t="s">
        <v>431</v>
      </c>
      <c r="F7128" t="s">
        <v>410</v>
      </c>
      <c r="G7128">
        <v>31</v>
      </c>
      <c r="I7128">
        <v>31</v>
      </c>
    </row>
    <row r="7129" spans="1:17" x14ac:dyDescent="0.2">
      <c r="A7129" s="121">
        <v>41608</v>
      </c>
      <c r="B7129" t="s">
        <v>406</v>
      </c>
      <c r="C7129" t="s">
        <v>429</v>
      </c>
      <c r="D7129" t="s">
        <v>432</v>
      </c>
      <c r="E7129" t="s">
        <v>433</v>
      </c>
      <c r="F7129" t="s">
        <v>410</v>
      </c>
      <c r="G7129">
        <v>32</v>
      </c>
      <c r="I7129">
        <v>32</v>
      </c>
    </row>
    <row r="7130" spans="1:17" x14ac:dyDescent="0.2">
      <c r="A7130" s="121">
        <v>41608</v>
      </c>
      <c r="B7130" t="s">
        <v>406</v>
      </c>
      <c r="C7130" t="s">
        <v>429</v>
      </c>
      <c r="D7130" t="s">
        <v>434</v>
      </c>
      <c r="E7130" t="s">
        <v>435</v>
      </c>
      <c r="F7130" t="s">
        <v>410</v>
      </c>
      <c r="G7130">
        <v>6</v>
      </c>
      <c r="I7130">
        <v>6</v>
      </c>
    </row>
    <row r="7131" spans="1:17" x14ac:dyDescent="0.2">
      <c r="A7131" s="121">
        <v>41608</v>
      </c>
      <c r="B7131" t="s">
        <v>406</v>
      </c>
      <c r="C7131" t="s">
        <v>429</v>
      </c>
      <c r="D7131" t="s">
        <v>436</v>
      </c>
      <c r="E7131" t="s">
        <v>437</v>
      </c>
      <c r="F7131" t="s">
        <v>410</v>
      </c>
      <c r="G7131">
        <v>16</v>
      </c>
      <c r="H7131">
        <v>16</v>
      </c>
      <c r="I7131">
        <v>16</v>
      </c>
      <c r="J7131">
        <v>16</v>
      </c>
      <c r="K7131">
        <v>0</v>
      </c>
      <c r="L7131">
        <v>0</v>
      </c>
      <c r="M7131">
        <v>12</v>
      </c>
      <c r="N7131">
        <v>4</v>
      </c>
      <c r="O7131">
        <v>0</v>
      </c>
      <c r="P7131">
        <v>0</v>
      </c>
      <c r="Q7131">
        <v>0</v>
      </c>
    </row>
    <row r="7132" spans="1:17" x14ac:dyDescent="0.2">
      <c r="A7132" s="121">
        <v>41608</v>
      </c>
      <c r="B7132" t="s">
        <v>406</v>
      </c>
      <c r="C7132" t="s">
        <v>429</v>
      </c>
      <c r="D7132" t="s">
        <v>438</v>
      </c>
      <c r="E7132" t="s">
        <v>439</v>
      </c>
      <c r="F7132" t="s">
        <v>413</v>
      </c>
      <c r="G7132">
        <v>790</v>
      </c>
      <c r="H7132">
        <v>790</v>
      </c>
      <c r="I7132">
        <v>770</v>
      </c>
      <c r="J7132">
        <v>770</v>
      </c>
      <c r="K7132">
        <v>98</v>
      </c>
      <c r="L7132">
        <v>2</v>
      </c>
      <c r="M7132">
        <v>647</v>
      </c>
      <c r="N7132">
        <v>43</v>
      </c>
      <c r="O7132">
        <v>0</v>
      </c>
      <c r="P7132">
        <v>1</v>
      </c>
      <c r="Q7132">
        <v>0</v>
      </c>
    </row>
    <row r="7133" spans="1:17" x14ac:dyDescent="0.2">
      <c r="A7133" s="121">
        <v>41608</v>
      </c>
      <c r="B7133" t="s">
        <v>406</v>
      </c>
      <c r="C7133" t="s">
        <v>429</v>
      </c>
      <c r="D7133" t="s">
        <v>440</v>
      </c>
      <c r="E7133" t="s">
        <v>441</v>
      </c>
      <c r="F7133" t="s">
        <v>413</v>
      </c>
      <c r="G7133">
        <v>2646</v>
      </c>
      <c r="H7133">
        <v>2646</v>
      </c>
      <c r="I7133">
        <v>2514</v>
      </c>
      <c r="J7133">
        <v>2514</v>
      </c>
      <c r="K7133">
        <v>918</v>
      </c>
      <c r="L7133">
        <v>7</v>
      </c>
      <c r="M7133">
        <v>1666</v>
      </c>
      <c r="N7133">
        <v>55</v>
      </c>
      <c r="O7133">
        <v>0</v>
      </c>
      <c r="P7133">
        <v>2</v>
      </c>
      <c r="Q7133">
        <v>0</v>
      </c>
    </row>
    <row r="7134" spans="1:17" x14ac:dyDescent="0.2">
      <c r="A7134" s="121">
        <v>41608</v>
      </c>
      <c r="B7134" t="s">
        <v>406</v>
      </c>
      <c r="C7134" t="s">
        <v>442</v>
      </c>
      <c r="D7134" t="s">
        <v>443</v>
      </c>
      <c r="E7134" t="s">
        <v>444</v>
      </c>
      <c r="F7134" t="s">
        <v>413</v>
      </c>
      <c r="G7134">
        <v>4720</v>
      </c>
      <c r="H7134">
        <v>4720</v>
      </c>
      <c r="I7134">
        <v>4677</v>
      </c>
      <c r="J7134">
        <v>4677</v>
      </c>
      <c r="K7134">
        <v>1241</v>
      </c>
      <c r="L7134">
        <v>12</v>
      </c>
      <c r="M7134">
        <v>3281</v>
      </c>
      <c r="N7134">
        <v>91</v>
      </c>
      <c r="O7134">
        <v>95</v>
      </c>
      <c r="P7134">
        <v>2</v>
      </c>
      <c r="Q7134">
        <v>0</v>
      </c>
    </row>
    <row r="7135" spans="1:17" x14ac:dyDescent="0.2">
      <c r="A7135" s="121">
        <v>41608</v>
      </c>
      <c r="B7135" t="s">
        <v>406</v>
      </c>
      <c r="C7135" t="s">
        <v>442</v>
      </c>
      <c r="D7135" t="s">
        <v>445</v>
      </c>
      <c r="E7135" t="s">
        <v>446</v>
      </c>
      <c r="F7135" t="s">
        <v>410</v>
      </c>
      <c r="G7135">
        <v>106</v>
      </c>
      <c r="I7135">
        <v>106</v>
      </c>
    </row>
    <row r="7136" spans="1:17" x14ac:dyDescent="0.2">
      <c r="A7136" s="121">
        <v>41608</v>
      </c>
      <c r="B7136" t="s">
        <v>406</v>
      </c>
      <c r="C7136" t="s">
        <v>442</v>
      </c>
      <c r="D7136" t="s">
        <v>447</v>
      </c>
      <c r="E7136" t="s">
        <v>448</v>
      </c>
      <c r="F7136" t="s">
        <v>410</v>
      </c>
      <c r="G7136">
        <v>373</v>
      </c>
      <c r="I7136">
        <v>373</v>
      </c>
    </row>
    <row r="7137" spans="1:17" x14ac:dyDescent="0.2">
      <c r="A7137" s="121">
        <v>41608</v>
      </c>
      <c r="B7137" t="s">
        <v>406</v>
      </c>
      <c r="C7137" t="s">
        <v>442</v>
      </c>
      <c r="D7137" t="s">
        <v>449</v>
      </c>
      <c r="E7137" t="s">
        <v>624</v>
      </c>
      <c r="F7137" t="s">
        <v>410</v>
      </c>
      <c r="G7137">
        <v>1489</v>
      </c>
      <c r="H7137">
        <v>1489</v>
      </c>
      <c r="I7137">
        <v>1488</v>
      </c>
      <c r="J7137">
        <v>1488</v>
      </c>
      <c r="K7137">
        <v>12</v>
      </c>
      <c r="L7137">
        <v>0</v>
      </c>
      <c r="M7137">
        <v>1297</v>
      </c>
      <c r="N7137">
        <v>173</v>
      </c>
      <c r="O7137">
        <v>7</v>
      </c>
      <c r="P7137">
        <v>0</v>
      </c>
      <c r="Q7137">
        <v>0</v>
      </c>
    </row>
    <row r="7138" spans="1:17" x14ac:dyDescent="0.2">
      <c r="A7138" s="121">
        <v>41608</v>
      </c>
      <c r="B7138" t="s">
        <v>406</v>
      </c>
      <c r="C7138" t="s">
        <v>451</v>
      </c>
      <c r="D7138" t="s">
        <v>454</v>
      </c>
      <c r="E7138" t="s">
        <v>621</v>
      </c>
      <c r="F7138" t="s">
        <v>410</v>
      </c>
      <c r="G7138">
        <v>1078</v>
      </c>
      <c r="H7138">
        <v>1078</v>
      </c>
      <c r="I7138">
        <v>1078</v>
      </c>
      <c r="J7138">
        <v>1078</v>
      </c>
      <c r="K7138">
        <v>4</v>
      </c>
      <c r="L7138">
        <v>0</v>
      </c>
      <c r="M7138">
        <v>525</v>
      </c>
      <c r="N7138">
        <v>45</v>
      </c>
      <c r="O7138">
        <v>504</v>
      </c>
      <c r="P7138">
        <v>0</v>
      </c>
      <c r="Q7138">
        <v>0</v>
      </c>
    </row>
    <row r="7139" spans="1:17" x14ac:dyDescent="0.2">
      <c r="A7139" s="121">
        <v>41608</v>
      </c>
      <c r="B7139" t="s">
        <v>406</v>
      </c>
      <c r="C7139" t="s">
        <v>451</v>
      </c>
      <c r="D7139" t="s">
        <v>622</v>
      </c>
      <c r="E7139" t="s">
        <v>623</v>
      </c>
      <c r="F7139" t="s">
        <v>413</v>
      </c>
      <c r="G7139">
        <v>4736</v>
      </c>
      <c r="H7139">
        <v>4736</v>
      </c>
      <c r="I7139">
        <v>4451</v>
      </c>
      <c r="J7139">
        <v>4451</v>
      </c>
      <c r="K7139">
        <v>1193</v>
      </c>
      <c r="L7139">
        <v>9</v>
      </c>
      <c r="M7139">
        <v>1493</v>
      </c>
      <c r="N7139">
        <v>28</v>
      </c>
      <c r="O7139">
        <v>2013</v>
      </c>
      <c r="P7139">
        <v>17</v>
      </c>
      <c r="Q7139">
        <v>0</v>
      </c>
    </row>
    <row r="7140" spans="1:17" x14ac:dyDescent="0.2">
      <c r="A7140" s="121">
        <v>41608</v>
      </c>
      <c r="B7140" t="s">
        <v>406</v>
      </c>
      <c r="C7140" t="s">
        <v>456</v>
      </c>
      <c r="D7140" t="s">
        <v>457</v>
      </c>
      <c r="E7140" t="s">
        <v>458</v>
      </c>
      <c r="F7140" t="s">
        <v>413</v>
      </c>
      <c r="G7140">
        <v>4740</v>
      </c>
      <c r="H7140">
        <v>4740</v>
      </c>
      <c r="I7140">
        <v>4501</v>
      </c>
      <c r="J7140">
        <v>4501</v>
      </c>
      <c r="K7140">
        <v>1273</v>
      </c>
      <c r="L7140">
        <v>11</v>
      </c>
      <c r="M7140">
        <v>2980</v>
      </c>
      <c r="N7140">
        <v>13</v>
      </c>
      <c r="O7140">
        <v>463</v>
      </c>
      <c r="P7140">
        <v>8</v>
      </c>
      <c r="Q7140">
        <v>1</v>
      </c>
    </row>
    <row r="7141" spans="1:17" x14ac:dyDescent="0.2">
      <c r="A7141" s="121">
        <v>41608</v>
      </c>
      <c r="B7141" t="s">
        <v>406</v>
      </c>
      <c r="C7141" t="s">
        <v>456</v>
      </c>
      <c r="D7141" t="s">
        <v>459</v>
      </c>
      <c r="E7141" t="s">
        <v>460</v>
      </c>
      <c r="F7141" t="s">
        <v>413</v>
      </c>
      <c r="G7141">
        <v>1426</v>
      </c>
      <c r="H7141">
        <v>1426</v>
      </c>
      <c r="I7141">
        <v>1402</v>
      </c>
      <c r="J7141">
        <v>1402</v>
      </c>
      <c r="K7141">
        <v>307</v>
      </c>
      <c r="L7141">
        <v>1</v>
      </c>
      <c r="M7141">
        <v>1111</v>
      </c>
      <c r="N7141">
        <v>0</v>
      </c>
      <c r="O7141">
        <v>7</v>
      </c>
      <c r="P7141">
        <v>0</v>
      </c>
      <c r="Q7141">
        <v>0</v>
      </c>
    </row>
    <row r="7142" spans="1:17" x14ac:dyDescent="0.2">
      <c r="A7142" s="121">
        <v>41608</v>
      </c>
      <c r="B7142" t="s">
        <v>406</v>
      </c>
      <c r="C7142" t="s">
        <v>456</v>
      </c>
      <c r="D7142" t="s">
        <v>461</v>
      </c>
      <c r="E7142" t="s">
        <v>462</v>
      </c>
      <c r="F7142" t="s">
        <v>410</v>
      </c>
      <c r="G7142">
        <v>62</v>
      </c>
      <c r="I7142">
        <v>62</v>
      </c>
    </row>
    <row r="7143" spans="1:17" x14ac:dyDescent="0.2">
      <c r="A7143" s="121">
        <v>41608</v>
      </c>
      <c r="B7143" t="s">
        <v>406</v>
      </c>
      <c r="C7143" t="s">
        <v>456</v>
      </c>
      <c r="D7143" t="s">
        <v>463</v>
      </c>
      <c r="E7143" t="s">
        <v>464</v>
      </c>
      <c r="F7143" t="s">
        <v>410</v>
      </c>
      <c r="G7143">
        <v>16</v>
      </c>
      <c r="I7143">
        <v>16</v>
      </c>
    </row>
    <row r="7144" spans="1:17" x14ac:dyDescent="0.2">
      <c r="A7144" s="121">
        <v>41608</v>
      </c>
      <c r="B7144" t="s">
        <v>406</v>
      </c>
      <c r="C7144" t="s">
        <v>456</v>
      </c>
      <c r="D7144" t="s">
        <v>465</v>
      </c>
      <c r="E7144" t="s">
        <v>466</v>
      </c>
      <c r="F7144" t="s">
        <v>410</v>
      </c>
      <c r="G7144">
        <v>61</v>
      </c>
      <c r="I7144">
        <v>61</v>
      </c>
    </row>
    <row r="7145" spans="1:17" x14ac:dyDescent="0.2">
      <c r="A7145" s="121">
        <v>41608</v>
      </c>
      <c r="B7145" t="s">
        <v>406</v>
      </c>
      <c r="C7145" t="s">
        <v>456</v>
      </c>
      <c r="D7145" t="s">
        <v>467</v>
      </c>
      <c r="E7145" t="s">
        <v>468</v>
      </c>
      <c r="F7145" t="s">
        <v>410</v>
      </c>
      <c r="G7145">
        <v>1252</v>
      </c>
      <c r="I7145">
        <v>1249</v>
      </c>
    </row>
    <row r="7146" spans="1:17" x14ac:dyDescent="0.2">
      <c r="A7146" s="121">
        <v>41608</v>
      </c>
      <c r="B7146" t="s">
        <v>406</v>
      </c>
      <c r="C7146" t="s">
        <v>456</v>
      </c>
      <c r="D7146" t="s">
        <v>469</v>
      </c>
      <c r="E7146" t="s">
        <v>470</v>
      </c>
      <c r="F7146" t="s">
        <v>410</v>
      </c>
      <c r="G7146">
        <v>801</v>
      </c>
      <c r="I7146">
        <v>800</v>
      </c>
    </row>
    <row r="7147" spans="1:17" x14ac:dyDescent="0.2">
      <c r="A7147" s="121">
        <v>41608</v>
      </c>
      <c r="B7147" t="s">
        <v>406</v>
      </c>
      <c r="C7147" t="s">
        <v>456</v>
      </c>
      <c r="D7147" t="s">
        <v>471</v>
      </c>
      <c r="E7147" t="s">
        <v>472</v>
      </c>
      <c r="F7147" t="s">
        <v>410</v>
      </c>
      <c r="G7147">
        <v>264</v>
      </c>
      <c r="I7147">
        <v>264</v>
      </c>
    </row>
    <row r="7148" spans="1:17" x14ac:dyDescent="0.2">
      <c r="A7148" s="121">
        <v>41608</v>
      </c>
      <c r="B7148" t="s">
        <v>406</v>
      </c>
      <c r="C7148" t="s">
        <v>456</v>
      </c>
      <c r="D7148" t="s">
        <v>473</v>
      </c>
      <c r="E7148" t="s">
        <v>474</v>
      </c>
      <c r="F7148" t="s">
        <v>410</v>
      </c>
      <c r="G7148">
        <v>148</v>
      </c>
      <c r="I7148">
        <v>148</v>
      </c>
    </row>
    <row r="7149" spans="1:17" x14ac:dyDescent="0.2">
      <c r="A7149" s="121">
        <v>41608</v>
      </c>
      <c r="B7149" t="s">
        <v>406</v>
      </c>
      <c r="C7149" t="s">
        <v>456</v>
      </c>
      <c r="D7149" t="s">
        <v>475</v>
      </c>
      <c r="E7149" t="s">
        <v>476</v>
      </c>
      <c r="F7149" t="s">
        <v>410</v>
      </c>
      <c r="G7149">
        <v>249</v>
      </c>
      <c r="I7149">
        <v>243</v>
      </c>
    </row>
    <row r="7150" spans="1:17" x14ac:dyDescent="0.2">
      <c r="A7150" s="121">
        <v>41608</v>
      </c>
      <c r="B7150" t="s">
        <v>406</v>
      </c>
      <c r="C7150" t="s">
        <v>456</v>
      </c>
      <c r="D7150" t="s">
        <v>477</v>
      </c>
      <c r="E7150" t="s">
        <v>478</v>
      </c>
      <c r="F7150" t="s">
        <v>413</v>
      </c>
      <c r="G7150">
        <v>1842</v>
      </c>
      <c r="H7150">
        <v>1842</v>
      </c>
      <c r="I7150">
        <v>1793</v>
      </c>
      <c r="J7150">
        <v>1793</v>
      </c>
      <c r="K7150">
        <v>468</v>
      </c>
      <c r="L7150">
        <v>5</v>
      </c>
      <c r="M7150">
        <v>1356</v>
      </c>
      <c r="N7150">
        <v>10</v>
      </c>
      <c r="O7150">
        <v>3</v>
      </c>
      <c r="P7150">
        <v>0</v>
      </c>
      <c r="Q7150">
        <v>0</v>
      </c>
    </row>
    <row r="7151" spans="1:17" x14ac:dyDescent="0.2">
      <c r="A7151" s="121">
        <v>41608</v>
      </c>
      <c r="B7151" t="s">
        <v>406</v>
      </c>
      <c r="C7151" t="s">
        <v>456</v>
      </c>
      <c r="D7151" t="s">
        <v>479</v>
      </c>
      <c r="E7151" t="s">
        <v>480</v>
      </c>
      <c r="F7151" t="s">
        <v>410</v>
      </c>
      <c r="G7151">
        <v>56</v>
      </c>
      <c r="I7151">
        <v>56</v>
      </c>
    </row>
    <row r="7152" spans="1:17" x14ac:dyDescent="0.2">
      <c r="A7152" s="121">
        <v>41608</v>
      </c>
      <c r="B7152" t="s">
        <v>406</v>
      </c>
      <c r="C7152" t="s">
        <v>456</v>
      </c>
      <c r="D7152" t="s">
        <v>481</v>
      </c>
      <c r="E7152" t="s">
        <v>482</v>
      </c>
      <c r="F7152" t="s">
        <v>410</v>
      </c>
      <c r="G7152">
        <v>27</v>
      </c>
      <c r="I7152">
        <v>27</v>
      </c>
    </row>
    <row r="7153" spans="1:17" x14ac:dyDescent="0.2">
      <c r="A7153" s="121">
        <v>41608</v>
      </c>
      <c r="B7153" t="s">
        <v>406</v>
      </c>
      <c r="C7153" t="s">
        <v>456</v>
      </c>
      <c r="D7153" t="s">
        <v>483</v>
      </c>
      <c r="E7153" t="s">
        <v>484</v>
      </c>
      <c r="F7153" t="s">
        <v>410</v>
      </c>
      <c r="G7153">
        <v>81</v>
      </c>
      <c r="I7153">
        <v>81</v>
      </c>
    </row>
    <row r="7154" spans="1:17" x14ac:dyDescent="0.2">
      <c r="A7154" s="121">
        <v>41608</v>
      </c>
      <c r="B7154" t="s">
        <v>406</v>
      </c>
      <c r="C7154" t="s">
        <v>456</v>
      </c>
      <c r="D7154" t="s">
        <v>485</v>
      </c>
      <c r="E7154" t="s">
        <v>486</v>
      </c>
      <c r="F7154" t="s">
        <v>410</v>
      </c>
      <c r="G7154">
        <v>21</v>
      </c>
      <c r="I7154">
        <v>21</v>
      </c>
    </row>
    <row r="7155" spans="1:17" x14ac:dyDescent="0.2">
      <c r="A7155" s="121">
        <v>41608</v>
      </c>
      <c r="B7155" t="s">
        <v>406</v>
      </c>
      <c r="C7155" t="s">
        <v>456</v>
      </c>
      <c r="D7155" t="s">
        <v>487</v>
      </c>
      <c r="E7155" t="s">
        <v>488</v>
      </c>
      <c r="F7155" t="s">
        <v>410</v>
      </c>
      <c r="G7155">
        <v>33</v>
      </c>
      <c r="I7155">
        <v>33</v>
      </c>
    </row>
    <row r="7156" spans="1:17" x14ac:dyDescent="0.2">
      <c r="A7156" s="121">
        <v>41608</v>
      </c>
      <c r="B7156" t="s">
        <v>406</v>
      </c>
      <c r="C7156" t="s">
        <v>456</v>
      </c>
      <c r="D7156" t="s">
        <v>489</v>
      </c>
      <c r="E7156" t="s">
        <v>490</v>
      </c>
      <c r="F7156" t="s">
        <v>410</v>
      </c>
      <c r="G7156">
        <v>88</v>
      </c>
      <c r="I7156">
        <v>88</v>
      </c>
    </row>
    <row r="7157" spans="1:17" x14ac:dyDescent="0.2">
      <c r="A7157" s="121">
        <v>41608</v>
      </c>
      <c r="B7157" t="s">
        <v>406</v>
      </c>
      <c r="C7157" t="s">
        <v>491</v>
      </c>
      <c r="D7157" t="s">
        <v>492</v>
      </c>
      <c r="E7157" t="s">
        <v>493</v>
      </c>
      <c r="F7157" t="s">
        <v>410</v>
      </c>
      <c r="G7157">
        <v>1203</v>
      </c>
      <c r="H7157">
        <v>1203</v>
      </c>
      <c r="I7157">
        <v>1179</v>
      </c>
      <c r="J7157">
        <v>1179</v>
      </c>
      <c r="K7157">
        <v>245</v>
      </c>
      <c r="L7157">
        <v>0</v>
      </c>
      <c r="M7157">
        <v>877</v>
      </c>
      <c r="N7157">
        <v>73</v>
      </c>
      <c r="O7157">
        <v>8</v>
      </c>
      <c r="P7157">
        <v>0</v>
      </c>
      <c r="Q7157">
        <v>0</v>
      </c>
    </row>
    <row r="7158" spans="1:17" x14ac:dyDescent="0.2">
      <c r="A7158" s="121">
        <v>41608</v>
      </c>
      <c r="B7158" t="s">
        <v>406</v>
      </c>
      <c r="C7158" t="s">
        <v>491</v>
      </c>
      <c r="D7158" t="s">
        <v>494</v>
      </c>
      <c r="E7158" t="s">
        <v>495</v>
      </c>
      <c r="F7158" t="s">
        <v>413</v>
      </c>
      <c r="G7158">
        <v>2445</v>
      </c>
      <c r="H7158">
        <v>2445</v>
      </c>
      <c r="I7158">
        <v>2257</v>
      </c>
      <c r="J7158">
        <v>2257</v>
      </c>
      <c r="K7158">
        <v>715</v>
      </c>
      <c r="L7158">
        <v>4</v>
      </c>
      <c r="M7158">
        <v>1620</v>
      </c>
      <c r="N7158">
        <v>31</v>
      </c>
      <c r="O7158">
        <v>75</v>
      </c>
      <c r="P7158">
        <v>8</v>
      </c>
      <c r="Q7158">
        <v>0</v>
      </c>
    </row>
    <row r="7159" spans="1:17" x14ac:dyDescent="0.2">
      <c r="A7159" s="121">
        <v>41608</v>
      </c>
      <c r="B7159" t="s">
        <v>406</v>
      </c>
      <c r="C7159" t="s">
        <v>491</v>
      </c>
      <c r="D7159" t="s">
        <v>496</v>
      </c>
      <c r="E7159" t="s">
        <v>497</v>
      </c>
      <c r="F7159" t="s">
        <v>413</v>
      </c>
      <c r="G7159">
        <v>5463</v>
      </c>
      <c r="H7159">
        <v>5463</v>
      </c>
      <c r="I7159">
        <v>4893</v>
      </c>
      <c r="J7159">
        <v>4893</v>
      </c>
      <c r="K7159">
        <v>1978</v>
      </c>
      <c r="L7159">
        <v>10</v>
      </c>
      <c r="M7159">
        <v>3234</v>
      </c>
      <c r="N7159">
        <v>112</v>
      </c>
      <c r="O7159">
        <v>129</v>
      </c>
      <c r="P7159">
        <v>16</v>
      </c>
      <c r="Q7159">
        <v>0</v>
      </c>
    </row>
    <row r="7160" spans="1:17" x14ac:dyDescent="0.2">
      <c r="A7160" s="121">
        <v>41608</v>
      </c>
      <c r="B7160" t="s">
        <v>406</v>
      </c>
      <c r="C7160" t="s">
        <v>491</v>
      </c>
      <c r="D7160" t="s">
        <v>498</v>
      </c>
      <c r="E7160" t="s">
        <v>499</v>
      </c>
      <c r="F7160" t="s">
        <v>413</v>
      </c>
      <c r="G7160">
        <v>6625</v>
      </c>
      <c r="H7160">
        <v>6625</v>
      </c>
      <c r="I7160">
        <v>6049</v>
      </c>
      <c r="J7160">
        <v>6049</v>
      </c>
      <c r="K7160">
        <v>2217</v>
      </c>
      <c r="L7160">
        <v>25</v>
      </c>
      <c r="M7160">
        <v>3915</v>
      </c>
      <c r="N7160">
        <v>88</v>
      </c>
      <c r="O7160">
        <v>380</v>
      </c>
      <c r="P7160">
        <v>2</v>
      </c>
      <c r="Q7160">
        <v>0</v>
      </c>
    </row>
    <row r="7161" spans="1:17" x14ac:dyDescent="0.2">
      <c r="A7161" s="121">
        <v>41608</v>
      </c>
      <c r="B7161" t="s">
        <v>406</v>
      </c>
      <c r="C7161" t="s">
        <v>491</v>
      </c>
      <c r="D7161" t="s">
        <v>500</v>
      </c>
      <c r="E7161" t="s">
        <v>620</v>
      </c>
      <c r="F7161" t="s">
        <v>410</v>
      </c>
      <c r="G7161">
        <v>1250</v>
      </c>
      <c r="H7161">
        <v>1250</v>
      </c>
      <c r="I7161">
        <v>1250</v>
      </c>
      <c r="J7161">
        <v>1250</v>
      </c>
      <c r="K7161">
        <v>0</v>
      </c>
      <c r="L7161">
        <v>0</v>
      </c>
      <c r="M7161">
        <v>1162</v>
      </c>
      <c r="N7161">
        <v>60</v>
      </c>
      <c r="O7161">
        <v>28</v>
      </c>
      <c r="P7161">
        <v>0</v>
      </c>
      <c r="Q7161">
        <v>0</v>
      </c>
    </row>
    <row r="7162" spans="1:17" x14ac:dyDescent="0.2">
      <c r="A7162" s="121">
        <v>41608</v>
      </c>
      <c r="B7162" t="s">
        <v>406</v>
      </c>
      <c r="C7162" t="s">
        <v>491</v>
      </c>
      <c r="D7162" t="s">
        <v>502</v>
      </c>
      <c r="E7162" t="s">
        <v>615</v>
      </c>
      <c r="F7162" t="s">
        <v>410</v>
      </c>
      <c r="G7162">
        <v>1811</v>
      </c>
      <c r="H7162">
        <v>1811</v>
      </c>
      <c r="I7162">
        <v>1811</v>
      </c>
      <c r="J7162">
        <v>1811</v>
      </c>
      <c r="K7162">
        <v>0</v>
      </c>
      <c r="L7162">
        <v>0</v>
      </c>
      <c r="M7162">
        <v>1712</v>
      </c>
      <c r="N7162">
        <v>93</v>
      </c>
      <c r="O7162">
        <v>6</v>
      </c>
      <c r="P7162">
        <v>0</v>
      </c>
      <c r="Q7162">
        <v>0</v>
      </c>
    </row>
    <row r="7163" spans="1:17" x14ac:dyDescent="0.2">
      <c r="A7163" s="121">
        <v>41608</v>
      </c>
      <c r="B7163" t="s">
        <v>406</v>
      </c>
      <c r="C7163" t="s">
        <v>491</v>
      </c>
      <c r="D7163" t="s">
        <v>502</v>
      </c>
      <c r="E7163" t="s">
        <v>503</v>
      </c>
      <c r="F7163" t="s">
        <v>413</v>
      </c>
      <c r="G7163">
        <v>4697</v>
      </c>
      <c r="H7163">
        <v>4697</v>
      </c>
      <c r="I7163">
        <v>4507</v>
      </c>
      <c r="J7163">
        <v>4507</v>
      </c>
      <c r="K7163">
        <v>1564</v>
      </c>
      <c r="L7163">
        <v>17</v>
      </c>
      <c r="M7163">
        <v>2810</v>
      </c>
      <c r="N7163">
        <v>236</v>
      </c>
      <c r="O7163">
        <v>70</v>
      </c>
      <c r="P7163">
        <v>2</v>
      </c>
      <c r="Q7163">
        <v>0</v>
      </c>
    </row>
    <row r="7164" spans="1:17" x14ac:dyDescent="0.2">
      <c r="A7164" s="121">
        <v>41608</v>
      </c>
      <c r="B7164" t="s">
        <v>406</v>
      </c>
      <c r="C7164" t="s">
        <v>491</v>
      </c>
      <c r="D7164" t="s">
        <v>504</v>
      </c>
      <c r="E7164" t="s">
        <v>505</v>
      </c>
      <c r="F7164" t="s">
        <v>413</v>
      </c>
      <c r="G7164">
        <v>3701</v>
      </c>
      <c r="H7164">
        <v>3701</v>
      </c>
      <c r="I7164">
        <v>3462</v>
      </c>
      <c r="J7164">
        <v>3462</v>
      </c>
      <c r="K7164">
        <v>1085</v>
      </c>
      <c r="L7164">
        <v>9</v>
      </c>
      <c r="M7164">
        <v>2437</v>
      </c>
      <c r="N7164">
        <v>108</v>
      </c>
      <c r="O7164">
        <v>62</v>
      </c>
      <c r="P7164">
        <v>5</v>
      </c>
      <c r="Q7164">
        <v>0</v>
      </c>
    </row>
    <row r="7165" spans="1:17" x14ac:dyDescent="0.2">
      <c r="A7165" s="121">
        <v>41608</v>
      </c>
      <c r="B7165" t="s">
        <v>406</v>
      </c>
      <c r="C7165" t="s">
        <v>491</v>
      </c>
      <c r="D7165" t="s">
        <v>506</v>
      </c>
      <c r="E7165" t="s">
        <v>507</v>
      </c>
      <c r="F7165" t="s">
        <v>413</v>
      </c>
      <c r="G7165">
        <v>3966</v>
      </c>
      <c r="H7165">
        <v>3966</v>
      </c>
      <c r="I7165">
        <v>3891</v>
      </c>
      <c r="J7165">
        <v>3891</v>
      </c>
      <c r="K7165">
        <v>1245</v>
      </c>
      <c r="L7165">
        <v>2</v>
      </c>
      <c r="M7165">
        <v>2705</v>
      </c>
      <c r="N7165">
        <v>3</v>
      </c>
      <c r="O7165">
        <v>11</v>
      </c>
      <c r="P7165">
        <v>2</v>
      </c>
      <c r="Q7165">
        <v>0</v>
      </c>
    </row>
    <row r="7166" spans="1:17" x14ac:dyDescent="0.2">
      <c r="A7166" s="121">
        <v>41608</v>
      </c>
      <c r="B7166" t="s">
        <v>406</v>
      </c>
      <c r="C7166" t="s">
        <v>491</v>
      </c>
      <c r="D7166" t="s">
        <v>508</v>
      </c>
      <c r="E7166" t="s">
        <v>509</v>
      </c>
      <c r="F7166" t="s">
        <v>413</v>
      </c>
      <c r="G7166">
        <v>4658</v>
      </c>
      <c r="H7166">
        <v>4658</v>
      </c>
      <c r="I7166">
        <v>3943</v>
      </c>
      <c r="J7166">
        <v>3943</v>
      </c>
      <c r="K7166">
        <v>1592</v>
      </c>
      <c r="L7166">
        <v>20</v>
      </c>
      <c r="M7166">
        <v>2801</v>
      </c>
      <c r="N7166">
        <v>84</v>
      </c>
      <c r="O7166">
        <v>161</v>
      </c>
      <c r="P7166">
        <v>21</v>
      </c>
      <c r="Q7166">
        <v>0</v>
      </c>
    </row>
    <row r="7167" spans="1:17" x14ac:dyDescent="0.2">
      <c r="A7167" s="121">
        <v>41608</v>
      </c>
      <c r="B7167" t="s">
        <v>406</v>
      </c>
      <c r="C7167" t="s">
        <v>510</v>
      </c>
      <c r="D7167" t="s">
        <v>513</v>
      </c>
      <c r="E7167" t="s">
        <v>514</v>
      </c>
      <c r="F7167" t="s">
        <v>410</v>
      </c>
      <c r="G7167">
        <v>656</v>
      </c>
      <c r="I7167">
        <v>647</v>
      </c>
    </row>
    <row r="7168" spans="1:17" x14ac:dyDescent="0.2">
      <c r="A7168" s="121">
        <v>41608</v>
      </c>
      <c r="B7168" t="s">
        <v>406</v>
      </c>
      <c r="C7168" t="s">
        <v>510</v>
      </c>
      <c r="D7168" t="s">
        <v>515</v>
      </c>
      <c r="E7168" t="s">
        <v>516</v>
      </c>
      <c r="F7168" t="s">
        <v>410</v>
      </c>
      <c r="G7168">
        <v>50</v>
      </c>
      <c r="I7168">
        <v>49</v>
      </c>
    </row>
    <row r="7169" spans="1:17" x14ac:dyDescent="0.2">
      <c r="A7169" s="121">
        <v>41608</v>
      </c>
      <c r="B7169" t="s">
        <v>406</v>
      </c>
      <c r="C7169" t="s">
        <v>510</v>
      </c>
      <c r="D7169" t="s">
        <v>519</v>
      </c>
      <c r="E7169" t="s">
        <v>520</v>
      </c>
      <c r="F7169" t="s">
        <v>410</v>
      </c>
      <c r="G7169">
        <v>324</v>
      </c>
      <c r="I7169">
        <v>317</v>
      </c>
    </row>
    <row r="7170" spans="1:17" x14ac:dyDescent="0.2">
      <c r="A7170" s="121">
        <v>41608</v>
      </c>
      <c r="B7170" t="s">
        <v>406</v>
      </c>
      <c r="C7170" t="s">
        <v>510</v>
      </c>
      <c r="D7170" t="s">
        <v>523</v>
      </c>
      <c r="E7170" t="s">
        <v>524</v>
      </c>
      <c r="F7170" t="s">
        <v>413</v>
      </c>
      <c r="G7170">
        <v>429</v>
      </c>
      <c r="H7170">
        <v>429</v>
      </c>
      <c r="I7170">
        <v>421</v>
      </c>
      <c r="J7170">
        <v>421</v>
      </c>
      <c r="K7170">
        <v>91</v>
      </c>
      <c r="L7170">
        <v>0</v>
      </c>
      <c r="M7170">
        <v>331</v>
      </c>
      <c r="N7170">
        <v>7</v>
      </c>
      <c r="O7170">
        <v>0</v>
      </c>
      <c r="P7170">
        <v>1</v>
      </c>
      <c r="Q7170">
        <v>1</v>
      </c>
    </row>
    <row r="7171" spans="1:17" x14ac:dyDescent="0.2">
      <c r="A7171" s="121">
        <v>41608</v>
      </c>
      <c r="B7171" t="s">
        <v>406</v>
      </c>
      <c r="C7171" t="s">
        <v>510</v>
      </c>
      <c r="D7171" t="s">
        <v>525</v>
      </c>
      <c r="E7171" t="s">
        <v>526</v>
      </c>
      <c r="F7171" t="s">
        <v>410</v>
      </c>
      <c r="G7171">
        <v>396</v>
      </c>
      <c r="I7171">
        <v>378</v>
      </c>
    </row>
    <row r="7172" spans="1:17" x14ac:dyDescent="0.2">
      <c r="A7172" s="121">
        <v>41608</v>
      </c>
      <c r="B7172" t="s">
        <v>406</v>
      </c>
      <c r="C7172" t="s">
        <v>510</v>
      </c>
      <c r="D7172" t="s">
        <v>527</v>
      </c>
      <c r="E7172" t="s">
        <v>528</v>
      </c>
      <c r="F7172" t="s">
        <v>410</v>
      </c>
      <c r="G7172">
        <v>170</v>
      </c>
      <c r="I7172">
        <v>170</v>
      </c>
    </row>
    <row r="7173" spans="1:17" x14ac:dyDescent="0.2">
      <c r="A7173" s="121">
        <v>41608</v>
      </c>
      <c r="B7173" t="s">
        <v>406</v>
      </c>
      <c r="C7173" t="s">
        <v>510</v>
      </c>
      <c r="D7173" t="s">
        <v>529</v>
      </c>
      <c r="E7173" t="s">
        <v>530</v>
      </c>
      <c r="F7173" t="s">
        <v>413</v>
      </c>
      <c r="G7173">
        <v>463</v>
      </c>
      <c r="H7173">
        <v>463</v>
      </c>
      <c r="I7173">
        <v>443</v>
      </c>
      <c r="J7173">
        <v>443</v>
      </c>
      <c r="K7173">
        <v>158</v>
      </c>
      <c r="L7173">
        <v>2</v>
      </c>
      <c r="M7173">
        <v>300</v>
      </c>
      <c r="N7173">
        <v>3</v>
      </c>
      <c r="O7173">
        <v>0</v>
      </c>
      <c r="P7173">
        <v>1</v>
      </c>
      <c r="Q7173">
        <v>0</v>
      </c>
    </row>
    <row r="7174" spans="1:17" x14ac:dyDescent="0.2">
      <c r="A7174" s="121">
        <v>41608</v>
      </c>
      <c r="B7174" t="s">
        <v>406</v>
      </c>
      <c r="C7174" t="s">
        <v>510</v>
      </c>
      <c r="D7174" t="s">
        <v>531</v>
      </c>
      <c r="E7174" t="s">
        <v>532</v>
      </c>
      <c r="F7174" t="s">
        <v>410</v>
      </c>
      <c r="G7174">
        <v>22</v>
      </c>
      <c r="I7174">
        <v>22</v>
      </c>
    </row>
    <row r="7175" spans="1:17" x14ac:dyDescent="0.2">
      <c r="A7175" s="121">
        <v>41608</v>
      </c>
      <c r="B7175" t="s">
        <v>406</v>
      </c>
      <c r="C7175" t="s">
        <v>510</v>
      </c>
      <c r="D7175" t="s">
        <v>533</v>
      </c>
      <c r="E7175" t="s">
        <v>534</v>
      </c>
      <c r="F7175" t="s">
        <v>413</v>
      </c>
      <c r="G7175">
        <v>2310</v>
      </c>
      <c r="H7175">
        <v>2310</v>
      </c>
      <c r="I7175">
        <v>2245</v>
      </c>
      <c r="J7175">
        <v>2245</v>
      </c>
      <c r="K7175">
        <v>614</v>
      </c>
      <c r="L7175">
        <v>4</v>
      </c>
      <c r="M7175">
        <v>1686</v>
      </c>
      <c r="N7175">
        <v>6</v>
      </c>
      <c r="O7175">
        <v>0</v>
      </c>
      <c r="P7175">
        <v>0</v>
      </c>
      <c r="Q7175">
        <v>0</v>
      </c>
    </row>
    <row r="7176" spans="1:17" x14ac:dyDescent="0.2">
      <c r="A7176" s="121">
        <v>41608</v>
      </c>
      <c r="B7176" t="s">
        <v>406</v>
      </c>
      <c r="C7176" t="s">
        <v>510</v>
      </c>
      <c r="D7176" t="s">
        <v>535</v>
      </c>
      <c r="E7176" t="s">
        <v>536</v>
      </c>
      <c r="F7176" t="s">
        <v>410</v>
      </c>
      <c r="G7176">
        <v>454</v>
      </c>
      <c r="I7176">
        <v>454</v>
      </c>
    </row>
    <row r="7177" spans="1:17" x14ac:dyDescent="0.2">
      <c r="A7177" s="121">
        <v>41608</v>
      </c>
      <c r="B7177" t="s">
        <v>406</v>
      </c>
      <c r="C7177" t="s">
        <v>510</v>
      </c>
      <c r="D7177" t="s">
        <v>537</v>
      </c>
      <c r="E7177" t="s">
        <v>538</v>
      </c>
      <c r="F7177" t="s">
        <v>410</v>
      </c>
      <c r="G7177">
        <v>89</v>
      </c>
      <c r="I7177">
        <v>89</v>
      </c>
    </row>
    <row r="7178" spans="1:17" x14ac:dyDescent="0.2">
      <c r="A7178" s="121">
        <v>41608</v>
      </c>
      <c r="B7178" t="s">
        <v>406</v>
      </c>
      <c r="C7178" t="s">
        <v>510</v>
      </c>
      <c r="D7178" t="s">
        <v>539</v>
      </c>
      <c r="E7178" t="s">
        <v>540</v>
      </c>
      <c r="F7178" t="s">
        <v>413</v>
      </c>
      <c r="G7178">
        <v>593</v>
      </c>
      <c r="H7178">
        <v>593</v>
      </c>
      <c r="I7178">
        <v>560</v>
      </c>
      <c r="J7178">
        <v>560</v>
      </c>
      <c r="K7178">
        <v>119</v>
      </c>
      <c r="L7178">
        <v>1</v>
      </c>
      <c r="M7178">
        <v>469</v>
      </c>
      <c r="N7178">
        <v>4</v>
      </c>
      <c r="O7178">
        <v>0</v>
      </c>
      <c r="P7178">
        <v>2</v>
      </c>
      <c r="Q7178">
        <v>1</v>
      </c>
    </row>
    <row r="7179" spans="1:17" x14ac:dyDescent="0.2">
      <c r="A7179" s="121">
        <v>41608</v>
      </c>
      <c r="B7179" t="s">
        <v>406</v>
      </c>
      <c r="C7179" t="s">
        <v>510</v>
      </c>
      <c r="D7179" t="s">
        <v>541</v>
      </c>
      <c r="E7179" t="s">
        <v>542</v>
      </c>
      <c r="F7179" t="s">
        <v>410</v>
      </c>
      <c r="G7179">
        <v>317</v>
      </c>
      <c r="I7179">
        <v>317</v>
      </c>
    </row>
    <row r="7180" spans="1:17" x14ac:dyDescent="0.2">
      <c r="A7180" s="121">
        <v>41608</v>
      </c>
      <c r="B7180" t="s">
        <v>406</v>
      </c>
      <c r="C7180" t="s">
        <v>510</v>
      </c>
      <c r="D7180" t="s">
        <v>543</v>
      </c>
      <c r="E7180" t="s">
        <v>544</v>
      </c>
      <c r="F7180" t="s">
        <v>410</v>
      </c>
      <c r="G7180">
        <v>200</v>
      </c>
      <c r="I7180">
        <v>200</v>
      </c>
    </row>
    <row r="7181" spans="1:17" x14ac:dyDescent="0.2">
      <c r="A7181" s="121">
        <v>41608</v>
      </c>
      <c r="B7181" t="s">
        <v>406</v>
      </c>
      <c r="C7181" t="s">
        <v>510</v>
      </c>
      <c r="D7181" t="s">
        <v>545</v>
      </c>
      <c r="E7181" t="s">
        <v>546</v>
      </c>
      <c r="F7181" t="s">
        <v>410</v>
      </c>
      <c r="G7181">
        <v>154</v>
      </c>
      <c r="I7181">
        <v>154</v>
      </c>
    </row>
    <row r="7182" spans="1:17" x14ac:dyDescent="0.2">
      <c r="A7182" s="121">
        <v>41608</v>
      </c>
      <c r="B7182" t="s">
        <v>406</v>
      </c>
      <c r="C7182" t="s">
        <v>510</v>
      </c>
      <c r="D7182" t="s">
        <v>547</v>
      </c>
      <c r="E7182" t="s">
        <v>548</v>
      </c>
      <c r="F7182" t="s">
        <v>410</v>
      </c>
      <c r="G7182">
        <v>117</v>
      </c>
      <c r="I7182">
        <v>117</v>
      </c>
    </row>
    <row r="7183" spans="1:17" x14ac:dyDescent="0.2">
      <c r="A7183" s="121">
        <v>41608</v>
      </c>
      <c r="B7183" t="s">
        <v>406</v>
      </c>
      <c r="C7183" t="s">
        <v>510</v>
      </c>
      <c r="D7183" t="s">
        <v>616</v>
      </c>
      <c r="E7183" t="s">
        <v>617</v>
      </c>
      <c r="F7183" t="s">
        <v>410</v>
      </c>
      <c r="G7183">
        <v>245</v>
      </c>
      <c r="I7183">
        <v>242</v>
      </c>
    </row>
    <row r="7184" spans="1:17" x14ac:dyDescent="0.2">
      <c r="A7184" s="121">
        <v>41608</v>
      </c>
      <c r="B7184" t="s">
        <v>406</v>
      </c>
      <c r="C7184" t="s">
        <v>510</v>
      </c>
      <c r="D7184" t="s">
        <v>549</v>
      </c>
      <c r="E7184" t="s">
        <v>550</v>
      </c>
      <c r="F7184" t="s">
        <v>410</v>
      </c>
      <c r="G7184">
        <v>127</v>
      </c>
      <c r="I7184">
        <v>127</v>
      </c>
    </row>
    <row r="7185" spans="1:17" x14ac:dyDescent="0.2">
      <c r="A7185" s="121">
        <v>41608</v>
      </c>
      <c r="B7185" t="s">
        <v>406</v>
      </c>
      <c r="C7185" t="s">
        <v>510</v>
      </c>
      <c r="D7185" t="s">
        <v>625</v>
      </c>
      <c r="E7185" t="s">
        <v>626</v>
      </c>
      <c r="F7185" t="s">
        <v>410</v>
      </c>
      <c r="G7185">
        <v>33</v>
      </c>
      <c r="I7185">
        <v>30</v>
      </c>
    </row>
    <row r="7186" spans="1:17" x14ac:dyDescent="0.2">
      <c r="A7186" s="121">
        <v>41608</v>
      </c>
      <c r="B7186" t="s">
        <v>406</v>
      </c>
      <c r="C7186" t="s">
        <v>551</v>
      </c>
      <c r="D7186" t="s">
        <v>552</v>
      </c>
      <c r="E7186" t="s">
        <v>553</v>
      </c>
      <c r="F7186" t="s">
        <v>413</v>
      </c>
      <c r="G7186">
        <v>5085</v>
      </c>
      <c r="H7186">
        <v>5085</v>
      </c>
      <c r="I7186">
        <v>4695</v>
      </c>
      <c r="J7186">
        <v>4695</v>
      </c>
      <c r="K7186">
        <v>1496</v>
      </c>
      <c r="L7186">
        <v>4</v>
      </c>
      <c r="M7186">
        <v>3312</v>
      </c>
      <c r="N7186">
        <v>193</v>
      </c>
      <c r="O7186">
        <v>80</v>
      </c>
      <c r="P7186">
        <v>16</v>
      </c>
      <c r="Q7186">
        <v>0</v>
      </c>
    </row>
    <row r="7187" spans="1:17" x14ac:dyDescent="0.2">
      <c r="A7187" s="121">
        <v>41608</v>
      </c>
      <c r="B7187" t="s">
        <v>406</v>
      </c>
      <c r="C7187" t="s">
        <v>551</v>
      </c>
      <c r="D7187" t="s">
        <v>554</v>
      </c>
      <c r="E7187" t="s">
        <v>555</v>
      </c>
      <c r="F7187" t="s">
        <v>410</v>
      </c>
      <c r="G7187">
        <v>49</v>
      </c>
      <c r="I7187">
        <v>49</v>
      </c>
    </row>
    <row r="7188" spans="1:17" x14ac:dyDescent="0.2">
      <c r="A7188" s="121">
        <v>41608</v>
      </c>
      <c r="B7188" t="s">
        <v>406</v>
      </c>
      <c r="C7188" t="s">
        <v>551</v>
      </c>
      <c r="D7188" t="s">
        <v>556</v>
      </c>
      <c r="E7188" t="s">
        <v>557</v>
      </c>
      <c r="F7188" t="s">
        <v>410</v>
      </c>
      <c r="G7188">
        <v>76</v>
      </c>
      <c r="I7188">
        <v>76</v>
      </c>
    </row>
    <row r="7189" spans="1:17" x14ac:dyDescent="0.2">
      <c r="A7189" s="121">
        <v>41608</v>
      </c>
      <c r="B7189" t="s">
        <v>406</v>
      </c>
      <c r="C7189" t="s">
        <v>551</v>
      </c>
      <c r="D7189" t="s">
        <v>558</v>
      </c>
      <c r="E7189" t="s">
        <v>559</v>
      </c>
      <c r="F7189" t="s">
        <v>413</v>
      </c>
      <c r="G7189">
        <v>4491</v>
      </c>
      <c r="H7189">
        <v>4491</v>
      </c>
      <c r="I7189">
        <v>4125</v>
      </c>
      <c r="J7189">
        <v>4125</v>
      </c>
      <c r="K7189">
        <v>1308</v>
      </c>
      <c r="L7189">
        <v>8</v>
      </c>
      <c r="M7189">
        <v>3029</v>
      </c>
      <c r="N7189">
        <v>135</v>
      </c>
      <c r="O7189">
        <v>11</v>
      </c>
      <c r="P7189">
        <v>56</v>
      </c>
      <c r="Q7189">
        <v>12</v>
      </c>
    </row>
    <row r="7190" spans="1:17" x14ac:dyDescent="0.2">
      <c r="A7190" s="121">
        <v>41608</v>
      </c>
      <c r="B7190" t="s">
        <v>406</v>
      </c>
      <c r="C7190" t="s">
        <v>551</v>
      </c>
      <c r="D7190" t="s">
        <v>560</v>
      </c>
      <c r="E7190" t="s">
        <v>561</v>
      </c>
      <c r="F7190" t="s">
        <v>413</v>
      </c>
      <c r="G7190">
        <v>4876</v>
      </c>
      <c r="H7190">
        <v>4876</v>
      </c>
      <c r="I7190">
        <v>4507</v>
      </c>
      <c r="J7190">
        <v>4507</v>
      </c>
      <c r="K7190">
        <v>1095</v>
      </c>
      <c r="L7190">
        <v>6</v>
      </c>
      <c r="M7190">
        <v>3519</v>
      </c>
      <c r="N7190">
        <v>200</v>
      </c>
      <c r="O7190">
        <v>56</v>
      </c>
      <c r="P7190">
        <v>43</v>
      </c>
      <c r="Q7190">
        <v>3</v>
      </c>
    </row>
    <row r="7191" spans="1:17" x14ac:dyDescent="0.2">
      <c r="A7191" s="121">
        <v>41608</v>
      </c>
      <c r="B7191" t="s">
        <v>406</v>
      </c>
      <c r="C7191" t="s">
        <v>562</v>
      </c>
      <c r="D7191" t="s">
        <v>605</v>
      </c>
      <c r="E7191" t="s">
        <v>606</v>
      </c>
      <c r="F7191" t="s">
        <v>410</v>
      </c>
      <c r="G7191">
        <v>94</v>
      </c>
      <c r="I7191">
        <v>94</v>
      </c>
    </row>
    <row r="7192" spans="1:17" x14ac:dyDescent="0.2">
      <c r="A7192" s="121">
        <v>41608</v>
      </c>
      <c r="B7192" t="s">
        <v>406</v>
      </c>
      <c r="C7192" t="s">
        <v>562</v>
      </c>
      <c r="D7192" t="s">
        <v>563</v>
      </c>
      <c r="E7192" t="s">
        <v>564</v>
      </c>
      <c r="F7192" t="s">
        <v>410</v>
      </c>
      <c r="G7192">
        <v>3286</v>
      </c>
      <c r="H7192">
        <v>3286</v>
      </c>
      <c r="I7192">
        <v>2918</v>
      </c>
      <c r="J7192">
        <v>2918</v>
      </c>
      <c r="K7192">
        <v>1106</v>
      </c>
      <c r="L7192">
        <v>2</v>
      </c>
      <c r="M7192">
        <v>2162</v>
      </c>
      <c r="N7192">
        <v>16</v>
      </c>
      <c r="O7192">
        <v>0</v>
      </c>
      <c r="P7192">
        <v>74</v>
      </c>
      <c r="Q7192">
        <v>13</v>
      </c>
    </row>
    <row r="7193" spans="1:17" x14ac:dyDescent="0.2">
      <c r="A7193" s="121">
        <v>41608</v>
      </c>
      <c r="B7193" t="s">
        <v>406</v>
      </c>
      <c r="C7193" t="s">
        <v>562</v>
      </c>
      <c r="D7193" t="s">
        <v>565</v>
      </c>
      <c r="E7193" t="s">
        <v>566</v>
      </c>
      <c r="F7193" t="s">
        <v>413</v>
      </c>
      <c r="G7193">
        <v>4067</v>
      </c>
      <c r="H7193">
        <v>4067</v>
      </c>
      <c r="I7193">
        <v>3967</v>
      </c>
      <c r="J7193">
        <v>3967</v>
      </c>
      <c r="K7193">
        <v>958</v>
      </c>
      <c r="L7193">
        <v>5</v>
      </c>
      <c r="M7193">
        <v>3011</v>
      </c>
      <c r="N7193">
        <v>93</v>
      </c>
      <c r="O7193">
        <v>0</v>
      </c>
      <c r="P7193">
        <v>1</v>
      </c>
      <c r="Q7193">
        <v>0</v>
      </c>
    </row>
    <row r="7194" spans="1:17" x14ac:dyDescent="0.2">
      <c r="A7194" s="121">
        <v>41608</v>
      </c>
      <c r="B7194" t="s">
        <v>406</v>
      </c>
      <c r="C7194" t="s">
        <v>562</v>
      </c>
      <c r="D7194" t="s">
        <v>567</v>
      </c>
      <c r="E7194" t="s">
        <v>568</v>
      </c>
      <c r="F7194" t="s">
        <v>413</v>
      </c>
      <c r="G7194">
        <v>9085</v>
      </c>
      <c r="H7194">
        <v>9085</v>
      </c>
      <c r="I7194">
        <v>8334</v>
      </c>
      <c r="J7194">
        <v>8334</v>
      </c>
      <c r="K7194">
        <v>2715</v>
      </c>
      <c r="L7194">
        <v>21</v>
      </c>
      <c r="M7194">
        <v>6130</v>
      </c>
      <c r="N7194">
        <v>219</v>
      </c>
      <c r="O7194">
        <v>0</v>
      </c>
      <c r="P7194">
        <v>75</v>
      </c>
      <c r="Q7194">
        <v>7</v>
      </c>
    </row>
    <row r="7195" spans="1:17" x14ac:dyDescent="0.2">
      <c r="A7195" s="121">
        <v>41608</v>
      </c>
      <c r="B7195" t="s">
        <v>406</v>
      </c>
      <c r="C7195" t="s">
        <v>562</v>
      </c>
      <c r="D7195" t="s">
        <v>569</v>
      </c>
      <c r="E7195" t="s">
        <v>570</v>
      </c>
      <c r="F7195" t="s">
        <v>413</v>
      </c>
      <c r="G7195">
        <v>3535</v>
      </c>
      <c r="H7195">
        <v>3535</v>
      </c>
      <c r="I7195">
        <v>3497</v>
      </c>
      <c r="J7195">
        <v>3497</v>
      </c>
      <c r="K7195">
        <v>474</v>
      </c>
      <c r="L7195">
        <v>0</v>
      </c>
      <c r="M7195">
        <v>3060</v>
      </c>
      <c r="N7195">
        <v>1</v>
      </c>
      <c r="O7195">
        <v>0</v>
      </c>
      <c r="P7195">
        <v>0</v>
      </c>
      <c r="Q7195">
        <v>0</v>
      </c>
    </row>
    <row r="7196" spans="1:17" x14ac:dyDescent="0.2">
      <c r="A7196" s="121">
        <v>41608</v>
      </c>
      <c r="B7196" t="s">
        <v>406</v>
      </c>
      <c r="C7196" t="s">
        <v>571</v>
      </c>
      <c r="D7196" t="s">
        <v>572</v>
      </c>
      <c r="E7196" t="s">
        <v>573</v>
      </c>
      <c r="F7196" t="s">
        <v>410</v>
      </c>
      <c r="G7196">
        <v>397</v>
      </c>
      <c r="H7196">
        <v>397</v>
      </c>
      <c r="I7196">
        <v>393</v>
      </c>
      <c r="J7196">
        <v>393</v>
      </c>
      <c r="K7196">
        <v>117</v>
      </c>
      <c r="L7196">
        <v>0</v>
      </c>
      <c r="M7196">
        <v>277</v>
      </c>
      <c r="N7196">
        <v>0</v>
      </c>
      <c r="O7196">
        <v>3</v>
      </c>
      <c r="P7196">
        <v>0</v>
      </c>
      <c r="Q7196">
        <v>0</v>
      </c>
    </row>
    <row r="7197" spans="1:17" x14ac:dyDescent="0.2">
      <c r="A7197" s="121">
        <v>41608</v>
      </c>
      <c r="B7197" t="s">
        <v>406</v>
      </c>
      <c r="C7197" t="s">
        <v>574</v>
      </c>
      <c r="D7197" t="s">
        <v>575</v>
      </c>
      <c r="E7197" t="s">
        <v>576</v>
      </c>
      <c r="F7197" t="s">
        <v>413</v>
      </c>
      <c r="G7197">
        <v>597</v>
      </c>
      <c r="H7197">
        <v>597</v>
      </c>
      <c r="I7197">
        <v>593</v>
      </c>
      <c r="J7197">
        <v>593</v>
      </c>
      <c r="K7197">
        <v>150</v>
      </c>
      <c r="L7197">
        <v>0</v>
      </c>
      <c r="M7197">
        <v>416</v>
      </c>
      <c r="N7197">
        <v>5</v>
      </c>
      <c r="O7197">
        <v>26</v>
      </c>
      <c r="P7197">
        <v>0</v>
      </c>
      <c r="Q7197">
        <v>0</v>
      </c>
    </row>
    <row r="7198" spans="1:17" x14ac:dyDescent="0.2">
      <c r="A7198" s="121">
        <v>41608</v>
      </c>
      <c r="B7198" t="s">
        <v>406</v>
      </c>
      <c r="C7198" t="s">
        <v>577</v>
      </c>
      <c r="D7198" t="s">
        <v>578</v>
      </c>
      <c r="E7198" t="s">
        <v>579</v>
      </c>
      <c r="F7198" t="s">
        <v>413</v>
      </c>
      <c r="G7198">
        <v>3581</v>
      </c>
      <c r="H7198">
        <v>3581</v>
      </c>
      <c r="I7198">
        <v>3549</v>
      </c>
      <c r="J7198">
        <v>3549</v>
      </c>
      <c r="K7198">
        <v>762</v>
      </c>
      <c r="L7198">
        <v>13</v>
      </c>
      <c r="M7198">
        <v>2560</v>
      </c>
      <c r="N7198">
        <v>245</v>
      </c>
      <c r="O7198">
        <v>1</v>
      </c>
      <c r="P7198">
        <v>0</v>
      </c>
      <c r="Q7198">
        <v>0</v>
      </c>
    </row>
    <row r="7199" spans="1:17" x14ac:dyDescent="0.2">
      <c r="A7199" s="121">
        <v>41608</v>
      </c>
      <c r="B7199" t="s">
        <v>406</v>
      </c>
      <c r="C7199" t="s">
        <v>577</v>
      </c>
      <c r="D7199" t="s">
        <v>580</v>
      </c>
      <c r="E7199" t="s">
        <v>581</v>
      </c>
      <c r="F7199" t="s">
        <v>413</v>
      </c>
      <c r="G7199">
        <v>1814</v>
      </c>
      <c r="H7199">
        <v>1814</v>
      </c>
      <c r="I7199">
        <v>1802</v>
      </c>
      <c r="J7199">
        <v>1802</v>
      </c>
      <c r="K7199">
        <v>327</v>
      </c>
      <c r="L7199">
        <v>0</v>
      </c>
      <c r="M7199">
        <v>1154</v>
      </c>
      <c r="N7199">
        <v>289</v>
      </c>
      <c r="O7199">
        <v>44</v>
      </c>
      <c r="P7199">
        <v>0</v>
      </c>
      <c r="Q7199">
        <v>0</v>
      </c>
    </row>
    <row r="7200" spans="1:17" x14ac:dyDescent="0.2">
      <c r="A7200" s="121">
        <v>41608</v>
      </c>
      <c r="B7200" t="s">
        <v>406</v>
      </c>
      <c r="C7200" t="s">
        <v>577</v>
      </c>
      <c r="D7200" t="s">
        <v>609</v>
      </c>
      <c r="E7200" t="s">
        <v>610</v>
      </c>
      <c r="F7200" t="s">
        <v>410</v>
      </c>
      <c r="G7200">
        <v>27</v>
      </c>
      <c r="H7200">
        <v>27</v>
      </c>
      <c r="I7200">
        <v>27</v>
      </c>
      <c r="J7200">
        <v>27</v>
      </c>
      <c r="K7200">
        <v>0</v>
      </c>
      <c r="L7200">
        <v>0</v>
      </c>
      <c r="M7200">
        <v>20</v>
      </c>
      <c r="N7200">
        <v>4</v>
      </c>
      <c r="O7200">
        <v>3</v>
      </c>
      <c r="P7200">
        <v>0</v>
      </c>
      <c r="Q7200">
        <v>0</v>
      </c>
    </row>
    <row r="7201" spans="1:17" x14ac:dyDescent="0.2">
      <c r="A7201" s="121">
        <v>41608</v>
      </c>
      <c r="B7201" t="s">
        <v>406</v>
      </c>
      <c r="C7201" t="s">
        <v>577</v>
      </c>
      <c r="D7201" t="s">
        <v>611</v>
      </c>
      <c r="E7201" t="s">
        <v>612</v>
      </c>
      <c r="F7201" t="s">
        <v>410</v>
      </c>
      <c r="G7201">
        <v>11</v>
      </c>
      <c r="H7201">
        <v>11</v>
      </c>
      <c r="I7201">
        <v>11</v>
      </c>
      <c r="J7201">
        <v>11</v>
      </c>
      <c r="K7201">
        <v>0</v>
      </c>
      <c r="L7201">
        <v>0</v>
      </c>
      <c r="M7201">
        <v>4</v>
      </c>
      <c r="N7201">
        <v>0</v>
      </c>
      <c r="O7201">
        <v>7</v>
      </c>
      <c r="P7201">
        <v>0</v>
      </c>
      <c r="Q7201">
        <v>0</v>
      </c>
    </row>
    <row r="7202" spans="1:17" x14ac:dyDescent="0.2">
      <c r="A7202" s="121">
        <v>41608</v>
      </c>
      <c r="B7202" t="s">
        <v>406</v>
      </c>
      <c r="C7202" t="s">
        <v>577</v>
      </c>
      <c r="D7202" t="s">
        <v>584</v>
      </c>
      <c r="E7202" t="s">
        <v>585</v>
      </c>
      <c r="F7202" t="s">
        <v>410</v>
      </c>
      <c r="G7202">
        <v>221</v>
      </c>
      <c r="H7202">
        <v>221</v>
      </c>
      <c r="I7202">
        <v>221</v>
      </c>
      <c r="J7202">
        <v>221</v>
      </c>
      <c r="K7202">
        <v>0</v>
      </c>
      <c r="L7202">
        <v>0</v>
      </c>
      <c r="M7202">
        <v>196</v>
      </c>
      <c r="N7202">
        <v>22</v>
      </c>
      <c r="O7202">
        <v>3</v>
      </c>
      <c r="P7202">
        <v>0</v>
      </c>
      <c r="Q7202">
        <v>0</v>
      </c>
    </row>
    <row r="7203" spans="1:17" x14ac:dyDescent="0.2">
      <c r="A7203" s="121">
        <v>41608</v>
      </c>
      <c r="B7203" t="s">
        <v>406</v>
      </c>
      <c r="C7203" t="s">
        <v>577</v>
      </c>
      <c r="D7203" t="s">
        <v>586</v>
      </c>
      <c r="E7203" t="s">
        <v>587</v>
      </c>
      <c r="F7203" t="s">
        <v>410</v>
      </c>
      <c r="G7203">
        <v>972</v>
      </c>
      <c r="H7203">
        <v>972</v>
      </c>
      <c r="I7203">
        <v>971</v>
      </c>
      <c r="J7203">
        <v>971</v>
      </c>
      <c r="K7203">
        <v>0</v>
      </c>
      <c r="L7203">
        <v>0</v>
      </c>
      <c r="M7203">
        <v>861</v>
      </c>
      <c r="N7203">
        <v>109</v>
      </c>
      <c r="O7203">
        <v>2</v>
      </c>
      <c r="P7203">
        <v>0</v>
      </c>
      <c r="Q7203">
        <v>0</v>
      </c>
    </row>
    <row r="7204" spans="1:17" x14ac:dyDescent="0.2">
      <c r="A7204" s="121">
        <v>41608</v>
      </c>
      <c r="B7204" t="s">
        <v>406</v>
      </c>
      <c r="C7204" t="s">
        <v>577</v>
      </c>
      <c r="D7204" t="s">
        <v>588</v>
      </c>
      <c r="E7204" t="s">
        <v>589</v>
      </c>
      <c r="F7204" t="s">
        <v>410</v>
      </c>
      <c r="G7204">
        <v>227</v>
      </c>
      <c r="H7204">
        <v>227</v>
      </c>
      <c r="I7204">
        <v>226</v>
      </c>
      <c r="J7204">
        <v>226</v>
      </c>
      <c r="K7204">
        <v>0</v>
      </c>
      <c r="L7204">
        <v>0</v>
      </c>
      <c r="M7204">
        <v>210</v>
      </c>
      <c r="N7204">
        <v>15</v>
      </c>
      <c r="O7204">
        <v>2</v>
      </c>
      <c r="P7204">
        <v>0</v>
      </c>
      <c r="Q7204">
        <v>0</v>
      </c>
    </row>
    <row r="7205" spans="1:17" x14ac:dyDescent="0.2">
      <c r="A7205" s="121">
        <v>41608</v>
      </c>
      <c r="B7205" t="s">
        <v>406</v>
      </c>
      <c r="C7205" t="s">
        <v>577</v>
      </c>
      <c r="D7205" t="s">
        <v>613</v>
      </c>
      <c r="E7205" t="s">
        <v>614</v>
      </c>
      <c r="F7205" t="s">
        <v>410</v>
      </c>
      <c r="G7205">
        <v>149</v>
      </c>
      <c r="H7205">
        <v>149</v>
      </c>
      <c r="I7205">
        <v>149</v>
      </c>
      <c r="J7205">
        <v>149</v>
      </c>
      <c r="K7205">
        <v>0</v>
      </c>
      <c r="L7205">
        <v>0</v>
      </c>
      <c r="M7205">
        <v>127</v>
      </c>
      <c r="N7205">
        <v>12</v>
      </c>
      <c r="O7205">
        <v>10</v>
      </c>
      <c r="P7205">
        <v>0</v>
      </c>
      <c r="Q7205">
        <v>0</v>
      </c>
    </row>
    <row r="7206" spans="1:17" x14ac:dyDescent="0.2">
      <c r="A7206" s="121">
        <v>41608</v>
      </c>
      <c r="B7206" t="s">
        <v>406</v>
      </c>
      <c r="C7206" t="s">
        <v>577</v>
      </c>
      <c r="D7206" t="s">
        <v>590</v>
      </c>
      <c r="E7206" t="s">
        <v>591</v>
      </c>
      <c r="F7206" t="s">
        <v>410</v>
      </c>
      <c r="G7206">
        <v>566</v>
      </c>
      <c r="H7206">
        <v>566</v>
      </c>
      <c r="I7206">
        <v>566</v>
      </c>
      <c r="J7206">
        <v>566</v>
      </c>
      <c r="K7206">
        <v>0</v>
      </c>
      <c r="L7206">
        <v>0</v>
      </c>
      <c r="M7206">
        <v>536</v>
      </c>
      <c r="N7206">
        <v>30</v>
      </c>
      <c r="O7206">
        <v>0</v>
      </c>
      <c r="P7206">
        <v>0</v>
      </c>
      <c r="Q7206">
        <v>0</v>
      </c>
    </row>
    <row r="7207" spans="1:17" x14ac:dyDescent="0.2">
      <c r="A7207" s="121">
        <v>41608</v>
      </c>
      <c r="B7207" t="s">
        <v>406</v>
      </c>
      <c r="C7207" t="s">
        <v>577</v>
      </c>
      <c r="D7207" t="s">
        <v>607</v>
      </c>
      <c r="E7207" t="s">
        <v>608</v>
      </c>
      <c r="F7207" t="s">
        <v>410</v>
      </c>
      <c r="G7207">
        <v>140</v>
      </c>
      <c r="H7207">
        <v>140</v>
      </c>
      <c r="I7207">
        <v>140</v>
      </c>
      <c r="J7207">
        <v>140</v>
      </c>
      <c r="K7207">
        <v>1</v>
      </c>
      <c r="L7207">
        <v>0</v>
      </c>
      <c r="M7207">
        <v>128</v>
      </c>
      <c r="N7207">
        <v>9</v>
      </c>
      <c r="O7207">
        <v>2</v>
      </c>
      <c r="P7207">
        <v>0</v>
      </c>
      <c r="Q7207">
        <v>0</v>
      </c>
    </row>
    <row r="7208" spans="1:17" x14ac:dyDescent="0.2">
      <c r="A7208" s="121">
        <v>41608</v>
      </c>
      <c r="B7208" t="s">
        <v>406</v>
      </c>
      <c r="C7208" t="s">
        <v>577</v>
      </c>
      <c r="D7208" t="s">
        <v>592</v>
      </c>
      <c r="E7208" t="s">
        <v>593</v>
      </c>
      <c r="F7208" t="s">
        <v>410</v>
      </c>
      <c r="G7208">
        <v>491</v>
      </c>
      <c r="H7208">
        <v>491</v>
      </c>
      <c r="I7208">
        <v>490</v>
      </c>
      <c r="J7208">
        <v>490</v>
      </c>
      <c r="K7208">
        <v>0</v>
      </c>
      <c r="L7208">
        <v>0</v>
      </c>
      <c r="M7208">
        <v>458</v>
      </c>
      <c r="N7208">
        <v>29</v>
      </c>
      <c r="O7208">
        <v>4</v>
      </c>
      <c r="P7208">
        <v>0</v>
      </c>
      <c r="Q7208">
        <v>0</v>
      </c>
    </row>
    <row r="7209" spans="1:17" x14ac:dyDescent="0.2">
      <c r="A7209" s="121">
        <v>41608</v>
      </c>
      <c r="B7209" t="s">
        <v>406</v>
      </c>
      <c r="C7209" t="s">
        <v>594</v>
      </c>
      <c r="D7209" t="s">
        <v>595</v>
      </c>
      <c r="E7209" t="s">
        <v>596</v>
      </c>
      <c r="F7209" t="s">
        <v>410</v>
      </c>
      <c r="G7209">
        <v>20</v>
      </c>
      <c r="I7209">
        <v>20</v>
      </c>
    </row>
    <row r="7210" spans="1:17" x14ac:dyDescent="0.2">
      <c r="A7210" s="121">
        <v>41608</v>
      </c>
      <c r="B7210" t="s">
        <v>406</v>
      </c>
      <c r="C7210" t="s">
        <v>594</v>
      </c>
      <c r="D7210" t="s">
        <v>597</v>
      </c>
      <c r="E7210" t="s">
        <v>598</v>
      </c>
      <c r="F7210" t="s">
        <v>413</v>
      </c>
      <c r="G7210">
        <v>477</v>
      </c>
      <c r="H7210">
        <v>477</v>
      </c>
      <c r="I7210">
        <v>470</v>
      </c>
      <c r="J7210">
        <v>470</v>
      </c>
      <c r="K7210">
        <v>113</v>
      </c>
      <c r="L7210">
        <v>0</v>
      </c>
      <c r="M7210">
        <v>353</v>
      </c>
      <c r="N7210">
        <v>10</v>
      </c>
      <c r="O7210">
        <v>1</v>
      </c>
      <c r="P7210">
        <v>1</v>
      </c>
      <c r="Q7210">
        <v>0</v>
      </c>
    </row>
    <row r="7211" spans="1:17" x14ac:dyDescent="0.2">
      <c r="A7211" s="121">
        <v>41608</v>
      </c>
      <c r="B7211" t="s">
        <v>406</v>
      </c>
      <c r="C7211" t="s">
        <v>594</v>
      </c>
      <c r="D7211" t="s">
        <v>599</v>
      </c>
      <c r="E7211" t="s">
        <v>600</v>
      </c>
      <c r="F7211" t="s">
        <v>410</v>
      </c>
      <c r="G7211">
        <v>85</v>
      </c>
      <c r="I7211">
        <v>85</v>
      </c>
    </row>
    <row r="7212" spans="1:17" x14ac:dyDescent="0.2">
      <c r="A7212" s="121">
        <v>41639</v>
      </c>
      <c r="B7212" t="s">
        <v>406</v>
      </c>
      <c r="C7212" t="s">
        <v>407</v>
      </c>
      <c r="D7212" t="s">
        <v>408</v>
      </c>
      <c r="E7212" t="s">
        <v>409</v>
      </c>
      <c r="F7212" t="s">
        <v>410</v>
      </c>
      <c r="G7212">
        <v>165</v>
      </c>
      <c r="I7212">
        <v>165</v>
      </c>
    </row>
    <row r="7213" spans="1:17" x14ac:dyDescent="0.2">
      <c r="A7213" s="121">
        <v>41639</v>
      </c>
      <c r="B7213" t="s">
        <v>406</v>
      </c>
      <c r="C7213" t="s">
        <v>407</v>
      </c>
      <c r="D7213" t="s">
        <v>601</v>
      </c>
      <c r="E7213" t="s">
        <v>602</v>
      </c>
      <c r="F7213" t="s">
        <v>410</v>
      </c>
      <c r="G7213">
        <v>37</v>
      </c>
      <c r="I7213">
        <v>37</v>
      </c>
    </row>
    <row r="7214" spans="1:17" x14ac:dyDescent="0.2">
      <c r="A7214" s="121">
        <v>41639</v>
      </c>
      <c r="B7214" t="s">
        <v>406</v>
      </c>
      <c r="C7214" t="s">
        <v>407</v>
      </c>
      <c r="D7214" t="s">
        <v>411</v>
      </c>
      <c r="E7214" t="s">
        <v>412</v>
      </c>
      <c r="F7214" t="s">
        <v>413</v>
      </c>
      <c r="G7214">
        <v>5735</v>
      </c>
      <c r="H7214">
        <v>5735</v>
      </c>
      <c r="I7214">
        <v>5342</v>
      </c>
      <c r="J7214">
        <v>5342</v>
      </c>
      <c r="K7214">
        <v>2522</v>
      </c>
      <c r="L7214">
        <v>7</v>
      </c>
      <c r="M7214">
        <v>2924</v>
      </c>
      <c r="N7214">
        <v>106</v>
      </c>
      <c r="O7214">
        <v>176</v>
      </c>
      <c r="P7214">
        <v>14</v>
      </c>
      <c r="Q7214">
        <v>0</v>
      </c>
    </row>
    <row r="7215" spans="1:17" x14ac:dyDescent="0.2">
      <c r="A7215" s="121">
        <v>41639</v>
      </c>
      <c r="B7215" t="s">
        <v>406</v>
      </c>
      <c r="C7215" t="s">
        <v>407</v>
      </c>
      <c r="D7215" t="s">
        <v>416</v>
      </c>
      <c r="E7215" t="s">
        <v>417</v>
      </c>
      <c r="F7215" t="s">
        <v>413</v>
      </c>
      <c r="G7215">
        <v>3385</v>
      </c>
      <c r="H7215">
        <v>3385</v>
      </c>
      <c r="I7215">
        <v>3133</v>
      </c>
      <c r="J7215">
        <v>3133</v>
      </c>
      <c r="K7215">
        <v>1419</v>
      </c>
      <c r="L7215">
        <v>7</v>
      </c>
      <c r="M7215">
        <v>1827</v>
      </c>
      <c r="N7215">
        <v>96</v>
      </c>
      <c r="O7215">
        <v>36</v>
      </c>
      <c r="P7215">
        <v>11</v>
      </c>
      <c r="Q7215">
        <v>0</v>
      </c>
    </row>
    <row r="7216" spans="1:17" x14ac:dyDescent="0.2">
      <c r="A7216" s="121">
        <v>41639</v>
      </c>
      <c r="B7216" t="s">
        <v>406</v>
      </c>
      <c r="C7216" t="s">
        <v>407</v>
      </c>
      <c r="D7216" t="s">
        <v>618</v>
      </c>
      <c r="E7216" t="s">
        <v>619</v>
      </c>
      <c r="F7216" t="s">
        <v>410</v>
      </c>
      <c r="G7216">
        <v>74</v>
      </c>
      <c r="I7216">
        <v>74</v>
      </c>
    </row>
    <row r="7217" spans="1:17" x14ac:dyDescent="0.2">
      <c r="A7217" s="121">
        <v>41639</v>
      </c>
      <c r="B7217" t="s">
        <v>406</v>
      </c>
      <c r="C7217" t="s">
        <v>418</v>
      </c>
      <c r="D7217" t="s">
        <v>419</v>
      </c>
      <c r="E7217" t="s">
        <v>420</v>
      </c>
      <c r="F7217" t="s">
        <v>410</v>
      </c>
      <c r="G7217">
        <v>6</v>
      </c>
      <c r="I7217">
        <v>6</v>
      </c>
    </row>
    <row r="7218" spans="1:17" x14ac:dyDescent="0.2">
      <c r="A7218" s="121">
        <v>41639</v>
      </c>
      <c r="B7218" t="s">
        <v>406</v>
      </c>
      <c r="C7218" t="s">
        <v>418</v>
      </c>
      <c r="D7218" t="s">
        <v>421</v>
      </c>
      <c r="E7218" t="s">
        <v>422</v>
      </c>
      <c r="F7218" t="s">
        <v>410</v>
      </c>
      <c r="G7218">
        <v>91</v>
      </c>
      <c r="I7218">
        <v>91</v>
      </c>
    </row>
    <row r="7219" spans="1:17" x14ac:dyDescent="0.2">
      <c r="A7219" s="121">
        <v>41639</v>
      </c>
      <c r="B7219" t="s">
        <v>406</v>
      </c>
      <c r="C7219" t="s">
        <v>418</v>
      </c>
      <c r="D7219" t="s">
        <v>423</v>
      </c>
      <c r="E7219" t="s">
        <v>424</v>
      </c>
      <c r="F7219" t="s">
        <v>410</v>
      </c>
      <c r="G7219">
        <v>13</v>
      </c>
      <c r="I7219">
        <v>13</v>
      </c>
    </row>
    <row r="7220" spans="1:17" x14ac:dyDescent="0.2">
      <c r="A7220" s="121">
        <v>41639</v>
      </c>
      <c r="B7220" t="s">
        <v>406</v>
      </c>
      <c r="C7220" t="s">
        <v>418</v>
      </c>
      <c r="D7220" t="s">
        <v>425</v>
      </c>
      <c r="E7220" t="s">
        <v>426</v>
      </c>
      <c r="F7220" t="s">
        <v>410</v>
      </c>
      <c r="G7220">
        <v>44</v>
      </c>
      <c r="I7220">
        <v>44</v>
      </c>
    </row>
    <row r="7221" spans="1:17" x14ac:dyDescent="0.2">
      <c r="A7221" s="121">
        <v>41639</v>
      </c>
      <c r="B7221" t="s">
        <v>406</v>
      </c>
      <c r="C7221" t="s">
        <v>418</v>
      </c>
      <c r="D7221" t="s">
        <v>427</v>
      </c>
      <c r="E7221" t="s">
        <v>428</v>
      </c>
      <c r="F7221" t="s">
        <v>413</v>
      </c>
      <c r="G7221">
        <v>2076</v>
      </c>
      <c r="H7221">
        <v>2076</v>
      </c>
      <c r="I7221">
        <v>2029</v>
      </c>
      <c r="J7221">
        <v>2029</v>
      </c>
      <c r="K7221">
        <v>832</v>
      </c>
      <c r="L7221">
        <v>4</v>
      </c>
      <c r="M7221">
        <v>1046</v>
      </c>
      <c r="N7221">
        <v>145</v>
      </c>
      <c r="O7221">
        <v>49</v>
      </c>
      <c r="P7221">
        <v>0</v>
      </c>
      <c r="Q7221">
        <v>0</v>
      </c>
    </row>
    <row r="7222" spans="1:17" x14ac:dyDescent="0.2">
      <c r="A7222" s="121">
        <v>41639</v>
      </c>
      <c r="B7222" t="s">
        <v>406</v>
      </c>
      <c r="C7222" t="s">
        <v>429</v>
      </c>
      <c r="D7222" t="s">
        <v>430</v>
      </c>
      <c r="E7222" t="s">
        <v>431</v>
      </c>
      <c r="F7222" t="s">
        <v>410</v>
      </c>
      <c r="G7222">
        <v>30</v>
      </c>
      <c r="I7222">
        <v>30</v>
      </c>
    </row>
    <row r="7223" spans="1:17" x14ac:dyDescent="0.2">
      <c r="A7223" s="121">
        <v>41639</v>
      </c>
      <c r="B7223" t="s">
        <v>406</v>
      </c>
      <c r="C7223" t="s">
        <v>429</v>
      </c>
      <c r="D7223" t="s">
        <v>432</v>
      </c>
      <c r="E7223" t="s">
        <v>433</v>
      </c>
      <c r="F7223" t="s">
        <v>410</v>
      </c>
      <c r="G7223">
        <v>37</v>
      </c>
      <c r="I7223">
        <v>37</v>
      </c>
    </row>
    <row r="7224" spans="1:17" x14ac:dyDescent="0.2">
      <c r="A7224" s="121">
        <v>41639</v>
      </c>
      <c r="B7224" t="s">
        <v>406</v>
      </c>
      <c r="C7224" t="s">
        <v>429</v>
      </c>
      <c r="D7224" t="s">
        <v>434</v>
      </c>
      <c r="E7224" t="s">
        <v>435</v>
      </c>
      <c r="F7224" t="s">
        <v>410</v>
      </c>
      <c r="G7224">
        <v>2</v>
      </c>
      <c r="I7224">
        <v>2</v>
      </c>
    </row>
    <row r="7225" spans="1:17" x14ac:dyDescent="0.2">
      <c r="A7225" s="121">
        <v>41639</v>
      </c>
      <c r="B7225" t="s">
        <v>406</v>
      </c>
      <c r="C7225" t="s">
        <v>429</v>
      </c>
      <c r="D7225" t="s">
        <v>436</v>
      </c>
      <c r="E7225" t="s">
        <v>437</v>
      </c>
      <c r="F7225" t="s">
        <v>410</v>
      </c>
      <c r="G7225">
        <v>22</v>
      </c>
      <c r="H7225">
        <v>22</v>
      </c>
      <c r="I7225">
        <v>22</v>
      </c>
      <c r="J7225">
        <v>22</v>
      </c>
      <c r="K7225">
        <v>0</v>
      </c>
      <c r="L7225">
        <v>0</v>
      </c>
      <c r="M7225">
        <v>18</v>
      </c>
      <c r="N7225">
        <v>4</v>
      </c>
      <c r="O7225">
        <v>0</v>
      </c>
      <c r="P7225">
        <v>0</v>
      </c>
      <c r="Q7225">
        <v>0</v>
      </c>
    </row>
    <row r="7226" spans="1:17" x14ac:dyDescent="0.2">
      <c r="A7226" s="121">
        <v>41639</v>
      </c>
      <c r="B7226" t="s">
        <v>406</v>
      </c>
      <c r="C7226" t="s">
        <v>429</v>
      </c>
      <c r="D7226" t="s">
        <v>438</v>
      </c>
      <c r="E7226" t="s">
        <v>439</v>
      </c>
      <c r="F7226" t="s">
        <v>413</v>
      </c>
      <c r="G7226">
        <v>926</v>
      </c>
      <c r="H7226">
        <v>926</v>
      </c>
      <c r="I7226">
        <v>903</v>
      </c>
      <c r="J7226">
        <v>903</v>
      </c>
      <c r="K7226">
        <v>134</v>
      </c>
      <c r="L7226">
        <v>2</v>
      </c>
      <c r="M7226">
        <v>745</v>
      </c>
      <c r="N7226">
        <v>45</v>
      </c>
      <c r="O7226">
        <v>0</v>
      </c>
      <c r="P7226">
        <v>2</v>
      </c>
      <c r="Q7226">
        <v>0</v>
      </c>
    </row>
    <row r="7227" spans="1:17" x14ac:dyDescent="0.2">
      <c r="A7227" s="121">
        <v>41639</v>
      </c>
      <c r="B7227" t="s">
        <v>406</v>
      </c>
      <c r="C7227" t="s">
        <v>429</v>
      </c>
      <c r="D7227" t="s">
        <v>440</v>
      </c>
      <c r="E7227" t="s">
        <v>441</v>
      </c>
      <c r="F7227" t="s">
        <v>413</v>
      </c>
      <c r="G7227">
        <v>2823</v>
      </c>
      <c r="H7227">
        <v>2823</v>
      </c>
      <c r="I7227">
        <v>2678</v>
      </c>
      <c r="J7227">
        <v>2678</v>
      </c>
      <c r="K7227">
        <v>1117</v>
      </c>
      <c r="L7227">
        <v>12</v>
      </c>
      <c r="M7227">
        <v>1614</v>
      </c>
      <c r="N7227">
        <v>80</v>
      </c>
      <c r="O7227">
        <v>0</v>
      </c>
      <c r="P7227">
        <v>2</v>
      </c>
      <c r="Q7227">
        <v>0</v>
      </c>
    </row>
    <row r="7228" spans="1:17" x14ac:dyDescent="0.2">
      <c r="A7228" s="121">
        <v>41639</v>
      </c>
      <c r="B7228" t="s">
        <v>406</v>
      </c>
      <c r="C7228" t="s">
        <v>442</v>
      </c>
      <c r="D7228" t="s">
        <v>443</v>
      </c>
      <c r="E7228" t="s">
        <v>444</v>
      </c>
      <c r="F7228" t="s">
        <v>413</v>
      </c>
      <c r="G7228">
        <v>4838</v>
      </c>
      <c r="H7228">
        <v>4838</v>
      </c>
      <c r="I7228">
        <v>4739</v>
      </c>
      <c r="J7228">
        <v>4739</v>
      </c>
      <c r="K7228">
        <v>1395</v>
      </c>
      <c r="L7228">
        <v>16</v>
      </c>
      <c r="M7228">
        <v>3218</v>
      </c>
      <c r="N7228">
        <v>123</v>
      </c>
      <c r="O7228">
        <v>86</v>
      </c>
      <c r="P7228">
        <v>3</v>
      </c>
      <c r="Q7228">
        <v>0</v>
      </c>
    </row>
    <row r="7229" spans="1:17" x14ac:dyDescent="0.2">
      <c r="A7229" s="121">
        <v>41639</v>
      </c>
      <c r="B7229" t="s">
        <v>406</v>
      </c>
      <c r="C7229" t="s">
        <v>442</v>
      </c>
      <c r="D7229" t="s">
        <v>445</v>
      </c>
      <c r="E7229" t="s">
        <v>446</v>
      </c>
      <c r="F7229" t="s">
        <v>410</v>
      </c>
      <c r="G7229">
        <v>129</v>
      </c>
      <c r="I7229">
        <v>129</v>
      </c>
    </row>
    <row r="7230" spans="1:17" x14ac:dyDescent="0.2">
      <c r="A7230" s="121">
        <v>41639</v>
      </c>
      <c r="B7230" t="s">
        <v>406</v>
      </c>
      <c r="C7230" t="s">
        <v>442</v>
      </c>
      <c r="D7230" t="s">
        <v>447</v>
      </c>
      <c r="E7230" t="s">
        <v>448</v>
      </c>
      <c r="F7230" t="s">
        <v>410</v>
      </c>
      <c r="G7230">
        <v>298</v>
      </c>
      <c r="I7230">
        <v>298</v>
      </c>
    </row>
    <row r="7231" spans="1:17" x14ac:dyDescent="0.2">
      <c r="A7231" s="121">
        <v>41639</v>
      </c>
      <c r="B7231" t="s">
        <v>406</v>
      </c>
      <c r="C7231" t="s">
        <v>442</v>
      </c>
      <c r="D7231" t="s">
        <v>449</v>
      </c>
      <c r="E7231" t="s">
        <v>624</v>
      </c>
      <c r="F7231" t="s">
        <v>410</v>
      </c>
      <c r="G7231">
        <v>1381</v>
      </c>
      <c r="H7231">
        <v>1381</v>
      </c>
      <c r="I7231">
        <v>1381</v>
      </c>
      <c r="J7231">
        <v>1381</v>
      </c>
      <c r="K7231">
        <v>6</v>
      </c>
      <c r="L7231">
        <v>0</v>
      </c>
      <c r="M7231">
        <v>1193</v>
      </c>
      <c r="N7231">
        <v>176</v>
      </c>
      <c r="O7231">
        <v>6</v>
      </c>
      <c r="P7231">
        <v>0</v>
      </c>
      <c r="Q7231">
        <v>0</v>
      </c>
    </row>
    <row r="7232" spans="1:17" x14ac:dyDescent="0.2">
      <c r="A7232" s="121">
        <v>41639</v>
      </c>
      <c r="B7232" t="s">
        <v>406</v>
      </c>
      <c r="C7232" t="s">
        <v>451</v>
      </c>
      <c r="D7232" t="s">
        <v>454</v>
      </c>
      <c r="E7232" t="s">
        <v>621</v>
      </c>
      <c r="F7232" t="s">
        <v>410</v>
      </c>
      <c r="G7232">
        <v>963</v>
      </c>
      <c r="H7232">
        <v>963</v>
      </c>
      <c r="I7232">
        <v>963</v>
      </c>
      <c r="J7232">
        <v>963</v>
      </c>
      <c r="K7232">
        <v>0</v>
      </c>
      <c r="L7232">
        <v>0</v>
      </c>
      <c r="M7232">
        <v>494</v>
      </c>
      <c r="N7232">
        <v>51</v>
      </c>
      <c r="O7232">
        <v>418</v>
      </c>
      <c r="P7232">
        <v>0</v>
      </c>
      <c r="Q7232">
        <v>0</v>
      </c>
    </row>
    <row r="7233" spans="1:17" x14ac:dyDescent="0.2">
      <c r="A7233" s="121">
        <v>41639</v>
      </c>
      <c r="B7233" t="s">
        <v>406</v>
      </c>
      <c r="C7233" t="s">
        <v>451</v>
      </c>
      <c r="D7233" t="s">
        <v>622</v>
      </c>
      <c r="E7233" t="s">
        <v>623</v>
      </c>
      <c r="F7233" t="s">
        <v>413</v>
      </c>
      <c r="G7233">
        <v>4646</v>
      </c>
      <c r="H7233">
        <v>4646</v>
      </c>
      <c r="I7233">
        <v>4285</v>
      </c>
      <c r="J7233">
        <v>4285</v>
      </c>
      <c r="K7233">
        <v>1283</v>
      </c>
      <c r="L7233">
        <v>6</v>
      </c>
      <c r="M7233">
        <v>1358</v>
      </c>
      <c r="N7233">
        <v>29</v>
      </c>
      <c r="O7233">
        <v>1970</v>
      </c>
      <c r="P7233">
        <v>19</v>
      </c>
      <c r="Q7233">
        <v>0</v>
      </c>
    </row>
    <row r="7234" spans="1:17" x14ac:dyDescent="0.2">
      <c r="A7234" s="121">
        <v>41639</v>
      </c>
      <c r="B7234" t="s">
        <v>406</v>
      </c>
      <c r="C7234" t="s">
        <v>456</v>
      </c>
      <c r="D7234" t="s">
        <v>457</v>
      </c>
      <c r="E7234" t="s">
        <v>458</v>
      </c>
      <c r="F7234" t="s">
        <v>413</v>
      </c>
      <c r="G7234">
        <v>5112</v>
      </c>
      <c r="H7234">
        <v>5112</v>
      </c>
      <c r="I7234">
        <v>4583</v>
      </c>
      <c r="J7234">
        <v>4583</v>
      </c>
      <c r="K7234">
        <v>1415</v>
      </c>
      <c r="L7234">
        <v>15</v>
      </c>
      <c r="M7234">
        <v>3204</v>
      </c>
      <c r="N7234">
        <v>26</v>
      </c>
      <c r="O7234">
        <v>452</v>
      </c>
      <c r="P7234">
        <v>26</v>
      </c>
      <c r="Q7234">
        <v>1</v>
      </c>
    </row>
    <row r="7235" spans="1:17" x14ac:dyDescent="0.2">
      <c r="A7235" s="121">
        <v>41639</v>
      </c>
      <c r="B7235" t="s">
        <v>406</v>
      </c>
      <c r="C7235" t="s">
        <v>456</v>
      </c>
      <c r="D7235" t="s">
        <v>459</v>
      </c>
      <c r="E7235" t="s">
        <v>460</v>
      </c>
      <c r="F7235" t="s">
        <v>413</v>
      </c>
      <c r="G7235">
        <v>1326</v>
      </c>
      <c r="H7235">
        <v>1326</v>
      </c>
      <c r="I7235">
        <v>1313</v>
      </c>
      <c r="J7235">
        <v>1313</v>
      </c>
      <c r="K7235">
        <v>344</v>
      </c>
      <c r="L7235">
        <v>0</v>
      </c>
      <c r="M7235">
        <v>979</v>
      </c>
      <c r="N7235">
        <v>0</v>
      </c>
      <c r="O7235">
        <v>3</v>
      </c>
      <c r="P7235">
        <v>0</v>
      </c>
      <c r="Q7235">
        <v>0</v>
      </c>
    </row>
    <row r="7236" spans="1:17" x14ac:dyDescent="0.2">
      <c r="A7236" s="121">
        <v>41639</v>
      </c>
      <c r="B7236" t="s">
        <v>406</v>
      </c>
      <c r="C7236" t="s">
        <v>456</v>
      </c>
      <c r="D7236" t="s">
        <v>461</v>
      </c>
      <c r="E7236" t="s">
        <v>462</v>
      </c>
      <c r="F7236" t="s">
        <v>410</v>
      </c>
      <c r="G7236">
        <v>88</v>
      </c>
      <c r="I7236">
        <v>88</v>
      </c>
    </row>
    <row r="7237" spans="1:17" x14ac:dyDescent="0.2">
      <c r="A7237" s="121">
        <v>41639</v>
      </c>
      <c r="B7237" t="s">
        <v>406</v>
      </c>
      <c r="C7237" t="s">
        <v>456</v>
      </c>
      <c r="D7237" t="s">
        <v>463</v>
      </c>
      <c r="E7237" t="s">
        <v>464</v>
      </c>
      <c r="F7237" t="s">
        <v>410</v>
      </c>
      <c r="G7237">
        <v>17</v>
      </c>
      <c r="I7237">
        <v>17</v>
      </c>
    </row>
    <row r="7238" spans="1:17" x14ac:dyDescent="0.2">
      <c r="A7238" s="121">
        <v>41639</v>
      </c>
      <c r="B7238" t="s">
        <v>406</v>
      </c>
      <c r="C7238" t="s">
        <v>456</v>
      </c>
      <c r="D7238" t="s">
        <v>465</v>
      </c>
      <c r="E7238" t="s">
        <v>466</v>
      </c>
      <c r="F7238" t="s">
        <v>410</v>
      </c>
      <c r="G7238">
        <v>61</v>
      </c>
      <c r="I7238">
        <v>61</v>
      </c>
    </row>
    <row r="7239" spans="1:17" x14ac:dyDescent="0.2">
      <c r="A7239" s="121">
        <v>41639</v>
      </c>
      <c r="B7239" t="s">
        <v>406</v>
      </c>
      <c r="C7239" t="s">
        <v>456</v>
      </c>
      <c r="D7239" t="s">
        <v>467</v>
      </c>
      <c r="E7239" t="s">
        <v>468</v>
      </c>
      <c r="F7239" t="s">
        <v>410</v>
      </c>
      <c r="G7239">
        <v>1305</v>
      </c>
      <c r="I7239">
        <v>1303</v>
      </c>
    </row>
    <row r="7240" spans="1:17" x14ac:dyDescent="0.2">
      <c r="A7240" s="121">
        <v>41639</v>
      </c>
      <c r="B7240" t="s">
        <v>406</v>
      </c>
      <c r="C7240" t="s">
        <v>456</v>
      </c>
      <c r="D7240" t="s">
        <v>469</v>
      </c>
      <c r="E7240" t="s">
        <v>470</v>
      </c>
      <c r="F7240" t="s">
        <v>410</v>
      </c>
      <c r="G7240">
        <v>925</v>
      </c>
      <c r="I7240">
        <v>923</v>
      </c>
    </row>
    <row r="7241" spans="1:17" x14ac:dyDescent="0.2">
      <c r="A7241" s="121">
        <v>41639</v>
      </c>
      <c r="B7241" t="s">
        <v>406</v>
      </c>
      <c r="C7241" t="s">
        <v>456</v>
      </c>
      <c r="D7241" t="s">
        <v>471</v>
      </c>
      <c r="E7241" t="s">
        <v>472</v>
      </c>
      <c r="F7241" t="s">
        <v>410</v>
      </c>
      <c r="G7241">
        <v>286</v>
      </c>
      <c r="I7241">
        <v>282</v>
      </c>
    </row>
    <row r="7242" spans="1:17" x14ac:dyDescent="0.2">
      <c r="A7242" s="121">
        <v>41639</v>
      </c>
      <c r="B7242" t="s">
        <v>406</v>
      </c>
      <c r="C7242" t="s">
        <v>456</v>
      </c>
      <c r="D7242" t="s">
        <v>473</v>
      </c>
      <c r="E7242" t="s">
        <v>474</v>
      </c>
      <c r="F7242" t="s">
        <v>410</v>
      </c>
      <c r="G7242">
        <v>157</v>
      </c>
      <c r="I7242">
        <v>157</v>
      </c>
    </row>
    <row r="7243" spans="1:17" x14ac:dyDescent="0.2">
      <c r="A7243" s="121">
        <v>41639</v>
      </c>
      <c r="B7243" t="s">
        <v>406</v>
      </c>
      <c r="C7243" t="s">
        <v>456</v>
      </c>
      <c r="D7243" t="s">
        <v>475</v>
      </c>
      <c r="E7243" t="s">
        <v>476</v>
      </c>
      <c r="F7243" t="s">
        <v>410</v>
      </c>
      <c r="G7243">
        <v>249</v>
      </c>
      <c r="I7243">
        <v>246</v>
      </c>
    </row>
    <row r="7244" spans="1:17" x14ac:dyDescent="0.2">
      <c r="A7244" s="121">
        <v>41639</v>
      </c>
      <c r="B7244" t="s">
        <v>406</v>
      </c>
      <c r="C7244" t="s">
        <v>456</v>
      </c>
      <c r="D7244" t="s">
        <v>477</v>
      </c>
      <c r="E7244" t="s">
        <v>478</v>
      </c>
      <c r="F7244" t="s">
        <v>413</v>
      </c>
      <c r="G7244">
        <v>2102</v>
      </c>
      <c r="H7244">
        <v>2102</v>
      </c>
      <c r="I7244">
        <v>2033</v>
      </c>
      <c r="J7244">
        <v>2033</v>
      </c>
      <c r="K7244">
        <v>473</v>
      </c>
      <c r="L7244">
        <v>1</v>
      </c>
      <c r="M7244">
        <v>1610</v>
      </c>
      <c r="N7244">
        <v>18</v>
      </c>
      <c r="O7244">
        <v>0</v>
      </c>
      <c r="P7244">
        <v>2</v>
      </c>
      <c r="Q7244">
        <v>0</v>
      </c>
    </row>
    <row r="7245" spans="1:17" x14ac:dyDescent="0.2">
      <c r="A7245" s="121">
        <v>41639</v>
      </c>
      <c r="B7245" t="s">
        <v>406</v>
      </c>
      <c r="C7245" t="s">
        <v>456</v>
      </c>
      <c r="D7245" t="s">
        <v>479</v>
      </c>
      <c r="E7245" t="s">
        <v>480</v>
      </c>
      <c r="F7245" t="s">
        <v>410</v>
      </c>
      <c r="G7245">
        <v>55</v>
      </c>
      <c r="I7245">
        <v>55</v>
      </c>
    </row>
    <row r="7246" spans="1:17" x14ac:dyDescent="0.2">
      <c r="A7246" s="121">
        <v>41639</v>
      </c>
      <c r="B7246" t="s">
        <v>406</v>
      </c>
      <c r="C7246" t="s">
        <v>456</v>
      </c>
      <c r="D7246" t="s">
        <v>481</v>
      </c>
      <c r="E7246" t="s">
        <v>482</v>
      </c>
      <c r="F7246" t="s">
        <v>410</v>
      </c>
      <c r="G7246">
        <v>40</v>
      </c>
      <c r="I7246">
        <v>40</v>
      </c>
    </row>
    <row r="7247" spans="1:17" x14ac:dyDescent="0.2">
      <c r="A7247" s="121">
        <v>41639</v>
      </c>
      <c r="B7247" t="s">
        <v>406</v>
      </c>
      <c r="C7247" t="s">
        <v>456</v>
      </c>
      <c r="D7247" t="s">
        <v>483</v>
      </c>
      <c r="E7247" t="s">
        <v>484</v>
      </c>
      <c r="F7247" t="s">
        <v>410</v>
      </c>
      <c r="G7247">
        <v>79</v>
      </c>
      <c r="I7247">
        <v>79</v>
      </c>
    </row>
    <row r="7248" spans="1:17" x14ac:dyDescent="0.2">
      <c r="A7248" s="121">
        <v>41639</v>
      </c>
      <c r="B7248" t="s">
        <v>406</v>
      </c>
      <c r="C7248" t="s">
        <v>456</v>
      </c>
      <c r="D7248" t="s">
        <v>485</v>
      </c>
      <c r="E7248" t="s">
        <v>486</v>
      </c>
      <c r="F7248" t="s">
        <v>410</v>
      </c>
      <c r="G7248">
        <v>19</v>
      </c>
      <c r="I7248">
        <v>19</v>
      </c>
    </row>
    <row r="7249" spans="1:17" x14ac:dyDescent="0.2">
      <c r="A7249" s="121">
        <v>41639</v>
      </c>
      <c r="B7249" t="s">
        <v>406</v>
      </c>
      <c r="C7249" t="s">
        <v>456</v>
      </c>
      <c r="D7249" t="s">
        <v>487</v>
      </c>
      <c r="E7249" t="s">
        <v>488</v>
      </c>
      <c r="F7249" t="s">
        <v>410</v>
      </c>
      <c r="G7249">
        <v>17</v>
      </c>
      <c r="I7249">
        <v>17</v>
      </c>
    </row>
    <row r="7250" spans="1:17" x14ac:dyDescent="0.2">
      <c r="A7250" s="121">
        <v>41639</v>
      </c>
      <c r="B7250" t="s">
        <v>406</v>
      </c>
      <c r="C7250" t="s">
        <v>456</v>
      </c>
      <c r="D7250" t="s">
        <v>489</v>
      </c>
      <c r="E7250" t="s">
        <v>490</v>
      </c>
      <c r="F7250" t="s">
        <v>410</v>
      </c>
      <c r="G7250">
        <v>84</v>
      </c>
      <c r="I7250">
        <v>84</v>
      </c>
    </row>
    <row r="7251" spans="1:17" x14ac:dyDescent="0.2">
      <c r="A7251" s="121">
        <v>41639</v>
      </c>
      <c r="B7251" t="s">
        <v>406</v>
      </c>
      <c r="C7251" t="s">
        <v>491</v>
      </c>
      <c r="D7251" t="s">
        <v>492</v>
      </c>
      <c r="E7251" t="s">
        <v>493</v>
      </c>
      <c r="F7251" t="s">
        <v>410</v>
      </c>
      <c r="G7251">
        <v>1136</v>
      </c>
      <c r="H7251">
        <v>1136</v>
      </c>
      <c r="I7251">
        <v>1107</v>
      </c>
      <c r="J7251">
        <v>1107</v>
      </c>
      <c r="K7251">
        <v>249</v>
      </c>
      <c r="L7251">
        <v>2</v>
      </c>
      <c r="M7251">
        <v>828</v>
      </c>
      <c r="N7251">
        <v>50</v>
      </c>
      <c r="O7251">
        <v>7</v>
      </c>
      <c r="P7251">
        <v>0</v>
      </c>
      <c r="Q7251">
        <v>0</v>
      </c>
    </row>
    <row r="7252" spans="1:17" x14ac:dyDescent="0.2">
      <c r="A7252" s="121">
        <v>41639</v>
      </c>
      <c r="B7252" t="s">
        <v>406</v>
      </c>
      <c r="C7252" t="s">
        <v>491</v>
      </c>
      <c r="D7252" t="s">
        <v>494</v>
      </c>
      <c r="E7252" t="s">
        <v>495</v>
      </c>
      <c r="F7252" t="s">
        <v>413</v>
      </c>
      <c r="G7252">
        <v>2444</v>
      </c>
      <c r="H7252">
        <v>2444</v>
      </c>
      <c r="I7252">
        <v>2291</v>
      </c>
      <c r="J7252">
        <v>2291</v>
      </c>
      <c r="K7252">
        <v>774</v>
      </c>
      <c r="L7252">
        <v>5</v>
      </c>
      <c r="M7252">
        <v>1518</v>
      </c>
      <c r="N7252">
        <v>23</v>
      </c>
      <c r="O7252">
        <v>124</v>
      </c>
      <c r="P7252">
        <v>1</v>
      </c>
      <c r="Q7252">
        <v>0</v>
      </c>
    </row>
    <row r="7253" spans="1:17" x14ac:dyDescent="0.2">
      <c r="A7253" s="121">
        <v>41639</v>
      </c>
      <c r="B7253" t="s">
        <v>406</v>
      </c>
      <c r="C7253" t="s">
        <v>491</v>
      </c>
      <c r="D7253" t="s">
        <v>496</v>
      </c>
      <c r="E7253" t="s">
        <v>497</v>
      </c>
      <c r="F7253" t="s">
        <v>413</v>
      </c>
      <c r="G7253">
        <v>5377</v>
      </c>
      <c r="H7253">
        <v>5377</v>
      </c>
      <c r="I7253">
        <v>4748</v>
      </c>
      <c r="J7253">
        <v>4748</v>
      </c>
      <c r="K7253">
        <v>1995</v>
      </c>
      <c r="L7253">
        <v>10</v>
      </c>
      <c r="M7253">
        <v>3117</v>
      </c>
      <c r="N7253">
        <v>124</v>
      </c>
      <c r="O7253">
        <v>131</v>
      </c>
      <c r="P7253">
        <v>21</v>
      </c>
      <c r="Q7253">
        <v>0</v>
      </c>
    </row>
    <row r="7254" spans="1:17" x14ac:dyDescent="0.2">
      <c r="A7254" s="121">
        <v>41639</v>
      </c>
      <c r="B7254" t="s">
        <v>406</v>
      </c>
      <c r="C7254" t="s">
        <v>491</v>
      </c>
      <c r="D7254" t="s">
        <v>498</v>
      </c>
      <c r="E7254" t="s">
        <v>499</v>
      </c>
      <c r="F7254" t="s">
        <v>413</v>
      </c>
      <c r="G7254">
        <v>6643</v>
      </c>
      <c r="H7254">
        <v>6643</v>
      </c>
      <c r="I7254">
        <v>5848</v>
      </c>
      <c r="J7254">
        <v>5848</v>
      </c>
      <c r="K7254">
        <v>2394</v>
      </c>
      <c r="L7254">
        <v>27</v>
      </c>
      <c r="M7254">
        <v>3752</v>
      </c>
      <c r="N7254">
        <v>81</v>
      </c>
      <c r="O7254">
        <v>389</v>
      </c>
      <c r="P7254">
        <v>10</v>
      </c>
      <c r="Q7254">
        <v>0</v>
      </c>
    </row>
    <row r="7255" spans="1:17" x14ac:dyDescent="0.2">
      <c r="A7255" s="121">
        <v>41639</v>
      </c>
      <c r="B7255" t="s">
        <v>406</v>
      </c>
      <c r="C7255" t="s">
        <v>491</v>
      </c>
      <c r="D7255" t="s">
        <v>500</v>
      </c>
      <c r="E7255" t="s">
        <v>620</v>
      </c>
      <c r="F7255" t="s">
        <v>410</v>
      </c>
      <c r="G7255">
        <v>1096</v>
      </c>
      <c r="H7255">
        <v>1096</v>
      </c>
      <c r="I7255">
        <v>1095</v>
      </c>
      <c r="J7255">
        <v>1095</v>
      </c>
      <c r="K7255">
        <v>0</v>
      </c>
      <c r="L7255">
        <v>1</v>
      </c>
      <c r="M7255">
        <v>1016</v>
      </c>
      <c r="N7255">
        <v>65</v>
      </c>
      <c r="O7255">
        <v>14</v>
      </c>
      <c r="P7255">
        <v>0</v>
      </c>
      <c r="Q7255">
        <v>0</v>
      </c>
    </row>
    <row r="7256" spans="1:17" x14ac:dyDescent="0.2">
      <c r="A7256" s="121">
        <v>41639</v>
      </c>
      <c r="B7256" t="s">
        <v>406</v>
      </c>
      <c r="C7256" t="s">
        <v>491</v>
      </c>
      <c r="D7256" t="s">
        <v>502</v>
      </c>
      <c r="E7256" t="s">
        <v>615</v>
      </c>
      <c r="F7256" t="s">
        <v>410</v>
      </c>
      <c r="G7256">
        <v>1517</v>
      </c>
      <c r="H7256">
        <v>1517</v>
      </c>
      <c r="I7256">
        <v>1517</v>
      </c>
      <c r="J7256">
        <v>1517</v>
      </c>
      <c r="K7256">
        <v>1</v>
      </c>
      <c r="L7256">
        <v>3</v>
      </c>
      <c r="M7256">
        <v>1418</v>
      </c>
      <c r="N7256">
        <v>91</v>
      </c>
      <c r="O7256">
        <v>4</v>
      </c>
      <c r="P7256">
        <v>0</v>
      </c>
      <c r="Q7256">
        <v>0</v>
      </c>
    </row>
    <row r="7257" spans="1:17" x14ac:dyDescent="0.2">
      <c r="A7257" s="121">
        <v>41639</v>
      </c>
      <c r="B7257" t="s">
        <v>406</v>
      </c>
      <c r="C7257" t="s">
        <v>491</v>
      </c>
      <c r="D7257" t="s">
        <v>502</v>
      </c>
      <c r="E7257" t="s">
        <v>503</v>
      </c>
      <c r="F7257" t="s">
        <v>413</v>
      </c>
      <c r="G7257">
        <v>4740</v>
      </c>
      <c r="H7257">
        <v>4740</v>
      </c>
      <c r="I7257">
        <v>4239</v>
      </c>
      <c r="J7257">
        <v>4239</v>
      </c>
      <c r="K7257">
        <v>1530</v>
      </c>
      <c r="L7257">
        <v>11</v>
      </c>
      <c r="M7257">
        <v>2877</v>
      </c>
      <c r="N7257">
        <v>248</v>
      </c>
      <c r="O7257">
        <v>74</v>
      </c>
      <c r="P7257">
        <v>31</v>
      </c>
      <c r="Q7257">
        <v>7</v>
      </c>
    </row>
    <row r="7258" spans="1:17" x14ac:dyDescent="0.2">
      <c r="A7258" s="121">
        <v>41639</v>
      </c>
      <c r="B7258" t="s">
        <v>406</v>
      </c>
      <c r="C7258" t="s">
        <v>491</v>
      </c>
      <c r="D7258" t="s">
        <v>504</v>
      </c>
      <c r="E7258" t="s">
        <v>505</v>
      </c>
      <c r="F7258" t="s">
        <v>413</v>
      </c>
      <c r="G7258">
        <v>3742</v>
      </c>
      <c r="H7258">
        <v>3742</v>
      </c>
      <c r="I7258">
        <v>3491</v>
      </c>
      <c r="J7258">
        <v>3491</v>
      </c>
      <c r="K7258">
        <v>1131</v>
      </c>
      <c r="L7258">
        <v>3</v>
      </c>
      <c r="M7258">
        <v>2442</v>
      </c>
      <c r="N7258">
        <v>122</v>
      </c>
      <c r="O7258">
        <v>44</v>
      </c>
      <c r="P7258">
        <v>6</v>
      </c>
      <c r="Q7258">
        <v>0</v>
      </c>
    </row>
    <row r="7259" spans="1:17" x14ac:dyDescent="0.2">
      <c r="A7259" s="121">
        <v>41639</v>
      </c>
      <c r="B7259" t="s">
        <v>406</v>
      </c>
      <c r="C7259" t="s">
        <v>491</v>
      </c>
      <c r="D7259" t="s">
        <v>506</v>
      </c>
      <c r="E7259" t="s">
        <v>507</v>
      </c>
      <c r="F7259" t="s">
        <v>413</v>
      </c>
      <c r="G7259">
        <v>3932</v>
      </c>
      <c r="H7259">
        <v>3932</v>
      </c>
      <c r="I7259">
        <v>3856</v>
      </c>
      <c r="J7259">
        <v>3856</v>
      </c>
      <c r="K7259">
        <v>1159</v>
      </c>
      <c r="L7259">
        <v>3</v>
      </c>
      <c r="M7259">
        <v>2764</v>
      </c>
      <c r="N7259">
        <v>0</v>
      </c>
      <c r="O7259">
        <v>6</v>
      </c>
      <c r="P7259">
        <v>1</v>
      </c>
      <c r="Q7259">
        <v>0</v>
      </c>
    </row>
    <row r="7260" spans="1:17" x14ac:dyDescent="0.2">
      <c r="A7260" s="121">
        <v>41639</v>
      </c>
      <c r="B7260" t="s">
        <v>406</v>
      </c>
      <c r="C7260" t="s">
        <v>491</v>
      </c>
      <c r="D7260" t="s">
        <v>508</v>
      </c>
      <c r="E7260" t="s">
        <v>509</v>
      </c>
      <c r="F7260" t="s">
        <v>413</v>
      </c>
      <c r="G7260">
        <v>4784</v>
      </c>
      <c r="H7260">
        <v>4784</v>
      </c>
      <c r="I7260">
        <v>3897</v>
      </c>
      <c r="J7260">
        <v>3897</v>
      </c>
      <c r="K7260">
        <v>1660</v>
      </c>
      <c r="L7260">
        <v>11</v>
      </c>
      <c r="M7260">
        <v>2781</v>
      </c>
      <c r="N7260">
        <v>112</v>
      </c>
      <c r="O7260">
        <v>220</v>
      </c>
      <c r="P7260">
        <v>88</v>
      </c>
      <c r="Q7260">
        <v>0</v>
      </c>
    </row>
    <row r="7261" spans="1:17" x14ac:dyDescent="0.2">
      <c r="A7261" s="121">
        <v>41639</v>
      </c>
      <c r="B7261" t="s">
        <v>406</v>
      </c>
      <c r="C7261" t="s">
        <v>510</v>
      </c>
      <c r="D7261" t="s">
        <v>513</v>
      </c>
      <c r="E7261" t="s">
        <v>514</v>
      </c>
      <c r="F7261" t="s">
        <v>410</v>
      </c>
      <c r="G7261">
        <v>520</v>
      </c>
      <c r="I7261">
        <v>513</v>
      </c>
    </row>
    <row r="7262" spans="1:17" x14ac:dyDescent="0.2">
      <c r="A7262" s="121">
        <v>41639</v>
      </c>
      <c r="B7262" t="s">
        <v>406</v>
      </c>
      <c r="C7262" t="s">
        <v>510</v>
      </c>
      <c r="D7262" t="s">
        <v>515</v>
      </c>
      <c r="E7262" t="s">
        <v>516</v>
      </c>
      <c r="F7262" t="s">
        <v>410</v>
      </c>
      <c r="G7262">
        <v>93</v>
      </c>
      <c r="I7262">
        <v>87</v>
      </c>
    </row>
    <row r="7263" spans="1:17" x14ac:dyDescent="0.2">
      <c r="A7263" s="121">
        <v>41639</v>
      </c>
      <c r="B7263" t="s">
        <v>406</v>
      </c>
      <c r="C7263" t="s">
        <v>510</v>
      </c>
      <c r="D7263" t="s">
        <v>519</v>
      </c>
      <c r="E7263" t="s">
        <v>520</v>
      </c>
      <c r="F7263" t="s">
        <v>410</v>
      </c>
      <c r="G7263">
        <v>348</v>
      </c>
      <c r="I7263">
        <v>326</v>
      </c>
    </row>
    <row r="7264" spans="1:17" x14ac:dyDescent="0.2">
      <c r="A7264" s="121">
        <v>41639</v>
      </c>
      <c r="B7264" t="s">
        <v>406</v>
      </c>
      <c r="C7264" t="s">
        <v>510</v>
      </c>
      <c r="D7264" t="s">
        <v>523</v>
      </c>
      <c r="E7264" t="s">
        <v>524</v>
      </c>
      <c r="F7264" t="s">
        <v>413</v>
      </c>
      <c r="G7264">
        <v>433</v>
      </c>
      <c r="H7264">
        <v>433</v>
      </c>
      <c r="I7264">
        <v>426</v>
      </c>
      <c r="J7264">
        <v>426</v>
      </c>
      <c r="K7264">
        <v>97</v>
      </c>
      <c r="L7264">
        <v>1</v>
      </c>
      <c r="M7264">
        <v>329</v>
      </c>
      <c r="N7264">
        <v>6</v>
      </c>
      <c r="O7264">
        <v>0</v>
      </c>
      <c r="P7264">
        <v>0</v>
      </c>
      <c r="Q7264">
        <v>0</v>
      </c>
    </row>
    <row r="7265" spans="1:17" x14ac:dyDescent="0.2">
      <c r="A7265" s="121">
        <v>41639</v>
      </c>
      <c r="B7265" t="s">
        <v>406</v>
      </c>
      <c r="C7265" t="s">
        <v>510</v>
      </c>
      <c r="D7265" t="s">
        <v>525</v>
      </c>
      <c r="E7265" t="s">
        <v>526</v>
      </c>
      <c r="F7265" t="s">
        <v>410</v>
      </c>
      <c r="G7265">
        <v>421</v>
      </c>
      <c r="I7265">
        <v>403</v>
      </c>
    </row>
    <row r="7266" spans="1:17" x14ac:dyDescent="0.2">
      <c r="A7266" s="121">
        <v>41639</v>
      </c>
      <c r="B7266" t="s">
        <v>406</v>
      </c>
      <c r="C7266" t="s">
        <v>510</v>
      </c>
      <c r="D7266" t="s">
        <v>527</v>
      </c>
      <c r="E7266" t="s">
        <v>528</v>
      </c>
      <c r="F7266" t="s">
        <v>410</v>
      </c>
      <c r="G7266">
        <v>175</v>
      </c>
      <c r="I7266">
        <v>175</v>
      </c>
    </row>
    <row r="7267" spans="1:17" x14ac:dyDescent="0.2">
      <c r="A7267" s="121">
        <v>41639</v>
      </c>
      <c r="B7267" t="s">
        <v>406</v>
      </c>
      <c r="C7267" t="s">
        <v>510</v>
      </c>
      <c r="D7267" t="s">
        <v>529</v>
      </c>
      <c r="E7267" t="s">
        <v>530</v>
      </c>
      <c r="F7267" t="s">
        <v>413</v>
      </c>
      <c r="G7267">
        <v>545</v>
      </c>
      <c r="H7267">
        <v>545</v>
      </c>
      <c r="I7267">
        <v>502</v>
      </c>
      <c r="J7267">
        <v>502</v>
      </c>
      <c r="K7267">
        <v>182</v>
      </c>
      <c r="L7267">
        <v>1</v>
      </c>
      <c r="M7267">
        <v>358</v>
      </c>
      <c r="N7267">
        <v>4</v>
      </c>
      <c r="O7267">
        <v>0</v>
      </c>
      <c r="P7267">
        <v>3</v>
      </c>
      <c r="Q7267">
        <v>1</v>
      </c>
    </row>
    <row r="7268" spans="1:17" x14ac:dyDescent="0.2">
      <c r="A7268" s="121">
        <v>41639</v>
      </c>
      <c r="B7268" t="s">
        <v>406</v>
      </c>
      <c r="C7268" t="s">
        <v>510</v>
      </c>
      <c r="D7268" t="s">
        <v>531</v>
      </c>
      <c r="E7268" t="s">
        <v>532</v>
      </c>
      <c r="F7268" t="s">
        <v>410</v>
      </c>
      <c r="G7268">
        <v>15</v>
      </c>
      <c r="I7268">
        <v>15</v>
      </c>
    </row>
    <row r="7269" spans="1:17" x14ac:dyDescent="0.2">
      <c r="A7269" s="121">
        <v>41639</v>
      </c>
      <c r="B7269" t="s">
        <v>406</v>
      </c>
      <c r="C7269" t="s">
        <v>510</v>
      </c>
      <c r="D7269" t="s">
        <v>533</v>
      </c>
      <c r="E7269" t="s">
        <v>534</v>
      </c>
      <c r="F7269" t="s">
        <v>413</v>
      </c>
      <c r="G7269">
        <v>2613</v>
      </c>
      <c r="H7269">
        <v>2613</v>
      </c>
      <c r="I7269">
        <v>2487</v>
      </c>
      <c r="J7269">
        <v>2487</v>
      </c>
      <c r="K7269">
        <v>703</v>
      </c>
      <c r="L7269">
        <v>2</v>
      </c>
      <c r="M7269">
        <v>1897</v>
      </c>
      <c r="N7269">
        <v>11</v>
      </c>
      <c r="O7269">
        <v>0</v>
      </c>
      <c r="P7269">
        <v>1</v>
      </c>
      <c r="Q7269">
        <v>0</v>
      </c>
    </row>
    <row r="7270" spans="1:17" x14ac:dyDescent="0.2">
      <c r="A7270" s="121">
        <v>41639</v>
      </c>
      <c r="B7270" t="s">
        <v>406</v>
      </c>
      <c r="C7270" t="s">
        <v>510</v>
      </c>
      <c r="D7270" t="s">
        <v>535</v>
      </c>
      <c r="E7270" t="s">
        <v>536</v>
      </c>
      <c r="F7270" t="s">
        <v>410</v>
      </c>
      <c r="G7270">
        <v>459</v>
      </c>
      <c r="I7270">
        <v>459</v>
      </c>
    </row>
    <row r="7271" spans="1:17" x14ac:dyDescent="0.2">
      <c r="A7271" s="121">
        <v>41639</v>
      </c>
      <c r="B7271" t="s">
        <v>406</v>
      </c>
      <c r="C7271" t="s">
        <v>510</v>
      </c>
      <c r="D7271" t="s">
        <v>537</v>
      </c>
      <c r="E7271" t="s">
        <v>538</v>
      </c>
      <c r="F7271" t="s">
        <v>410</v>
      </c>
      <c r="G7271">
        <v>83</v>
      </c>
      <c r="I7271">
        <v>83</v>
      </c>
    </row>
    <row r="7272" spans="1:17" x14ac:dyDescent="0.2">
      <c r="A7272" s="121">
        <v>41639</v>
      </c>
      <c r="B7272" t="s">
        <v>406</v>
      </c>
      <c r="C7272" t="s">
        <v>510</v>
      </c>
      <c r="D7272" t="s">
        <v>539</v>
      </c>
      <c r="E7272" t="s">
        <v>540</v>
      </c>
      <c r="F7272" t="s">
        <v>413</v>
      </c>
      <c r="G7272">
        <v>621</v>
      </c>
      <c r="H7272">
        <v>621</v>
      </c>
      <c r="I7272">
        <v>591</v>
      </c>
      <c r="J7272">
        <v>591</v>
      </c>
      <c r="K7272">
        <v>125</v>
      </c>
      <c r="L7272">
        <v>1</v>
      </c>
      <c r="M7272">
        <v>492</v>
      </c>
      <c r="N7272">
        <v>3</v>
      </c>
      <c r="O7272">
        <v>0</v>
      </c>
      <c r="P7272">
        <v>1</v>
      </c>
      <c r="Q7272">
        <v>0</v>
      </c>
    </row>
    <row r="7273" spans="1:17" x14ac:dyDescent="0.2">
      <c r="A7273" s="121">
        <v>41639</v>
      </c>
      <c r="B7273" t="s">
        <v>406</v>
      </c>
      <c r="C7273" t="s">
        <v>510</v>
      </c>
      <c r="D7273" t="s">
        <v>541</v>
      </c>
      <c r="E7273" t="s">
        <v>542</v>
      </c>
      <c r="F7273" t="s">
        <v>410</v>
      </c>
      <c r="G7273">
        <v>327</v>
      </c>
      <c r="I7273">
        <v>327</v>
      </c>
    </row>
    <row r="7274" spans="1:17" x14ac:dyDescent="0.2">
      <c r="A7274" s="121">
        <v>41639</v>
      </c>
      <c r="B7274" t="s">
        <v>406</v>
      </c>
      <c r="C7274" t="s">
        <v>510</v>
      </c>
      <c r="D7274" t="s">
        <v>543</v>
      </c>
      <c r="E7274" t="s">
        <v>544</v>
      </c>
      <c r="F7274" t="s">
        <v>410</v>
      </c>
      <c r="G7274">
        <v>188</v>
      </c>
      <c r="I7274">
        <v>188</v>
      </c>
    </row>
    <row r="7275" spans="1:17" x14ac:dyDescent="0.2">
      <c r="A7275" s="121">
        <v>41639</v>
      </c>
      <c r="B7275" t="s">
        <v>406</v>
      </c>
      <c r="C7275" t="s">
        <v>510</v>
      </c>
      <c r="D7275" t="s">
        <v>545</v>
      </c>
      <c r="E7275" t="s">
        <v>546</v>
      </c>
      <c r="F7275" t="s">
        <v>410</v>
      </c>
      <c r="G7275">
        <v>150</v>
      </c>
      <c r="I7275">
        <v>150</v>
      </c>
    </row>
    <row r="7276" spans="1:17" x14ac:dyDescent="0.2">
      <c r="A7276" s="121">
        <v>41639</v>
      </c>
      <c r="B7276" t="s">
        <v>406</v>
      </c>
      <c r="C7276" t="s">
        <v>510</v>
      </c>
      <c r="D7276" t="s">
        <v>547</v>
      </c>
      <c r="E7276" t="s">
        <v>548</v>
      </c>
      <c r="F7276" t="s">
        <v>410</v>
      </c>
      <c r="G7276">
        <v>91</v>
      </c>
      <c r="I7276">
        <v>91</v>
      </c>
    </row>
    <row r="7277" spans="1:17" x14ac:dyDescent="0.2">
      <c r="A7277" s="121">
        <v>41639</v>
      </c>
      <c r="B7277" t="s">
        <v>406</v>
      </c>
      <c r="C7277" t="s">
        <v>510</v>
      </c>
      <c r="D7277" t="s">
        <v>616</v>
      </c>
      <c r="E7277" t="s">
        <v>617</v>
      </c>
      <c r="F7277" t="s">
        <v>410</v>
      </c>
      <c r="G7277">
        <v>313</v>
      </c>
      <c r="I7277">
        <v>307</v>
      </c>
    </row>
    <row r="7278" spans="1:17" x14ac:dyDescent="0.2">
      <c r="A7278" s="121">
        <v>41639</v>
      </c>
      <c r="B7278" t="s">
        <v>406</v>
      </c>
      <c r="C7278" t="s">
        <v>510</v>
      </c>
      <c r="D7278" t="s">
        <v>549</v>
      </c>
      <c r="E7278" t="s">
        <v>550</v>
      </c>
      <c r="F7278" t="s">
        <v>410</v>
      </c>
      <c r="G7278">
        <v>128</v>
      </c>
      <c r="I7278">
        <v>128</v>
      </c>
    </row>
    <row r="7279" spans="1:17" x14ac:dyDescent="0.2">
      <c r="A7279" s="121">
        <v>41639</v>
      </c>
      <c r="B7279" t="s">
        <v>406</v>
      </c>
      <c r="C7279" t="s">
        <v>510</v>
      </c>
      <c r="D7279" t="s">
        <v>625</v>
      </c>
      <c r="E7279" t="s">
        <v>626</v>
      </c>
      <c r="F7279" t="s">
        <v>410</v>
      </c>
      <c r="G7279">
        <v>41</v>
      </c>
      <c r="I7279">
        <v>39</v>
      </c>
    </row>
    <row r="7280" spans="1:17" x14ac:dyDescent="0.2">
      <c r="A7280" s="121">
        <v>41639</v>
      </c>
      <c r="B7280" t="s">
        <v>406</v>
      </c>
      <c r="C7280" t="s">
        <v>551</v>
      </c>
      <c r="D7280" t="s">
        <v>552</v>
      </c>
      <c r="E7280" t="s">
        <v>553</v>
      </c>
      <c r="F7280" t="s">
        <v>413</v>
      </c>
      <c r="G7280">
        <v>5159</v>
      </c>
      <c r="H7280">
        <v>5159</v>
      </c>
      <c r="I7280">
        <v>4693</v>
      </c>
      <c r="J7280">
        <v>4693</v>
      </c>
      <c r="K7280">
        <v>1625</v>
      </c>
      <c r="L7280">
        <v>8</v>
      </c>
      <c r="M7280">
        <v>3224</v>
      </c>
      <c r="N7280">
        <v>186</v>
      </c>
      <c r="O7280">
        <v>116</v>
      </c>
      <c r="P7280">
        <v>6</v>
      </c>
      <c r="Q7280">
        <v>0</v>
      </c>
    </row>
    <row r="7281" spans="1:17" x14ac:dyDescent="0.2">
      <c r="A7281" s="121">
        <v>41639</v>
      </c>
      <c r="B7281" t="s">
        <v>406</v>
      </c>
      <c r="C7281" t="s">
        <v>551</v>
      </c>
      <c r="D7281" t="s">
        <v>554</v>
      </c>
      <c r="E7281" t="s">
        <v>555</v>
      </c>
      <c r="F7281" t="s">
        <v>410</v>
      </c>
      <c r="G7281">
        <v>63</v>
      </c>
      <c r="I7281">
        <v>63</v>
      </c>
    </row>
    <row r="7282" spans="1:17" x14ac:dyDescent="0.2">
      <c r="A7282" s="121">
        <v>41639</v>
      </c>
      <c r="B7282" t="s">
        <v>406</v>
      </c>
      <c r="C7282" t="s">
        <v>551</v>
      </c>
      <c r="D7282" t="s">
        <v>556</v>
      </c>
      <c r="E7282" t="s">
        <v>557</v>
      </c>
      <c r="F7282" t="s">
        <v>410</v>
      </c>
      <c r="G7282">
        <v>65</v>
      </c>
      <c r="I7282">
        <v>65</v>
      </c>
    </row>
    <row r="7283" spans="1:17" x14ac:dyDescent="0.2">
      <c r="A7283" s="121">
        <v>41639</v>
      </c>
      <c r="B7283" t="s">
        <v>406</v>
      </c>
      <c r="C7283" t="s">
        <v>551</v>
      </c>
      <c r="D7283" t="s">
        <v>558</v>
      </c>
      <c r="E7283" t="s">
        <v>559</v>
      </c>
      <c r="F7283" t="s">
        <v>413</v>
      </c>
      <c r="G7283">
        <v>4286</v>
      </c>
      <c r="H7283">
        <v>4286</v>
      </c>
      <c r="I7283">
        <v>3965</v>
      </c>
      <c r="J7283">
        <v>3965</v>
      </c>
      <c r="K7283">
        <v>1355</v>
      </c>
      <c r="L7283">
        <v>2</v>
      </c>
      <c r="M7283">
        <v>2789</v>
      </c>
      <c r="N7283">
        <v>131</v>
      </c>
      <c r="O7283">
        <v>9</v>
      </c>
      <c r="P7283">
        <v>38</v>
      </c>
      <c r="Q7283">
        <v>11</v>
      </c>
    </row>
    <row r="7284" spans="1:17" x14ac:dyDescent="0.2">
      <c r="A7284" s="121">
        <v>41639</v>
      </c>
      <c r="B7284" t="s">
        <v>406</v>
      </c>
      <c r="C7284" t="s">
        <v>551</v>
      </c>
      <c r="D7284" t="s">
        <v>560</v>
      </c>
      <c r="E7284" t="s">
        <v>561</v>
      </c>
      <c r="F7284" t="s">
        <v>413</v>
      </c>
      <c r="G7284">
        <v>4725</v>
      </c>
      <c r="H7284">
        <v>4725</v>
      </c>
      <c r="I7284">
        <v>4375</v>
      </c>
      <c r="J7284">
        <v>4375</v>
      </c>
      <c r="K7284">
        <v>1108</v>
      </c>
      <c r="L7284">
        <v>6</v>
      </c>
      <c r="M7284">
        <v>3315</v>
      </c>
      <c r="N7284">
        <v>232</v>
      </c>
      <c r="O7284">
        <v>64</v>
      </c>
      <c r="P7284">
        <v>30</v>
      </c>
      <c r="Q7284">
        <v>5</v>
      </c>
    </row>
    <row r="7285" spans="1:17" x14ac:dyDescent="0.2">
      <c r="A7285" s="121">
        <v>41639</v>
      </c>
      <c r="B7285" t="s">
        <v>406</v>
      </c>
      <c r="C7285" t="s">
        <v>562</v>
      </c>
      <c r="D7285" t="s">
        <v>605</v>
      </c>
      <c r="E7285" t="s">
        <v>606</v>
      </c>
      <c r="F7285" t="s">
        <v>410</v>
      </c>
      <c r="G7285">
        <v>71</v>
      </c>
      <c r="I7285">
        <v>71</v>
      </c>
    </row>
    <row r="7286" spans="1:17" x14ac:dyDescent="0.2">
      <c r="A7286" s="121">
        <v>41639</v>
      </c>
      <c r="B7286" t="s">
        <v>406</v>
      </c>
      <c r="C7286" t="s">
        <v>562</v>
      </c>
      <c r="D7286" t="s">
        <v>563</v>
      </c>
      <c r="E7286" t="s">
        <v>564</v>
      </c>
      <c r="F7286" t="s">
        <v>410</v>
      </c>
      <c r="G7286">
        <v>3076</v>
      </c>
      <c r="H7286">
        <v>3076</v>
      </c>
      <c r="I7286">
        <v>2688</v>
      </c>
      <c r="J7286">
        <v>2688</v>
      </c>
      <c r="K7286">
        <v>1130</v>
      </c>
      <c r="L7286">
        <v>1</v>
      </c>
      <c r="M7286">
        <v>1926</v>
      </c>
      <c r="N7286">
        <v>19</v>
      </c>
      <c r="O7286">
        <v>0</v>
      </c>
      <c r="P7286">
        <v>54</v>
      </c>
      <c r="Q7286">
        <v>0</v>
      </c>
    </row>
    <row r="7287" spans="1:17" x14ac:dyDescent="0.2">
      <c r="A7287" s="121">
        <v>41639</v>
      </c>
      <c r="B7287" t="s">
        <v>406</v>
      </c>
      <c r="C7287" t="s">
        <v>562</v>
      </c>
      <c r="D7287" t="s">
        <v>565</v>
      </c>
      <c r="E7287" t="s">
        <v>566</v>
      </c>
      <c r="F7287" t="s">
        <v>413</v>
      </c>
      <c r="G7287">
        <v>3956</v>
      </c>
      <c r="H7287">
        <v>3956</v>
      </c>
      <c r="I7287">
        <v>3740</v>
      </c>
      <c r="J7287">
        <v>3740</v>
      </c>
      <c r="K7287">
        <v>1019</v>
      </c>
      <c r="L7287">
        <v>7</v>
      </c>
      <c r="M7287">
        <v>2843</v>
      </c>
      <c r="N7287">
        <v>87</v>
      </c>
      <c r="O7287">
        <v>0</v>
      </c>
      <c r="P7287">
        <v>8</v>
      </c>
      <c r="Q7287">
        <v>0</v>
      </c>
    </row>
    <row r="7288" spans="1:17" x14ac:dyDescent="0.2">
      <c r="A7288" s="121">
        <v>41639</v>
      </c>
      <c r="B7288" t="s">
        <v>406</v>
      </c>
      <c r="C7288" t="s">
        <v>562</v>
      </c>
      <c r="D7288" t="s">
        <v>567</v>
      </c>
      <c r="E7288" t="s">
        <v>568</v>
      </c>
      <c r="F7288" t="s">
        <v>413</v>
      </c>
      <c r="G7288">
        <v>9080</v>
      </c>
      <c r="H7288">
        <v>9080</v>
      </c>
      <c r="I7288">
        <v>8224</v>
      </c>
      <c r="J7288">
        <v>8224</v>
      </c>
      <c r="K7288">
        <v>2824</v>
      </c>
      <c r="L7288">
        <v>21</v>
      </c>
      <c r="M7288">
        <v>6025</v>
      </c>
      <c r="N7288">
        <v>210</v>
      </c>
      <c r="O7288">
        <v>0</v>
      </c>
      <c r="P7288">
        <v>99</v>
      </c>
      <c r="Q7288">
        <v>17</v>
      </c>
    </row>
    <row r="7289" spans="1:17" x14ac:dyDescent="0.2">
      <c r="A7289" s="121">
        <v>41639</v>
      </c>
      <c r="B7289" t="s">
        <v>406</v>
      </c>
      <c r="C7289" t="s">
        <v>562</v>
      </c>
      <c r="D7289" t="s">
        <v>569</v>
      </c>
      <c r="E7289" t="s">
        <v>570</v>
      </c>
      <c r="F7289" t="s">
        <v>413</v>
      </c>
      <c r="G7289">
        <v>3599</v>
      </c>
      <c r="H7289">
        <v>3599</v>
      </c>
      <c r="I7289">
        <v>3536</v>
      </c>
      <c r="J7289">
        <v>3536</v>
      </c>
      <c r="K7289">
        <v>569</v>
      </c>
      <c r="L7289">
        <v>0</v>
      </c>
      <c r="M7289">
        <v>3030</v>
      </c>
      <c r="N7289">
        <v>0</v>
      </c>
      <c r="O7289">
        <v>0</v>
      </c>
      <c r="P7289">
        <v>2</v>
      </c>
      <c r="Q7289">
        <v>0</v>
      </c>
    </row>
    <row r="7290" spans="1:17" x14ac:dyDescent="0.2">
      <c r="A7290" s="121">
        <v>41639</v>
      </c>
      <c r="B7290" t="s">
        <v>406</v>
      </c>
      <c r="C7290" t="s">
        <v>571</v>
      </c>
      <c r="D7290" t="s">
        <v>572</v>
      </c>
      <c r="E7290" t="s">
        <v>573</v>
      </c>
      <c r="F7290" t="s">
        <v>410</v>
      </c>
      <c r="G7290">
        <v>394</v>
      </c>
      <c r="H7290">
        <v>394</v>
      </c>
      <c r="I7290">
        <v>389</v>
      </c>
      <c r="J7290">
        <v>389</v>
      </c>
      <c r="K7290">
        <v>131</v>
      </c>
      <c r="L7290">
        <v>0</v>
      </c>
      <c r="M7290">
        <v>260</v>
      </c>
      <c r="N7290">
        <v>3</v>
      </c>
      <c r="O7290">
        <v>0</v>
      </c>
      <c r="P7290">
        <v>0</v>
      </c>
      <c r="Q7290">
        <v>0</v>
      </c>
    </row>
    <row r="7291" spans="1:17" x14ac:dyDescent="0.2">
      <c r="A7291" s="121">
        <v>41639</v>
      </c>
      <c r="B7291" t="s">
        <v>406</v>
      </c>
      <c r="C7291" t="s">
        <v>574</v>
      </c>
      <c r="D7291" t="s">
        <v>575</v>
      </c>
      <c r="E7291" t="s">
        <v>576</v>
      </c>
      <c r="F7291" t="s">
        <v>413</v>
      </c>
      <c r="G7291">
        <v>637</v>
      </c>
      <c r="H7291">
        <v>637</v>
      </c>
      <c r="I7291">
        <v>627</v>
      </c>
      <c r="J7291">
        <v>627</v>
      </c>
      <c r="K7291">
        <v>180</v>
      </c>
      <c r="L7291">
        <v>1</v>
      </c>
      <c r="M7291">
        <v>426</v>
      </c>
      <c r="N7291">
        <v>2</v>
      </c>
      <c r="O7291">
        <v>28</v>
      </c>
      <c r="P7291">
        <v>0</v>
      </c>
      <c r="Q7291">
        <v>0</v>
      </c>
    </row>
    <row r="7292" spans="1:17" x14ac:dyDescent="0.2">
      <c r="A7292" s="121">
        <v>41639</v>
      </c>
      <c r="B7292" t="s">
        <v>406</v>
      </c>
      <c r="C7292" t="s">
        <v>577</v>
      </c>
      <c r="D7292" t="s">
        <v>578</v>
      </c>
      <c r="E7292" t="s">
        <v>579</v>
      </c>
      <c r="F7292" t="s">
        <v>413</v>
      </c>
      <c r="G7292">
        <v>3578</v>
      </c>
      <c r="H7292">
        <v>3578</v>
      </c>
      <c r="I7292">
        <v>3524</v>
      </c>
      <c r="J7292">
        <v>3524</v>
      </c>
      <c r="K7292">
        <v>947</v>
      </c>
      <c r="L7292">
        <v>8</v>
      </c>
      <c r="M7292">
        <v>2371</v>
      </c>
      <c r="N7292">
        <v>252</v>
      </c>
      <c r="O7292">
        <v>0</v>
      </c>
      <c r="P7292">
        <v>0</v>
      </c>
      <c r="Q7292">
        <v>0</v>
      </c>
    </row>
    <row r="7293" spans="1:17" x14ac:dyDescent="0.2">
      <c r="A7293" s="121">
        <v>41639</v>
      </c>
      <c r="B7293" t="s">
        <v>406</v>
      </c>
      <c r="C7293" t="s">
        <v>577</v>
      </c>
      <c r="D7293" t="s">
        <v>580</v>
      </c>
      <c r="E7293" t="s">
        <v>581</v>
      </c>
      <c r="F7293" t="s">
        <v>413</v>
      </c>
      <c r="G7293">
        <v>1886</v>
      </c>
      <c r="H7293">
        <v>1886</v>
      </c>
      <c r="I7293">
        <v>1871</v>
      </c>
      <c r="J7293">
        <v>1871</v>
      </c>
      <c r="K7293">
        <v>337</v>
      </c>
      <c r="L7293">
        <v>0</v>
      </c>
      <c r="M7293">
        <v>1173</v>
      </c>
      <c r="N7293">
        <v>329</v>
      </c>
      <c r="O7293">
        <v>47</v>
      </c>
      <c r="P7293">
        <v>0</v>
      </c>
      <c r="Q7293">
        <v>0</v>
      </c>
    </row>
    <row r="7294" spans="1:17" x14ac:dyDescent="0.2">
      <c r="A7294" s="121">
        <v>41639</v>
      </c>
      <c r="B7294" t="s">
        <v>406</v>
      </c>
      <c r="C7294" t="s">
        <v>577</v>
      </c>
      <c r="D7294" t="s">
        <v>609</v>
      </c>
      <c r="E7294" t="s">
        <v>610</v>
      </c>
      <c r="F7294" t="s">
        <v>410</v>
      </c>
      <c r="G7294">
        <v>20</v>
      </c>
      <c r="H7294">
        <v>20</v>
      </c>
      <c r="I7294">
        <v>20</v>
      </c>
      <c r="J7294">
        <v>20</v>
      </c>
      <c r="K7294">
        <v>0</v>
      </c>
      <c r="L7294">
        <v>0</v>
      </c>
      <c r="M7294">
        <v>18</v>
      </c>
      <c r="N7294">
        <v>1</v>
      </c>
      <c r="O7294">
        <v>1</v>
      </c>
      <c r="P7294">
        <v>0</v>
      </c>
      <c r="Q7294">
        <v>0</v>
      </c>
    </row>
    <row r="7295" spans="1:17" x14ac:dyDescent="0.2">
      <c r="A7295" s="121">
        <v>41639</v>
      </c>
      <c r="B7295" t="s">
        <v>406</v>
      </c>
      <c r="C7295" t="s">
        <v>577</v>
      </c>
      <c r="D7295" t="s">
        <v>611</v>
      </c>
      <c r="E7295" t="s">
        <v>612</v>
      </c>
      <c r="F7295" t="s">
        <v>410</v>
      </c>
      <c r="G7295">
        <v>5</v>
      </c>
      <c r="H7295">
        <v>5</v>
      </c>
      <c r="I7295">
        <v>5</v>
      </c>
      <c r="J7295">
        <v>5</v>
      </c>
      <c r="K7295">
        <v>0</v>
      </c>
      <c r="L7295">
        <v>0</v>
      </c>
      <c r="M7295">
        <v>2</v>
      </c>
      <c r="N7295">
        <v>0</v>
      </c>
      <c r="O7295">
        <v>3</v>
      </c>
      <c r="P7295">
        <v>0</v>
      </c>
      <c r="Q7295">
        <v>0</v>
      </c>
    </row>
    <row r="7296" spans="1:17" x14ac:dyDescent="0.2">
      <c r="A7296" s="121">
        <v>41639</v>
      </c>
      <c r="B7296" t="s">
        <v>406</v>
      </c>
      <c r="C7296" t="s">
        <v>577</v>
      </c>
      <c r="D7296" t="s">
        <v>584</v>
      </c>
      <c r="E7296" t="s">
        <v>585</v>
      </c>
      <c r="F7296" t="s">
        <v>410</v>
      </c>
      <c r="G7296">
        <v>270</v>
      </c>
      <c r="H7296">
        <v>270</v>
      </c>
      <c r="I7296">
        <v>269</v>
      </c>
      <c r="J7296">
        <v>269</v>
      </c>
      <c r="K7296">
        <v>0</v>
      </c>
      <c r="L7296">
        <v>0</v>
      </c>
      <c r="M7296">
        <v>246</v>
      </c>
      <c r="N7296">
        <v>20</v>
      </c>
      <c r="O7296">
        <v>4</v>
      </c>
      <c r="P7296">
        <v>0</v>
      </c>
      <c r="Q7296">
        <v>0</v>
      </c>
    </row>
    <row r="7297" spans="1:17" x14ac:dyDescent="0.2">
      <c r="A7297" s="121">
        <v>41639</v>
      </c>
      <c r="B7297" t="s">
        <v>406</v>
      </c>
      <c r="C7297" t="s">
        <v>577</v>
      </c>
      <c r="D7297" t="s">
        <v>586</v>
      </c>
      <c r="E7297" t="s">
        <v>587</v>
      </c>
      <c r="F7297" t="s">
        <v>410</v>
      </c>
      <c r="G7297">
        <v>1114</v>
      </c>
      <c r="H7297">
        <v>1114</v>
      </c>
      <c r="I7297">
        <v>1113</v>
      </c>
      <c r="J7297">
        <v>1113</v>
      </c>
      <c r="K7297">
        <v>0</v>
      </c>
      <c r="L7297">
        <v>0</v>
      </c>
      <c r="M7297">
        <v>992</v>
      </c>
      <c r="N7297">
        <v>121</v>
      </c>
      <c r="O7297">
        <v>1</v>
      </c>
      <c r="P7297">
        <v>0</v>
      </c>
      <c r="Q7297">
        <v>0</v>
      </c>
    </row>
    <row r="7298" spans="1:17" x14ac:dyDescent="0.2">
      <c r="A7298" s="121">
        <v>41639</v>
      </c>
      <c r="B7298" t="s">
        <v>406</v>
      </c>
      <c r="C7298" t="s">
        <v>577</v>
      </c>
      <c r="D7298" t="s">
        <v>588</v>
      </c>
      <c r="E7298" t="s">
        <v>589</v>
      </c>
      <c r="F7298" t="s">
        <v>410</v>
      </c>
      <c r="G7298">
        <v>253</v>
      </c>
      <c r="H7298">
        <v>253</v>
      </c>
      <c r="I7298">
        <v>253</v>
      </c>
      <c r="J7298">
        <v>253</v>
      </c>
      <c r="K7298">
        <v>0</v>
      </c>
      <c r="L7298">
        <v>0</v>
      </c>
      <c r="M7298">
        <v>231</v>
      </c>
      <c r="N7298">
        <v>21</v>
      </c>
      <c r="O7298">
        <v>1</v>
      </c>
      <c r="P7298">
        <v>0</v>
      </c>
      <c r="Q7298">
        <v>0</v>
      </c>
    </row>
    <row r="7299" spans="1:17" x14ac:dyDescent="0.2">
      <c r="A7299" s="121">
        <v>41639</v>
      </c>
      <c r="B7299" t="s">
        <v>406</v>
      </c>
      <c r="C7299" t="s">
        <v>577</v>
      </c>
      <c r="D7299" t="s">
        <v>613</v>
      </c>
      <c r="E7299" t="s">
        <v>614</v>
      </c>
      <c r="F7299" t="s">
        <v>410</v>
      </c>
      <c r="G7299">
        <v>133</v>
      </c>
      <c r="H7299">
        <v>133</v>
      </c>
      <c r="I7299">
        <v>133</v>
      </c>
      <c r="J7299">
        <v>133</v>
      </c>
      <c r="K7299">
        <v>0</v>
      </c>
      <c r="L7299">
        <v>0</v>
      </c>
      <c r="M7299">
        <v>122</v>
      </c>
      <c r="N7299">
        <v>8</v>
      </c>
      <c r="O7299">
        <v>3</v>
      </c>
      <c r="P7299">
        <v>0</v>
      </c>
      <c r="Q7299">
        <v>0</v>
      </c>
    </row>
    <row r="7300" spans="1:17" x14ac:dyDescent="0.2">
      <c r="A7300" s="121">
        <v>41639</v>
      </c>
      <c r="B7300" t="s">
        <v>406</v>
      </c>
      <c r="C7300" t="s">
        <v>577</v>
      </c>
      <c r="D7300" t="s">
        <v>590</v>
      </c>
      <c r="E7300" t="s">
        <v>591</v>
      </c>
      <c r="F7300" t="s">
        <v>410</v>
      </c>
      <c r="G7300">
        <v>561</v>
      </c>
      <c r="H7300">
        <v>561</v>
      </c>
      <c r="I7300">
        <v>561</v>
      </c>
      <c r="J7300">
        <v>561</v>
      </c>
      <c r="K7300">
        <v>0</v>
      </c>
      <c r="L7300">
        <v>0</v>
      </c>
      <c r="M7300">
        <v>545</v>
      </c>
      <c r="N7300">
        <v>15</v>
      </c>
      <c r="O7300">
        <v>1</v>
      </c>
      <c r="P7300">
        <v>0</v>
      </c>
      <c r="Q7300">
        <v>0</v>
      </c>
    </row>
    <row r="7301" spans="1:17" x14ac:dyDescent="0.2">
      <c r="A7301" s="121">
        <v>41639</v>
      </c>
      <c r="B7301" t="s">
        <v>406</v>
      </c>
      <c r="C7301" t="s">
        <v>577</v>
      </c>
      <c r="D7301" t="s">
        <v>607</v>
      </c>
      <c r="E7301" t="s">
        <v>608</v>
      </c>
      <c r="F7301" t="s">
        <v>410</v>
      </c>
      <c r="G7301">
        <v>143</v>
      </c>
      <c r="H7301">
        <v>143</v>
      </c>
      <c r="I7301">
        <v>143</v>
      </c>
      <c r="J7301">
        <v>143</v>
      </c>
      <c r="K7301">
        <v>0</v>
      </c>
      <c r="L7301">
        <v>0</v>
      </c>
      <c r="M7301">
        <v>124</v>
      </c>
      <c r="N7301">
        <v>17</v>
      </c>
      <c r="O7301">
        <v>2</v>
      </c>
      <c r="P7301">
        <v>0</v>
      </c>
      <c r="Q7301">
        <v>0</v>
      </c>
    </row>
    <row r="7302" spans="1:17" x14ac:dyDescent="0.2">
      <c r="A7302" s="121">
        <v>41639</v>
      </c>
      <c r="B7302" t="s">
        <v>406</v>
      </c>
      <c r="C7302" t="s">
        <v>577</v>
      </c>
      <c r="D7302" t="s">
        <v>592</v>
      </c>
      <c r="E7302" t="s">
        <v>593</v>
      </c>
      <c r="F7302" t="s">
        <v>410</v>
      </c>
      <c r="G7302">
        <v>533</v>
      </c>
      <c r="H7302">
        <v>533</v>
      </c>
      <c r="I7302">
        <v>533</v>
      </c>
      <c r="J7302">
        <v>533</v>
      </c>
      <c r="K7302">
        <v>0</v>
      </c>
      <c r="L7302">
        <v>0</v>
      </c>
      <c r="M7302">
        <v>501</v>
      </c>
      <c r="N7302">
        <v>29</v>
      </c>
      <c r="O7302">
        <v>3</v>
      </c>
      <c r="P7302">
        <v>0</v>
      </c>
      <c r="Q7302">
        <v>0</v>
      </c>
    </row>
    <row r="7303" spans="1:17" x14ac:dyDescent="0.2">
      <c r="A7303" s="121">
        <v>41639</v>
      </c>
      <c r="B7303" t="s">
        <v>406</v>
      </c>
      <c r="C7303" t="s">
        <v>594</v>
      </c>
      <c r="D7303" t="s">
        <v>595</v>
      </c>
      <c r="E7303" t="s">
        <v>596</v>
      </c>
      <c r="F7303" t="s">
        <v>410</v>
      </c>
      <c r="G7303">
        <v>14</v>
      </c>
      <c r="I7303">
        <v>14</v>
      </c>
    </row>
    <row r="7304" spans="1:17" x14ac:dyDescent="0.2">
      <c r="A7304" s="121">
        <v>41639</v>
      </c>
      <c r="B7304" t="s">
        <v>406</v>
      </c>
      <c r="C7304" t="s">
        <v>594</v>
      </c>
      <c r="D7304" t="s">
        <v>597</v>
      </c>
      <c r="E7304" t="s">
        <v>598</v>
      </c>
      <c r="F7304" t="s">
        <v>413</v>
      </c>
      <c r="G7304">
        <v>467</v>
      </c>
      <c r="H7304">
        <v>467</v>
      </c>
      <c r="I7304">
        <v>457</v>
      </c>
      <c r="J7304">
        <v>457</v>
      </c>
      <c r="K7304">
        <v>126</v>
      </c>
      <c r="L7304">
        <v>0</v>
      </c>
      <c r="M7304">
        <v>327</v>
      </c>
      <c r="N7304">
        <v>5</v>
      </c>
      <c r="O7304">
        <v>9</v>
      </c>
      <c r="P7304">
        <v>1</v>
      </c>
      <c r="Q7304">
        <v>0</v>
      </c>
    </row>
    <row r="7305" spans="1:17" x14ac:dyDescent="0.2">
      <c r="A7305" s="121">
        <v>41639</v>
      </c>
      <c r="B7305" t="s">
        <v>406</v>
      </c>
      <c r="C7305" t="s">
        <v>594</v>
      </c>
      <c r="D7305" t="s">
        <v>599</v>
      </c>
      <c r="E7305" t="s">
        <v>600</v>
      </c>
      <c r="F7305" t="s">
        <v>410</v>
      </c>
      <c r="G7305">
        <v>85</v>
      </c>
      <c r="I7305">
        <v>85</v>
      </c>
    </row>
    <row r="7306" spans="1:17" x14ac:dyDescent="0.2">
      <c r="A7306" s="121">
        <v>41670</v>
      </c>
      <c r="B7306" t="s">
        <v>406</v>
      </c>
      <c r="C7306" t="s">
        <v>407</v>
      </c>
      <c r="D7306" t="s">
        <v>408</v>
      </c>
      <c r="E7306" t="s">
        <v>409</v>
      </c>
      <c r="F7306" t="s">
        <v>410</v>
      </c>
      <c r="G7306">
        <v>147</v>
      </c>
      <c r="I7306">
        <v>147</v>
      </c>
    </row>
    <row r="7307" spans="1:17" x14ac:dyDescent="0.2">
      <c r="A7307" s="121">
        <v>41670</v>
      </c>
      <c r="B7307" t="s">
        <v>406</v>
      </c>
      <c r="C7307" t="s">
        <v>407</v>
      </c>
      <c r="D7307" t="s">
        <v>601</v>
      </c>
      <c r="E7307" t="s">
        <v>602</v>
      </c>
      <c r="F7307" t="s">
        <v>410</v>
      </c>
      <c r="G7307">
        <v>44</v>
      </c>
      <c r="I7307">
        <v>44</v>
      </c>
    </row>
    <row r="7308" spans="1:17" x14ac:dyDescent="0.2">
      <c r="A7308" s="121">
        <v>41670</v>
      </c>
      <c r="B7308" t="s">
        <v>406</v>
      </c>
      <c r="C7308" t="s">
        <v>407</v>
      </c>
      <c r="D7308" t="s">
        <v>411</v>
      </c>
      <c r="E7308" t="s">
        <v>412</v>
      </c>
      <c r="F7308" t="s">
        <v>413</v>
      </c>
      <c r="G7308">
        <v>5735</v>
      </c>
      <c r="H7308">
        <v>5735</v>
      </c>
      <c r="I7308">
        <v>5142</v>
      </c>
      <c r="J7308">
        <v>5142</v>
      </c>
      <c r="K7308">
        <v>2414</v>
      </c>
      <c r="L7308">
        <v>8</v>
      </c>
      <c r="M7308">
        <v>3020</v>
      </c>
      <c r="N7308">
        <v>119</v>
      </c>
      <c r="O7308">
        <v>174</v>
      </c>
      <c r="P7308">
        <v>52</v>
      </c>
      <c r="Q7308">
        <v>10</v>
      </c>
    </row>
    <row r="7309" spans="1:17" x14ac:dyDescent="0.2">
      <c r="A7309" s="121">
        <v>41670</v>
      </c>
      <c r="B7309" t="s">
        <v>406</v>
      </c>
      <c r="C7309" t="s">
        <v>407</v>
      </c>
      <c r="D7309" t="s">
        <v>416</v>
      </c>
      <c r="E7309" t="s">
        <v>417</v>
      </c>
      <c r="F7309" t="s">
        <v>413</v>
      </c>
      <c r="G7309">
        <v>3555</v>
      </c>
      <c r="H7309">
        <v>3555</v>
      </c>
      <c r="I7309">
        <v>3036</v>
      </c>
      <c r="J7309">
        <v>3036</v>
      </c>
      <c r="K7309">
        <v>1439</v>
      </c>
      <c r="L7309">
        <v>8</v>
      </c>
      <c r="M7309">
        <v>1938</v>
      </c>
      <c r="N7309">
        <v>88</v>
      </c>
      <c r="O7309">
        <v>82</v>
      </c>
      <c r="P7309">
        <v>60</v>
      </c>
      <c r="Q7309">
        <v>11</v>
      </c>
    </row>
    <row r="7310" spans="1:17" x14ac:dyDescent="0.2">
      <c r="A7310" s="121">
        <v>41670</v>
      </c>
      <c r="B7310" t="s">
        <v>406</v>
      </c>
      <c r="C7310" t="s">
        <v>407</v>
      </c>
      <c r="D7310" t="s">
        <v>618</v>
      </c>
      <c r="E7310" t="s">
        <v>619</v>
      </c>
      <c r="F7310" t="s">
        <v>410</v>
      </c>
      <c r="G7310">
        <v>72</v>
      </c>
      <c r="I7310">
        <v>72</v>
      </c>
    </row>
    <row r="7311" spans="1:17" x14ac:dyDescent="0.2">
      <c r="A7311" s="121">
        <v>41670</v>
      </c>
      <c r="B7311" t="s">
        <v>406</v>
      </c>
      <c r="C7311" t="s">
        <v>418</v>
      </c>
      <c r="D7311" t="s">
        <v>419</v>
      </c>
      <c r="E7311" t="s">
        <v>420</v>
      </c>
      <c r="F7311" t="s">
        <v>410</v>
      </c>
      <c r="G7311">
        <v>10</v>
      </c>
      <c r="I7311">
        <v>10</v>
      </c>
    </row>
    <row r="7312" spans="1:17" x14ac:dyDescent="0.2">
      <c r="A7312" s="121">
        <v>41670</v>
      </c>
      <c r="B7312" t="s">
        <v>406</v>
      </c>
      <c r="C7312" t="s">
        <v>418</v>
      </c>
      <c r="D7312" t="s">
        <v>421</v>
      </c>
      <c r="E7312" t="s">
        <v>422</v>
      </c>
      <c r="F7312" t="s">
        <v>410</v>
      </c>
      <c r="G7312">
        <v>72</v>
      </c>
      <c r="I7312">
        <v>72</v>
      </c>
    </row>
    <row r="7313" spans="1:17" x14ac:dyDescent="0.2">
      <c r="A7313" s="121">
        <v>41670</v>
      </c>
      <c r="B7313" t="s">
        <v>406</v>
      </c>
      <c r="C7313" t="s">
        <v>418</v>
      </c>
      <c r="D7313" t="s">
        <v>423</v>
      </c>
      <c r="E7313" t="s">
        <v>424</v>
      </c>
      <c r="F7313" t="s">
        <v>410</v>
      </c>
      <c r="G7313">
        <v>11</v>
      </c>
      <c r="I7313">
        <v>11</v>
      </c>
    </row>
    <row r="7314" spans="1:17" x14ac:dyDescent="0.2">
      <c r="A7314" s="121">
        <v>41670</v>
      </c>
      <c r="B7314" t="s">
        <v>406</v>
      </c>
      <c r="C7314" t="s">
        <v>418</v>
      </c>
      <c r="D7314" t="s">
        <v>425</v>
      </c>
      <c r="E7314" t="s">
        <v>426</v>
      </c>
      <c r="F7314" t="s">
        <v>410</v>
      </c>
      <c r="G7314">
        <v>39</v>
      </c>
      <c r="I7314">
        <v>39</v>
      </c>
    </row>
    <row r="7315" spans="1:17" x14ac:dyDescent="0.2">
      <c r="A7315" s="121">
        <v>41670</v>
      </c>
      <c r="B7315" t="s">
        <v>406</v>
      </c>
      <c r="C7315" t="s">
        <v>418</v>
      </c>
      <c r="D7315" t="s">
        <v>427</v>
      </c>
      <c r="E7315" t="s">
        <v>428</v>
      </c>
      <c r="F7315" t="s">
        <v>413</v>
      </c>
      <c r="G7315">
        <v>2114</v>
      </c>
      <c r="H7315">
        <v>2114</v>
      </c>
      <c r="I7315">
        <v>2033</v>
      </c>
      <c r="J7315">
        <v>2033</v>
      </c>
      <c r="K7315">
        <v>816</v>
      </c>
      <c r="L7315">
        <v>3</v>
      </c>
      <c r="M7315">
        <v>1108</v>
      </c>
      <c r="N7315">
        <v>138</v>
      </c>
      <c r="O7315">
        <v>49</v>
      </c>
      <c r="P7315">
        <v>6</v>
      </c>
      <c r="Q7315">
        <v>0</v>
      </c>
    </row>
    <row r="7316" spans="1:17" x14ac:dyDescent="0.2">
      <c r="A7316" s="121">
        <v>41670</v>
      </c>
      <c r="B7316" t="s">
        <v>406</v>
      </c>
      <c r="C7316" t="s">
        <v>429</v>
      </c>
      <c r="D7316" t="s">
        <v>430</v>
      </c>
      <c r="E7316" t="s">
        <v>431</v>
      </c>
      <c r="F7316" t="s">
        <v>410</v>
      </c>
      <c r="G7316">
        <v>19</v>
      </c>
      <c r="I7316">
        <v>19</v>
      </c>
    </row>
    <row r="7317" spans="1:17" x14ac:dyDescent="0.2">
      <c r="A7317" s="121">
        <v>41670</v>
      </c>
      <c r="B7317" t="s">
        <v>406</v>
      </c>
      <c r="C7317" t="s">
        <v>429</v>
      </c>
      <c r="D7317" t="s">
        <v>432</v>
      </c>
      <c r="E7317" t="s">
        <v>433</v>
      </c>
      <c r="F7317" t="s">
        <v>410</v>
      </c>
      <c r="G7317">
        <v>27</v>
      </c>
      <c r="I7317">
        <v>27</v>
      </c>
    </row>
    <row r="7318" spans="1:17" x14ac:dyDescent="0.2">
      <c r="A7318" s="121">
        <v>41670</v>
      </c>
      <c r="B7318" t="s">
        <v>406</v>
      </c>
      <c r="C7318" t="s">
        <v>429</v>
      </c>
      <c r="D7318" t="s">
        <v>434</v>
      </c>
      <c r="E7318" t="s">
        <v>435</v>
      </c>
      <c r="F7318" t="s">
        <v>410</v>
      </c>
      <c r="G7318">
        <v>5</v>
      </c>
      <c r="I7318">
        <v>5</v>
      </c>
    </row>
    <row r="7319" spans="1:17" x14ac:dyDescent="0.2">
      <c r="A7319" s="121">
        <v>41670</v>
      </c>
      <c r="B7319" t="s">
        <v>406</v>
      </c>
      <c r="C7319" t="s">
        <v>429</v>
      </c>
      <c r="D7319" t="s">
        <v>436</v>
      </c>
      <c r="E7319" t="s">
        <v>437</v>
      </c>
      <c r="F7319" t="s">
        <v>410</v>
      </c>
      <c r="G7319">
        <v>13</v>
      </c>
      <c r="H7319">
        <v>13</v>
      </c>
      <c r="I7319">
        <v>13</v>
      </c>
      <c r="J7319">
        <v>13</v>
      </c>
      <c r="K7319">
        <v>0</v>
      </c>
      <c r="L7319">
        <v>0</v>
      </c>
      <c r="M7319">
        <v>9</v>
      </c>
      <c r="N7319">
        <v>4</v>
      </c>
      <c r="O7319">
        <v>0</v>
      </c>
      <c r="P7319">
        <v>0</v>
      </c>
      <c r="Q7319">
        <v>0</v>
      </c>
    </row>
    <row r="7320" spans="1:17" x14ac:dyDescent="0.2">
      <c r="A7320" s="121">
        <v>41670</v>
      </c>
      <c r="B7320" t="s">
        <v>406</v>
      </c>
      <c r="C7320" t="s">
        <v>429</v>
      </c>
      <c r="D7320" t="s">
        <v>438</v>
      </c>
      <c r="E7320" t="s">
        <v>439</v>
      </c>
      <c r="F7320" t="s">
        <v>413</v>
      </c>
      <c r="G7320">
        <v>836</v>
      </c>
      <c r="H7320">
        <v>836</v>
      </c>
      <c r="I7320">
        <v>808</v>
      </c>
      <c r="J7320">
        <v>808</v>
      </c>
      <c r="K7320">
        <v>118</v>
      </c>
      <c r="L7320">
        <v>1</v>
      </c>
      <c r="M7320">
        <v>687</v>
      </c>
      <c r="N7320">
        <v>30</v>
      </c>
      <c r="O7320">
        <v>0</v>
      </c>
      <c r="P7320">
        <v>2</v>
      </c>
      <c r="Q7320">
        <v>0</v>
      </c>
    </row>
    <row r="7321" spans="1:17" x14ac:dyDescent="0.2">
      <c r="A7321" s="121">
        <v>41670</v>
      </c>
      <c r="B7321" t="s">
        <v>406</v>
      </c>
      <c r="C7321" t="s">
        <v>429</v>
      </c>
      <c r="D7321" t="s">
        <v>440</v>
      </c>
      <c r="E7321" t="s">
        <v>441</v>
      </c>
      <c r="F7321" t="s">
        <v>413</v>
      </c>
      <c r="G7321">
        <v>2828</v>
      </c>
      <c r="H7321">
        <v>2828</v>
      </c>
      <c r="I7321">
        <v>2689</v>
      </c>
      <c r="J7321">
        <v>2689</v>
      </c>
      <c r="K7321">
        <v>1107</v>
      </c>
      <c r="L7321">
        <v>7</v>
      </c>
      <c r="M7321">
        <v>1618</v>
      </c>
      <c r="N7321">
        <v>96</v>
      </c>
      <c r="O7321">
        <v>0</v>
      </c>
      <c r="P7321">
        <v>1</v>
      </c>
      <c r="Q7321">
        <v>0</v>
      </c>
    </row>
    <row r="7322" spans="1:17" x14ac:dyDescent="0.2">
      <c r="A7322" s="121">
        <v>41670</v>
      </c>
      <c r="B7322" t="s">
        <v>406</v>
      </c>
      <c r="C7322" t="s">
        <v>442</v>
      </c>
      <c r="D7322" t="s">
        <v>443</v>
      </c>
      <c r="E7322" t="s">
        <v>444</v>
      </c>
      <c r="F7322" t="s">
        <v>413</v>
      </c>
      <c r="G7322">
        <v>5117</v>
      </c>
      <c r="H7322">
        <v>5117</v>
      </c>
      <c r="I7322">
        <v>4936</v>
      </c>
      <c r="J7322">
        <v>4936</v>
      </c>
      <c r="K7322">
        <v>1400</v>
      </c>
      <c r="L7322">
        <v>13</v>
      </c>
      <c r="M7322">
        <v>3478</v>
      </c>
      <c r="N7322">
        <v>125</v>
      </c>
      <c r="O7322">
        <v>101</v>
      </c>
      <c r="P7322">
        <v>8</v>
      </c>
      <c r="Q7322">
        <v>0</v>
      </c>
    </row>
    <row r="7323" spans="1:17" x14ac:dyDescent="0.2">
      <c r="A7323" s="121">
        <v>41670</v>
      </c>
      <c r="B7323" t="s">
        <v>406</v>
      </c>
      <c r="C7323" t="s">
        <v>442</v>
      </c>
      <c r="D7323" t="s">
        <v>445</v>
      </c>
      <c r="E7323" t="s">
        <v>446</v>
      </c>
      <c r="F7323" t="s">
        <v>410</v>
      </c>
      <c r="G7323">
        <v>116</v>
      </c>
      <c r="I7323">
        <v>116</v>
      </c>
    </row>
    <row r="7324" spans="1:17" x14ac:dyDescent="0.2">
      <c r="A7324" s="121">
        <v>41670</v>
      </c>
      <c r="B7324" t="s">
        <v>406</v>
      </c>
      <c r="C7324" t="s">
        <v>442</v>
      </c>
      <c r="D7324" t="s">
        <v>447</v>
      </c>
      <c r="E7324" t="s">
        <v>448</v>
      </c>
      <c r="F7324" t="s">
        <v>410</v>
      </c>
      <c r="G7324">
        <v>268</v>
      </c>
      <c r="I7324">
        <v>268</v>
      </c>
    </row>
    <row r="7325" spans="1:17" x14ac:dyDescent="0.2">
      <c r="A7325" s="121">
        <v>41670</v>
      </c>
      <c r="B7325" t="s">
        <v>406</v>
      </c>
      <c r="C7325" t="s">
        <v>442</v>
      </c>
      <c r="D7325" t="s">
        <v>449</v>
      </c>
      <c r="E7325" t="s">
        <v>624</v>
      </c>
      <c r="F7325" t="s">
        <v>410</v>
      </c>
      <c r="G7325">
        <v>1388</v>
      </c>
      <c r="H7325">
        <v>1388</v>
      </c>
      <c r="I7325">
        <v>1388</v>
      </c>
      <c r="J7325">
        <v>1388</v>
      </c>
      <c r="K7325">
        <v>6</v>
      </c>
      <c r="L7325">
        <v>0</v>
      </c>
      <c r="M7325">
        <v>1205</v>
      </c>
      <c r="N7325">
        <v>172</v>
      </c>
      <c r="O7325">
        <v>5</v>
      </c>
      <c r="P7325">
        <v>0</v>
      </c>
      <c r="Q7325">
        <v>0</v>
      </c>
    </row>
    <row r="7326" spans="1:17" x14ac:dyDescent="0.2">
      <c r="A7326" s="121">
        <v>41670</v>
      </c>
      <c r="B7326" t="s">
        <v>406</v>
      </c>
      <c r="C7326" t="s">
        <v>451</v>
      </c>
      <c r="D7326" t="s">
        <v>454</v>
      </c>
      <c r="E7326" t="s">
        <v>621</v>
      </c>
      <c r="F7326" t="s">
        <v>410</v>
      </c>
      <c r="G7326">
        <v>1037</v>
      </c>
      <c r="H7326">
        <v>1037</v>
      </c>
      <c r="I7326">
        <v>1037</v>
      </c>
      <c r="J7326">
        <v>1037</v>
      </c>
      <c r="K7326">
        <v>1</v>
      </c>
      <c r="L7326">
        <v>0</v>
      </c>
      <c r="M7326">
        <v>524</v>
      </c>
      <c r="N7326">
        <v>64</v>
      </c>
      <c r="O7326">
        <v>448</v>
      </c>
      <c r="P7326">
        <v>0</v>
      </c>
      <c r="Q7326">
        <v>0</v>
      </c>
    </row>
    <row r="7327" spans="1:17" x14ac:dyDescent="0.2">
      <c r="A7327" s="121">
        <v>41670</v>
      </c>
      <c r="B7327" t="s">
        <v>406</v>
      </c>
      <c r="C7327" t="s">
        <v>451</v>
      </c>
      <c r="D7327" t="s">
        <v>622</v>
      </c>
      <c r="E7327" t="s">
        <v>623</v>
      </c>
      <c r="F7327" t="s">
        <v>413</v>
      </c>
      <c r="G7327">
        <v>4822</v>
      </c>
      <c r="H7327">
        <v>4822</v>
      </c>
      <c r="I7327">
        <v>4426</v>
      </c>
      <c r="J7327">
        <v>4426</v>
      </c>
      <c r="K7327">
        <v>1308</v>
      </c>
      <c r="L7327">
        <v>10</v>
      </c>
      <c r="M7327">
        <v>1540</v>
      </c>
      <c r="N7327">
        <v>35</v>
      </c>
      <c r="O7327">
        <v>1929</v>
      </c>
      <c r="P7327">
        <v>42</v>
      </c>
      <c r="Q7327">
        <v>0</v>
      </c>
    </row>
    <row r="7328" spans="1:17" x14ac:dyDescent="0.2">
      <c r="A7328" s="121">
        <v>41670</v>
      </c>
      <c r="B7328" t="s">
        <v>406</v>
      </c>
      <c r="C7328" t="s">
        <v>456</v>
      </c>
      <c r="D7328" t="s">
        <v>457</v>
      </c>
      <c r="E7328" t="s">
        <v>458</v>
      </c>
      <c r="F7328" t="s">
        <v>413</v>
      </c>
      <c r="G7328">
        <v>4787</v>
      </c>
      <c r="H7328">
        <v>4787</v>
      </c>
      <c r="I7328">
        <v>4438</v>
      </c>
      <c r="J7328">
        <v>4438</v>
      </c>
      <c r="K7328">
        <v>1287</v>
      </c>
      <c r="L7328">
        <v>11</v>
      </c>
      <c r="M7328">
        <v>3067</v>
      </c>
      <c r="N7328">
        <v>18</v>
      </c>
      <c r="O7328">
        <v>404</v>
      </c>
      <c r="P7328">
        <v>20</v>
      </c>
      <c r="Q7328">
        <v>2</v>
      </c>
    </row>
    <row r="7329" spans="1:17" x14ac:dyDescent="0.2">
      <c r="A7329" s="121">
        <v>41670</v>
      </c>
      <c r="B7329" t="s">
        <v>406</v>
      </c>
      <c r="C7329" t="s">
        <v>456</v>
      </c>
      <c r="D7329" t="s">
        <v>459</v>
      </c>
      <c r="E7329" t="s">
        <v>460</v>
      </c>
      <c r="F7329" t="s">
        <v>413</v>
      </c>
      <c r="G7329">
        <v>1444</v>
      </c>
      <c r="H7329">
        <v>1444</v>
      </c>
      <c r="I7329">
        <v>1424</v>
      </c>
      <c r="J7329">
        <v>1424</v>
      </c>
      <c r="K7329">
        <v>387</v>
      </c>
      <c r="L7329">
        <v>0</v>
      </c>
      <c r="M7329">
        <v>1055</v>
      </c>
      <c r="N7329">
        <v>0</v>
      </c>
      <c r="O7329">
        <v>2</v>
      </c>
      <c r="P7329">
        <v>0</v>
      </c>
      <c r="Q7329">
        <v>0</v>
      </c>
    </row>
    <row r="7330" spans="1:17" x14ac:dyDescent="0.2">
      <c r="A7330" s="121">
        <v>41670</v>
      </c>
      <c r="B7330" t="s">
        <v>406</v>
      </c>
      <c r="C7330" t="s">
        <v>456</v>
      </c>
      <c r="D7330" t="s">
        <v>461</v>
      </c>
      <c r="E7330" t="s">
        <v>462</v>
      </c>
      <c r="F7330" t="s">
        <v>410</v>
      </c>
      <c r="G7330">
        <v>66</v>
      </c>
      <c r="I7330">
        <v>66</v>
      </c>
    </row>
    <row r="7331" spans="1:17" x14ac:dyDescent="0.2">
      <c r="A7331" s="121">
        <v>41670</v>
      </c>
      <c r="B7331" t="s">
        <v>406</v>
      </c>
      <c r="C7331" t="s">
        <v>456</v>
      </c>
      <c r="D7331" t="s">
        <v>463</v>
      </c>
      <c r="E7331" t="s">
        <v>464</v>
      </c>
      <c r="F7331" t="s">
        <v>410</v>
      </c>
      <c r="G7331">
        <v>8</v>
      </c>
      <c r="I7331">
        <v>8</v>
      </c>
    </row>
    <row r="7332" spans="1:17" x14ac:dyDescent="0.2">
      <c r="A7332" s="121">
        <v>41670</v>
      </c>
      <c r="B7332" t="s">
        <v>406</v>
      </c>
      <c r="C7332" t="s">
        <v>456</v>
      </c>
      <c r="D7332" t="s">
        <v>465</v>
      </c>
      <c r="E7332" t="s">
        <v>466</v>
      </c>
      <c r="F7332" t="s">
        <v>410</v>
      </c>
      <c r="G7332">
        <v>17</v>
      </c>
      <c r="I7332">
        <v>17</v>
      </c>
    </row>
    <row r="7333" spans="1:17" x14ac:dyDescent="0.2">
      <c r="A7333" s="121">
        <v>41670</v>
      </c>
      <c r="B7333" t="s">
        <v>406</v>
      </c>
      <c r="C7333" t="s">
        <v>456</v>
      </c>
      <c r="D7333" t="s">
        <v>467</v>
      </c>
      <c r="E7333" t="s">
        <v>468</v>
      </c>
      <c r="F7333" t="s">
        <v>410</v>
      </c>
      <c r="G7333">
        <v>1232</v>
      </c>
      <c r="I7333">
        <v>1231</v>
      </c>
    </row>
    <row r="7334" spans="1:17" x14ac:dyDescent="0.2">
      <c r="A7334" s="121">
        <v>41670</v>
      </c>
      <c r="B7334" t="s">
        <v>406</v>
      </c>
      <c r="C7334" t="s">
        <v>456</v>
      </c>
      <c r="D7334" t="s">
        <v>469</v>
      </c>
      <c r="E7334" t="s">
        <v>470</v>
      </c>
      <c r="F7334" t="s">
        <v>410</v>
      </c>
      <c r="G7334">
        <v>760</v>
      </c>
      <c r="I7334">
        <v>760</v>
      </c>
    </row>
    <row r="7335" spans="1:17" x14ac:dyDescent="0.2">
      <c r="A7335" s="121">
        <v>41670</v>
      </c>
      <c r="B7335" t="s">
        <v>406</v>
      </c>
      <c r="C7335" t="s">
        <v>456</v>
      </c>
      <c r="D7335" t="s">
        <v>471</v>
      </c>
      <c r="E7335" t="s">
        <v>472</v>
      </c>
      <c r="F7335" t="s">
        <v>410</v>
      </c>
      <c r="G7335">
        <v>261</v>
      </c>
      <c r="I7335">
        <v>259</v>
      </c>
    </row>
    <row r="7336" spans="1:17" x14ac:dyDescent="0.2">
      <c r="A7336" s="121">
        <v>41670</v>
      </c>
      <c r="B7336" t="s">
        <v>406</v>
      </c>
      <c r="C7336" t="s">
        <v>456</v>
      </c>
      <c r="D7336" t="s">
        <v>473</v>
      </c>
      <c r="E7336" t="s">
        <v>474</v>
      </c>
      <c r="F7336" t="s">
        <v>410</v>
      </c>
      <c r="G7336">
        <v>142</v>
      </c>
      <c r="I7336">
        <v>142</v>
      </c>
    </row>
    <row r="7337" spans="1:17" x14ac:dyDescent="0.2">
      <c r="A7337" s="121">
        <v>41670</v>
      </c>
      <c r="B7337" t="s">
        <v>406</v>
      </c>
      <c r="C7337" t="s">
        <v>456</v>
      </c>
      <c r="D7337" t="s">
        <v>475</v>
      </c>
      <c r="E7337" t="s">
        <v>476</v>
      </c>
      <c r="F7337" t="s">
        <v>410</v>
      </c>
      <c r="G7337">
        <v>241</v>
      </c>
      <c r="I7337">
        <v>231</v>
      </c>
    </row>
    <row r="7338" spans="1:17" x14ac:dyDescent="0.2">
      <c r="A7338" s="121">
        <v>41670</v>
      </c>
      <c r="B7338" t="s">
        <v>406</v>
      </c>
      <c r="C7338" t="s">
        <v>456</v>
      </c>
      <c r="D7338" t="s">
        <v>477</v>
      </c>
      <c r="E7338" t="s">
        <v>478</v>
      </c>
      <c r="F7338" t="s">
        <v>413</v>
      </c>
      <c r="G7338">
        <v>1855</v>
      </c>
      <c r="H7338">
        <v>1855</v>
      </c>
      <c r="I7338">
        <v>1732</v>
      </c>
      <c r="J7338">
        <v>1732</v>
      </c>
      <c r="K7338">
        <v>427</v>
      </c>
      <c r="L7338">
        <v>0</v>
      </c>
      <c r="M7338">
        <v>1416</v>
      </c>
      <c r="N7338">
        <v>12</v>
      </c>
      <c r="O7338">
        <v>0</v>
      </c>
      <c r="P7338">
        <v>15</v>
      </c>
      <c r="Q7338">
        <v>2</v>
      </c>
    </row>
    <row r="7339" spans="1:17" x14ac:dyDescent="0.2">
      <c r="A7339" s="121">
        <v>41670</v>
      </c>
      <c r="B7339" t="s">
        <v>406</v>
      </c>
      <c r="C7339" t="s">
        <v>456</v>
      </c>
      <c r="D7339" t="s">
        <v>479</v>
      </c>
      <c r="E7339" t="s">
        <v>480</v>
      </c>
      <c r="F7339" t="s">
        <v>410</v>
      </c>
      <c r="G7339">
        <v>47</v>
      </c>
      <c r="I7339">
        <v>47</v>
      </c>
    </row>
    <row r="7340" spans="1:17" x14ac:dyDescent="0.2">
      <c r="A7340" s="121">
        <v>41670</v>
      </c>
      <c r="B7340" t="s">
        <v>406</v>
      </c>
      <c r="C7340" t="s">
        <v>456</v>
      </c>
      <c r="D7340" t="s">
        <v>481</v>
      </c>
      <c r="E7340" t="s">
        <v>482</v>
      </c>
      <c r="F7340" t="s">
        <v>410</v>
      </c>
      <c r="G7340">
        <v>35</v>
      </c>
      <c r="I7340">
        <v>35</v>
      </c>
    </row>
    <row r="7341" spans="1:17" x14ac:dyDescent="0.2">
      <c r="A7341" s="121">
        <v>41670</v>
      </c>
      <c r="B7341" t="s">
        <v>406</v>
      </c>
      <c r="C7341" t="s">
        <v>456</v>
      </c>
      <c r="D7341" t="s">
        <v>483</v>
      </c>
      <c r="E7341" t="s">
        <v>484</v>
      </c>
      <c r="F7341" t="s">
        <v>410</v>
      </c>
      <c r="G7341">
        <v>78</v>
      </c>
      <c r="I7341">
        <v>78</v>
      </c>
    </row>
    <row r="7342" spans="1:17" x14ac:dyDescent="0.2">
      <c r="A7342" s="121">
        <v>41670</v>
      </c>
      <c r="B7342" t="s">
        <v>406</v>
      </c>
      <c r="C7342" t="s">
        <v>456</v>
      </c>
      <c r="D7342" t="s">
        <v>485</v>
      </c>
      <c r="E7342" t="s">
        <v>486</v>
      </c>
      <c r="F7342" t="s">
        <v>410</v>
      </c>
      <c r="G7342">
        <v>29</v>
      </c>
      <c r="I7342">
        <v>29</v>
      </c>
    </row>
    <row r="7343" spans="1:17" x14ac:dyDescent="0.2">
      <c r="A7343" s="121">
        <v>41670</v>
      </c>
      <c r="B7343" t="s">
        <v>406</v>
      </c>
      <c r="C7343" t="s">
        <v>456</v>
      </c>
      <c r="D7343" t="s">
        <v>487</v>
      </c>
      <c r="E7343" t="s">
        <v>488</v>
      </c>
      <c r="F7343" t="s">
        <v>410</v>
      </c>
      <c r="G7343">
        <v>17</v>
      </c>
      <c r="I7343">
        <v>17</v>
      </c>
    </row>
    <row r="7344" spans="1:17" x14ac:dyDescent="0.2">
      <c r="A7344" s="121">
        <v>41670</v>
      </c>
      <c r="B7344" t="s">
        <v>406</v>
      </c>
      <c r="C7344" t="s">
        <v>456</v>
      </c>
      <c r="D7344" t="s">
        <v>489</v>
      </c>
      <c r="E7344" t="s">
        <v>490</v>
      </c>
      <c r="F7344" t="s">
        <v>410</v>
      </c>
      <c r="G7344">
        <v>77</v>
      </c>
      <c r="I7344">
        <v>77</v>
      </c>
    </row>
    <row r="7345" spans="1:17" x14ac:dyDescent="0.2">
      <c r="A7345" s="121">
        <v>41670</v>
      </c>
      <c r="B7345" t="s">
        <v>406</v>
      </c>
      <c r="C7345" t="s">
        <v>491</v>
      </c>
      <c r="D7345" t="s">
        <v>492</v>
      </c>
      <c r="E7345" t="s">
        <v>493</v>
      </c>
      <c r="F7345" t="s">
        <v>410</v>
      </c>
      <c r="G7345">
        <v>1206</v>
      </c>
      <c r="H7345">
        <v>1206</v>
      </c>
      <c r="I7345">
        <v>1181</v>
      </c>
      <c r="J7345">
        <v>1181</v>
      </c>
      <c r="K7345">
        <v>264</v>
      </c>
      <c r="L7345">
        <v>0</v>
      </c>
      <c r="M7345">
        <v>880</v>
      </c>
      <c r="N7345">
        <v>61</v>
      </c>
      <c r="O7345">
        <v>1</v>
      </c>
      <c r="P7345">
        <v>4</v>
      </c>
      <c r="Q7345">
        <v>0</v>
      </c>
    </row>
    <row r="7346" spans="1:17" x14ac:dyDescent="0.2">
      <c r="A7346" s="121">
        <v>41670</v>
      </c>
      <c r="B7346" t="s">
        <v>406</v>
      </c>
      <c r="C7346" t="s">
        <v>491</v>
      </c>
      <c r="D7346" t="s">
        <v>494</v>
      </c>
      <c r="E7346" t="s">
        <v>495</v>
      </c>
      <c r="F7346" t="s">
        <v>413</v>
      </c>
      <c r="G7346">
        <v>2578</v>
      </c>
      <c r="H7346">
        <v>2578</v>
      </c>
      <c r="I7346">
        <v>2435</v>
      </c>
      <c r="J7346">
        <v>2435</v>
      </c>
      <c r="K7346">
        <v>784</v>
      </c>
      <c r="L7346">
        <v>4</v>
      </c>
      <c r="M7346">
        <v>1644</v>
      </c>
      <c r="N7346">
        <v>35</v>
      </c>
      <c r="O7346">
        <v>111</v>
      </c>
      <c r="P7346">
        <v>4</v>
      </c>
      <c r="Q7346">
        <v>0</v>
      </c>
    </row>
    <row r="7347" spans="1:17" x14ac:dyDescent="0.2">
      <c r="A7347" s="121">
        <v>41670</v>
      </c>
      <c r="B7347" t="s">
        <v>406</v>
      </c>
      <c r="C7347" t="s">
        <v>491</v>
      </c>
      <c r="D7347" t="s">
        <v>496</v>
      </c>
      <c r="E7347" t="s">
        <v>497</v>
      </c>
      <c r="F7347" t="s">
        <v>413</v>
      </c>
      <c r="G7347">
        <v>5574</v>
      </c>
      <c r="H7347">
        <v>5574</v>
      </c>
      <c r="I7347">
        <v>4856</v>
      </c>
      <c r="J7347">
        <v>4856</v>
      </c>
      <c r="K7347">
        <v>2071</v>
      </c>
      <c r="L7347">
        <v>20</v>
      </c>
      <c r="M7347">
        <v>3244</v>
      </c>
      <c r="N7347">
        <v>115</v>
      </c>
      <c r="O7347">
        <v>124</v>
      </c>
      <c r="P7347">
        <v>29</v>
      </c>
      <c r="Q7347">
        <v>1</v>
      </c>
    </row>
    <row r="7348" spans="1:17" x14ac:dyDescent="0.2">
      <c r="A7348" s="121">
        <v>41670</v>
      </c>
      <c r="B7348" t="s">
        <v>406</v>
      </c>
      <c r="C7348" t="s">
        <v>491</v>
      </c>
      <c r="D7348" t="s">
        <v>498</v>
      </c>
      <c r="E7348" t="s">
        <v>499</v>
      </c>
      <c r="F7348" t="s">
        <v>413</v>
      </c>
      <c r="G7348">
        <v>6727</v>
      </c>
      <c r="H7348">
        <v>6727</v>
      </c>
      <c r="I7348">
        <v>6143</v>
      </c>
      <c r="J7348">
        <v>6143</v>
      </c>
      <c r="K7348">
        <v>2399</v>
      </c>
      <c r="L7348">
        <v>17</v>
      </c>
      <c r="M7348">
        <v>3928</v>
      </c>
      <c r="N7348">
        <v>66</v>
      </c>
      <c r="O7348">
        <v>317</v>
      </c>
      <c r="P7348">
        <v>9</v>
      </c>
      <c r="Q7348">
        <v>0</v>
      </c>
    </row>
    <row r="7349" spans="1:17" x14ac:dyDescent="0.2">
      <c r="A7349" s="121">
        <v>41670</v>
      </c>
      <c r="B7349" t="s">
        <v>406</v>
      </c>
      <c r="C7349" t="s">
        <v>491</v>
      </c>
      <c r="D7349" t="s">
        <v>500</v>
      </c>
      <c r="E7349" t="s">
        <v>620</v>
      </c>
      <c r="F7349" t="s">
        <v>410</v>
      </c>
      <c r="G7349">
        <v>1281</v>
      </c>
      <c r="H7349">
        <v>1281</v>
      </c>
      <c r="I7349">
        <v>1280</v>
      </c>
      <c r="J7349">
        <v>1280</v>
      </c>
      <c r="K7349">
        <v>4</v>
      </c>
      <c r="L7349">
        <v>0</v>
      </c>
      <c r="M7349">
        <v>1188</v>
      </c>
      <c r="N7349">
        <v>75</v>
      </c>
      <c r="O7349">
        <v>14</v>
      </c>
      <c r="P7349">
        <v>0</v>
      </c>
      <c r="Q7349">
        <v>0</v>
      </c>
    </row>
    <row r="7350" spans="1:17" x14ac:dyDescent="0.2">
      <c r="A7350" s="121">
        <v>41670</v>
      </c>
      <c r="B7350" t="s">
        <v>406</v>
      </c>
      <c r="C7350" t="s">
        <v>491</v>
      </c>
      <c r="D7350" t="s">
        <v>502</v>
      </c>
      <c r="E7350" t="s">
        <v>615</v>
      </c>
      <c r="F7350" t="s">
        <v>410</v>
      </c>
      <c r="G7350">
        <v>1672</v>
      </c>
      <c r="H7350">
        <v>1672</v>
      </c>
      <c r="I7350">
        <v>1671</v>
      </c>
      <c r="J7350">
        <v>1671</v>
      </c>
      <c r="K7350">
        <v>0</v>
      </c>
      <c r="L7350">
        <v>2</v>
      </c>
      <c r="M7350">
        <v>1591</v>
      </c>
      <c r="N7350">
        <v>76</v>
      </c>
      <c r="O7350">
        <v>3</v>
      </c>
      <c r="P7350">
        <v>0</v>
      </c>
      <c r="Q7350">
        <v>0</v>
      </c>
    </row>
    <row r="7351" spans="1:17" x14ac:dyDescent="0.2">
      <c r="A7351" s="121">
        <v>41670</v>
      </c>
      <c r="B7351" t="s">
        <v>406</v>
      </c>
      <c r="C7351" t="s">
        <v>491</v>
      </c>
      <c r="D7351" t="s">
        <v>502</v>
      </c>
      <c r="E7351" t="s">
        <v>503</v>
      </c>
      <c r="F7351" t="s">
        <v>413</v>
      </c>
      <c r="G7351">
        <v>4884</v>
      </c>
      <c r="H7351">
        <v>4884</v>
      </c>
      <c r="I7351">
        <v>4213</v>
      </c>
      <c r="J7351">
        <v>4213</v>
      </c>
      <c r="K7351">
        <v>1587</v>
      </c>
      <c r="L7351">
        <v>5</v>
      </c>
      <c r="M7351">
        <v>2910</v>
      </c>
      <c r="N7351">
        <v>313</v>
      </c>
      <c r="O7351">
        <v>69</v>
      </c>
      <c r="P7351">
        <v>82</v>
      </c>
      <c r="Q7351">
        <v>0</v>
      </c>
    </row>
    <row r="7352" spans="1:17" x14ac:dyDescent="0.2">
      <c r="A7352" s="121">
        <v>41670</v>
      </c>
      <c r="B7352" t="s">
        <v>406</v>
      </c>
      <c r="C7352" t="s">
        <v>491</v>
      </c>
      <c r="D7352" t="s">
        <v>504</v>
      </c>
      <c r="E7352" t="s">
        <v>505</v>
      </c>
      <c r="F7352" t="s">
        <v>413</v>
      </c>
      <c r="G7352">
        <v>3911</v>
      </c>
      <c r="H7352">
        <v>3911</v>
      </c>
      <c r="I7352">
        <v>3531</v>
      </c>
      <c r="J7352">
        <v>3531</v>
      </c>
      <c r="K7352">
        <v>1165</v>
      </c>
      <c r="L7352">
        <v>4</v>
      </c>
      <c r="M7352">
        <v>2527</v>
      </c>
      <c r="N7352">
        <v>155</v>
      </c>
      <c r="O7352">
        <v>60</v>
      </c>
      <c r="P7352">
        <v>22</v>
      </c>
      <c r="Q7352">
        <v>0</v>
      </c>
    </row>
    <row r="7353" spans="1:17" x14ac:dyDescent="0.2">
      <c r="A7353" s="121">
        <v>41670</v>
      </c>
      <c r="B7353" t="s">
        <v>406</v>
      </c>
      <c r="C7353" t="s">
        <v>491</v>
      </c>
      <c r="D7353" t="s">
        <v>506</v>
      </c>
      <c r="E7353" t="s">
        <v>507</v>
      </c>
      <c r="F7353" t="s">
        <v>413</v>
      </c>
      <c r="G7353">
        <v>3646</v>
      </c>
      <c r="H7353">
        <v>3646</v>
      </c>
      <c r="I7353">
        <v>3595</v>
      </c>
      <c r="J7353">
        <v>3595</v>
      </c>
      <c r="K7353">
        <v>1048</v>
      </c>
      <c r="L7353">
        <v>3</v>
      </c>
      <c r="M7353">
        <v>2584</v>
      </c>
      <c r="N7353">
        <v>1</v>
      </c>
      <c r="O7353">
        <v>10</v>
      </c>
      <c r="P7353">
        <v>0</v>
      </c>
      <c r="Q7353">
        <v>0</v>
      </c>
    </row>
    <row r="7354" spans="1:17" x14ac:dyDescent="0.2">
      <c r="A7354" s="121">
        <v>41670</v>
      </c>
      <c r="B7354" t="s">
        <v>406</v>
      </c>
      <c r="C7354" t="s">
        <v>491</v>
      </c>
      <c r="D7354" t="s">
        <v>508</v>
      </c>
      <c r="E7354" t="s">
        <v>509</v>
      </c>
      <c r="F7354" t="s">
        <v>413</v>
      </c>
      <c r="G7354">
        <v>4963</v>
      </c>
      <c r="H7354">
        <v>4963</v>
      </c>
      <c r="I7354">
        <v>3916</v>
      </c>
      <c r="J7354">
        <v>3916</v>
      </c>
      <c r="K7354">
        <v>1648</v>
      </c>
      <c r="L7354">
        <v>17</v>
      </c>
      <c r="M7354">
        <v>2944</v>
      </c>
      <c r="N7354">
        <v>138</v>
      </c>
      <c r="O7354">
        <v>216</v>
      </c>
      <c r="P7354">
        <v>134</v>
      </c>
      <c r="Q7354">
        <v>15</v>
      </c>
    </row>
    <row r="7355" spans="1:17" x14ac:dyDescent="0.2">
      <c r="A7355" s="121">
        <v>41670</v>
      </c>
      <c r="B7355" t="s">
        <v>406</v>
      </c>
      <c r="C7355" t="s">
        <v>510</v>
      </c>
      <c r="D7355" t="s">
        <v>513</v>
      </c>
      <c r="E7355" t="s">
        <v>514</v>
      </c>
      <c r="F7355" t="s">
        <v>410</v>
      </c>
      <c r="G7355">
        <v>551</v>
      </c>
      <c r="I7355">
        <v>547</v>
      </c>
    </row>
    <row r="7356" spans="1:17" x14ac:dyDescent="0.2">
      <c r="A7356" s="121">
        <v>41670</v>
      </c>
      <c r="B7356" t="s">
        <v>406</v>
      </c>
      <c r="C7356" t="s">
        <v>510</v>
      </c>
      <c r="D7356" t="s">
        <v>515</v>
      </c>
      <c r="E7356" t="s">
        <v>516</v>
      </c>
      <c r="F7356" t="s">
        <v>410</v>
      </c>
      <c r="G7356">
        <v>61</v>
      </c>
      <c r="I7356">
        <v>60</v>
      </c>
    </row>
    <row r="7357" spans="1:17" x14ac:dyDescent="0.2">
      <c r="A7357" s="121">
        <v>41670</v>
      </c>
      <c r="B7357" t="s">
        <v>406</v>
      </c>
      <c r="C7357" t="s">
        <v>510</v>
      </c>
      <c r="D7357" t="s">
        <v>519</v>
      </c>
      <c r="E7357" t="s">
        <v>520</v>
      </c>
      <c r="F7357" t="s">
        <v>410</v>
      </c>
      <c r="G7357">
        <v>391</v>
      </c>
      <c r="I7357">
        <v>382</v>
      </c>
    </row>
    <row r="7358" spans="1:17" x14ac:dyDescent="0.2">
      <c r="A7358" s="121">
        <v>41670</v>
      </c>
      <c r="B7358" t="s">
        <v>406</v>
      </c>
      <c r="C7358" t="s">
        <v>510</v>
      </c>
      <c r="D7358" t="s">
        <v>523</v>
      </c>
      <c r="E7358" t="s">
        <v>524</v>
      </c>
      <c r="F7358" t="s">
        <v>413</v>
      </c>
      <c r="G7358">
        <v>448</v>
      </c>
      <c r="H7358">
        <v>448</v>
      </c>
      <c r="I7358">
        <v>433</v>
      </c>
      <c r="J7358">
        <v>433</v>
      </c>
      <c r="K7358">
        <v>109</v>
      </c>
      <c r="L7358">
        <v>0</v>
      </c>
      <c r="M7358">
        <v>322</v>
      </c>
      <c r="N7358">
        <v>17</v>
      </c>
      <c r="O7358">
        <v>0</v>
      </c>
      <c r="P7358">
        <v>0</v>
      </c>
      <c r="Q7358">
        <v>0</v>
      </c>
    </row>
    <row r="7359" spans="1:17" x14ac:dyDescent="0.2">
      <c r="A7359" s="121">
        <v>41670</v>
      </c>
      <c r="B7359" t="s">
        <v>406</v>
      </c>
      <c r="C7359" t="s">
        <v>510</v>
      </c>
      <c r="D7359" t="s">
        <v>525</v>
      </c>
      <c r="E7359" t="s">
        <v>526</v>
      </c>
      <c r="F7359" t="s">
        <v>410</v>
      </c>
      <c r="G7359">
        <v>404</v>
      </c>
      <c r="I7359">
        <v>387</v>
      </c>
    </row>
    <row r="7360" spans="1:17" x14ac:dyDescent="0.2">
      <c r="A7360" s="121">
        <v>41670</v>
      </c>
      <c r="B7360" t="s">
        <v>406</v>
      </c>
      <c r="C7360" t="s">
        <v>510</v>
      </c>
      <c r="D7360" t="s">
        <v>527</v>
      </c>
      <c r="E7360" t="s">
        <v>528</v>
      </c>
      <c r="F7360" t="s">
        <v>410</v>
      </c>
      <c r="G7360">
        <v>159</v>
      </c>
      <c r="I7360">
        <v>159</v>
      </c>
    </row>
    <row r="7361" spans="1:17" x14ac:dyDescent="0.2">
      <c r="A7361" s="121">
        <v>41670</v>
      </c>
      <c r="B7361" t="s">
        <v>406</v>
      </c>
      <c r="C7361" t="s">
        <v>510</v>
      </c>
      <c r="D7361" t="s">
        <v>529</v>
      </c>
      <c r="E7361" t="s">
        <v>530</v>
      </c>
      <c r="F7361" t="s">
        <v>413</v>
      </c>
      <c r="G7361">
        <v>482</v>
      </c>
      <c r="H7361">
        <v>482</v>
      </c>
      <c r="I7361">
        <v>467</v>
      </c>
      <c r="J7361">
        <v>467</v>
      </c>
      <c r="K7361">
        <v>172</v>
      </c>
      <c r="L7361">
        <v>1</v>
      </c>
      <c r="M7361">
        <v>307</v>
      </c>
      <c r="N7361">
        <v>2</v>
      </c>
      <c r="O7361">
        <v>0</v>
      </c>
      <c r="P7361">
        <v>0</v>
      </c>
      <c r="Q7361">
        <v>0</v>
      </c>
    </row>
    <row r="7362" spans="1:17" x14ac:dyDescent="0.2">
      <c r="A7362" s="121">
        <v>41670</v>
      </c>
      <c r="B7362" t="s">
        <v>406</v>
      </c>
      <c r="C7362" t="s">
        <v>510</v>
      </c>
      <c r="D7362" t="s">
        <v>531</v>
      </c>
      <c r="E7362" t="s">
        <v>532</v>
      </c>
      <c r="F7362" t="s">
        <v>410</v>
      </c>
      <c r="G7362">
        <v>20</v>
      </c>
      <c r="I7362">
        <v>20</v>
      </c>
    </row>
    <row r="7363" spans="1:17" x14ac:dyDescent="0.2">
      <c r="A7363" s="121">
        <v>41670</v>
      </c>
      <c r="B7363" t="s">
        <v>406</v>
      </c>
      <c r="C7363" t="s">
        <v>510</v>
      </c>
      <c r="D7363" t="s">
        <v>533</v>
      </c>
      <c r="E7363" t="s">
        <v>534</v>
      </c>
      <c r="F7363" t="s">
        <v>413</v>
      </c>
      <c r="G7363">
        <v>2483</v>
      </c>
      <c r="H7363">
        <v>2483</v>
      </c>
      <c r="I7363">
        <v>2385</v>
      </c>
      <c r="J7363">
        <v>2385</v>
      </c>
      <c r="K7363">
        <v>702</v>
      </c>
      <c r="L7363">
        <v>4</v>
      </c>
      <c r="M7363">
        <v>1764</v>
      </c>
      <c r="N7363">
        <v>13</v>
      </c>
      <c r="O7363">
        <v>0</v>
      </c>
      <c r="P7363">
        <v>1</v>
      </c>
      <c r="Q7363">
        <v>0</v>
      </c>
    </row>
    <row r="7364" spans="1:17" x14ac:dyDescent="0.2">
      <c r="A7364" s="121">
        <v>41670</v>
      </c>
      <c r="B7364" t="s">
        <v>406</v>
      </c>
      <c r="C7364" t="s">
        <v>510</v>
      </c>
      <c r="D7364" t="s">
        <v>535</v>
      </c>
      <c r="E7364" t="s">
        <v>536</v>
      </c>
      <c r="F7364" t="s">
        <v>410</v>
      </c>
      <c r="G7364">
        <v>463</v>
      </c>
      <c r="I7364">
        <v>463</v>
      </c>
    </row>
    <row r="7365" spans="1:17" x14ac:dyDescent="0.2">
      <c r="A7365" s="121">
        <v>41670</v>
      </c>
      <c r="B7365" t="s">
        <v>406</v>
      </c>
      <c r="C7365" t="s">
        <v>510</v>
      </c>
      <c r="D7365" t="s">
        <v>537</v>
      </c>
      <c r="E7365" t="s">
        <v>538</v>
      </c>
      <c r="F7365" t="s">
        <v>410</v>
      </c>
      <c r="G7365">
        <v>94</v>
      </c>
      <c r="I7365">
        <v>94</v>
      </c>
    </row>
    <row r="7366" spans="1:17" x14ac:dyDescent="0.2">
      <c r="A7366" s="121">
        <v>41670</v>
      </c>
      <c r="B7366" t="s">
        <v>406</v>
      </c>
      <c r="C7366" t="s">
        <v>510</v>
      </c>
      <c r="D7366" t="s">
        <v>539</v>
      </c>
      <c r="E7366" t="s">
        <v>540</v>
      </c>
      <c r="F7366" t="s">
        <v>413</v>
      </c>
      <c r="G7366">
        <v>583</v>
      </c>
      <c r="H7366">
        <v>583</v>
      </c>
      <c r="I7366">
        <v>545</v>
      </c>
      <c r="J7366">
        <v>545</v>
      </c>
      <c r="K7366">
        <v>146</v>
      </c>
      <c r="L7366">
        <v>0</v>
      </c>
      <c r="M7366">
        <v>433</v>
      </c>
      <c r="N7366">
        <v>4</v>
      </c>
      <c r="O7366">
        <v>0</v>
      </c>
      <c r="P7366">
        <v>0</v>
      </c>
      <c r="Q7366">
        <v>0</v>
      </c>
    </row>
    <row r="7367" spans="1:17" x14ac:dyDescent="0.2">
      <c r="A7367" s="121">
        <v>41670</v>
      </c>
      <c r="B7367" t="s">
        <v>406</v>
      </c>
      <c r="C7367" t="s">
        <v>510</v>
      </c>
      <c r="D7367" t="s">
        <v>541</v>
      </c>
      <c r="E7367" t="s">
        <v>542</v>
      </c>
      <c r="F7367" t="s">
        <v>410</v>
      </c>
      <c r="G7367">
        <v>321</v>
      </c>
      <c r="I7367">
        <v>321</v>
      </c>
    </row>
    <row r="7368" spans="1:17" x14ac:dyDescent="0.2">
      <c r="A7368" s="121">
        <v>41670</v>
      </c>
      <c r="B7368" t="s">
        <v>406</v>
      </c>
      <c r="C7368" t="s">
        <v>510</v>
      </c>
      <c r="D7368" t="s">
        <v>543</v>
      </c>
      <c r="E7368" t="s">
        <v>544</v>
      </c>
      <c r="F7368" t="s">
        <v>410</v>
      </c>
      <c r="G7368">
        <v>194</v>
      </c>
      <c r="I7368">
        <v>194</v>
      </c>
    </row>
    <row r="7369" spans="1:17" x14ac:dyDescent="0.2">
      <c r="A7369" s="121">
        <v>41670</v>
      </c>
      <c r="B7369" t="s">
        <v>406</v>
      </c>
      <c r="C7369" t="s">
        <v>510</v>
      </c>
      <c r="D7369" t="s">
        <v>545</v>
      </c>
      <c r="E7369" t="s">
        <v>546</v>
      </c>
      <c r="F7369" t="s">
        <v>410</v>
      </c>
      <c r="G7369">
        <v>136</v>
      </c>
      <c r="I7369">
        <v>136</v>
      </c>
    </row>
    <row r="7370" spans="1:17" x14ac:dyDescent="0.2">
      <c r="A7370" s="121">
        <v>41670</v>
      </c>
      <c r="B7370" t="s">
        <v>406</v>
      </c>
      <c r="C7370" t="s">
        <v>510</v>
      </c>
      <c r="D7370" t="s">
        <v>547</v>
      </c>
      <c r="E7370" t="s">
        <v>548</v>
      </c>
      <c r="F7370" t="s">
        <v>410</v>
      </c>
      <c r="G7370">
        <v>119</v>
      </c>
      <c r="I7370">
        <v>119</v>
      </c>
    </row>
    <row r="7371" spans="1:17" x14ac:dyDescent="0.2">
      <c r="A7371" s="121">
        <v>41670</v>
      </c>
      <c r="B7371" t="s">
        <v>406</v>
      </c>
      <c r="C7371" t="s">
        <v>510</v>
      </c>
      <c r="D7371" t="s">
        <v>616</v>
      </c>
      <c r="E7371" t="s">
        <v>617</v>
      </c>
      <c r="F7371" t="s">
        <v>410</v>
      </c>
      <c r="G7371">
        <v>306</v>
      </c>
      <c r="I7371">
        <v>297</v>
      </c>
    </row>
    <row r="7372" spans="1:17" x14ac:dyDescent="0.2">
      <c r="A7372" s="121">
        <v>41670</v>
      </c>
      <c r="B7372" t="s">
        <v>406</v>
      </c>
      <c r="C7372" t="s">
        <v>510</v>
      </c>
      <c r="D7372" t="s">
        <v>549</v>
      </c>
      <c r="E7372" t="s">
        <v>550</v>
      </c>
      <c r="F7372" t="s">
        <v>410</v>
      </c>
      <c r="G7372">
        <v>129</v>
      </c>
      <c r="I7372">
        <v>129</v>
      </c>
    </row>
    <row r="7373" spans="1:17" x14ac:dyDescent="0.2">
      <c r="A7373" s="121">
        <v>41670</v>
      </c>
      <c r="B7373" t="s">
        <v>406</v>
      </c>
      <c r="C7373" t="s">
        <v>510</v>
      </c>
      <c r="D7373" t="s">
        <v>625</v>
      </c>
      <c r="E7373" t="s">
        <v>626</v>
      </c>
      <c r="F7373" t="s">
        <v>410</v>
      </c>
      <c r="G7373">
        <v>43</v>
      </c>
      <c r="I7373">
        <v>40</v>
      </c>
    </row>
    <row r="7374" spans="1:17" x14ac:dyDescent="0.2">
      <c r="A7374" s="121">
        <v>41670</v>
      </c>
      <c r="B7374" t="s">
        <v>406</v>
      </c>
      <c r="C7374" t="s">
        <v>551</v>
      </c>
      <c r="D7374" t="s">
        <v>552</v>
      </c>
      <c r="E7374" t="s">
        <v>553</v>
      </c>
      <c r="F7374" t="s">
        <v>413</v>
      </c>
      <c r="G7374">
        <v>5405</v>
      </c>
      <c r="H7374">
        <v>5405</v>
      </c>
      <c r="I7374">
        <v>4846</v>
      </c>
      <c r="J7374">
        <v>4846</v>
      </c>
      <c r="K7374">
        <v>1734</v>
      </c>
      <c r="L7374">
        <v>8</v>
      </c>
      <c r="M7374">
        <v>3415</v>
      </c>
      <c r="N7374">
        <v>184</v>
      </c>
      <c r="O7374">
        <v>64</v>
      </c>
      <c r="P7374">
        <v>15</v>
      </c>
      <c r="Q7374">
        <v>0</v>
      </c>
    </row>
    <row r="7375" spans="1:17" x14ac:dyDescent="0.2">
      <c r="A7375" s="121">
        <v>41670</v>
      </c>
      <c r="B7375" t="s">
        <v>406</v>
      </c>
      <c r="C7375" t="s">
        <v>551</v>
      </c>
      <c r="D7375" t="s">
        <v>554</v>
      </c>
      <c r="E7375" t="s">
        <v>555</v>
      </c>
      <c r="F7375" t="s">
        <v>410</v>
      </c>
      <c r="G7375">
        <v>71</v>
      </c>
      <c r="I7375">
        <v>71</v>
      </c>
    </row>
    <row r="7376" spans="1:17" x14ac:dyDescent="0.2">
      <c r="A7376" s="121">
        <v>41670</v>
      </c>
      <c r="B7376" t="s">
        <v>406</v>
      </c>
      <c r="C7376" t="s">
        <v>551</v>
      </c>
      <c r="D7376" t="s">
        <v>556</v>
      </c>
      <c r="E7376" t="s">
        <v>557</v>
      </c>
      <c r="F7376" t="s">
        <v>410</v>
      </c>
      <c r="G7376">
        <v>73</v>
      </c>
      <c r="I7376">
        <v>73</v>
      </c>
    </row>
    <row r="7377" spans="1:17" x14ac:dyDescent="0.2">
      <c r="A7377" s="121">
        <v>41670</v>
      </c>
      <c r="B7377" t="s">
        <v>406</v>
      </c>
      <c r="C7377" t="s">
        <v>551</v>
      </c>
      <c r="D7377" t="s">
        <v>558</v>
      </c>
      <c r="E7377" t="s">
        <v>559</v>
      </c>
      <c r="F7377" t="s">
        <v>413</v>
      </c>
      <c r="G7377">
        <v>4525</v>
      </c>
      <c r="H7377">
        <v>4525</v>
      </c>
      <c r="I7377">
        <v>3937</v>
      </c>
      <c r="J7377">
        <v>3937</v>
      </c>
      <c r="K7377">
        <v>1327</v>
      </c>
      <c r="L7377">
        <v>6</v>
      </c>
      <c r="M7377">
        <v>3013</v>
      </c>
      <c r="N7377">
        <v>163</v>
      </c>
      <c r="O7377">
        <v>16</v>
      </c>
      <c r="P7377">
        <v>68</v>
      </c>
      <c r="Q7377">
        <v>29</v>
      </c>
    </row>
    <row r="7378" spans="1:17" x14ac:dyDescent="0.2">
      <c r="A7378" s="121">
        <v>41670</v>
      </c>
      <c r="B7378" t="s">
        <v>406</v>
      </c>
      <c r="C7378" t="s">
        <v>551</v>
      </c>
      <c r="D7378" t="s">
        <v>560</v>
      </c>
      <c r="E7378" t="s">
        <v>561</v>
      </c>
      <c r="F7378" t="s">
        <v>413</v>
      </c>
      <c r="G7378">
        <v>5122</v>
      </c>
      <c r="H7378">
        <v>5122</v>
      </c>
      <c r="I7378">
        <v>4578</v>
      </c>
      <c r="J7378">
        <v>4578</v>
      </c>
      <c r="K7378">
        <v>1196</v>
      </c>
      <c r="L7378">
        <v>6</v>
      </c>
      <c r="M7378">
        <v>3585</v>
      </c>
      <c r="N7378">
        <v>290</v>
      </c>
      <c r="O7378">
        <v>45</v>
      </c>
      <c r="P7378">
        <v>85</v>
      </c>
      <c r="Q7378">
        <v>27</v>
      </c>
    </row>
    <row r="7379" spans="1:17" x14ac:dyDescent="0.2">
      <c r="A7379" s="121">
        <v>41670</v>
      </c>
      <c r="B7379" t="s">
        <v>406</v>
      </c>
      <c r="C7379" t="s">
        <v>562</v>
      </c>
      <c r="D7379" t="s">
        <v>605</v>
      </c>
      <c r="E7379" t="s">
        <v>606</v>
      </c>
      <c r="F7379" t="s">
        <v>410</v>
      </c>
      <c r="G7379">
        <v>41</v>
      </c>
      <c r="I7379">
        <v>41</v>
      </c>
    </row>
    <row r="7380" spans="1:17" x14ac:dyDescent="0.2">
      <c r="A7380" s="121">
        <v>41670</v>
      </c>
      <c r="B7380" t="s">
        <v>406</v>
      </c>
      <c r="C7380" t="s">
        <v>562</v>
      </c>
      <c r="D7380" t="s">
        <v>563</v>
      </c>
      <c r="E7380" t="s">
        <v>564</v>
      </c>
      <c r="F7380" t="s">
        <v>410</v>
      </c>
      <c r="G7380">
        <v>3409</v>
      </c>
      <c r="H7380">
        <v>3409</v>
      </c>
      <c r="I7380">
        <v>2818</v>
      </c>
      <c r="J7380">
        <v>2818</v>
      </c>
      <c r="K7380">
        <v>1300</v>
      </c>
      <c r="L7380">
        <v>2</v>
      </c>
      <c r="M7380">
        <v>2084</v>
      </c>
      <c r="N7380">
        <v>23</v>
      </c>
      <c r="O7380">
        <v>0</v>
      </c>
      <c r="P7380">
        <v>114</v>
      </c>
      <c r="Q7380">
        <v>33</v>
      </c>
    </row>
    <row r="7381" spans="1:17" x14ac:dyDescent="0.2">
      <c r="A7381" s="121">
        <v>41670</v>
      </c>
      <c r="B7381" t="s">
        <v>406</v>
      </c>
      <c r="C7381" t="s">
        <v>562</v>
      </c>
      <c r="D7381" t="s">
        <v>565</v>
      </c>
      <c r="E7381" t="s">
        <v>566</v>
      </c>
      <c r="F7381" t="s">
        <v>413</v>
      </c>
      <c r="G7381">
        <v>4255</v>
      </c>
      <c r="H7381">
        <v>4255</v>
      </c>
      <c r="I7381">
        <v>3969</v>
      </c>
      <c r="J7381">
        <v>3969</v>
      </c>
      <c r="K7381">
        <v>1116</v>
      </c>
      <c r="L7381">
        <v>13</v>
      </c>
      <c r="M7381">
        <v>3019</v>
      </c>
      <c r="N7381">
        <v>107</v>
      </c>
      <c r="O7381">
        <v>0</v>
      </c>
      <c r="P7381">
        <v>4</v>
      </c>
      <c r="Q7381">
        <v>0</v>
      </c>
    </row>
    <row r="7382" spans="1:17" x14ac:dyDescent="0.2">
      <c r="A7382" s="121">
        <v>41670</v>
      </c>
      <c r="B7382" t="s">
        <v>406</v>
      </c>
      <c r="C7382" t="s">
        <v>562</v>
      </c>
      <c r="D7382" t="s">
        <v>567</v>
      </c>
      <c r="E7382" t="s">
        <v>568</v>
      </c>
      <c r="F7382" t="s">
        <v>413</v>
      </c>
      <c r="G7382">
        <v>9268</v>
      </c>
      <c r="H7382">
        <v>9268</v>
      </c>
      <c r="I7382">
        <v>8228</v>
      </c>
      <c r="J7382">
        <v>8228</v>
      </c>
      <c r="K7382">
        <v>2920</v>
      </c>
      <c r="L7382">
        <v>16</v>
      </c>
      <c r="M7382">
        <v>6079</v>
      </c>
      <c r="N7382">
        <v>253</v>
      </c>
      <c r="O7382">
        <v>0</v>
      </c>
      <c r="P7382">
        <v>165</v>
      </c>
      <c r="Q7382">
        <v>16</v>
      </c>
    </row>
    <row r="7383" spans="1:17" x14ac:dyDescent="0.2">
      <c r="A7383" s="121">
        <v>41670</v>
      </c>
      <c r="B7383" t="s">
        <v>406</v>
      </c>
      <c r="C7383" t="s">
        <v>562</v>
      </c>
      <c r="D7383" t="s">
        <v>569</v>
      </c>
      <c r="E7383" t="s">
        <v>570</v>
      </c>
      <c r="F7383" t="s">
        <v>413</v>
      </c>
      <c r="G7383">
        <v>3369</v>
      </c>
      <c r="H7383">
        <v>3369</v>
      </c>
      <c r="I7383">
        <v>3325</v>
      </c>
      <c r="J7383">
        <v>3325</v>
      </c>
      <c r="K7383">
        <v>495</v>
      </c>
      <c r="L7383">
        <v>0</v>
      </c>
      <c r="M7383">
        <v>2873</v>
      </c>
      <c r="N7383">
        <v>1</v>
      </c>
      <c r="O7383">
        <v>0</v>
      </c>
      <c r="P7383">
        <v>0</v>
      </c>
      <c r="Q7383">
        <v>0</v>
      </c>
    </row>
    <row r="7384" spans="1:17" x14ac:dyDescent="0.2">
      <c r="A7384" s="121">
        <v>41670</v>
      </c>
      <c r="B7384" t="s">
        <v>406</v>
      </c>
      <c r="C7384" t="s">
        <v>571</v>
      </c>
      <c r="D7384" t="s">
        <v>572</v>
      </c>
      <c r="E7384" t="s">
        <v>627</v>
      </c>
      <c r="F7384" t="s">
        <v>413</v>
      </c>
      <c r="G7384">
        <v>392</v>
      </c>
      <c r="H7384">
        <v>392</v>
      </c>
      <c r="I7384">
        <v>382</v>
      </c>
      <c r="J7384">
        <v>382</v>
      </c>
      <c r="K7384">
        <v>124</v>
      </c>
      <c r="L7384">
        <v>0</v>
      </c>
      <c r="M7384">
        <v>268</v>
      </c>
      <c r="N7384">
        <v>0</v>
      </c>
      <c r="O7384">
        <v>0</v>
      </c>
      <c r="P7384">
        <v>1</v>
      </c>
      <c r="Q7384">
        <v>0</v>
      </c>
    </row>
    <row r="7385" spans="1:17" x14ac:dyDescent="0.2">
      <c r="A7385" s="121">
        <v>41670</v>
      </c>
      <c r="B7385" t="s">
        <v>406</v>
      </c>
      <c r="C7385" t="s">
        <v>574</v>
      </c>
      <c r="D7385" t="s">
        <v>575</v>
      </c>
      <c r="E7385" t="s">
        <v>576</v>
      </c>
      <c r="F7385" t="s">
        <v>413</v>
      </c>
      <c r="G7385">
        <v>655</v>
      </c>
      <c r="H7385">
        <v>655</v>
      </c>
      <c r="I7385">
        <v>640</v>
      </c>
      <c r="J7385">
        <v>640</v>
      </c>
      <c r="K7385">
        <v>183</v>
      </c>
      <c r="L7385">
        <v>2</v>
      </c>
      <c r="M7385">
        <v>437</v>
      </c>
      <c r="N7385">
        <v>1</v>
      </c>
      <c r="O7385">
        <v>32</v>
      </c>
      <c r="P7385">
        <v>0</v>
      </c>
      <c r="Q7385">
        <v>0</v>
      </c>
    </row>
    <row r="7386" spans="1:17" x14ac:dyDescent="0.2">
      <c r="A7386" s="121">
        <v>41670</v>
      </c>
      <c r="B7386" t="s">
        <v>406</v>
      </c>
      <c r="C7386" t="s">
        <v>577</v>
      </c>
      <c r="D7386" t="s">
        <v>578</v>
      </c>
      <c r="E7386" t="s">
        <v>579</v>
      </c>
      <c r="F7386" t="s">
        <v>413</v>
      </c>
      <c r="G7386">
        <v>3634</v>
      </c>
      <c r="H7386">
        <v>3634</v>
      </c>
      <c r="I7386">
        <v>3589</v>
      </c>
      <c r="J7386">
        <v>3589</v>
      </c>
      <c r="K7386">
        <v>920</v>
      </c>
      <c r="L7386">
        <v>11</v>
      </c>
      <c r="M7386">
        <v>2415</v>
      </c>
      <c r="N7386">
        <v>285</v>
      </c>
      <c r="O7386">
        <v>3</v>
      </c>
      <c r="P7386">
        <v>0</v>
      </c>
      <c r="Q7386">
        <v>0</v>
      </c>
    </row>
    <row r="7387" spans="1:17" x14ac:dyDescent="0.2">
      <c r="A7387" s="121">
        <v>41670</v>
      </c>
      <c r="B7387" t="s">
        <v>406</v>
      </c>
      <c r="C7387" t="s">
        <v>577</v>
      </c>
      <c r="D7387" t="s">
        <v>580</v>
      </c>
      <c r="E7387" t="s">
        <v>581</v>
      </c>
      <c r="F7387" t="s">
        <v>413</v>
      </c>
      <c r="G7387">
        <v>1895</v>
      </c>
      <c r="H7387">
        <v>1895</v>
      </c>
      <c r="I7387">
        <v>1866</v>
      </c>
      <c r="J7387">
        <v>1866</v>
      </c>
      <c r="K7387">
        <v>342</v>
      </c>
      <c r="L7387">
        <v>0</v>
      </c>
      <c r="M7387">
        <v>1163</v>
      </c>
      <c r="N7387">
        <v>333</v>
      </c>
      <c r="O7387">
        <v>57</v>
      </c>
      <c r="P7387">
        <v>0</v>
      </c>
      <c r="Q7387">
        <v>0</v>
      </c>
    </row>
    <row r="7388" spans="1:17" x14ac:dyDescent="0.2">
      <c r="A7388" s="121">
        <v>41670</v>
      </c>
      <c r="B7388" t="s">
        <v>406</v>
      </c>
      <c r="C7388" t="s">
        <v>577</v>
      </c>
      <c r="D7388" t="s">
        <v>609</v>
      </c>
      <c r="E7388" t="s">
        <v>610</v>
      </c>
      <c r="F7388" t="s">
        <v>410</v>
      </c>
      <c r="G7388">
        <v>25</v>
      </c>
      <c r="H7388">
        <v>25</v>
      </c>
      <c r="I7388">
        <v>25</v>
      </c>
      <c r="J7388">
        <v>25</v>
      </c>
      <c r="K7388">
        <v>0</v>
      </c>
      <c r="L7388">
        <v>0</v>
      </c>
      <c r="M7388">
        <v>22</v>
      </c>
      <c r="N7388">
        <v>2</v>
      </c>
      <c r="O7388">
        <v>1</v>
      </c>
      <c r="P7388">
        <v>0</v>
      </c>
      <c r="Q7388">
        <v>0</v>
      </c>
    </row>
    <row r="7389" spans="1:17" x14ac:dyDescent="0.2">
      <c r="A7389" s="121">
        <v>41670</v>
      </c>
      <c r="B7389" t="s">
        <v>406</v>
      </c>
      <c r="C7389" t="s">
        <v>577</v>
      </c>
      <c r="D7389" t="s">
        <v>611</v>
      </c>
      <c r="E7389" t="s">
        <v>612</v>
      </c>
      <c r="F7389" t="s">
        <v>410</v>
      </c>
      <c r="G7389">
        <v>6</v>
      </c>
      <c r="H7389">
        <v>6</v>
      </c>
      <c r="I7389">
        <v>6</v>
      </c>
      <c r="J7389">
        <v>6</v>
      </c>
      <c r="K7389">
        <v>0</v>
      </c>
      <c r="L7389">
        <v>0</v>
      </c>
      <c r="M7389">
        <v>3</v>
      </c>
      <c r="N7389">
        <v>0</v>
      </c>
      <c r="O7389">
        <v>3</v>
      </c>
      <c r="P7389">
        <v>0</v>
      </c>
      <c r="Q7389">
        <v>0</v>
      </c>
    </row>
    <row r="7390" spans="1:17" x14ac:dyDescent="0.2">
      <c r="A7390" s="121">
        <v>41670</v>
      </c>
      <c r="B7390" t="s">
        <v>406</v>
      </c>
      <c r="C7390" t="s">
        <v>577</v>
      </c>
      <c r="D7390" t="s">
        <v>584</v>
      </c>
      <c r="E7390" t="s">
        <v>585</v>
      </c>
      <c r="F7390" t="s">
        <v>410</v>
      </c>
      <c r="G7390">
        <v>220</v>
      </c>
      <c r="H7390">
        <v>220</v>
      </c>
      <c r="I7390">
        <v>220</v>
      </c>
      <c r="J7390">
        <v>220</v>
      </c>
      <c r="K7390">
        <v>0</v>
      </c>
      <c r="L7390">
        <v>0</v>
      </c>
      <c r="M7390">
        <v>203</v>
      </c>
      <c r="N7390">
        <v>16</v>
      </c>
      <c r="O7390">
        <v>1</v>
      </c>
      <c r="P7390">
        <v>0</v>
      </c>
      <c r="Q7390">
        <v>0</v>
      </c>
    </row>
    <row r="7391" spans="1:17" x14ac:dyDescent="0.2">
      <c r="A7391" s="121">
        <v>41670</v>
      </c>
      <c r="B7391" t="s">
        <v>406</v>
      </c>
      <c r="C7391" t="s">
        <v>577</v>
      </c>
      <c r="D7391" t="s">
        <v>586</v>
      </c>
      <c r="E7391" t="s">
        <v>587</v>
      </c>
      <c r="F7391" t="s">
        <v>410</v>
      </c>
      <c r="G7391">
        <v>1106</v>
      </c>
      <c r="H7391">
        <v>1106</v>
      </c>
      <c r="I7391">
        <v>1106</v>
      </c>
      <c r="J7391">
        <v>1106</v>
      </c>
      <c r="K7391">
        <v>0</v>
      </c>
      <c r="L7391">
        <v>0</v>
      </c>
      <c r="M7391">
        <v>988</v>
      </c>
      <c r="N7391">
        <v>110</v>
      </c>
      <c r="O7391">
        <v>8</v>
      </c>
      <c r="P7391">
        <v>0</v>
      </c>
      <c r="Q7391">
        <v>0</v>
      </c>
    </row>
    <row r="7392" spans="1:17" x14ac:dyDescent="0.2">
      <c r="A7392" s="121">
        <v>41670</v>
      </c>
      <c r="B7392" t="s">
        <v>406</v>
      </c>
      <c r="C7392" t="s">
        <v>577</v>
      </c>
      <c r="D7392" t="s">
        <v>588</v>
      </c>
      <c r="E7392" t="s">
        <v>589</v>
      </c>
      <c r="F7392" t="s">
        <v>410</v>
      </c>
      <c r="G7392">
        <v>236</v>
      </c>
      <c r="H7392">
        <v>236</v>
      </c>
      <c r="I7392">
        <v>236</v>
      </c>
      <c r="J7392">
        <v>236</v>
      </c>
      <c r="K7392">
        <v>0</v>
      </c>
      <c r="L7392">
        <v>0</v>
      </c>
      <c r="M7392">
        <v>218</v>
      </c>
      <c r="N7392">
        <v>18</v>
      </c>
      <c r="O7392">
        <v>0</v>
      </c>
      <c r="P7392">
        <v>0</v>
      </c>
      <c r="Q7392">
        <v>0</v>
      </c>
    </row>
    <row r="7393" spans="1:17" x14ac:dyDescent="0.2">
      <c r="A7393" s="121">
        <v>41670</v>
      </c>
      <c r="B7393" t="s">
        <v>406</v>
      </c>
      <c r="C7393" t="s">
        <v>577</v>
      </c>
      <c r="D7393" t="s">
        <v>613</v>
      </c>
      <c r="E7393" t="s">
        <v>614</v>
      </c>
      <c r="F7393" t="s">
        <v>410</v>
      </c>
      <c r="G7393">
        <v>144</v>
      </c>
      <c r="H7393">
        <v>144</v>
      </c>
      <c r="I7393">
        <v>144</v>
      </c>
      <c r="J7393">
        <v>144</v>
      </c>
      <c r="K7393">
        <v>0</v>
      </c>
      <c r="L7393">
        <v>0</v>
      </c>
      <c r="M7393">
        <v>128</v>
      </c>
      <c r="N7393">
        <v>9</v>
      </c>
      <c r="O7393">
        <v>7</v>
      </c>
      <c r="P7393">
        <v>0</v>
      </c>
      <c r="Q7393">
        <v>0</v>
      </c>
    </row>
    <row r="7394" spans="1:17" x14ac:dyDescent="0.2">
      <c r="A7394" s="121">
        <v>41670</v>
      </c>
      <c r="B7394" t="s">
        <v>406</v>
      </c>
      <c r="C7394" t="s">
        <v>577</v>
      </c>
      <c r="D7394" t="s">
        <v>590</v>
      </c>
      <c r="E7394" t="s">
        <v>591</v>
      </c>
      <c r="F7394" t="s">
        <v>410</v>
      </c>
      <c r="G7394">
        <v>536</v>
      </c>
      <c r="H7394">
        <v>536</v>
      </c>
      <c r="I7394">
        <v>536</v>
      </c>
      <c r="J7394">
        <v>536</v>
      </c>
      <c r="K7394">
        <v>0</v>
      </c>
      <c r="L7394">
        <v>1</v>
      </c>
      <c r="M7394">
        <v>507</v>
      </c>
      <c r="N7394">
        <v>27</v>
      </c>
      <c r="O7394">
        <v>1</v>
      </c>
      <c r="P7394">
        <v>0</v>
      </c>
      <c r="Q7394">
        <v>0</v>
      </c>
    </row>
    <row r="7395" spans="1:17" x14ac:dyDescent="0.2">
      <c r="A7395" s="121">
        <v>41670</v>
      </c>
      <c r="B7395" t="s">
        <v>406</v>
      </c>
      <c r="C7395" t="s">
        <v>577</v>
      </c>
      <c r="D7395" t="s">
        <v>607</v>
      </c>
      <c r="E7395" t="s">
        <v>608</v>
      </c>
      <c r="F7395" t="s">
        <v>410</v>
      </c>
      <c r="G7395">
        <v>138</v>
      </c>
      <c r="H7395">
        <v>138</v>
      </c>
      <c r="I7395">
        <v>138</v>
      </c>
      <c r="J7395">
        <v>138</v>
      </c>
      <c r="K7395">
        <v>0</v>
      </c>
      <c r="L7395">
        <v>0</v>
      </c>
      <c r="M7395">
        <v>115</v>
      </c>
      <c r="N7395">
        <v>16</v>
      </c>
      <c r="O7395">
        <v>7</v>
      </c>
      <c r="P7395">
        <v>0</v>
      </c>
      <c r="Q7395">
        <v>0</v>
      </c>
    </row>
    <row r="7396" spans="1:17" x14ac:dyDescent="0.2">
      <c r="A7396" s="121">
        <v>41670</v>
      </c>
      <c r="B7396" t="s">
        <v>406</v>
      </c>
      <c r="C7396" t="s">
        <v>577</v>
      </c>
      <c r="D7396" t="s">
        <v>592</v>
      </c>
      <c r="E7396" t="s">
        <v>593</v>
      </c>
      <c r="F7396" t="s">
        <v>410</v>
      </c>
      <c r="G7396">
        <v>533</v>
      </c>
      <c r="H7396">
        <v>533</v>
      </c>
      <c r="I7396">
        <v>533</v>
      </c>
      <c r="J7396">
        <v>533</v>
      </c>
      <c r="K7396">
        <v>0</v>
      </c>
      <c r="L7396">
        <v>0</v>
      </c>
      <c r="M7396">
        <v>485</v>
      </c>
      <c r="N7396">
        <v>45</v>
      </c>
      <c r="O7396">
        <v>3</v>
      </c>
      <c r="P7396">
        <v>0</v>
      </c>
      <c r="Q7396">
        <v>0</v>
      </c>
    </row>
    <row r="7397" spans="1:17" x14ac:dyDescent="0.2">
      <c r="A7397" s="121">
        <v>41670</v>
      </c>
      <c r="B7397" t="s">
        <v>406</v>
      </c>
      <c r="C7397" t="s">
        <v>594</v>
      </c>
      <c r="D7397" t="s">
        <v>595</v>
      </c>
      <c r="E7397" t="s">
        <v>596</v>
      </c>
      <c r="F7397" t="s">
        <v>410</v>
      </c>
      <c r="G7397">
        <v>19</v>
      </c>
      <c r="I7397">
        <v>19</v>
      </c>
    </row>
    <row r="7398" spans="1:17" x14ac:dyDescent="0.2">
      <c r="A7398" s="121">
        <v>41670</v>
      </c>
      <c r="B7398" t="s">
        <v>406</v>
      </c>
      <c r="C7398" t="s">
        <v>594</v>
      </c>
      <c r="D7398" t="s">
        <v>597</v>
      </c>
      <c r="E7398" t="s">
        <v>598</v>
      </c>
      <c r="F7398" t="s">
        <v>413</v>
      </c>
      <c r="G7398">
        <v>453</v>
      </c>
      <c r="H7398">
        <v>453</v>
      </c>
      <c r="I7398">
        <v>445</v>
      </c>
      <c r="J7398">
        <v>445</v>
      </c>
      <c r="K7398">
        <v>134</v>
      </c>
      <c r="L7398">
        <v>1</v>
      </c>
      <c r="M7398">
        <v>310</v>
      </c>
      <c r="N7398">
        <v>6</v>
      </c>
      <c r="O7398">
        <v>2</v>
      </c>
      <c r="P7398">
        <v>1</v>
      </c>
      <c r="Q7398">
        <v>0</v>
      </c>
    </row>
    <row r="7399" spans="1:17" x14ac:dyDescent="0.2">
      <c r="A7399" s="121">
        <v>41670</v>
      </c>
      <c r="B7399" t="s">
        <v>406</v>
      </c>
      <c r="C7399" t="s">
        <v>594</v>
      </c>
      <c r="D7399" t="s">
        <v>599</v>
      </c>
      <c r="E7399" t="s">
        <v>600</v>
      </c>
      <c r="F7399" t="s">
        <v>410</v>
      </c>
      <c r="G7399">
        <v>55</v>
      </c>
      <c r="I7399">
        <v>55</v>
      </c>
    </row>
    <row r="7400" spans="1:17" x14ac:dyDescent="0.2">
      <c r="A7400" s="121">
        <v>41698</v>
      </c>
      <c r="B7400" t="s">
        <v>406</v>
      </c>
      <c r="C7400" t="s">
        <v>407</v>
      </c>
      <c r="D7400" t="s">
        <v>408</v>
      </c>
      <c r="E7400" t="s">
        <v>409</v>
      </c>
      <c r="F7400" t="s">
        <v>410</v>
      </c>
      <c r="G7400">
        <v>161</v>
      </c>
      <c r="I7400">
        <v>161</v>
      </c>
    </row>
    <row r="7401" spans="1:17" x14ac:dyDescent="0.2">
      <c r="A7401" s="121">
        <v>41698</v>
      </c>
      <c r="B7401" t="s">
        <v>406</v>
      </c>
      <c r="C7401" t="s">
        <v>407</v>
      </c>
      <c r="D7401" t="s">
        <v>601</v>
      </c>
      <c r="E7401" t="s">
        <v>602</v>
      </c>
      <c r="F7401" t="s">
        <v>410</v>
      </c>
      <c r="G7401">
        <v>35</v>
      </c>
      <c r="I7401">
        <v>35</v>
      </c>
    </row>
    <row r="7402" spans="1:17" x14ac:dyDescent="0.2">
      <c r="A7402" s="121">
        <v>41698</v>
      </c>
      <c r="B7402" t="s">
        <v>406</v>
      </c>
      <c r="C7402" t="s">
        <v>407</v>
      </c>
      <c r="D7402" t="s">
        <v>411</v>
      </c>
      <c r="E7402" t="s">
        <v>412</v>
      </c>
      <c r="F7402" t="s">
        <v>413</v>
      </c>
      <c r="G7402">
        <v>5441</v>
      </c>
      <c r="H7402">
        <v>5441</v>
      </c>
      <c r="I7402">
        <v>5039</v>
      </c>
      <c r="J7402">
        <v>5039</v>
      </c>
      <c r="K7402">
        <v>2232</v>
      </c>
      <c r="L7402">
        <v>6</v>
      </c>
      <c r="M7402">
        <v>2781</v>
      </c>
      <c r="N7402">
        <v>160</v>
      </c>
      <c r="O7402">
        <v>262</v>
      </c>
      <c r="P7402">
        <v>21</v>
      </c>
      <c r="Q7402">
        <v>0</v>
      </c>
    </row>
    <row r="7403" spans="1:17" x14ac:dyDescent="0.2">
      <c r="A7403" s="121">
        <v>41698</v>
      </c>
      <c r="B7403" t="s">
        <v>406</v>
      </c>
      <c r="C7403" t="s">
        <v>407</v>
      </c>
      <c r="D7403" t="s">
        <v>416</v>
      </c>
      <c r="E7403" t="s">
        <v>417</v>
      </c>
      <c r="F7403" t="s">
        <v>413</v>
      </c>
      <c r="G7403">
        <v>3150</v>
      </c>
      <c r="H7403">
        <v>3150</v>
      </c>
      <c r="I7403">
        <v>2874</v>
      </c>
      <c r="J7403">
        <v>2874</v>
      </c>
      <c r="K7403">
        <v>1195</v>
      </c>
      <c r="L7403">
        <v>4</v>
      </c>
      <c r="M7403">
        <v>1783</v>
      </c>
      <c r="N7403">
        <v>99</v>
      </c>
      <c r="O7403">
        <v>69</v>
      </c>
      <c r="P7403">
        <v>10</v>
      </c>
      <c r="Q7403">
        <v>0</v>
      </c>
    </row>
    <row r="7404" spans="1:17" x14ac:dyDescent="0.2">
      <c r="A7404" s="121">
        <v>41698</v>
      </c>
      <c r="B7404" t="s">
        <v>406</v>
      </c>
      <c r="C7404" t="s">
        <v>407</v>
      </c>
      <c r="D7404" t="s">
        <v>618</v>
      </c>
      <c r="E7404" t="s">
        <v>619</v>
      </c>
      <c r="F7404" t="s">
        <v>410</v>
      </c>
      <c r="G7404">
        <v>71</v>
      </c>
      <c r="I7404">
        <v>71</v>
      </c>
    </row>
    <row r="7405" spans="1:17" x14ac:dyDescent="0.2">
      <c r="A7405" s="121">
        <v>41698</v>
      </c>
      <c r="B7405" t="s">
        <v>406</v>
      </c>
      <c r="C7405" t="s">
        <v>418</v>
      </c>
      <c r="D7405" t="s">
        <v>419</v>
      </c>
      <c r="E7405" t="s">
        <v>420</v>
      </c>
      <c r="F7405" t="s">
        <v>410</v>
      </c>
      <c r="G7405">
        <v>6</v>
      </c>
      <c r="I7405">
        <v>6</v>
      </c>
    </row>
    <row r="7406" spans="1:17" x14ac:dyDescent="0.2">
      <c r="A7406" s="121">
        <v>41698</v>
      </c>
      <c r="B7406" t="s">
        <v>406</v>
      </c>
      <c r="C7406" t="s">
        <v>418</v>
      </c>
      <c r="D7406" t="s">
        <v>421</v>
      </c>
      <c r="E7406" t="s">
        <v>422</v>
      </c>
      <c r="F7406" t="s">
        <v>410</v>
      </c>
      <c r="G7406">
        <v>68</v>
      </c>
      <c r="I7406">
        <v>68</v>
      </c>
    </row>
    <row r="7407" spans="1:17" x14ac:dyDescent="0.2">
      <c r="A7407" s="121">
        <v>41698</v>
      </c>
      <c r="B7407" t="s">
        <v>406</v>
      </c>
      <c r="C7407" t="s">
        <v>418</v>
      </c>
      <c r="D7407" t="s">
        <v>423</v>
      </c>
      <c r="E7407" t="s">
        <v>424</v>
      </c>
      <c r="F7407" t="s">
        <v>410</v>
      </c>
      <c r="G7407">
        <v>6</v>
      </c>
      <c r="I7407">
        <v>6</v>
      </c>
    </row>
    <row r="7408" spans="1:17" x14ac:dyDescent="0.2">
      <c r="A7408" s="121">
        <v>41698</v>
      </c>
      <c r="B7408" t="s">
        <v>406</v>
      </c>
      <c r="C7408" t="s">
        <v>418</v>
      </c>
      <c r="D7408" t="s">
        <v>425</v>
      </c>
      <c r="E7408" t="s">
        <v>426</v>
      </c>
      <c r="F7408" t="s">
        <v>410</v>
      </c>
      <c r="G7408">
        <v>19</v>
      </c>
      <c r="I7408">
        <v>19</v>
      </c>
    </row>
    <row r="7409" spans="1:17" x14ac:dyDescent="0.2">
      <c r="A7409" s="121">
        <v>41698</v>
      </c>
      <c r="B7409" t="s">
        <v>406</v>
      </c>
      <c r="C7409" t="s">
        <v>418</v>
      </c>
      <c r="D7409" t="s">
        <v>427</v>
      </c>
      <c r="E7409" t="s">
        <v>428</v>
      </c>
      <c r="F7409" t="s">
        <v>413</v>
      </c>
      <c r="G7409">
        <v>1881</v>
      </c>
      <c r="H7409">
        <v>1881</v>
      </c>
      <c r="I7409">
        <v>1818</v>
      </c>
      <c r="J7409">
        <v>1818</v>
      </c>
      <c r="K7409">
        <v>680</v>
      </c>
      <c r="L7409">
        <v>3</v>
      </c>
      <c r="M7409">
        <v>967</v>
      </c>
      <c r="N7409">
        <v>208</v>
      </c>
      <c r="O7409">
        <v>23</v>
      </c>
      <c r="P7409">
        <v>4</v>
      </c>
      <c r="Q7409">
        <v>0</v>
      </c>
    </row>
    <row r="7410" spans="1:17" x14ac:dyDescent="0.2">
      <c r="A7410" s="121">
        <v>41698</v>
      </c>
      <c r="B7410" t="s">
        <v>406</v>
      </c>
      <c r="C7410" t="s">
        <v>429</v>
      </c>
      <c r="D7410" t="s">
        <v>430</v>
      </c>
      <c r="E7410" t="s">
        <v>431</v>
      </c>
      <c r="F7410" t="s">
        <v>410</v>
      </c>
      <c r="G7410">
        <v>20</v>
      </c>
      <c r="I7410">
        <v>20</v>
      </c>
    </row>
    <row r="7411" spans="1:17" x14ac:dyDescent="0.2">
      <c r="A7411" s="121">
        <v>41698</v>
      </c>
      <c r="B7411" t="s">
        <v>406</v>
      </c>
      <c r="C7411" t="s">
        <v>429</v>
      </c>
      <c r="D7411" t="s">
        <v>432</v>
      </c>
      <c r="E7411" t="s">
        <v>433</v>
      </c>
      <c r="F7411" t="s">
        <v>410</v>
      </c>
      <c r="G7411">
        <v>36</v>
      </c>
      <c r="I7411">
        <v>36</v>
      </c>
    </row>
    <row r="7412" spans="1:17" x14ac:dyDescent="0.2">
      <c r="A7412" s="121">
        <v>41698</v>
      </c>
      <c r="B7412" t="s">
        <v>406</v>
      </c>
      <c r="C7412" t="s">
        <v>429</v>
      </c>
      <c r="D7412" t="s">
        <v>434</v>
      </c>
      <c r="E7412" t="s">
        <v>435</v>
      </c>
      <c r="F7412" t="s">
        <v>410</v>
      </c>
      <c r="G7412">
        <v>3</v>
      </c>
      <c r="I7412">
        <v>3</v>
      </c>
    </row>
    <row r="7413" spans="1:17" x14ac:dyDescent="0.2">
      <c r="A7413" s="121">
        <v>41698</v>
      </c>
      <c r="B7413" t="s">
        <v>406</v>
      </c>
      <c r="C7413" t="s">
        <v>429</v>
      </c>
      <c r="D7413" t="s">
        <v>436</v>
      </c>
      <c r="E7413" t="s">
        <v>437</v>
      </c>
      <c r="F7413" t="s">
        <v>410</v>
      </c>
      <c r="G7413">
        <v>11</v>
      </c>
      <c r="H7413">
        <v>11</v>
      </c>
      <c r="I7413">
        <v>11</v>
      </c>
      <c r="J7413">
        <v>11</v>
      </c>
      <c r="K7413">
        <v>0</v>
      </c>
      <c r="L7413">
        <v>0</v>
      </c>
      <c r="M7413">
        <v>10</v>
      </c>
      <c r="N7413">
        <v>1</v>
      </c>
      <c r="O7413">
        <v>0</v>
      </c>
      <c r="P7413">
        <v>0</v>
      </c>
      <c r="Q7413">
        <v>0</v>
      </c>
    </row>
    <row r="7414" spans="1:17" x14ac:dyDescent="0.2">
      <c r="A7414" s="121">
        <v>41698</v>
      </c>
      <c r="B7414" t="s">
        <v>406</v>
      </c>
      <c r="C7414" t="s">
        <v>429</v>
      </c>
      <c r="D7414" t="s">
        <v>438</v>
      </c>
      <c r="E7414" t="s">
        <v>439</v>
      </c>
      <c r="F7414" t="s">
        <v>413</v>
      </c>
      <c r="G7414">
        <v>851</v>
      </c>
      <c r="H7414">
        <v>851</v>
      </c>
      <c r="I7414">
        <v>817</v>
      </c>
      <c r="J7414">
        <v>817</v>
      </c>
      <c r="K7414">
        <v>118</v>
      </c>
      <c r="L7414">
        <v>1</v>
      </c>
      <c r="M7414">
        <v>638</v>
      </c>
      <c r="N7414">
        <v>94</v>
      </c>
      <c r="O7414">
        <v>0</v>
      </c>
      <c r="P7414">
        <v>3</v>
      </c>
      <c r="Q7414">
        <v>1</v>
      </c>
    </row>
    <row r="7415" spans="1:17" x14ac:dyDescent="0.2">
      <c r="A7415" s="121">
        <v>41698</v>
      </c>
      <c r="B7415" t="s">
        <v>406</v>
      </c>
      <c r="C7415" t="s">
        <v>429</v>
      </c>
      <c r="D7415" t="s">
        <v>440</v>
      </c>
      <c r="E7415" t="s">
        <v>441</v>
      </c>
      <c r="F7415" t="s">
        <v>413</v>
      </c>
      <c r="G7415">
        <v>2609</v>
      </c>
      <c r="H7415">
        <v>2609</v>
      </c>
      <c r="I7415">
        <v>2420</v>
      </c>
      <c r="J7415">
        <v>2420</v>
      </c>
      <c r="K7415">
        <v>1044</v>
      </c>
      <c r="L7415">
        <v>9</v>
      </c>
      <c r="M7415">
        <v>1487</v>
      </c>
      <c r="N7415">
        <v>69</v>
      </c>
      <c r="O7415">
        <v>0</v>
      </c>
      <c r="P7415">
        <v>0</v>
      </c>
      <c r="Q7415">
        <v>0</v>
      </c>
    </row>
    <row r="7416" spans="1:17" x14ac:dyDescent="0.2">
      <c r="A7416" s="121">
        <v>41698</v>
      </c>
      <c r="B7416" t="s">
        <v>406</v>
      </c>
      <c r="C7416" t="s">
        <v>442</v>
      </c>
      <c r="D7416" t="s">
        <v>443</v>
      </c>
      <c r="E7416" t="s">
        <v>444</v>
      </c>
      <c r="F7416" t="s">
        <v>413</v>
      </c>
      <c r="G7416">
        <v>4826</v>
      </c>
      <c r="H7416">
        <v>4826</v>
      </c>
      <c r="I7416">
        <v>4560</v>
      </c>
      <c r="J7416">
        <v>4560</v>
      </c>
      <c r="K7416">
        <v>1307</v>
      </c>
      <c r="L7416">
        <v>11</v>
      </c>
      <c r="M7416">
        <v>3288</v>
      </c>
      <c r="N7416">
        <v>122</v>
      </c>
      <c r="O7416">
        <v>98</v>
      </c>
      <c r="P7416">
        <v>18</v>
      </c>
      <c r="Q7416">
        <v>0</v>
      </c>
    </row>
    <row r="7417" spans="1:17" x14ac:dyDescent="0.2">
      <c r="A7417" s="121">
        <v>41698</v>
      </c>
      <c r="B7417" t="s">
        <v>406</v>
      </c>
      <c r="C7417" t="s">
        <v>442</v>
      </c>
      <c r="D7417" t="s">
        <v>445</v>
      </c>
      <c r="E7417" t="s">
        <v>446</v>
      </c>
      <c r="F7417" t="s">
        <v>410</v>
      </c>
      <c r="G7417">
        <v>119</v>
      </c>
      <c r="I7417">
        <v>119</v>
      </c>
    </row>
    <row r="7418" spans="1:17" x14ac:dyDescent="0.2">
      <c r="A7418" s="121">
        <v>41698</v>
      </c>
      <c r="B7418" t="s">
        <v>406</v>
      </c>
      <c r="C7418" t="s">
        <v>442</v>
      </c>
      <c r="D7418" t="s">
        <v>447</v>
      </c>
      <c r="E7418" t="s">
        <v>448</v>
      </c>
      <c r="F7418" t="s">
        <v>410</v>
      </c>
      <c r="G7418">
        <v>332</v>
      </c>
      <c r="I7418">
        <v>332</v>
      </c>
    </row>
    <row r="7419" spans="1:17" x14ac:dyDescent="0.2">
      <c r="A7419" s="121">
        <v>41698</v>
      </c>
      <c r="B7419" t="s">
        <v>406</v>
      </c>
      <c r="C7419" t="s">
        <v>442</v>
      </c>
      <c r="D7419" t="s">
        <v>449</v>
      </c>
      <c r="E7419" t="s">
        <v>624</v>
      </c>
      <c r="F7419" t="s">
        <v>410</v>
      </c>
      <c r="G7419">
        <v>1464</v>
      </c>
      <c r="H7419">
        <v>1464</v>
      </c>
      <c r="I7419">
        <v>1460</v>
      </c>
      <c r="J7419">
        <v>1460</v>
      </c>
      <c r="K7419">
        <v>10</v>
      </c>
      <c r="L7419">
        <v>0</v>
      </c>
      <c r="M7419">
        <v>1289</v>
      </c>
      <c r="N7419">
        <v>161</v>
      </c>
      <c r="O7419">
        <v>4</v>
      </c>
      <c r="P7419">
        <v>0</v>
      </c>
      <c r="Q7419">
        <v>0</v>
      </c>
    </row>
    <row r="7420" spans="1:17" x14ac:dyDescent="0.2">
      <c r="A7420" s="121">
        <v>41698</v>
      </c>
      <c r="B7420" t="s">
        <v>406</v>
      </c>
      <c r="C7420" t="s">
        <v>451</v>
      </c>
      <c r="D7420" t="s">
        <v>454</v>
      </c>
      <c r="E7420" t="s">
        <v>621</v>
      </c>
      <c r="F7420" t="s">
        <v>410</v>
      </c>
      <c r="G7420">
        <v>1028</v>
      </c>
      <c r="H7420">
        <v>1028</v>
      </c>
      <c r="I7420">
        <v>1028</v>
      </c>
      <c r="J7420">
        <v>1028</v>
      </c>
      <c r="K7420">
        <v>2</v>
      </c>
      <c r="L7420">
        <v>0</v>
      </c>
      <c r="M7420">
        <v>492</v>
      </c>
      <c r="N7420">
        <v>48</v>
      </c>
      <c r="O7420">
        <v>486</v>
      </c>
      <c r="P7420">
        <v>0</v>
      </c>
      <c r="Q7420">
        <v>0</v>
      </c>
    </row>
    <row r="7421" spans="1:17" x14ac:dyDescent="0.2">
      <c r="A7421" s="121">
        <v>41698</v>
      </c>
      <c r="B7421" t="s">
        <v>406</v>
      </c>
      <c r="C7421" t="s">
        <v>451</v>
      </c>
      <c r="D7421" t="s">
        <v>622</v>
      </c>
      <c r="E7421" t="s">
        <v>623</v>
      </c>
      <c r="F7421" t="s">
        <v>413</v>
      </c>
      <c r="G7421">
        <v>4397</v>
      </c>
      <c r="H7421">
        <v>4397</v>
      </c>
      <c r="I7421">
        <v>4267</v>
      </c>
      <c r="J7421">
        <v>4267</v>
      </c>
      <c r="K7421">
        <v>1075</v>
      </c>
      <c r="L7421">
        <v>4</v>
      </c>
      <c r="M7421">
        <v>1348</v>
      </c>
      <c r="N7421">
        <v>24</v>
      </c>
      <c r="O7421">
        <v>1946</v>
      </c>
      <c r="P7421">
        <v>4</v>
      </c>
      <c r="Q7421">
        <v>0</v>
      </c>
    </row>
    <row r="7422" spans="1:17" x14ac:dyDescent="0.2">
      <c r="A7422" s="121">
        <v>41698</v>
      </c>
      <c r="B7422" t="s">
        <v>406</v>
      </c>
      <c r="C7422" t="s">
        <v>456</v>
      </c>
      <c r="D7422" t="s">
        <v>457</v>
      </c>
      <c r="E7422" t="s">
        <v>458</v>
      </c>
      <c r="F7422" t="s">
        <v>413</v>
      </c>
      <c r="G7422">
        <v>4772</v>
      </c>
      <c r="H7422">
        <v>4772</v>
      </c>
      <c r="I7422">
        <v>4206</v>
      </c>
      <c r="J7422">
        <v>4206</v>
      </c>
      <c r="K7422">
        <v>1275</v>
      </c>
      <c r="L7422">
        <v>9</v>
      </c>
      <c r="M7422">
        <v>3024</v>
      </c>
      <c r="N7422">
        <v>17</v>
      </c>
      <c r="O7422">
        <v>447</v>
      </c>
      <c r="P7422">
        <v>44</v>
      </c>
      <c r="Q7422">
        <v>3</v>
      </c>
    </row>
    <row r="7423" spans="1:17" x14ac:dyDescent="0.2">
      <c r="A7423" s="121">
        <v>41698</v>
      </c>
      <c r="B7423" t="s">
        <v>406</v>
      </c>
      <c r="C7423" t="s">
        <v>456</v>
      </c>
      <c r="D7423" t="s">
        <v>459</v>
      </c>
      <c r="E7423" t="s">
        <v>460</v>
      </c>
      <c r="F7423" t="s">
        <v>413</v>
      </c>
      <c r="G7423">
        <v>1490</v>
      </c>
      <c r="H7423">
        <v>1490</v>
      </c>
      <c r="I7423">
        <v>1453</v>
      </c>
      <c r="J7423">
        <v>1453</v>
      </c>
      <c r="K7423">
        <v>369</v>
      </c>
      <c r="L7423">
        <v>0</v>
      </c>
      <c r="M7423">
        <v>1116</v>
      </c>
      <c r="N7423">
        <v>0</v>
      </c>
      <c r="O7423">
        <v>5</v>
      </c>
      <c r="P7423">
        <v>0</v>
      </c>
      <c r="Q7423">
        <v>0</v>
      </c>
    </row>
    <row r="7424" spans="1:17" x14ac:dyDescent="0.2">
      <c r="A7424" s="121">
        <v>41698</v>
      </c>
      <c r="B7424" t="s">
        <v>406</v>
      </c>
      <c r="C7424" t="s">
        <v>456</v>
      </c>
      <c r="D7424" t="s">
        <v>461</v>
      </c>
      <c r="E7424" t="s">
        <v>462</v>
      </c>
      <c r="F7424" t="s">
        <v>410</v>
      </c>
      <c r="G7424">
        <v>66</v>
      </c>
      <c r="I7424">
        <v>66</v>
      </c>
    </row>
    <row r="7425" spans="1:17" x14ac:dyDescent="0.2">
      <c r="A7425" s="121">
        <v>41698</v>
      </c>
      <c r="B7425" t="s">
        <v>406</v>
      </c>
      <c r="C7425" t="s">
        <v>456</v>
      </c>
      <c r="D7425" t="s">
        <v>463</v>
      </c>
      <c r="E7425" t="s">
        <v>464</v>
      </c>
      <c r="F7425" t="s">
        <v>410</v>
      </c>
      <c r="G7425">
        <v>9</v>
      </c>
      <c r="I7425">
        <v>9</v>
      </c>
    </row>
    <row r="7426" spans="1:17" x14ac:dyDescent="0.2">
      <c r="A7426" s="121">
        <v>41698</v>
      </c>
      <c r="B7426" t="s">
        <v>406</v>
      </c>
      <c r="C7426" t="s">
        <v>456</v>
      </c>
      <c r="D7426" t="s">
        <v>465</v>
      </c>
      <c r="E7426" t="s">
        <v>466</v>
      </c>
      <c r="F7426" t="s">
        <v>410</v>
      </c>
      <c r="G7426">
        <v>29</v>
      </c>
      <c r="I7426">
        <v>29</v>
      </c>
    </row>
    <row r="7427" spans="1:17" x14ac:dyDescent="0.2">
      <c r="A7427" s="121">
        <v>41698</v>
      </c>
      <c r="B7427" t="s">
        <v>406</v>
      </c>
      <c r="C7427" t="s">
        <v>456</v>
      </c>
      <c r="D7427" t="s">
        <v>467</v>
      </c>
      <c r="E7427" t="s">
        <v>468</v>
      </c>
      <c r="F7427" t="s">
        <v>410</v>
      </c>
      <c r="G7427">
        <v>1117</v>
      </c>
      <c r="I7427">
        <v>1115</v>
      </c>
    </row>
    <row r="7428" spans="1:17" x14ac:dyDescent="0.2">
      <c r="A7428" s="121">
        <v>41698</v>
      </c>
      <c r="B7428" t="s">
        <v>406</v>
      </c>
      <c r="C7428" t="s">
        <v>456</v>
      </c>
      <c r="D7428" t="s">
        <v>469</v>
      </c>
      <c r="E7428" t="s">
        <v>470</v>
      </c>
      <c r="F7428" t="s">
        <v>410</v>
      </c>
      <c r="G7428">
        <v>735</v>
      </c>
      <c r="I7428">
        <v>731</v>
      </c>
    </row>
    <row r="7429" spans="1:17" x14ac:dyDescent="0.2">
      <c r="A7429" s="121">
        <v>41698</v>
      </c>
      <c r="B7429" t="s">
        <v>406</v>
      </c>
      <c r="C7429" t="s">
        <v>456</v>
      </c>
      <c r="D7429" t="s">
        <v>471</v>
      </c>
      <c r="E7429" t="s">
        <v>472</v>
      </c>
      <c r="F7429" t="s">
        <v>410</v>
      </c>
      <c r="G7429">
        <v>238</v>
      </c>
      <c r="I7429">
        <v>237</v>
      </c>
    </row>
    <row r="7430" spans="1:17" x14ac:dyDescent="0.2">
      <c r="A7430" s="121">
        <v>41698</v>
      </c>
      <c r="B7430" t="s">
        <v>406</v>
      </c>
      <c r="C7430" t="s">
        <v>456</v>
      </c>
      <c r="D7430" t="s">
        <v>473</v>
      </c>
      <c r="E7430" t="s">
        <v>474</v>
      </c>
      <c r="F7430" t="s">
        <v>410</v>
      </c>
      <c r="G7430">
        <v>132</v>
      </c>
      <c r="I7430">
        <v>132</v>
      </c>
    </row>
    <row r="7431" spans="1:17" x14ac:dyDescent="0.2">
      <c r="A7431" s="121">
        <v>41698</v>
      </c>
      <c r="B7431" t="s">
        <v>406</v>
      </c>
      <c r="C7431" t="s">
        <v>456</v>
      </c>
      <c r="D7431" t="s">
        <v>475</v>
      </c>
      <c r="E7431" t="s">
        <v>476</v>
      </c>
      <c r="F7431" t="s">
        <v>410</v>
      </c>
      <c r="G7431">
        <v>251</v>
      </c>
      <c r="I7431">
        <v>250</v>
      </c>
    </row>
    <row r="7432" spans="1:17" x14ac:dyDescent="0.2">
      <c r="A7432" s="121">
        <v>41698</v>
      </c>
      <c r="B7432" t="s">
        <v>406</v>
      </c>
      <c r="C7432" t="s">
        <v>456</v>
      </c>
      <c r="D7432" t="s">
        <v>477</v>
      </c>
      <c r="E7432" t="s">
        <v>478</v>
      </c>
      <c r="F7432" t="s">
        <v>413</v>
      </c>
      <c r="G7432">
        <v>1770</v>
      </c>
      <c r="H7432">
        <v>1770</v>
      </c>
      <c r="I7432">
        <v>1683</v>
      </c>
      <c r="J7432">
        <v>1683</v>
      </c>
      <c r="K7432">
        <v>372</v>
      </c>
      <c r="L7432">
        <v>3</v>
      </c>
      <c r="M7432">
        <v>1377</v>
      </c>
      <c r="N7432">
        <v>18</v>
      </c>
      <c r="O7432">
        <v>0</v>
      </c>
      <c r="P7432">
        <v>10</v>
      </c>
      <c r="Q7432">
        <v>1</v>
      </c>
    </row>
    <row r="7433" spans="1:17" x14ac:dyDescent="0.2">
      <c r="A7433" s="121">
        <v>41698</v>
      </c>
      <c r="B7433" t="s">
        <v>406</v>
      </c>
      <c r="C7433" t="s">
        <v>456</v>
      </c>
      <c r="D7433" t="s">
        <v>479</v>
      </c>
      <c r="E7433" t="s">
        <v>480</v>
      </c>
      <c r="F7433" t="s">
        <v>410</v>
      </c>
      <c r="G7433">
        <v>53</v>
      </c>
      <c r="I7433">
        <v>53</v>
      </c>
    </row>
    <row r="7434" spans="1:17" x14ac:dyDescent="0.2">
      <c r="A7434" s="121">
        <v>41698</v>
      </c>
      <c r="B7434" t="s">
        <v>406</v>
      </c>
      <c r="C7434" t="s">
        <v>456</v>
      </c>
      <c r="D7434" t="s">
        <v>481</v>
      </c>
      <c r="E7434" t="s">
        <v>482</v>
      </c>
      <c r="F7434" t="s">
        <v>410</v>
      </c>
      <c r="G7434">
        <v>23</v>
      </c>
      <c r="I7434">
        <v>23</v>
      </c>
    </row>
    <row r="7435" spans="1:17" x14ac:dyDescent="0.2">
      <c r="A7435" s="121">
        <v>41698</v>
      </c>
      <c r="B7435" t="s">
        <v>406</v>
      </c>
      <c r="C7435" t="s">
        <v>456</v>
      </c>
      <c r="D7435" t="s">
        <v>483</v>
      </c>
      <c r="E7435" t="s">
        <v>484</v>
      </c>
      <c r="F7435" t="s">
        <v>410</v>
      </c>
      <c r="G7435">
        <v>62</v>
      </c>
      <c r="I7435">
        <v>62</v>
      </c>
    </row>
    <row r="7436" spans="1:17" x14ac:dyDescent="0.2">
      <c r="A7436" s="121">
        <v>41698</v>
      </c>
      <c r="B7436" t="s">
        <v>406</v>
      </c>
      <c r="C7436" t="s">
        <v>456</v>
      </c>
      <c r="D7436" t="s">
        <v>485</v>
      </c>
      <c r="E7436" t="s">
        <v>486</v>
      </c>
      <c r="F7436" t="s">
        <v>410</v>
      </c>
      <c r="G7436">
        <v>31</v>
      </c>
      <c r="I7436">
        <v>31</v>
      </c>
    </row>
    <row r="7437" spans="1:17" x14ac:dyDescent="0.2">
      <c r="A7437" s="121">
        <v>41698</v>
      </c>
      <c r="B7437" t="s">
        <v>406</v>
      </c>
      <c r="C7437" t="s">
        <v>456</v>
      </c>
      <c r="D7437" t="s">
        <v>487</v>
      </c>
      <c r="E7437" t="s">
        <v>488</v>
      </c>
      <c r="F7437" t="s">
        <v>410</v>
      </c>
      <c r="G7437">
        <v>20</v>
      </c>
      <c r="I7437">
        <v>20</v>
      </c>
    </row>
    <row r="7438" spans="1:17" x14ac:dyDescent="0.2">
      <c r="A7438" s="121">
        <v>41698</v>
      </c>
      <c r="B7438" t="s">
        <v>406</v>
      </c>
      <c r="C7438" t="s">
        <v>456</v>
      </c>
      <c r="D7438" t="s">
        <v>489</v>
      </c>
      <c r="E7438" t="s">
        <v>490</v>
      </c>
      <c r="F7438" t="s">
        <v>410</v>
      </c>
      <c r="G7438">
        <v>79</v>
      </c>
      <c r="I7438">
        <v>79</v>
      </c>
    </row>
    <row r="7439" spans="1:17" x14ac:dyDescent="0.2">
      <c r="A7439" s="121">
        <v>41698</v>
      </c>
      <c r="B7439" t="s">
        <v>406</v>
      </c>
      <c r="C7439" t="s">
        <v>491</v>
      </c>
      <c r="D7439" t="s">
        <v>492</v>
      </c>
      <c r="E7439" t="s">
        <v>493</v>
      </c>
      <c r="F7439" t="s">
        <v>410</v>
      </c>
      <c r="G7439">
        <v>1118</v>
      </c>
      <c r="H7439">
        <v>1118</v>
      </c>
      <c r="I7439">
        <v>1068</v>
      </c>
      <c r="J7439">
        <v>1068</v>
      </c>
      <c r="K7439">
        <v>233</v>
      </c>
      <c r="L7439">
        <v>1</v>
      </c>
      <c r="M7439">
        <v>827</v>
      </c>
      <c r="N7439">
        <v>50</v>
      </c>
      <c r="O7439">
        <v>7</v>
      </c>
      <c r="P7439">
        <v>4</v>
      </c>
      <c r="Q7439">
        <v>4</v>
      </c>
    </row>
    <row r="7440" spans="1:17" x14ac:dyDescent="0.2">
      <c r="A7440" s="121">
        <v>41698</v>
      </c>
      <c r="B7440" t="s">
        <v>406</v>
      </c>
      <c r="C7440" t="s">
        <v>491</v>
      </c>
      <c r="D7440" t="s">
        <v>494</v>
      </c>
      <c r="E7440" t="s">
        <v>495</v>
      </c>
      <c r="F7440" t="s">
        <v>413</v>
      </c>
      <c r="G7440">
        <v>2370</v>
      </c>
      <c r="H7440">
        <v>2370</v>
      </c>
      <c r="I7440">
        <v>2222</v>
      </c>
      <c r="J7440">
        <v>2222</v>
      </c>
      <c r="K7440">
        <v>716</v>
      </c>
      <c r="L7440">
        <v>8</v>
      </c>
      <c r="M7440">
        <v>1466</v>
      </c>
      <c r="N7440">
        <v>29</v>
      </c>
      <c r="O7440">
        <v>151</v>
      </c>
      <c r="P7440">
        <v>5</v>
      </c>
      <c r="Q7440">
        <v>0</v>
      </c>
    </row>
    <row r="7441" spans="1:17" x14ac:dyDescent="0.2">
      <c r="A7441" s="121">
        <v>41698</v>
      </c>
      <c r="B7441" t="s">
        <v>406</v>
      </c>
      <c r="C7441" t="s">
        <v>491</v>
      </c>
      <c r="D7441" t="s">
        <v>496</v>
      </c>
      <c r="E7441" t="s">
        <v>497</v>
      </c>
      <c r="F7441" t="s">
        <v>413</v>
      </c>
      <c r="G7441">
        <v>5266</v>
      </c>
      <c r="H7441">
        <v>5266</v>
      </c>
      <c r="I7441">
        <v>4549</v>
      </c>
      <c r="J7441">
        <v>4549</v>
      </c>
      <c r="K7441">
        <v>1804</v>
      </c>
      <c r="L7441">
        <v>19</v>
      </c>
      <c r="M7441">
        <v>3212</v>
      </c>
      <c r="N7441">
        <v>91</v>
      </c>
      <c r="O7441">
        <v>140</v>
      </c>
      <c r="P7441">
        <v>31</v>
      </c>
      <c r="Q7441">
        <v>0</v>
      </c>
    </row>
    <row r="7442" spans="1:17" x14ac:dyDescent="0.2">
      <c r="A7442" s="121">
        <v>41698</v>
      </c>
      <c r="B7442" t="s">
        <v>406</v>
      </c>
      <c r="C7442" t="s">
        <v>491</v>
      </c>
      <c r="D7442" t="s">
        <v>498</v>
      </c>
      <c r="E7442" t="s">
        <v>499</v>
      </c>
      <c r="F7442" t="s">
        <v>413</v>
      </c>
      <c r="G7442">
        <v>6559</v>
      </c>
      <c r="H7442">
        <v>6559</v>
      </c>
      <c r="I7442">
        <v>5771</v>
      </c>
      <c r="J7442">
        <v>5771</v>
      </c>
      <c r="K7442">
        <v>2250</v>
      </c>
      <c r="L7442">
        <v>23</v>
      </c>
      <c r="M7442">
        <v>3832</v>
      </c>
      <c r="N7442">
        <v>77</v>
      </c>
      <c r="O7442">
        <v>377</v>
      </c>
      <c r="P7442">
        <v>8</v>
      </c>
      <c r="Q7442">
        <v>0</v>
      </c>
    </row>
    <row r="7443" spans="1:17" x14ac:dyDescent="0.2">
      <c r="A7443" s="121">
        <v>41698</v>
      </c>
      <c r="B7443" t="s">
        <v>406</v>
      </c>
      <c r="C7443" t="s">
        <v>491</v>
      </c>
      <c r="D7443" t="s">
        <v>500</v>
      </c>
      <c r="E7443" t="s">
        <v>620</v>
      </c>
      <c r="F7443" t="s">
        <v>410</v>
      </c>
      <c r="G7443">
        <v>1218</v>
      </c>
      <c r="H7443">
        <v>1218</v>
      </c>
      <c r="I7443">
        <v>1218</v>
      </c>
      <c r="J7443">
        <v>1218</v>
      </c>
      <c r="K7443">
        <v>1</v>
      </c>
      <c r="L7443">
        <v>1</v>
      </c>
      <c r="M7443">
        <v>1145</v>
      </c>
      <c r="N7443">
        <v>50</v>
      </c>
      <c r="O7443">
        <v>21</v>
      </c>
      <c r="P7443">
        <v>0</v>
      </c>
      <c r="Q7443">
        <v>0</v>
      </c>
    </row>
    <row r="7444" spans="1:17" x14ac:dyDescent="0.2">
      <c r="A7444" s="121">
        <v>41698</v>
      </c>
      <c r="B7444" t="s">
        <v>406</v>
      </c>
      <c r="C7444" t="s">
        <v>491</v>
      </c>
      <c r="D7444" t="s">
        <v>502</v>
      </c>
      <c r="E7444" t="s">
        <v>615</v>
      </c>
      <c r="F7444" t="s">
        <v>410</v>
      </c>
      <c r="G7444">
        <v>1717</v>
      </c>
      <c r="H7444">
        <v>1717</v>
      </c>
      <c r="I7444">
        <v>1717</v>
      </c>
      <c r="J7444">
        <v>1717</v>
      </c>
      <c r="K7444">
        <v>2</v>
      </c>
      <c r="L7444">
        <v>0</v>
      </c>
      <c r="M7444">
        <v>1634</v>
      </c>
      <c r="N7444">
        <v>77</v>
      </c>
      <c r="O7444">
        <v>4</v>
      </c>
      <c r="P7444">
        <v>0</v>
      </c>
      <c r="Q7444">
        <v>0</v>
      </c>
    </row>
    <row r="7445" spans="1:17" x14ac:dyDescent="0.2">
      <c r="A7445" s="121">
        <v>41698</v>
      </c>
      <c r="B7445" t="s">
        <v>406</v>
      </c>
      <c r="C7445" t="s">
        <v>491</v>
      </c>
      <c r="D7445" t="s">
        <v>502</v>
      </c>
      <c r="E7445" t="s">
        <v>503</v>
      </c>
      <c r="F7445" t="s">
        <v>413</v>
      </c>
      <c r="G7445">
        <v>4672</v>
      </c>
      <c r="H7445">
        <v>4672</v>
      </c>
      <c r="I7445">
        <v>3960</v>
      </c>
      <c r="J7445">
        <v>3960</v>
      </c>
      <c r="K7445">
        <v>1493</v>
      </c>
      <c r="L7445">
        <v>7</v>
      </c>
      <c r="M7445">
        <v>2759</v>
      </c>
      <c r="N7445">
        <v>304</v>
      </c>
      <c r="O7445">
        <v>109</v>
      </c>
      <c r="P7445">
        <v>52</v>
      </c>
      <c r="Q7445">
        <v>0</v>
      </c>
    </row>
    <row r="7446" spans="1:17" x14ac:dyDescent="0.2">
      <c r="A7446" s="121">
        <v>41698</v>
      </c>
      <c r="B7446" t="s">
        <v>406</v>
      </c>
      <c r="C7446" t="s">
        <v>491</v>
      </c>
      <c r="D7446" t="s">
        <v>504</v>
      </c>
      <c r="E7446" t="s">
        <v>505</v>
      </c>
      <c r="F7446" t="s">
        <v>413</v>
      </c>
      <c r="G7446">
        <v>3582</v>
      </c>
      <c r="H7446">
        <v>3582</v>
      </c>
      <c r="I7446">
        <v>3221</v>
      </c>
      <c r="J7446">
        <v>3221</v>
      </c>
      <c r="K7446">
        <v>1007</v>
      </c>
      <c r="L7446">
        <v>4</v>
      </c>
      <c r="M7446">
        <v>2362</v>
      </c>
      <c r="N7446">
        <v>136</v>
      </c>
      <c r="O7446">
        <v>73</v>
      </c>
      <c r="P7446">
        <v>13</v>
      </c>
      <c r="Q7446">
        <v>1</v>
      </c>
    </row>
    <row r="7447" spans="1:17" x14ac:dyDescent="0.2">
      <c r="A7447" s="121">
        <v>41698</v>
      </c>
      <c r="B7447" t="s">
        <v>406</v>
      </c>
      <c r="C7447" t="s">
        <v>491</v>
      </c>
      <c r="D7447" t="s">
        <v>506</v>
      </c>
      <c r="E7447" t="s">
        <v>507</v>
      </c>
      <c r="F7447" t="s">
        <v>413</v>
      </c>
      <c r="G7447">
        <v>3728</v>
      </c>
      <c r="H7447">
        <v>3728</v>
      </c>
      <c r="I7447">
        <v>3639</v>
      </c>
      <c r="J7447">
        <v>3639</v>
      </c>
      <c r="K7447">
        <v>1170</v>
      </c>
      <c r="L7447">
        <v>2</v>
      </c>
      <c r="M7447">
        <v>2552</v>
      </c>
      <c r="N7447">
        <v>1</v>
      </c>
      <c r="O7447">
        <v>3</v>
      </c>
      <c r="P7447">
        <v>1</v>
      </c>
      <c r="Q7447">
        <v>0</v>
      </c>
    </row>
    <row r="7448" spans="1:17" x14ac:dyDescent="0.2">
      <c r="A7448" s="121">
        <v>41698</v>
      </c>
      <c r="B7448" t="s">
        <v>406</v>
      </c>
      <c r="C7448" t="s">
        <v>491</v>
      </c>
      <c r="D7448" t="s">
        <v>508</v>
      </c>
      <c r="E7448" t="s">
        <v>509</v>
      </c>
      <c r="F7448" t="s">
        <v>413</v>
      </c>
      <c r="G7448">
        <v>4654</v>
      </c>
      <c r="H7448">
        <v>4654</v>
      </c>
      <c r="I7448">
        <v>3510</v>
      </c>
      <c r="J7448">
        <v>3510</v>
      </c>
      <c r="K7448">
        <v>1497</v>
      </c>
      <c r="L7448">
        <v>8</v>
      </c>
      <c r="M7448">
        <v>2872</v>
      </c>
      <c r="N7448">
        <v>121</v>
      </c>
      <c r="O7448">
        <v>156</v>
      </c>
      <c r="P7448">
        <v>228</v>
      </c>
      <c r="Q7448">
        <v>7</v>
      </c>
    </row>
    <row r="7449" spans="1:17" x14ac:dyDescent="0.2">
      <c r="A7449" s="121">
        <v>41698</v>
      </c>
      <c r="B7449" t="s">
        <v>406</v>
      </c>
      <c r="C7449" t="s">
        <v>510</v>
      </c>
      <c r="D7449" t="s">
        <v>513</v>
      </c>
      <c r="E7449" t="s">
        <v>514</v>
      </c>
      <c r="F7449" t="s">
        <v>410</v>
      </c>
      <c r="G7449">
        <v>440</v>
      </c>
      <c r="I7449">
        <v>435</v>
      </c>
    </row>
    <row r="7450" spans="1:17" x14ac:dyDescent="0.2">
      <c r="A7450" s="121">
        <v>41698</v>
      </c>
      <c r="B7450" t="s">
        <v>406</v>
      </c>
      <c r="C7450" t="s">
        <v>510</v>
      </c>
      <c r="D7450" t="s">
        <v>515</v>
      </c>
      <c r="E7450" t="s">
        <v>516</v>
      </c>
      <c r="F7450" t="s">
        <v>410</v>
      </c>
      <c r="G7450">
        <v>67</v>
      </c>
      <c r="I7450">
        <v>64</v>
      </c>
    </row>
    <row r="7451" spans="1:17" x14ac:dyDescent="0.2">
      <c r="A7451" s="121">
        <v>41698</v>
      </c>
      <c r="B7451" t="s">
        <v>406</v>
      </c>
      <c r="C7451" t="s">
        <v>510</v>
      </c>
      <c r="D7451" t="s">
        <v>519</v>
      </c>
      <c r="E7451" t="s">
        <v>520</v>
      </c>
      <c r="F7451" t="s">
        <v>410</v>
      </c>
      <c r="G7451">
        <v>296</v>
      </c>
      <c r="I7451">
        <v>290</v>
      </c>
    </row>
    <row r="7452" spans="1:17" x14ac:dyDescent="0.2">
      <c r="A7452" s="121">
        <v>41698</v>
      </c>
      <c r="B7452" t="s">
        <v>406</v>
      </c>
      <c r="C7452" t="s">
        <v>510</v>
      </c>
      <c r="D7452" t="s">
        <v>523</v>
      </c>
      <c r="E7452" t="s">
        <v>524</v>
      </c>
      <c r="F7452" t="s">
        <v>413</v>
      </c>
      <c r="G7452">
        <v>435</v>
      </c>
      <c r="H7452">
        <v>435</v>
      </c>
      <c r="I7452">
        <v>422</v>
      </c>
      <c r="J7452">
        <v>422</v>
      </c>
      <c r="K7452">
        <v>96</v>
      </c>
      <c r="L7452">
        <v>1</v>
      </c>
      <c r="M7452">
        <v>328</v>
      </c>
      <c r="N7452">
        <v>10</v>
      </c>
      <c r="O7452">
        <v>0</v>
      </c>
      <c r="P7452">
        <v>0</v>
      </c>
      <c r="Q7452">
        <v>0</v>
      </c>
    </row>
    <row r="7453" spans="1:17" x14ac:dyDescent="0.2">
      <c r="A7453" s="121">
        <v>41698</v>
      </c>
      <c r="B7453" t="s">
        <v>406</v>
      </c>
      <c r="C7453" t="s">
        <v>510</v>
      </c>
      <c r="D7453" t="s">
        <v>525</v>
      </c>
      <c r="E7453" t="s">
        <v>526</v>
      </c>
      <c r="F7453" t="s">
        <v>410</v>
      </c>
      <c r="G7453">
        <v>415</v>
      </c>
      <c r="I7453">
        <v>407</v>
      </c>
    </row>
    <row r="7454" spans="1:17" x14ac:dyDescent="0.2">
      <c r="A7454" s="121">
        <v>41698</v>
      </c>
      <c r="B7454" t="s">
        <v>406</v>
      </c>
      <c r="C7454" t="s">
        <v>510</v>
      </c>
      <c r="D7454" t="s">
        <v>527</v>
      </c>
      <c r="E7454" t="s">
        <v>528</v>
      </c>
      <c r="F7454" t="s">
        <v>410</v>
      </c>
      <c r="G7454">
        <v>175</v>
      </c>
      <c r="I7454">
        <v>175</v>
      </c>
    </row>
    <row r="7455" spans="1:17" x14ac:dyDescent="0.2">
      <c r="A7455" s="121">
        <v>41698</v>
      </c>
      <c r="B7455" t="s">
        <v>406</v>
      </c>
      <c r="C7455" t="s">
        <v>510</v>
      </c>
      <c r="D7455" t="s">
        <v>529</v>
      </c>
      <c r="E7455" t="s">
        <v>530</v>
      </c>
      <c r="F7455" t="s">
        <v>413</v>
      </c>
      <c r="G7455">
        <v>465</v>
      </c>
      <c r="H7455">
        <v>465</v>
      </c>
      <c r="I7455">
        <v>433</v>
      </c>
      <c r="J7455">
        <v>433</v>
      </c>
      <c r="K7455">
        <v>144</v>
      </c>
      <c r="L7455">
        <v>0</v>
      </c>
      <c r="M7455">
        <v>317</v>
      </c>
      <c r="N7455">
        <v>4</v>
      </c>
      <c r="O7455">
        <v>0</v>
      </c>
      <c r="P7455">
        <v>1</v>
      </c>
      <c r="Q7455">
        <v>1</v>
      </c>
    </row>
    <row r="7456" spans="1:17" x14ac:dyDescent="0.2">
      <c r="A7456" s="121">
        <v>41698</v>
      </c>
      <c r="B7456" t="s">
        <v>406</v>
      </c>
      <c r="C7456" t="s">
        <v>510</v>
      </c>
      <c r="D7456" t="s">
        <v>531</v>
      </c>
      <c r="E7456" t="s">
        <v>532</v>
      </c>
      <c r="F7456" t="s">
        <v>410</v>
      </c>
      <c r="G7456">
        <v>16</v>
      </c>
      <c r="I7456">
        <v>16</v>
      </c>
    </row>
    <row r="7457" spans="1:17" x14ac:dyDescent="0.2">
      <c r="A7457" s="121">
        <v>41698</v>
      </c>
      <c r="B7457" t="s">
        <v>406</v>
      </c>
      <c r="C7457" t="s">
        <v>510</v>
      </c>
      <c r="D7457" t="s">
        <v>533</v>
      </c>
      <c r="E7457" t="s">
        <v>534</v>
      </c>
      <c r="F7457" t="s">
        <v>413</v>
      </c>
      <c r="G7457">
        <v>2234</v>
      </c>
      <c r="H7457">
        <v>2234</v>
      </c>
      <c r="I7457">
        <v>2135</v>
      </c>
      <c r="J7457">
        <v>2135</v>
      </c>
      <c r="K7457">
        <v>572</v>
      </c>
      <c r="L7457">
        <v>3</v>
      </c>
      <c r="M7457">
        <v>1655</v>
      </c>
      <c r="N7457">
        <v>4</v>
      </c>
      <c r="O7457">
        <v>0</v>
      </c>
      <c r="P7457">
        <v>0</v>
      </c>
      <c r="Q7457">
        <v>0</v>
      </c>
    </row>
    <row r="7458" spans="1:17" x14ac:dyDescent="0.2">
      <c r="A7458" s="121">
        <v>41698</v>
      </c>
      <c r="B7458" t="s">
        <v>406</v>
      </c>
      <c r="C7458" t="s">
        <v>510</v>
      </c>
      <c r="D7458" t="s">
        <v>535</v>
      </c>
      <c r="E7458" t="s">
        <v>536</v>
      </c>
      <c r="F7458" t="s">
        <v>410</v>
      </c>
      <c r="G7458">
        <v>378</v>
      </c>
      <c r="I7458">
        <v>378</v>
      </c>
    </row>
    <row r="7459" spans="1:17" x14ac:dyDescent="0.2">
      <c r="A7459" s="121">
        <v>41698</v>
      </c>
      <c r="B7459" t="s">
        <v>406</v>
      </c>
      <c r="C7459" t="s">
        <v>510</v>
      </c>
      <c r="D7459" t="s">
        <v>537</v>
      </c>
      <c r="E7459" t="s">
        <v>538</v>
      </c>
      <c r="F7459" t="s">
        <v>410</v>
      </c>
      <c r="G7459">
        <v>75</v>
      </c>
      <c r="I7459">
        <v>75</v>
      </c>
    </row>
    <row r="7460" spans="1:17" x14ac:dyDescent="0.2">
      <c r="A7460" s="121">
        <v>41698</v>
      </c>
      <c r="B7460" t="s">
        <v>406</v>
      </c>
      <c r="C7460" t="s">
        <v>510</v>
      </c>
      <c r="D7460" t="s">
        <v>539</v>
      </c>
      <c r="E7460" t="s">
        <v>540</v>
      </c>
      <c r="F7460" t="s">
        <v>413</v>
      </c>
      <c r="G7460">
        <v>548</v>
      </c>
      <c r="H7460">
        <v>548</v>
      </c>
      <c r="I7460">
        <v>525</v>
      </c>
      <c r="J7460">
        <v>525</v>
      </c>
      <c r="K7460">
        <v>120</v>
      </c>
      <c r="L7460">
        <v>0</v>
      </c>
      <c r="M7460">
        <v>423</v>
      </c>
      <c r="N7460">
        <v>5</v>
      </c>
      <c r="O7460">
        <v>0</v>
      </c>
      <c r="P7460">
        <v>0</v>
      </c>
      <c r="Q7460">
        <v>0</v>
      </c>
    </row>
    <row r="7461" spans="1:17" x14ac:dyDescent="0.2">
      <c r="A7461" s="121">
        <v>41698</v>
      </c>
      <c r="B7461" t="s">
        <v>406</v>
      </c>
      <c r="C7461" t="s">
        <v>510</v>
      </c>
      <c r="D7461" t="s">
        <v>541</v>
      </c>
      <c r="E7461" t="s">
        <v>542</v>
      </c>
      <c r="F7461" t="s">
        <v>410</v>
      </c>
      <c r="G7461">
        <v>353</v>
      </c>
      <c r="I7461">
        <v>353</v>
      </c>
    </row>
    <row r="7462" spans="1:17" x14ac:dyDescent="0.2">
      <c r="A7462" s="121">
        <v>41698</v>
      </c>
      <c r="B7462" t="s">
        <v>406</v>
      </c>
      <c r="C7462" t="s">
        <v>510</v>
      </c>
      <c r="D7462" t="s">
        <v>543</v>
      </c>
      <c r="E7462" t="s">
        <v>544</v>
      </c>
      <c r="F7462" t="s">
        <v>410</v>
      </c>
      <c r="G7462">
        <v>208</v>
      </c>
      <c r="I7462">
        <v>208</v>
      </c>
    </row>
    <row r="7463" spans="1:17" x14ac:dyDescent="0.2">
      <c r="A7463" s="121">
        <v>41698</v>
      </c>
      <c r="B7463" t="s">
        <v>406</v>
      </c>
      <c r="C7463" t="s">
        <v>510</v>
      </c>
      <c r="D7463" t="s">
        <v>545</v>
      </c>
      <c r="E7463" t="s">
        <v>546</v>
      </c>
      <c r="F7463" t="s">
        <v>410</v>
      </c>
      <c r="G7463">
        <v>140</v>
      </c>
      <c r="I7463">
        <v>140</v>
      </c>
    </row>
    <row r="7464" spans="1:17" x14ac:dyDescent="0.2">
      <c r="A7464" s="121">
        <v>41698</v>
      </c>
      <c r="B7464" t="s">
        <v>406</v>
      </c>
      <c r="C7464" t="s">
        <v>510</v>
      </c>
      <c r="D7464" t="s">
        <v>547</v>
      </c>
      <c r="E7464" t="s">
        <v>548</v>
      </c>
      <c r="F7464" t="s">
        <v>410</v>
      </c>
      <c r="G7464">
        <v>113</v>
      </c>
      <c r="I7464">
        <v>113</v>
      </c>
    </row>
    <row r="7465" spans="1:17" x14ac:dyDescent="0.2">
      <c r="A7465" s="121">
        <v>41698</v>
      </c>
      <c r="B7465" t="s">
        <v>406</v>
      </c>
      <c r="C7465" t="s">
        <v>510</v>
      </c>
      <c r="D7465" t="s">
        <v>616</v>
      </c>
      <c r="E7465" t="s">
        <v>617</v>
      </c>
      <c r="F7465" t="s">
        <v>410</v>
      </c>
      <c r="G7465">
        <v>273</v>
      </c>
      <c r="I7465">
        <v>265</v>
      </c>
    </row>
    <row r="7466" spans="1:17" x14ac:dyDescent="0.2">
      <c r="A7466" s="121">
        <v>41698</v>
      </c>
      <c r="B7466" t="s">
        <v>406</v>
      </c>
      <c r="C7466" t="s">
        <v>510</v>
      </c>
      <c r="D7466" t="s">
        <v>549</v>
      </c>
      <c r="E7466" t="s">
        <v>550</v>
      </c>
      <c r="F7466" t="s">
        <v>410</v>
      </c>
      <c r="G7466">
        <v>164</v>
      </c>
      <c r="I7466">
        <v>164</v>
      </c>
    </row>
    <row r="7467" spans="1:17" x14ac:dyDescent="0.2">
      <c r="A7467" s="121">
        <v>41698</v>
      </c>
      <c r="B7467" t="s">
        <v>406</v>
      </c>
      <c r="C7467" t="s">
        <v>510</v>
      </c>
      <c r="D7467" t="s">
        <v>625</v>
      </c>
      <c r="E7467" t="s">
        <v>626</v>
      </c>
      <c r="F7467" t="s">
        <v>410</v>
      </c>
      <c r="G7467">
        <v>52</v>
      </c>
      <c r="I7467">
        <v>47</v>
      </c>
    </row>
    <row r="7468" spans="1:17" x14ac:dyDescent="0.2">
      <c r="A7468" s="121">
        <v>41698</v>
      </c>
      <c r="B7468" t="s">
        <v>406</v>
      </c>
      <c r="C7468" t="s">
        <v>551</v>
      </c>
      <c r="D7468" t="s">
        <v>552</v>
      </c>
      <c r="E7468" t="s">
        <v>553</v>
      </c>
      <c r="F7468" t="s">
        <v>413</v>
      </c>
      <c r="G7468">
        <v>5074</v>
      </c>
      <c r="H7468">
        <v>5074</v>
      </c>
      <c r="I7468">
        <v>4310</v>
      </c>
      <c r="J7468">
        <v>4310</v>
      </c>
      <c r="K7468">
        <v>1497</v>
      </c>
      <c r="L7468">
        <v>5</v>
      </c>
      <c r="M7468">
        <v>3305</v>
      </c>
      <c r="N7468">
        <v>168</v>
      </c>
      <c r="O7468">
        <v>99</v>
      </c>
      <c r="P7468">
        <v>48</v>
      </c>
      <c r="Q7468">
        <v>3</v>
      </c>
    </row>
    <row r="7469" spans="1:17" x14ac:dyDescent="0.2">
      <c r="A7469" s="121">
        <v>41698</v>
      </c>
      <c r="B7469" t="s">
        <v>406</v>
      </c>
      <c r="C7469" t="s">
        <v>551</v>
      </c>
      <c r="D7469" t="s">
        <v>554</v>
      </c>
      <c r="E7469" t="s">
        <v>555</v>
      </c>
      <c r="F7469" t="s">
        <v>410</v>
      </c>
      <c r="G7469">
        <v>67</v>
      </c>
      <c r="I7469">
        <v>67</v>
      </c>
    </row>
    <row r="7470" spans="1:17" x14ac:dyDescent="0.2">
      <c r="A7470" s="121">
        <v>41698</v>
      </c>
      <c r="B7470" t="s">
        <v>406</v>
      </c>
      <c r="C7470" t="s">
        <v>551</v>
      </c>
      <c r="D7470" t="s">
        <v>556</v>
      </c>
      <c r="E7470" t="s">
        <v>557</v>
      </c>
      <c r="F7470" t="s">
        <v>410</v>
      </c>
      <c r="G7470">
        <v>70</v>
      </c>
      <c r="I7470">
        <v>70</v>
      </c>
    </row>
    <row r="7471" spans="1:17" x14ac:dyDescent="0.2">
      <c r="A7471" s="121">
        <v>41698</v>
      </c>
      <c r="B7471" t="s">
        <v>406</v>
      </c>
      <c r="C7471" t="s">
        <v>551</v>
      </c>
      <c r="D7471" t="s">
        <v>558</v>
      </c>
      <c r="E7471" t="s">
        <v>559</v>
      </c>
      <c r="F7471" t="s">
        <v>413</v>
      </c>
      <c r="G7471">
        <v>4307</v>
      </c>
      <c r="H7471">
        <v>4307</v>
      </c>
      <c r="I7471">
        <v>3476</v>
      </c>
      <c r="J7471">
        <v>3476</v>
      </c>
      <c r="K7471">
        <v>1321</v>
      </c>
      <c r="L7471">
        <v>4</v>
      </c>
      <c r="M7471">
        <v>2831</v>
      </c>
      <c r="N7471">
        <v>144</v>
      </c>
      <c r="O7471">
        <v>7</v>
      </c>
      <c r="P7471">
        <v>145</v>
      </c>
      <c r="Q7471">
        <v>40</v>
      </c>
    </row>
    <row r="7472" spans="1:17" x14ac:dyDescent="0.2">
      <c r="A7472" s="121">
        <v>41698</v>
      </c>
      <c r="B7472" t="s">
        <v>406</v>
      </c>
      <c r="C7472" t="s">
        <v>551</v>
      </c>
      <c r="D7472" t="s">
        <v>560</v>
      </c>
      <c r="E7472" t="s">
        <v>561</v>
      </c>
      <c r="F7472" t="s">
        <v>413</v>
      </c>
      <c r="G7472">
        <v>4827</v>
      </c>
      <c r="H7472">
        <v>4827</v>
      </c>
      <c r="I7472">
        <v>4248</v>
      </c>
      <c r="J7472">
        <v>4248</v>
      </c>
      <c r="K7472">
        <v>1160</v>
      </c>
      <c r="L7472">
        <v>6</v>
      </c>
      <c r="M7472">
        <v>3367</v>
      </c>
      <c r="N7472">
        <v>190</v>
      </c>
      <c r="O7472">
        <v>104</v>
      </c>
      <c r="P7472">
        <v>50</v>
      </c>
      <c r="Q7472">
        <v>6</v>
      </c>
    </row>
    <row r="7473" spans="1:17" x14ac:dyDescent="0.2">
      <c r="A7473" s="121">
        <v>41698</v>
      </c>
      <c r="B7473" t="s">
        <v>406</v>
      </c>
      <c r="C7473" t="s">
        <v>562</v>
      </c>
      <c r="D7473" t="s">
        <v>605</v>
      </c>
      <c r="E7473" t="s">
        <v>606</v>
      </c>
      <c r="F7473" t="s">
        <v>410</v>
      </c>
      <c r="G7473">
        <v>88</v>
      </c>
      <c r="I7473">
        <v>88</v>
      </c>
    </row>
    <row r="7474" spans="1:17" x14ac:dyDescent="0.2">
      <c r="A7474" s="121">
        <v>41698</v>
      </c>
      <c r="B7474" t="s">
        <v>406</v>
      </c>
      <c r="C7474" t="s">
        <v>562</v>
      </c>
      <c r="D7474" t="s">
        <v>563</v>
      </c>
      <c r="E7474" t="s">
        <v>564</v>
      </c>
      <c r="F7474" t="s">
        <v>410</v>
      </c>
      <c r="G7474">
        <v>3160</v>
      </c>
      <c r="H7474">
        <v>3160</v>
      </c>
      <c r="I7474">
        <v>2714</v>
      </c>
      <c r="J7474">
        <v>2714</v>
      </c>
      <c r="K7474">
        <v>1119</v>
      </c>
      <c r="L7474">
        <v>2</v>
      </c>
      <c r="M7474">
        <v>2022</v>
      </c>
      <c r="N7474">
        <v>17</v>
      </c>
      <c r="O7474">
        <v>0</v>
      </c>
      <c r="P7474">
        <v>90</v>
      </c>
      <c r="Q7474">
        <v>5</v>
      </c>
    </row>
    <row r="7475" spans="1:17" x14ac:dyDescent="0.2">
      <c r="A7475" s="121">
        <v>41698</v>
      </c>
      <c r="B7475" t="s">
        <v>406</v>
      </c>
      <c r="C7475" t="s">
        <v>562</v>
      </c>
      <c r="D7475" t="s">
        <v>565</v>
      </c>
      <c r="E7475" t="s">
        <v>566</v>
      </c>
      <c r="F7475" t="s">
        <v>413</v>
      </c>
      <c r="G7475">
        <v>3995</v>
      </c>
      <c r="H7475">
        <v>3995</v>
      </c>
      <c r="I7475">
        <v>3786</v>
      </c>
      <c r="J7475">
        <v>3786</v>
      </c>
      <c r="K7475">
        <v>1015</v>
      </c>
      <c r="L7475">
        <v>5</v>
      </c>
      <c r="M7475">
        <v>2894</v>
      </c>
      <c r="N7475">
        <v>81</v>
      </c>
      <c r="O7475">
        <v>0</v>
      </c>
      <c r="P7475">
        <v>10</v>
      </c>
      <c r="Q7475">
        <v>1</v>
      </c>
    </row>
    <row r="7476" spans="1:17" x14ac:dyDescent="0.2">
      <c r="A7476" s="121">
        <v>41698</v>
      </c>
      <c r="B7476" t="s">
        <v>406</v>
      </c>
      <c r="C7476" t="s">
        <v>562</v>
      </c>
      <c r="D7476" t="s">
        <v>567</v>
      </c>
      <c r="E7476" t="s">
        <v>568</v>
      </c>
      <c r="F7476" t="s">
        <v>413</v>
      </c>
      <c r="G7476">
        <v>8692</v>
      </c>
      <c r="H7476">
        <v>8692</v>
      </c>
      <c r="I7476">
        <v>7923</v>
      </c>
      <c r="J7476">
        <v>7923</v>
      </c>
      <c r="K7476">
        <v>2606</v>
      </c>
      <c r="L7476">
        <v>20</v>
      </c>
      <c r="M7476">
        <v>5847</v>
      </c>
      <c r="N7476">
        <v>219</v>
      </c>
      <c r="O7476">
        <v>0</v>
      </c>
      <c r="P7476">
        <v>76</v>
      </c>
      <c r="Q7476">
        <v>2</v>
      </c>
    </row>
    <row r="7477" spans="1:17" x14ac:dyDescent="0.2">
      <c r="A7477" s="121">
        <v>41698</v>
      </c>
      <c r="B7477" t="s">
        <v>406</v>
      </c>
      <c r="C7477" t="s">
        <v>562</v>
      </c>
      <c r="D7477" t="s">
        <v>569</v>
      </c>
      <c r="E7477" t="s">
        <v>570</v>
      </c>
      <c r="F7477" t="s">
        <v>413</v>
      </c>
      <c r="G7477">
        <v>3387</v>
      </c>
      <c r="H7477">
        <v>3387</v>
      </c>
      <c r="I7477">
        <v>3345</v>
      </c>
      <c r="J7477">
        <v>3345</v>
      </c>
      <c r="K7477">
        <v>424</v>
      </c>
      <c r="L7477">
        <v>0</v>
      </c>
      <c r="M7477">
        <v>2963</v>
      </c>
      <c r="N7477">
        <v>0</v>
      </c>
      <c r="O7477">
        <v>0</v>
      </c>
      <c r="P7477">
        <v>0</v>
      </c>
      <c r="Q7477">
        <v>0</v>
      </c>
    </row>
    <row r="7478" spans="1:17" x14ac:dyDescent="0.2">
      <c r="A7478" s="121">
        <v>41698</v>
      </c>
      <c r="B7478" t="s">
        <v>406</v>
      </c>
      <c r="C7478" t="s">
        <v>571</v>
      </c>
      <c r="D7478" t="s">
        <v>572</v>
      </c>
      <c r="E7478" t="s">
        <v>627</v>
      </c>
      <c r="F7478" t="s">
        <v>413</v>
      </c>
      <c r="G7478">
        <v>342</v>
      </c>
      <c r="H7478">
        <v>342</v>
      </c>
      <c r="I7478">
        <v>337</v>
      </c>
      <c r="J7478">
        <v>337</v>
      </c>
      <c r="K7478">
        <v>118</v>
      </c>
      <c r="L7478">
        <v>0</v>
      </c>
      <c r="M7478">
        <v>223</v>
      </c>
      <c r="N7478">
        <v>0</v>
      </c>
      <c r="O7478">
        <v>1</v>
      </c>
      <c r="P7478">
        <v>0</v>
      </c>
      <c r="Q7478">
        <v>0</v>
      </c>
    </row>
    <row r="7479" spans="1:17" x14ac:dyDescent="0.2">
      <c r="A7479" s="121">
        <v>41698</v>
      </c>
      <c r="B7479" t="s">
        <v>406</v>
      </c>
      <c r="C7479" t="s">
        <v>574</v>
      </c>
      <c r="D7479" t="s">
        <v>575</v>
      </c>
      <c r="E7479" t="s">
        <v>576</v>
      </c>
      <c r="F7479" t="s">
        <v>413</v>
      </c>
      <c r="G7479">
        <v>625</v>
      </c>
      <c r="H7479">
        <v>625</v>
      </c>
      <c r="I7479">
        <v>605</v>
      </c>
      <c r="J7479">
        <v>605</v>
      </c>
      <c r="K7479">
        <v>157</v>
      </c>
      <c r="L7479">
        <v>3</v>
      </c>
      <c r="M7479">
        <v>435</v>
      </c>
      <c r="N7479">
        <v>4</v>
      </c>
      <c r="O7479">
        <v>26</v>
      </c>
      <c r="P7479">
        <v>0</v>
      </c>
      <c r="Q7479">
        <v>0</v>
      </c>
    </row>
    <row r="7480" spans="1:17" x14ac:dyDescent="0.2">
      <c r="A7480" s="121">
        <v>41698</v>
      </c>
      <c r="B7480" t="s">
        <v>406</v>
      </c>
      <c r="C7480" t="s">
        <v>577</v>
      </c>
      <c r="D7480" t="s">
        <v>578</v>
      </c>
      <c r="E7480" t="s">
        <v>579</v>
      </c>
      <c r="F7480" t="s">
        <v>413</v>
      </c>
      <c r="G7480">
        <v>3571</v>
      </c>
      <c r="H7480">
        <v>3571</v>
      </c>
      <c r="I7480">
        <v>3543</v>
      </c>
      <c r="J7480">
        <v>3543</v>
      </c>
      <c r="K7480">
        <v>830</v>
      </c>
      <c r="L7480">
        <v>7</v>
      </c>
      <c r="M7480">
        <v>2482</v>
      </c>
      <c r="N7480">
        <v>247</v>
      </c>
      <c r="O7480">
        <v>5</v>
      </c>
      <c r="P7480">
        <v>1</v>
      </c>
      <c r="Q7480">
        <v>0</v>
      </c>
    </row>
    <row r="7481" spans="1:17" x14ac:dyDescent="0.2">
      <c r="A7481" s="121">
        <v>41698</v>
      </c>
      <c r="B7481" t="s">
        <v>406</v>
      </c>
      <c r="C7481" t="s">
        <v>577</v>
      </c>
      <c r="D7481" t="s">
        <v>580</v>
      </c>
      <c r="E7481" t="s">
        <v>581</v>
      </c>
      <c r="F7481" t="s">
        <v>413</v>
      </c>
      <c r="G7481">
        <v>1811</v>
      </c>
      <c r="H7481">
        <v>1811</v>
      </c>
      <c r="I7481">
        <v>1786</v>
      </c>
      <c r="J7481">
        <v>1786</v>
      </c>
      <c r="K7481">
        <v>328</v>
      </c>
      <c r="L7481">
        <v>0</v>
      </c>
      <c r="M7481">
        <v>1080</v>
      </c>
      <c r="N7481">
        <v>358</v>
      </c>
      <c r="O7481">
        <v>45</v>
      </c>
      <c r="P7481">
        <v>0</v>
      </c>
      <c r="Q7481">
        <v>0</v>
      </c>
    </row>
    <row r="7482" spans="1:17" x14ac:dyDescent="0.2">
      <c r="A7482" s="121">
        <v>41698</v>
      </c>
      <c r="B7482" t="s">
        <v>406</v>
      </c>
      <c r="C7482" t="s">
        <v>577</v>
      </c>
      <c r="D7482" t="s">
        <v>609</v>
      </c>
      <c r="E7482" t="s">
        <v>610</v>
      </c>
      <c r="F7482" t="s">
        <v>410</v>
      </c>
      <c r="G7482">
        <v>25</v>
      </c>
      <c r="H7482">
        <v>25</v>
      </c>
      <c r="I7482">
        <v>25</v>
      </c>
      <c r="J7482">
        <v>25</v>
      </c>
      <c r="K7482">
        <v>0</v>
      </c>
      <c r="L7482">
        <v>0</v>
      </c>
      <c r="M7482">
        <v>23</v>
      </c>
      <c r="N7482">
        <v>2</v>
      </c>
      <c r="O7482">
        <v>0</v>
      </c>
      <c r="P7482">
        <v>0</v>
      </c>
      <c r="Q7482">
        <v>0</v>
      </c>
    </row>
    <row r="7483" spans="1:17" x14ac:dyDescent="0.2">
      <c r="A7483" s="121">
        <v>41698</v>
      </c>
      <c r="B7483" t="s">
        <v>406</v>
      </c>
      <c r="C7483" t="s">
        <v>577</v>
      </c>
      <c r="D7483" t="s">
        <v>611</v>
      </c>
      <c r="E7483" t="s">
        <v>612</v>
      </c>
      <c r="F7483" t="s">
        <v>410</v>
      </c>
      <c r="G7483">
        <v>1</v>
      </c>
      <c r="H7483">
        <v>1</v>
      </c>
      <c r="I7483">
        <v>1</v>
      </c>
      <c r="J7483">
        <v>1</v>
      </c>
      <c r="K7483">
        <v>0</v>
      </c>
      <c r="L7483">
        <v>0</v>
      </c>
      <c r="M7483">
        <v>1</v>
      </c>
      <c r="N7483">
        <v>0</v>
      </c>
      <c r="O7483">
        <v>0</v>
      </c>
      <c r="P7483">
        <v>0</v>
      </c>
      <c r="Q7483">
        <v>0</v>
      </c>
    </row>
    <row r="7484" spans="1:17" x14ac:dyDescent="0.2">
      <c r="A7484" s="121">
        <v>41698</v>
      </c>
      <c r="B7484" t="s">
        <v>406</v>
      </c>
      <c r="C7484" t="s">
        <v>577</v>
      </c>
      <c r="D7484" t="s">
        <v>584</v>
      </c>
      <c r="E7484" t="s">
        <v>585</v>
      </c>
      <c r="F7484" t="s">
        <v>410</v>
      </c>
      <c r="G7484">
        <v>225</v>
      </c>
      <c r="H7484">
        <v>225</v>
      </c>
      <c r="I7484">
        <v>225</v>
      </c>
      <c r="J7484">
        <v>225</v>
      </c>
      <c r="K7484">
        <v>0</v>
      </c>
      <c r="L7484">
        <v>0</v>
      </c>
      <c r="M7484">
        <v>204</v>
      </c>
      <c r="N7484">
        <v>17</v>
      </c>
      <c r="O7484">
        <v>4</v>
      </c>
      <c r="P7484">
        <v>0</v>
      </c>
      <c r="Q7484">
        <v>0</v>
      </c>
    </row>
    <row r="7485" spans="1:17" x14ac:dyDescent="0.2">
      <c r="A7485" s="121">
        <v>41698</v>
      </c>
      <c r="B7485" t="s">
        <v>406</v>
      </c>
      <c r="C7485" t="s">
        <v>577</v>
      </c>
      <c r="D7485" t="s">
        <v>586</v>
      </c>
      <c r="E7485" t="s">
        <v>587</v>
      </c>
      <c r="F7485" t="s">
        <v>410</v>
      </c>
      <c r="G7485">
        <v>1102</v>
      </c>
      <c r="H7485">
        <v>1102</v>
      </c>
      <c r="I7485">
        <v>1099</v>
      </c>
      <c r="J7485">
        <v>1099</v>
      </c>
      <c r="K7485">
        <v>0</v>
      </c>
      <c r="L7485">
        <v>0</v>
      </c>
      <c r="M7485">
        <v>997</v>
      </c>
      <c r="N7485">
        <v>100</v>
      </c>
      <c r="O7485">
        <v>5</v>
      </c>
      <c r="P7485">
        <v>0</v>
      </c>
      <c r="Q7485">
        <v>0</v>
      </c>
    </row>
    <row r="7486" spans="1:17" x14ac:dyDescent="0.2">
      <c r="A7486" s="121">
        <v>41698</v>
      </c>
      <c r="B7486" t="s">
        <v>406</v>
      </c>
      <c r="C7486" t="s">
        <v>577</v>
      </c>
      <c r="D7486" t="s">
        <v>588</v>
      </c>
      <c r="E7486" t="s">
        <v>589</v>
      </c>
      <c r="F7486" t="s">
        <v>410</v>
      </c>
      <c r="G7486">
        <v>202</v>
      </c>
      <c r="H7486">
        <v>202</v>
      </c>
      <c r="I7486">
        <v>202</v>
      </c>
      <c r="J7486">
        <v>202</v>
      </c>
      <c r="K7486">
        <v>0</v>
      </c>
      <c r="L7486">
        <v>0</v>
      </c>
      <c r="M7486">
        <v>183</v>
      </c>
      <c r="N7486">
        <v>18</v>
      </c>
      <c r="O7486">
        <v>1</v>
      </c>
      <c r="P7486">
        <v>0</v>
      </c>
      <c r="Q7486">
        <v>0</v>
      </c>
    </row>
    <row r="7487" spans="1:17" x14ac:dyDescent="0.2">
      <c r="A7487" s="121">
        <v>41698</v>
      </c>
      <c r="B7487" t="s">
        <v>406</v>
      </c>
      <c r="C7487" t="s">
        <v>577</v>
      </c>
      <c r="D7487" t="s">
        <v>613</v>
      </c>
      <c r="E7487" t="s">
        <v>614</v>
      </c>
      <c r="F7487" t="s">
        <v>410</v>
      </c>
      <c r="G7487">
        <v>126</v>
      </c>
      <c r="H7487">
        <v>126</v>
      </c>
      <c r="I7487">
        <v>126</v>
      </c>
      <c r="J7487">
        <v>126</v>
      </c>
      <c r="K7487">
        <v>0</v>
      </c>
      <c r="L7487">
        <v>0</v>
      </c>
      <c r="M7487">
        <v>116</v>
      </c>
      <c r="N7487">
        <v>3</v>
      </c>
      <c r="O7487">
        <v>7</v>
      </c>
      <c r="P7487">
        <v>0</v>
      </c>
      <c r="Q7487">
        <v>0</v>
      </c>
    </row>
    <row r="7488" spans="1:17" x14ac:dyDescent="0.2">
      <c r="A7488" s="121">
        <v>41698</v>
      </c>
      <c r="B7488" t="s">
        <v>406</v>
      </c>
      <c r="C7488" t="s">
        <v>577</v>
      </c>
      <c r="D7488" t="s">
        <v>590</v>
      </c>
      <c r="E7488" t="s">
        <v>591</v>
      </c>
      <c r="F7488" t="s">
        <v>410</v>
      </c>
      <c r="G7488">
        <v>581</v>
      </c>
      <c r="H7488">
        <v>581</v>
      </c>
      <c r="I7488">
        <v>581</v>
      </c>
      <c r="J7488">
        <v>581</v>
      </c>
      <c r="K7488">
        <v>0</v>
      </c>
      <c r="L7488">
        <v>0</v>
      </c>
      <c r="M7488">
        <v>557</v>
      </c>
      <c r="N7488">
        <v>24</v>
      </c>
      <c r="O7488">
        <v>0</v>
      </c>
      <c r="P7488">
        <v>0</v>
      </c>
      <c r="Q7488">
        <v>0</v>
      </c>
    </row>
    <row r="7489" spans="1:17" x14ac:dyDescent="0.2">
      <c r="A7489" s="121">
        <v>41698</v>
      </c>
      <c r="B7489" t="s">
        <v>406</v>
      </c>
      <c r="C7489" t="s">
        <v>577</v>
      </c>
      <c r="D7489" t="s">
        <v>607</v>
      </c>
      <c r="E7489" t="s">
        <v>608</v>
      </c>
      <c r="F7489" t="s">
        <v>410</v>
      </c>
      <c r="G7489">
        <v>123</v>
      </c>
      <c r="H7489">
        <v>123</v>
      </c>
      <c r="I7489">
        <v>123</v>
      </c>
      <c r="J7489">
        <v>123</v>
      </c>
      <c r="K7489">
        <v>0</v>
      </c>
      <c r="L7489">
        <v>0</v>
      </c>
      <c r="M7489">
        <v>107</v>
      </c>
      <c r="N7489">
        <v>11</v>
      </c>
      <c r="O7489">
        <v>5</v>
      </c>
      <c r="P7489">
        <v>0</v>
      </c>
      <c r="Q7489">
        <v>0</v>
      </c>
    </row>
    <row r="7490" spans="1:17" x14ac:dyDescent="0.2">
      <c r="A7490" s="121">
        <v>41698</v>
      </c>
      <c r="B7490" t="s">
        <v>406</v>
      </c>
      <c r="C7490" t="s">
        <v>577</v>
      </c>
      <c r="D7490" t="s">
        <v>592</v>
      </c>
      <c r="E7490" t="s">
        <v>593</v>
      </c>
      <c r="F7490" t="s">
        <v>410</v>
      </c>
      <c r="G7490">
        <v>511</v>
      </c>
      <c r="H7490">
        <v>511</v>
      </c>
      <c r="I7490">
        <v>511</v>
      </c>
      <c r="J7490">
        <v>511</v>
      </c>
      <c r="K7490">
        <v>0</v>
      </c>
      <c r="L7490">
        <v>1</v>
      </c>
      <c r="M7490">
        <v>472</v>
      </c>
      <c r="N7490">
        <v>36</v>
      </c>
      <c r="O7490">
        <v>2</v>
      </c>
      <c r="P7490">
        <v>0</v>
      </c>
      <c r="Q7490">
        <v>0</v>
      </c>
    </row>
    <row r="7491" spans="1:17" x14ac:dyDescent="0.2">
      <c r="A7491" s="121">
        <v>41698</v>
      </c>
      <c r="B7491" t="s">
        <v>406</v>
      </c>
      <c r="C7491" t="s">
        <v>594</v>
      </c>
      <c r="D7491" t="s">
        <v>595</v>
      </c>
      <c r="E7491" t="s">
        <v>596</v>
      </c>
      <c r="F7491" t="s">
        <v>410</v>
      </c>
      <c r="G7491">
        <v>25</v>
      </c>
      <c r="I7491">
        <v>25</v>
      </c>
    </row>
    <row r="7492" spans="1:17" x14ac:dyDescent="0.2">
      <c r="A7492" s="121">
        <v>41698</v>
      </c>
      <c r="B7492" t="s">
        <v>406</v>
      </c>
      <c r="C7492" t="s">
        <v>594</v>
      </c>
      <c r="D7492" t="s">
        <v>597</v>
      </c>
      <c r="E7492" t="s">
        <v>598</v>
      </c>
      <c r="F7492" t="s">
        <v>413</v>
      </c>
      <c r="G7492">
        <v>425</v>
      </c>
      <c r="H7492">
        <v>425</v>
      </c>
      <c r="I7492">
        <v>412</v>
      </c>
      <c r="J7492">
        <v>412</v>
      </c>
      <c r="K7492">
        <v>102</v>
      </c>
      <c r="L7492">
        <v>1</v>
      </c>
      <c r="M7492">
        <v>315</v>
      </c>
      <c r="N7492">
        <v>6</v>
      </c>
      <c r="O7492">
        <v>1</v>
      </c>
      <c r="P7492">
        <v>0</v>
      </c>
      <c r="Q7492">
        <v>0</v>
      </c>
    </row>
    <row r="7493" spans="1:17" x14ac:dyDescent="0.2">
      <c r="A7493" s="121">
        <v>41698</v>
      </c>
      <c r="B7493" t="s">
        <v>406</v>
      </c>
      <c r="C7493" t="s">
        <v>594</v>
      </c>
      <c r="D7493" t="s">
        <v>599</v>
      </c>
      <c r="E7493" t="s">
        <v>600</v>
      </c>
      <c r="F7493" t="s">
        <v>410</v>
      </c>
      <c r="G7493">
        <v>52</v>
      </c>
      <c r="I7493">
        <v>52</v>
      </c>
    </row>
    <row r="7494" spans="1:17" x14ac:dyDescent="0.2">
      <c r="A7494" s="121">
        <v>41729</v>
      </c>
      <c r="B7494" t="s">
        <v>406</v>
      </c>
      <c r="C7494" t="s">
        <v>407</v>
      </c>
      <c r="D7494" t="s">
        <v>408</v>
      </c>
      <c r="E7494" t="s">
        <v>409</v>
      </c>
      <c r="F7494" t="s">
        <v>410</v>
      </c>
      <c r="G7494">
        <v>188</v>
      </c>
      <c r="I7494">
        <v>188</v>
      </c>
    </row>
    <row r="7495" spans="1:17" x14ac:dyDescent="0.2">
      <c r="A7495" s="121">
        <v>41729</v>
      </c>
      <c r="B7495" t="s">
        <v>406</v>
      </c>
      <c r="C7495" t="s">
        <v>407</v>
      </c>
      <c r="D7495" t="s">
        <v>601</v>
      </c>
      <c r="E7495" t="s">
        <v>602</v>
      </c>
      <c r="F7495" t="s">
        <v>410</v>
      </c>
      <c r="G7495">
        <v>28</v>
      </c>
      <c r="I7495">
        <v>28</v>
      </c>
    </row>
    <row r="7496" spans="1:17" x14ac:dyDescent="0.2">
      <c r="A7496" s="121">
        <v>41729</v>
      </c>
      <c r="B7496" t="s">
        <v>406</v>
      </c>
      <c r="C7496" t="s">
        <v>407</v>
      </c>
      <c r="D7496" t="s">
        <v>411</v>
      </c>
      <c r="E7496" t="s">
        <v>412</v>
      </c>
      <c r="F7496" t="s">
        <v>413</v>
      </c>
      <c r="G7496">
        <v>6453</v>
      </c>
      <c r="H7496">
        <v>6453</v>
      </c>
      <c r="I7496">
        <v>6008</v>
      </c>
      <c r="J7496">
        <v>6008</v>
      </c>
      <c r="K7496">
        <v>2617</v>
      </c>
      <c r="L7496">
        <v>5</v>
      </c>
      <c r="M7496">
        <v>3437</v>
      </c>
      <c r="N7496">
        <v>137</v>
      </c>
      <c r="O7496">
        <v>257</v>
      </c>
      <c r="P7496">
        <v>18</v>
      </c>
      <c r="Q7496">
        <v>0</v>
      </c>
    </row>
    <row r="7497" spans="1:17" x14ac:dyDescent="0.2">
      <c r="A7497" s="121">
        <v>41729</v>
      </c>
      <c r="B7497" t="s">
        <v>406</v>
      </c>
      <c r="C7497" t="s">
        <v>407</v>
      </c>
      <c r="D7497" t="s">
        <v>416</v>
      </c>
      <c r="E7497" t="s">
        <v>417</v>
      </c>
      <c r="F7497" t="s">
        <v>413</v>
      </c>
      <c r="G7497">
        <v>3813</v>
      </c>
      <c r="H7497">
        <v>3813</v>
      </c>
      <c r="I7497">
        <v>3592</v>
      </c>
      <c r="J7497">
        <v>3592</v>
      </c>
      <c r="K7497">
        <v>1409</v>
      </c>
      <c r="L7497">
        <v>12</v>
      </c>
      <c r="M7497">
        <v>2255</v>
      </c>
      <c r="N7497">
        <v>92</v>
      </c>
      <c r="O7497">
        <v>45</v>
      </c>
      <c r="P7497">
        <v>3</v>
      </c>
      <c r="Q7497">
        <v>0</v>
      </c>
    </row>
    <row r="7498" spans="1:17" x14ac:dyDescent="0.2">
      <c r="A7498" s="121">
        <v>41729</v>
      </c>
      <c r="B7498" t="s">
        <v>406</v>
      </c>
      <c r="C7498" t="s">
        <v>407</v>
      </c>
      <c r="D7498" t="s">
        <v>618</v>
      </c>
      <c r="E7498" t="s">
        <v>619</v>
      </c>
      <c r="F7498" t="s">
        <v>410</v>
      </c>
      <c r="G7498">
        <v>105</v>
      </c>
      <c r="I7498">
        <v>105</v>
      </c>
    </row>
    <row r="7499" spans="1:17" x14ac:dyDescent="0.2">
      <c r="A7499" s="121">
        <v>41729</v>
      </c>
      <c r="B7499" t="s">
        <v>406</v>
      </c>
      <c r="C7499" t="s">
        <v>418</v>
      </c>
      <c r="D7499" t="s">
        <v>419</v>
      </c>
      <c r="E7499" t="s">
        <v>420</v>
      </c>
      <c r="F7499" t="s">
        <v>410</v>
      </c>
      <c r="G7499">
        <v>11</v>
      </c>
      <c r="I7499">
        <v>11</v>
      </c>
    </row>
    <row r="7500" spans="1:17" x14ac:dyDescent="0.2">
      <c r="A7500" s="121">
        <v>41729</v>
      </c>
      <c r="B7500" t="s">
        <v>406</v>
      </c>
      <c r="C7500" t="s">
        <v>418</v>
      </c>
      <c r="D7500" t="s">
        <v>421</v>
      </c>
      <c r="E7500" t="s">
        <v>422</v>
      </c>
      <c r="F7500" t="s">
        <v>410</v>
      </c>
      <c r="G7500">
        <v>88</v>
      </c>
      <c r="I7500">
        <v>88</v>
      </c>
    </row>
    <row r="7501" spans="1:17" x14ac:dyDescent="0.2">
      <c r="A7501" s="121">
        <v>41729</v>
      </c>
      <c r="B7501" t="s">
        <v>406</v>
      </c>
      <c r="C7501" t="s">
        <v>418</v>
      </c>
      <c r="D7501" t="s">
        <v>423</v>
      </c>
      <c r="E7501" t="s">
        <v>424</v>
      </c>
      <c r="F7501" t="s">
        <v>410</v>
      </c>
      <c r="G7501">
        <v>16</v>
      </c>
      <c r="I7501">
        <v>16</v>
      </c>
    </row>
    <row r="7502" spans="1:17" x14ac:dyDescent="0.2">
      <c r="A7502" s="121">
        <v>41729</v>
      </c>
      <c r="B7502" t="s">
        <v>406</v>
      </c>
      <c r="C7502" t="s">
        <v>418</v>
      </c>
      <c r="D7502" t="s">
        <v>425</v>
      </c>
      <c r="E7502" t="s">
        <v>426</v>
      </c>
      <c r="F7502" t="s">
        <v>410</v>
      </c>
      <c r="G7502">
        <v>27</v>
      </c>
      <c r="I7502">
        <v>27</v>
      </c>
    </row>
    <row r="7503" spans="1:17" x14ac:dyDescent="0.2">
      <c r="A7503" s="121">
        <v>41729</v>
      </c>
      <c r="B7503" t="s">
        <v>406</v>
      </c>
      <c r="C7503" t="s">
        <v>418</v>
      </c>
      <c r="D7503" t="s">
        <v>427</v>
      </c>
      <c r="E7503" t="s">
        <v>428</v>
      </c>
      <c r="F7503" t="s">
        <v>413</v>
      </c>
      <c r="G7503">
        <v>2258</v>
      </c>
      <c r="H7503">
        <v>2258</v>
      </c>
      <c r="I7503">
        <v>2210</v>
      </c>
      <c r="J7503">
        <v>2210</v>
      </c>
      <c r="K7503">
        <v>834</v>
      </c>
      <c r="L7503">
        <v>3</v>
      </c>
      <c r="M7503">
        <v>1282</v>
      </c>
      <c r="N7503">
        <v>117</v>
      </c>
      <c r="O7503">
        <v>22</v>
      </c>
      <c r="P7503">
        <v>2</v>
      </c>
      <c r="Q7503">
        <v>0</v>
      </c>
    </row>
    <row r="7504" spans="1:17" x14ac:dyDescent="0.2">
      <c r="A7504" s="121">
        <v>41729</v>
      </c>
      <c r="B7504" t="s">
        <v>406</v>
      </c>
      <c r="C7504" t="s">
        <v>429</v>
      </c>
      <c r="D7504" t="s">
        <v>430</v>
      </c>
      <c r="E7504" t="s">
        <v>431</v>
      </c>
      <c r="F7504" t="s">
        <v>410</v>
      </c>
      <c r="G7504">
        <v>19</v>
      </c>
      <c r="I7504">
        <v>19</v>
      </c>
    </row>
    <row r="7505" spans="1:17" x14ac:dyDescent="0.2">
      <c r="A7505" s="121">
        <v>41729</v>
      </c>
      <c r="B7505" t="s">
        <v>406</v>
      </c>
      <c r="C7505" t="s">
        <v>429</v>
      </c>
      <c r="D7505" t="s">
        <v>432</v>
      </c>
      <c r="E7505" t="s">
        <v>433</v>
      </c>
      <c r="F7505" t="s">
        <v>410</v>
      </c>
      <c r="G7505">
        <v>28</v>
      </c>
      <c r="I7505">
        <v>28</v>
      </c>
    </row>
    <row r="7506" spans="1:17" x14ac:dyDescent="0.2">
      <c r="A7506" s="121">
        <v>41729</v>
      </c>
      <c r="B7506" t="s">
        <v>406</v>
      </c>
      <c r="C7506" t="s">
        <v>429</v>
      </c>
      <c r="D7506" t="s">
        <v>434</v>
      </c>
      <c r="E7506" t="s">
        <v>435</v>
      </c>
      <c r="F7506" t="s">
        <v>410</v>
      </c>
      <c r="G7506">
        <v>6</v>
      </c>
      <c r="I7506">
        <v>6</v>
      </c>
    </row>
    <row r="7507" spans="1:17" x14ac:dyDescent="0.2">
      <c r="A7507" s="121">
        <v>41729</v>
      </c>
      <c r="B7507" t="s">
        <v>406</v>
      </c>
      <c r="C7507" t="s">
        <v>429</v>
      </c>
      <c r="D7507" t="s">
        <v>436</v>
      </c>
      <c r="E7507" t="s">
        <v>437</v>
      </c>
      <c r="F7507" t="s">
        <v>410</v>
      </c>
      <c r="G7507">
        <v>15</v>
      </c>
      <c r="H7507">
        <v>15</v>
      </c>
      <c r="I7507">
        <v>15</v>
      </c>
      <c r="J7507">
        <v>15</v>
      </c>
      <c r="K7507">
        <v>0</v>
      </c>
      <c r="L7507">
        <v>0</v>
      </c>
      <c r="M7507">
        <v>13</v>
      </c>
      <c r="N7507">
        <v>2</v>
      </c>
      <c r="O7507">
        <v>0</v>
      </c>
      <c r="P7507">
        <v>0</v>
      </c>
      <c r="Q7507">
        <v>0</v>
      </c>
    </row>
    <row r="7508" spans="1:17" x14ac:dyDescent="0.2">
      <c r="A7508" s="121">
        <v>41729</v>
      </c>
      <c r="B7508" t="s">
        <v>406</v>
      </c>
      <c r="C7508" t="s">
        <v>429</v>
      </c>
      <c r="D7508" t="s">
        <v>438</v>
      </c>
      <c r="E7508" t="s">
        <v>439</v>
      </c>
      <c r="F7508" t="s">
        <v>413</v>
      </c>
      <c r="G7508">
        <v>920</v>
      </c>
      <c r="H7508">
        <v>920</v>
      </c>
      <c r="I7508">
        <v>898</v>
      </c>
      <c r="J7508">
        <v>898</v>
      </c>
      <c r="K7508">
        <v>109</v>
      </c>
      <c r="L7508">
        <v>2</v>
      </c>
      <c r="M7508">
        <v>717</v>
      </c>
      <c r="N7508">
        <v>92</v>
      </c>
      <c r="O7508">
        <v>0</v>
      </c>
      <c r="P7508">
        <v>0</v>
      </c>
      <c r="Q7508">
        <v>0</v>
      </c>
    </row>
    <row r="7509" spans="1:17" x14ac:dyDescent="0.2">
      <c r="A7509" s="121">
        <v>41729</v>
      </c>
      <c r="B7509" t="s">
        <v>406</v>
      </c>
      <c r="C7509" t="s">
        <v>429</v>
      </c>
      <c r="D7509" t="s">
        <v>440</v>
      </c>
      <c r="E7509" t="s">
        <v>441</v>
      </c>
      <c r="F7509" t="s">
        <v>413</v>
      </c>
      <c r="G7509">
        <v>3035</v>
      </c>
      <c r="H7509">
        <v>3035</v>
      </c>
      <c r="I7509">
        <v>2927</v>
      </c>
      <c r="J7509">
        <v>2927</v>
      </c>
      <c r="K7509">
        <v>1112</v>
      </c>
      <c r="L7509">
        <v>4</v>
      </c>
      <c r="M7509">
        <v>1836</v>
      </c>
      <c r="N7509">
        <v>83</v>
      </c>
      <c r="O7509">
        <v>0</v>
      </c>
      <c r="P7509">
        <v>1</v>
      </c>
      <c r="Q7509">
        <v>0</v>
      </c>
    </row>
    <row r="7510" spans="1:17" x14ac:dyDescent="0.2">
      <c r="A7510" s="121">
        <v>41729</v>
      </c>
      <c r="B7510" t="s">
        <v>406</v>
      </c>
      <c r="C7510" t="s">
        <v>442</v>
      </c>
      <c r="D7510" t="s">
        <v>443</v>
      </c>
      <c r="E7510" t="s">
        <v>444</v>
      </c>
      <c r="F7510" t="s">
        <v>413</v>
      </c>
      <c r="G7510">
        <v>5635</v>
      </c>
      <c r="H7510">
        <v>5635</v>
      </c>
      <c r="I7510">
        <v>5301</v>
      </c>
      <c r="J7510">
        <v>5301</v>
      </c>
      <c r="K7510">
        <v>1418</v>
      </c>
      <c r="L7510">
        <v>8</v>
      </c>
      <c r="M7510">
        <v>3918</v>
      </c>
      <c r="N7510">
        <v>156</v>
      </c>
      <c r="O7510">
        <v>135</v>
      </c>
      <c r="P7510">
        <v>17</v>
      </c>
      <c r="Q7510">
        <v>0</v>
      </c>
    </row>
    <row r="7511" spans="1:17" x14ac:dyDescent="0.2">
      <c r="A7511" s="121">
        <v>41729</v>
      </c>
      <c r="B7511" t="s">
        <v>406</v>
      </c>
      <c r="C7511" t="s">
        <v>442</v>
      </c>
      <c r="D7511" t="s">
        <v>445</v>
      </c>
      <c r="E7511" t="s">
        <v>446</v>
      </c>
      <c r="F7511" t="s">
        <v>410</v>
      </c>
      <c r="G7511">
        <v>181</v>
      </c>
      <c r="I7511">
        <v>181</v>
      </c>
    </row>
    <row r="7512" spans="1:17" x14ac:dyDescent="0.2">
      <c r="A7512" s="121">
        <v>41729</v>
      </c>
      <c r="B7512" t="s">
        <v>406</v>
      </c>
      <c r="C7512" t="s">
        <v>442</v>
      </c>
      <c r="D7512" t="s">
        <v>447</v>
      </c>
      <c r="E7512" t="s">
        <v>448</v>
      </c>
      <c r="F7512" t="s">
        <v>410</v>
      </c>
      <c r="G7512">
        <v>354</v>
      </c>
      <c r="I7512">
        <v>354</v>
      </c>
    </row>
    <row r="7513" spans="1:17" x14ac:dyDescent="0.2">
      <c r="A7513" s="121">
        <v>41729</v>
      </c>
      <c r="B7513" t="s">
        <v>406</v>
      </c>
      <c r="C7513" t="s">
        <v>442</v>
      </c>
      <c r="D7513" t="s">
        <v>449</v>
      </c>
      <c r="E7513" t="s">
        <v>624</v>
      </c>
      <c r="F7513" t="s">
        <v>410</v>
      </c>
      <c r="G7513">
        <v>1737</v>
      </c>
      <c r="H7513">
        <v>1737</v>
      </c>
      <c r="I7513">
        <v>1736</v>
      </c>
      <c r="J7513">
        <v>1736</v>
      </c>
      <c r="K7513">
        <v>9</v>
      </c>
      <c r="L7513">
        <v>0</v>
      </c>
      <c r="M7513">
        <v>1502</v>
      </c>
      <c r="N7513">
        <v>206</v>
      </c>
      <c r="O7513">
        <v>20</v>
      </c>
      <c r="P7513">
        <v>0</v>
      </c>
      <c r="Q7513">
        <v>0</v>
      </c>
    </row>
    <row r="7514" spans="1:17" x14ac:dyDescent="0.2">
      <c r="A7514" s="121">
        <v>41729</v>
      </c>
      <c r="B7514" t="s">
        <v>406</v>
      </c>
      <c r="C7514" t="s">
        <v>451</v>
      </c>
      <c r="D7514" t="s">
        <v>454</v>
      </c>
      <c r="E7514" t="s">
        <v>621</v>
      </c>
      <c r="F7514" t="s">
        <v>410</v>
      </c>
      <c r="G7514">
        <v>1237</v>
      </c>
      <c r="H7514">
        <v>1237</v>
      </c>
      <c r="I7514">
        <v>1237</v>
      </c>
      <c r="J7514">
        <v>1237</v>
      </c>
      <c r="K7514">
        <v>1</v>
      </c>
      <c r="L7514">
        <v>0</v>
      </c>
      <c r="M7514">
        <v>650</v>
      </c>
      <c r="N7514">
        <v>60</v>
      </c>
      <c r="O7514">
        <v>526</v>
      </c>
      <c r="P7514">
        <v>0</v>
      </c>
      <c r="Q7514">
        <v>0</v>
      </c>
    </row>
    <row r="7515" spans="1:17" x14ac:dyDescent="0.2">
      <c r="A7515" s="121">
        <v>41729</v>
      </c>
      <c r="B7515" t="s">
        <v>406</v>
      </c>
      <c r="C7515" t="s">
        <v>451</v>
      </c>
      <c r="D7515" t="s">
        <v>622</v>
      </c>
      <c r="E7515" t="s">
        <v>623</v>
      </c>
      <c r="F7515" t="s">
        <v>413</v>
      </c>
      <c r="G7515">
        <v>5393</v>
      </c>
      <c r="H7515">
        <v>5393</v>
      </c>
      <c r="I7515">
        <v>5205</v>
      </c>
      <c r="J7515">
        <v>5205</v>
      </c>
      <c r="K7515">
        <v>1149</v>
      </c>
      <c r="L7515">
        <v>5</v>
      </c>
      <c r="M7515">
        <v>1792</v>
      </c>
      <c r="N7515">
        <v>33</v>
      </c>
      <c r="O7515">
        <v>2414</v>
      </c>
      <c r="P7515">
        <v>2</v>
      </c>
      <c r="Q7515">
        <v>0</v>
      </c>
    </row>
    <row r="7516" spans="1:17" x14ac:dyDescent="0.2">
      <c r="A7516" s="121">
        <v>41729</v>
      </c>
      <c r="B7516" t="s">
        <v>406</v>
      </c>
      <c r="C7516" t="s">
        <v>456</v>
      </c>
      <c r="D7516" t="s">
        <v>457</v>
      </c>
      <c r="E7516" t="s">
        <v>458</v>
      </c>
      <c r="F7516" t="s">
        <v>413</v>
      </c>
      <c r="G7516">
        <v>5220</v>
      </c>
      <c r="H7516">
        <v>5220</v>
      </c>
      <c r="I7516">
        <v>4703</v>
      </c>
      <c r="J7516">
        <v>4703</v>
      </c>
      <c r="K7516">
        <v>1313</v>
      </c>
      <c r="L7516">
        <v>7</v>
      </c>
      <c r="M7516">
        <v>3314</v>
      </c>
      <c r="N7516">
        <v>12</v>
      </c>
      <c r="O7516">
        <v>574</v>
      </c>
      <c r="P7516">
        <v>40</v>
      </c>
      <c r="Q7516">
        <v>0</v>
      </c>
    </row>
    <row r="7517" spans="1:17" x14ac:dyDescent="0.2">
      <c r="A7517" s="121">
        <v>41729</v>
      </c>
      <c r="B7517" t="s">
        <v>406</v>
      </c>
      <c r="C7517" t="s">
        <v>456</v>
      </c>
      <c r="D7517" t="s">
        <v>459</v>
      </c>
      <c r="E7517" t="s">
        <v>460</v>
      </c>
      <c r="F7517" t="s">
        <v>413</v>
      </c>
      <c r="G7517">
        <v>1780</v>
      </c>
      <c r="H7517">
        <v>1780</v>
      </c>
      <c r="I7517">
        <v>1738</v>
      </c>
      <c r="J7517">
        <v>1738</v>
      </c>
      <c r="K7517">
        <v>372</v>
      </c>
      <c r="L7517">
        <v>0</v>
      </c>
      <c r="M7517">
        <v>1403</v>
      </c>
      <c r="N7517">
        <v>0</v>
      </c>
      <c r="O7517">
        <v>5</v>
      </c>
      <c r="P7517">
        <v>1</v>
      </c>
      <c r="Q7517">
        <v>0</v>
      </c>
    </row>
    <row r="7518" spans="1:17" x14ac:dyDescent="0.2">
      <c r="A7518" s="121">
        <v>41729</v>
      </c>
      <c r="B7518" t="s">
        <v>406</v>
      </c>
      <c r="C7518" t="s">
        <v>456</v>
      </c>
      <c r="D7518" t="s">
        <v>461</v>
      </c>
      <c r="E7518" t="s">
        <v>462</v>
      </c>
      <c r="F7518" t="s">
        <v>410</v>
      </c>
      <c r="G7518">
        <v>79</v>
      </c>
      <c r="I7518">
        <v>79</v>
      </c>
    </row>
    <row r="7519" spans="1:17" x14ac:dyDescent="0.2">
      <c r="A7519" s="121">
        <v>41729</v>
      </c>
      <c r="B7519" t="s">
        <v>406</v>
      </c>
      <c r="C7519" t="s">
        <v>456</v>
      </c>
      <c r="D7519" t="s">
        <v>463</v>
      </c>
      <c r="E7519" t="s">
        <v>464</v>
      </c>
      <c r="F7519" t="s">
        <v>410</v>
      </c>
      <c r="G7519">
        <v>10</v>
      </c>
      <c r="I7519">
        <v>10</v>
      </c>
    </row>
    <row r="7520" spans="1:17" x14ac:dyDescent="0.2">
      <c r="A7520" s="121">
        <v>41729</v>
      </c>
      <c r="B7520" t="s">
        <v>406</v>
      </c>
      <c r="C7520" t="s">
        <v>456</v>
      </c>
      <c r="D7520" t="s">
        <v>465</v>
      </c>
      <c r="E7520" t="s">
        <v>466</v>
      </c>
      <c r="F7520" t="s">
        <v>410</v>
      </c>
      <c r="G7520">
        <v>34</v>
      </c>
      <c r="I7520">
        <v>34</v>
      </c>
    </row>
    <row r="7521" spans="1:17" x14ac:dyDescent="0.2">
      <c r="A7521" s="121">
        <v>41729</v>
      </c>
      <c r="B7521" t="s">
        <v>406</v>
      </c>
      <c r="C7521" t="s">
        <v>456</v>
      </c>
      <c r="D7521" t="s">
        <v>467</v>
      </c>
      <c r="E7521" t="s">
        <v>468</v>
      </c>
      <c r="F7521" t="s">
        <v>410</v>
      </c>
      <c r="G7521">
        <v>1368</v>
      </c>
      <c r="I7521">
        <v>1366</v>
      </c>
    </row>
    <row r="7522" spans="1:17" x14ac:dyDescent="0.2">
      <c r="A7522" s="121">
        <v>41729</v>
      </c>
      <c r="B7522" t="s">
        <v>406</v>
      </c>
      <c r="C7522" t="s">
        <v>456</v>
      </c>
      <c r="D7522" t="s">
        <v>469</v>
      </c>
      <c r="E7522" t="s">
        <v>470</v>
      </c>
      <c r="F7522" t="s">
        <v>410</v>
      </c>
      <c r="G7522">
        <v>839</v>
      </c>
      <c r="I7522">
        <v>838</v>
      </c>
    </row>
    <row r="7523" spans="1:17" x14ac:dyDescent="0.2">
      <c r="A7523" s="121">
        <v>41729</v>
      </c>
      <c r="B7523" t="s">
        <v>406</v>
      </c>
      <c r="C7523" t="s">
        <v>456</v>
      </c>
      <c r="D7523" t="s">
        <v>471</v>
      </c>
      <c r="E7523" t="s">
        <v>472</v>
      </c>
      <c r="F7523" t="s">
        <v>410</v>
      </c>
      <c r="G7523">
        <v>310</v>
      </c>
      <c r="I7523">
        <v>308</v>
      </c>
    </row>
    <row r="7524" spans="1:17" x14ac:dyDescent="0.2">
      <c r="A7524" s="121">
        <v>41729</v>
      </c>
      <c r="B7524" t="s">
        <v>406</v>
      </c>
      <c r="C7524" t="s">
        <v>456</v>
      </c>
      <c r="D7524" t="s">
        <v>473</v>
      </c>
      <c r="E7524" t="s">
        <v>474</v>
      </c>
      <c r="F7524" t="s">
        <v>410</v>
      </c>
      <c r="G7524">
        <v>202</v>
      </c>
      <c r="I7524">
        <v>202</v>
      </c>
    </row>
    <row r="7525" spans="1:17" x14ac:dyDescent="0.2">
      <c r="A7525" s="121">
        <v>41729</v>
      </c>
      <c r="B7525" t="s">
        <v>406</v>
      </c>
      <c r="C7525" t="s">
        <v>456</v>
      </c>
      <c r="D7525" t="s">
        <v>475</v>
      </c>
      <c r="E7525" t="s">
        <v>476</v>
      </c>
      <c r="F7525" t="s">
        <v>410</v>
      </c>
      <c r="G7525">
        <v>271</v>
      </c>
      <c r="I7525">
        <v>269</v>
      </c>
    </row>
    <row r="7526" spans="1:17" x14ac:dyDescent="0.2">
      <c r="A7526" s="121">
        <v>41729</v>
      </c>
      <c r="B7526" t="s">
        <v>406</v>
      </c>
      <c r="C7526" t="s">
        <v>456</v>
      </c>
      <c r="D7526" t="s">
        <v>477</v>
      </c>
      <c r="E7526" t="s">
        <v>478</v>
      </c>
      <c r="F7526" t="s">
        <v>413</v>
      </c>
      <c r="G7526">
        <v>2007</v>
      </c>
      <c r="H7526">
        <v>2007</v>
      </c>
      <c r="I7526">
        <v>1948</v>
      </c>
      <c r="J7526">
        <v>1948</v>
      </c>
      <c r="K7526">
        <v>403</v>
      </c>
      <c r="L7526">
        <v>4</v>
      </c>
      <c r="M7526">
        <v>1588</v>
      </c>
      <c r="N7526">
        <v>12</v>
      </c>
      <c r="O7526">
        <v>0</v>
      </c>
      <c r="P7526">
        <v>4</v>
      </c>
      <c r="Q7526">
        <v>0</v>
      </c>
    </row>
    <row r="7527" spans="1:17" x14ac:dyDescent="0.2">
      <c r="A7527" s="121">
        <v>41729</v>
      </c>
      <c r="B7527" t="s">
        <v>406</v>
      </c>
      <c r="C7527" t="s">
        <v>456</v>
      </c>
      <c r="D7527" t="s">
        <v>479</v>
      </c>
      <c r="E7527" t="s">
        <v>480</v>
      </c>
      <c r="F7527" t="s">
        <v>410</v>
      </c>
      <c r="G7527">
        <v>53</v>
      </c>
      <c r="I7527">
        <v>53</v>
      </c>
    </row>
    <row r="7528" spans="1:17" x14ac:dyDescent="0.2">
      <c r="A7528" s="121">
        <v>41729</v>
      </c>
      <c r="B7528" t="s">
        <v>406</v>
      </c>
      <c r="C7528" t="s">
        <v>456</v>
      </c>
      <c r="D7528" t="s">
        <v>481</v>
      </c>
      <c r="E7528" t="s">
        <v>482</v>
      </c>
      <c r="F7528" t="s">
        <v>410</v>
      </c>
      <c r="G7528">
        <v>25</v>
      </c>
      <c r="I7528">
        <v>25</v>
      </c>
    </row>
    <row r="7529" spans="1:17" x14ac:dyDescent="0.2">
      <c r="A7529" s="121">
        <v>41729</v>
      </c>
      <c r="B7529" t="s">
        <v>406</v>
      </c>
      <c r="C7529" t="s">
        <v>456</v>
      </c>
      <c r="D7529" t="s">
        <v>483</v>
      </c>
      <c r="E7529" t="s">
        <v>484</v>
      </c>
      <c r="F7529" t="s">
        <v>410</v>
      </c>
      <c r="G7529">
        <v>85</v>
      </c>
      <c r="I7529">
        <v>85</v>
      </c>
    </row>
    <row r="7530" spans="1:17" x14ac:dyDescent="0.2">
      <c r="A7530" s="121">
        <v>41729</v>
      </c>
      <c r="B7530" t="s">
        <v>406</v>
      </c>
      <c r="C7530" t="s">
        <v>456</v>
      </c>
      <c r="D7530" t="s">
        <v>485</v>
      </c>
      <c r="E7530" t="s">
        <v>486</v>
      </c>
      <c r="F7530" t="s">
        <v>410</v>
      </c>
      <c r="G7530">
        <v>46</v>
      </c>
      <c r="I7530">
        <v>46</v>
      </c>
    </row>
    <row r="7531" spans="1:17" x14ac:dyDescent="0.2">
      <c r="A7531" s="121">
        <v>41729</v>
      </c>
      <c r="B7531" t="s">
        <v>406</v>
      </c>
      <c r="C7531" t="s">
        <v>456</v>
      </c>
      <c r="D7531" t="s">
        <v>487</v>
      </c>
      <c r="E7531" t="s">
        <v>488</v>
      </c>
      <c r="F7531" t="s">
        <v>410</v>
      </c>
      <c r="G7531">
        <v>25</v>
      </c>
      <c r="I7531">
        <v>25</v>
      </c>
    </row>
    <row r="7532" spans="1:17" x14ac:dyDescent="0.2">
      <c r="A7532" s="121">
        <v>41729</v>
      </c>
      <c r="B7532" t="s">
        <v>406</v>
      </c>
      <c r="C7532" t="s">
        <v>456</v>
      </c>
      <c r="D7532" t="s">
        <v>489</v>
      </c>
      <c r="E7532" t="s">
        <v>490</v>
      </c>
      <c r="F7532" t="s">
        <v>410</v>
      </c>
      <c r="G7532">
        <v>86</v>
      </c>
      <c r="I7532">
        <v>86</v>
      </c>
    </row>
    <row r="7533" spans="1:17" x14ac:dyDescent="0.2">
      <c r="A7533" s="121">
        <v>41729</v>
      </c>
      <c r="B7533" t="s">
        <v>406</v>
      </c>
      <c r="C7533" t="s">
        <v>491</v>
      </c>
      <c r="D7533" t="s">
        <v>492</v>
      </c>
      <c r="E7533" t="s">
        <v>493</v>
      </c>
      <c r="F7533" t="s">
        <v>410</v>
      </c>
      <c r="G7533">
        <v>1323</v>
      </c>
      <c r="H7533">
        <v>1323</v>
      </c>
      <c r="I7533">
        <v>1305</v>
      </c>
      <c r="J7533">
        <v>1305</v>
      </c>
      <c r="K7533">
        <v>264</v>
      </c>
      <c r="L7533">
        <v>1</v>
      </c>
      <c r="M7533">
        <v>995</v>
      </c>
      <c r="N7533">
        <v>59</v>
      </c>
      <c r="O7533">
        <v>4</v>
      </c>
      <c r="P7533">
        <v>0</v>
      </c>
      <c r="Q7533">
        <v>0</v>
      </c>
    </row>
    <row r="7534" spans="1:17" x14ac:dyDescent="0.2">
      <c r="A7534" s="121">
        <v>41729</v>
      </c>
      <c r="B7534" t="s">
        <v>406</v>
      </c>
      <c r="C7534" t="s">
        <v>491</v>
      </c>
      <c r="D7534" t="s">
        <v>494</v>
      </c>
      <c r="E7534" t="s">
        <v>495</v>
      </c>
      <c r="F7534" t="s">
        <v>413</v>
      </c>
      <c r="G7534">
        <v>2771</v>
      </c>
      <c r="H7534">
        <v>2771</v>
      </c>
      <c r="I7534">
        <v>2572</v>
      </c>
      <c r="J7534">
        <v>2572</v>
      </c>
      <c r="K7534">
        <v>772</v>
      </c>
      <c r="L7534">
        <v>4</v>
      </c>
      <c r="M7534">
        <v>1768</v>
      </c>
      <c r="N7534">
        <v>39</v>
      </c>
      <c r="O7534">
        <v>188</v>
      </c>
      <c r="P7534">
        <v>5</v>
      </c>
      <c r="Q7534">
        <v>0</v>
      </c>
    </row>
    <row r="7535" spans="1:17" x14ac:dyDescent="0.2">
      <c r="A7535" s="121">
        <v>41729</v>
      </c>
      <c r="B7535" t="s">
        <v>406</v>
      </c>
      <c r="C7535" t="s">
        <v>491</v>
      </c>
      <c r="D7535" t="s">
        <v>496</v>
      </c>
      <c r="E7535" t="s">
        <v>497</v>
      </c>
      <c r="F7535" t="s">
        <v>413</v>
      </c>
      <c r="G7535">
        <v>5863</v>
      </c>
      <c r="H7535">
        <v>5863</v>
      </c>
      <c r="I7535">
        <v>5386</v>
      </c>
      <c r="J7535">
        <v>5386</v>
      </c>
      <c r="K7535">
        <v>1926</v>
      </c>
      <c r="L7535">
        <v>9</v>
      </c>
      <c r="M7535">
        <v>3627</v>
      </c>
      <c r="N7535">
        <v>130</v>
      </c>
      <c r="O7535">
        <v>171</v>
      </c>
      <c r="P7535">
        <v>12</v>
      </c>
      <c r="Q7535">
        <v>0</v>
      </c>
    </row>
    <row r="7536" spans="1:17" x14ac:dyDescent="0.2">
      <c r="A7536" s="121">
        <v>41729</v>
      </c>
      <c r="B7536" t="s">
        <v>406</v>
      </c>
      <c r="C7536" t="s">
        <v>491</v>
      </c>
      <c r="D7536" t="s">
        <v>498</v>
      </c>
      <c r="E7536" t="s">
        <v>499</v>
      </c>
      <c r="F7536" t="s">
        <v>413</v>
      </c>
      <c r="G7536">
        <v>7187</v>
      </c>
      <c r="H7536">
        <v>7187</v>
      </c>
      <c r="I7536">
        <v>6222</v>
      </c>
      <c r="J7536">
        <v>6222</v>
      </c>
      <c r="K7536">
        <v>2411</v>
      </c>
      <c r="L7536">
        <v>25</v>
      </c>
      <c r="M7536">
        <v>4249</v>
      </c>
      <c r="N7536">
        <v>81</v>
      </c>
      <c r="O7536">
        <v>421</v>
      </c>
      <c r="P7536">
        <v>19</v>
      </c>
      <c r="Q7536">
        <v>0</v>
      </c>
    </row>
    <row r="7537" spans="1:17" x14ac:dyDescent="0.2">
      <c r="A7537" s="121">
        <v>41729</v>
      </c>
      <c r="B7537" t="s">
        <v>406</v>
      </c>
      <c r="C7537" t="s">
        <v>491</v>
      </c>
      <c r="D7537" t="s">
        <v>500</v>
      </c>
      <c r="E7537" t="s">
        <v>620</v>
      </c>
      <c r="F7537" t="s">
        <v>410</v>
      </c>
      <c r="G7537">
        <v>1542</v>
      </c>
      <c r="H7537">
        <v>1542</v>
      </c>
      <c r="I7537">
        <v>1542</v>
      </c>
      <c r="J7537">
        <v>1542</v>
      </c>
      <c r="K7537">
        <v>2</v>
      </c>
      <c r="L7537">
        <v>0</v>
      </c>
      <c r="M7537">
        <v>1452</v>
      </c>
      <c r="N7537">
        <v>67</v>
      </c>
      <c r="O7537">
        <v>21</v>
      </c>
      <c r="P7537">
        <v>0</v>
      </c>
      <c r="Q7537">
        <v>0</v>
      </c>
    </row>
    <row r="7538" spans="1:17" x14ac:dyDescent="0.2">
      <c r="A7538" s="121">
        <v>41729</v>
      </c>
      <c r="B7538" t="s">
        <v>406</v>
      </c>
      <c r="C7538" t="s">
        <v>491</v>
      </c>
      <c r="D7538" t="s">
        <v>502</v>
      </c>
      <c r="E7538" t="s">
        <v>615</v>
      </c>
      <c r="F7538" t="s">
        <v>410</v>
      </c>
      <c r="G7538">
        <v>2029</v>
      </c>
      <c r="H7538">
        <v>2029</v>
      </c>
      <c r="I7538">
        <v>2029</v>
      </c>
      <c r="J7538">
        <v>2029</v>
      </c>
      <c r="K7538">
        <v>5</v>
      </c>
      <c r="L7538">
        <v>0</v>
      </c>
      <c r="M7538">
        <v>1911</v>
      </c>
      <c r="N7538">
        <v>106</v>
      </c>
      <c r="O7538">
        <v>7</v>
      </c>
      <c r="P7538">
        <v>0</v>
      </c>
      <c r="Q7538">
        <v>0</v>
      </c>
    </row>
    <row r="7539" spans="1:17" x14ac:dyDescent="0.2">
      <c r="A7539" s="121">
        <v>41729</v>
      </c>
      <c r="B7539" t="s">
        <v>406</v>
      </c>
      <c r="C7539" t="s">
        <v>491</v>
      </c>
      <c r="D7539" t="s">
        <v>502</v>
      </c>
      <c r="E7539" t="s">
        <v>503</v>
      </c>
      <c r="F7539" t="s">
        <v>413</v>
      </c>
      <c r="G7539">
        <v>5092</v>
      </c>
      <c r="H7539">
        <v>5092</v>
      </c>
      <c r="I7539">
        <v>4423</v>
      </c>
      <c r="J7539">
        <v>4423</v>
      </c>
      <c r="K7539">
        <v>1586</v>
      </c>
      <c r="L7539">
        <v>11</v>
      </c>
      <c r="M7539">
        <v>3064</v>
      </c>
      <c r="N7539">
        <v>329</v>
      </c>
      <c r="O7539">
        <v>102</v>
      </c>
      <c r="P7539">
        <v>70</v>
      </c>
      <c r="Q7539">
        <v>3</v>
      </c>
    </row>
    <row r="7540" spans="1:17" x14ac:dyDescent="0.2">
      <c r="A7540" s="121">
        <v>41729</v>
      </c>
      <c r="B7540" t="s">
        <v>406</v>
      </c>
      <c r="C7540" t="s">
        <v>491</v>
      </c>
      <c r="D7540" t="s">
        <v>504</v>
      </c>
      <c r="E7540" t="s">
        <v>505</v>
      </c>
      <c r="F7540" t="s">
        <v>413</v>
      </c>
      <c r="G7540">
        <v>4118</v>
      </c>
      <c r="H7540">
        <v>4118</v>
      </c>
      <c r="I7540">
        <v>3734</v>
      </c>
      <c r="J7540">
        <v>3734</v>
      </c>
      <c r="K7540">
        <v>1166</v>
      </c>
      <c r="L7540">
        <v>9</v>
      </c>
      <c r="M7540">
        <v>2696</v>
      </c>
      <c r="N7540">
        <v>164</v>
      </c>
      <c r="O7540">
        <v>83</v>
      </c>
      <c r="P7540">
        <v>10</v>
      </c>
      <c r="Q7540">
        <v>0</v>
      </c>
    </row>
    <row r="7541" spans="1:17" x14ac:dyDescent="0.2">
      <c r="A7541" s="121">
        <v>41729</v>
      </c>
      <c r="B7541" t="s">
        <v>406</v>
      </c>
      <c r="C7541" t="s">
        <v>491</v>
      </c>
      <c r="D7541" t="s">
        <v>506</v>
      </c>
      <c r="E7541" t="s">
        <v>507</v>
      </c>
      <c r="F7541" t="s">
        <v>413</v>
      </c>
      <c r="G7541">
        <v>4377</v>
      </c>
      <c r="H7541">
        <v>4377</v>
      </c>
      <c r="I7541">
        <v>4246</v>
      </c>
      <c r="J7541">
        <v>4246</v>
      </c>
      <c r="K7541">
        <v>1322</v>
      </c>
      <c r="L7541">
        <v>2</v>
      </c>
      <c r="M7541">
        <v>3044</v>
      </c>
      <c r="N7541">
        <v>2</v>
      </c>
      <c r="O7541">
        <v>7</v>
      </c>
      <c r="P7541">
        <v>0</v>
      </c>
      <c r="Q7541">
        <v>0</v>
      </c>
    </row>
    <row r="7542" spans="1:17" x14ac:dyDescent="0.2">
      <c r="A7542" s="121">
        <v>41729</v>
      </c>
      <c r="B7542" t="s">
        <v>406</v>
      </c>
      <c r="C7542" t="s">
        <v>491</v>
      </c>
      <c r="D7542" t="s">
        <v>508</v>
      </c>
      <c r="E7542" t="s">
        <v>509</v>
      </c>
      <c r="F7542" t="s">
        <v>413</v>
      </c>
      <c r="G7542">
        <v>5218</v>
      </c>
      <c r="H7542">
        <v>5218</v>
      </c>
      <c r="I7542">
        <v>3957</v>
      </c>
      <c r="J7542">
        <v>3957</v>
      </c>
      <c r="K7542">
        <v>1679</v>
      </c>
      <c r="L7542">
        <v>20</v>
      </c>
      <c r="M7542">
        <v>3230</v>
      </c>
      <c r="N7542">
        <v>104</v>
      </c>
      <c r="O7542">
        <v>185</v>
      </c>
      <c r="P7542">
        <v>203</v>
      </c>
      <c r="Q7542">
        <v>0</v>
      </c>
    </row>
    <row r="7543" spans="1:17" x14ac:dyDescent="0.2">
      <c r="A7543" s="121">
        <v>41729</v>
      </c>
      <c r="B7543" t="s">
        <v>406</v>
      </c>
      <c r="C7543" t="s">
        <v>510</v>
      </c>
      <c r="D7543" t="s">
        <v>513</v>
      </c>
      <c r="E7543" t="s">
        <v>514</v>
      </c>
      <c r="F7543" t="s">
        <v>410</v>
      </c>
      <c r="G7543">
        <v>593</v>
      </c>
      <c r="I7543">
        <v>576</v>
      </c>
    </row>
    <row r="7544" spans="1:17" x14ac:dyDescent="0.2">
      <c r="A7544" s="121">
        <v>41729</v>
      </c>
      <c r="B7544" t="s">
        <v>406</v>
      </c>
      <c r="C7544" t="s">
        <v>510</v>
      </c>
      <c r="D7544" t="s">
        <v>515</v>
      </c>
      <c r="E7544" t="s">
        <v>516</v>
      </c>
      <c r="F7544" t="s">
        <v>410</v>
      </c>
      <c r="G7544">
        <v>99</v>
      </c>
      <c r="I7544">
        <v>98</v>
      </c>
    </row>
    <row r="7545" spans="1:17" x14ac:dyDescent="0.2">
      <c r="A7545" s="121">
        <v>41729</v>
      </c>
      <c r="B7545" t="s">
        <v>406</v>
      </c>
      <c r="C7545" t="s">
        <v>510</v>
      </c>
      <c r="D7545" t="s">
        <v>519</v>
      </c>
      <c r="E7545" t="s">
        <v>520</v>
      </c>
      <c r="F7545" t="s">
        <v>410</v>
      </c>
      <c r="G7545">
        <v>370</v>
      </c>
      <c r="I7545">
        <v>358</v>
      </c>
    </row>
    <row r="7546" spans="1:17" x14ac:dyDescent="0.2">
      <c r="A7546" s="121">
        <v>41729</v>
      </c>
      <c r="B7546" t="s">
        <v>406</v>
      </c>
      <c r="C7546" t="s">
        <v>510</v>
      </c>
      <c r="D7546" t="s">
        <v>523</v>
      </c>
      <c r="E7546" t="s">
        <v>524</v>
      </c>
      <c r="F7546" t="s">
        <v>413</v>
      </c>
      <c r="G7546">
        <v>500</v>
      </c>
      <c r="H7546">
        <v>500</v>
      </c>
      <c r="I7546">
        <v>490</v>
      </c>
      <c r="J7546">
        <v>490</v>
      </c>
      <c r="K7546">
        <v>105</v>
      </c>
      <c r="L7546">
        <v>1</v>
      </c>
      <c r="M7546">
        <v>389</v>
      </c>
      <c r="N7546">
        <v>5</v>
      </c>
      <c r="O7546">
        <v>0</v>
      </c>
      <c r="P7546">
        <v>0</v>
      </c>
      <c r="Q7546">
        <v>0</v>
      </c>
    </row>
    <row r="7547" spans="1:17" x14ac:dyDescent="0.2">
      <c r="A7547" s="121">
        <v>41729</v>
      </c>
      <c r="B7547" t="s">
        <v>406</v>
      </c>
      <c r="C7547" t="s">
        <v>510</v>
      </c>
      <c r="D7547" t="s">
        <v>525</v>
      </c>
      <c r="E7547" t="s">
        <v>526</v>
      </c>
      <c r="F7547" t="s">
        <v>410</v>
      </c>
      <c r="G7547">
        <v>488</v>
      </c>
      <c r="I7547">
        <v>480</v>
      </c>
    </row>
    <row r="7548" spans="1:17" x14ac:dyDescent="0.2">
      <c r="A7548" s="121">
        <v>41729</v>
      </c>
      <c r="B7548" t="s">
        <v>406</v>
      </c>
      <c r="C7548" t="s">
        <v>510</v>
      </c>
      <c r="D7548" t="s">
        <v>527</v>
      </c>
      <c r="E7548" t="s">
        <v>528</v>
      </c>
      <c r="F7548" t="s">
        <v>410</v>
      </c>
      <c r="G7548">
        <v>235</v>
      </c>
      <c r="I7548">
        <v>235</v>
      </c>
    </row>
    <row r="7549" spans="1:17" x14ac:dyDescent="0.2">
      <c r="A7549" s="121">
        <v>41729</v>
      </c>
      <c r="B7549" t="s">
        <v>406</v>
      </c>
      <c r="C7549" t="s">
        <v>510</v>
      </c>
      <c r="D7549" t="s">
        <v>529</v>
      </c>
      <c r="E7549" t="s">
        <v>530</v>
      </c>
      <c r="F7549" t="s">
        <v>413</v>
      </c>
      <c r="G7549">
        <v>538</v>
      </c>
      <c r="H7549">
        <v>538</v>
      </c>
      <c r="I7549">
        <v>517</v>
      </c>
      <c r="J7549">
        <v>517</v>
      </c>
      <c r="K7549">
        <v>154</v>
      </c>
      <c r="L7549">
        <v>1</v>
      </c>
      <c r="M7549">
        <v>381</v>
      </c>
      <c r="N7549">
        <v>2</v>
      </c>
      <c r="O7549">
        <v>0</v>
      </c>
      <c r="P7549">
        <v>0</v>
      </c>
      <c r="Q7549">
        <v>0</v>
      </c>
    </row>
    <row r="7550" spans="1:17" x14ac:dyDescent="0.2">
      <c r="A7550" s="121">
        <v>41729</v>
      </c>
      <c r="B7550" t="s">
        <v>406</v>
      </c>
      <c r="C7550" t="s">
        <v>510</v>
      </c>
      <c r="D7550" t="s">
        <v>531</v>
      </c>
      <c r="E7550" t="s">
        <v>532</v>
      </c>
      <c r="F7550" t="s">
        <v>410</v>
      </c>
      <c r="G7550">
        <v>16</v>
      </c>
      <c r="I7550">
        <v>16</v>
      </c>
    </row>
    <row r="7551" spans="1:17" x14ac:dyDescent="0.2">
      <c r="A7551" s="121">
        <v>41729</v>
      </c>
      <c r="B7551" t="s">
        <v>406</v>
      </c>
      <c r="C7551" t="s">
        <v>510</v>
      </c>
      <c r="D7551" t="s">
        <v>533</v>
      </c>
      <c r="E7551" t="s">
        <v>534</v>
      </c>
      <c r="F7551" t="s">
        <v>413</v>
      </c>
      <c r="G7551">
        <v>2716</v>
      </c>
      <c r="H7551">
        <v>2716</v>
      </c>
      <c r="I7551">
        <v>2571</v>
      </c>
      <c r="J7551">
        <v>2571</v>
      </c>
      <c r="K7551">
        <v>682</v>
      </c>
      <c r="L7551">
        <v>3</v>
      </c>
      <c r="M7551">
        <v>2018</v>
      </c>
      <c r="N7551">
        <v>13</v>
      </c>
      <c r="O7551">
        <v>0</v>
      </c>
      <c r="P7551">
        <v>6</v>
      </c>
      <c r="Q7551">
        <v>0</v>
      </c>
    </row>
    <row r="7552" spans="1:17" x14ac:dyDescent="0.2">
      <c r="A7552" s="121">
        <v>41729</v>
      </c>
      <c r="B7552" t="s">
        <v>406</v>
      </c>
      <c r="C7552" t="s">
        <v>510</v>
      </c>
      <c r="D7552" t="s">
        <v>535</v>
      </c>
      <c r="E7552" t="s">
        <v>536</v>
      </c>
      <c r="F7552" t="s">
        <v>410</v>
      </c>
      <c r="G7552">
        <v>404</v>
      </c>
      <c r="I7552">
        <v>404</v>
      </c>
    </row>
    <row r="7553" spans="1:17" x14ac:dyDescent="0.2">
      <c r="A7553" s="121">
        <v>41729</v>
      </c>
      <c r="B7553" t="s">
        <v>406</v>
      </c>
      <c r="C7553" t="s">
        <v>510</v>
      </c>
      <c r="D7553" t="s">
        <v>537</v>
      </c>
      <c r="E7553" t="s">
        <v>538</v>
      </c>
      <c r="F7553" t="s">
        <v>410</v>
      </c>
      <c r="G7553">
        <v>92</v>
      </c>
      <c r="I7553">
        <v>92</v>
      </c>
    </row>
    <row r="7554" spans="1:17" x14ac:dyDescent="0.2">
      <c r="A7554" s="121">
        <v>41729</v>
      </c>
      <c r="B7554" t="s">
        <v>406</v>
      </c>
      <c r="C7554" t="s">
        <v>510</v>
      </c>
      <c r="D7554" t="s">
        <v>539</v>
      </c>
      <c r="E7554" t="s">
        <v>540</v>
      </c>
      <c r="F7554" t="s">
        <v>413</v>
      </c>
      <c r="G7554">
        <v>680</v>
      </c>
      <c r="H7554">
        <v>680</v>
      </c>
      <c r="I7554">
        <v>634</v>
      </c>
      <c r="J7554">
        <v>634</v>
      </c>
      <c r="K7554">
        <v>139</v>
      </c>
      <c r="L7554">
        <v>0</v>
      </c>
      <c r="M7554">
        <v>536</v>
      </c>
      <c r="N7554">
        <v>5</v>
      </c>
      <c r="O7554">
        <v>0</v>
      </c>
      <c r="P7554">
        <v>2</v>
      </c>
      <c r="Q7554">
        <v>0</v>
      </c>
    </row>
    <row r="7555" spans="1:17" x14ac:dyDescent="0.2">
      <c r="A7555" s="121">
        <v>41729</v>
      </c>
      <c r="B7555" t="s">
        <v>406</v>
      </c>
      <c r="C7555" t="s">
        <v>510</v>
      </c>
      <c r="D7555" t="s">
        <v>541</v>
      </c>
      <c r="E7555" t="s">
        <v>542</v>
      </c>
      <c r="F7555" t="s">
        <v>410</v>
      </c>
      <c r="G7555">
        <v>359</v>
      </c>
      <c r="I7555">
        <v>359</v>
      </c>
    </row>
    <row r="7556" spans="1:17" x14ac:dyDescent="0.2">
      <c r="A7556" s="121">
        <v>41729</v>
      </c>
      <c r="B7556" t="s">
        <v>406</v>
      </c>
      <c r="C7556" t="s">
        <v>510</v>
      </c>
      <c r="D7556" t="s">
        <v>543</v>
      </c>
      <c r="E7556" t="s">
        <v>544</v>
      </c>
      <c r="F7556" t="s">
        <v>410</v>
      </c>
      <c r="G7556">
        <v>255</v>
      </c>
      <c r="I7556">
        <v>255</v>
      </c>
    </row>
    <row r="7557" spans="1:17" x14ac:dyDescent="0.2">
      <c r="A7557" s="121">
        <v>41729</v>
      </c>
      <c r="B7557" t="s">
        <v>406</v>
      </c>
      <c r="C7557" t="s">
        <v>510</v>
      </c>
      <c r="D7557" t="s">
        <v>545</v>
      </c>
      <c r="E7557" t="s">
        <v>546</v>
      </c>
      <c r="F7557" t="s">
        <v>410</v>
      </c>
      <c r="G7557">
        <v>142</v>
      </c>
      <c r="I7557">
        <v>142</v>
      </c>
    </row>
    <row r="7558" spans="1:17" x14ac:dyDescent="0.2">
      <c r="A7558" s="121">
        <v>41729</v>
      </c>
      <c r="B7558" t="s">
        <v>406</v>
      </c>
      <c r="C7558" t="s">
        <v>510</v>
      </c>
      <c r="D7558" t="s">
        <v>547</v>
      </c>
      <c r="E7558" t="s">
        <v>548</v>
      </c>
      <c r="F7558" t="s">
        <v>410</v>
      </c>
      <c r="G7558">
        <v>174</v>
      </c>
      <c r="I7558">
        <v>174</v>
      </c>
    </row>
    <row r="7559" spans="1:17" x14ac:dyDescent="0.2">
      <c r="A7559" s="121">
        <v>41729</v>
      </c>
      <c r="B7559" t="s">
        <v>406</v>
      </c>
      <c r="C7559" t="s">
        <v>510</v>
      </c>
      <c r="D7559" t="s">
        <v>616</v>
      </c>
      <c r="E7559" t="s">
        <v>617</v>
      </c>
      <c r="F7559" t="s">
        <v>410</v>
      </c>
      <c r="G7559">
        <v>280</v>
      </c>
      <c r="I7559">
        <v>276</v>
      </c>
    </row>
    <row r="7560" spans="1:17" x14ac:dyDescent="0.2">
      <c r="A7560" s="121">
        <v>41729</v>
      </c>
      <c r="B7560" t="s">
        <v>406</v>
      </c>
      <c r="C7560" t="s">
        <v>510</v>
      </c>
      <c r="D7560" t="s">
        <v>549</v>
      </c>
      <c r="E7560" t="s">
        <v>550</v>
      </c>
      <c r="F7560" t="s">
        <v>410</v>
      </c>
      <c r="G7560">
        <v>153</v>
      </c>
      <c r="I7560">
        <v>153</v>
      </c>
    </row>
    <row r="7561" spans="1:17" x14ac:dyDescent="0.2">
      <c r="A7561" s="121">
        <v>41729</v>
      </c>
      <c r="B7561" t="s">
        <v>406</v>
      </c>
      <c r="C7561" t="s">
        <v>510</v>
      </c>
      <c r="D7561" t="s">
        <v>625</v>
      </c>
      <c r="E7561" t="s">
        <v>626</v>
      </c>
      <c r="F7561" t="s">
        <v>410</v>
      </c>
      <c r="G7561">
        <v>56</v>
      </c>
      <c r="I7561">
        <v>55</v>
      </c>
    </row>
    <row r="7562" spans="1:17" x14ac:dyDescent="0.2">
      <c r="A7562" s="121">
        <v>41729</v>
      </c>
      <c r="B7562" t="s">
        <v>406</v>
      </c>
      <c r="C7562" t="s">
        <v>551</v>
      </c>
      <c r="D7562" t="s">
        <v>552</v>
      </c>
      <c r="E7562" t="s">
        <v>553</v>
      </c>
      <c r="F7562" t="s">
        <v>413</v>
      </c>
      <c r="G7562">
        <v>5733</v>
      </c>
      <c r="H7562">
        <v>5733</v>
      </c>
      <c r="I7562">
        <v>5235</v>
      </c>
      <c r="J7562">
        <v>5235</v>
      </c>
      <c r="K7562">
        <v>1623</v>
      </c>
      <c r="L7562">
        <v>7</v>
      </c>
      <c r="M7562">
        <v>3820</v>
      </c>
      <c r="N7562">
        <v>161</v>
      </c>
      <c r="O7562">
        <v>122</v>
      </c>
      <c r="P7562">
        <v>15</v>
      </c>
      <c r="Q7562">
        <v>1</v>
      </c>
    </row>
    <row r="7563" spans="1:17" x14ac:dyDescent="0.2">
      <c r="A7563" s="121">
        <v>41729</v>
      </c>
      <c r="B7563" t="s">
        <v>406</v>
      </c>
      <c r="C7563" t="s">
        <v>551</v>
      </c>
      <c r="D7563" t="s">
        <v>554</v>
      </c>
      <c r="E7563" t="s">
        <v>555</v>
      </c>
      <c r="F7563" t="s">
        <v>410</v>
      </c>
      <c r="G7563">
        <v>66</v>
      </c>
      <c r="I7563">
        <v>66</v>
      </c>
    </row>
    <row r="7564" spans="1:17" x14ac:dyDescent="0.2">
      <c r="A7564" s="121">
        <v>41729</v>
      </c>
      <c r="B7564" t="s">
        <v>406</v>
      </c>
      <c r="C7564" t="s">
        <v>551</v>
      </c>
      <c r="D7564" t="s">
        <v>556</v>
      </c>
      <c r="E7564" t="s">
        <v>557</v>
      </c>
      <c r="F7564" t="s">
        <v>410</v>
      </c>
      <c r="G7564">
        <v>79</v>
      </c>
      <c r="I7564">
        <v>79</v>
      </c>
    </row>
    <row r="7565" spans="1:17" x14ac:dyDescent="0.2">
      <c r="A7565" s="121">
        <v>41729</v>
      </c>
      <c r="B7565" t="s">
        <v>406</v>
      </c>
      <c r="C7565" t="s">
        <v>551</v>
      </c>
      <c r="D7565" t="s">
        <v>558</v>
      </c>
      <c r="E7565" t="s">
        <v>559</v>
      </c>
      <c r="F7565" t="s">
        <v>413</v>
      </c>
      <c r="G7565">
        <v>4920</v>
      </c>
      <c r="H7565">
        <v>4920</v>
      </c>
      <c r="I7565">
        <v>4605</v>
      </c>
      <c r="J7565">
        <v>4605</v>
      </c>
      <c r="K7565">
        <v>1371</v>
      </c>
      <c r="L7565">
        <v>1</v>
      </c>
      <c r="M7565">
        <v>3388</v>
      </c>
      <c r="N7565">
        <v>144</v>
      </c>
      <c r="O7565">
        <v>16</v>
      </c>
      <c r="P7565">
        <v>43</v>
      </c>
      <c r="Q7565">
        <v>4</v>
      </c>
    </row>
    <row r="7566" spans="1:17" x14ac:dyDescent="0.2">
      <c r="A7566" s="121">
        <v>41729</v>
      </c>
      <c r="B7566" t="s">
        <v>406</v>
      </c>
      <c r="C7566" t="s">
        <v>551</v>
      </c>
      <c r="D7566" t="s">
        <v>560</v>
      </c>
      <c r="E7566" t="s">
        <v>561</v>
      </c>
      <c r="F7566" t="s">
        <v>413</v>
      </c>
      <c r="G7566">
        <v>5504</v>
      </c>
      <c r="H7566">
        <v>5504</v>
      </c>
      <c r="I7566">
        <v>5083</v>
      </c>
      <c r="J7566">
        <v>5083</v>
      </c>
      <c r="K7566">
        <v>1194</v>
      </c>
      <c r="L7566">
        <v>12</v>
      </c>
      <c r="M7566">
        <v>4038</v>
      </c>
      <c r="N7566">
        <v>175</v>
      </c>
      <c r="O7566">
        <v>85</v>
      </c>
      <c r="P7566">
        <v>38</v>
      </c>
      <c r="Q7566">
        <v>6</v>
      </c>
    </row>
    <row r="7567" spans="1:17" x14ac:dyDescent="0.2">
      <c r="A7567" s="121">
        <v>41729</v>
      </c>
      <c r="B7567" t="s">
        <v>406</v>
      </c>
      <c r="C7567" t="s">
        <v>562</v>
      </c>
      <c r="D7567" t="s">
        <v>605</v>
      </c>
      <c r="E7567" t="s">
        <v>606</v>
      </c>
      <c r="F7567" t="s">
        <v>410</v>
      </c>
      <c r="G7567">
        <v>126</v>
      </c>
      <c r="I7567">
        <v>126</v>
      </c>
    </row>
    <row r="7568" spans="1:17" x14ac:dyDescent="0.2">
      <c r="A7568" s="121">
        <v>41729</v>
      </c>
      <c r="B7568" t="s">
        <v>406</v>
      </c>
      <c r="C7568" t="s">
        <v>562</v>
      </c>
      <c r="D7568" t="s">
        <v>563</v>
      </c>
      <c r="E7568" t="s">
        <v>564</v>
      </c>
      <c r="F7568" t="s">
        <v>410</v>
      </c>
      <c r="G7568">
        <v>3583</v>
      </c>
      <c r="H7568">
        <v>3583</v>
      </c>
      <c r="I7568">
        <v>3064</v>
      </c>
      <c r="J7568">
        <v>3064</v>
      </c>
      <c r="K7568">
        <v>1156</v>
      </c>
      <c r="L7568">
        <v>4</v>
      </c>
      <c r="M7568">
        <v>2399</v>
      </c>
      <c r="N7568">
        <v>24</v>
      </c>
      <c r="O7568">
        <v>0</v>
      </c>
      <c r="P7568">
        <v>133</v>
      </c>
      <c r="Q7568">
        <v>21</v>
      </c>
    </row>
    <row r="7569" spans="1:17" x14ac:dyDescent="0.2">
      <c r="A7569" s="121">
        <v>41729</v>
      </c>
      <c r="B7569" t="s">
        <v>406</v>
      </c>
      <c r="C7569" t="s">
        <v>562</v>
      </c>
      <c r="D7569" t="s">
        <v>565</v>
      </c>
      <c r="E7569" t="s">
        <v>566</v>
      </c>
      <c r="F7569" t="s">
        <v>413</v>
      </c>
      <c r="G7569">
        <v>4543</v>
      </c>
      <c r="H7569">
        <v>4543</v>
      </c>
      <c r="I7569">
        <v>4258</v>
      </c>
      <c r="J7569">
        <v>4258</v>
      </c>
      <c r="K7569">
        <v>1059</v>
      </c>
      <c r="L7569">
        <v>8</v>
      </c>
      <c r="M7569">
        <v>3388</v>
      </c>
      <c r="N7569">
        <v>88</v>
      </c>
      <c r="O7569">
        <v>0</v>
      </c>
      <c r="P7569">
        <v>20</v>
      </c>
      <c r="Q7569">
        <v>1</v>
      </c>
    </row>
    <row r="7570" spans="1:17" x14ac:dyDescent="0.2">
      <c r="A7570" s="121">
        <v>41729</v>
      </c>
      <c r="B7570" t="s">
        <v>406</v>
      </c>
      <c r="C7570" t="s">
        <v>562</v>
      </c>
      <c r="D7570" t="s">
        <v>567</v>
      </c>
      <c r="E7570" t="s">
        <v>568</v>
      </c>
      <c r="F7570" t="s">
        <v>413</v>
      </c>
      <c r="G7570">
        <v>10085</v>
      </c>
      <c r="H7570">
        <v>10085</v>
      </c>
      <c r="I7570">
        <v>9205</v>
      </c>
      <c r="J7570">
        <v>9205</v>
      </c>
      <c r="K7570">
        <v>2992</v>
      </c>
      <c r="L7570">
        <v>13</v>
      </c>
      <c r="M7570">
        <v>6868</v>
      </c>
      <c r="N7570">
        <v>212</v>
      </c>
      <c r="O7570">
        <v>0</v>
      </c>
      <c r="P7570">
        <v>78</v>
      </c>
      <c r="Q7570">
        <v>3</v>
      </c>
    </row>
    <row r="7571" spans="1:17" x14ac:dyDescent="0.2">
      <c r="A7571" s="121">
        <v>41729</v>
      </c>
      <c r="B7571" t="s">
        <v>406</v>
      </c>
      <c r="C7571" t="s">
        <v>562</v>
      </c>
      <c r="D7571" t="s">
        <v>569</v>
      </c>
      <c r="E7571" t="s">
        <v>570</v>
      </c>
      <c r="F7571" t="s">
        <v>413</v>
      </c>
      <c r="G7571">
        <v>4114</v>
      </c>
      <c r="H7571">
        <v>4114</v>
      </c>
      <c r="I7571">
        <v>4055</v>
      </c>
      <c r="J7571">
        <v>4055</v>
      </c>
      <c r="K7571">
        <v>486</v>
      </c>
      <c r="L7571">
        <v>0</v>
      </c>
      <c r="M7571">
        <v>3627</v>
      </c>
      <c r="N7571">
        <v>1</v>
      </c>
      <c r="O7571">
        <v>0</v>
      </c>
      <c r="P7571">
        <v>0</v>
      </c>
      <c r="Q7571">
        <v>0</v>
      </c>
    </row>
    <row r="7572" spans="1:17" x14ac:dyDescent="0.2">
      <c r="A7572" s="121">
        <v>41729</v>
      </c>
      <c r="B7572" t="s">
        <v>406</v>
      </c>
      <c r="C7572" t="s">
        <v>571</v>
      </c>
      <c r="D7572" t="s">
        <v>572</v>
      </c>
      <c r="E7572" t="s">
        <v>627</v>
      </c>
      <c r="F7572" t="s">
        <v>413</v>
      </c>
      <c r="G7572">
        <v>418</v>
      </c>
      <c r="H7572">
        <v>418</v>
      </c>
      <c r="I7572">
        <v>413</v>
      </c>
      <c r="J7572">
        <v>413</v>
      </c>
      <c r="K7572">
        <v>177</v>
      </c>
      <c r="L7572">
        <v>0</v>
      </c>
      <c r="M7572">
        <v>241</v>
      </c>
      <c r="N7572">
        <v>0</v>
      </c>
      <c r="O7572">
        <v>0</v>
      </c>
      <c r="P7572">
        <v>0</v>
      </c>
      <c r="Q7572">
        <v>0</v>
      </c>
    </row>
    <row r="7573" spans="1:17" x14ac:dyDescent="0.2">
      <c r="A7573" s="121">
        <v>41729</v>
      </c>
      <c r="B7573" t="s">
        <v>406</v>
      </c>
      <c r="C7573" t="s">
        <v>574</v>
      </c>
      <c r="D7573" t="s">
        <v>575</v>
      </c>
      <c r="E7573" t="s">
        <v>576</v>
      </c>
      <c r="F7573" t="s">
        <v>413</v>
      </c>
      <c r="G7573">
        <v>713</v>
      </c>
      <c r="H7573">
        <v>713</v>
      </c>
      <c r="I7573">
        <v>704</v>
      </c>
      <c r="J7573">
        <v>704</v>
      </c>
      <c r="K7573">
        <v>176</v>
      </c>
      <c r="L7573">
        <v>2</v>
      </c>
      <c r="M7573">
        <v>507</v>
      </c>
      <c r="N7573">
        <v>3</v>
      </c>
      <c r="O7573">
        <v>25</v>
      </c>
      <c r="P7573">
        <v>0</v>
      </c>
      <c r="Q7573">
        <v>0</v>
      </c>
    </row>
    <row r="7574" spans="1:17" x14ac:dyDescent="0.2">
      <c r="A7574" s="121">
        <v>41729</v>
      </c>
      <c r="B7574" t="s">
        <v>406</v>
      </c>
      <c r="C7574" t="s">
        <v>577</v>
      </c>
      <c r="D7574" t="s">
        <v>578</v>
      </c>
      <c r="E7574" t="s">
        <v>579</v>
      </c>
      <c r="F7574" t="s">
        <v>413</v>
      </c>
      <c r="G7574">
        <v>4150</v>
      </c>
      <c r="H7574">
        <v>4150</v>
      </c>
      <c r="I7574">
        <v>4097</v>
      </c>
      <c r="J7574">
        <v>4097</v>
      </c>
      <c r="K7574">
        <v>902</v>
      </c>
      <c r="L7574">
        <v>16</v>
      </c>
      <c r="M7574">
        <v>2947</v>
      </c>
      <c r="N7574">
        <v>278</v>
      </c>
      <c r="O7574">
        <v>7</v>
      </c>
      <c r="P7574">
        <v>0</v>
      </c>
      <c r="Q7574">
        <v>0</v>
      </c>
    </row>
    <row r="7575" spans="1:17" x14ac:dyDescent="0.2">
      <c r="A7575" s="121">
        <v>41729</v>
      </c>
      <c r="B7575" t="s">
        <v>406</v>
      </c>
      <c r="C7575" t="s">
        <v>577</v>
      </c>
      <c r="D7575" t="s">
        <v>580</v>
      </c>
      <c r="E7575" t="s">
        <v>581</v>
      </c>
      <c r="F7575" t="s">
        <v>413</v>
      </c>
      <c r="G7575">
        <v>2126</v>
      </c>
      <c r="H7575">
        <v>2126</v>
      </c>
      <c r="I7575">
        <v>2110</v>
      </c>
      <c r="J7575">
        <v>2110</v>
      </c>
      <c r="K7575">
        <v>319</v>
      </c>
      <c r="L7575">
        <v>0</v>
      </c>
      <c r="M7575">
        <v>1393</v>
      </c>
      <c r="N7575">
        <v>364</v>
      </c>
      <c r="O7575">
        <v>50</v>
      </c>
      <c r="P7575">
        <v>0</v>
      </c>
      <c r="Q7575">
        <v>0</v>
      </c>
    </row>
    <row r="7576" spans="1:17" x14ac:dyDescent="0.2">
      <c r="A7576" s="121">
        <v>41729</v>
      </c>
      <c r="B7576" t="s">
        <v>406</v>
      </c>
      <c r="C7576" t="s">
        <v>577</v>
      </c>
      <c r="D7576" t="s">
        <v>609</v>
      </c>
      <c r="E7576" t="s">
        <v>610</v>
      </c>
      <c r="F7576" t="s">
        <v>410</v>
      </c>
      <c r="G7576">
        <v>32</v>
      </c>
      <c r="H7576">
        <v>32</v>
      </c>
      <c r="I7576">
        <v>32</v>
      </c>
      <c r="J7576">
        <v>32</v>
      </c>
      <c r="K7576">
        <v>0</v>
      </c>
      <c r="L7576">
        <v>0</v>
      </c>
      <c r="M7576">
        <v>29</v>
      </c>
      <c r="N7576">
        <v>2</v>
      </c>
      <c r="O7576">
        <v>1</v>
      </c>
      <c r="P7576">
        <v>0</v>
      </c>
      <c r="Q7576">
        <v>0</v>
      </c>
    </row>
    <row r="7577" spans="1:17" x14ac:dyDescent="0.2">
      <c r="A7577" s="121">
        <v>41729</v>
      </c>
      <c r="B7577" t="s">
        <v>406</v>
      </c>
      <c r="C7577" t="s">
        <v>577</v>
      </c>
      <c r="D7577" t="s">
        <v>611</v>
      </c>
      <c r="E7577" t="s">
        <v>612</v>
      </c>
      <c r="F7577" t="s">
        <v>410</v>
      </c>
      <c r="G7577">
        <v>8</v>
      </c>
      <c r="H7577">
        <v>8</v>
      </c>
      <c r="I7577">
        <v>8</v>
      </c>
      <c r="J7577">
        <v>8</v>
      </c>
      <c r="K7577">
        <v>0</v>
      </c>
      <c r="L7577">
        <v>0</v>
      </c>
      <c r="M7577">
        <v>5</v>
      </c>
      <c r="N7577">
        <v>0</v>
      </c>
      <c r="O7577">
        <v>3</v>
      </c>
      <c r="P7577">
        <v>0</v>
      </c>
      <c r="Q7577">
        <v>0</v>
      </c>
    </row>
    <row r="7578" spans="1:17" x14ac:dyDescent="0.2">
      <c r="A7578" s="121">
        <v>41729</v>
      </c>
      <c r="B7578" t="s">
        <v>406</v>
      </c>
      <c r="C7578" t="s">
        <v>577</v>
      </c>
      <c r="D7578" t="s">
        <v>584</v>
      </c>
      <c r="E7578" t="s">
        <v>585</v>
      </c>
      <c r="F7578" t="s">
        <v>410</v>
      </c>
      <c r="G7578">
        <v>251</v>
      </c>
      <c r="H7578">
        <v>251</v>
      </c>
      <c r="I7578">
        <v>251</v>
      </c>
      <c r="J7578">
        <v>251</v>
      </c>
      <c r="K7578">
        <v>0</v>
      </c>
      <c r="L7578">
        <v>0</v>
      </c>
      <c r="M7578">
        <v>224</v>
      </c>
      <c r="N7578">
        <v>27</v>
      </c>
      <c r="O7578">
        <v>0</v>
      </c>
      <c r="P7578">
        <v>0</v>
      </c>
      <c r="Q7578">
        <v>0</v>
      </c>
    </row>
    <row r="7579" spans="1:17" x14ac:dyDescent="0.2">
      <c r="A7579" s="121">
        <v>41729</v>
      </c>
      <c r="B7579" t="s">
        <v>406</v>
      </c>
      <c r="C7579" t="s">
        <v>577</v>
      </c>
      <c r="D7579" t="s">
        <v>586</v>
      </c>
      <c r="E7579" t="s">
        <v>587</v>
      </c>
      <c r="F7579" t="s">
        <v>410</v>
      </c>
      <c r="G7579">
        <v>1213</v>
      </c>
      <c r="H7579">
        <v>1213</v>
      </c>
      <c r="I7579">
        <v>1212</v>
      </c>
      <c r="J7579">
        <v>1212</v>
      </c>
      <c r="K7579">
        <v>0</v>
      </c>
      <c r="L7579">
        <v>0</v>
      </c>
      <c r="M7579">
        <v>1094</v>
      </c>
      <c r="N7579">
        <v>115</v>
      </c>
      <c r="O7579">
        <v>4</v>
      </c>
      <c r="P7579">
        <v>0</v>
      </c>
      <c r="Q7579">
        <v>0</v>
      </c>
    </row>
    <row r="7580" spans="1:17" x14ac:dyDescent="0.2">
      <c r="A7580" s="121">
        <v>41729</v>
      </c>
      <c r="B7580" t="s">
        <v>406</v>
      </c>
      <c r="C7580" t="s">
        <v>577</v>
      </c>
      <c r="D7580" t="s">
        <v>588</v>
      </c>
      <c r="E7580" t="s">
        <v>589</v>
      </c>
      <c r="F7580" t="s">
        <v>410</v>
      </c>
      <c r="G7580">
        <v>290</v>
      </c>
      <c r="H7580">
        <v>290</v>
      </c>
      <c r="I7580">
        <v>290</v>
      </c>
      <c r="J7580">
        <v>290</v>
      </c>
      <c r="K7580">
        <v>0</v>
      </c>
      <c r="L7580">
        <v>0</v>
      </c>
      <c r="M7580">
        <v>270</v>
      </c>
      <c r="N7580">
        <v>18</v>
      </c>
      <c r="O7580">
        <v>2</v>
      </c>
      <c r="P7580">
        <v>0</v>
      </c>
      <c r="Q7580">
        <v>0</v>
      </c>
    </row>
    <row r="7581" spans="1:17" x14ac:dyDescent="0.2">
      <c r="A7581" s="121">
        <v>41729</v>
      </c>
      <c r="B7581" t="s">
        <v>406</v>
      </c>
      <c r="C7581" t="s">
        <v>577</v>
      </c>
      <c r="D7581" t="s">
        <v>613</v>
      </c>
      <c r="E7581" t="s">
        <v>614</v>
      </c>
      <c r="F7581" t="s">
        <v>410</v>
      </c>
      <c r="G7581">
        <v>186</v>
      </c>
      <c r="H7581">
        <v>186</v>
      </c>
      <c r="I7581">
        <v>185</v>
      </c>
      <c r="J7581">
        <v>185</v>
      </c>
      <c r="K7581">
        <v>0</v>
      </c>
      <c r="L7581">
        <v>0</v>
      </c>
      <c r="M7581">
        <v>159</v>
      </c>
      <c r="N7581">
        <v>16</v>
      </c>
      <c r="O7581">
        <v>11</v>
      </c>
      <c r="P7581">
        <v>0</v>
      </c>
      <c r="Q7581">
        <v>0</v>
      </c>
    </row>
    <row r="7582" spans="1:17" x14ac:dyDescent="0.2">
      <c r="A7582" s="121">
        <v>41729</v>
      </c>
      <c r="B7582" t="s">
        <v>406</v>
      </c>
      <c r="C7582" t="s">
        <v>577</v>
      </c>
      <c r="D7582" t="s">
        <v>590</v>
      </c>
      <c r="E7582" t="s">
        <v>591</v>
      </c>
      <c r="F7582" t="s">
        <v>410</v>
      </c>
      <c r="G7582">
        <v>667</v>
      </c>
      <c r="H7582">
        <v>667</v>
      </c>
      <c r="I7582">
        <v>667</v>
      </c>
      <c r="J7582">
        <v>667</v>
      </c>
      <c r="K7582">
        <v>0</v>
      </c>
      <c r="L7582">
        <v>0</v>
      </c>
      <c r="M7582">
        <v>632</v>
      </c>
      <c r="N7582">
        <v>35</v>
      </c>
      <c r="O7582">
        <v>0</v>
      </c>
      <c r="P7582">
        <v>0</v>
      </c>
      <c r="Q7582">
        <v>0</v>
      </c>
    </row>
    <row r="7583" spans="1:17" x14ac:dyDescent="0.2">
      <c r="A7583" s="121">
        <v>41729</v>
      </c>
      <c r="B7583" t="s">
        <v>406</v>
      </c>
      <c r="C7583" t="s">
        <v>577</v>
      </c>
      <c r="D7583" t="s">
        <v>607</v>
      </c>
      <c r="E7583" t="s">
        <v>608</v>
      </c>
      <c r="F7583" t="s">
        <v>410</v>
      </c>
      <c r="G7583">
        <v>160</v>
      </c>
      <c r="H7583">
        <v>160</v>
      </c>
      <c r="I7583">
        <v>160</v>
      </c>
      <c r="J7583">
        <v>160</v>
      </c>
      <c r="K7583">
        <v>0</v>
      </c>
      <c r="L7583">
        <v>0</v>
      </c>
      <c r="M7583">
        <v>145</v>
      </c>
      <c r="N7583">
        <v>14</v>
      </c>
      <c r="O7583">
        <v>1</v>
      </c>
      <c r="P7583">
        <v>0</v>
      </c>
      <c r="Q7583">
        <v>0</v>
      </c>
    </row>
    <row r="7584" spans="1:17" x14ac:dyDescent="0.2">
      <c r="A7584" s="121">
        <v>41729</v>
      </c>
      <c r="B7584" t="s">
        <v>406</v>
      </c>
      <c r="C7584" t="s">
        <v>577</v>
      </c>
      <c r="D7584" t="s">
        <v>592</v>
      </c>
      <c r="E7584" t="s">
        <v>593</v>
      </c>
      <c r="F7584" t="s">
        <v>410</v>
      </c>
      <c r="G7584">
        <v>587</v>
      </c>
      <c r="H7584">
        <v>587</v>
      </c>
      <c r="I7584">
        <v>586</v>
      </c>
      <c r="J7584">
        <v>586</v>
      </c>
      <c r="K7584">
        <v>0</v>
      </c>
      <c r="L7584">
        <v>1</v>
      </c>
      <c r="M7584">
        <v>537</v>
      </c>
      <c r="N7584">
        <v>43</v>
      </c>
      <c r="O7584">
        <v>6</v>
      </c>
      <c r="P7584">
        <v>0</v>
      </c>
      <c r="Q7584">
        <v>0</v>
      </c>
    </row>
    <row r="7585" spans="1:17" x14ac:dyDescent="0.2">
      <c r="A7585" s="121">
        <v>41729</v>
      </c>
      <c r="B7585" t="s">
        <v>406</v>
      </c>
      <c r="C7585" t="s">
        <v>594</v>
      </c>
      <c r="D7585" t="s">
        <v>595</v>
      </c>
      <c r="E7585" t="s">
        <v>596</v>
      </c>
      <c r="F7585" t="s">
        <v>410</v>
      </c>
      <c r="G7585">
        <v>38</v>
      </c>
      <c r="I7585">
        <v>37</v>
      </c>
    </row>
    <row r="7586" spans="1:17" x14ac:dyDescent="0.2">
      <c r="A7586" s="121">
        <v>41729</v>
      </c>
      <c r="B7586" t="s">
        <v>406</v>
      </c>
      <c r="C7586" t="s">
        <v>594</v>
      </c>
      <c r="D7586" t="s">
        <v>597</v>
      </c>
      <c r="E7586" t="s">
        <v>598</v>
      </c>
      <c r="F7586" t="s">
        <v>413</v>
      </c>
      <c r="G7586">
        <v>556</v>
      </c>
      <c r="H7586">
        <v>556</v>
      </c>
      <c r="I7586">
        <v>544</v>
      </c>
      <c r="J7586">
        <v>544</v>
      </c>
      <c r="K7586">
        <v>130</v>
      </c>
      <c r="L7586">
        <v>2</v>
      </c>
      <c r="M7586">
        <v>411</v>
      </c>
      <c r="N7586">
        <v>9</v>
      </c>
      <c r="O7586">
        <v>4</v>
      </c>
      <c r="P7586">
        <v>0</v>
      </c>
      <c r="Q7586">
        <v>0</v>
      </c>
    </row>
    <row r="7587" spans="1:17" x14ac:dyDescent="0.2">
      <c r="A7587" s="121">
        <v>41729</v>
      </c>
      <c r="B7587" t="s">
        <v>406</v>
      </c>
      <c r="C7587" t="s">
        <v>594</v>
      </c>
      <c r="D7587" t="s">
        <v>599</v>
      </c>
      <c r="E7587" t="s">
        <v>600</v>
      </c>
      <c r="F7587" t="s">
        <v>410</v>
      </c>
      <c r="G7587">
        <v>90</v>
      </c>
      <c r="I7587">
        <v>90</v>
      </c>
    </row>
    <row r="7588" spans="1:17" x14ac:dyDescent="0.2">
      <c r="A7588" s="121">
        <v>41759</v>
      </c>
      <c r="B7588" t="s">
        <v>406</v>
      </c>
      <c r="C7588" t="s">
        <v>407</v>
      </c>
      <c r="D7588" t="s">
        <v>408</v>
      </c>
      <c r="E7588" t="s">
        <v>409</v>
      </c>
      <c r="F7588" t="s">
        <v>410</v>
      </c>
      <c r="G7588">
        <v>209</v>
      </c>
      <c r="I7588">
        <v>209</v>
      </c>
    </row>
    <row r="7589" spans="1:17" x14ac:dyDescent="0.2">
      <c r="A7589" s="121">
        <v>41759</v>
      </c>
      <c r="B7589" t="s">
        <v>406</v>
      </c>
      <c r="C7589" t="s">
        <v>407</v>
      </c>
      <c r="D7589" t="s">
        <v>601</v>
      </c>
      <c r="E7589" t="s">
        <v>602</v>
      </c>
      <c r="F7589" t="s">
        <v>410</v>
      </c>
      <c r="G7589">
        <v>66</v>
      </c>
      <c r="I7589">
        <v>66</v>
      </c>
    </row>
    <row r="7590" spans="1:17" x14ac:dyDescent="0.2">
      <c r="A7590" s="121">
        <v>41759</v>
      </c>
      <c r="B7590" t="s">
        <v>406</v>
      </c>
      <c r="C7590" t="s">
        <v>407</v>
      </c>
      <c r="D7590" t="s">
        <v>411</v>
      </c>
      <c r="E7590" t="s">
        <v>412</v>
      </c>
      <c r="F7590" t="s">
        <v>413</v>
      </c>
      <c r="G7590">
        <v>6448</v>
      </c>
      <c r="H7590">
        <v>6448</v>
      </c>
      <c r="I7590">
        <v>6047</v>
      </c>
      <c r="J7590">
        <v>6047</v>
      </c>
      <c r="K7590">
        <v>2475</v>
      </c>
      <c r="L7590">
        <v>4</v>
      </c>
      <c r="M7590">
        <v>3610</v>
      </c>
      <c r="N7590">
        <v>145</v>
      </c>
      <c r="O7590">
        <v>214</v>
      </c>
      <c r="P7590">
        <v>16</v>
      </c>
      <c r="Q7590">
        <v>2</v>
      </c>
    </row>
    <row r="7591" spans="1:17" x14ac:dyDescent="0.2">
      <c r="A7591" s="121">
        <v>41759</v>
      </c>
      <c r="B7591" t="s">
        <v>406</v>
      </c>
      <c r="C7591" t="s">
        <v>407</v>
      </c>
      <c r="D7591" t="s">
        <v>416</v>
      </c>
      <c r="E7591" t="s">
        <v>417</v>
      </c>
      <c r="F7591" t="s">
        <v>413</v>
      </c>
      <c r="G7591">
        <v>3867</v>
      </c>
      <c r="H7591">
        <v>3867</v>
      </c>
      <c r="I7591">
        <v>3702</v>
      </c>
      <c r="J7591">
        <v>3702</v>
      </c>
      <c r="K7591">
        <v>1392</v>
      </c>
      <c r="L7591">
        <v>6</v>
      </c>
      <c r="M7591">
        <v>2294</v>
      </c>
      <c r="N7591">
        <v>120</v>
      </c>
      <c r="O7591">
        <v>55</v>
      </c>
      <c r="P7591">
        <v>6</v>
      </c>
      <c r="Q7591">
        <v>0</v>
      </c>
    </row>
    <row r="7592" spans="1:17" x14ac:dyDescent="0.2">
      <c r="A7592" s="121">
        <v>41759</v>
      </c>
      <c r="B7592" t="s">
        <v>406</v>
      </c>
      <c r="C7592" t="s">
        <v>407</v>
      </c>
      <c r="D7592" t="s">
        <v>618</v>
      </c>
      <c r="E7592" t="s">
        <v>619</v>
      </c>
      <c r="F7592" t="s">
        <v>410</v>
      </c>
      <c r="G7592">
        <v>80</v>
      </c>
      <c r="I7592">
        <v>80</v>
      </c>
    </row>
    <row r="7593" spans="1:17" x14ac:dyDescent="0.2">
      <c r="A7593" s="121">
        <v>41759</v>
      </c>
      <c r="B7593" t="s">
        <v>406</v>
      </c>
      <c r="C7593" t="s">
        <v>418</v>
      </c>
      <c r="D7593" t="s">
        <v>419</v>
      </c>
      <c r="E7593" t="s">
        <v>420</v>
      </c>
      <c r="F7593" t="s">
        <v>410</v>
      </c>
      <c r="G7593">
        <v>14</v>
      </c>
      <c r="I7593">
        <v>14</v>
      </c>
    </row>
    <row r="7594" spans="1:17" x14ac:dyDescent="0.2">
      <c r="A7594" s="121">
        <v>41759</v>
      </c>
      <c r="B7594" t="s">
        <v>406</v>
      </c>
      <c r="C7594" t="s">
        <v>418</v>
      </c>
      <c r="D7594" t="s">
        <v>421</v>
      </c>
      <c r="E7594" t="s">
        <v>422</v>
      </c>
      <c r="F7594" t="s">
        <v>410</v>
      </c>
      <c r="G7594">
        <v>95</v>
      </c>
      <c r="I7594">
        <v>95</v>
      </c>
    </row>
    <row r="7595" spans="1:17" x14ac:dyDescent="0.2">
      <c r="A7595" s="121">
        <v>41759</v>
      </c>
      <c r="B7595" t="s">
        <v>406</v>
      </c>
      <c r="C7595" t="s">
        <v>418</v>
      </c>
      <c r="D7595" t="s">
        <v>423</v>
      </c>
      <c r="E7595" t="s">
        <v>424</v>
      </c>
      <c r="F7595" t="s">
        <v>410</v>
      </c>
      <c r="G7595">
        <v>8</v>
      </c>
      <c r="I7595">
        <v>8</v>
      </c>
    </row>
    <row r="7596" spans="1:17" x14ac:dyDescent="0.2">
      <c r="A7596" s="121">
        <v>41759</v>
      </c>
      <c r="B7596" t="s">
        <v>406</v>
      </c>
      <c r="C7596" t="s">
        <v>418</v>
      </c>
      <c r="D7596" t="s">
        <v>425</v>
      </c>
      <c r="E7596" t="s">
        <v>426</v>
      </c>
      <c r="F7596" t="s">
        <v>410</v>
      </c>
      <c r="G7596">
        <v>34</v>
      </c>
      <c r="I7596">
        <v>34</v>
      </c>
    </row>
    <row r="7597" spans="1:17" x14ac:dyDescent="0.2">
      <c r="A7597" s="121">
        <v>41759</v>
      </c>
      <c r="B7597" t="s">
        <v>406</v>
      </c>
      <c r="C7597" t="s">
        <v>418</v>
      </c>
      <c r="D7597" t="s">
        <v>427</v>
      </c>
      <c r="E7597" t="s">
        <v>428</v>
      </c>
      <c r="F7597" t="s">
        <v>413</v>
      </c>
      <c r="G7597">
        <v>2271</v>
      </c>
      <c r="H7597">
        <v>2271</v>
      </c>
      <c r="I7597">
        <v>2179</v>
      </c>
      <c r="J7597">
        <v>2179</v>
      </c>
      <c r="K7597">
        <v>795</v>
      </c>
      <c r="L7597">
        <v>4</v>
      </c>
      <c r="M7597">
        <v>1323</v>
      </c>
      <c r="N7597">
        <v>138</v>
      </c>
      <c r="O7597">
        <v>11</v>
      </c>
      <c r="P7597">
        <v>5</v>
      </c>
      <c r="Q7597">
        <v>0</v>
      </c>
    </row>
    <row r="7598" spans="1:17" x14ac:dyDescent="0.2">
      <c r="A7598" s="121">
        <v>41759</v>
      </c>
      <c r="B7598" t="s">
        <v>406</v>
      </c>
      <c r="C7598" t="s">
        <v>429</v>
      </c>
      <c r="D7598" t="s">
        <v>430</v>
      </c>
      <c r="E7598" t="s">
        <v>431</v>
      </c>
      <c r="F7598" t="s">
        <v>410</v>
      </c>
      <c r="G7598">
        <v>33</v>
      </c>
      <c r="I7598">
        <v>33</v>
      </c>
    </row>
    <row r="7599" spans="1:17" x14ac:dyDescent="0.2">
      <c r="A7599" s="121">
        <v>41759</v>
      </c>
      <c r="B7599" t="s">
        <v>406</v>
      </c>
      <c r="C7599" t="s">
        <v>429</v>
      </c>
      <c r="D7599" t="s">
        <v>432</v>
      </c>
      <c r="E7599" t="s">
        <v>433</v>
      </c>
      <c r="F7599" t="s">
        <v>410</v>
      </c>
      <c r="G7599">
        <v>41</v>
      </c>
      <c r="I7599">
        <v>41</v>
      </c>
    </row>
    <row r="7600" spans="1:17" x14ac:dyDescent="0.2">
      <c r="A7600" s="121">
        <v>41759</v>
      </c>
      <c r="B7600" t="s">
        <v>406</v>
      </c>
      <c r="C7600" t="s">
        <v>429</v>
      </c>
      <c r="D7600" t="s">
        <v>434</v>
      </c>
      <c r="E7600" t="s">
        <v>435</v>
      </c>
      <c r="F7600" t="s">
        <v>410</v>
      </c>
      <c r="G7600">
        <v>6</v>
      </c>
      <c r="I7600">
        <v>6</v>
      </c>
    </row>
    <row r="7601" spans="1:17" x14ac:dyDescent="0.2">
      <c r="A7601" s="121">
        <v>41759</v>
      </c>
      <c r="B7601" t="s">
        <v>406</v>
      </c>
      <c r="C7601" t="s">
        <v>429</v>
      </c>
      <c r="D7601" t="s">
        <v>436</v>
      </c>
      <c r="E7601" t="s">
        <v>437</v>
      </c>
      <c r="F7601" t="s">
        <v>410</v>
      </c>
      <c r="G7601">
        <v>9</v>
      </c>
      <c r="H7601">
        <v>9</v>
      </c>
      <c r="I7601">
        <v>9</v>
      </c>
      <c r="J7601">
        <v>9</v>
      </c>
      <c r="K7601">
        <v>0</v>
      </c>
      <c r="L7601">
        <v>0</v>
      </c>
      <c r="M7601">
        <v>7</v>
      </c>
      <c r="N7601">
        <v>2</v>
      </c>
      <c r="O7601">
        <v>0</v>
      </c>
      <c r="P7601">
        <v>0</v>
      </c>
      <c r="Q7601">
        <v>0</v>
      </c>
    </row>
    <row r="7602" spans="1:17" x14ac:dyDescent="0.2">
      <c r="A7602" s="121">
        <v>41759</v>
      </c>
      <c r="B7602" t="s">
        <v>406</v>
      </c>
      <c r="C7602" t="s">
        <v>429</v>
      </c>
      <c r="D7602" t="s">
        <v>438</v>
      </c>
      <c r="E7602" t="s">
        <v>439</v>
      </c>
      <c r="F7602" t="s">
        <v>413</v>
      </c>
      <c r="G7602">
        <v>990</v>
      </c>
      <c r="H7602">
        <v>990</v>
      </c>
      <c r="I7602">
        <v>974</v>
      </c>
      <c r="J7602">
        <v>974</v>
      </c>
      <c r="K7602">
        <v>104</v>
      </c>
      <c r="L7602">
        <v>2</v>
      </c>
      <c r="M7602">
        <v>845</v>
      </c>
      <c r="N7602">
        <v>39</v>
      </c>
      <c r="O7602">
        <v>0</v>
      </c>
      <c r="P7602">
        <v>1</v>
      </c>
      <c r="Q7602">
        <v>0</v>
      </c>
    </row>
    <row r="7603" spans="1:17" x14ac:dyDescent="0.2">
      <c r="A7603" s="121">
        <v>41759</v>
      </c>
      <c r="B7603" t="s">
        <v>406</v>
      </c>
      <c r="C7603" t="s">
        <v>429</v>
      </c>
      <c r="D7603" t="s">
        <v>440</v>
      </c>
      <c r="E7603" t="s">
        <v>441</v>
      </c>
      <c r="F7603" t="s">
        <v>413</v>
      </c>
      <c r="G7603">
        <v>2961</v>
      </c>
      <c r="H7603">
        <v>2961</v>
      </c>
      <c r="I7603">
        <v>2808</v>
      </c>
      <c r="J7603">
        <v>2808</v>
      </c>
      <c r="K7603">
        <v>1016</v>
      </c>
      <c r="L7603">
        <v>5</v>
      </c>
      <c r="M7603">
        <v>1838</v>
      </c>
      <c r="N7603">
        <v>102</v>
      </c>
      <c r="O7603">
        <v>0</v>
      </c>
      <c r="P7603">
        <v>6</v>
      </c>
      <c r="Q7603">
        <v>0</v>
      </c>
    </row>
    <row r="7604" spans="1:17" x14ac:dyDescent="0.2">
      <c r="A7604" s="121">
        <v>41759</v>
      </c>
      <c r="B7604" t="s">
        <v>406</v>
      </c>
      <c r="C7604" t="s">
        <v>442</v>
      </c>
      <c r="D7604" t="s">
        <v>443</v>
      </c>
      <c r="E7604" t="s">
        <v>444</v>
      </c>
      <c r="F7604" t="s">
        <v>413</v>
      </c>
      <c r="G7604">
        <v>5333</v>
      </c>
      <c r="H7604">
        <v>5333</v>
      </c>
      <c r="I7604">
        <v>4955</v>
      </c>
      <c r="J7604">
        <v>4955</v>
      </c>
      <c r="K7604">
        <v>1298</v>
      </c>
      <c r="L7604">
        <v>13</v>
      </c>
      <c r="M7604">
        <v>3716</v>
      </c>
      <c r="N7604">
        <v>185</v>
      </c>
      <c r="O7604">
        <v>121</v>
      </c>
      <c r="P7604">
        <v>34</v>
      </c>
      <c r="Q7604">
        <v>1</v>
      </c>
    </row>
    <row r="7605" spans="1:17" x14ac:dyDescent="0.2">
      <c r="A7605" s="121">
        <v>41759</v>
      </c>
      <c r="B7605" t="s">
        <v>406</v>
      </c>
      <c r="C7605" t="s">
        <v>442</v>
      </c>
      <c r="D7605" t="s">
        <v>445</v>
      </c>
      <c r="E7605" t="s">
        <v>446</v>
      </c>
      <c r="F7605" t="s">
        <v>410</v>
      </c>
      <c r="G7605">
        <v>136</v>
      </c>
      <c r="I7605">
        <v>136</v>
      </c>
    </row>
    <row r="7606" spans="1:17" x14ac:dyDescent="0.2">
      <c r="A7606" s="121">
        <v>41759</v>
      </c>
      <c r="B7606" t="s">
        <v>406</v>
      </c>
      <c r="C7606" t="s">
        <v>442</v>
      </c>
      <c r="D7606" t="s">
        <v>447</v>
      </c>
      <c r="E7606" t="s">
        <v>448</v>
      </c>
      <c r="F7606" t="s">
        <v>410</v>
      </c>
      <c r="G7606">
        <v>387</v>
      </c>
      <c r="I7606">
        <v>387</v>
      </c>
    </row>
    <row r="7607" spans="1:17" x14ac:dyDescent="0.2">
      <c r="A7607" s="121">
        <v>41759</v>
      </c>
      <c r="B7607" t="s">
        <v>406</v>
      </c>
      <c r="C7607" t="s">
        <v>442</v>
      </c>
      <c r="D7607" t="s">
        <v>449</v>
      </c>
      <c r="E7607" t="s">
        <v>624</v>
      </c>
      <c r="F7607" t="s">
        <v>410</v>
      </c>
      <c r="G7607">
        <v>1579</v>
      </c>
      <c r="H7607">
        <v>1579</v>
      </c>
      <c r="I7607">
        <v>1579</v>
      </c>
      <c r="J7607">
        <v>1579</v>
      </c>
      <c r="K7607">
        <v>7</v>
      </c>
      <c r="L7607">
        <v>0</v>
      </c>
      <c r="M7607">
        <v>1405</v>
      </c>
      <c r="N7607">
        <v>158</v>
      </c>
      <c r="O7607">
        <v>9</v>
      </c>
      <c r="P7607">
        <v>0</v>
      </c>
      <c r="Q7607">
        <v>0</v>
      </c>
    </row>
    <row r="7608" spans="1:17" x14ac:dyDescent="0.2">
      <c r="A7608" s="121">
        <v>41759</v>
      </c>
      <c r="B7608" t="s">
        <v>406</v>
      </c>
      <c r="C7608" t="s">
        <v>451</v>
      </c>
      <c r="D7608" t="s">
        <v>454</v>
      </c>
      <c r="E7608" t="s">
        <v>621</v>
      </c>
      <c r="F7608" t="s">
        <v>410</v>
      </c>
      <c r="G7608">
        <v>1188</v>
      </c>
      <c r="H7608">
        <v>1188</v>
      </c>
      <c r="I7608">
        <v>1188</v>
      </c>
      <c r="J7608">
        <v>1188</v>
      </c>
      <c r="K7608">
        <v>1</v>
      </c>
      <c r="L7608">
        <v>0</v>
      </c>
      <c r="M7608">
        <v>651</v>
      </c>
      <c r="N7608">
        <v>86</v>
      </c>
      <c r="O7608">
        <v>450</v>
      </c>
      <c r="P7608">
        <v>0</v>
      </c>
      <c r="Q7608">
        <v>0</v>
      </c>
    </row>
    <row r="7609" spans="1:17" x14ac:dyDescent="0.2">
      <c r="A7609" s="121">
        <v>41759</v>
      </c>
      <c r="B7609" t="s">
        <v>406</v>
      </c>
      <c r="C7609" t="s">
        <v>451</v>
      </c>
      <c r="D7609" t="s">
        <v>622</v>
      </c>
      <c r="E7609" t="s">
        <v>623</v>
      </c>
      <c r="F7609" t="s">
        <v>413</v>
      </c>
      <c r="G7609">
        <v>5246</v>
      </c>
      <c r="H7609">
        <v>5246</v>
      </c>
      <c r="I7609">
        <v>4951</v>
      </c>
      <c r="J7609">
        <v>4951</v>
      </c>
      <c r="K7609">
        <v>1193</v>
      </c>
      <c r="L7609">
        <v>11</v>
      </c>
      <c r="M7609">
        <v>1660</v>
      </c>
      <c r="N7609">
        <v>34</v>
      </c>
      <c r="O7609">
        <v>2348</v>
      </c>
      <c r="P7609">
        <v>21</v>
      </c>
      <c r="Q7609">
        <v>0</v>
      </c>
    </row>
    <row r="7610" spans="1:17" x14ac:dyDescent="0.2">
      <c r="A7610" s="121">
        <v>41759</v>
      </c>
      <c r="B7610" t="s">
        <v>406</v>
      </c>
      <c r="C7610" t="s">
        <v>456</v>
      </c>
      <c r="D7610" t="s">
        <v>457</v>
      </c>
      <c r="E7610" t="s">
        <v>458</v>
      </c>
      <c r="F7610" t="s">
        <v>413</v>
      </c>
      <c r="G7610">
        <v>5005</v>
      </c>
      <c r="H7610">
        <v>5005</v>
      </c>
      <c r="I7610">
        <v>4674</v>
      </c>
      <c r="J7610">
        <v>4674</v>
      </c>
      <c r="K7610">
        <v>1271</v>
      </c>
      <c r="L7610">
        <v>9</v>
      </c>
      <c r="M7610">
        <v>3345</v>
      </c>
      <c r="N7610">
        <v>11</v>
      </c>
      <c r="O7610">
        <v>369</v>
      </c>
      <c r="P7610">
        <v>13</v>
      </c>
      <c r="Q7610">
        <v>0</v>
      </c>
    </row>
    <row r="7611" spans="1:17" x14ac:dyDescent="0.2">
      <c r="A7611" s="121">
        <v>41759</v>
      </c>
      <c r="B7611" t="s">
        <v>406</v>
      </c>
      <c r="C7611" t="s">
        <v>456</v>
      </c>
      <c r="D7611" t="s">
        <v>459</v>
      </c>
      <c r="E7611" t="s">
        <v>460</v>
      </c>
      <c r="F7611" t="s">
        <v>413</v>
      </c>
      <c r="G7611">
        <v>1482</v>
      </c>
      <c r="H7611">
        <v>1482</v>
      </c>
      <c r="I7611">
        <v>1447</v>
      </c>
      <c r="J7611">
        <v>1447</v>
      </c>
      <c r="K7611">
        <v>303</v>
      </c>
      <c r="L7611">
        <v>0</v>
      </c>
      <c r="M7611">
        <v>1179</v>
      </c>
      <c r="N7611">
        <v>0</v>
      </c>
      <c r="O7611">
        <v>0</v>
      </c>
      <c r="P7611">
        <v>1</v>
      </c>
      <c r="Q7611">
        <v>0</v>
      </c>
    </row>
    <row r="7612" spans="1:17" x14ac:dyDescent="0.2">
      <c r="A7612" s="121">
        <v>41759</v>
      </c>
      <c r="B7612" t="s">
        <v>406</v>
      </c>
      <c r="C7612" t="s">
        <v>456</v>
      </c>
      <c r="D7612" t="s">
        <v>461</v>
      </c>
      <c r="E7612" t="s">
        <v>462</v>
      </c>
      <c r="F7612" t="s">
        <v>410</v>
      </c>
      <c r="G7612">
        <v>95</v>
      </c>
      <c r="I7612">
        <v>95</v>
      </c>
    </row>
    <row r="7613" spans="1:17" x14ac:dyDescent="0.2">
      <c r="A7613" s="121">
        <v>41759</v>
      </c>
      <c r="B7613" t="s">
        <v>406</v>
      </c>
      <c r="C7613" t="s">
        <v>456</v>
      </c>
      <c r="D7613" t="s">
        <v>463</v>
      </c>
      <c r="E7613" t="s">
        <v>464</v>
      </c>
      <c r="F7613" t="s">
        <v>410</v>
      </c>
      <c r="G7613">
        <v>16</v>
      </c>
      <c r="I7613">
        <v>16</v>
      </c>
    </row>
    <row r="7614" spans="1:17" x14ac:dyDescent="0.2">
      <c r="A7614" s="121">
        <v>41759</v>
      </c>
      <c r="B7614" t="s">
        <v>406</v>
      </c>
      <c r="C7614" t="s">
        <v>456</v>
      </c>
      <c r="D7614" t="s">
        <v>465</v>
      </c>
      <c r="E7614" t="s">
        <v>466</v>
      </c>
      <c r="F7614" t="s">
        <v>410</v>
      </c>
      <c r="G7614">
        <v>25</v>
      </c>
      <c r="I7614">
        <v>25</v>
      </c>
    </row>
    <row r="7615" spans="1:17" x14ac:dyDescent="0.2">
      <c r="A7615" s="121">
        <v>41759</v>
      </c>
      <c r="B7615" t="s">
        <v>406</v>
      </c>
      <c r="C7615" t="s">
        <v>456</v>
      </c>
      <c r="D7615" t="s">
        <v>467</v>
      </c>
      <c r="E7615" t="s">
        <v>468</v>
      </c>
      <c r="F7615" t="s">
        <v>410</v>
      </c>
      <c r="G7615">
        <v>1328</v>
      </c>
      <c r="I7615">
        <v>1324</v>
      </c>
    </row>
    <row r="7616" spans="1:17" x14ac:dyDescent="0.2">
      <c r="A7616" s="121">
        <v>41759</v>
      </c>
      <c r="B7616" t="s">
        <v>406</v>
      </c>
      <c r="C7616" t="s">
        <v>456</v>
      </c>
      <c r="D7616" t="s">
        <v>469</v>
      </c>
      <c r="E7616" t="s">
        <v>470</v>
      </c>
      <c r="F7616" t="s">
        <v>410</v>
      </c>
      <c r="G7616">
        <v>877</v>
      </c>
      <c r="I7616">
        <v>874</v>
      </c>
    </row>
    <row r="7617" spans="1:17" x14ac:dyDescent="0.2">
      <c r="A7617" s="121">
        <v>41759</v>
      </c>
      <c r="B7617" t="s">
        <v>406</v>
      </c>
      <c r="C7617" t="s">
        <v>456</v>
      </c>
      <c r="D7617" t="s">
        <v>471</v>
      </c>
      <c r="E7617" t="s">
        <v>472</v>
      </c>
      <c r="F7617" t="s">
        <v>410</v>
      </c>
      <c r="G7617">
        <v>306</v>
      </c>
      <c r="I7617">
        <v>304</v>
      </c>
    </row>
    <row r="7618" spans="1:17" x14ac:dyDescent="0.2">
      <c r="A7618" s="121">
        <v>41759</v>
      </c>
      <c r="B7618" t="s">
        <v>406</v>
      </c>
      <c r="C7618" t="s">
        <v>456</v>
      </c>
      <c r="D7618" t="s">
        <v>473</v>
      </c>
      <c r="E7618" t="s">
        <v>474</v>
      </c>
      <c r="F7618" t="s">
        <v>410</v>
      </c>
      <c r="G7618">
        <v>194</v>
      </c>
      <c r="I7618">
        <v>194</v>
      </c>
    </row>
    <row r="7619" spans="1:17" x14ac:dyDescent="0.2">
      <c r="A7619" s="121">
        <v>41759</v>
      </c>
      <c r="B7619" t="s">
        <v>406</v>
      </c>
      <c r="C7619" t="s">
        <v>456</v>
      </c>
      <c r="D7619" t="s">
        <v>475</v>
      </c>
      <c r="E7619" t="s">
        <v>476</v>
      </c>
      <c r="F7619" t="s">
        <v>410</v>
      </c>
      <c r="G7619">
        <v>295</v>
      </c>
      <c r="I7619">
        <v>289</v>
      </c>
    </row>
    <row r="7620" spans="1:17" x14ac:dyDescent="0.2">
      <c r="A7620" s="121">
        <v>41759</v>
      </c>
      <c r="B7620" t="s">
        <v>406</v>
      </c>
      <c r="C7620" t="s">
        <v>456</v>
      </c>
      <c r="D7620" t="s">
        <v>477</v>
      </c>
      <c r="E7620" t="s">
        <v>478</v>
      </c>
      <c r="F7620" t="s">
        <v>413</v>
      </c>
      <c r="G7620">
        <v>1935</v>
      </c>
      <c r="H7620">
        <v>1935</v>
      </c>
      <c r="I7620">
        <v>1789</v>
      </c>
      <c r="J7620">
        <v>1789</v>
      </c>
      <c r="K7620">
        <v>368</v>
      </c>
      <c r="L7620">
        <v>3</v>
      </c>
      <c r="M7620">
        <v>1540</v>
      </c>
      <c r="N7620">
        <v>24</v>
      </c>
      <c r="O7620">
        <v>0</v>
      </c>
      <c r="P7620">
        <v>16</v>
      </c>
      <c r="Q7620">
        <v>1</v>
      </c>
    </row>
    <row r="7621" spans="1:17" x14ac:dyDescent="0.2">
      <c r="A7621" s="121">
        <v>41759</v>
      </c>
      <c r="B7621" t="s">
        <v>406</v>
      </c>
      <c r="C7621" t="s">
        <v>456</v>
      </c>
      <c r="D7621" t="s">
        <v>479</v>
      </c>
      <c r="E7621" t="s">
        <v>480</v>
      </c>
      <c r="F7621" t="s">
        <v>410</v>
      </c>
      <c r="G7621">
        <v>54</v>
      </c>
      <c r="I7621">
        <v>54</v>
      </c>
    </row>
    <row r="7622" spans="1:17" x14ac:dyDescent="0.2">
      <c r="A7622" s="121">
        <v>41759</v>
      </c>
      <c r="B7622" t="s">
        <v>406</v>
      </c>
      <c r="C7622" t="s">
        <v>456</v>
      </c>
      <c r="D7622" t="s">
        <v>481</v>
      </c>
      <c r="E7622" t="s">
        <v>482</v>
      </c>
      <c r="F7622" t="s">
        <v>410</v>
      </c>
      <c r="G7622">
        <v>39</v>
      </c>
      <c r="I7622">
        <v>39</v>
      </c>
    </row>
    <row r="7623" spans="1:17" x14ac:dyDescent="0.2">
      <c r="A7623" s="121">
        <v>41759</v>
      </c>
      <c r="B7623" t="s">
        <v>406</v>
      </c>
      <c r="C7623" t="s">
        <v>456</v>
      </c>
      <c r="D7623" t="s">
        <v>483</v>
      </c>
      <c r="E7623" t="s">
        <v>484</v>
      </c>
      <c r="F7623" t="s">
        <v>410</v>
      </c>
      <c r="G7623">
        <v>91</v>
      </c>
      <c r="I7623">
        <v>91</v>
      </c>
    </row>
    <row r="7624" spans="1:17" x14ac:dyDescent="0.2">
      <c r="A7624" s="121">
        <v>41759</v>
      </c>
      <c r="B7624" t="s">
        <v>406</v>
      </c>
      <c r="C7624" t="s">
        <v>456</v>
      </c>
      <c r="D7624" t="s">
        <v>485</v>
      </c>
      <c r="E7624" t="s">
        <v>486</v>
      </c>
      <c r="F7624" t="s">
        <v>410</v>
      </c>
      <c r="G7624">
        <v>29</v>
      </c>
      <c r="I7624">
        <v>29</v>
      </c>
    </row>
    <row r="7625" spans="1:17" x14ac:dyDescent="0.2">
      <c r="A7625" s="121">
        <v>41759</v>
      </c>
      <c r="B7625" t="s">
        <v>406</v>
      </c>
      <c r="C7625" t="s">
        <v>456</v>
      </c>
      <c r="D7625" t="s">
        <v>487</v>
      </c>
      <c r="E7625" t="s">
        <v>488</v>
      </c>
      <c r="F7625" t="s">
        <v>410</v>
      </c>
      <c r="G7625">
        <v>38</v>
      </c>
      <c r="I7625">
        <v>38</v>
      </c>
    </row>
    <row r="7626" spans="1:17" x14ac:dyDescent="0.2">
      <c r="A7626" s="121">
        <v>41759</v>
      </c>
      <c r="B7626" t="s">
        <v>406</v>
      </c>
      <c r="C7626" t="s">
        <v>456</v>
      </c>
      <c r="D7626" t="s">
        <v>489</v>
      </c>
      <c r="E7626" t="s">
        <v>490</v>
      </c>
      <c r="F7626" t="s">
        <v>410</v>
      </c>
      <c r="G7626">
        <v>99</v>
      </c>
      <c r="I7626">
        <v>99</v>
      </c>
    </row>
    <row r="7627" spans="1:17" x14ac:dyDescent="0.2">
      <c r="A7627" s="121">
        <v>41759</v>
      </c>
      <c r="B7627" t="s">
        <v>406</v>
      </c>
      <c r="C7627" t="s">
        <v>491</v>
      </c>
      <c r="D7627" t="s">
        <v>492</v>
      </c>
      <c r="E7627" t="s">
        <v>493</v>
      </c>
      <c r="F7627" t="s">
        <v>410</v>
      </c>
      <c r="G7627">
        <v>1327</v>
      </c>
      <c r="H7627">
        <v>1327</v>
      </c>
      <c r="I7627">
        <v>1290</v>
      </c>
      <c r="J7627">
        <v>1290</v>
      </c>
      <c r="K7627">
        <v>264</v>
      </c>
      <c r="L7627">
        <v>3</v>
      </c>
      <c r="M7627">
        <v>992</v>
      </c>
      <c r="N7627">
        <v>59</v>
      </c>
      <c r="O7627">
        <v>9</v>
      </c>
      <c r="P7627">
        <v>0</v>
      </c>
      <c r="Q7627">
        <v>0</v>
      </c>
    </row>
    <row r="7628" spans="1:17" x14ac:dyDescent="0.2">
      <c r="A7628" s="121">
        <v>41759</v>
      </c>
      <c r="B7628" t="s">
        <v>406</v>
      </c>
      <c r="C7628" t="s">
        <v>491</v>
      </c>
      <c r="D7628" t="s">
        <v>494</v>
      </c>
      <c r="E7628" t="s">
        <v>495</v>
      </c>
      <c r="F7628" t="s">
        <v>413</v>
      </c>
      <c r="G7628">
        <v>2785</v>
      </c>
      <c r="H7628">
        <v>2785</v>
      </c>
      <c r="I7628">
        <v>2507</v>
      </c>
      <c r="J7628">
        <v>2507</v>
      </c>
      <c r="K7628">
        <v>850</v>
      </c>
      <c r="L7628">
        <v>3</v>
      </c>
      <c r="M7628">
        <v>1715</v>
      </c>
      <c r="N7628">
        <v>26</v>
      </c>
      <c r="O7628">
        <v>191</v>
      </c>
      <c r="P7628">
        <v>15</v>
      </c>
      <c r="Q7628">
        <v>0</v>
      </c>
    </row>
    <row r="7629" spans="1:17" x14ac:dyDescent="0.2">
      <c r="A7629" s="121">
        <v>41759</v>
      </c>
      <c r="B7629" t="s">
        <v>406</v>
      </c>
      <c r="C7629" t="s">
        <v>491</v>
      </c>
      <c r="D7629" t="s">
        <v>496</v>
      </c>
      <c r="E7629" t="s">
        <v>497</v>
      </c>
      <c r="F7629" t="s">
        <v>413</v>
      </c>
      <c r="G7629">
        <v>5813</v>
      </c>
      <c r="H7629">
        <v>5813</v>
      </c>
      <c r="I7629">
        <v>4791</v>
      </c>
      <c r="J7629">
        <v>4791</v>
      </c>
      <c r="K7629">
        <v>1970</v>
      </c>
      <c r="L7629">
        <v>17</v>
      </c>
      <c r="M7629">
        <v>3499</v>
      </c>
      <c r="N7629">
        <v>114</v>
      </c>
      <c r="O7629">
        <v>213</v>
      </c>
      <c r="P7629">
        <v>75</v>
      </c>
      <c r="Q7629">
        <v>2</v>
      </c>
    </row>
    <row r="7630" spans="1:17" x14ac:dyDescent="0.2">
      <c r="A7630" s="121">
        <v>41759</v>
      </c>
      <c r="B7630" t="s">
        <v>406</v>
      </c>
      <c r="C7630" t="s">
        <v>491</v>
      </c>
      <c r="D7630" t="s">
        <v>498</v>
      </c>
      <c r="E7630" t="s">
        <v>499</v>
      </c>
      <c r="F7630" t="s">
        <v>413</v>
      </c>
      <c r="G7630">
        <v>6855</v>
      </c>
      <c r="H7630">
        <v>6855</v>
      </c>
      <c r="I7630">
        <v>6274</v>
      </c>
      <c r="J7630">
        <v>6274</v>
      </c>
      <c r="K7630">
        <v>2205</v>
      </c>
      <c r="L7630">
        <v>23</v>
      </c>
      <c r="M7630">
        <v>4204</v>
      </c>
      <c r="N7630">
        <v>74</v>
      </c>
      <c r="O7630">
        <v>349</v>
      </c>
      <c r="P7630">
        <v>7</v>
      </c>
      <c r="Q7630">
        <v>0</v>
      </c>
    </row>
    <row r="7631" spans="1:17" x14ac:dyDescent="0.2">
      <c r="A7631" s="121">
        <v>41759</v>
      </c>
      <c r="B7631" t="s">
        <v>406</v>
      </c>
      <c r="C7631" t="s">
        <v>491</v>
      </c>
      <c r="D7631" t="s">
        <v>500</v>
      </c>
      <c r="E7631" t="s">
        <v>620</v>
      </c>
      <c r="F7631" t="s">
        <v>410</v>
      </c>
      <c r="G7631">
        <v>1409</v>
      </c>
      <c r="H7631">
        <v>1409</v>
      </c>
      <c r="I7631">
        <v>1409</v>
      </c>
      <c r="J7631">
        <v>1409</v>
      </c>
      <c r="K7631">
        <v>1</v>
      </c>
      <c r="L7631">
        <v>0</v>
      </c>
      <c r="M7631">
        <v>1305</v>
      </c>
      <c r="N7631">
        <v>84</v>
      </c>
      <c r="O7631">
        <v>19</v>
      </c>
      <c r="P7631">
        <v>0</v>
      </c>
      <c r="Q7631">
        <v>0</v>
      </c>
    </row>
    <row r="7632" spans="1:17" x14ac:dyDescent="0.2">
      <c r="A7632" s="121">
        <v>41759</v>
      </c>
      <c r="B7632" t="s">
        <v>406</v>
      </c>
      <c r="C7632" t="s">
        <v>491</v>
      </c>
      <c r="D7632" t="s">
        <v>502</v>
      </c>
      <c r="E7632" t="s">
        <v>615</v>
      </c>
      <c r="F7632" t="s">
        <v>410</v>
      </c>
      <c r="G7632">
        <v>1956</v>
      </c>
      <c r="H7632">
        <v>1956</v>
      </c>
      <c r="I7632">
        <v>1956</v>
      </c>
      <c r="J7632">
        <v>1956</v>
      </c>
      <c r="K7632">
        <v>3</v>
      </c>
      <c r="L7632">
        <v>0</v>
      </c>
      <c r="M7632">
        <v>1829</v>
      </c>
      <c r="N7632">
        <v>118</v>
      </c>
      <c r="O7632">
        <v>6</v>
      </c>
      <c r="P7632">
        <v>0</v>
      </c>
      <c r="Q7632">
        <v>0</v>
      </c>
    </row>
    <row r="7633" spans="1:17" x14ac:dyDescent="0.2">
      <c r="A7633" s="121">
        <v>41759</v>
      </c>
      <c r="B7633" t="s">
        <v>406</v>
      </c>
      <c r="C7633" t="s">
        <v>491</v>
      </c>
      <c r="D7633" t="s">
        <v>502</v>
      </c>
      <c r="E7633" t="s">
        <v>503</v>
      </c>
      <c r="F7633" t="s">
        <v>413</v>
      </c>
      <c r="G7633">
        <v>5158</v>
      </c>
      <c r="H7633">
        <v>5158</v>
      </c>
      <c r="I7633">
        <v>4536</v>
      </c>
      <c r="J7633">
        <v>4536</v>
      </c>
      <c r="K7633">
        <v>1585</v>
      </c>
      <c r="L7633">
        <v>12</v>
      </c>
      <c r="M7633">
        <v>3094</v>
      </c>
      <c r="N7633">
        <v>355</v>
      </c>
      <c r="O7633">
        <v>112</v>
      </c>
      <c r="P7633">
        <v>42</v>
      </c>
      <c r="Q7633">
        <v>1</v>
      </c>
    </row>
    <row r="7634" spans="1:17" x14ac:dyDescent="0.2">
      <c r="A7634" s="121">
        <v>41759</v>
      </c>
      <c r="B7634" t="s">
        <v>406</v>
      </c>
      <c r="C7634" t="s">
        <v>491</v>
      </c>
      <c r="D7634" t="s">
        <v>504</v>
      </c>
      <c r="E7634" t="s">
        <v>505</v>
      </c>
      <c r="F7634" t="s">
        <v>413</v>
      </c>
      <c r="G7634">
        <v>3953</v>
      </c>
      <c r="H7634">
        <v>3953</v>
      </c>
      <c r="I7634">
        <v>3523</v>
      </c>
      <c r="J7634">
        <v>3523</v>
      </c>
      <c r="K7634">
        <v>1133</v>
      </c>
      <c r="L7634">
        <v>3</v>
      </c>
      <c r="M7634">
        <v>2590</v>
      </c>
      <c r="N7634">
        <v>168</v>
      </c>
      <c r="O7634">
        <v>59</v>
      </c>
      <c r="P7634">
        <v>9</v>
      </c>
      <c r="Q7634">
        <v>1</v>
      </c>
    </row>
    <row r="7635" spans="1:17" x14ac:dyDescent="0.2">
      <c r="A7635" s="121">
        <v>41759</v>
      </c>
      <c r="B7635" t="s">
        <v>406</v>
      </c>
      <c r="C7635" t="s">
        <v>491</v>
      </c>
      <c r="D7635" t="s">
        <v>506</v>
      </c>
      <c r="E7635" t="s">
        <v>507</v>
      </c>
      <c r="F7635" t="s">
        <v>413</v>
      </c>
      <c r="G7635">
        <v>4032</v>
      </c>
      <c r="H7635">
        <v>4032</v>
      </c>
      <c r="I7635">
        <v>3918</v>
      </c>
      <c r="J7635">
        <v>3918</v>
      </c>
      <c r="K7635">
        <v>1268</v>
      </c>
      <c r="L7635">
        <v>1</v>
      </c>
      <c r="M7635">
        <v>2757</v>
      </c>
      <c r="N7635">
        <v>1</v>
      </c>
      <c r="O7635">
        <v>5</v>
      </c>
      <c r="P7635">
        <v>0</v>
      </c>
      <c r="Q7635">
        <v>0</v>
      </c>
    </row>
    <row r="7636" spans="1:17" x14ac:dyDescent="0.2">
      <c r="A7636" s="121">
        <v>41759</v>
      </c>
      <c r="B7636" t="s">
        <v>406</v>
      </c>
      <c r="C7636" t="s">
        <v>491</v>
      </c>
      <c r="D7636" t="s">
        <v>508</v>
      </c>
      <c r="E7636" t="s">
        <v>509</v>
      </c>
      <c r="F7636" t="s">
        <v>413</v>
      </c>
      <c r="G7636">
        <v>4895</v>
      </c>
      <c r="H7636">
        <v>4895</v>
      </c>
      <c r="I7636">
        <v>3840</v>
      </c>
      <c r="J7636">
        <v>3840</v>
      </c>
      <c r="K7636">
        <v>1633</v>
      </c>
      <c r="L7636">
        <v>11</v>
      </c>
      <c r="M7636">
        <v>2955</v>
      </c>
      <c r="N7636">
        <v>126</v>
      </c>
      <c r="O7636">
        <v>170</v>
      </c>
      <c r="P7636">
        <v>132</v>
      </c>
      <c r="Q7636">
        <v>0</v>
      </c>
    </row>
    <row r="7637" spans="1:17" x14ac:dyDescent="0.2">
      <c r="A7637" s="121">
        <v>41759</v>
      </c>
      <c r="B7637" t="s">
        <v>406</v>
      </c>
      <c r="C7637" t="s">
        <v>510</v>
      </c>
      <c r="D7637" t="s">
        <v>513</v>
      </c>
      <c r="E7637" t="s">
        <v>514</v>
      </c>
      <c r="F7637" t="s">
        <v>410</v>
      </c>
      <c r="G7637">
        <v>671</v>
      </c>
      <c r="I7637">
        <v>661</v>
      </c>
    </row>
    <row r="7638" spans="1:17" x14ac:dyDescent="0.2">
      <c r="A7638" s="121">
        <v>41759</v>
      </c>
      <c r="B7638" t="s">
        <v>406</v>
      </c>
      <c r="C7638" t="s">
        <v>510</v>
      </c>
      <c r="D7638" t="s">
        <v>515</v>
      </c>
      <c r="E7638" t="s">
        <v>516</v>
      </c>
      <c r="F7638" t="s">
        <v>410</v>
      </c>
      <c r="G7638">
        <v>100</v>
      </c>
      <c r="I7638">
        <v>95</v>
      </c>
    </row>
    <row r="7639" spans="1:17" x14ac:dyDescent="0.2">
      <c r="A7639" s="121">
        <v>41759</v>
      </c>
      <c r="B7639" t="s">
        <v>406</v>
      </c>
      <c r="C7639" t="s">
        <v>510</v>
      </c>
      <c r="D7639" t="s">
        <v>519</v>
      </c>
      <c r="E7639" t="s">
        <v>520</v>
      </c>
      <c r="F7639" t="s">
        <v>410</v>
      </c>
      <c r="G7639">
        <v>342</v>
      </c>
      <c r="I7639">
        <v>335</v>
      </c>
    </row>
    <row r="7640" spans="1:17" x14ac:dyDescent="0.2">
      <c r="A7640" s="121">
        <v>41759</v>
      </c>
      <c r="B7640" t="s">
        <v>406</v>
      </c>
      <c r="C7640" t="s">
        <v>510</v>
      </c>
      <c r="D7640" t="s">
        <v>523</v>
      </c>
      <c r="E7640" t="s">
        <v>524</v>
      </c>
      <c r="F7640" t="s">
        <v>413</v>
      </c>
      <c r="G7640">
        <v>549</v>
      </c>
      <c r="H7640">
        <v>549</v>
      </c>
      <c r="I7640">
        <v>539</v>
      </c>
      <c r="J7640">
        <v>539</v>
      </c>
      <c r="K7640">
        <v>126</v>
      </c>
      <c r="L7640">
        <v>1</v>
      </c>
      <c r="M7640">
        <v>414</v>
      </c>
      <c r="N7640">
        <v>8</v>
      </c>
      <c r="O7640">
        <v>0</v>
      </c>
      <c r="P7640">
        <v>0</v>
      </c>
      <c r="Q7640">
        <v>0</v>
      </c>
    </row>
    <row r="7641" spans="1:17" x14ac:dyDescent="0.2">
      <c r="A7641" s="121">
        <v>41759</v>
      </c>
      <c r="B7641" t="s">
        <v>406</v>
      </c>
      <c r="C7641" t="s">
        <v>510</v>
      </c>
      <c r="D7641" t="s">
        <v>525</v>
      </c>
      <c r="E7641" t="s">
        <v>526</v>
      </c>
      <c r="F7641" t="s">
        <v>410</v>
      </c>
      <c r="G7641">
        <v>429</v>
      </c>
      <c r="I7641">
        <v>425</v>
      </c>
    </row>
    <row r="7642" spans="1:17" x14ac:dyDescent="0.2">
      <c r="A7642" s="121">
        <v>41759</v>
      </c>
      <c r="B7642" t="s">
        <v>406</v>
      </c>
      <c r="C7642" t="s">
        <v>510</v>
      </c>
      <c r="D7642" t="s">
        <v>527</v>
      </c>
      <c r="E7642" t="s">
        <v>528</v>
      </c>
      <c r="F7642" t="s">
        <v>410</v>
      </c>
      <c r="G7642">
        <v>220</v>
      </c>
      <c r="I7642">
        <v>220</v>
      </c>
    </row>
    <row r="7643" spans="1:17" x14ac:dyDescent="0.2">
      <c r="A7643" s="121">
        <v>41759</v>
      </c>
      <c r="B7643" t="s">
        <v>406</v>
      </c>
      <c r="C7643" t="s">
        <v>510</v>
      </c>
      <c r="D7643" t="s">
        <v>529</v>
      </c>
      <c r="E7643" t="s">
        <v>530</v>
      </c>
      <c r="F7643" t="s">
        <v>413</v>
      </c>
      <c r="G7643">
        <v>538</v>
      </c>
      <c r="H7643">
        <v>538</v>
      </c>
      <c r="I7643">
        <v>515</v>
      </c>
      <c r="J7643">
        <v>515</v>
      </c>
      <c r="K7643">
        <v>136</v>
      </c>
      <c r="L7643">
        <v>2</v>
      </c>
      <c r="M7643">
        <v>399</v>
      </c>
      <c r="N7643">
        <v>1</v>
      </c>
      <c r="O7643">
        <v>0</v>
      </c>
      <c r="P7643">
        <v>1</v>
      </c>
      <c r="Q7643">
        <v>0</v>
      </c>
    </row>
    <row r="7644" spans="1:17" x14ac:dyDescent="0.2">
      <c r="A7644" s="121">
        <v>41759</v>
      </c>
      <c r="B7644" t="s">
        <v>406</v>
      </c>
      <c r="C7644" t="s">
        <v>510</v>
      </c>
      <c r="D7644" t="s">
        <v>531</v>
      </c>
      <c r="E7644" t="s">
        <v>532</v>
      </c>
      <c r="F7644" t="s">
        <v>410</v>
      </c>
      <c r="G7644">
        <v>25</v>
      </c>
      <c r="I7644">
        <v>25</v>
      </c>
    </row>
    <row r="7645" spans="1:17" x14ac:dyDescent="0.2">
      <c r="A7645" s="121">
        <v>41759</v>
      </c>
      <c r="B7645" t="s">
        <v>406</v>
      </c>
      <c r="C7645" t="s">
        <v>510</v>
      </c>
      <c r="D7645" t="s">
        <v>533</v>
      </c>
      <c r="E7645" t="s">
        <v>534</v>
      </c>
      <c r="F7645" t="s">
        <v>413</v>
      </c>
      <c r="G7645">
        <v>2647</v>
      </c>
      <c r="H7645">
        <v>2647</v>
      </c>
      <c r="I7645">
        <v>2511</v>
      </c>
      <c r="J7645">
        <v>2511</v>
      </c>
      <c r="K7645">
        <v>665</v>
      </c>
      <c r="L7645">
        <v>5</v>
      </c>
      <c r="M7645">
        <v>1961</v>
      </c>
      <c r="N7645">
        <v>16</v>
      </c>
      <c r="O7645">
        <v>0</v>
      </c>
      <c r="P7645">
        <v>6</v>
      </c>
      <c r="Q7645">
        <v>0</v>
      </c>
    </row>
    <row r="7646" spans="1:17" x14ac:dyDescent="0.2">
      <c r="A7646" s="121">
        <v>41759</v>
      </c>
      <c r="B7646" t="s">
        <v>406</v>
      </c>
      <c r="C7646" t="s">
        <v>510</v>
      </c>
      <c r="D7646" t="s">
        <v>535</v>
      </c>
      <c r="E7646" t="s">
        <v>536</v>
      </c>
      <c r="F7646" t="s">
        <v>410</v>
      </c>
      <c r="G7646">
        <v>416</v>
      </c>
      <c r="I7646">
        <v>415</v>
      </c>
    </row>
    <row r="7647" spans="1:17" x14ac:dyDescent="0.2">
      <c r="A7647" s="121">
        <v>41759</v>
      </c>
      <c r="B7647" t="s">
        <v>406</v>
      </c>
      <c r="C7647" t="s">
        <v>510</v>
      </c>
      <c r="D7647" t="s">
        <v>537</v>
      </c>
      <c r="E7647" t="s">
        <v>538</v>
      </c>
      <c r="F7647" t="s">
        <v>410</v>
      </c>
      <c r="G7647">
        <v>99</v>
      </c>
      <c r="I7647">
        <v>99</v>
      </c>
    </row>
    <row r="7648" spans="1:17" x14ac:dyDescent="0.2">
      <c r="A7648" s="121">
        <v>41759</v>
      </c>
      <c r="B7648" t="s">
        <v>406</v>
      </c>
      <c r="C7648" t="s">
        <v>510</v>
      </c>
      <c r="D7648" t="s">
        <v>539</v>
      </c>
      <c r="E7648" t="s">
        <v>540</v>
      </c>
      <c r="F7648" t="s">
        <v>413</v>
      </c>
      <c r="G7648">
        <v>784</v>
      </c>
      <c r="H7648">
        <v>784</v>
      </c>
      <c r="I7648">
        <v>745</v>
      </c>
      <c r="J7648">
        <v>745</v>
      </c>
      <c r="K7648">
        <v>163</v>
      </c>
      <c r="L7648">
        <v>1</v>
      </c>
      <c r="M7648">
        <v>619</v>
      </c>
      <c r="N7648">
        <v>1</v>
      </c>
      <c r="O7648">
        <v>0</v>
      </c>
      <c r="P7648">
        <v>2</v>
      </c>
      <c r="Q7648">
        <v>0</v>
      </c>
    </row>
    <row r="7649" spans="1:17" x14ac:dyDescent="0.2">
      <c r="A7649" s="121">
        <v>41759</v>
      </c>
      <c r="B7649" t="s">
        <v>406</v>
      </c>
      <c r="C7649" t="s">
        <v>510</v>
      </c>
      <c r="D7649" t="s">
        <v>541</v>
      </c>
      <c r="E7649" t="s">
        <v>542</v>
      </c>
      <c r="F7649" t="s">
        <v>410</v>
      </c>
      <c r="G7649">
        <v>369</v>
      </c>
      <c r="I7649">
        <v>369</v>
      </c>
    </row>
    <row r="7650" spans="1:17" x14ac:dyDescent="0.2">
      <c r="A7650" s="121">
        <v>41759</v>
      </c>
      <c r="B7650" t="s">
        <v>406</v>
      </c>
      <c r="C7650" t="s">
        <v>510</v>
      </c>
      <c r="D7650" t="s">
        <v>543</v>
      </c>
      <c r="E7650" t="s">
        <v>544</v>
      </c>
      <c r="F7650" t="s">
        <v>410</v>
      </c>
      <c r="G7650">
        <v>280</v>
      </c>
      <c r="I7650">
        <v>280</v>
      </c>
    </row>
    <row r="7651" spans="1:17" x14ac:dyDescent="0.2">
      <c r="A7651" s="121">
        <v>41759</v>
      </c>
      <c r="B7651" t="s">
        <v>406</v>
      </c>
      <c r="C7651" t="s">
        <v>510</v>
      </c>
      <c r="D7651" t="s">
        <v>545</v>
      </c>
      <c r="E7651" t="s">
        <v>546</v>
      </c>
      <c r="F7651" t="s">
        <v>410</v>
      </c>
      <c r="G7651">
        <v>162</v>
      </c>
      <c r="I7651">
        <v>162</v>
      </c>
    </row>
    <row r="7652" spans="1:17" x14ac:dyDescent="0.2">
      <c r="A7652" s="121">
        <v>41759</v>
      </c>
      <c r="B7652" t="s">
        <v>406</v>
      </c>
      <c r="C7652" t="s">
        <v>510</v>
      </c>
      <c r="D7652" t="s">
        <v>547</v>
      </c>
      <c r="E7652" t="s">
        <v>548</v>
      </c>
      <c r="F7652" t="s">
        <v>410</v>
      </c>
      <c r="G7652">
        <v>156</v>
      </c>
      <c r="I7652">
        <v>156</v>
      </c>
    </row>
    <row r="7653" spans="1:17" x14ac:dyDescent="0.2">
      <c r="A7653" s="121">
        <v>41759</v>
      </c>
      <c r="B7653" t="s">
        <v>406</v>
      </c>
      <c r="C7653" t="s">
        <v>510</v>
      </c>
      <c r="D7653" t="s">
        <v>616</v>
      </c>
      <c r="E7653" t="s">
        <v>617</v>
      </c>
      <c r="F7653" t="s">
        <v>410</v>
      </c>
      <c r="G7653">
        <v>332</v>
      </c>
      <c r="I7653">
        <v>323</v>
      </c>
    </row>
    <row r="7654" spans="1:17" x14ac:dyDescent="0.2">
      <c r="A7654" s="121">
        <v>41759</v>
      </c>
      <c r="B7654" t="s">
        <v>406</v>
      </c>
      <c r="C7654" t="s">
        <v>510</v>
      </c>
      <c r="D7654" t="s">
        <v>549</v>
      </c>
      <c r="E7654" t="s">
        <v>550</v>
      </c>
      <c r="F7654" t="s">
        <v>410</v>
      </c>
      <c r="G7654">
        <v>157</v>
      </c>
      <c r="I7654">
        <v>157</v>
      </c>
    </row>
    <row r="7655" spans="1:17" x14ac:dyDescent="0.2">
      <c r="A7655" s="121">
        <v>41759</v>
      </c>
      <c r="B7655" t="s">
        <v>406</v>
      </c>
      <c r="C7655" t="s">
        <v>510</v>
      </c>
      <c r="D7655" t="s">
        <v>625</v>
      </c>
      <c r="E7655" t="s">
        <v>626</v>
      </c>
      <c r="F7655" t="s">
        <v>410</v>
      </c>
      <c r="G7655">
        <v>79</v>
      </c>
      <c r="I7655">
        <v>78</v>
      </c>
    </row>
    <row r="7656" spans="1:17" x14ac:dyDescent="0.2">
      <c r="A7656" s="121">
        <v>41759</v>
      </c>
      <c r="B7656" t="s">
        <v>406</v>
      </c>
      <c r="C7656" t="s">
        <v>551</v>
      </c>
      <c r="D7656" t="s">
        <v>552</v>
      </c>
      <c r="E7656" t="s">
        <v>553</v>
      </c>
      <c r="F7656" t="s">
        <v>413</v>
      </c>
      <c r="G7656">
        <v>5605</v>
      </c>
      <c r="H7656">
        <v>5605</v>
      </c>
      <c r="I7656">
        <v>4980</v>
      </c>
      <c r="J7656">
        <v>4980</v>
      </c>
      <c r="K7656">
        <v>1627</v>
      </c>
      <c r="L7656">
        <v>7</v>
      </c>
      <c r="M7656">
        <v>3679</v>
      </c>
      <c r="N7656">
        <v>168</v>
      </c>
      <c r="O7656">
        <v>124</v>
      </c>
      <c r="P7656">
        <v>17</v>
      </c>
      <c r="Q7656">
        <v>0</v>
      </c>
    </row>
    <row r="7657" spans="1:17" x14ac:dyDescent="0.2">
      <c r="A7657" s="121">
        <v>41759</v>
      </c>
      <c r="B7657" t="s">
        <v>406</v>
      </c>
      <c r="C7657" t="s">
        <v>551</v>
      </c>
      <c r="D7657" t="s">
        <v>554</v>
      </c>
      <c r="E7657" t="s">
        <v>555</v>
      </c>
      <c r="F7657" t="s">
        <v>410</v>
      </c>
      <c r="G7657">
        <v>59</v>
      </c>
      <c r="I7657">
        <v>59</v>
      </c>
    </row>
    <row r="7658" spans="1:17" x14ac:dyDescent="0.2">
      <c r="A7658" s="121">
        <v>41759</v>
      </c>
      <c r="B7658" t="s">
        <v>406</v>
      </c>
      <c r="C7658" t="s">
        <v>551</v>
      </c>
      <c r="D7658" t="s">
        <v>556</v>
      </c>
      <c r="E7658" t="s">
        <v>557</v>
      </c>
      <c r="F7658" t="s">
        <v>410</v>
      </c>
      <c r="G7658">
        <v>78</v>
      </c>
      <c r="I7658">
        <v>78</v>
      </c>
    </row>
    <row r="7659" spans="1:17" x14ac:dyDescent="0.2">
      <c r="A7659" s="121">
        <v>41759</v>
      </c>
      <c r="B7659" t="s">
        <v>406</v>
      </c>
      <c r="C7659" t="s">
        <v>551</v>
      </c>
      <c r="D7659" t="s">
        <v>558</v>
      </c>
      <c r="E7659" t="s">
        <v>559</v>
      </c>
      <c r="F7659" t="s">
        <v>413</v>
      </c>
      <c r="G7659">
        <v>4717</v>
      </c>
      <c r="H7659">
        <v>4717</v>
      </c>
      <c r="I7659">
        <v>4162</v>
      </c>
      <c r="J7659">
        <v>4162</v>
      </c>
      <c r="K7659">
        <v>1303</v>
      </c>
      <c r="L7659">
        <v>2</v>
      </c>
      <c r="M7659">
        <v>3277</v>
      </c>
      <c r="N7659">
        <v>125</v>
      </c>
      <c r="O7659">
        <v>10</v>
      </c>
      <c r="P7659">
        <v>99</v>
      </c>
      <c r="Q7659">
        <v>28</v>
      </c>
    </row>
    <row r="7660" spans="1:17" x14ac:dyDescent="0.2">
      <c r="A7660" s="121">
        <v>41759</v>
      </c>
      <c r="B7660" t="s">
        <v>406</v>
      </c>
      <c r="C7660" t="s">
        <v>551</v>
      </c>
      <c r="D7660" t="s">
        <v>560</v>
      </c>
      <c r="E7660" t="s">
        <v>561</v>
      </c>
      <c r="F7660" t="s">
        <v>413</v>
      </c>
      <c r="G7660">
        <v>5413</v>
      </c>
      <c r="H7660">
        <v>5413</v>
      </c>
      <c r="I7660">
        <v>4762</v>
      </c>
      <c r="J7660">
        <v>4762</v>
      </c>
      <c r="K7660">
        <v>1186</v>
      </c>
      <c r="L7660">
        <v>8</v>
      </c>
      <c r="M7660">
        <v>3905</v>
      </c>
      <c r="N7660">
        <v>166</v>
      </c>
      <c r="O7660">
        <v>148</v>
      </c>
      <c r="P7660">
        <v>70</v>
      </c>
      <c r="Q7660">
        <v>20</v>
      </c>
    </row>
    <row r="7661" spans="1:17" x14ac:dyDescent="0.2">
      <c r="A7661" s="121">
        <v>41759</v>
      </c>
      <c r="B7661" t="s">
        <v>406</v>
      </c>
      <c r="C7661" t="s">
        <v>562</v>
      </c>
      <c r="D7661" t="s">
        <v>605</v>
      </c>
      <c r="E7661" t="s">
        <v>606</v>
      </c>
      <c r="F7661" t="s">
        <v>410</v>
      </c>
      <c r="G7661">
        <v>118</v>
      </c>
      <c r="I7661">
        <v>118</v>
      </c>
    </row>
    <row r="7662" spans="1:17" x14ac:dyDescent="0.2">
      <c r="A7662" s="121">
        <v>41759</v>
      </c>
      <c r="B7662" t="s">
        <v>406</v>
      </c>
      <c r="C7662" t="s">
        <v>562</v>
      </c>
      <c r="D7662" t="s">
        <v>563</v>
      </c>
      <c r="E7662" t="s">
        <v>564</v>
      </c>
      <c r="F7662" t="s">
        <v>410</v>
      </c>
      <c r="G7662">
        <v>3238</v>
      </c>
      <c r="H7662">
        <v>3238</v>
      </c>
      <c r="I7662">
        <v>2857</v>
      </c>
      <c r="J7662">
        <v>2857</v>
      </c>
      <c r="K7662">
        <v>1112</v>
      </c>
      <c r="L7662">
        <v>0</v>
      </c>
      <c r="M7662">
        <v>2111</v>
      </c>
      <c r="N7662">
        <v>15</v>
      </c>
      <c r="O7662">
        <v>0</v>
      </c>
      <c r="P7662">
        <v>48</v>
      </c>
      <c r="Q7662">
        <v>7</v>
      </c>
    </row>
    <row r="7663" spans="1:17" x14ac:dyDescent="0.2">
      <c r="A7663" s="121">
        <v>41759</v>
      </c>
      <c r="B7663" t="s">
        <v>406</v>
      </c>
      <c r="C7663" t="s">
        <v>562</v>
      </c>
      <c r="D7663" t="s">
        <v>565</v>
      </c>
      <c r="E7663" t="s">
        <v>566</v>
      </c>
      <c r="F7663" t="s">
        <v>413</v>
      </c>
      <c r="G7663">
        <v>4482</v>
      </c>
      <c r="H7663">
        <v>4482</v>
      </c>
      <c r="I7663">
        <v>4307</v>
      </c>
      <c r="J7663">
        <v>4307</v>
      </c>
      <c r="K7663">
        <v>979</v>
      </c>
      <c r="L7663">
        <v>4</v>
      </c>
      <c r="M7663">
        <v>3367</v>
      </c>
      <c r="N7663">
        <v>132</v>
      </c>
      <c r="O7663">
        <v>0</v>
      </c>
      <c r="P7663">
        <v>4</v>
      </c>
      <c r="Q7663">
        <v>0</v>
      </c>
    </row>
    <row r="7664" spans="1:17" x14ac:dyDescent="0.2">
      <c r="A7664" s="121">
        <v>41759</v>
      </c>
      <c r="B7664" t="s">
        <v>406</v>
      </c>
      <c r="C7664" t="s">
        <v>562</v>
      </c>
      <c r="D7664" t="s">
        <v>567</v>
      </c>
      <c r="E7664" t="s">
        <v>568</v>
      </c>
      <c r="F7664" t="s">
        <v>413</v>
      </c>
      <c r="G7664">
        <v>9349</v>
      </c>
      <c r="H7664">
        <v>9349</v>
      </c>
      <c r="I7664">
        <v>8654</v>
      </c>
      <c r="J7664">
        <v>8654</v>
      </c>
      <c r="K7664">
        <v>2836</v>
      </c>
      <c r="L7664">
        <v>17</v>
      </c>
      <c r="M7664">
        <v>6275</v>
      </c>
      <c r="N7664">
        <v>221</v>
      </c>
      <c r="O7664">
        <v>0</v>
      </c>
      <c r="P7664">
        <v>48</v>
      </c>
      <c r="Q7664">
        <v>1</v>
      </c>
    </row>
    <row r="7665" spans="1:17" x14ac:dyDescent="0.2">
      <c r="A7665" s="121">
        <v>41759</v>
      </c>
      <c r="B7665" t="s">
        <v>406</v>
      </c>
      <c r="C7665" t="s">
        <v>562</v>
      </c>
      <c r="D7665" t="s">
        <v>569</v>
      </c>
      <c r="E7665" t="s">
        <v>570</v>
      </c>
      <c r="F7665" t="s">
        <v>413</v>
      </c>
      <c r="G7665">
        <v>3688</v>
      </c>
      <c r="H7665">
        <v>3688</v>
      </c>
      <c r="I7665">
        <v>3626</v>
      </c>
      <c r="J7665">
        <v>3626</v>
      </c>
      <c r="K7665">
        <v>449</v>
      </c>
      <c r="L7665">
        <v>0</v>
      </c>
      <c r="M7665">
        <v>3239</v>
      </c>
      <c r="N7665">
        <v>0</v>
      </c>
      <c r="O7665">
        <v>0</v>
      </c>
      <c r="P7665">
        <v>0</v>
      </c>
      <c r="Q7665">
        <v>0</v>
      </c>
    </row>
    <row r="7666" spans="1:17" x14ac:dyDescent="0.2">
      <c r="A7666" s="121">
        <v>41759</v>
      </c>
      <c r="B7666" t="s">
        <v>406</v>
      </c>
      <c r="C7666" t="s">
        <v>571</v>
      </c>
      <c r="D7666" t="s">
        <v>572</v>
      </c>
      <c r="E7666" t="s">
        <v>627</v>
      </c>
      <c r="F7666" t="s">
        <v>413</v>
      </c>
      <c r="G7666">
        <v>435</v>
      </c>
      <c r="H7666">
        <v>435</v>
      </c>
      <c r="I7666">
        <v>430</v>
      </c>
      <c r="J7666">
        <v>430</v>
      </c>
      <c r="K7666">
        <v>135</v>
      </c>
      <c r="L7666">
        <v>0</v>
      </c>
      <c r="M7666">
        <v>297</v>
      </c>
      <c r="N7666">
        <v>0</v>
      </c>
      <c r="O7666">
        <v>3</v>
      </c>
      <c r="P7666">
        <v>0</v>
      </c>
      <c r="Q7666">
        <v>0</v>
      </c>
    </row>
    <row r="7667" spans="1:17" x14ac:dyDescent="0.2">
      <c r="A7667" s="121">
        <v>41759</v>
      </c>
      <c r="B7667" t="s">
        <v>406</v>
      </c>
      <c r="C7667" t="s">
        <v>574</v>
      </c>
      <c r="D7667" t="s">
        <v>575</v>
      </c>
      <c r="E7667" t="s">
        <v>576</v>
      </c>
      <c r="F7667" t="s">
        <v>413</v>
      </c>
      <c r="G7667">
        <v>667</v>
      </c>
      <c r="H7667">
        <v>667</v>
      </c>
      <c r="I7667">
        <v>644</v>
      </c>
      <c r="J7667">
        <v>644</v>
      </c>
      <c r="K7667">
        <v>154</v>
      </c>
      <c r="L7667">
        <v>1</v>
      </c>
      <c r="M7667">
        <v>471</v>
      </c>
      <c r="N7667">
        <v>5</v>
      </c>
      <c r="O7667">
        <v>36</v>
      </c>
      <c r="P7667">
        <v>2</v>
      </c>
      <c r="Q7667">
        <v>0</v>
      </c>
    </row>
    <row r="7668" spans="1:17" x14ac:dyDescent="0.2">
      <c r="A7668" s="121">
        <v>41759</v>
      </c>
      <c r="B7668" t="s">
        <v>406</v>
      </c>
      <c r="C7668" t="s">
        <v>577</v>
      </c>
      <c r="D7668" t="s">
        <v>578</v>
      </c>
      <c r="E7668" t="s">
        <v>579</v>
      </c>
      <c r="F7668" t="s">
        <v>413</v>
      </c>
      <c r="G7668">
        <v>4051</v>
      </c>
      <c r="H7668">
        <v>4051</v>
      </c>
      <c r="I7668">
        <v>4011</v>
      </c>
      <c r="J7668">
        <v>4011</v>
      </c>
      <c r="K7668">
        <v>925</v>
      </c>
      <c r="L7668">
        <v>9</v>
      </c>
      <c r="M7668">
        <v>2878</v>
      </c>
      <c r="N7668">
        <v>232</v>
      </c>
      <c r="O7668">
        <v>7</v>
      </c>
      <c r="P7668">
        <v>0</v>
      </c>
      <c r="Q7668">
        <v>0</v>
      </c>
    </row>
    <row r="7669" spans="1:17" x14ac:dyDescent="0.2">
      <c r="A7669" s="121">
        <v>41759</v>
      </c>
      <c r="B7669" t="s">
        <v>406</v>
      </c>
      <c r="C7669" t="s">
        <v>577</v>
      </c>
      <c r="D7669" t="s">
        <v>580</v>
      </c>
      <c r="E7669" t="s">
        <v>581</v>
      </c>
      <c r="F7669" t="s">
        <v>413</v>
      </c>
      <c r="G7669">
        <v>2106</v>
      </c>
      <c r="H7669">
        <v>2106</v>
      </c>
      <c r="I7669">
        <v>2089</v>
      </c>
      <c r="J7669">
        <v>2089</v>
      </c>
      <c r="K7669">
        <v>324</v>
      </c>
      <c r="L7669">
        <v>0</v>
      </c>
      <c r="M7669">
        <v>1428</v>
      </c>
      <c r="N7669">
        <v>293</v>
      </c>
      <c r="O7669">
        <v>61</v>
      </c>
      <c r="P7669">
        <v>0</v>
      </c>
      <c r="Q7669">
        <v>0</v>
      </c>
    </row>
    <row r="7670" spans="1:17" x14ac:dyDescent="0.2">
      <c r="A7670" s="121">
        <v>41759</v>
      </c>
      <c r="B7670" t="s">
        <v>406</v>
      </c>
      <c r="C7670" t="s">
        <v>577</v>
      </c>
      <c r="D7670" t="s">
        <v>609</v>
      </c>
      <c r="E7670" t="s">
        <v>610</v>
      </c>
      <c r="F7670" t="s">
        <v>410</v>
      </c>
      <c r="G7670">
        <v>30</v>
      </c>
      <c r="H7670">
        <v>30</v>
      </c>
      <c r="I7670">
        <v>30</v>
      </c>
      <c r="J7670">
        <v>30</v>
      </c>
      <c r="K7670">
        <v>1</v>
      </c>
      <c r="L7670">
        <v>0</v>
      </c>
      <c r="M7670">
        <v>26</v>
      </c>
      <c r="N7670">
        <v>2</v>
      </c>
      <c r="O7670">
        <v>1</v>
      </c>
      <c r="P7670">
        <v>0</v>
      </c>
      <c r="Q7670">
        <v>0</v>
      </c>
    </row>
    <row r="7671" spans="1:17" x14ac:dyDescent="0.2">
      <c r="A7671" s="121">
        <v>41759</v>
      </c>
      <c r="B7671" t="s">
        <v>406</v>
      </c>
      <c r="C7671" t="s">
        <v>577</v>
      </c>
      <c r="D7671" t="s">
        <v>611</v>
      </c>
      <c r="E7671" t="s">
        <v>612</v>
      </c>
      <c r="F7671" t="s">
        <v>410</v>
      </c>
      <c r="G7671">
        <v>8</v>
      </c>
      <c r="H7671">
        <v>8</v>
      </c>
      <c r="I7671">
        <v>8</v>
      </c>
      <c r="J7671">
        <v>8</v>
      </c>
      <c r="K7671">
        <v>0</v>
      </c>
      <c r="L7671">
        <v>0</v>
      </c>
      <c r="M7671">
        <v>5</v>
      </c>
      <c r="N7671">
        <v>0</v>
      </c>
      <c r="O7671">
        <v>3</v>
      </c>
      <c r="P7671">
        <v>0</v>
      </c>
      <c r="Q7671">
        <v>0</v>
      </c>
    </row>
    <row r="7672" spans="1:17" x14ac:dyDescent="0.2">
      <c r="A7672" s="121">
        <v>41759</v>
      </c>
      <c r="B7672" t="s">
        <v>406</v>
      </c>
      <c r="C7672" t="s">
        <v>577</v>
      </c>
      <c r="D7672" t="s">
        <v>584</v>
      </c>
      <c r="E7672" t="s">
        <v>585</v>
      </c>
      <c r="F7672" t="s">
        <v>410</v>
      </c>
      <c r="G7672">
        <v>246</v>
      </c>
      <c r="H7672">
        <v>246</v>
      </c>
      <c r="I7672">
        <v>246</v>
      </c>
      <c r="J7672">
        <v>246</v>
      </c>
      <c r="K7672">
        <v>0</v>
      </c>
      <c r="L7672">
        <v>0</v>
      </c>
      <c r="M7672">
        <v>233</v>
      </c>
      <c r="N7672">
        <v>13</v>
      </c>
      <c r="O7672">
        <v>0</v>
      </c>
      <c r="P7672">
        <v>0</v>
      </c>
      <c r="Q7672">
        <v>0</v>
      </c>
    </row>
    <row r="7673" spans="1:17" x14ac:dyDescent="0.2">
      <c r="A7673" s="121">
        <v>41759</v>
      </c>
      <c r="B7673" t="s">
        <v>406</v>
      </c>
      <c r="C7673" t="s">
        <v>577</v>
      </c>
      <c r="D7673" t="s">
        <v>586</v>
      </c>
      <c r="E7673" t="s">
        <v>587</v>
      </c>
      <c r="F7673" t="s">
        <v>410</v>
      </c>
      <c r="G7673">
        <v>1154</v>
      </c>
      <c r="H7673">
        <v>1154</v>
      </c>
      <c r="I7673">
        <v>1154</v>
      </c>
      <c r="J7673">
        <v>1154</v>
      </c>
      <c r="K7673">
        <v>0</v>
      </c>
      <c r="L7673">
        <v>0</v>
      </c>
      <c r="M7673">
        <v>1028</v>
      </c>
      <c r="N7673">
        <v>120</v>
      </c>
      <c r="O7673">
        <v>6</v>
      </c>
      <c r="P7673">
        <v>0</v>
      </c>
      <c r="Q7673">
        <v>0</v>
      </c>
    </row>
    <row r="7674" spans="1:17" x14ac:dyDescent="0.2">
      <c r="A7674" s="121">
        <v>41759</v>
      </c>
      <c r="B7674" t="s">
        <v>406</v>
      </c>
      <c r="C7674" t="s">
        <v>577</v>
      </c>
      <c r="D7674" t="s">
        <v>588</v>
      </c>
      <c r="E7674" t="s">
        <v>589</v>
      </c>
      <c r="F7674" t="s">
        <v>410</v>
      </c>
      <c r="G7674">
        <v>275</v>
      </c>
      <c r="H7674">
        <v>275</v>
      </c>
      <c r="I7674">
        <v>274</v>
      </c>
      <c r="J7674">
        <v>274</v>
      </c>
      <c r="K7674">
        <v>0</v>
      </c>
      <c r="L7674">
        <v>1</v>
      </c>
      <c r="M7674">
        <v>246</v>
      </c>
      <c r="N7674">
        <v>28</v>
      </c>
      <c r="O7674">
        <v>0</v>
      </c>
      <c r="P7674">
        <v>0</v>
      </c>
      <c r="Q7674">
        <v>0</v>
      </c>
    </row>
    <row r="7675" spans="1:17" x14ac:dyDescent="0.2">
      <c r="A7675" s="121">
        <v>41759</v>
      </c>
      <c r="B7675" t="s">
        <v>406</v>
      </c>
      <c r="C7675" t="s">
        <v>577</v>
      </c>
      <c r="D7675" t="s">
        <v>613</v>
      </c>
      <c r="E7675" t="s">
        <v>614</v>
      </c>
      <c r="F7675" t="s">
        <v>410</v>
      </c>
      <c r="G7675">
        <v>186</v>
      </c>
      <c r="H7675">
        <v>186</v>
      </c>
      <c r="I7675">
        <v>186</v>
      </c>
      <c r="J7675">
        <v>186</v>
      </c>
      <c r="K7675">
        <v>0</v>
      </c>
      <c r="L7675">
        <v>0</v>
      </c>
      <c r="M7675">
        <v>171</v>
      </c>
      <c r="N7675">
        <v>9</v>
      </c>
      <c r="O7675">
        <v>6</v>
      </c>
      <c r="P7675">
        <v>0</v>
      </c>
      <c r="Q7675">
        <v>0</v>
      </c>
    </row>
    <row r="7676" spans="1:17" x14ac:dyDescent="0.2">
      <c r="A7676" s="121">
        <v>41759</v>
      </c>
      <c r="B7676" t="s">
        <v>406</v>
      </c>
      <c r="C7676" t="s">
        <v>577</v>
      </c>
      <c r="D7676" t="s">
        <v>590</v>
      </c>
      <c r="E7676" t="s">
        <v>591</v>
      </c>
      <c r="F7676" t="s">
        <v>410</v>
      </c>
      <c r="G7676">
        <v>648</v>
      </c>
      <c r="H7676">
        <v>648</v>
      </c>
      <c r="I7676">
        <v>648</v>
      </c>
      <c r="J7676">
        <v>648</v>
      </c>
      <c r="K7676">
        <v>0</v>
      </c>
      <c r="L7676">
        <v>0</v>
      </c>
      <c r="M7676">
        <v>608</v>
      </c>
      <c r="N7676">
        <v>40</v>
      </c>
      <c r="O7676">
        <v>0</v>
      </c>
      <c r="P7676">
        <v>0</v>
      </c>
      <c r="Q7676">
        <v>0</v>
      </c>
    </row>
    <row r="7677" spans="1:17" x14ac:dyDescent="0.2">
      <c r="A7677" s="121">
        <v>41759</v>
      </c>
      <c r="B7677" t="s">
        <v>406</v>
      </c>
      <c r="C7677" t="s">
        <v>577</v>
      </c>
      <c r="D7677" t="s">
        <v>607</v>
      </c>
      <c r="E7677" t="s">
        <v>608</v>
      </c>
      <c r="F7677" t="s">
        <v>410</v>
      </c>
      <c r="G7677">
        <v>231</v>
      </c>
      <c r="H7677">
        <v>231</v>
      </c>
      <c r="I7677">
        <v>231</v>
      </c>
      <c r="J7677">
        <v>231</v>
      </c>
      <c r="K7677">
        <v>0</v>
      </c>
      <c r="L7677">
        <v>0</v>
      </c>
      <c r="M7677">
        <v>197</v>
      </c>
      <c r="N7677">
        <v>28</v>
      </c>
      <c r="O7677">
        <v>6</v>
      </c>
      <c r="P7677">
        <v>0</v>
      </c>
      <c r="Q7677">
        <v>0</v>
      </c>
    </row>
    <row r="7678" spans="1:17" x14ac:dyDescent="0.2">
      <c r="A7678" s="121">
        <v>41759</v>
      </c>
      <c r="B7678" t="s">
        <v>406</v>
      </c>
      <c r="C7678" t="s">
        <v>577</v>
      </c>
      <c r="D7678" t="s">
        <v>592</v>
      </c>
      <c r="E7678" t="s">
        <v>593</v>
      </c>
      <c r="F7678" t="s">
        <v>410</v>
      </c>
      <c r="G7678">
        <v>513</v>
      </c>
      <c r="H7678">
        <v>513</v>
      </c>
      <c r="I7678">
        <v>513</v>
      </c>
      <c r="J7678">
        <v>513</v>
      </c>
      <c r="K7678">
        <v>0</v>
      </c>
      <c r="L7678">
        <v>1</v>
      </c>
      <c r="M7678">
        <v>481</v>
      </c>
      <c r="N7678">
        <v>28</v>
      </c>
      <c r="O7678">
        <v>3</v>
      </c>
      <c r="P7678">
        <v>0</v>
      </c>
      <c r="Q7678">
        <v>0</v>
      </c>
    </row>
    <row r="7679" spans="1:17" x14ac:dyDescent="0.2">
      <c r="A7679" s="121">
        <v>41759</v>
      </c>
      <c r="B7679" t="s">
        <v>406</v>
      </c>
      <c r="C7679" t="s">
        <v>594</v>
      </c>
      <c r="D7679" t="s">
        <v>595</v>
      </c>
      <c r="E7679" t="s">
        <v>596</v>
      </c>
      <c r="F7679" t="s">
        <v>410</v>
      </c>
      <c r="G7679">
        <v>46</v>
      </c>
      <c r="I7679">
        <v>44</v>
      </c>
    </row>
    <row r="7680" spans="1:17" x14ac:dyDescent="0.2">
      <c r="A7680" s="121">
        <v>41759</v>
      </c>
      <c r="B7680" t="s">
        <v>406</v>
      </c>
      <c r="C7680" t="s">
        <v>594</v>
      </c>
      <c r="D7680" t="s">
        <v>597</v>
      </c>
      <c r="E7680" t="s">
        <v>598</v>
      </c>
      <c r="F7680" t="s">
        <v>413</v>
      </c>
      <c r="G7680">
        <v>521</v>
      </c>
      <c r="H7680">
        <v>521</v>
      </c>
      <c r="I7680">
        <v>511</v>
      </c>
      <c r="J7680">
        <v>511</v>
      </c>
      <c r="K7680">
        <v>115</v>
      </c>
      <c r="L7680">
        <v>1</v>
      </c>
      <c r="M7680">
        <v>389</v>
      </c>
      <c r="N7680">
        <v>10</v>
      </c>
      <c r="O7680">
        <v>6</v>
      </c>
      <c r="P7680">
        <v>0</v>
      </c>
      <c r="Q7680">
        <v>0</v>
      </c>
    </row>
    <row r="7681" spans="1:17" x14ac:dyDescent="0.2">
      <c r="A7681" s="121">
        <v>41759</v>
      </c>
      <c r="B7681" t="s">
        <v>406</v>
      </c>
      <c r="C7681" t="s">
        <v>594</v>
      </c>
      <c r="D7681" t="s">
        <v>599</v>
      </c>
      <c r="E7681" t="s">
        <v>600</v>
      </c>
      <c r="F7681" t="s">
        <v>410</v>
      </c>
      <c r="G7681">
        <v>119</v>
      </c>
      <c r="I7681">
        <v>119</v>
      </c>
    </row>
    <row r="7682" spans="1:17" x14ac:dyDescent="0.2">
      <c r="A7682" s="121">
        <v>41790</v>
      </c>
      <c r="B7682" t="s">
        <v>406</v>
      </c>
      <c r="C7682" t="s">
        <v>407</v>
      </c>
      <c r="D7682" t="s">
        <v>408</v>
      </c>
      <c r="E7682" t="s">
        <v>409</v>
      </c>
      <c r="F7682" t="s">
        <v>410</v>
      </c>
      <c r="G7682">
        <v>235</v>
      </c>
      <c r="I7682">
        <v>235</v>
      </c>
    </row>
    <row r="7683" spans="1:17" x14ac:dyDescent="0.2">
      <c r="A7683" s="121">
        <v>41790</v>
      </c>
      <c r="B7683" t="s">
        <v>406</v>
      </c>
      <c r="C7683" t="s">
        <v>407</v>
      </c>
      <c r="D7683" t="s">
        <v>601</v>
      </c>
      <c r="E7683" t="s">
        <v>602</v>
      </c>
      <c r="F7683" t="s">
        <v>410</v>
      </c>
      <c r="G7683">
        <v>65</v>
      </c>
      <c r="I7683">
        <v>65</v>
      </c>
    </row>
    <row r="7684" spans="1:17" x14ac:dyDescent="0.2">
      <c r="A7684" s="121">
        <v>41790</v>
      </c>
      <c r="B7684" t="s">
        <v>406</v>
      </c>
      <c r="C7684" t="s">
        <v>407</v>
      </c>
      <c r="D7684" t="s">
        <v>411</v>
      </c>
      <c r="E7684" t="s">
        <v>412</v>
      </c>
      <c r="F7684" t="s">
        <v>413</v>
      </c>
      <c r="G7684">
        <v>6563</v>
      </c>
      <c r="H7684">
        <v>6563</v>
      </c>
      <c r="I7684">
        <v>5876</v>
      </c>
      <c r="J7684">
        <v>5876</v>
      </c>
      <c r="K7684">
        <v>2548</v>
      </c>
      <c r="L7684">
        <v>7</v>
      </c>
      <c r="M7684">
        <v>3534</v>
      </c>
      <c r="N7684">
        <v>152</v>
      </c>
      <c r="O7684">
        <v>322</v>
      </c>
      <c r="P7684">
        <v>40</v>
      </c>
      <c r="Q7684">
        <v>3</v>
      </c>
    </row>
    <row r="7685" spans="1:17" x14ac:dyDescent="0.2">
      <c r="A7685" s="121">
        <v>41790</v>
      </c>
      <c r="B7685" t="s">
        <v>406</v>
      </c>
      <c r="C7685" t="s">
        <v>407</v>
      </c>
      <c r="D7685" t="s">
        <v>416</v>
      </c>
      <c r="E7685" t="s">
        <v>417</v>
      </c>
      <c r="F7685" t="s">
        <v>413</v>
      </c>
      <c r="G7685">
        <v>4115</v>
      </c>
      <c r="H7685">
        <v>4115</v>
      </c>
      <c r="I7685">
        <v>3852</v>
      </c>
      <c r="J7685">
        <v>3852</v>
      </c>
      <c r="K7685">
        <v>1501</v>
      </c>
      <c r="L7685">
        <v>11</v>
      </c>
      <c r="M7685">
        <v>2409</v>
      </c>
      <c r="N7685">
        <v>137</v>
      </c>
      <c r="O7685">
        <v>57</v>
      </c>
      <c r="P7685">
        <v>11</v>
      </c>
      <c r="Q7685">
        <v>0</v>
      </c>
    </row>
    <row r="7686" spans="1:17" x14ac:dyDescent="0.2">
      <c r="A7686" s="121">
        <v>41790</v>
      </c>
      <c r="B7686" t="s">
        <v>406</v>
      </c>
      <c r="C7686" t="s">
        <v>407</v>
      </c>
      <c r="D7686" t="s">
        <v>618</v>
      </c>
      <c r="E7686" t="s">
        <v>619</v>
      </c>
      <c r="F7686" t="s">
        <v>410</v>
      </c>
      <c r="G7686">
        <v>114</v>
      </c>
      <c r="I7686">
        <v>114</v>
      </c>
    </row>
    <row r="7687" spans="1:17" x14ac:dyDescent="0.2">
      <c r="A7687" s="121">
        <v>41790</v>
      </c>
      <c r="B7687" t="s">
        <v>406</v>
      </c>
      <c r="C7687" t="s">
        <v>418</v>
      </c>
      <c r="D7687" t="s">
        <v>419</v>
      </c>
      <c r="E7687" t="s">
        <v>420</v>
      </c>
      <c r="F7687" t="s">
        <v>410</v>
      </c>
      <c r="G7687">
        <v>27</v>
      </c>
      <c r="I7687">
        <v>27</v>
      </c>
    </row>
    <row r="7688" spans="1:17" x14ac:dyDescent="0.2">
      <c r="A7688" s="121">
        <v>41790</v>
      </c>
      <c r="B7688" t="s">
        <v>406</v>
      </c>
      <c r="C7688" t="s">
        <v>418</v>
      </c>
      <c r="D7688" t="s">
        <v>421</v>
      </c>
      <c r="E7688" t="s">
        <v>422</v>
      </c>
      <c r="F7688" t="s">
        <v>410</v>
      </c>
      <c r="G7688">
        <v>89</v>
      </c>
      <c r="I7688">
        <v>89</v>
      </c>
    </row>
    <row r="7689" spans="1:17" x14ac:dyDescent="0.2">
      <c r="A7689" s="121">
        <v>41790</v>
      </c>
      <c r="B7689" t="s">
        <v>406</v>
      </c>
      <c r="C7689" t="s">
        <v>418</v>
      </c>
      <c r="D7689" t="s">
        <v>423</v>
      </c>
      <c r="E7689" t="s">
        <v>424</v>
      </c>
      <c r="F7689" t="s">
        <v>410</v>
      </c>
      <c r="G7689">
        <v>15</v>
      </c>
      <c r="I7689">
        <v>15</v>
      </c>
    </row>
    <row r="7690" spans="1:17" x14ac:dyDescent="0.2">
      <c r="A7690" s="121">
        <v>41790</v>
      </c>
      <c r="B7690" t="s">
        <v>406</v>
      </c>
      <c r="C7690" t="s">
        <v>418</v>
      </c>
      <c r="D7690" t="s">
        <v>425</v>
      </c>
      <c r="E7690" t="s">
        <v>426</v>
      </c>
      <c r="F7690" t="s">
        <v>410</v>
      </c>
      <c r="G7690">
        <v>61</v>
      </c>
      <c r="I7690">
        <v>61</v>
      </c>
    </row>
    <row r="7691" spans="1:17" x14ac:dyDescent="0.2">
      <c r="A7691" s="121">
        <v>41790</v>
      </c>
      <c r="B7691" t="s">
        <v>406</v>
      </c>
      <c r="C7691" t="s">
        <v>418</v>
      </c>
      <c r="D7691" t="s">
        <v>427</v>
      </c>
      <c r="E7691" t="s">
        <v>428</v>
      </c>
      <c r="F7691" t="s">
        <v>413</v>
      </c>
      <c r="G7691">
        <v>2449</v>
      </c>
      <c r="H7691">
        <v>2449</v>
      </c>
      <c r="I7691">
        <v>2355</v>
      </c>
      <c r="J7691">
        <v>2355</v>
      </c>
      <c r="K7691">
        <v>852</v>
      </c>
      <c r="L7691">
        <v>6</v>
      </c>
      <c r="M7691">
        <v>1342</v>
      </c>
      <c r="N7691">
        <v>218</v>
      </c>
      <c r="O7691">
        <v>31</v>
      </c>
      <c r="P7691">
        <v>1</v>
      </c>
      <c r="Q7691">
        <v>1</v>
      </c>
    </row>
    <row r="7692" spans="1:17" x14ac:dyDescent="0.2">
      <c r="A7692" s="121">
        <v>41790</v>
      </c>
      <c r="B7692" t="s">
        <v>406</v>
      </c>
      <c r="C7692" t="s">
        <v>429</v>
      </c>
      <c r="D7692" t="s">
        <v>430</v>
      </c>
      <c r="E7692" t="s">
        <v>431</v>
      </c>
      <c r="F7692" t="s">
        <v>410</v>
      </c>
      <c r="G7692">
        <v>18</v>
      </c>
      <c r="I7692">
        <v>18</v>
      </c>
    </row>
    <row r="7693" spans="1:17" x14ac:dyDescent="0.2">
      <c r="A7693" s="121">
        <v>41790</v>
      </c>
      <c r="B7693" t="s">
        <v>406</v>
      </c>
      <c r="C7693" t="s">
        <v>429</v>
      </c>
      <c r="D7693" t="s">
        <v>432</v>
      </c>
      <c r="E7693" t="s">
        <v>433</v>
      </c>
      <c r="F7693" t="s">
        <v>410</v>
      </c>
      <c r="G7693">
        <v>47</v>
      </c>
      <c r="I7693">
        <v>47</v>
      </c>
    </row>
    <row r="7694" spans="1:17" x14ac:dyDescent="0.2">
      <c r="A7694" s="121">
        <v>41790</v>
      </c>
      <c r="B7694" t="s">
        <v>406</v>
      </c>
      <c r="C7694" t="s">
        <v>429</v>
      </c>
      <c r="D7694" t="s">
        <v>434</v>
      </c>
      <c r="E7694" t="s">
        <v>435</v>
      </c>
      <c r="F7694" t="s">
        <v>410</v>
      </c>
      <c r="G7694">
        <v>3</v>
      </c>
      <c r="I7694">
        <v>3</v>
      </c>
    </row>
    <row r="7695" spans="1:17" x14ac:dyDescent="0.2">
      <c r="A7695" s="121">
        <v>41790</v>
      </c>
      <c r="B7695" t="s">
        <v>406</v>
      </c>
      <c r="C7695" t="s">
        <v>429</v>
      </c>
      <c r="D7695" t="s">
        <v>436</v>
      </c>
      <c r="E7695" t="s">
        <v>437</v>
      </c>
      <c r="F7695" t="s">
        <v>410</v>
      </c>
      <c r="G7695">
        <v>22</v>
      </c>
      <c r="H7695">
        <v>22</v>
      </c>
      <c r="I7695">
        <v>22</v>
      </c>
      <c r="J7695">
        <v>22</v>
      </c>
      <c r="K7695">
        <v>0</v>
      </c>
      <c r="L7695">
        <v>0</v>
      </c>
      <c r="M7695">
        <v>17</v>
      </c>
      <c r="N7695">
        <v>5</v>
      </c>
      <c r="O7695">
        <v>0</v>
      </c>
      <c r="P7695">
        <v>0</v>
      </c>
      <c r="Q7695">
        <v>0</v>
      </c>
    </row>
    <row r="7696" spans="1:17" x14ac:dyDescent="0.2">
      <c r="A7696" s="121">
        <v>41790</v>
      </c>
      <c r="B7696" t="s">
        <v>406</v>
      </c>
      <c r="C7696" t="s">
        <v>429</v>
      </c>
      <c r="D7696" t="s">
        <v>438</v>
      </c>
      <c r="E7696" t="s">
        <v>439</v>
      </c>
      <c r="F7696" t="s">
        <v>413</v>
      </c>
      <c r="G7696">
        <v>1089</v>
      </c>
      <c r="H7696">
        <v>1089</v>
      </c>
      <c r="I7696">
        <v>1068</v>
      </c>
      <c r="J7696">
        <v>1068</v>
      </c>
      <c r="K7696">
        <v>143</v>
      </c>
      <c r="L7696">
        <v>2</v>
      </c>
      <c r="M7696">
        <v>912</v>
      </c>
      <c r="N7696">
        <v>32</v>
      </c>
      <c r="O7696">
        <v>0</v>
      </c>
      <c r="P7696">
        <v>0</v>
      </c>
      <c r="Q7696">
        <v>0</v>
      </c>
    </row>
    <row r="7697" spans="1:17" x14ac:dyDescent="0.2">
      <c r="A7697" s="121">
        <v>41790</v>
      </c>
      <c r="B7697" t="s">
        <v>406</v>
      </c>
      <c r="C7697" t="s">
        <v>429</v>
      </c>
      <c r="D7697" t="s">
        <v>440</v>
      </c>
      <c r="E7697" t="s">
        <v>441</v>
      </c>
      <c r="F7697" t="s">
        <v>413</v>
      </c>
      <c r="G7697">
        <v>3085</v>
      </c>
      <c r="H7697">
        <v>3085</v>
      </c>
      <c r="I7697">
        <v>3015</v>
      </c>
      <c r="J7697">
        <v>3015</v>
      </c>
      <c r="K7697">
        <v>1113</v>
      </c>
      <c r="L7697">
        <v>3</v>
      </c>
      <c r="M7697">
        <v>1876</v>
      </c>
      <c r="N7697">
        <v>93</v>
      </c>
      <c r="O7697">
        <v>0</v>
      </c>
      <c r="P7697">
        <v>0</v>
      </c>
      <c r="Q7697">
        <v>0</v>
      </c>
    </row>
    <row r="7698" spans="1:17" x14ac:dyDescent="0.2">
      <c r="A7698" s="121">
        <v>41790</v>
      </c>
      <c r="B7698" t="s">
        <v>406</v>
      </c>
      <c r="C7698" t="s">
        <v>442</v>
      </c>
      <c r="D7698" t="s">
        <v>443</v>
      </c>
      <c r="E7698" t="s">
        <v>444</v>
      </c>
      <c r="F7698" t="s">
        <v>413</v>
      </c>
      <c r="G7698">
        <v>5810</v>
      </c>
      <c r="H7698">
        <v>5810</v>
      </c>
      <c r="I7698">
        <v>5526</v>
      </c>
      <c r="J7698">
        <v>5526</v>
      </c>
      <c r="K7698">
        <v>1454</v>
      </c>
      <c r="L7698">
        <v>11</v>
      </c>
      <c r="M7698">
        <v>3982</v>
      </c>
      <c r="N7698">
        <v>247</v>
      </c>
      <c r="O7698">
        <v>116</v>
      </c>
      <c r="P7698">
        <v>16</v>
      </c>
      <c r="Q7698">
        <v>0</v>
      </c>
    </row>
    <row r="7699" spans="1:17" x14ac:dyDescent="0.2">
      <c r="A7699" s="121">
        <v>41790</v>
      </c>
      <c r="B7699" t="s">
        <v>406</v>
      </c>
      <c r="C7699" t="s">
        <v>442</v>
      </c>
      <c r="D7699" t="s">
        <v>445</v>
      </c>
      <c r="E7699" t="s">
        <v>446</v>
      </c>
      <c r="F7699" t="s">
        <v>410</v>
      </c>
      <c r="G7699">
        <v>139</v>
      </c>
      <c r="I7699">
        <v>139</v>
      </c>
    </row>
    <row r="7700" spans="1:17" x14ac:dyDescent="0.2">
      <c r="A7700" s="121">
        <v>41790</v>
      </c>
      <c r="B7700" t="s">
        <v>406</v>
      </c>
      <c r="C7700" t="s">
        <v>442</v>
      </c>
      <c r="D7700" t="s">
        <v>447</v>
      </c>
      <c r="E7700" t="s">
        <v>448</v>
      </c>
      <c r="F7700" t="s">
        <v>410</v>
      </c>
      <c r="G7700">
        <v>403</v>
      </c>
      <c r="I7700">
        <v>403</v>
      </c>
    </row>
    <row r="7701" spans="1:17" x14ac:dyDescent="0.2">
      <c r="A7701" s="121">
        <v>41790</v>
      </c>
      <c r="B7701" t="s">
        <v>406</v>
      </c>
      <c r="C7701" t="s">
        <v>442</v>
      </c>
      <c r="D7701" t="s">
        <v>449</v>
      </c>
      <c r="E7701" t="s">
        <v>624</v>
      </c>
      <c r="F7701" t="s">
        <v>410</v>
      </c>
      <c r="G7701">
        <v>1798</v>
      </c>
      <c r="H7701">
        <v>1798</v>
      </c>
      <c r="I7701">
        <v>1798</v>
      </c>
      <c r="J7701">
        <v>1798</v>
      </c>
      <c r="K7701">
        <v>12</v>
      </c>
      <c r="L7701">
        <v>0</v>
      </c>
      <c r="M7701">
        <v>1615</v>
      </c>
      <c r="N7701">
        <v>163</v>
      </c>
      <c r="O7701">
        <v>8</v>
      </c>
      <c r="P7701">
        <v>0</v>
      </c>
      <c r="Q7701">
        <v>0</v>
      </c>
    </row>
    <row r="7702" spans="1:17" x14ac:dyDescent="0.2">
      <c r="A7702" s="121">
        <v>41790</v>
      </c>
      <c r="B7702" t="s">
        <v>406</v>
      </c>
      <c r="C7702" t="s">
        <v>451</v>
      </c>
      <c r="D7702" t="s">
        <v>454</v>
      </c>
      <c r="E7702" t="s">
        <v>621</v>
      </c>
      <c r="F7702" t="s">
        <v>410</v>
      </c>
      <c r="G7702">
        <v>1306</v>
      </c>
      <c r="H7702">
        <v>1306</v>
      </c>
      <c r="I7702">
        <v>1306</v>
      </c>
      <c r="J7702">
        <v>1306</v>
      </c>
      <c r="K7702">
        <v>3</v>
      </c>
      <c r="L7702">
        <v>0</v>
      </c>
      <c r="M7702">
        <v>698</v>
      </c>
      <c r="N7702">
        <v>61</v>
      </c>
      <c r="O7702">
        <v>544</v>
      </c>
      <c r="P7702">
        <v>0</v>
      </c>
      <c r="Q7702">
        <v>0</v>
      </c>
    </row>
    <row r="7703" spans="1:17" x14ac:dyDescent="0.2">
      <c r="A7703" s="121">
        <v>41790</v>
      </c>
      <c r="B7703" t="s">
        <v>406</v>
      </c>
      <c r="C7703" t="s">
        <v>451</v>
      </c>
      <c r="D7703" t="s">
        <v>622</v>
      </c>
      <c r="E7703" t="s">
        <v>623</v>
      </c>
      <c r="F7703" t="s">
        <v>413</v>
      </c>
      <c r="G7703">
        <v>5615</v>
      </c>
      <c r="H7703">
        <v>5615</v>
      </c>
      <c r="I7703">
        <v>5175</v>
      </c>
      <c r="J7703">
        <v>5175</v>
      </c>
      <c r="K7703">
        <v>1289</v>
      </c>
      <c r="L7703">
        <v>9</v>
      </c>
      <c r="M7703">
        <v>1931</v>
      </c>
      <c r="N7703">
        <v>41</v>
      </c>
      <c r="O7703">
        <v>2345</v>
      </c>
      <c r="P7703">
        <v>28</v>
      </c>
      <c r="Q7703">
        <v>0</v>
      </c>
    </row>
    <row r="7704" spans="1:17" x14ac:dyDescent="0.2">
      <c r="A7704" s="121">
        <v>41790</v>
      </c>
      <c r="B7704" t="s">
        <v>406</v>
      </c>
      <c r="C7704" t="s">
        <v>456</v>
      </c>
      <c r="D7704" t="s">
        <v>457</v>
      </c>
      <c r="E7704" t="s">
        <v>458</v>
      </c>
      <c r="F7704" t="s">
        <v>413</v>
      </c>
      <c r="G7704">
        <v>5315</v>
      </c>
      <c r="H7704">
        <v>5315</v>
      </c>
      <c r="I7704">
        <v>4788</v>
      </c>
      <c r="J7704">
        <v>4788</v>
      </c>
      <c r="K7704">
        <v>1363</v>
      </c>
      <c r="L7704">
        <v>9</v>
      </c>
      <c r="M7704">
        <v>3371</v>
      </c>
      <c r="N7704">
        <v>17</v>
      </c>
      <c r="O7704">
        <v>555</v>
      </c>
      <c r="P7704">
        <v>42</v>
      </c>
      <c r="Q7704">
        <v>6</v>
      </c>
    </row>
    <row r="7705" spans="1:17" x14ac:dyDescent="0.2">
      <c r="A7705" s="121">
        <v>41790</v>
      </c>
      <c r="B7705" t="s">
        <v>406</v>
      </c>
      <c r="C7705" t="s">
        <v>456</v>
      </c>
      <c r="D7705" t="s">
        <v>459</v>
      </c>
      <c r="E7705" t="s">
        <v>460</v>
      </c>
      <c r="F7705" t="s">
        <v>413</v>
      </c>
      <c r="G7705">
        <v>1747</v>
      </c>
      <c r="H7705">
        <v>1747</v>
      </c>
      <c r="I7705">
        <v>1713</v>
      </c>
      <c r="J7705">
        <v>1713</v>
      </c>
      <c r="K7705">
        <v>309</v>
      </c>
      <c r="L7705">
        <v>1</v>
      </c>
      <c r="M7705">
        <v>1437</v>
      </c>
      <c r="N7705">
        <v>0</v>
      </c>
      <c r="O7705">
        <v>0</v>
      </c>
      <c r="P7705">
        <v>1</v>
      </c>
      <c r="Q7705">
        <v>0</v>
      </c>
    </row>
    <row r="7706" spans="1:17" x14ac:dyDescent="0.2">
      <c r="A7706" s="121">
        <v>41790</v>
      </c>
      <c r="B7706" t="s">
        <v>406</v>
      </c>
      <c r="C7706" t="s">
        <v>456</v>
      </c>
      <c r="D7706" t="s">
        <v>461</v>
      </c>
      <c r="E7706" t="s">
        <v>462</v>
      </c>
      <c r="F7706" t="s">
        <v>410</v>
      </c>
      <c r="G7706">
        <v>85</v>
      </c>
      <c r="I7706">
        <v>85</v>
      </c>
    </row>
    <row r="7707" spans="1:17" x14ac:dyDescent="0.2">
      <c r="A7707" s="121">
        <v>41790</v>
      </c>
      <c r="B7707" t="s">
        <v>406</v>
      </c>
      <c r="C7707" t="s">
        <v>456</v>
      </c>
      <c r="D7707" t="s">
        <v>463</v>
      </c>
      <c r="E7707" t="s">
        <v>464</v>
      </c>
      <c r="F7707" t="s">
        <v>410</v>
      </c>
      <c r="G7707">
        <v>17</v>
      </c>
      <c r="I7707">
        <v>17</v>
      </c>
    </row>
    <row r="7708" spans="1:17" x14ac:dyDescent="0.2">
      <c r="A7708" s="121">
        <v>41790</v>
      </c>
      <c r="B7708" t="s">
        <v>406</v>
      </c>
      <c r="C7708" t="s">
        <v>456</v>
      </c>
      <c r="D7708" t="s">
        <v>465</v>
      </c>
      <c r="E7708" t="s">
        <v>466</v>
      </c>
      <c r="F7708" t="s">
        <v>410</v>
      </c>
      <c r="G7708">
        <v>34</v>
      </c>
      <c r="I7708">
        <v>34</v>
      </c>
    </row>
    <row r="7709" spans="1:17" x14ac:dyDescent="0.2">
      <c r="A7709" s="121">
        <v>41790</v>
      </c>
      <c r="B7709" t="s">
        <v>406</v>
      </c>
      <c r="C7709" t="s">
        <v>456</v>
      </c>
      <c r="D7709" t="s">
        <v>467</v>
      </c>
      <c r="E7709" t="s">
        <v>468</v>
      </c>
      <c r="F7709" t="s">
        <v>410</v>
      </c>
      <c r="G7709">
        <v>1422</v>
      </c>
      <c r="I7709">
        <v>1422</v>
      </c>
    </row>
    <row r="7710" spans="1:17" x14ac:dyDescent="0.2">
      <c r="A7710" s="121">
        <v>41790</v>
      </c>
      <c r="B7710" t="s">
        <v>406</v>
      </c>
      <c r="C7710" t="s">
        <v>456</v>
      </c>
      <c r="D7710" t="s">
        <v>469</v>
      </c>
      <c r="E7710" t="s">
        <v>470</v>
      </c>
      <c r="F7710" t="s">
        <v>410</v>
      </c>
      <c r="G7710">
        <v>982</v>
      </c>
      <c r="I7710">
        <v>977</v>
      </c>
    </row>
    <row r="7711" spans="1:17" x14ac:dyDescent="0.2">
      <c r="A7711" s="121">
        <v>41790</v>
      </c>
      <c r="B7711" t="s">
        <v>406</v>
      </c>
      <c r="C7711" t="s">
        <v>456</v>
      </c>
      <c r="D7711" t="s">
        <v>471</v>
      </c>
      <c r="E7711" t="s">
        <v>472</v>
      </c>
      <c r="F7711" t="s">
        <v>410</v>
      </c>
      <c r="G7711">
        <v>274</v>
      </c>
      <c r="I7711">
        <v>274</v>
      </c>
    </row>
    <row r="7712" spans="1:17" x14ac:dyDescent="0.2">
      <c r="A7712" s="121">
        <v>41790</v>
      </c>
      <c r="B7712" t="s">
        <v>406</v>
      </c>
      <c r="C7712" t="s">
        <v>456</v>
      </c>
      <c r="D7712" t="s">
        <v>473</v>
      </c>
      <c r="E7712" t="s">
        <v>474</v>
      </c>
      <c r="F7712" t="s">
        <v>410</v>
      </c>
      <c r="G7712">
        <v>218</v>
      </c>
      <c r="I7712">
        <v>218</v>
      </c>
    </row>
    <row r="7713" spans="1:17" x14ac:dyDescent="0.2">
      <c r="A7713" s="121">
        <v>41790</v>
      </c>
      <c r="B7713" t="s">
        <v>406</v>
      </c>
      <c r="C7713" t="s">
        <v>456</v>
      </c>
      <c r="D7713" t="s">
        <v>475</v>
      </c>
      <c r="E7713" t="s">
        <v>476</v>
      </c>
      <c r="F7713" t="s">
        <v>410</v>
      </c>
      <c r="G7713">
        <v>320</v>
      </c>
      <c r="I7713">
        <v>319</v>
      </c>
    </row>
    <row r="7714" spans="1:17" x14ac:dyDescent="0.2">
      <c r="A7714" s="121">
        <v>41790</v>
      </c>
      <c r="B7714" t="s">
        <v>406</v>
      </c>
      <c r="C7714" t="s">
        <v>456</v>
      </c>
      <c r="D7714" t="s">
        <v>477</v>
      </c>
      <c r="E7714" t="s">
        <v>478</v>
      </c>
      <c r="F7714" t="s">
        <v>413</v>
      </c>
      <c r="G7714">
        <v>2058</v>
      </c>
      <c r="H7714">
        <v>2058</v>
      </c>
      <c r="I7714">
        <v>1972</v>
      </c>
      <c r="J7714">
        <v>1972</v>
      </c>
      <c r="K7714">
        <v>383</v>
      </c>
      <c r="L7714">
        <v>2</v>
      </c>
      <c r="M7714">
        <v>1660</v>
      </c>
      <c r="N7714">
        <v>13</v>
      </c>
      <c r="O7714">
        <v>0</v>
      </c>
      <c r="P7714">
        <v>3</v>
      </c>
      <c r="Q7714">
        <v>1</v>
      </c>
    </row>
    <row r="7715" spans="1:17" x14ac:dyDescent="0.2">
      <c r="A7715" s="121">
        <v>41790</v>
      </c>
      <c r="B7715" t="s">
        <v>406</v>
      </c>
      <c r="C7715" t="s">
        <v>456</v>
      </c>
      <c r="D7715" t="s">
        <v>479</v>
      </c>
      <c r="E7715" t="s">
        <v>480</v>
      </c>
      <c r="F7715" t="s">
        <v>410</v>
      </c>
      <c r="G7715">
        <v>67</v>
      </c>
      <c r="I7715">
        <v>67</v>
      </c>
    </row>
    <row r="7716" spans="1:17" x14ac:dyDescent="0.2">
      <c r="A7716" s="121">
        <v>41790</v>
      </c>
      <c r="B7716" t="s">
        <v>406</v>
      </c>
      <c r="C7716" t="s">
        <v>456</v>
      </c>
      <c r="D7716" t="s">
        <v>481</v>
      </c>
      <c r="E7716" t="s">
        <v>482</v>
      </c>
      <c r="F7716" t="s">
        <v>410</v>
      </c>
      <c r="G7716">
        <v>30</v>
      </c>
      <c r="I7716">
        <v>30</v>
      </c>
    </row>
    <row r="7717" spans="1:17" x14ac:dyDescent="0.2">
      <c r="A7717" s="121">
        <v>41790</v>
      </c>
      <c r="B7717" t="s">
        <v>406</v>
      </c>
      <c r="C7717" t="s">
        <v>456</v>
      </c>
      <c r="D7717" t="s">
        <v>483</v>
      </c>
      <c r="E7717" t="s">
        <v>484</v>
      </c>
      <c r="F7717" t="s">
        <v>410</v>
      </c>
      <c r="G7717">
        <v>76</v>
      </c>
      <c r="I7717">
        <v>76</v>
      </c>
    </row>
    <row r="7718" spans="1:17" x14ac:dyDescent="0.2">
      <c r="A7718" s="121">
        <v>41790</v>
      </c>
      <c r="B7718" t="s">
        <v>406</v>
      </c>
      <c r="C7718" t="s">
        <v>456</v>
      </c>
      <c r="D7718" t="s">
        <v>485</v>
      </c>
      <c r="E7718" t="s">
        <v>486</v>
      </c>
      <c r="F7718" t="s">
        <v>410</v>
      </c>
      <c r="G7718">
        <v>29</v>
      </c>
      <c r="I7718">
        <v>29</v>
      </c>
    </row>
    <row r="7719" spans="1:17" x14ac:dyDescent="0.2">
      <c r="A7719" s="121">
        <v>41790</v>
      </c>
      <c r="B7719" t="s">
        <v>406</v>
      </c>
      <c r="C7719" t="s">
        <v>456</v>
      </c>
      <c r="D7719" t="s">
        <v>487</v>
      </c>
      <c r="E7719" t="s">
        <v>488</v>
      </c>
      <c r="F7719" t="s">
        <v>410</v>
      </c>
      <c r="G7719">
        <v>41</v>
      </c>
      <c r="I7719">
        <v>41</v>
      </c>
    </row>
    <row r="7720" spans="1:17" x14ac:dyDescent="0.2">
      <c r="A7720" s="121">
        <v>41790</v>
      </c>
      <c r="B7720" t="s">
        <v>406</v>
      </c>
      <c r="C7720" t="s">
        <v>456</v>
      </c>
      <c r="D7720" t="s">
        <v>489</v>
      </c>
      <c r="E7720" t="s">
        <v>490</v>
      </c>
      <c r="F7720" t="s">
        <v>410</v>
      </c>
      <c r="G7720">
        <v>105</v>
      </c>
      <c r="I7720">
        <v>105</v>
      </c>
    </row>
    <row r="7721" spans="1:17" x14ac:dyDescent="0.2">
      <c r="A7721" s="121">
        <v>41790</v>
      </c>
      <c r="B7721" t="s">
        <v>406</v>
      </c>
      <c r="C7721" t="s">
        <v>491</v>
      </c>
      <c r="D7721" t="s">
        <v>492</v>
      </c>
      <c r="E7721" t="s">
        <v>493</v>
      </c>
      <c r="F7721" t="s">
        <v>410</v>
      </c>
      <c r="G7721">
        <v>1397</v>
      </c>
      <c r="H7721">
        <v>1397</v>
      </c>
      <c r="I7721">
        <v>1366</v>
      </c>
      <c r="J7721">
        <v>1366</v>
      </c>
      <c r="K7721">
        <v>229</v>
      </c>
      <c r="L7721">
        <v>2</v>
      </c>
      <c r="M7721">
        <v>1080</v>
      </c>
      <c r="N7721">
        <v>82</v>
      </c>
      <c r="O7721">
        <v>4</v>
      </c>
      <c r="P7721">
        <v>0</v>
      </c>
      <c r="Q7721">
        <v>0</v>
      </c>
    </row>
    <row r="7722" spans="1:17" x14ac:dyDescent="0.2">
      <c r="A7722" s="121">
        <v>41790</v>
      </c>
      <c r="B7722" t="s">
        <v>406</v>
      </c>
      <c r="C7722" t="s">
        <v>491</v>
      </c>
      <c r="D7722" t="s">
        <v>494</v>
      </c>
      <c r="E7722" t="s">
        <v>495</v>
      </c>
      <c r="F7722" t="s">
        <v>413</v>
      </c>
      <c r="G7722">
        <v>2920</v>
      </c>
      <c r="H7722">
        <v>2920</v>
      </c>
      <c r="I7722">
        <v>2557</v>
      </c>
      <c r="J7722">
        <v>2557</v>
      </c>
      <c r="K7722">
        <v>864</v>
      </c>
      <c r="L7722">
        <v>8</v>
      </c>
      <c r="M7722">
        <v>1891</v>
      </c>
      <c r="N7722">
        <v>20</v>
      </c>
      <c r="O7722">
        <v>137</v>
      </c>
      <c r="P7722">
        <v>21</v>
      </c>
      <c r="Q7722">
        <v>0</v>
      </c>
    </row>
    <row r="7723" spans="1:17" x14ac:dyDescent="0.2">
      <c r="A7723" s="121">
        <v>41790</v>
      </c>
      <c r="B7723" t="s">
        <v>406</v>
      </c>
      <c r="C7723" t="s">
        <v>491</v>
      </c>
      <c r="D7723" t="s">
        <v>496</v>
      </c>
      <c r="E7723" t="s">
        <v>497</v>
      </c>
      <c r="F7723" t="s">
        <v>413</v>
      </c>
      <c r="G7723">
        <v>5988</v>
      </c>
      <c r="H7723">
        <v>5988</v>
      </c>
      <c r="I7723">
        <v>5190</v>
      </c>
      <c r="J7723">
        <v>5190</v>
      </c>
      <c r="K7723">
        <v>2004</v>
      </c>
      <c r="L7723">
        <v>6</v>
      </c>
      <c r="M7723">
        <v>3721</v>
      </c>
      <c r="N7723">
        <v>102</v>
      </c>
      <c r="O7723">
        <v>155</v>
      </c>
      <c r="P7723">
        <v>30</v>
      </c>
      <c r="Q7723">
        <v>0</v>
      </c>
    </row>
    <row r="7724" spans="1:17" x14ac:dyDescent="0.2">
      <c r="A7724" s="121">
        <v>41790</v>
      </c>
      <c r="B7724" t="s">
        <v>406</v>
      </c>
      <c r="C7724" t="s">
        <v>491</v>
      </c>
      <c r="D7724" t="s">
        <v>498</v>
      </c>
      <c r="E7724" t="s">
        <v>499</v>
      </c>
      <c r="F7724" t="s">
        <v>413</v>
      </c>
      <c r="G7724">
        <v>7394</v>
      </c>
      <c r="H7724">
        <v>7394</v>
      </c>
      <c r="I7724">
        <v>6671</v>
      </c>
      <c r="J7724">
        <v>6671</v>
      </c>
      <c r="K7724">
        <v>2254</v>
      </c>
      <c r="L7724">
        <v>19</v>
      </c>
      <c r="M7724">
        <v>4627</v>
      </c>
      <c r="N7724">
        <v>77</v>
      </c>
      <c r="O7724">
        <v>417</v>
      </c>
      <c r="P7724">
        <v>11</v>
      </c>
      <c r="Q7724">
        <v>0</v>
      </c>
    </row>
    <row r="7725" spans="1:17" x14ac:dyDescent="0.2">
      <c r="A7725" s="121">
        <v>41790</v>
      </c>
      <c r="B7725" t="s">
        <v>406</v>
      </c>
      <c r="C7725" t="s">
        <v>491</v>
      </c>
      <c r="D7725" t="s">
        <v>500</v>
      </c>
      <c r="E7725" t="s">
        <v>620</v>
      </c>
      <c r="F7725" t="s">
        <v>410</v>
      </c>
      <c r="G7725">
        <v>1630</v>
      </c>
      <c r="H7725">
        <v>1630</v>
      </c>
      <c r="I7725">
        <v>1630</v>
      </c>
      <c r="J7725">
        <v>1630</v>
      </c>
      <c r="K7725">
        <v>1</v>
      </c>
      <c r="L7725">
        <v>0</v>
      </c>
      <c r="M7725">
        <v>1508</v>
      </c>
      <c r="N7725">
        <v>106</v>
      </c>
      <c r="O7725">
        <v>15</v>
      </c>
      <c r="P7725">
        <v>0</v>
      </c>
      <c r="Q7725">
        <v>0</v>
      </c>
    </row>
    <row r="7726" spans="1:17" x14ac:dyDescent="0.2">
      <c r="A7726" s="121">
        <v>41790</v>
      </c>
      <c r="B7726" t="s">
        <v>406</v>
      </c>
      <c r="C7726" t="s">
        <v>491</v>
      </c>
      <c r="D7726" t="s">
        <v>502</v>
      </c>
      <c r="E7726" t="s">
        <v>615</v>
      </c>
      <c r="F7726" t="s">
        <v>410</v>
      </c>
      <c r="G7726">
        <v>2351</v>
      </c>
      <c r="H7726">
        <v>2351</v>
      </c>
      <c r="I7726">
        <v>2351</v>
      </c>
      <c r="J7726">
        <v>2351</v>
      </c>
      <c r="K7726">
        <v>6</v>
      </c>
      <c r="L7726">
        <v>0</v>
      </c>
      <c r="M7726">
        <v>2203</v>
      </c>
      <c r="N7726">
        <v>135</v>
      </c>
      <c r="O7726">
        <v>7</v>
      </c>
      <c r="P7726">
        <v>0</v>
      </c>
      <c r="Q7726">
        <v>0</v>
      </c>
    </row>
    <row r="7727" spans="1:17" x14ac:dyDescent="0.2">
      <c r="A7727" s="121">
        <v>41790</v>
      </c>
      <c r="B7727" t="s">
        <v>406</v>
      </c>
      <c r="C7727" t="s">
        <v>491</v>
      </c>
      <c r="D7727" t="s">
        <v>502</v>
      </c>
      <c r="E7727" t="s">
        <v>503</v>
      </c>
      <c r="F7727" t="s">
        <v>413</v>
      </c>
      <c r="G7727">
        <v>5301</v>
      </c>
      <c r="H7727">
        <v>5301</v>
      </c>
      <c r="I7727">
        <v>4610</v>
      </c>
      <c r="J7727">
        <v>4610</v>
      </c>
      <c r="K7727">
        <v>1570</v>
      </c>
      <c r="L7727">
        <v>16</v>
      </c>
      <c r="M7727">
        <v>3217</v>
      </c>
      <c r="N7727">
        <v>406</v>
      </c>
      <c r="O7727">
        <v>92</v>
      </c>
      <c r="P7727">
        <v>72</v>
      </c>
      <c r="Q7727">
        <v>1</v>
      </c>
    </row>
    <row r="7728" spans="1:17" x14ac:dyDescent="0.2">
      <c r="A7728" s="121">
        <v>41790</v>
      </c>
      <c r="B7728" t="s">
        <v>406</v>
      </c>
      <c r="C7728" t="s">
        <v>491</v>
      </c>
      <c r="D7728" t="s">
        <v>504</v>
      </c>
      <c r="E7728" t="s">
        <v>505</v>
      </c>
      <c r="F7728" t="s">
        <v>413</v>
      </c>
      <c r="G7728">
        <v>4222</v>
      </c>
      <c r="H7728">
        <v>4222</v>
      </c>
      <c r="I7728">
        <v>3721</v>
      </c>
      <c r="J7728">
        <v>3721</v>
      </c>
      <c r="K7728">
        <v>1208</v>
      </c>
      <c r="L7728">
        <v>9</v>
      </c>
      <c r="M7728">
        <v>2691</v>
      </c>
      <c r="N7728">
        <v>221</v>
      </c>
      <c r="O7728">
        <v>93</v>
      </c>
      <c r="P7728">
        <v>17</v>
      </c>
      <c r="Q7728">
        <v>2</v>
      </c>
    </row>
    <row r="7729" spans="1:17" x14ac:dyDescent="0.2">
      <c r="A7729" s="121">
        <v>41790</v>
      </c>
      <c r="B7729" t="s">
        <v>406</v>
      </c>
      <c r="C7729" t="s">
        <v>491</v>
      </c>
      <c r="D7729" t="s">
        <v>506</v>
      </c>
      <c r="E7729" t="s">
        <v>507</v>
      </c>
      <c r="F7729" t="s">
        <v>413</v>
      </c>
      <c r="G7729">
        <v>4297</v>
      </c>
      <c r="H7729">
        <v>4297</v>
      </c>
      <c r="I7729">
        <v>4196</v>
      </c>
      <c r="J7729">
        <v>4196</v>
      </c>
      <c r="K7729">
        <v>1262</v>
      </c>
      <c r="L7729">
        <v>3</v>
      </c>
      <c r="M7729">
        <v>3016</v>
      </c>
      <c r="N7729">
        <v>5</v>
      </c>
      <c r="O7729">
        <v>11</v>
      </c>
      <c r="P7729">
        <v>0</v>
      </c>
      <c r="Q7729">
        <v>0</v>
      </c>
    </row>
    <row r="7730" spans="1:17" x14ac:dyDescent="0.2">
      <c r="A7730" s="121">
        <v>41790</v>
      </c>
      <c r="B7730" t="s">
        <v>406</v>
      </c>
      <c r="C7730" t="s">
        <v>491</v>
      </c>
      <c r="D7730" t="s">
        <v>508</v>
      </c>
      <c r="E7730" t="s">
        <v>509</v>
      </c>
      <c r="F7730" t="s">
        <v>413</v>
      </c>
      <c r="G7730">
        <v>5152</v>
      </c>
      <c r="H7730">
        <v>5152</v>
      </c>
      <c r="I7730">
        <v>4174</v>
      </c>
      <c r="J7730">
        <v>4174</v>
      </c>
      <c r="K7730">
        <v>1612</v>
      </c>
      <c r="L7730">
        <v>14</v>
      </c>
      <c r="M7730">
        <v>3243</v>
      </c>
      <c r="N7730">
        <v>128</v>
      </c>
      <c r="O7730">
        <v>155</v>
      </c>
      <c r="P7730">
        <v>154</v>
      </c>
      <c r="Q7730">
        <v>1</v>
      </c>
    </row>
    <row r="7731" spans="1:17" x14ac:dyDescent="0.2">
      <c r="A7731" s="121">
        <v>41790</v>
      </c>
      <c r="B7731" t="s">
        <v>406</v>
      </c>
      <c r="C7731" t="s">
        <v>510</v>
      </c>
      <c r="D7731" t="s">
        <v>513</v>
      </c>
      <c r="E7731" t="s">
        <v>514</v>
      </c>
      <c r="F7731" t="s">
        <v>410</v>
      </c>
      <c r="G7731">
        <v>700</v>
      </c>
      <c r="I7731">
        <v>691</v>
      </c>
    </row>
    <row r="7732" spans="1:17" x14ac:dyDescent="0.2">
      <c r="A7732" s="121">
        <v>41790</v>
      </c>
      <c r="B7732" t="s">
        <v>406</v>
      </c>
      <c r="C7732" t="s">
        <v>510</v>
      </c>
      <c r="D7732" t="s">
        <v>515</v>
      </c>
      <c r="E7732" t="s">
        <v>516</v>
      </c>
      <c r="F7732" t="s">
        <v>410</v>
      </c>
      <c r="G7732">
        <v>117</v>
      </c>
      <c r="I7732">
        <v>112</v>
      </c>
    </row>
    <row r="7733" spans="1:17" x14ac:dyDescent="0.2">
      <c r="A7733" s="121">
        <v>41790</v>
      </c>
      <c r="B7733" t="s">
        <v>406</v>
      </c>
      <c r="C7733" t="s">
        <v>510</v>
      </c>
      <c r="D7733" t="s">
        <v>519</v>
      </c>
      <c r="E7733" t="s">
        <v>520</v>
      </c>
      <c r="F7733" t="s">
        <v>410</v>
      </c>
      <c r="G7733">
        <v>398</v>
      </c>
      <c r="I7733">
        <v>390</v>
      </c>
    </row>
    <row r="7734" spans="1:17" x14ac:dyDescent="0.2">
      <c r="A7734" s="121">
        <v>41790</v>
      </c>
      <c r="B7734" t="s">
        <v>406</v>
      </c>
      <c r="C7734" t="s">
        <v>510</v>
      </c>
      <c r="D7734" t="s">
        <v>523</v>
      </c>
      <c r="E7734" t="s">
        <v>524</v>
      </c>
      <c r="F7734" t="s">
        <v>413</v>
      </c>
      <c r="G7734">
        <v>573</v>
      </c>
      <c r="H7734">
        <v>573</v>
      </c>
      <c r="I7734">
        <v>565</v>
      </c>
      <c r="J7734">
        <v>565</v>
      </c>
      <c r="K7734">
        <v>130</v>
      </c>
      <c r="L7734">
        <v>0</v>
      </c>
      <c r="M7734">
        <v>437</v>
      </c>
      <c r="N7734">
        <v>6</v>
      </c>
      <c r="O7734">
        <v>0</v>
      </c>
      <c r="P7734">
        <v>1</v>
      </c>
      <c r="Q7734">
        <v>0</v>
      </c>
    </row>
    <row r="7735" spans="1:17" x14ac:dyDescent="0.2">
      <c r="A7735" s="121">
        <v>41790</v>
      </c>
      <c r="B7735" t="s">
        <v>406</v>
      </c>
      <c r="C7735" t="s">
        <v>510</v>
      </c>
      <c r="D7735" t="s">
        <v>525</v>
      </c>
      <c r="E7735" t="s">
        <v>526</v>
      </c>
      <c r="F7735" t="s">
        <v>410</v>
      </c>
      <c r="G7735">
        <v>451</v>
      </c>
      <c r="I7735">
        <v>444</v>
      </c>
    </row>
    <row r="7736" spans="1:17" x14ac:dyDescent="0.2">
      <c r="A7736" s="121">
        <v>41790</v>
      </c>
      <c r="B7736" t="s">
        <v>406</v>
      </c>
      <c r="C7736" t="s">
        <v>510</v>
      </c>
      <c r="D7736" t="s">
        <v>527</v>
      </c>
      <c r="E7736" t="s">
        <v>528</v>
      </c>
      <c r="F7736" t="s">
        <v>410</v>
      </c>
      <c r="G7736">
        <v>212</v>
      </c>
      <c r="I7736">
        <v>211</v>
      </c>
    </row>
    <row r="7737" spans="1:17" x14ac:dyDescent="0.2">
      <c r="A7737" s="121">
        <v>41790</v>
      </c>
      <c r="B7737" t="s">
        <v>406</v>
      </c>
      <c r="C7737" t="s">
        <v>510</v>
      </c>
      <c r="D7737" t="s">
        <v>529</v>
      </c>
      <c r="E7737" t="s">
        <v>530</v>
      </c>
      <c r="F7737" t="s">
        <v>413</v>
      </c>
      <c r="G7737">
        <v>577</v>
      </c>
      <c r="H7737">
        <v>577</v>
      </c>
      <c r="I7737">
        <v>528</v>
      </c>
      <c r="J7737">
        <v>528</v>
      </c>
      <c r="K7737">
        <v>147</v>
      </c>
      <c r="L7737">
        <v>1</v>
      </c>
      <c r="M7737">
        <v>427</v>
      </c>
      <c r="N7737">
        <v>2</v>
      </c>
      <c r="O7737">
        <v>0</v>
      </c>
      <c r="P7737">
        <v>0</v>
      </c>
      <c r="Q7737">
        <v>0</v>
      </c>
    </row>
    <row r="7738" spans="1:17" x14ac:dyDescent="0.2">
      <c r="A7738" s="121">
        <v>41790</v>
      </c>
      <c r="B7738" t="s">
        <v>406</v>
      </c>
      <c r="C7738" t="s">
        <v>510</v>
      </c>
      <c r="D7738" t="s">
        <v>531</v>
      </c>
      <c r="E7738" t="s">
        <v>532</v>
      </c>
      <c r="F7738" t="s">
        <v>410</v>
      </c>
      <c r="G7738">
        <v>19</v>
      </c>
      <c r="I7738">
        <v>19</v>
      </c>
    </row>
    <row r="7739" spans="1:17" x14ac:dyDescent="0.2">
      <c r="A7739" s="121">
        <v>41790</v>
      </c>
      <c r="B7739" t="s">
        <v>406</v>
      </c>
      <c r="C7739" t="s">
        <v>510</v>
      </c>
      <c r="D7739" t="s">
        <v>533</v>
      </c>
      <c r="E7739" t="s">
        <v>534</v>
      </c>
      <c r="F7739" t="s">
        <v>413</v>
      </c>
      <c r="G7739">
        <v>2919</v>
      </c>
      <c r="H7739">
        <v>2919</v>
      </c>
      <c r="I7739">
        <v>2723</v>
      </c>
      <c r="J7739">
        <v>2723</v>
      </c>
      <c r="K7739">
        <v>702</v>
      </c>
      <c r="L7739">
        <v>4</v>
      </c>
      <c r="M7739">
        <v>2198</v>
      </c>
      <c r="N7739">
        <v>15</v>
      </c>
      <c r="O7739">
        <v>0</v>
      </c>
      <c r="P7739">
        <v>5</v>
      </c>
      <c r="Q7739">
        <v>1</v>
      </c>
    </row>
    <row r="7740" spans="1:17" x14ac:dyDescent="0.2">
      <c r="A7740" s="121">
        <v>41790</v>
      </c>
      <c r="B7740" t="s">
        <v>406</v>
      </c>
      <c r="C7740" t="s">
        <v>510</v>
      </c>
      <c r="D7740" t="s">
        <v>535</v>
      </c>
      <c r="E7740" t="s">
        <v>536</v>
      </c>
      <c r="F7740" t="s">
        <v>410</v>
      </c>
      <c r="G7740">
        <v>453</v>
      </c>
      <c r="I7740">
        <v>452</v>
      </c>
    </row>
    <row r="7741" spans="1:17" x14ac:dyDescent="0.2">
      <c r="A7741" s="121">
        <v>41790</v>
      </c>
      <c r="B7741" t="s">
        <v>406</v>
      </c>
      <c r="C7741" t="s">
        <v>510</v>
      </c>
      <c r="D7741" t="s">
        <v>537</v>
      </c>
      <c r="E7741" t="s">
        <v>538</v>
      </c>
      <c r="F7741" t="s">
        <v>410</v>
      </c>
      <c r="G7741">
        <v>106</v>
      </c>
      <c r="I7741">
        <v>103</v>
      </c>
    </row>
    <row r="7742" spans="1:17" x14ac:dyDescent="0.2">
      <c r="A7742" s="121">
        <v>41790</v>
      </c>
      <c r="B7742" t="s">
        <v>406</v>
      </c>
      <c r="C7742" t="s">
        <v>510</v>
      </c>
      <c r="D7742" t="s">
        <v>539</v>
      </c>
      <c r="E7742" t="s">
        <v>540</v>
      </c>
      <c r="F7742" t="s">
        <v>413</v>
      </c>
      <c r="G7742">
        <v>891</v>
      </c>
      <c r="H7742">
        <v>891</v>
      </c>
      <c r="I7742">
        <v>834</v>
      </c>
      <c r="J7742">
        <v>834</v>
      </c>
      <c r="K7742">
        <v>152</v>
      </c>
      <c r="L7742">
        <v>1</v>
      </c>
      <c r="M7742">
        <v>731</v>
      </c>
      <c r="N7742">
        <v>7</v>
      </c>
      <c r="O7742">
        <v>0</v>
      </c>
      <c r="P7742">
        <v>2</v>
      </c>
      <c r="Q7742">
        <v>1</v>
      </c>
    </row>
    <row r="7743" spans="1:17" x14ac:dyDescent="0.2">
      <c r="A7743" s="121">
        <v>41790</v>
      </c>
      <c r="B7743" t="s">
        <v>406</v>
      </c>
      <c r="C7743" t="s">
        <v>510</v>
      </c>
      <c r="D7743" t="s">
        <v>541</v>
      </c>
      <c r="E7743" t="s">
        <v>542</v>
      </c>
      <c r="F7743" t="s">
        <v>410</v>
      </c>
      <c r="G7743">
        <v>437</v>
      </c>
      <c r="I7743">
        <v>437</v>
      </c>
    </row>
    <row r="7744" spans="1:17" x14ac:dyDescent="0.2">
      <c r="A7744" s="121">
        <v>41790</v>
      </c>
      <c r="B7744" t="s">
        <v>406</v>
      </c>
      <c r="C7744" t="s">
        <v>510</v>
      </c>
      <c r="D7744" t="s">
        <v>543</v>
      </c>
      <c r="E7744" t="s">
        <v>544</v>
      </c>
      <c r="F7744" t="s">
        <v>410</v>
      </c>
      <c r="G7744">
        <v>319</v>
      </c>
      <c r="I7744">
        <v>319</v>
      </c>
    </row>
    <row r="7745" spans="1:17" x14ac:dyDescent="0.2">
      <c r="A7745" s="121">
        <v>41790</v>
      </c>
      <c r="B7745" t="s">
        <v>406</v>
      </c>
      <c r="C7745" t="s">
        <v>510</v>
      </c>
      <c r="D7745" t="s">
        <v>545</v>
      </c>
      <c r="E7745" t="s">
        <v>546</v>
      </c>
      <c r="F7745" t="s">
        <v>410</v>
      </c>
      <c r="G7745">
        <v>163</v>
      </c>
      <c r="I7745">
        <v>163</v>
      </c>
    </row>
    <row r="7746" spans="1:17" x14ac:dyDescent="0.2">
      <c r="A7746" s="121">
        <v>41790</v>
      </c>
      <c r="B7746" t="s">
        <v>406</v>
      </c>
      <c r="C7746" t="s">
        <v>510</v>
      </c>
      <c r="D7746" t="s">
        <v>547</v>
      </c>
      <c r="E7746" t="s">
        <v>548</v>
      </c>
      <c r="F7746" t="s">
        <v>410</v>
      </c>
      <c r="G7746">
        <v>186</v>
      </c>
      <c r="I7746">
        <v>186</v>
      </c>
    </row>
    <row r="7747" spans="1:17" x14ac:dyDescent="0.2">
      <c r="A7747" s="121">
        <v>41790</v>
      </c>
      <c r="B7747" t="s">
        <v>406</v>
      </c>
      <c r="C7747" t="s">
        <v>510</v>
      </c>
      <c r="D7747" t="s">
        <v>616</v>
      </c>
      <c r="E7747" t="s">
        <v>617</v>
      </c>
      <c r="F7747" t="s">
        <v>410</v>
      </c>
      <c r="G7747">
        <v>387</v>
      </c>
      <c r="I7747">
        <v>381</v>
      </c>
    </row>
    <row r="7748" spans="1:17" x14ac:dyDescent="0.2">
      <c r="A7748" s="121">
        <v>41790</v>
      </c>
      <c r="B7748" t="s">
        <v>406</v>
      </c>
      <c r="C7748" t="s">
        <v>510</v>
      </c>
      <c r="D7748" t="s">
        <v>549</v>
      </c>
      <c r="E7748" t="s">
        <v>550</v>
      </c>
      <c r="F7748" t="s">
        <v>410</v>
      </c>
      <c r="G7748">
        <v>194</v>
      </c>
      <c r="I7748">
        <v>194</v>
      </c>
    </row>
    <row r="7749" spans="1:17" x14ac:dyDescent="0.2">
      <c r="A7749" s="121">
        <v>41790</v>
      </c>
      <c r="B7749" t="s">
        <v>406</v>
      </c>
      <c r="C7749" t="s">
        <v>510</v>
      </c>
      <c r="D7749" t="s">
        <v>625</v>
      </c>
      <c r="E7749" t="s">
        <v>626</v>
      </c>
      <c r="F7749" t="s">
        <v>410</v>
      </c>
      <c r="G7749">
        <v>87</v>
      </c>
      <c r="I7749">
        <v>84</v>
      </c>
    </row>
    <row r="7750" spans="1:17" x14ac:dyDescent="0.2">
      <c r="A7750" s="121">
        <v>41790</v>
      </c>
      <c r="B7750" t="s">
        <v>406</v>
      </c>
      <c r="C7750" t="s">
        <v>551</v>
      </c>
      <c r="D7750" t="s">
        <v>552</v>
      </c>
      <c r="E7750" t="s">
        <v>553</v>
      </c>
      <c r="F7750" t="s">
        <v>413</v>
      </c>
      <c r="G7750">
        <v>6068</v>
      </c>
      <c r="H7750">
        <v>6068</v>
      </c>
      <c r="I7750">
        <v>5332</v>
      </c>
      <c r="J7750">
        <v>5332</v>
      </c>
      <c r="K7750">
        <v>1760</v>
      </c>
      <c r="L7750">
        <v>7</v>
      </c>
      <c r="M7750">
        <v>3960</v>
      </c>
      <c r="N7750">
        <v>173</v>
      </c>
      <c r="O7750">
        <v>168</v>
      </c>
      <c r="P7750">
        <v>16</v>
      </c>
      <c r="Q7750">
        <v>0</v>
      </c>
    </row>
    <row r="7751" spans="1:17" x14ac:dyDescent="0.2">
      <c r="A7751" s="121">
        <v>41790</v>
      </c>
      <c r="B7751" t="s">
        <v>406</v>
      </c>
      <c r="C7751" t="s">
        <v>551</v>
      </c>
      <c r="D7751" t="s">
        <v>554</v>
      </c>
      <c r="E7751" t="s">
        <v>555</v>
      </c>
      <c r="F7751" t="s">
        <v>410</v>
      </c>
      <c r="G7751">
        <v>65</v>
      </c>
      <c r="I7751">
        <v>65</v>
      </c>
    </row>
    <row r="7752" spans="1:17" x14ac:dyDescent="0.2">
      <c r="A7752" s="121">
        <v>41790</v>
      </c>
      <c r="B7752" t="s">
        <v>406</v>
      </c>
      <c r="C7752" t="s">
        <v>551</v>
      </c>
      <c r="D7752" t="s">
        <v>556</v>
      </c>
      <c r="E7752" t="s">
        <v>557</v>
      </c>
      <c r="F7752" t="s">
        <v>410</v>
      </c>
      <c r="G7752">
        <v>93</v>
      </c>
      <c r="I7752">
        <v>93</v>
      </c>
    </row>
    <row r="7753" spans="1:17" x14ac:dyDescent="0.2">
      <c r="A7753" s="121">
        <v>41790</v>
      </c>
      <c r="B7753" t="s">
        <v>406</v>
      </c>
      <c r="C7753" t="s">
        <v>551</v>
      </c>
      <c r="D7753" t="s">
        <v>558</v>
      </c>
      <c r="E7753" t="s">
        <v>559</v>
      </c>
      <c r="F7753" t="s">
        <v>413</v>
      </c>
      <c r="G7753">
        <v>4873</v>
      </c>
      <c r="H7753">
        <v>4873</v>
      </c>
      <c r="I7753">
        <v>4102</v>
      </c>
      <c r="J7753">
        <v>4102</v>
      </c>
      <c r="K7753">
        <v>1253</v>
      </c>
      <c r="L7753">
        <v>4</v>
      </c>
      <c r="M7753">
        <v>3481</v>
      </c>
      <c r="N7753">
        <v>114</v>
      </c>
      <c r="O7753">
        <v>21</v>
      </c>
      <c r="P7753">
        <v>190</v>
      </c>
      <c r="Q7753">
        <v>68</v>
      </c>
    </row>
    <row r="7754" spans="1:17" x14ac:dyDescent="0.2">
      <c r="A7754" s="121">
        <v>41790</v>
      </c>
      <c r="B7754" t="s">
        <v>406</v>
      </c>
      <c r="C7754" t="s">
        <v>551</v>
      </c>
      <c r="D7754" t="s">
        <v>560</v>
      </c>
      <c r="E7754" t="s">
        <v>561</v>
      </c>
      <c r="F7754" t="s">
        <v>413</v>
      </c>
      <c r="G7754">
        <v>5667</v>
      </c>
      <c r="H7754">
        <v>5667</v>
      </c>
      <c r="I7754">
        <v>5081</v>
      </c>
      <c r="J7754">
        <v>5081</v>
      </c>
      <c r="K7754">
        <v>1201</v>
      </c>
      <c r="L7754">
        <v>10</v>
      </c>
      <c r="M7754">
        <v>4188</v>
      </c>
      <c r="N7754">
        <v>140</v>
      </c>
      <c r="O7754">
        <v>128</v>
      </c>
      <c r="P7754">
        <v>44</v>
      </c>
      <c r="Q7754">
        <v>4</v>
      </c>
    </row>
    <row r="7755" spans="1:17" x14ac:dyDescent="0.2">
      <c r="A7755" s="121">
        <v>41790</v>
      </c>
      <c r="B7755" t="s">
        <v>406</v>
      </c>
      <c r="C7755" t="s">
        <v>562</v>
      </c>
      <c r="D7755" t="s">
        <v>605</v>
      </c>
      <c r="E7755" t="s">
        <v>606</v>
      </c>
      <c r="F7755" t="s">
        <v>410</v>
      </c>
      <c r="G7755">
        <v>153</v>
      </c>
      <c r="I7755">
        <v>153</v>
      </c>
    </row>
    <row r="7756" spans="1:17" x14ac:dyDescent="0.2">
      <c r="A7756" s="121">
        <v>41790</v>
      </c>
      <c r="B7756" t="s">
        <v>406</v>
      </c>
      <c r="C7756" t="s">
        <v>562</v>
      </c>
      <c r="D7756" t="s">
        <v>563</v>
      </c>
      <c r="E7756" t="s">
        <v>564</v>
      </c>
      <c r="F7756" t="s">
        <v>410</v>
      </c>
      <c r="G7756">
        <v>3555</v>
      </c>
      <c r="H7756">
        <v>3555</v>
      </c>
      <c r="I7756">
        <v>3022</v>
      </c>
      <c r="J7756">
        <v>3022</v>
      </c>
      <c r="K7756">
        <v>1207</v>
      </c>
      <c r="L7756">
        <v>0</v>
      </c>
      <c r="M7756">
        <v>2333</v>
      </c>
      <c r="N7756">
        <v>15</v>
      </c>
      <c r="O7756">
        <v>0</v>
      </c>
      <c r="P7756">
        <v>57</v>
      </c>
      <c r="Q7756">
        <v>0</v>
      </c>
    </row>
    <row r="7757" spans="1:17" x14ac:dyDescent="0.2">
      <c r="A7757" s="121">
        <v>41790</v>
      </c>
      <c r="B7757" t="s">
        <v>406</v>
      </c>
      <c r="C7757" t="s">
        <v>562</v>
      </c>
      <c r="D7757" t="s">
        <v>565</v>
      </c>
      <c r="E7757" t="s">
        <v>566</v>
      </c>
      <c r="F7757" t="s">
        <v>413</v>
      </c>
      <c r="G7757">
        <v>4628</v>
      </c>
      <c r="H7757">
        <v>4628</v>
      </c>
      <c r="I7757">
        <v>4411</v>
      </c>
      <c r="J7757">
        <v>4411</v>
      </c>
      <c r="K7757">
        <v>1020</v>
      </c>
      <c r="L7757">
        <v>5</v>
      </c>
      <c r="M7757">
        <v>3502</v>
      </c>
      <c r="N7757">
        <v>101</v>
      </c>
      <c r="O7757">
        <v>0</v>
      </c>
      <c r="P7757">
        <v>4</v>
      </c>
      <c r="Q7757">
        <v>0</v>
      </c>
    </row>
    <row r="7758" spans="1:17" x14ac:dyDescent="0.2">
      <c r="A7758" s="121">
        <v>41790</v>
      </c>
      <c r="B7758" t="s">
        <v>406</v>
      </c>
      <c r="C7758" t="s">
        <v>562</v>
      </c>
      <c r="D7758" t="s">
        <v>567</v>
      </c>
      <c r="E7758" t="s">
        <v>568</v>
      </c>
      <c r="F7758" t="s">
        <v>413</v>
      </c>
      <c r="G7758">
        <v>9980</v>
      </c>
      <c r="H7758">
        <v>9980</v>
      </c>
      <c r="I7758">
        <v>9437</v>
      </c>
      <c r="J7758">
        <v>9437</v>
      </c>
      <c r="K7758">
        <v>2957</v>
      </c>
      <c r="L7758">
        <v>17</v>
      </c>
      <c r="M7758">
        <v>6803</v>
      </c>
      <c r="N7758">
        <v>203</v>
      </c>
      <c r="O7758">
        <v>0</v>
      </c>
      <c r="P7758">
        <v>22</v>
      </c>
      <c r="Q7758">
        <v>1</v>
      </c>
    </row>
    <row r="7759" spans="1:17" x14ac:dyDescent="0.2">
      <c r="A7759" s="121">
        <v>41790</v>
      </c>
      <c r="B7759" t="s">
        <v>406</v>
      </c>
      <c r="C7759" t="s">
        <v>562</v>
      </c>
      <c r="D7759" t="s">
        <v>569</v>
      </c>
      <c r="E7759" t="s">
        <v>570</v>
      </c>
      <c r="F7759" t="s">
        <v>413</v>
      </c>
      <c r="G7759">
        <v>3854</v>
      </c>
      <c r="H7759">
        <v>3854</v>
      </c>
      <c r="I7759">
        <v>3785</v>
      </c>
      <c r="J7759">
        <v>3785</v>
      </c>
      <c r="K7759">
        <v>475</v>
      </c>
      <c r="L7759">
        <v>1</v>
      </c>
      <c r="M7759">
        <v>3378</v>
      </c>
      <c r="N7759">
        <v>0</v>
      </c>
      <c r="O7759">
        <v>0</v>
      </c>
      <c r="P7759">
        <v>0</v>
      </c>
      <c r="Q7759">
        <v>0</v>
      </c>
    </row>
    <row r="7760" spans="1:17" x14ac:dyDescent="0.2">
      <c r="A7760" s="121">
        <v>41790</v>
      </c>
      <c r="B7760" t="s">
        <v>406</v>
      </c>
      <c r="C7760" t="s">
        <v>571</v>
      </c>
      <c r="D7760" t="s">
        <v>572</v>
      </c>
      <c r="E7760" t="s">
        <v>627</v>
      </c>
      <c r="F7760" t="s">
        <v>413</v>
      </c>
      <c r="G7760">
        <v>500</v>
      </c>
      <c r="H7760">
        <v>500</v>
      </c>
      <c r="I7760">
        <v>491</v>
      </c>
      <c r="J7760">
        <v>491</v>
      </c>
      <c r="K7760">
        <v>163</v>
      </c>
      <c r="L7760">
        <v>0</v>
      </c>
      <c r="M7760">
        <v>263</v>
      </c>
      <c r="N7760">
        <v>3</v>
      </c>
      <c r="O7760">
        <v>71</v>
      </c>
      <c r="P7760">
        <v>0</v>
      </c>
      <c r="Q7760">
        <v>0</v>
      </c>
    </row>
    <row r="7761" spans="1:17" x14ac:dyDescent="0.2">
      <c r="A7761" s="121">
        <v>41790</v>
      </c>
      <c r="B7761" t="s">
        <v>406</v>
      </c>
      <c r="C7761" t="s">
        <v>574</v>
      </c>
      <c r="D7761" t="s">
        <v>575</v>
      </c>
      <c r="E7761" t="s">
        <v>576</v>
      </c>
      <c r="F7761" t="s">
        <v>413</v>
      </c>
      <c r="G7761">
        <v>722</v>
      </c>
      <c r="H7761">
        <v>722</v>
      </c>
      <c r="I7761">
        <v>695</v>
      </c>
      <c r="J7761">
        <v>695</v>
      </c>
      <c r="K7761">
        <v>173</v>
      </c>
      <c r="L7761">
        <v>0</v>
      </c>
      <c r="M7761">
        <v>518</v>
      </c>
      <c r="N7761">
        <v>4</v>
      </c>
      <c r="O7761">
        <v>27</v>
      </c>
      <c r="P7761">
        <v>0</v>
      </c>
      <c r="Q7761">
        <v>0</v>
      </c>
    </row>
    <row r="7762" spans="1:17" x14ac:dyDescent="0.2">
      <c r="A7762" s="121">
        <v>41790</v>
      </c>
      <c r="B7762" t="s">
        <v>406</v>
      </c>
      <c r="C7762" t="s">
        <v>577</v>
      </c>
      <c r="D7762" t="s">
        <v>578</v>
      </c>
      <c r="E7762" t="s">
        <v>579</v>
      </c>
      <c r="F7762" t="s">
        <v>413</v>
      </c>
      <c r="G7762">
        <v>4191</v>
      </c>
      <c r="H7762">
        <v>4191</v>
      </c>
      <c r="I7762">
        <v>4142</v>
      </c>
      <c r="J7762">
        <v>4142</v>
      </c>
      <c r="K7762">
        <v>960</v>
      </c>
      <c r="L7762">
        <v>9</v>
      </c>
      <c r="M7762">
        <v>2997</v>
      </c>
      <c r="N7762">
        <v>223</v>
      </c>
      <c r="O7762">
        <v>2</v>
      </c>
      <c r="P7762">
        <v>0</v>
      </c>
      <c r="Q7762">
        <v>0</v>
      </c>
    </row>
    <row r="7763" spans="1:17" x14ac:dyDescent="0.2">
      <c r="A7763" s="121">
        <v>41790</v>
      </c>
      <c r="B7763" t="s">
        <v>406</v>
      </c>
      <c r="C7763" t="s">
        <v>577</v>
      </c>
      <c r="D7763" t="s">
        <v>580</v>
      </c>
      <c r="E7763" t="s">
        <v>581</v>
      </c>
      <c r="F7763" t="s">
        <v>413</v>
      </c>
      <c r="G7763">
        <v>2275</v>
      </c>
      <c r="H7763">
        <v>2275</v>
      </c>
      <c r="I7763">
        <v>2237</v>
      </c>
      <c r="J7763">
        <v>2237</v>
      </c>
      <c r="K7763">
        <v>370</v>
      </c>
      <c r="L7763">
        <v>0</v>
      </c>
      <c r="M7763">
        <v>1503</v>
      </c>
      <c r="N7763">
        <v>354</v>
      </c>
      <c r="O7763">
        <v>48</v>
      </c>
      <c r="P7763">
        <v>1</v>
      </c>
      <c r="Q7763">
        <v>0</v>
      </c>
    </row>
    <row r="7764" spans="1:17" x14ac:dyDescent="0.2">
      <c r="A7764" s="121">
        <v>41790</v>
      </c>
      <c r="B7764" t="s">
        <v>406</v>
      </c>
      <c r="C7764" t="s">
        <v>577</v>
      </c>
      <c r="D7764" t="s">
        <v>609</v>
      </c>
      <c r="E7764" t="s">
        <v>610</v>
      </c>
      <c r="F7764" t="s">
        <v>410</v>
      </c>
      <c r="G7764">
        <v>21</v>
      </c>
      <c r="H7764">
        <v>21</v>
      </c>
      <c r="I7764">
        <v>21</v>
      </c>
      <c r="J7764">
        <v>21</v>
      </c>
      <c r="K7764">
        <v>0</v>
      </c>
      <c r="L7764">
        <v>0</v>
      </c>
      <c r="M7764">
        <v>20</v>
      </c>
      <c r="N7764">
        <v>1</v>
      </c>
      <c r="O7764">
        <v>0</v>
      </c>
      <c r="P7764">
        <v>0</v>
      </c>
      <c r="Q7764">
        <v>0</v>
      </c>
    </row>
    <row r="7765" spans="1:17" x14ac:dyDescent="0.2">
      <c r="A7765" s="121">
        <v>41790</v>
      </c>
      <c r="B7765" t="s">
        <v>406</v>
      </c>
      <c r="C7765" t="s">
        <v>577</v>
      </c>
      <c r="D7765" t="s">
        <v>611</v>
      </c>
      <c r="E7765" t="s">
        <v>612</v>
      </c>
      <c r="F7765" t="s">
        <v>410</v>
      </c>
      <c r="G7765">
        <v>2</v>
      </c>
      <c r="H7765">
        <v>2</v>
      </c>
      <c r="I7765">
        <v>2</v>
      </c>
      <c r="J7765">
        <v>2</v>
      </c>
      <c r="K7765">
        <v>0</v>
      </c>
      <c r="L7765">
        <v>0</v>
      </c>
      <c r="M7765">
        <v>1</v>
      </c>
      <c r="N7765">
        <v>0</v>
      </c>
      <c r="O7765">
        <v>1</v>
      </c>
      <c r="P7765">
        <v>0</v>
      </c>
      <c r="Q7765">
        <v>0</v>
      </c>
    </row>
    <row r="7766" spans="1:17" x14ac:dyDescent="0.2">
      <c r="A7766" s="121">
        <v>41790</v>
      </c>
      <c r="B7766" t="s">
        <v>406</v>
      </c>
      <c r="C7766" t="s">
        <v>577</v>
      </c>
      <c r="D7766" t="s">
        <v>584</v>
      </c>
      <c r="E7766" t="s">
        <v>585</v>
      </c>
      <c r="F7766" t="s">
        <v>410</v>
      </c>
      <c r="G7766">
        <v>286</v>
      </c>
      <c r="H7766">
        <v>286</v>
      </c>
      <c r="I7766">
        <v>286</v>
      </c>
      <c r="J7766">
        <v>286</v>
      </c>
      <c r="K7766">
        <v>0</v>
      </c>
      <c r="L7766">
        <v>0</v>
      </c>
      <c r="M7766">
        <v>263</v>
      </c>
      <c r="N7766">
        <v>22</v>
      </c>
      <c r="O7766">
        <v>1</v>
      </c>
      <c r="P7766">
        <v>0</v>
      </c>
      <c r="Q7766">
        <v>0</v>
      </c>
    </row>
    <row r="7767" spans="1:17" x14ac:dyDescent="0.2">
      <c r="A7767" s="121">
        <v>41790</v>
      </c>
      <c r="B7767" t="s">
        <v>406</v>
      </c>
      <c r="C7767" t="s">
        <v>577</v>
      </c>
      <c r="D7767" t="s">
        <v>586</v>
      </c>
      <c r="E7767" t="s">
        <v>587</v>
      </c>
      <c r="F7767" t="s">
        <v>410</v>
      </c>
      <c r="G7767">
        <v>1248</v>
      </c>
      <c r="H7767">
        <v>1248</v>
      </c>
      <c r="I7767">
        <v>1248</v>
      </c>
      <c r="J7767">
        <v>1248</v>
      </c>
      <c r="K7767">
        <v>0</v>
      </c>
      <c r="L7767">
        <v>1</v>
      </c>
      <c r="M7767">
        <v>1102</v>
      </c>
      <c r="N7767">
        <v>140</v>
      </c>
      <c r="O7767">
        <v>5</v>
      </c>
      <c r="P7767">
        <v>0</v>
      </c>
      <c r="Q7767">
        <v>0</v>
      </c>
    </row>
    <row r="7768" spans="1:17" x14ac:dyDescent="0.2">
      <c r="A7768" s="121">
        <v>41790</v>
      </c>
      <c r="B7768" t="s">
        <v>406</v>
      </c>
      <c r="C7768" t="s">
        <v>577</v>
      </c>
      <c r="D7768" t="s">
        <v>588</v>
      </c>
      <c r="E7768" t="s">
        <v>589</v>
      </c>
      <c r="F7768" t="s">
        <v>410</v>
      </c>
      <c r="G7768">
        <v>297</v>
      </c>
      <c r="H7768">
        <v>297</v>
      </c>
      <c r="I7768">
        <v>297</v>
      </c>
      <c r="J7768">
        <v>297</v>
      </c>
      <c r="K7768">
        <v>0</v>
      </c>
      <c r="L7768">
        <v>0</v>
      </c>
      <c r="M7768">
        <v>277</v>
      </c>
      <c r="N7768">
        <v>19</v>
      </c>
      <c r="O7768">
        <v>1</v>
      </c>
      <c r="P7768">
        <v>0</v>
      </c>
      <c r="Q7768">
        <v>0</v>
      </c>
    </row>
    <row r="7769" spans="1:17" x14ac:dyDescent="0.2">
      <c r="A7769" s="121">
        <v>41790</v>
      </c>
      <c r="B7769" t="s">
        <v>406</v>
      </c>
      <c r="C7769" t="s">
        <v>577</v>
      </c>
      <c r="D7769" t="s">
        <v>613</v>
      </c>
      <c r="E7769" t="s">
        <v>614</v>
      </c>
      <c r="F7769" t="s">
        <v>410</v>
      </c>
      <c r="G7769">
        <v>190</v>
      </c>
      <c r="H7769">
        <v>190</v>
      </c>
      <c r="I7769">
        <v>190</v>
      </c>
      <c r="J7769">
        <v>190</v>
      </c>
      <c r="K7769">
        <v>0</v>
      </c>
      <c r="L7769">
        <v>0</v>
      </c>
      <c r="M7769">
        <v>161</v>
      </c>
      <c r="N7769">
        <v>18</v>
      </c>
      <c r="O7769">
        <v>11</v>
      </c>
      <c r="P7769">
        <v>0</v>
      </c>
      <c r="Q7769">
        <v>0</v>
      </c>
    </row>
    <row r="7770" spans="1:17" x14ac:dyDescent="0.2">
      <c r="A7770" s="121">
        <v>41790</v>
      </c>
      <c r="B7770" t="s">
        <v>406</v>
      </c>
      <c r="C7770" t="s">
        <v>577</v>
      </c>
      <c r="D7770" t="s">
        <v>590</v>
      </c>
      <c r="E7770" t="s">
        <v>591</v>
      </c>
      <c r="F7770" t="s">
        <v>410</v>
      </c>
      <c r="G7770">
        <v>709</v>
      </c>
      <c r="H7770">
        <v>709</v>
      </c>
      <c r="I7770">
        <v>709</v>
      </c>
      <c r="J7770">
        <v>709</v>
      </c>
      <c r="K7770">
        <v>0</v>
      </c>
      <c r="L7770">
        <v>0</v>
      </c>
      <c r="M7770">
        <v>669</v>
      </c>
      <c r="N7770">
        <v>38</v>
      </c>
      <c r="O7770">
        <v>2</v>
      </c>
      <c r="P7770">
        <v>0</v>
      </c>
      <c r="Q7770">
        <v>0</v>
      </c>
    </row>
    <row r="7771" spans="1:17" x14ac:dyDescent="0.2">
      <c r="A7771" s="121">
        <v>41790</v>
      </c>
      <c r="B7771" t="s">
        <v>406</v>
      </c>
      <c r="C7771" t="s">
        <v>577</v>
      </c>
      <c r="D7771" t="s">
        <v>607</v>
      </c>
      <c r="E7771" t="s">
        <v>608</v>
      </c>
      <c r="F7771" t="s">
        <v>410</v>
      </c>
      <c r="G7771">
        <v>244</v>
      </c>
      <c r="H7771">
        <v>244</v>
      </c>
      <c r="I7771">
        <v>244</v>
      </c>
      <c r="J7771">
        <v>244</v>
      </c>
      <c r="K7771">
        <v>0</v>
      </c>
      <c r="L7771">
        <v>0</v>
      </c>
      <c r="M7771">
        <v>228</v>
      </c>
      <c r="N7771">
        <v>15</v>
      </c>
      <c r="O7771">
        <v>1</v>
      </c>
      <c r="P7771">
        <v>0</v>
      </c>
      <c r="Q7771">
        <v>0</v>
      </c>
    </row>
    <row r="7772" spans="1:17" x14ac:dyDescent="0.2">
      <c r="A7772" s="121">
        <v>41790</v>
      </c>
      <c r="B7772" t="s">
        <v>406</v>
      </c>
      <c r="C7772" t="s">
        <v>577</v>
      </c>
      <c r="D7772" t="s">
        <v>592</v>
      </c>
      <c r="E7772" t="s">
        <v>593</v>
      </c>
      <c r="F7772" t="s">
        <v>410</v>
      </c>
      <c r="G7772">
        <v>625</v>
      </c>
      <c r="H7772">
        <v>625</v>
      </c>
      <c r="I7772">
        <v>625</v>
      </c>
      <c r="J7772">
        <v>625</v>
      </c>
      <c r="K7772">
        <v>0</v>
      </c>
      <c r="L7772">
        <v>2</v>
      </c>
      <c r="M7772">
        <v>557</v>
      </c>
      <c r="N7772">
        <v>60</v>
      </c>
      <c r="O7772">
        <v>6</v>
      </c>
      <c r="P7772">
        <v>0</v>
      </c>
      <c r="Q7772">
        <v>0</v>
      </c>
    </row>
    <row r="7773" spans="1:17" x14ac:dyDescent="0.2">
      <c r="A7773" s="121">
        <v>41790</v>
      </c>
      <c r="B7773" t="s">
        <v>406</v>
      </c>
      <c r="C7773" t="s">
        <v>594</v>
      </c>
      <c r="D7773" t="s">
        <v>595</v>
      </c>
      <c r="E7773" t="s">
        <v>596</v>
      </c>
      <c r="F7773" t="s">
        <v>410</v>
      </c>
      <c r="G7773">
        <v>41</v>
      </c>
      <c r="I7773">
        <v>41</v>
      </c>
    </row>
    <row r="7774" spans="1:17" x14ac:dyDescent="0.2">
      <c r="A7774" s="121">
        <v>41790</v>
      </c>
      <c r="B7774" t="s">
        <v>406</v>
      </c>
      <c r="C7774" t="s">
        <v>594</v>
      </c>
      <c r="D7774" t="s">
        <v>597</v>
      </c>
      <c r="E7774" t="s">
        <v>598</v>
      </c>
      <c r="F7774" t="s">
        <v>413</v>
      </c>
      <c r="G7774">
        <v>557</v>
      </c>
      <c r="H7774">
        <v>557</v>
      </c>
      <c r="I7774">
        <v>541</v>
      </c>
      <c r="J7774">
        <v>541</v>
      </c>
      <c r="K7774">
        <v>100</v>
      </c>
      <c r="L7774">
        <v>1</v>
      </c>
      <c r="M7774">
        <v>442</v>
      </c>
      <c r="N7774">
        <v>5</v>
      </c>
      <c r="O7774">
        <v>9</v>
      </c>
      <c r="P7774">
        <v>0</v>
      </c>
      <c r="Q7774">
        <v>0</v>
      </c>
    </row>
    <row r="7775" spans="1:17" x14ac:dyDescent="0.2">
      <c r="A7775" s="121">
        <v>41790</v>
      </c>
      <c r="B7775" t="s">
        <v>406</v>
      </c>
      <c r="C7775" t="s">
        <v>594</v>
      </c>
      <c r="D7775" t="s">
        <v>599</v>
      </c>
      <c r="E7775" t="s">
        <v>600</v>
      </c>
      <c r="F7775" t="s">
        <v>410</v>
      </c>
      <c r="G7775">
        <v>102</v>
      </c>
      <c r="I7775">
        <v>102</v>
      </c>
    </row>
    <row r="7776" spans="1:17" x14ac:dyDescent="0.2">
      <c r="A7776" s="121">
        <v>41820</v>
      </c>
      <c r="B7776" t="s">
        <v>406</v>
      </c>
      <c r="C7776" t="s">
        <v>407</v>
      </c>
      <c r="D7776" t="s">
        <v>408</v>
      </c>
      <c r="E7776" t="s">
        <v>409</v>
      </c>
      <c r="F7776" t="s">
        <v>410</v>
      </c>
      <c r="G7776">
        <v>207</v>
      </c>
      <c r="I7776">
        <v>207</v>
      </c>
    </row>
    <row r="7777" spans="1:17" x14ac:dyDescent="0.2">
      <c r="A7777" s="121">
        <v>41820</v>
      </c>
      <c r="B7777" t="s">
        <v>406</v>
      </c>
      <c r="C7777" t="s">
        <v>407</v>
      </c>
      <c r="D7777" t="s">
        <v>601</v>
      </c>
      <c r="E7777" t="s">
        <v>602</v>
      </c>
      <c r="F7777" t="s">
        <v>410</v>
      </c>
      <c r="G7777">
        <v>45</v>
      </c>
      <c r="I7777">
        <v>45</v>
      </c>
    </row>
    <row r="7778" spans="1:17" x14ac:dyDescent="0.2">
      <c r="A7778" s="121">
        <v>41820</v>
      </c>
      <c r="B7778" t="s">
        <v>406</v>
      </c>
      <c r="C7778" t="s">
        <v>407</v>
      </c>
      <c r="D7778" t="s">
        <v>411</v>
      </c>
      <c r="E7778" t="s">
        <v>412</v>
      </c>
      <c r="F7778" t="s">
        <v>413</v>
      </c>
      <c r="G7778">
        <v>6602</v>
      </c>
      <c r="H7778">
        <v>6602</v>
      </c>
      <c r="I7778">
        <v>6297</v>
      </c>
      <c r="J7778">
        <v>6297</v>
      </c>
      <c r="K7778">
        <v>2448</v>
      </c>
      <c r="L7778">
        <v>4</v>
      </c>
      <c r="M7778">
        <v>3700</v>
      </c>
      <c r="N7778">
        <v>141</v>
      </c>
      <c r="O7778">
        <v>309</v>
      </c>
      <c r="P7778">
        <v>19</v>
      </c>
      <c r="Q7778">
        <v>9</v>
      </c>
    </row>
    <row r="7779" spans="1:17" x14ac:dyDescent="0.2">
      <c r="A7779" s="121">
        <v>41820</v>
      </c>
      <c r="B7779" t="s">
        <v>406</v>
      </c>
      <c r="C7779" t="s">
        <v>407</v>
      </c>
      <c r="D7779" t="s">
        <v>416</v>
      </c>
      <c r="E7779" t="s">
        <v>417</v>
      </c>
      <c r="F7779" t="s">
        <v>413</v>
      </c>
      <c r="G7779">
        <v>4013</v>
      </c>
      <c r="H7779">
        <v>4013</v>
      </c>
      <c r="I7779">
        <v>3891</v>
      </c>
      <c r="J7779">
        <v>3891</v>
      </c>
      <c r="K7779">
        <v>1381</v>
      </c>
      <c r="L7779">
        <v>1</v>
      </c>
      <c r="M7779">
        <v>2467</v>
      </c>
      <c r="N7779">
        <v>106</v>
      </c>
      <c r="O7779">
        <v>58</v>
      </c>
      <c r="P7779">
        <v>1</v>
      </c>
      <c r="Q7779">
        <v>1</v>
      </c>
    </row>
    <row r="7780" spans="1:17" x14ac:dyDescent="0.2">
      <c r="A7780" s="121">
        <v>41820</v>
      </c>
      <c r="B7780" t="s">
        <v>406</v>
      </c>
      <c r="C7780" t="s">
        <v>407</v>
      </c>
      <c r="D7780" t="s">
        <v>618</v>
      </c>
      <c r="E7780" t="s">
        <v>619</v>
      </c>
      <c r="F7780" t="s">
        <v>410</v>
      </c>
      <c r="G7780">
        <v>126</v>
      </c>
      <c r="I7780">
        <v>126</v>
      </c>
    </row>
    <row r="7781" spans="1:17" x14ac:dyDescent="0.2">
      <c r="A7781" s="121">
        <v>41820</v>
      </c>
      <c r="B7781" t="s">
        <v>406</v>
      </c>
      <c r="C7781" t="s">
        <v>418</v>
      </c>
      <c r="D7781" t="s">
        <v>419</v>
      </c>
      <c r="E7781" t="s">
        <v>420</v>
      </c>
      <c r="F7781" t="s">
        <v>410</v>
      </c>
      <c r="G7781">
        <v>14</v>
      </c>
      <c r="I7781">
        <v>14</v>
      </c>
    </row>
    <row r="7782" spans="1:17" x14ac:dyDescent="0.2">
      <c r="A7782" s="121">
        <v>41820</v>
      </c>
      <c r="B7782" t="s">
        <v>406</v>
      </c>
      <c r="C7782" t="s">
        <v>418</v>
      </c>
      <c r="D7782" t="s">
        <v>421</v>
      </c>
      <c r="E7782" t="s">
        <v>422</v>
      </c>
      <c r="F7782" t="s">
        <v>410</v>
      </c>
      <c r="G7782">
        <v>95</v>
      </c>
      <c r="I7782">
        <v>95</v>
      </c>
    </row>
    <row r="7783" spans="1:17" x14ac:dyDescent="0.2">
      <c r="A7783" s="121">
        <v>41820</v>
      </c>
      <c r="B7783" t="s">
        <v>406</v>
      </c>
      <c r="C7783" t="s">
        <v>418</v>
      </c>
      <c r="D7783" t="s">
        <v>423</v>
      </c>
      <c r="E7783" t="s">
        <v>424</v>
      </c>
      <c r="F7783" t="s">
        <v>410</v>
      </c>
      <c r="G7783">
        <v>21</v>
      </c>
      <c r="I7783">
        <v>21</v>
      </c>
    </row>
    <row r="7784" spans="1:17" x14ac:dyDescent="0.2">
      <c r="A7784" s="121">
        <v>41820</v>
      </c>
      <c r="B7784" t="s">
        <v>406</v>
      </c>
      <c r="C7784" t="s">
        <v>418</v>
      </c>
      <c r="D7784" t="s">
        <v>425</v>
      </c>
      <c r="E7784" t="s">
        <v>426</v>
      </c>
      <c r="F7784" t="s">
        <v>410</v>
      </c>
      <c r="G7784">
        <v>40</v>
      </c>
      <c r="I7784">
        <v>40</v>
      </c>
    </row>
    <row r="7785" spans="1:17" x14ac:dyDescent="0.2">
      <c r="A7785" s="121">
        <v>41820</v>
      </c>
      <c r="B7785" t="s">
        <v>406</v>
      </c>
      <c r="C7785" t="s">
        <v>418</v>
      </c>
      <c r="D7785" t="s">
        <v>427</v>
      </c>
      <c r="E7785" t="s">
        <v>428</v>
      </c>
      <c r="F7785" t="s">
        <v>413</v>
      </c>
      <c r="G7785">
        <v>2304</v>
      </c>
      <c r="H7785">
        <v>2304</v>
      </c>
      <c r="I7785">
        <v>2185</v>
      </c>
      <c r="J7785">
        <v>2185</v>
      </c>
      <c r="K7785">
        <v>772</v>
      </c>
      <c r="L7785">
        <v>4</v>
      </c>
      <c r="M7785">
        <v>1283</v>
      </c>
      <c r="N7785">
        <v>237</v>
      </c>
      <c r="O7785">
        <v>8</v>
      </c>
      <c r="P7785">
        <v>4</v>
      </c>
      <c r="Q7785">
        <v>0</v>
      </c>
    </row>
    <row r="7786" spans="1:17" x14ac:dyDescent="0.2">
      <c r="A7786" s="121">
        <v>41820</v>
      </c>
      <c r="B7786" t="s">
        <v>406</v>
      </c>
      <c r="C7786" t="s">
        <v>429</v>
      </c>
      <c r="D7786" t="s">
        <v>430</v>
      </c>
      <c r="E7786" t="s">
        <v>431</v>
      </c>
      <c r="F7786" t="s">
        <v>410</v>
      </c>
      <c r="G7786">
        <v>17</v>
      </c>
      <c r="I7786">
        <v>17</v>
      </c>
    </row>
    <row r="7787" spans="1:17" x14ac:dyDescent="0.2">
      <c r="A7787" s="121">
        <v>41820</v>
      </c>
      <c r="B7787" t="s">
        <v>406</v>
      </c>
      <c r="C7787" t="s">
        <v>429</v>
      </c>
      <c r="D7787" t="s">
        <v>432</v>
      </c>
      <c r="E7787" t="s">
        <v>433</v>
      </c>
      <c r="F7787" t="s">
        <v>410</v>
      </c>
      <c r="G7787">
        <v>47</v>
      </c>
      <c r="I7787">
        <v>47</v>
      </c>
    </row>
    <row r="7788" spans="1:17" x14ac:dyDescent="0.2">
      <c r="A7788" s="121">
        <v>41820</v>
      </c>
      <c r="B7788" t="s">
        <v>406</v>
      </c>
      <c r="C7788" t="s">
        <v>429</v>
      </c>
      <c r="D7788" t="s">
        <v>434</v>
      </c>
      <c r="E7788" t="s">
        <v>435</v>
      </c>
      <c r="F7788" t="s">
        <v>410</v>
      </c>
      <c r="G7788">
        <v>6</v>
      </c>
      <c r="I7788">
        <v>6</v>
      </c>
    </row>
    <row r="7789" spans="1:17" x14ac:dyDescent="0.2">
      <c r="A7789" s="121">
        <v>41820</v>
      </c>
      <c r="B7789" t="s">
        <v>406</v>
      </c>
      <c r="C7789" t="s">
        <v>429</v>
      </c>
      <c r="D7789" t="s">
        <v>436</v>
      </c>
      <c r="E7789" t="s">
        <v>437</v>
      </c>
      <c r="F7789" t="s">
        <v>410</v>
      </c>
      <c r="G7789">
        <v>21</v>
      </c>
      <c r="H7789">
        <v>21</v>
      </c>
      <c r="I7789">
        <v>21</v>
      </c>
      <c r="J7789">
        <v>21</v>
      </c>
      <c r="K7789">
        <v>0</v>
      </c>
      <c r="L7789">
        <v>0</v>
      </c>
      <c r="M7789">
        <v>17</v>
      </c>
      <c r="N7789">
        <v>4</v>
      </c>
      <c r="O7789">
        <v>0</v>
      </c>
      <c r="P7789">
        <v>0</v>
      </c>
      <c r="Q7789">
        <v>0</v>
      </c>
    </row>
    <row r="7790" spans="1:17" x14ac:dyDescent="0.2">
      <c r="A7790" s="121">
        <v>41820</v>
      </c>
      <c r="B7790" t="s">
        <v>406</v>
      </c>
      <c r="C7790" t="s">
        <v>429</v>
      </c>
      <c r="D7790" t="s">
        <v>438</v>
      </c>
      <c r="E7790" t="s">
        <v>439</v>
      </c>
      <c r="F7790" t="s">
        <v>413</v>
      </c>
      <c r="G7790">
        <v>1016</v>
      </c>
      <c r="H7790">
        <v>1016</v>
      </c>
      <c r="I7790">
        <v>997</v>
      </c>
      <c r="J7790">
        <v>997</v>
      </c>
      <c r="K7790">
        <v>117</v>
      </c>
      <c r="L7790">
        <v>3</v>
      </c>
      <c r="M7790">
        <v>831</v>
      </c>
      <c r="N7790">
        <v>65</v>
      </c>
      <c r="O7790">
        <v>0</v>
      </c>
      <c r="P7790">
        <v>0</v>
      </c>
      <c r="Q7790">
        <v>0</v>
      </c>
    </row>
    <row r="7791" spans="1:17" x14ac:dyDescent="0.2">
      <c r="A7791" s="121">
        <v>41820</v>
      </c>
      <c r="B7791" t="s">
        <v>406</v>
      </c>
      <c r="C7791" t="s">
        <v>429</v>
      </c>
      <c r="D7791" t="s">
        <v>440</v>
      </c>
      <c r="E7791" t="s">
        <v>441</v>
      </c>
      <c r="F7791" t="s">
        <v>413</v>
      </c>
      <c r="G7791">
        <v>3108</v>
      </c>
      <c r="H7791">
        <v>3108</v>
      </c>
      <c r="I7791">
        <v>3038</v>
      </c>
      <c r="J7791">
        <v>3038</v>
      </c>
      <c r="K7791">
        <v>1044</v>
      </c>
      <c r="L7791">
        <v>8</v>
      </c>
      <c r="M7791">
        <v>1975</v>
      </c>
      <c r="N7791">
        <v>79</v>
      </c>
      <c r="O7791">
        <v>2</v>
      </c>
      <c r="P7791">
        <v>0</v>
      </c>
      <c r="Q7791">
        <v>0</v>
      </c>
    </row>
    <row r="7792" spans="1:17" x14ac:dyDescent="0.2">
      <c r="A7792" s="121">
        <v>41820</v>
      </c>
      <c r="B7792" t="s">
        <v>406</v>
      </c>
      <c r="C7792" t="s">
        <v>442</v>
      </c>
      <c r="D7792" t="s">
        <v>443</v>
      </c>
      <c r="E7792" t="s">
        <v>444</v>
      </c>
      <c r="F7792" t="s">
        <v>413</v>
      </c>
      <c r="G7792">
        <v>5619</v>
      </c>
      <c r="H7792">
        <v>5619</v>
      </c>
      <c r="I7792">
        <v>5225</v>
      </c>
      <c r="J7792">
        <v>5225</v>
      </c>
      <c r="K7792">
        <v>1449</v>
      </c>
      <c r="L7792">
        <v>9</v>
      </c>
      <c r="M7792">
        <v>3886</v>
      </c>
      <c r="N7792">
        <v>160</v>
      </c>
      <c r="O7792">
        <v>115</v>
      </c>
      <c r="P7792">
        <v>17</v>
      </c>
      <c r="Q7792">
        <v>0</v>
      </c>
    </row>
    <row r="7793" spans="1:17" x14ac:dyDescent="0.2">
      <c r="A7793" s="121">
        <v>41820</v>
      </c>
      <c r="B7793" t="s">
        <v>406</v>
      </c>
      <c r="C7793" t="s">
        <v>442</v>
      </c>
      <c r="D7793" t="s">
        <v>445</v>
      </c>
      <c r="E7793" t="s">
        <v>446</v>
      </c>
      <c r="F7793" t="s">
        <v>410</v>
      </c>
      <c r="G7793">
        <v>161</v>
      </c>
      <c r="I7793">
        <v>161</v>
      </c>
    </row>
    <row r="7794" spans="1:17" x14ac:dyDescent="0.2">
      <c r="A7794" s="121">
        <v>41820</v>
      </c>
      <c r="B7794" t="s">
        <v>406</v>
      </c>
      <c r="C7794" t="s">
        <v>442</v>
      </c>
      <c r="D7794" t="s">
        <v>447</v>
      </c>
      <c r="E7794" t="s">
        <v>448</v>
      </c>
      <c r="F7794" t="s">
        <v>410</v>
      </c>
      <c r="G7794">
        <v>352</v>
      </c>
      <c r="I7794">
        <v>352</v>
      </c>
    </row>
    <row r="7795" spans="1:17" x14ac:dyDescent="0.2">
      <c r="A7795" s="121">
        <v>41820</v>
      </c>
      <c r="B7795" t="s">
        <v>406</v>
      </c>
      <c r="C7795" t="s">
        <v>442</v>
      </c>
      <c r="D7795" t="s">
        <v>449</v>
      </c>
      <c r="E7795" t="s">
        <v>624</v>
      </c>
      <c r="F7795" t="s">
        <v>410</v>
      </c>
      <c r="G7795">
        <v>1831</v>
      </c>
      <c r="H7795">
        <v>1831</v>
      </c>
      <c r="I7795">
        <v>1823</v>
      </c>
      <c r="J7795">
        <v>1823</v>
      </c>
      <c r="K7795">
        <v>12</v>
      </c>
      <c r="L7795">
        <v>0</v>
      </c>
      <c r="M7795">
        <v>1632</v>
      </c>
      <c r="N7795">
        <v>172</v>
      </c>
      <c r="O7795">
        <v>15</v>
      </c>
      <c r="P7795">
        <v>0</v>
      </c>
      <c r="Q7795">
        <v>0</v>
      </c>
    </row>
    <row r="7796" spans="1:17" x14ac:dyDescent="0.2">
      <c r="A7796" s="121">
        <v>41820</v>
      </c>
      <c r="B7796" t="s">
        <v>406</v>
      </c>
      <c r="C7796" t="s">
        <v>451</v>
      </c>
      <c r="D7796" t="s">
        <v>454</v>
      </c>
      <c r="E7796" t="s">
        <v>621</v>
      </c>
      <c r="F7796" t="s">
        <v>410</v>
      </c>
      <c r="G7796">
        <v>1408</v>
      </c>
      <c r="H7796">
        <v>1408</v>
      </c>
      <c r="I7796">
        <v>1408</v>
      </c>
      <c r="J7796">
        <v>1408</v>
      </c>
      <c r="K7796">
        <v>3</v>
      </c>
      <c r="L7796">
        <v>0</v>
      </c>
      <c r="M7796">
        <v>1257</v>
      </c>
      <c r="N7796">
        <v>63</v>
      </c>
      <c r="O7796">
        <v>85</v>
      </c>
      <c r="P7796">
        <v>0</v>
      </c>
      <c r="Q7796">
        <v>0</v>
      </c>
    </row>
    <row r="7797" spans="1:17" x14ac:dyDescent="0.2">
      <c r="A7797" s="121">
        <v>41820</v>
      </c>
      <c r="B7797" t="s">
        <v>406</v>
      </c>
      <c r="C7797" t="s">
        <v>451</v>
      </c>
      <c r="D7797" t="s">
        <v>622</v>
      </c>
      <c r="E7797" t="s">
        <v>623</v>
      </c>
      <c r="F7797" t="s">
        <v>413</v>
      </c>
      <c r="G7797">
        <v>5641</v>
      </c>
      <c r="H7797">
        <v>5641</v>
      </c>
      <c r="I7797">
        <v>5197</v>
      </c>
      <c r="J7797">
        <v>5197</v>
      </c>
      <c r="K7797">
        <v>1249</v>
      </c>
      <c r="L7797">
        <v>3</v>
      </c>
      <c r="M7797">
        <v>3996</v>
      </c>
      <c r="N7797">
        <v>53</v>
      </c>
      <c r="O7797">
        <v>340</v>
      </c>
      <c r="P7797">
        <v>52</v>
      </c>
      <c r="Q7797">
        <v>1</v>
      </c>
    </row>
    <row r="7798" spans="1:17" x14ac:dyDescent="0.2">
      <c r="A7798" s="121">
        <v>41820</v>
      </c>
      <c r="B7798" t="s">
        <v>406</v>
      </c>
      <c r="C7798" t="s">
        <v>456</v>
      </c>
      <c r="D7798" t="s">
        <v>457</v>
      </c>
      <c r="E7798" t="s">
        <v>458</v>
      </c>
      <c r="F7798" t="s">
        <v>413</v>
      </c>
      <c r="G7798">
        <v>5042</v>
      </c>
      <c r="H7798">
        <v>5042</v>
      </c>
      <c r="I7798">
        <v>4724</v>
      </c>
      <c r="J7798">
        <v>4724</v>
      </c>
      <c r="K7798">
        <v>1218</v>
      </c>
      <c r="L7798">
        <v>6</v>
      </c>
      <c r="M7798">
        <v>3377</v>
      </c>
      <c r="N7798">
        <v>25</v>
      </c>
      <c r="O7798">
        <v>416</v>
      </c>
      <c r="P7798">
        <v>12</v>
      </c>
      <c r="Q7798">
        <v>0</v>
      </c>
    </row>
    <row r="7799" spans="1:17" x14ac:dyDescent="0.2">
      <c r="A7799" s="121">
        <v>41820</v>
      </c>
      <c r="B7799" t="s">
        <v>406</v>
      </c>
      <c r="C7799" t="s">
        <v>456</v>
      </c>
      <c r="D7799" t="s">
        <v>459</v>
      </c>
      <c r="E7799" t="s">
        <v>460</v>
      </c>
      <c r="F7799" t="s">
        <v>413</v>
      </c>
      <c r="G7799">
        <v>1744</v>
      </c>
      <c r="H7799">
        <v>1744</v>
      </c>
      <c r="I7799">
        <v>1718</v>
      </c>
      <c r="J7799">
        <v>1718</v>
      </c>
      <c r="K7799">
        <v>283</v>
      </c>
      <c r="L7799">
        <v>1</v>
      </c>
      <c r="M7799">
        <v>1458</v>
      </c>
      <c r="N7799">
        <v>0</v>
      </c>
      <c r="O7799">
        <v>2</v>
      </c>
      <c r="P7799">
        <v>0</v>
      </c>
      <c r="Q7799">
        <v>0</v>
      </c>
    </row>
    <row r="7800" spans="1:17" x14ac:dyDescent="0.2">
      <c r="A7800" s="121">
        <v>41820</v>
      </c>
      <c r="B7800" t="s">
        <v>406</v>
      </c>
      <c r="C7800" t="s">
        <v>456</v>
      </c>
      <c r="D7800" t="s">
        <v>461</v>
      </c>
      <c r="E7800" t="s">
        <v>462</v>
      </c>
      <c r="F7800" t="s">
        <v>410</v>
      </c>
      <c r="G7800">
        <v>87</v>
      </c>
      <c r="I7800">
        <v>87</v>
      </c>
    </row>
    <row r="7801" spans="1:17" x14ac:dyDescent="0.2">
      <c r="A7801" s="121">
        <v>41820</v>
      </c>
      <c r="B7801" t="s">
        <v>406</v>
      </c>
      <c r="C7801" t="s">
        <v>456</v>
      </c>
      <c r="D7801" t="s">
        <v>463</v>
      </c>
      <c r="E7801" t="s">
        <v>464</v>
      </c>
      <c r="F7801" t="s">
        <v>410</v>
      </c>
      <c r="G7801">
        <v>21</v>
      </c>
      <c r="I7801">
        <v>21</v>
      </c>
    </row>
    <row r="7802" spans="1:17" x14ac:dyDescent="0.2">
      <c r="A7802" s="121">
        <v>41820</v>
      </c>
      <c r="B7802" t="s">
        <v>406</v>
      </c>
      <c r="C7802" t="s">
        <v>456</v>
      </c>
      <c r="D7802" t="s">
        <v>465</v>
      </c>
      <c r="E7802" t="s">
        <v>466</v>
      </c>
      <c r="F7802" t="s">
        <v>410</v>
      </c>
      <c r="G7802">
        <v>40</v>
      </c>
      <c r="I7802">
        <v>40</v>
      </c>
    </row>
    <row r="7803" spans="1:17" x14ac:dyDescent="0.2">
      <c r="A7803" s="121">
        <v>41820</v>
      </c>
      <c r="B7803" t="s">
        <v>406</v>
      </c>
      <c r="C7803" t="s">
        <v>456</v>
      </c>
      <c r="D7803" t="s">
        <v>467</v>
      </c>
      <c r="E7803" t="s">
        <v>468</v>
      </c>
      <c r="F7803" t="s">
        <v>410</v>
      </c>
      <c r="G7803">
        <v>1316</v>
      </c>
      <c r="I7803">
        <v>1314</v>
      </c>
    </row>
    <row r="7804" spans="1:17" x14ac:dyDescent="0.2">
      <c r="A7804" s="121">
        <v>41820</v>
      </c>
      <c r="B7804" t="s">
        <v>406</v>
      </c>
      <c r="C7804" t="s">
        <v>456</v>
      </c>
      <c r="D7804" t="s">
        <v>469</v>
      </c>
      <c r="E7804" t="s">
        <v>470</v>
      </c>
      <c r="F7804" t="s">
        <v>410</v>
      </c>
      <c r="G7804">
        <v>878</v>
      </c>
      <c r="I7804">
        <v>874</v>
      </c>
    </row>
    <row r="7805" spans="1:17" x14ac:dyDescent="0.2">
      <c r="A7805" s="121">
        <v>41820</v>
      </c>
      <c r="B7805" t="s">
        <v>406</v>
      </c>
      <c r="C7805" t="s">
        <v>456</v>
      </c>
      <c r="D7805" t="s">
        <v>471</v>
      </c>
      <c r="E7805" t="s">
        <v>472</v>
      </c>
      <c r="F7805" t="s">
        <v>410</v>
      </c>
      <c r="G7805">
        <v>327</v>
      </c>
      <c r="I7805">
        <v>326</v>
      </c>
    </row>
    <row r="7806" spans="1:17" x14ac:dyDescent="0.2">
      <c r="A7806" s="121">
        <v>41820</v>
      </c>
      <c r="B7806" t="s">
        <v>406</v>
      </c>
      <c r="C7806" t="s">
        <v>456</v>
      </c>
      <c r="D7806" t="s">
        <v>473</v>
      </c>
      <c r="E7806" t="s">
        <v>474</v>
      </c>
      <c r="F7806" t="s">
        <v>410</v>
      </c>
      <c r="G7806">
        <v>215</v>
      </c>
      <c r="I7806">
        <v>215</v>
      </c>
    </row>
    <row r="7807" spans="1:17" x14ac:dyDescent="0.2">
      <c r="A7807" s="121">
        <v>41820</v>
      </c>
      <c r="B7807" t="s">
        <v>406</v>
      </c>
      <c r="C7807" t="s">
        <v>456</v>
      </c>
      <c r="D7807" t="s">
        <v>475</v>
      </c>
      <c r="E7807" t="s">
        <v>476</v>
      </c>
      <c r="F7807" t="s">
        <v>410</v>
      </c>
      <c r="G7807">
        <v>314</v>
      </c>
      <c r="I7807">
        <v>313</v>
      </c>
    </row>
    <row r="7808" spans="1:17" x14ac:dyDescent="0.2">
      <c r="A7808" s="121">
        <v>41820</v>
      </c>
      <c r="B7808" t="s">
        <v>406</v>
      </c>
      <c r="C7808" t="s">
        <v>456</v>
      </c>
      <c r="D7808" t="s">
        <v>477</v>
      </c>
      <c r="E7808" t="s">
        <v>478</v>
      </c>
      <c r="F7808" t="s">
        <v>413</v>
      </c>
      <c r="G7808">
        <v>2036</v>
      </c>
      <c r="H7808">
        <v>2036</v>
      </c>
      <c r="I7808">
        <v>1905</v>
      </c>
      <c r="J7808">
        <v>1905</v>
      </c>
      <c r="K7808">
        <v>365</v>
      </c>
      <c r="L7808">
        <v>2</v>
      </c>
      <c r="M7808">
        <v>1658</v>
      </c>
      <c r="N7808">
        <v>11</v>
      </c>
      <c r="O7808">
        <v>0</v>
      </c>
      <c r="P7808">
        <v>5</v>
      </c>
      <c r="Q7808">
        <v>0</v>
      </c>
    </row>
    <row r="7809" spans="1:17" x14ac:dyDescent="0.2">
      <c r="A7809" s="121">
        <v>41820</v>
      </c>
      <c r="B7809" t="s">
        <v>406</v>
      </c>
      <c r="C7809" t="s">
        <v>456</v>
      </c>
      <c r="D7809" t="s">
        <v>479</v>
      </c>
      <c r="E7809" t="s">
        <v>480</v>
      </c>
      <c r="F7809" t="s">
        <v>410</v>
      </c>
      <c r="G7809">
        <v>68</v>
      </c>
      <c r="I7809">
        <v>68</v>
      </c>
    </row>
    <row r="7810" spans="1:17" x14ac:dyDescent="0.2">
      <c r="A7810" s="121">
        <v>41820</v>
      </c>
      <c r="B7810" t="s">
        <v>406</v>
      </c>
      <c r="C7810" t="s">
        <v>456</v>
      </c>
      <c r="D7810" t="s">
        <v>481</v>
      </c>
      <c r="E7810" t="s">
        <v>482</v>
      </c>
      <c r="F7810" t="s">
        <v>410</v>
      </c>
      <c r="G7810">
        <v>46</v>
      </c>
      <c r="I7810">
        <v>46</v>
      </c>
    </row>
    <row r="7811" spans="1:17" x14ac:dyDescent="0.2">
      <c r="A7811" s="121">
        <v>41820</v>
      </c>
      <c r="B7811" t="s">
        <v>406</v>
      </c>
      <c r="C7811" t="s">
        <v>456</v>
      </c>
      <c r="D7811" t="s">
        <v>483</v>
      </c>
      <c r="E7811" t="s">
        <v>484</v>
      </c>
      <c r="F7811" t="s">
        <v>410</v>
      </c>
      <c r="G7811">
        <v>112</v>
      </c>
      <c r="I7811">
        <v>112</v>
      </c>
    </row>
    <row r="7812" spans="1:17" x14ac:dyDescent="0.2">
      <c r="A7812" s="121">
        <v>41820</v>
      </c>
      <c r="B7812" t="s">
        <v>406</v>
      </c>
      <c r="C7812" t="s">
        <v>456</v>
      </c>
      <c r="D7812" t="s">
        <v>485</v>
      </c>
      <c r="E7812" t="s">
        <v>486</v>
      </c>
      <c r="F7812" t="s">
        <v>410</v>
      </c>
      <c r="G7812">
        <v>20</v>
      </c>
      <c r="I7812">
        <v>20</v>
      </c>
    </row>
    <row r="7813" spans="1:17" x14ac:dyDescent="0.2">
      <c r="A7813" s="121">
        <v>41820</v>
      </c>
      <c r="B7813" t="s">
        <v>406</v>
      </c>
      <c r="C7813" t="s">
        <v>456</v>
      </c>
      <c r="D7813" t="s">
        <v>487</v>
      </c>
      <c r="E7813" t="s">
        <v>488</v>
      </c>
      <c r="F7813" t="s">
        <v>410</v>
      </c>
      <c r="G7813">
        <v>34</v>
      </c>
      <c r="I7813">
        <v>34</v>
      </c>
    </row>
    <row r="7814" spans="1:17" x14ac:dyDescent="0.2">
      <c r="A7814" s="121">
        <v>41820</v>
      </c>
      <c r="B7814" t="s">
        <v>406</v>
      </c>
      <c r="C7814" t="s">
        <v>456</v>
      </c>
      <c r="D7814" t="s">
        <v>489</v>
      </c>
      <c r="E7814" t="s">
        <v>490</v>
      </c>
      <c r="F7814" t="s">
        <v>410</v>
      </c>
      <c r="G7814">
        <v>111</v>
      </c>
      <c r="I7814">
        <v>111</v>
      </c>
    </row>
    <row r="7815" spans="1:17" x14ac:dyDescent="0.2">
      <c r="A7815" s="121">
        <v>41820</v>
      </c>
      <c r="B7815" t="s">
        <v>406</v>
      </c>
      <c r="C7815" t="s">
        <v>491</v>
      </c>
      <c r="D7815" t="s">
        <v>492</v>
      </c>
      <c r="E7815" t="s">
        <v>493</v>
      </c>
      <c r="F7815" t="s">
        <v>410</v>
      </c>
      <c r="G7815">
        <v>1427</v>
      </c>
      <c r="H7815">
        <v>1427</v>
      </c>
      <c r="I7815">
        <v>1390</v>
      </c>
      <c r="J7815">
        <v>1390</v>
      </c>
      <c r="K7815">
        <v>254</v>
      </c>
      <c r="L7815">
        <v>3</v>
      </c>
      <c r="M7815">
        <v>1080</v>
      </c>
      <c r="N7815">
        <v>85</v>
      </c>
      <c r="O7815">
        <v>5</v>
      </c>
      <c r="P7815">
        <v>0</v>
      </c>
      <c r="Q7815">
        <v>0</v>
      </c>
    </row>
    <row r="7816" spans="1:17" x14ac:dyDescent="0.2">
      <c r="A7816" s="121">
        <v>41820</v>
      </c>
      <c r="B7816" t="s">
        <v>406</v>
      </c>
      <c r="C7816" t="s">
        <v>491</v>
      </c>
      <c r="D7816" t="s">
        <v>494</v>
      </c>
      <c r="E7816" t="s">
        <v>495</v>
      </c>
      <c r="F7816" t="s">
        <v>413</v>
      </c>
      <c r="G7816">
        <v>2822</v>
      </c>
      <c r="H7816">
        <v>2822</v>
      </c>
      <c r="I7816">
        <v>2642</v>
      </c>
      <c r="J7816">
        <v>2642</v>
      </c>
      <c r="K7816">
        <v>761</v>
      </c>
      <c r="L7816">
        <v>4</v>
      </c>
      <c r="M7816">
        <v>1871</v>
      </c>
      <c r="N7816">
        <v>26</v>
      </c>
      <c r="O7816">
        <v>160</v>
      </c>
      <c r="P7816">
        <v>3</v>
      </c>
      <c r="Q7816">
        <v>0</v>
      </c>
    </row>
    <row r="7817" spans="1:17" x14ac:dyDescent="0.2">
      <c r="A7817" s="121">
        <v>41820</v>
      </c>
      <c r="B7817" t="s">
        <v>406</v>
      </c>
      <c r="C7817" t="s">
        <v>491</v>
      </c>
      <c r="D7817" t="s">
        <v>496</v>
      </c>
      <c r="E7817" t="s">
        <v>497</v>
      </c>
      <c r="F7817" t="s">
        <v>413</v>
      </c>
      <c r="G7817">
        <v>6068</v>
      </c>
      <c r="H7817">
        <v>6068</v>
      </c>
      <c r="I7817">
        <v>5374</v>
      </c>
      <c r="J7817">
        <v>5374</v>
      </c>
      <c r="K7817">
        <v>1970</v>
      </c>
      <c r="L7817">
        <v>12</v>
      </c>
      <c r="M7817">
        <v>3807</v>
      </c>
      <c r="N7817">
        <v>114</v>
      </c>
      <c r="O7817">
        <v>165</v>
      </c>
      <c r="P7817">
        <v>29</v>
      </c>
      <c r="Q7817">
        <v>0</v>
      </c>
    </row>
    <row r="7818" spans="1:17" x14ac:dyDescent="0.2">
      <c r="A7818" s="121">
        <v>41820</v>
      </c>
      <c r="B7818" t="s">
        <v>406</v>
      </c>
      <c r="C7818" t="s">
        <v>491</v>
      </c>
      <c r="D7818" t="s">
        <v>498</v>
      </c>
      <c r="E7818" t="s">
        <v>499</v>
      </c>
      <c r="F7818" t="s">
        <v>413</v>
      </c>
      <c r="G7818">
        <v>7004</v>
      </c>
      <c r="H7818">
        <v>7004</v>
      </c>
      <c r="I7818">
        <v>6447</v>
      </c>
      <c r="J7818">
        <v>6447</v>
      </c>
      <c r="K7818">
        <v>2083</v>
      </c>
      <c r="L7818">
        <v>16</v>
      </c>
      <c r="M7818">
        <v>4411</v>
      </c>
      <c r="N7818">
        <v>84</v>
      </c>
      <c r="O7818">
        <v>410</v>
      </c>
      <c r="P7818">
        <v>11</v>
      </c>
      <c r="Q7818">
        <v>0</v>
      </c>
    </row>
    <row r="7819" spans="1:17" x14ac:dyDescent="0.2">
      <c r="A7819" s="121">
        <v>41820</v>
      </c>
      <c r="B7819" t="s">
        <v>406</v>
      </c>
      <c r="C7819" t="s">
        <v>491</v>
      </c>
      <c r="D7819" t="s">
        <v>500</v>
      </c>
      <c r="E7819" t="s">
        <v>620</v>
      </c>
      <c r="F7819" t="s">
        <v>410</v>
      </c>
      <c r="G7819">
        <v>1617</v>
      </c>
      <c r="H7819">
        <v>1617</v>
      </c>
      <c r="I7819">
        <v>1617</v>
      </c>
      <c r="J7819">
        <v>1617</v>
      </c>
      <c r="K7819">
        <v>0</v>
      </c>
      <c r="L7819">
        <v>0</v>
      </c>
      <c r="M7819">
        <v>1520</v>
      </c>
      <c r="N7819">
        <v>77</v>
      </c>
      <c r="O7819">
        <v>20</v>
      </c>
      <c r="P7819">
        <v>0</v>
      </c>
      <c r="Q7819">
        <v>0</v>
      </c>
    </row>
    <row r="7820" spans="1:17" x14ac:dyDescent="0.2">
      <c r="A7820" s="121">
        <v>41820</v>
      </c>
      <c r="B7820" t="s">
        <v>406</v>
      </c>
      <c r="C7820" t="s">
        <v>491</v>
      </c>
      <c r="D7820" t="s">
        <v>502</v>
      </c>
      <c r="E7820" t="s">
        <v>615</v>
      </c>
      <c r="F7820" t="s">
        <v>410</v>
      </c>
      <c r="G7820">
        <v>2222</v>
      </c>
      <c r="H7820">
        <v>2222</v>
      </c>
      <c r="I7820">
        <v>2221</v>
      </c>
      <c r="J7820">
        <v>2221</v>
      </c>
      <c r="K7820">
        <v>7</v>
      </c>
      <c r="L7820">
        <v>1</v>
      </c>
      <c r="M7820">
        <v>2103</v>
      </c>
      <c r="N7820">
        <v>108</v>
      </c>
      <c r="O7820">
        <v>3</v>
      </c>
      <c r="P7820">
        <v>0</v>
      </c>
      <c r="Q7820">
        <v>0</v>
      </c>
    </row>
    <row r="7821" spans="1:17" x14ac:dyDescent="0.2">
      <c r="A7821" s="121">
        <v>41820</v>
      </c>
      <c r="B7821" t="s">
        <v>406</v>
      </c>
      <c r="C7821" t="s">
        <v>491</v>
      </c>
      <c r="D7821" t="s">
        <v>502</v>
      </c>
      <c r="E7821" t="s">
        <v>503</v>
      </c>
      <c r="F7821" t="s">
        <v>413</v>
      </c>
      <c r="G7821">
        <v>5235</v>
      </c>
      <c r="H7821">
        <v>5235</v>
      </c>
      <c r="I7821">
        <v>4589</v>
      </c>
      <c r="J7821">
        <v>4589</v>
      </c>
      <c r="K7821">
        <v>1515</v>
      </c>
      <c r="L7821">
        <v>4</v>
      </c>
      <c r="M7821">
        <v>3235</v>
      </c>
      <c r="N7821">
        <v>341</v>
      </c>
      <c r="O7821">
        <v>140</v>
      </c>
      <c r="P7821">
        <v>75</v>
      </c>
      <c r="Q7821">
        <v>26</v>
      </c>
    </row>
    <row r="7822" spans="1:17" x14ac:dyDescent="0.2">
      <c r="A7822" s="121">
        <v>41820</v>
      </c>
      <c r="B7822" t="s">
        <v>406</v>
      </c>
      <c r="C7822" t="s">
        <v>491</v>
      </c>
      <c r="D7822" t="s">
        <v>504</v>
      </c>
      <c r="E7822" t="s">
        <v>505</v>
      </c>
      <c r="F7822" t="s">
        <v>413</v>
      </c>
      <c r="G7822">
        <v>4182</v>
      </c>
      <c r="H7822">
        <v>4182</v>
      </c>
      <c r="I7822">
        <v>3738</v>
      </c>
      <c r="J7822">
        <v>3738</v>
      </c>
      <c r="K7822">
        <v>1180</v>
      </c>
      <c r="L7822">
        <v>4</v>
      </c>
      <c r="M7822">
        <v>2753</v>
      </c>
      <c r="N7822">
        <v>157</v>
      </c>
      <c r="O7822">
        <v>88</v>
      </c>
      <c r="P7822">
        <v>22</v>
      </c>
      <c r="Q7822">
        <v>1</v>
      </c>
    </row>
    <row r="7823" spans="1:17" x14ac:dyDescent="0.2">
      <c r="A7823" s="121">
        <v>41820</v>
      </c>
      <c r="B7823" t="s">
        <v>406</v>
      </c>
      <c r="C7823" t="s">
        <v>491</v>
      </c>
      <c r="D7823" t="s">
        <v>506</v>
      </c>
      <c r="E7823" t="s">
        <v>507</v>
      </c>
      <c r="F7823" t="s">
        <v>413</v>
      </c>
      <c r="G7823">
        <v>4314</v>
      </c>
      <c r="H7823">
        <v>4314</v>
      </c>
      <c r="I7823">
        <v>4225</v>
      </c>
      <c r="J7823">
        <v>4225</v>
      </c>
      <c r="K7823">
        <v>1228</v>
      </c>
      <c r="L7823">
        <v>2</v>
      </c>
      <c r="M7823">
        <v>3070</v>
      </c>
      <c r="N7823">
        <v>2</v>
      </c>
      <c r="O7823">
        <v>12</v>
      </c>
      <c r="P7823">
        <v>0</v>
      </c>
      <c r="Q7823">
        <v>0</v>
      </c>
    </row>
    <row r="7824" spans="1:17" x14ac:dyDescent="0.2">
      <c r="A7824" s="121">
        <v>41820</v>
      </c>
      <c r="B7824" t="s">
        <v>406</v>
      </c>
      <c r="C7824" t="s">
        <v>491</v>
      </c>
      <c r="D7824" t="s">
        <v>508</v>
      </c>
      <c r="E7824" t="s">
        <v>509</v>
      </c>
      <c r="F7824" t="s">
        <v>413</v>
      </c>
      <c r="G7824">
        <v>4963</v>
      </c>
      <c r="H7824">
        <v>4963</v>
      </c>
      <c r="I7824">
        <v>4157</v>
      </c>
      <c r="J7824">
        <v>4157</v>
      </c>
      <c r="K7824">
        <v>1602</v>
      </c>
      <c r="L7824">
        <v>12</v>
      </c>
      <c r="M7824">
        <v>3094</v>
      </c>
      <c r="N7824">
        <v>120</v>
      </c>
      <c r="O7824">
        <v>135</v>
      </c>
      <c r="P7824">
        <v>99</v>
      </c>
      <c r="Q7824">
        <v>7</v>
      </c>
    </row>
    <row r="7825" spans="1:17" x14ac:dyDescent="0.2">
      <c r="A7825" s="121">
        <v>41820</v>
      </c>
      <c r="B7825" t="s">
        <v>406</v>
      </c>
      <c r="C7825" t="s">
        <v>510</v>
      </c>
      <c r="D7825" t="s">
        <v>513</v>
      </c>
      <c r="E7825" t="s">
        <v>514</v>
      </c>
      <c r="F7825" t="s">
        <v>410</v>
      </c>
      <c r="G7825">
        <v>706</v>
      </c>
      <c r="I7825">
        <v>697</v>
      </c>
    </row>
    <row r="7826" spans="1:17" x14ac:dyDescent="0.2">
      <c r="A7826" s="121">
        <v>41820</v>
      </c>
      <c r="B7826" t="s">
        <v>406</v>
      </c>
      <c r="C7826" t="s">
        <v>510</v>
      </c>
      <c r="D7826" t="s">
        <v>515</v>
      </c>
      <c r="E7826" t="s">
        <v>516</v>
      </c>
      <c r="F7826" t="s">
        <v>410</v>
      </c>
      <c r="G7826">
        <v>121</v>
      </c>
      <c r="I7826">
        <v>115</v>
      </c>
    </row>
    <row r="7827" spans="1:17" x14ac:dyDescent="0.2">
      <c r="A7827" s="121">
        <v>41820</v>
      </c>
      <c r="B7827" t="s">
        <v>406</v>
      </c>
      <c r="C7827" t="s">
        <v>510</v>
      </c>
      <c r="D7827" t="s">
        <v>519</v>
      </c>
      <c r="E7827" t="s">
        <v>520</v>
      </c>
      <c r="F7827" t="s">
        <v>410</v>
      </c>
      <c r="G7827">
        <v>356</v>
      </c>
      <c r="I7827">
        <v>355</v>
      </c>
    </row>
    <row r="7828" spans="1:17" x14ac:dyDescent="0.2">
      <c r="A7828" s="121">
        <v>41820</v>
      </c>
      <c r="B7828" t="s">
        <v>406</v>
      </c>
      <c r="C7828" t="s">
        <v>510</v>
      </c>
      <c r="D7828" t="s">
        <v>523</v>
      </c>
      <c r="E7828" t="s">
        <v>524</v>
      </c>
      <c r="F7828" t="s">
        <v>413</v>
      </c>
      <c r="G7828">
        <v>634</v>
      </c>
      <c r="H7828">
        <v>634</v>
      </c>
      <c r="I7828">
        <v>620</v>
      </c>
      <c r="J7828">
        <v>620</v>
      </c>
      <c r="K7828">
        <v>128</v>
      </c>
      <c r="L7828">
        <v>0</v>
      </c>
      <c r="M7828">
        <v>498</v>
      </c>
      <c r="N7828">
        <v>8</v>
      </c>
      <c r="O7828">
        <v>0</v>
      </c>
      <c r="P7828">
        <v>0</v>
      </c>
      <c r="Q7828">
        <v>0</v>
      </c>
    </row>
    <row r="7829" spans="1:17" x14ac:dyDescent="0.2">
      <c r="A7829" s="121">
        <v>41820</v>
      </c>
      <c r="B7829" t="s">
        <v>406</v>
      </c>
      <c r="C7829" t="s">
        <v>510</v>
      </c>
      <c r="D7829" t="s">
        <v>525</v>
      </c>
      <c r="E7829" t="s">
        <v>526</v>
      </c>
      <c r="F7829" t="s">
        <v>410</v>
      </c>
      <c r="G7829">
        <v>498</v>
      </c>
      <c r="I7829">
        <v>494</v>
      </c>
    </row>
    <row r="7830" spans="1:17" x14ac:dyDescent="0.2">
      <c r="A7830" s="121">
        <v>41820</v>
      </c>
      <c r="B7830" t="s">
        <v>406</v>
      </c>
      <c r="C7830" t="s">
        <v>510</v>
      </c>
      <c r="D7830" t="s">
        <v>527</v>
      </c>
      <c r="E7830" t="s">
        <v>528</v>
      </c>
      <c r="F7830" t="s">
        <v>410</v>
      </c>
      <c r="G7830">
        <v>268</v>
      </c>
      <c r="I7830">
        <v>267</v>
      </c>
    </row>
    <row r="7831" spans="1:17" x14ac:dyDescent="0.2">
      <c r="A7831" s="121">
        <v>41820</v>
      </c>
      <c r="B7831" t="s">
        <v>406</v>
      </c>
      <c r="C7831" t="s">
        <v>510</v>
      </c>
      <c r="D7831" t="s">
        <v>529</v>
      </c>
      <c r="E7831" t="s">
        <v>530</v>
      </c>
      <c r="F7831" t="s">
        <v>413</v>
      </c>
      <c r="G7831">
        <v>583</v>
      </c>
      <c r="H7831">
        <v>583</v>
      </c>
      <c r="I7831">
        <v>559</v>
      </c>
      <c r="J7831">
        <v>559</v>
      </c>
      <c r="K7831">
        <v>183</v>
      </c>
      <c r="L7831">
        <v>0</v>
      </c>
      <c r="M7831">
        <v>399</v>
      </c>
      <c r="N7831">
        <v>1</v>
      </c>
      <c r="O7831">
        <v>0</v>
      </c>
      <c r="P7831">
        <v>0</v>
      </c>
      <c r="Q7831">
        <v>0</v>
      </c>
    </row>
    <row r="7832" spans="1:17" x14ac:dyDescent="0.2">
      <c r="A7832" s="121">
        <v>41820</v>
      </c>
      <c r="B7832" t="s">
        <v>406</v>
      </c>
      <c r="C7832" t="s">
        <v>510</v>
      </c>
      <c r="D7832" t="s">
        <v>531</v>
      </c>
      <c r="E7832" t="s">
        <v>532</v>
      </c>
      <c r="F7832" t="s">
        <v>410</v>
      </c>
      <c r="G7832">
        <v>26</v>
      </c>
      <c r="I7832">
        <v>26</v>
      </c>
    </row>
    <row r="7833" spans="1:17" x14ac:dyDescent="0.2">
      <c r="A7833" s="121">
        <v>41820</v>
      </c>
      <c r="B7833" t="s">
        <v>406</v>
      </c>
      <c r="C7833" t="s">
        <v>510</v>
      </c>
      <c r="D7833" t="s">
        <v>533</v>
      </c>
      <c r="E7833" t="s">
        <v>534</v>
      </c>
      <c r="F7833" t="s">
        <v>413</v>
      </c>
      <c r="G7833">
        <v>2938</v>
      </c>
      <c r="H7833">
        <v>2938</v>
      </c>
      <c r="I7833">
        <v>2771</v>
      </c>
      <c r="J7833">
        <v>2771</v>
      </c>
      <c r="K7833">
        <v>672</v>
      </c>
      <c r="L7833">
        <v>2</v>
      </c>
      <c r="M7833">
        <v>2255</v>
      </c>
      <c r="N7833">
        <v>9</v>
      </c>
      <c r="O7833">
        <v>0</v>
      </c>
      <c r="P7833">
        <v>4</v>
      </c>
      <c r="Q7833">
        <v>0</v>
      </c>
    </row>
    <row r="7834" spans="1:17" x14ac:dyDescent="0.2">
      <c r="A7834" s="121">
        <v>41820</v>
      </c>
      <c r="B7834" t="s">
        <v>406</v>
      </c>
      <c r="C7834" t="s">
        <v>510</v>
      </c>
      <c r="D7834" t="s">
        <v>535</v>
      </c>
      <c r="E7834" t="s">
        <v>536</v>
      </c>
      <c r="F7834" t="s">
        <v>410</v>
      </c>
      <c r="G7834">
        <v>532</v>
      </c>
      <c r="I7834">
        <v>531</v>
      </c>
    </row>
    <row r="7835" spans="1:17" x14ac:dyDescent="0.2">
      <c r="A7835" s="121">
        <v>41820</v>
      </c>
      <c r="B7835" t="s">
        <v>406</v>
      </c>
      <c r="C7835" t="s">
        <v>510</v>
      </c>
      <c r="D7835" t="s">
        <v>537</v>
      </c>
      <c r="E7835" t="s">
        <v>538</v>
      </c>
      <c r="F7835" t="s">
        <v>410</v>
      </c>
      <c r="G7835">
        <v>135</v>
      </c>
      <c r="I7835">
        <v>134</v>
      </c>
    </row>
    <row r="7836" spans="1:17" x14ac:dyDescent="0.2">
      <c r="A7836" s="121">
        <v>41820</v>
      </c>
      <c r="B7836" t="s">
        <v>406</v>
      </c>
      <c r="C7836" t="s">
        <v>510</v>
      </c>
      <c r="D7836" t="s">
        <v>539</v>
      </c>
      <c r="E7836" t="s">
        <v>540</v>
      </c>
      <c r="F7836" t="s">
        <v>413</v>
      </c>
      <c r="G7836">
        <v>923</v>
      </c>
      <c r="H7836">
        <v>923</v>
      </c>
      <c r="I7836">
        <v>893</v>
      </c>
      <c r="J7836">
        <v>893</v>
      </c>
      <c r="K7836">
        <v>143</v>
      </c>
      <c r="L7836">
        <v>2</v>
      </c>
      <c r="M7836">
        <v>775</v>
      </c>
      <c r="N7836">
        <v>3</v>
      </c>
      <c r="O7836">
        <v>0</v>
      </c>
      <c r="P7836">
        <v>0</v>
      </c>
      <c r="Q7836">
        <v>0</v>
      </c>
    </row>
    <row r="7837" spans="1:17" x14ac:dyDescent="0.2">
      <c r="A7837" s="121">
        <v>41820</v>
      </c>
      <c r="B7837" t="s">
        <v>406</v>
      </c>
      <c r="C7837" t="s">
        <v>510</v>
      </c>
      <c r="D7837" t="s">
        <v>541</v>
      </c>
      <c r="E7837" t="s">
        <v>542</v>
      </c>
      <c r="F7837" t="s">
        <v>410</v>
      </c>
      <c r="G7837">
        <v>490</v>
      </c>
      <c r="I7837">
        <v>490</v>
      </c>
    </row>
    <row r="7838" spans="1:17" x14ac:dyDescent="0.2">
      <c r="A7838" s="121">
        <v>41820</v>
      </c>
      <c r="B7838" t="s">
        <v>406</v>
      </c>
      <c r="C7838" t="s">
        <v>510</v>
      </c>
      <c r="D7838" t="s">
        <v>543</v>
      </c>
      <c r="E7838" t="s">
        <v>544</v>
      </c>
      <c r="F7838" t="s">
        <v>410</v>
      </c>
      <c r="G7838">
        <v>323</v>
      </c>
      <c r="I7838">
        <v>323</v>
      </c>
    </row>
    <row r="7839" spans="1:17" x14ac:dyDescent="0.2">
      <c r="A7839" s="121">
        <v>41820</v>
      </c>
      <c r="B7839" t="s">
        <v>406</v>
      </c>
      <c r="C7839" t="s">
        <v>510</v>
      </c>
      <c r="D7839" t="s">
        <v>545</v>
      </c>
      <c r="E7839" t="s">
        <v>546</v>
      </c>
      <c r="F7839" t="s">
        <v>410</v>
      </c>
      <c r="G7839">
        <v>223</v>
      </c>
      <c r="I7839">
        <v>223</v>
      </c>
    </row>
    <row r="7840" spans="1:17" x14ac:dyDescent="0.2">
      <c r="A7840" s="121">
        <v>41820</v>
      </c>
      <c r="B7840" t="s">
        <v>406</v>
      </c>
      <c r="C7840" t="s">
        <v>510</v>
      </c>
      <c r="D7840" t="s">
        <v>547</v>
      </c>
      <c r="E7840" t="s">
        <v>548</v>
      </c>
      <c r="F7840" t="s">
        <v>410</v>
      </c>
      <c r="G7840">
        <v>189</v>
      </c>
      <c r="I7840">
        <v>189</v>
      </c>
    </row>
    <row r="7841" spans="1:17" x14ac:dyDescent="0.2">
      <c r="A7841" s="121">
        <v>41820</v>
      </c>
      <c r="B7841" t="s">
        <v>406</v>
      </c>
      <c r="C7841" t="s">
        <v>510</v>
      </c>
      <c r="D7841" t="s">
        <v>616</v>
      </c>
      <c r="E7841" t="s">
        <v>617</v>
      </c>
      <c r="F7841" t="s">
        <v>410</v>
      </c>
      <c r="G7841">
        <v>384</v>
      </c>
      <c r="I7841">
        <v>376</v>
      </c>
    </row>
    <row r="7842" spans="1:17" x14ac:dyDescent="0.2">
      <c r="A7842" s="121">
        <v>41820</v>
      </c>
      <c r="B7842" t="s">
        <v>406</v>
      </c>
      <c r="C7842" t="s">
        <v>510</v>
      </c>
      <c r="D7842" t="s">
        <v>549</v>
      </c>
      <c r="E7842" t="s">
        <v>550</v>
      </c>
      <c r="F7842" t="s">
        <v>410</v>
      </c>
      <c r="G7842">
        <v>194</v>
      </c>
      <c r="I7842">
        <v>194</v>
      </c>
    </row>
    <row r="7843" spans="1:17" x14ac:dyDescent="0.2">
      <c r="A7843" s="121">
        <v>41820</v>
      </c>
      <c r="B7843" t="s">
        <v>406</v>
      </c>
      <c r="C7843" t="s">
        <v>510</v>
      </c>
      <c r="D7843" t="s">
        <v>625</v>
      </c>
      <c r="E7843" t="s">
        <v>626</v>
      </c>
      <c r="F7843" t="s">
        <v>410</v>
      </c>
      <c r="G7843">
        <v>101</v>
      </c>
      <c r="I7843">
        <v>100</v>
      </c>
    </row>
    <row r="7844" spans="1:17" x14ac:dyDescent="0.2">
      <c r="A7844" s="121">
        <v>41820</v>
      </c>
      <c r="B7844" t="s">
        <v>406</v>
      </c>
      <c r="C7844" t="s">
        <v>551</v>
      </c>
      <c r="D7844" t="s">
        <v>552</v>
      </c>
      <c r="E7844" t="s">
        <v>553</v>
      </c>
      <c r="F7844" t="s">
        <v>413</v>
      </c>
      <c r="G7844">
        <v>5837</v>
      </c>
      <c r="H7844">
        <v>5837</v>
      </c>
      <c r="I7844">
        <v>5314</v>
      </c>
      <c r="J7844">
        <v>5314</v>
      </c>
      <c r="K7844">
        <v>1570</v>
      </c>
      <c r="L7844">
        <v>8</v>
      </c>
      <c r="M7844">
        <v>4016</v>
      </c>
      <c r="N7844">
        <v>159</v>
      </c>
      <c r="O7844">
        <v>84</v>
      </c>
      <c r="P7844">
        <v>20</v>
      </c>
      <c r="Q7844">
        <v>3</v>
      </c>
    </row>
    <row r="7845" spans="1:17" x14ac:dyDescent="0.2">
      <c r="A7845" s="121">
        <v>41820</v>
      </c>
      <c r="B7845" t="s">
        <v>406</v>
      </c>
      <c r="C7845" t="s">
        <v>551</v>
      </c>
      <c r="D7845" t="s">
        <v>554</v>
      </c>
      <c r="E7845" t="s">
        <v>555</v>
      </c>
      <c r="F7845" t="s">
        <v>410</v>
      </c>
      <c r="G7845">
        <v>100</v>
      </c>
      <c r="I7845">
        <v>100</v>
      </c>
    </row>
    <row r="7846" spans="1:17" x14ac:dyDescent="0.2">
      <c r="A7846" s="121">
        <v>41820</v>
      </c>
      <c r="B7846" t="s">
        <v>406</v>
      </c>
      <c r="C7846" t="s">
        <v>551</v>
      </c>
      <c r="D7846" t="s">
        <v>556</v>
      </c>
      <c r="E7846" t="s">
        <v>557</v>
      </c>
      <c r="F7846" t="s">
        <v>410</v>
      </c>
      <c r="G7846">
        <v>110</v>
      </c>
      <c r="I7846">
        <v>110</v>
      </c>
    </row>
    <row r="7847" spans="1:17" x14ac:dyDescent="0.2">
      <c r="A7847" s="121">
        <v>41820</v>
      </c>
      <c r="B7847" t="s">
        <v>406</v>
      </c>
      <c r="C7847" t="s">
        <v>551</v>
      </c>
      <c r="D7847" t="s">
        <v>558</v>
      </c>
      <c r="E7847" t="s">
        <v>559</v>
      </c>
      <c r="F7847" t="s">
        <v>413</v>
      </c>
      <c r="G7847">
        <v>5060</v>
      </c>
      <c r="H7847">
        <v>5060</v>
      </c>
      <c r="I7847">
        <v>4408</v>
      </c>
      <c r="J7847">
        <v>4408</v>
      </c>
      <c r="K7847">
        <v>1334</v>
      </c>
      <c r="L7847">
        <v>3</v>
      </c>
      <c r="M7847">
        <v>3575</v>
      </c>
      <c r="N7847">
        <v>124</v>
      </c>
      <c r="O7847">
        <v>24</v>
      </c>
      <c r="P7847">
        <v>108</v>
      </c>
      <c r="Q7847">
        <v>24</v>
      </c>
    </row>
    <row r="7848" spans="1:17" x14ac:dyDescent="0.2">
      <c r="A7848" s="121">
        <v>41820</v>
      </c>
      <c r="B7848" t="s">
        <v>406</v>
      </c>
      <c r="C7848" t="s">
        <v>551</v>
      </c>
      <c r="D7848" t="s">
        <v>560</v>
      </c>
      <c r="E7848" t="s">
        <v>561</v>
      </c>
      <c r="F7848" t="s">
        <v>413</v>
      </c>
      <c r="G7848">
        <v>5611</v>
      </c>
      <c r="H7848">
        <v>5611</v>
      </c>
      <c r="I7848">
        <v>5059</v>
      </c>
      <c r="J7848">
        <v>5059</v>
      </c>
      <c r="K7848">
        <v>1104</v>
      </c>
      <c r="L7848">
        <v>4</v>
      </c>
      <c r="M7848">
        <v>4205</v>
      </c>
      <c r="N7848">
        <v>147</v>
      </c>
      <c r="O7848">
        <v>151</v>
      </c>
      <c r="P7848">
        <v>31</v>
      </c>
      <c r="Q7848">
        <v>2</v>
      </c>
    </row>
    <row r="7849" spans="1:17" x14ac:dyDescent="0.2">
      <c r="A7849" s="121">
        <v>41820</v>
      </c>
      <c r="B7849" t="s">
        <v>406</v>
      </c>
      <c r="C7849" t="s">
        <v>562</v>
      </c>
      <c r="D7849" t="s">
        <v>605</v>
      </c>
      <c r="E7849" t="s">
        <v>606</v>
      </c>
      <c r="F7849" t="s">
        <v>410</v>
      </c>
      <c r="G7849">
        <v>135</v>
      </c>
      <c r="I7849">
        <v>135</v>
      </c>
    </row>
    <row r="7850" spans="1:17" x14ac:dyDescent="0.2">
      <c r="A7850" s="121">
        <v>41820</v>
      </c>
      <c r="B7850" t="s">
        <v>406</v>
      </c>
      <c r="C7850" t="s">
        <v>562</v>
      </c>
      <c r="D7850" t="s">
        <v>563</v>
      </c>
      <c r="E7850" t="s">
        <v>564</v>
      </c>
      <c r="F7850" t="s">
        <v>410</v>
      </c>
      <c r="G7850">
        <v>3315</v>
      </c>
      <c r="H7850">
        <v>3315</v>
      </c>
      <c r="I7850">
        <v>2924</v>
      </c>
      <c r="J7850">
        <v>2924</v>
      </c>
      <c r="K7850">
        <v>1070</v>
      </c>
      <c r="L7850">
        <v>1</v>
      </c>
      <c r="M7850">
        <v>2224</v>
      </c>
      <c r="N7850">
        <v>20</v>
      </c>
      <c r="O7850">
        <v>0</v>
      </c>
      <c r="P7850">
        <v>31</v>
      </c>
      <c r="Q7850">
        <v>0</v>
      </c>
    </row>
    <row r="7851" spans="1:17" x14ac:dyDescent="0.2">
      <c r="A7851" s="121">
        <v>41820</v>
      </c>
      <c r="B7851" t="s">
        <v>406</v>
      </c>
      <c r="C7851" t="s">
        <v>562</v>
      </c>
      <c r="D7851" t="s">
        <v>565</v>
      </c>
      <c r="E7851" t="s">
        <v>566</v>
      </c>
      <c r="F7851" t="s">
        <v>413</v>
      </c>
      <c r="G7851">
        <v>4754</v>
      </c>
      <c r="H7851">
        <v>4754</v>
      </c>
      <c r="I7851">
        <v>4510</v>
      </c>
      <c r="J7851">
        <v>4510</v>
      </c>
      <c r="K7851">
        <v>990</v>
      </c>
      <c r="L7851">
        <v>3</v>
      </c>
      <c r="M7851">
        <v>3664</v>
      </c>
      <c r="N7851">
        <v>97</v>
      </c>
      <c r="O7851">
        <v>0</v>
      </c>
      <c r="P7851">
        <v>2</v>
      </c>
      <c r="Q7851">
        <v>1</v>
      </c>
    </row>
    <row r="7852" spans="1:17" x14ac:dyDescent="0.2">
      <c r="A7852" s="121">
        <v>41820</v>
      </c>
      <c r="B7852" t="s">
        <v>406</v>
      </c>
      <c r="C7852" t="s">
        <v>562</v>
      </c>
      <c r="D7852" t="s">
        <v>567</v>
      </c>
      <c r="E7852" t="s">
        <v>568</v>
      </c>
      <c r="F7852" t="s">
        <v>413</v>
      </c>
      <c r="G7852">
        <v>9904</v>
      </c>
      <c r="H7852">
        <v>9904</v>
      </c>
      <c r="I7852">
        <v>9404</v>
      </c>
      <c r="J7852">
        <v>9404</v>
      </c>
      <c r="K7852">
        <v>2847</v>
      </c>
      <c r="L7852">
        <v>12</v>
      </c>
      <c r="M7852">
        <v>6818</v>
      </c>
      <c r="N7852">
        <v>227</v>
      </c>
      <c r="O7852">
        <v>0</v>
      </c>
      <c r="P7852">
        <v>26</v>
      </c>
      <c r="Q7852">
        <v>1</v>
      </c>
    </row>
    <row r="7853" spans="1:17" x14ac:dyDescent="0.2">
      <c r="A7853" s="121">
        <v>41820</v>
      </c>
      <c r="B7853" t="s">
        <v>406</v>
      </c>
      <c r="C7853" t="s">
        <v>562</v>
      </c>
      <c r="D7853" t="s">
        <v>569</v>
      </c>
      <c r="E7853" t="s">
        <v>570</v>
      </c>
      <c r="F7853" t="s">
        <v>413</v>
      </c>
      <c r="G7853">
        <v>3788</v>
      </c>
      <c r="H7853">
        <v>3788</v>
      </c>
      <c r="I7853">
        <v>3741</v>
      </c>
      <c r="J7853">
        <v>3741</v>
      </c>
      <c r="K7853">
        <v>462</v>
      </c>
      <c r="L7853">
        <v>0</v>
      </c>
      <c r="M7853">
        <v>3325</v>
      </c>
      <c r="N7853">
        <v>1</v>
      </c>
      <c r="O7853">
        <v>0</v>
      </c>
      <c r="P7853">
        <v>0</v>
      </c>
      <c r="Q7853">
        <v>0</v>
      </c>
    </row>
    <row r="7854" spans="1:17" x14ac:dyDescent="0.2">
      <c r="A7854" s="121">
        <v>41820</v>
      </c>
      <c r="B7854" t="s">
        <v>406</v>
      </c>
      <c r="C7854" t="s">
        <v>571</v>
      </c>
      <c r="D7854" t="s">
        <v>572</v>
      </c>
      <c r="E7854" t="s">
        <v>627</v>
      </c>
      <c r="F7854" t="s">
        <v>413</v>
      </c>
      <c r="G7854">
        <v>464</v>
      </c>
      <c r="H7854">
        <v>464</v>
      </c>
      <c r="I7854">
        <v>453</v>
      </c>
      <c r="J7854">
        <v>453</v>
      </c>
      <c r="K7854">
        <v>152</v>
      </c>
      <c r="L7854">
        <v>0</v>
      </c>
      <c r="M7854">
        <v>295</v>
      </c>
      <c r="N7854">
        <v>1</v>
      </c>
      <c r="O7854">
        <v>16</v>
      </c>
      <c r="P7854">
        <v>0</v>
      </c>
      <c r="Q7854">
        <v>0</v>
      </c>
    </row>
    <row r="7855" spans="1:17" x14ac:dyDescent="0.2">
      <c r="A7855" s="121">
        <v>41820</v>
      </c>
      <c r="B7855" t="s">
        <v>406</v>
      </c>
      <c r="C7855" t="s">
        <v>574</v>
      </c>
      <c r="D7855" t="s">
        <v>575</v>
      </c>
      <c r="E7855" t="s">
        <v>576</v>
      </c>
      <c r="F7855" t="s">
        <v>413</v>
      </c>
      <c r="G7855">
        <v>709</v>
      </c>
      <c r="H7855">
        <v>709</v>
      </c>
      <c r="I7855">
        <v>683</v>
      </c>
      <c r="J7855">
        <v>683</v>
      </c>
      <c r="K7855">
        <v>186</v>
      </c>
      <c r="L7855">
        <v>0</v>
      </c>
      <c r="M7855">
        <v>495</v>
      </c>
      <c r="N7855">
        <v>2</v>
      </c>
      <c r="O7855">
        <v>26</v>
      </c>
      <c r="P7855">
        <v>0</v>
      </c>
      <c r="Q7855">
        <v>0</v>
      </c>
    </row>
    <row r="7856" spans="1:17" x14ac:dyDescent="0.2">
      <c r="A7856" s="121">
        <v>41820</v>
      </c>
      <c r="B7856" t="s">
        <v>406</v>
      </c>
      <c r="C7856" t="s">
        <v>577</v>
      </c>
      <c r="D7856" t="s">
        <v>578</v>
      </c>
      <c r="E7856" t="s">
        <v>579</v>
      </c>
      <c r="F7856" t="s">
        <v>413</v>
      </c>
      <c r="G7856">
        <v>3899</v>
      </c>
      <c r="H7856">
        <v>3899</v>
      </c>
      <c r="I7856">
        <v>3858</v>
      </c>
      <c r="J7856">
        <v>3858</v>
      </c>
      <c r="K7856">
        <v>877</v>
      </c>
      <c r="L7856">
        <v>13</v>
      </c>
      <c r="M7856">
        <v>2794</v>
      </c>
      <c r="N7856">
        <v>213</v>
      </c>
      <c r="O7856">
        <v>2</v>
      </c>
      <c r="P7856">
        <v>0</v>
      </c>
      <c r="Q7856">
        <v>0</v>
      </c>
    </row>
    <row r="7857" spans="1:17" x14ac:dyDescent="0.2">
      <c r="A7857" s="121">
        <v>41820</v>
      </c>
      <c r="B7857" t="s">
        <v>406</v>
      </c>
      <c r="C7857" t="s">
        <v>577</v>
      </c>
      <c r="D7857" t="s">
        <v>580</v>
      </c>
      <c r="E7857" t="s">
        <v>581</v>
      </c>
      <c r="F7857" t="s">
        <v>413</v>
      </c>
      <c r="G7857">
        <v>2189</v>
      </c>
      <c r="H7857">
        <v>2189</v>
      </c>
      <c r="I7857">
        <v>2177</v>
      </c>
      <c r="J7857">
        <v>2177</v>
      </c>
      <c r="K7857">
        <v>298</v>
      </c>
      <c r="L7857">
        <v>0</v>
      </c>
      <c r="M7857">
        <v>1452</v>
      </c>
      <c r="N7857">
        <v>384</v>
      </c>
      <c r="O7857">
        <v>55</v>
      </c>
      <c r="P7857">
        <v>0</v>
      </c>
      <c r="Q7857">
        <v>0</v>
      </c>
    </row>
    <row r="7858" spans="1:17" x14ac:dyDescent="0.2">
      <c r="A7858" s="121">
        <v>41820</v>
      </c>
      <c r="B7858" t="s">
        <v>406</v>
      </c>
      <c r="C7858" t="s">
        <v>577</v>
      </c>
      <c r="D7858" t="s">
        <v>609</v>
      </c>
      <c r="E7858" t="s">
        <v>610</v>
      </c>
      <c r="F7858" t="s">
        <v>410</v>
      </c>
      <c r="G7858">
        <v>34</v>
      </c>
      <c r="H7858">
        <v>34</v>
      </c>
      <c r="I7858">
        <v>34</v>
      </c>
      <c r="J7858">
        <v>34</v>
      </c>
      <c r="K7858">
        <v>0</v>
      </c>
      <c r="L7858">
        <v>0</v>
      </c>
      <c r="M7858">
        <v>29</v>
      </c>
      <c r="N7858">
        <v>4</v>
      </c>
      <c r="O7858">
        <v>1</v>
      </c>
      <c r="P7858">
        <v>0</v>
      </c>
      <c r="Q7858">
        <v>0</v>
      </c>
    </row>
    <row r="7859" spans="1:17" x14ac:dyDescent="0.2">
      <c r="A7859" s="121">
        <v>41820</v>
      </c>
      <c r="B7859" t="s">
        <v>406</v>
      </c>
      <c r="C7859" t="s">
        <v>577</v>
      </c>
      <c r="D7859" t="s">
        <v>611</v>
      </c>
      <c r="E7859" t="s">
        <v>612</v>
      </c>
      <c r="F7859" t="s">
        <v>410</v>
      </c>
      <c r="G7859">
        <v>5</v>
      </c>
      <c r="H7859">
        <v>5</v>
      </c>
      <c r="I7859">
        <v>5</v>
      </c>
      <c r="J7859">
        <v>5</v>
      </c>
      <c r="K7859">
        <v>0</v>
      </c>
      <c r="L7859">
        <v>0</v>
      </c>
      <c r="M7859">
        <v>3</v>
      </c>
      <c r="N7859">
        <v>0</v>
      </c>
      <c r="O7859">
        <v>2</v>
      </c>
      <c r="P7859">
        <v>0</v>
      </c>
      <c r="Q7859">
        <v>0</v>
      </c>
    </row>
    <row r="7860" spans="1:17" x14ac:dyDescent="0.2">
      <c r="A7860" s="121">
        <v>41820</v>
      </c>
      <c r="B7860" t="s">
        <v>406</v>
      </c>
      <c r="C7860" t="s">
        <v>577</v>
      </c>
      <c r="D7860" t="s">
        <v>584</v>
      </c>
      <c r="E7860" t="s">
        <v>585</v>
      </c>
      <c r="F7860" t="s">
        <v>410</v>
      </c>
      <c r="G7860">
        <v>279</v>
      </c>
      <c r="H7860">
        <v>279</v>
      </c>
      <c r="I7860">
        <v>279</v>
      </c>
      <c r="J7860">
        <v>279</v>
      </c>
      <c r="K7860">
        <v>0</v>
      </c>
      <c r="L7860">
        <v>0</v>
      </c>
      <c r="M7860">
        <v>258</v>
      </c>
      <c r="N7860">
        <v>21</v>
      </c>
      <c r="O7860">
        <v>0</v>
      </c>
      <c r="P7860">
        <v>0</v>
      </c>
      <c r="Q7860">
        <v>0</v>
      </c>
    </row>
    <row r="7861" spans="1:17" x14ac:dyDescent="0.2">
      <c r="A7861" s="121">
        <v>41820</v>
      </c>
      <c r="B7861" t="s">
        <v>406</v>
      </c>
      <c r="C7861" t="s">
        <v>577</v>
      </c>
      <c r="D7861" t="s">
        <v>586</v>
      </c>
      <c r="E7861" t="s">
        <v>587</v>
      </c>
      <c r="F7861" t="s">
        <v>410</v>
      </c>
      <c r="G7861">
        <v>1318</v>
      </c>
      <c r="H7861">
        <v>1318</v>
      </c>
      <c r="I7861">
        <v>1318</v>
      </c>
      <c r="J7861">
        <v>1318</v>
      </c>
      <c r="K7861">
        <v>0</v>
      </c>
      <c r="L7861">
        <v>0</v>
      </c>
      <c r="M7861">
        <v>1198</v>
      </c>
      <c r="N7861">
        <v>116</v>
      </c>
      <c r="O7861">
        <v>4</v>
      </c>
      <c r="P7861">
        <v>0</v>
      </c>
      <c r="Q7861">
        <v>0</v>
      </c>
    </row>
    <row r="7862" spans="1:17" x14ac:dyDescent="0.2">
      <c r="A7862" s="121">
        <v>41820</v>
      </c>
      <c r="B7862" t="s">
        <v>406</v>
      </c>
      <c r="C7862" t="s">
        <v>577</v>
      </c>
      <c r="D7862" t="s">
        <v>588</v>
      </c>
      <c r="E7862" t="s">
        <v>589</v>
      </c>
      <c r="F7862" t="s">
        <v>410</v>
      </c>
      <c r="G7862">
        <v>316</v>
      </c>
      <c r="H7862">
        <v>316</v>
      </c>
      <c r="I7862">
        <v>316</v>
      </c>
      <c r="J7862">
        <v>316</v>
      </c>
      <c r="K7862">
        <v>0</v>
      </c>
      <c r="L7862">
        <v>0</v>
      </c>
      <c r="M7862">
        <v>293</v>
      </c>
      <c r="N7862">
        <v>21</v>
      </c>
      <c r="O7862">
        <v>2</v>
      </c>
      <c r="P7862">
        <v>0</v>
      </c>
      <c r="Q7862">
        <v>0</v>
      </c>
    </row>
    <row r="7863" spans="1:17" x14ac:dyDescent="0.2">
      <c r="A7863" s="121">
        <v>41820</v>
      </c>
      <c r="B7863" t="s">
        <v>406</v>
      </c>
      <c r="C7863" t="s">
        <v>577</v>
      </c>
      <c r="D7863" t="s">
        <v>613</v>
      </c>
      <c r="E7863" t="s">
        <v>614</v>
      </c>
      <c r="F7863" t="s">
        <v>410</v>
      </c>
      <c r="G7863">
        <v>152</v>
      </c>
      <c r="H7863">
        <v>152</v>
      </c>
      <c r="I7863">
        <v>152</v>
      </c>
      <c r="J7863">
        <v>152</v>
      </c>
      <c r="K7863">
        <v>2</v>
      </c>
      <c r="L7863">
        <v>0</v>
      </c>
      <c r="M7863">
        <v>118</v>
      </c>
      <c r="N7863">
        <v>19</v>
      </c>
      <c r="O7863">
        <v>13</v>
      </c>
      <c r="P7863">
        <v>0</v>
      </c>
      <c r="Q7863">
        <v>0</v>
      </c>
    </row>
    <row r="7864" spans="1:17" x14ac:dyDescent="0.2">
      <c r="A7864" s="121">
        <v>41820</v>
      </c>
      <c r="B7864" t="s">
        <v>406</v>
      </c>
      <c r="C7864" t="s">
        <v>577</v>
      </c>
      <c r="D7864" t="s">
        <v>590</v>
      </c>
      <c r="E7864" t="s">
        <v>591</v>
      </c>
      <c r="F7864" t="s">
        <v>410</v>
      </c>
      <c r="G7864">
        <v>677</v>
      </c>
      <c r="H7864">
        <v>677</v>
      </c>
      <c r="I7864">
        <v>677</v>
      </c>
      <c r="J7864">
        <v>677</v>
      </c>
      <c r="K7864">
        <v>0</v>
      </c>
      <c r="L7864">
        <v>0</v>
      </c>
      <c r="M7864">
        <v>649</v>
      </c>
      <c r="N7864">
        <v>27</v>
      </c>
      <c r="O7864">
        <v>1</v>
      </c>
      <c r="P7864">
        <v>0</v>
      </c>
      <c r="Q7864">
        <v>0</v>
      </c>
    </row>
    <row r="7865" spans="1:17" x14ac:dyDescent="0.2">
      <c r="A7865" s="121">
        <v>41820</v>
      </c>
      <c r="B7865" t="s">
        <v>406</v>
      </c>
      <c r="C7865" t="s">
        <v>577</v>
      </c>
      <c r="D7865" t="s">
        <v>607</v>
      </c>
      <c r="E7865" t="s">
        <v>608</v>
      </c>
      <c r="F7865" t="s">
        <v>410</v>
      </c>
      <c r="G7865">
        <v>248</v>
      </c>
      <c r="H7865">
        <v>248</v>
      </c>
      <c r="I7865">
        <v>248</v>
      </c>
      <c r="J7865">
        <v>248</v>
      </c>
      <c r="K7865">
        <v>0</v>
      </c>
      <c r="L7865">
        <v>0</v>
      </c>
      <c r="M7865">
        <v>221</v>
      </c>
      <c r="N7865">
        <v>22</v>
      </c>
      <c r="O7865">
        <v>5</v>
      </c>
      <c r="P7865">
        <v>0</v>
      </c>
      <c r="Q7865">
        <v>0</v>
      </c>
    </row>
    <row r="7866" spans="1:17" x14ac:dyDescent="0.2">
      <c r="A7866" s="121">
        <v>41820</v>
      </c>
      <c r="B7866" t="s">
        <v>406</v>
      </c>
      <c r="C7866" t="s">
        <v>577</v>
      </c>
      <c r="D7866" t="s">
        <v>592</v>
      </c>
      <c r="E7866" t="s">
        <v>593</v>
      </c>
      <c r="F7866" t="s">
        <v>410</v>
      </c>
      <c r="G7866">
        <v>616</v>
      </c>
      <c r="H7866">
        <v>616</v>
      </c>
      <c r="I7866">
        <v>616</v>
      </c>
      <c r="J7866">
        <v>616</v>
      </c>
      <c r="K7866">
        <v>0</v>
      </c>
      <c r="L7866">
        <v>0</v>
      </c>
      <c r="M7866">
        <v>590</v>
      </c>
      <c r="N7866">
        <v>25</v>
      </c>
      <c r="O7866">
        <v>1</v>
      </c>
      <c r="P7866">
        <v>0</v>
      </c>
      <c r="Q7866">
        <v>0</v>
      </c>
    </row>
    <row r="7867" spans="1:17" x14ac:dyDescent="0.2">
      <c r="A7867" s="121">
        <v>41820</v>
      </c>
      <c r="B7867" t="s">
        <v>406</v>
      </c>
      <c r="C7867" t="s">
        <v>594</v>
      </c>
      <c r="D7867" t="s">
        <v>595</v>
      </c>
      <c r="E7867" t="s">
        <v>596</v>
      </c>
      <c r="F7867" t="s">
        <v>410</v>
      </c>
      <c r="G7867">
        <v>42</v>
      </c>
      <c r="I7867">
        <v>42</v>
      </c>
    </row>
    <row r="7868" spans="1:17" x14ac:dyDescent="0.2">
      <c r="A7868" s="121">
        <v>41820</v>
      </c>
      <c r="B7868" t="s">
        <v>406</v>
      </c>
      <c r="C7868" t="s">
        <v>594</v>
      </c>
      <c r="D7868" t="s">
        <v>597</v>
      </c>
      <c r="E7868" t="s">
        <v>598</v>
      </c>
      <c r="F7868" t="s">
        <v>413</v>
      </c>
      <c r="G7868">
        <v>566</v>
      </c>
      <c r="H7868">
        <v>566</v>
      </c>
      <c r="I7868">
        <v>556</v>
      </c>
      <c r="J7868">
        <v>556</v>
      </c>
      <c r="K7868">
        <v>100</v>
      </c>
      <c r="L7868">
        <v>0</v>
      </c>
      <c r="M7868">
        <v>448</v>
      </c>
      <c r="N7868">
        <v>5</v>
      </c>
      <c r="O7868">
        <v>13</v>
      </c>
      <c r="P7868">
        <v>0</v>
      </c>
      <c r="Q7868">
        <v>0</v>
      </c>
    </row>
    <row r="7869" spans="1:17" x14ac:dyDescent="0.2">
      <c r="A7869" s="121">
        <v>41820</v>
      </c>
      <c r="B7869" t="s">
        <v>406</v>
      </c>
      <c r="C7869" t="s">
        <v>594</v>
      </c>
      <c r="D7869" t="s">
        <v>599</v>
      </c>
      <c r="E7869" t="s">
        <v>600</v>
      </c>
      <c r="F7869" t="s">
        <v>410</v>
      </c>
      <c r="G7869">
        <v>101</v>
      </c>
      <c r="I7869">
        <v>101</v>
      </c>
    </row>
    <row r="7870" spans="1:17" x14ac:dyDescent="0.2">
      <c r="A7870" s="121">
        <v>41851</v>
      </c>
      <c r="B7870" t="s">
        <v>406</v>
      </c>
      <c r="C7870" t="s">
        <v>407</v>
      </c>
      <c r="D7870" t="s">
        <v>408</v>
      </c>
      <c r="E7870" t="s">
        <v>409</v>
      </c>
      <c r="F7870" t="s">
        <v>410</v>
      </c>
      <c r="G7870">
        <v>328</v>
      </c>
      <c r="I7870">
        <v>328</v>
      </c>
    </row>
    <row r="7871" spans="1:17" x14ac:dyDescent="0.2">
      <c r="A7871" s="121">
        <v>41851</v>
      </c>
      <c r="B7871" t="s">
        <v>406</v>
      </c>
      <c r="C7871" t="s">
        <v>407</v>
      </c>
      <c r="D7871" t="s">
        <v>601</v>
      </c>
      <c r="E7871" t="s">
        <v>602</v>
      </c>
      <c r="F7871" t="s">
        <v>410</v>
      </c>
      <c r="G7871">
        <v>94</v>
      </c>
      <c r="I7871">
        <v>94</v>
      </c>
    </row>
    <row r="7872" spans="1:17" x14ac:dyDescent="0.2">
      <c r="A7872" s="121">
        <v>41851</v>
      </c>
      <c r="B7872" t="s">
        <v>406</v>
      </c>
      <c r="C7872" t="s">
        <v>407</v>
      </c>
      <c r="D7872" t="s">
        <v>411</v>
      </c>
      <c r="E7872" t="s">
        <v>412</v>
      </c>
      <c r="F7872" t="s">
        <v>413</v>
      </c>
      <c r="G7872">
        <v>6461</v>
      </c>
      <c r="H7872">
        <v>6461</v>
      </c>
      <c r="I7872">
        <v>6243</v>
      </c>
      <c r="J7872">
        <v>6243</v>
      </c>
      <c r="K7872">
        <v>2453</v>
      </c>
      <c r="L7872">
        <v>6</v>
      </c>
      <c r="M7872">
        <v>3624</v>
      </c>
      <c r="N7872">
        <v>135</v>
      </c>
      <c r="O7872">
        <v>243</v>
      </c>
      <c r="P7872">
        <v>17</v>
      </c>
      <c r="Q7872">
        <v>2</v>
      </c>
    </row>
    <row r="7873" spans="1:17" x14ac:dyDescent="0.2">
      <c r="A7873" s="121">
        <v>41851</v>
      </c>
      <c r="B7873" t="s">
        <v>406</v>
      </c>
      <c r="C7873" t="s">
        <v>407</v>
      </c>
      <c r="D7873" t="s">
        <v>416</v>
      </c>
      <c r="E7873" t="s">
        <v>417</v>
      </c>
      <c r="F7873" t="s">
        <v>413</v>
      </c>
      <c r="G7873">
        <v>4018</v>
      </c>
      <c r="H7873">
        <v>4018</v>
      </c>
      <c r="I7873">
        <v>3898</v>
      </c>
      <c r="J7873">
        <v>3898</v>
      </c>
      <c r="K7873">
        <v>1397</v>
      </c>
      <c r="L7873">
        <v>2</v>
      </c>
      <c r="M7873">
        <v>2451</v>
      </c>
      <c r="N7873">
        <v>113</v>
      </c>
      <c r="O7873">
        <v>55</v>
      </c>
      <c r="P7873">
        <v>10</v>
      </c>
      <c r="Q7873">
        <v>1</v>
      </c>
    </row>
    <row r="7874" spans="1:17" x14ac:dyDescent="0.2">
      <c r="A7874" s="121">
        <v>41851</v>
      </c>
      <c r="B7874" t="s">
        <v>406</v>
      </c>
      <c r="C7874" t="s">
        <v>407</v>
      </c>
      <c r="D7874" t="s">
        <v>618</v>
      </c>
      <c r="E7874" t="s">
        <v>619</v>
      </c>
      <c r="F7874" t="s">
        <v>410</v>
      </c>
      <c r="G7874">
        <v>151</v>
      </c>
      <c r="I7874">
        <v>151</v>
      </c>
    </row>
    <row r="7875" spans="1:17" x14ac:dyDescent="0.2">
      <c r="A7875" s="121">
        <v>41851</v>
      </c>
      <c r="B7875" t="s">
        <v>406</v>
      </c>
      <c r="C7875" t="s">
        <v>418</v>
      </c>
      <c r="D7875" t="s">
        <v>419</v>
      </c>
      <c r="E7875" t="s">
        <v>420</v>
      </c>
      <c r="F7875" t="s">
        <v>410</v>
      </c>
      <c r="G7875">
        <v>18</v>
      </c>
      <c r="I7875">
        <v>18</v>
      </c>
    </row>
    <row r="7876" spans="1:17" x14ac:dyDescent="0.2">
      <c r="A7876" s="121">
        <v>41851</v>
      </c>
      <c r="B7876" t="s">
        <v>406</v>
      </c>
      <c r="C7876" t="s">
        <v>418</v>
      </c>
      <c r="D7876" t="s">
        <v>421</v>
      </c>
      <c r="E7876" t="s">
        <v>422</v>
      </c>
      <c r="F7876" t="s">
        <v>410</v>
      </c>
      <c r="G7876">
        <v>90</v>
      </c>
      <c r="I7876">
        <v>90</v>
      </c>
    </row>
    <row r="7877" spans="1:17" x14ac:dyDescent="0.2">
      <c r="A7877" s="121">
        <v>41851</v>
      </c>
      <c r="B7877" t="s">
        <v>406</v>
      </c>
      <c r="C7877" t="s">
        <v>418</v>
      </c>
      <c r="D7877" t="s">
        <v>423</v>
      </c>
      <c r="E7877" t="s">
        <v>424</v>
      </c>
      <c r="F7877" t="s">
        <v>410</v>
      </c>
      <c r="G7877">
        <v>19</v>
      </c>
      <c r="I7877">
        <v>19</v>
      </c>
    </row>
    <row r="7878" spans="1:17" x14ac:dyDescent="0.2">
      <c r="A7878" s="121">
        <v>41851</v>
      </c>
      <c r="B7878" t="s">
        <v>406</v>
      </c>
      <c r="C7878" t="s">
        <v>418</v>
      </c>
      <c r="D7878" t="s">
        <v>425</v>
      </c>
      <c r="E7878" t="s">
        <v>426</v>
      </c>
      <c r="F7878" t="s">
        <v>410</v>
      </c>
      <c r="G7878">
        <v>68</v>
      </c>
      <c r="I7878">
        <v>68</v>
      </c>
    </row>
    <row r="7879" spans="1:17" x14ac:dyDescent="0.2">
      <c r="A7879" s="121">
        <v>41851</v>
      </c>
      <c r="B7879" t="s">
        <v>406</v>
      </c>
      <c r="C7879" t="s">
        <v>418</v>
      </c>
      <c r="D7879" t="s">
        <v>427</v>
      </c>
      <c r="E7879" t="s">
        <v>428</v>
      </c>
      <c r="F7879" t="s">
        <v>413</v>
      </c>
      <c r="G7879">
        <v>2354</v>
      </c>
      <c r="H7879">
        <v>2354</v>
      </c>
      <c r="I7879">
        <v>2285</v>
      </c>
      <c r="J7879">
        <v>2285</v>
      </c>
      <c r="K7879">
        <v>769</v>
      </c>
      <c r="L7879">
        <v>0</v>
      </c>
      <c r="M7879">
        <v>1350</v>
      </c>
      <c r="N7879">
        <v>204</v>
      </c>
      <c r="O7879">
        <v>31</v>
      </c>
      <c r="P7879">
        <v>0</v>
      </c>
      <c r="Q7879">
        <v>0</v>
      </c>
    </row>
    <row r="7880" spans="1:17" x14ac:dyDescent="0.2">
      <c r="A7880" s="121">
        <v>41851</v>
      </c>
      <c r="B7880" t="s">
        <v>406</v>
      </c>
      <c r="C7880" t="s">
        <v>429</v>
      </c>
      <c r="D7880" t="s">
        <v>430</v>
      </c>
      <c r="E7880" t="s">
        <v>431</v>
      </c>
      <c r="F7880" t="s">
        <v>410</v>
      </c>
      <c r="G7880">
        <v>40</v>
      </c>
      <c r="I7880">
        <v>40</v>
      </c>
    </row>
    <row r="7881" spans="1:17" x14ac:dyDescent="0.2">
      <c r="A7881" s="121">
        <v>41851</v>
      </c>
      <c r="B7881" t="s">
        <v>406</v>
      </c>
      <c r="C7881" t="s">
        <v>429</v>
      </c>
      <c r="D7881" t="s">
        <v>432</v>
      </c>
      <c r="E7881" t="s">
        <v>433</v>
      </c>
      <c r="F7881" t="s">
        <v>410</v>
      </c>
      <c r="G7881">
        <v>54</v>
      </c>
      <c r="I7881">
        <v>54</v>
      </c>
    </row>
    <row r="7882" spans="1:17" x14ac:dyDescent="0.2">
      <c r="A7882" s="121">
        <v>41851</v>
      </c>
      <c r="B7882" t="s">
        <v>406</v>
      </c>
      <c r="C7882" t="s">
        <v>429</v>
      </c>
      <c r="D7882" t="s">
        <v>434</v>
      </c>
      <c r="E7882" t="s">
        <v>435</v>
      </c>
      <c r="F7882" t="s">
        <v>410</v>
      </c>
      <c r="G7882">
        <v>6</v>
      </c>
      <c r="I7882">
        <v>6</v>
      </c>
    </row>
    <row r="7883" spans="1:17" x14ac:dyDescent="0.2">
      <c r="A7883" s="121">
        <v>41851</v>
      </c>
      <c r="B7883" t="s">
        <v>406</v>
      </c>
      <c r="C7883" t="s">
        <v>429</v>
      </c>
      <c r="D7883" t="s">
        <v>436</v>
      </c>
      <c r="E7883" t="s">
        <v>437</v>
      </c>
      <c r="F7883" t="s">
        <v>410</v>
      </c>
      <c r="G7883">
        <v>19</v>
      </c>
      <c r="H7883">
        <v>19</v>
      </c>
      <c r="I7883">
        <v>19</v>
      </c>
      <c r="J7883">
        <v>19</v>
      </c>
      <c r="K7883">
        <v>0</v>
      </c>
      <c r="L7883">
        <v>0</v>
      </c>
      <c r="M7883">
        <v>17</v>
      </c>
      <c r="N7883">
        <v>2</v>
      </c>
      <c r="O7883">
        <v>0</v>
      </c>
      <c r="P7883">
        <v>0</v>
      </c>
      <c r="Q7883">
        <v>0</v>
      </c>
    </row>
    <row r="7884" spans="1:17" x14ac:dyDescent="0.2">
      <c r="A7884" s="121">
        <v>41851</v>
      </c>
      <c r="B7884" t="s">
        <v>406</v>
      </c>
      <c r="C7884" t="s">
        <v>429</v>
      </c>
      <c r="D7884" t="s">
        <v>438</v>
      </c>
      <c r="E7884" t="s">
        <v>439</v>
      </c>
      <c r="F7884" t="s">
        <v>413</v>
      </c>
      <c r="G7884">
        <v>1124</v>
      </c>
      <c r="H7884">
        <v>1124</v>
      </c>
      <c r="I7884">
        <v>1108</v>
      </c>
      <c r="J7884">
        <v>1108</v>
      </c>
      <c r="K7884">
        <v>128</v>
      </c>
      <c r="L7884">
        <v>1</v>
      </c>
      <c r="M7884">
        <v>959</v>
      </c>
      <c r="N7884">
        <v>36</v>
      </c>
      <c r="O7884">
        <v>0</v>
      </c>
      <c r="P7884">
        <v>0</v>
      </c>
      <c r="Q7884">
        <v>0</v>
      </c>
    </row>
    <row r="7885" spans="1:17" x14ac:dyDescent="0.2">
      <c r="A7885" s="121">
        <v>41851</v>
      </c>
      <c r="B7885" t="s">
        <v>406</v>
      </c>
      <c r="C7885" t="s">
        <v>429</v>
      </c>
      <c r="D7885" t="s">
        <v>440</v>
      </c>
      <c r="E7885" t="s">
        <v>441</v>
      </c>
      <c r="F7885" t="s">
        <v>413</v>
      </c>
      <c r="G7885">
        <v>3083</v>
      </c>
      <c r="H7885">
        <v>3083</v>
      </c>
      <c r="I7885">
        <v>2987</v>
      </c>
      <c r="J7885">
        <v>2987</v>
      </c>
      <c r="K7885">
        <v>987</v>
      </c>
      <c r="L7885">
        <v>1</v>
      </c>
      <c r="M7885">
        <v>1995</v>
      </c>
      <c r="N7885">
        <v>60</v>
      </c>
      <c r="O7885">
        <v>40</v>
      </c>
      <c r="P7885">
        <v>1</v>
      </c>
      <c r="Q7885">
        <v>0</v>
      </c>
    </row>
    <row r="7886" spans="1:17" x14ac:dyDescent="0.2">
      <c r="A7886" s="121">
        <v>41851</v>
      </c>
      <c r="B7886" t="s">
        <v>406</v>
      </c>
      <c r="C7886" t="s">
        <v>442</v>
      </c>
      <c r="D7886" t="s">
        <v>443</v>
      </c>
      <c r="E7886" t="s">
        <v>444</v>
      </c>
      <c r="F7886" t="s">
        <v>413</v>
      </c>
      <c r="G7886">
        <v>5659</v>
      </c>
      <c r="H7886">
        <v>5659</v>
      </c>
      <c r="I7886">
        <v>5315</v>
      </c>
      <c r="J7886">
        <v>5315</v>
      </c>
      <c r="K7886">
        <v>1427</v>
      </c>
      <c r="L7886">
        <v>11</v>
      </c>
      <c r="M7886">
        <v>3867</v>
      </c>
      <c r="N7886">
        <v>217</v>
      </c>
      <c r="O7886">
        <v>137</v>
      </c>
      <c r="P7886">
        <v>17</v>
      </c>
      <c r="Q7886">
        <v>2</v>
      </c>
    </row>
    <row r="7887" spans="1:17" x14ac:dyDescent="0.2">
      <c r="A7887" s="121">
        <v>41851</v>
      </c>
      <c r="B7887" t="s">
        <v>406</v>
      </c>
      <c r="C7887" t="s">
        <v>442</v>
      </c>
      <c r="D7887" t="s">
        <v>445</v>
      </c>
      <c r="E7887" t="s">
        <v>446</v>
      </c>
      <c r="F7887" t="s">
        <v>410</v>
      </c>
      <c r="G7887">
        <v>154</v>
      </c>
      <c r="I7887">
        <v>154</v>
      </c>
    </row>
    <row r="7888" spans="1:17" x14ac:dyDescent="0.2">
      <c r="A7888" s="121">
        <v>41851</v>
      </c>
      <c r="B7888" t="s">
        <v>406</v>
      </c>
      <c r="C7888" t="s">
        <v>442</v>
      </c>
      <c r="D7888" t="s">
        <v>447</v>
      </c>
      <c r="E7888" t="s">
        <v>448</v>
      </c>
      <c r="F7888" t="s">
        <v>410</v>
      </c>
      <c r="G7888">
        <v>435</v>
      </c>
      <c r="I7888">
        <v>435</v>
      </c>
    </row>
    <row r="7889" spans="1:17" x14ac:dyDescent="0.2">
      <c r="A7889" s="121">
        <v>41851</v>
      </c>
      <c r="B7889" t="s">
        <v>406</v>
      </c>
      <c r="C7889" t="s">
        <v>442</v>
      </c>
      <c r="D7889" t="s">
        <v>449</v>
      </c>
      <c r="E7889" t="s">
        <v>624</v>
      </c>
      <c r="F7889" t="s">
        <v>410</v>
      </c>
      <c r="G7889">
        <v>1666</v>
      </c>
      <c r="H7889">
        <v>1666</v>
      </c>
      <c r="I7889">
        <v>1665</v>
      </c>
      <c r="J7889">
        <v>1665</v>
      </c>
      <c r="K7889">
        <v>11</v>
      </c>
      <c r="L7889">
        <v>0</v>
      </c>
      <c r="M7889">
        <v>1487</v>
      </c>
      <c r="N7889">
        <v>154</v>
      </c>
      <c r="O7889">
        <v>14</v>
      </c>
      <c r="P7889">
        <v>0</v>
      </c>
      <c r="Q7889">
        <v>0</v>
      </c>
    </row>
    <row r="7890" spans="1:17" x14ac:dyDescent="0.2">
      <c r="A7890" s="121">
        <v>41851</v>
      </c>
      <c r="B7890" t="s">
        <v>406</v>
      </c>
      <c r="C7890" t="s">
        <v>451</v>
      </c>
      <c r="D7890" t="s">
        <v>454</v>
      </c>
      <c r="E7890" t="s">
        <v>621</v>
      </c>
      <c r="F7890" t="s">
        <v>410</v>
      </c>
      <c r="G7890">
        <v>1307</v>
      </c>
      <c r="H7890">
        <v>1307</v>
      </c>
      <c r="I7890">
        <v>1307</v>
      </c>
      <c r="J7890">
        <v>1307</v>
      </c>
      <c r="K7890">
        <v>6</v>
      </c>
      <c r="L7890">
        <v>0</v>
      </c>
      <c r="M7890">
        <v>1120</v>
      </c>
      <c r="N7890">
        <v>62</v>
      </c>
      <c r="O7890">
        <v>119</v>
      </c>
      <c r="P7890">
        <v>0</v>
      </c>
      <c r="Q7890">
        <v>0</v>
      </c>
    </row>
    <row r="7891" spans="1:17" x14ac:dyDescent="0.2">
      <c r="A7891" s="121">
        <v>41851</v>
      </c>
      <c r="B7891" t="s">
        <v>406</v>
      </c>
      <c r="C7891" t="s">
        <v>451</v>
      </c>
      <c r="D7891" t="s">
        <v>622</v>
      </c>
      <c r="E7891" t="s">
        <v>623</v>
      </c>
      <c r="F7891" t="s">
        <v>413</v>
      </c>
      <c r="G7891">
        <v>5581</v>
      </c>
      <c r="H7891">
        <v>5581</v>
      </c>
      <c r="I7891">
        <v>5182</v>
      </c>
      <c r="J7891">
        <v>5182</v>
      </c>
      <c r="K7891">
        <v>1202</v>
      </c>
      <c r="L7891">
        <v>11</v>
      </c>
      <c r="M7891">
        <v>3998</v>
      </c>
      <c r="N7891">
        <v>31</v>
      </c>
      <c r="O7891">
        <v>339</v>
      </c>
      <c r="P7891">
        <v>35</v>
      </c>
      <c r="Q7891">
        <v>0</v>
      </c>
    </row>
    <row r="7892" spans="1:17" x14ac:dyDescent="0.2">
      <c r="A7892" s="121">
        <v>41851</v>
      </c>
      <c r="B7892" t="s">
        <v>406</v>
      </c>
      <c r="C7892" t="s">
        <v>456</v>
      </c>
      <c r="D7892" t="s">
        <v>457</v>
      </c>
      <c r="E7892" t="s">
        <v>458</v>
      </c>
      <c r="F7892" t="s">
        <v>413</v>
      </c>
      <c r="G7892">
        <v>5272</v>
      </c>
      <c r="H7892">
        <v>5272</v>
      </c>
      <c r="I7892">
        <v>4922</v>
      </c>
      <c r="J7892">
        <v>4922</v>
      </c>
      <c r="K7892">
        <v>1243</v>
      </c>
      <c r="L7892">
        <v>16</v>
      </c>
      <c r="M7892">
        <v>3543</v>
      </c>
      <c r="N7892">
        <v>27</v>
      </c>
      <c r="O7892">
        <v>443</v>
      </c>
      <c r="P7892">
        <v>17</v>
      </c>
      <c r="Q7892">
        <v>1</v>
      </c>
    </row>
    <row r="7893" spans="1:17" x14ac:dyDescent="0.2">
      <c r="A7893" s="121">
        <v>41851</v>
      </c>
      <c r="B7893" t="s">
        <v>406</v>
      </c>
      <c r="C7893" t="s">
        <v>456</v>
      </c>
      <c r="D7893" t="s">
        <v>459</v>
      </c>
      <c r="E7893" t="s">
        <v>460</v>
      </c>
      <c r="F7893" t="s">
        <v>413</v>
      </c>
      <c r="G7893">
        <v>1347</v>
      </c>
      <c r="H7893">
        <v>1347</v>
      </c>
      <c r="I7893">
        <v>1336</v>
      </c>
      <c r="J7893">
        <v>1336</v>
      </c>
      <c r="K7893">
        <v>251</v>
      </c>
      <c r="L7893">
        <v>0</v>
      </c>
      <c r="M7893">
        <v>1096</v>
      </c>
      <c r="N7893">
        <v>0</v>
      </c>
      <c r="O7893">
        <v>0</v>
      </c>
      <c r="P7893">
        <v>0</v>
      </c>
      <c r="Q7893">
        <v>0</v>
      </c>
    </row>
    <row r="7894" spans="1:17" x14ac:dyDescent="0.2">
      <c r="A7894" s="121">
        <v>41851</v>
      </c>
      <c r="B7894" t="s">
        <v>406</v>
      </c>
      <c r="C7894" t="s">
        <v>456</v>
      </c>
      <c r="D7894" t="s">
        <v>461</v>
      </c>
      <c r="E7894" t="s">
        <v>462</v>
      </c>
      <c r="F7894" t="s">
        <v>410</v>
      </c>
      <c r="G7894">
        <v>99</v>
      </c>
      <c r="I7894">
        <v>99</v>
      </c>
    </row>
    <row r="7895" spans="1:17" x14ac:dyDescent="0.2">
      <c r="A7895" s="121">
        <v>41851</v>
      </c>
      <c r="B7895" t="s">
        <v>406</v>
      </c>
      <c r="C7895" t="s">
        <v>456</v>
      </c>
      <c r="D7895" t="s">
        <v>463</v>
      </c>
      <c r="E7895" t="s">
        <v>464</v>
      </c>
      <c r="F7895" t="s">
        <v>410</v>
      </c>
      <c r="G7895">
        <v>19</v>
      </c>
      <c r="I7895">
        <v>19</v>
      </c>
    </row>
    <row r="7896" spans="1:17" x14ac:dyDescent="0.2">
      <c r="A7896" s="121">
        <v>41851</v>
      </c>
      <c r="B7896" t="s">
        <v>406</v>
      </c>
      <c r="C7896" t="s">
        <v>456</v>
      </c>
      <c r="D7896" t="s">
        <v>465</v>
      </c>
      <c r="E7896" t="s">
        <v>466</v>
      </c>
      <c r="F7896" t="s">
        <v>410</v>
      </c>
      <c r="G7896">
        <v>21</v>
      </c>
      <c r="I7896">
        <v>21</v>
      </c>
    </row>
    <row r="7897" spans="1:17" x14ac:dyDescent="0.2">
      <c r="A7897" s="121">
        <v>41851</v>
      </c>
      <c r="B7897" t="s">
        <v>406</v>
      </c>
      <c r="C7897" t="s">
        <v>456</v>
      </c>
      <c r="D7897" t="s">
        <v>467</v>
      </c>
      <c r="E7897" t="s">
        <v>468</v>
      </c>
      <c r="F7897" t="s">
        <v>410</v>
      </c>
      <c r="G7897">
        <v>1302</v>
      </c>
      <c r="I7897">
        <v>1302</v>
      </c>
    </row>
    <row r="7898" spans="1:17" x14ac:dyDescent="0.2">
      <c r="A7898" s="121">
        <v>41851</v>
      </c>
      <c r="B7898" t="s">
        <v>406</v>
      </c>
      <c r="C7898" t="s">
        <v>456</v>
      </c>
      <c r="D7898" t="s">
        <v>469</v>
      </c>
      <c r="E7898" t="s">
        <v>470</v>
      </c>
      <c r="F7898" t="s">
        <v>410</v>
      </c>
      <c r="G7898">
        <v>883</v>
      </c>
      <c r="I7898">
        <v>883</v>
      </c>
    </row>
    <row r="7899" spans="1:17" x14ac:dyDescent="0.2">
      <c r="A7899" s="121">
        <v>41851</v>
      </c>
      <c r="B7899" t="s">
        <v>406</v>
      </c>
      <c r="C7899" t="s">
        <v>456</v>
      </c>
      <c r="D7899" t="s">
        <v>471</v>
      </c>
      <c r="E7899" t="s">
        <v>472</v>
      </c>
      <c r="F7899" t="s">
        <v>410</v>
      </c>
      <c r="G7899">
        <v>316</v>
      </c>
      <c r="I7899">
        <v>314</v>
      </c>
    </row>
    <row r="7900" spans="1:17" x14ac:dyDescent="0.2">
      <c r="A7900" s="121">
        <v>41851</v>
      </c>
      <c r="B7900" t="s">
        <v>406</v>
      </c>
      <c r="C7900" t="s">
        <v>456</v>
      </c>
      <c r="D7900" t="s">
        <v>473</v>
      </c>
      <c r="E7900" t="s">
        <v>474</v>
      </c>
      <c r="F7900" t="s">
        <v>410</v>
      </c>
      <c r="G7900">
        <v>202</v>
      </c>
      <c r="I7900">
        <v>202</v>
      </c>
    </row>
    <row r="7901" spans="1:17" x14ac:dyDescent="0.2">
      <c r="A7901" s="121">
        <v>41851</v>
      </c>
      <c r="B7901" t="s">
        <v>406</v>
      </c>
      <c r="C7901" t="s">
        <v>456</v>
      </c>
      <c r="D7901" t="s">
        <v>475</v>
      </c>
      <c r="E7901" t="s">
        <v>476</v>
      </c>
      <c r="F7901" t="s">
        <v>410</v>
      </c>
      <c r="G7901">
        <v>294</v>
      </c>
      <c r="I7901">
        <v>286</v>
      </c>
    </row>
    <row r="7902" spans="1:17" x14ac:dyDescent="0.2">
      <c r="A7902" s="121">
        <v>41851</v>
      </c>
      <c r="B7902" t="s">
        <v>406</v>
      </c>
      <c r="C7902" t="s">
        <v>456</v>
      </c>
      <c r="D7902" t="s">
        <v>477</v>
      </c>
      <c r="E7902" t="s">
        <v>478</v>
      </c>
      <c r="F7902" t="s">
        <v>413</v>
      </c>
      <c r="G7902">
        <v>2021</v>
      </c>
      <c r="H7902">
        <v>2021</v>
      </c>
      <c r="I7902">
        <v>1917</v>
      </c>
      <c r="J7902">
        <v>1917</v>
      </c>
      <c r="K7902">
        <v>391</v>
      </c>
      <c r="L7902">
        <v>1</v>
      </c>
      <c r="M7902">
        <v>1612</v>
      </c>
      <c r="N7902">
        <v>17</v>
      </c>
      <c r="O7902">
        <v>0</v>
      </c>
      <c r="P7902">
        <v>3</v>
      </c>
      <c r="Q7902">
        <v>0</v>
      </c>
    </row>
    <row r="7903" spans="1:17" x14ac:dyDescent="0.2">
      <c r="A7903" s="121">
        <v>41851</v>
      </c>
      <c r="B7903" t="s">
        <v>406</v>
      </c>
      <c r="C7903" t="s">
        <v>456</v>
      </c>
      <c r="D7903" t="s">
        <v>479</v>
      </c>
      <c r="E7903" t="s">
        <v>480</v>
      </c>
      <c r="F7903" t="s">
        <v>410</v>
      </c>
      <c r="G7903">
        <v>77</v>
      </c>
      <c r="I7903">
        <v>77</v>
      </c>
    </row>
    <row r="7904" spans="1:17" x14ac:dyDescent="0.2">
      <c r="A7904" s="121">
        <v>41851</v>
      </c>
      <c r="B7904" t="s">
        <v>406</v>
      </c>
      <c r="C7904" t="s">
        <v>456</v>
      </c>
      <c r="D7904" t="s">
        <v>481</v>
      </c>
      <c r="E7904" t="s">
        <v>482</v>
      </c>
      <c r="F7904" t="s">
        <v>410</v>
      </c>
      <c r="G7904">
        <v>38</v>
      </c>
      <c r="I7904">
        <v>38</v>
      </c>
    </row>
    <row r="7905" spans="1:17" x14ac:dyDescent="0.2">
      <c r="A7905" s="121">
        <v>41851</v>
      </c>
      <c r="B7905" t="s">
        <v>406</v>
      </c>
      <c r="C7905" t="s">
        <v>456</v>
      </c>
      <c r="D7905" t="s">
        <v>483</v>
      </c>
      <c r="E7905" t="s">
        <v>484</v>
      </c>
      <c r="F7905" t="s">
        <v>410</v>
      </c>
      <c r="G7905">
        <v>105</v>
      </c>
      <c r="I7905">
        <v>105</v>
      </c>
    </row>
    <row r="7906" spans="1:17" x14ac:dyDescent="0.2">
      <c r="A7906" s="121">
        <v>41851</v>
      </c>
      <c r="B7906" t="s">
        <v>406</v>
      </c>
      <c r="C7906" t="s">
        <v>456</v>
      </c>
      <c r="D7906" t="s">
        <v>485</v>
      </c>
      <c r="E7906" t="s">
        <v>486</v>
      </c>
      <c r="F7906" t="s">
        <v>410</v>
      </c>
      <c r="G7906">
        <v>21</v>
      </c>
      <c r="I7906">
        <v>21</v>
      </c>
    </row>
    <row r="7907" spans="1:17" x14ac:dyDescent="0.2">
      <c r="A7907" s="121">
        <v>41851</v>
      </c>
      <c r="B7907" t="s">
        <v>406</v>
      </c>
      <c r="C7907" t="s">
        <v>456</v>
      </c>
      <c r="D7907" t="s">
        <v>487</v>
      </c>
      <c r="E7907" t="s">
        <v>488</v>
      </c>
      <c r="F7907" t="s">
        <v>410</v>
      </c>
      <c r="G7907">
        <v>39</v>
      </c>
      <c r="I7907">
        <v>39</v>
      </c>
    </row>
    <row r="7908" spans="1:17" x14ac:dyDescent="0.2">
      <c r="A7908" s="121">
        <v>41851</v>
      </c>
      <c r="B7908" t="s">
        <v>406</v>
      </c>
      <c r="C7908" t="s">
        <v>456</v>
      </c>
      <c r="D7908" t="s">
        <v>489</v>
      </c>
      <c r="E7908" t="s">
        <v>490</v>
      </c>
      <c r="F7908" t="s">
        <v>410</v>
      </c>
      <c r="G7908">
        <v>107</v>
      </c>
      <c r="I7908">
        <v>107</v>
      </c>
    </row>
    <row r="7909" spans="1:17" x14ac:dyDescent="0.2">
      <c r="A7909" s="121">
        <v>41851</v>
      </c>
      <c r="B7909" t="s">
        <v>406</v>
      </c>
      <c r="C7909" t="s">
        <v>491</v>
      </c>
      <c r="D7909" t="s">
        <v>492</v>
      </c>
      <c r="E7909" t="s">
        <v>493</v>
      </c>
      <c r="F7909" t="s">
        <v>410</v>
      </c>
      <c r="G7909">
        <v>1517</v>
      </c>
      <c r="H7909">
        <v>1517</v>
      </c>
      <c r="I7909">
        <v>1477</v>
      </c>
      <c r="J7909">
        <v>1477</v>
      </c>
      <c r="K7909">
        <v>246</v>
      </c>
      <c r="L7909">
        <v>2</v>
      </c>
      <c r="M7909">
        <v>1187</v>
      </c>
      <c r="N7909">
        <v>77</v>
      </c>
      <c r="O7909">
        <v>5</v>
      </c>
      <c r="P7909">
        <v>1</v>
      </c>
      <c r="Q7909">
        <v>0</v>
      </c>
    </row>
    <row r="7910" spans="1:17" x14ac:dyDescent="0.2">
      <c r="A7910" s="121">
        <v>41851</v>
      </c>
      <c r="B7910" t="s">
        <v>406</v>
      </c>
      <c r="C7910" t="s">
        <v>491</v>
      </c>
      <c r="D7910" t="s">
        <v>494</v>
      </c>
      <c r="E7910" t="s">
        <v>495</v>
      </c>
      <c r="F7910" t="s">
        <v>413</v>
      </c>
      <c r="G7910">
        <v>2950</v>
      </c>
      <c r="H7910">
        <v>2950</v>
      </c>
      <c r="I7910">
        <v>2730</v>
      </c>
      <c r="J7910">
        <v>2730</v>
      </c>
      <c r="K7910">
        <v>751</v>
      </c>
      <c r="L7910">
        <v>5</v>
      </c>
      <c r="M7910">
        <v>1993</v>
      </c>
      <c r="N7910">
        <v>26</v>
      </c>
      <c r="O7910">
        <v>175</v>
      </c>
      <c r="P7910">
        <v>7</v>
      </c>
      <c r="Q7910">
        <v>0</v>
      </c>
    </row>
    <row r="7911" spans="1:17" x14ac:dyDescent="0.2">
      <c r="A7911" s="121">
        <v>41851</v>
      </c>
      <c r="B7911" t="s">
        <v>406</v>
      </c>
      <c r="C7911" t="s">
        <v>491</v>
      </c>
      <c r="D7911" t="s">
        <v>496</v>
      </c>
      <c r="E7911" t="s">
        <v>497</v>
      </c>
      <c r="F7911" t="s">
        <v>413</v>
      </c>
      <c r="G7911">
        <v>6088</v>
      </c>
      <c r="H7911">
        <v>6088</v>
      </c>
      <c r="I7911">
        <v>5425</v>
      </c>
      <c r="J7911">
        <v>5425</v>
      </c>
      <c r="K7911">
        <v>1973</v>
      </c>
      <c r="L7911">
        <v>6</v>
      </c>
      <c r="M7911">
        <v>3824</v>
      </c>
      <c r="N7911">
        <v>107</v>
      </c>
      <c r="O7911">
        <v>178</v>
      </c>
      <c r="P7911">
        <v>19</v>
      </c>
      <c r="Q7911">
        <v>0</v>
      </c>
    </row>
    <row r="7912" spans="1:17" x14ac:dyDescent="0.2">
      <c r="A7912" s="121">
        <v>41851</v>
      </c>
      <c r="B7912" t="s">
        <v>406</v>
      </c>
      <c r="C7912" t="s">
        <v>491</v>
      </c>
      <c r="D7912" t="s">
        <v>498</v>
      </c>
      <c r="E7912" t="s">
        <v>499</v>
      </c>
      <c r="F7912" t="s">
        <v>413</v>
      </c>
      <c r="G7912">
        <v>7456</v>
      </c>
      <c r="H7912">
        <v>7456</v>
      </c>
      <c r="I7912">
        <v>6904</v>
      </c>
      <c r="J7912">
        <v>6904</v>
      </c>
      <c r="K7912">
        <v>2214</v>
      </c>
      <c r="L7912">
        <v>15</v>
      </c>
      <c r="M7912">
        <v>4781</v>
      </c>
      <c r="N7912">
        <v>81</v>
      </c>
      <c r="O7912">
        <v>365</v>
      </c>
      <c r="P7912">
        <v>10</v>
      </c>
      <c r="Q7912">
        <v>0</v>
      </c>
    </row>
    <row r="7913" spans="1:17" x14ac:dyDescent="0.2">
      <c r="A7913" s="121">
        <v>41851</v>
      </c>
      <c r="B7913" t="s">
        <v>406</v>
      </c>
      <c r="C7913" t="s">
        <v>491</v>
      </c>
      <c r="D7913" t="s">
        <v>500</v>
      </c>
      <c r="E7913" t="s">
        <v>620</v>
      </c>
      <c r="F7913" t="s">
        <v>410</v>
      </c>
      <c r="G7913">
        <v>1441</v>
      </c>
      <c r="H7913">
        <v>1441</v>
      </c>
      <c r="I7913">
        <v>1441</v>
      </c>
      <c r="J7913">
        <v>1441</v>
      </c>
      <c r="K7913">
        <v>0</v>
      </c>
      <c r="L7913">
        <v>0</v>
      </c>
      <c r="M7913">
        <v>1342</v>
      </c>
      <c r="N7913">
        <v>89</v>
      </c>
      <c r="O7913">
        <v>10</v>
      </c>
      <c r="P7913">
        <v>0</v>
      </c>
      <c r="Q7913">
        <v>0</v>
      </c>
    </row>
    <row r="7914" spans="1:17" x14ac:dyDescent="0.2">
      <c r="A7914" s="121">
        <v>41851</v>
      </c>
      <c r="B7914" t="s">
        <v>406</v>
      </c>
      <c r="C7914" t="s">
        <v>491</v>
      </c>
      <c r="D7914" t="s">
        <v>502</v>
      </c>
      <c r="E7914" t="s">
        <v>615</v>
      </c>
      <c r="F7914" t="s">
        <v>410</v>
      </c>
      <c r="G7914">
        <v>2010</v>
      </c>
      <c r="H7914">
        <v>2010</v>
      </c>
      <c r="I7914">
        <v>2009</v>
      </c>
      <c r="J7914">
        <v>2009</v>
      </c>
      <c r="K7914">
        <v>5</v>
      </c>
      <c r="L7914">
        <v>0</v>
      </c>
      <c r="M7914">
        <v>1891</v>
      </c>
      <c r="N7914">
        <v>111</v>
      </c>
      <c r="O7914">
        <v>3</v>
      </c>
      <c r="P7914">
        <v>0</v>
      </c>
      <c r="Q7914">
        <v>0</v>
      </c>
    </row>
    <row r="7915" spans="1:17" x14ac:dyDescent="0.2">
      <c r="A7915" s="121">
        <v>41851</v>
      </c>
      <c r="B7915" t="s">
        <v>406</v>
      </c>
      <c r="C7915" t="s">
        <v>491</v>
      </c>
      <c r="D7915" t="s">
        <v>502</v>
      </c>
      <c r="E7915" t="s">
        <v>503</v>
      </c>
      <c r="F7915" t="s">
        <v>413</v>
      </c>
      <c r="G7915">
        <v>5214</v>
      </c>
      <c r="H7915">
        <v>5214</v>
      </c>
      <c r="I7915">
        <v>4744</v>
      </c>
      <c r="J7915">
        <v>4744</v>
      </c>
      <c r="K7915">
        <v>1551</v>
      </c>
      <c r="L7915">
        <v>18</v>
      </c>
      <c r="M7915">
        <v>3233</v>
      </c>
      <c r="N7915">
        <v>322</v>
      </c>
      <c r="O7915">
        <v>90</v>
      </c>
      <c r="P7915">
        <v>20</v>
      </c>
      <c r="Q7915">
        <v>0</v>
      </c>
    </row>
    <row r="7916" spans="1:17" x14ac:dyDescent="0.2">
      <c r="A7916" s="121">
        <v>41851</v>
      </c>
      <c r="B7916" t="s">
        <v>406</v>
      </c>
      <c r="C7916" t="s">
        <v>491</v>
      </c>
      <c r="D7916" t="s">
        <v>504</v>
      </c>
      <c r="E7916" t="s">
        <v>505</v>
      </c>
      <c r="F7916" t="s">
        <v>413</v>
      </c>
      <c r="G7916">
        <v>4167</v>
      </c>
      <c r="H7916">
        <v>4167</v>
      </c>
      <c r="I7916">
        <v>3849</v>
      </c>
      <c r="J7916">
        <v>3849</v>
      </c>
      <c r="K7916">
        <v>1191</v>
      </c>
      <c r="L7916">
        <v>9</v>
      </c>
      <c r="M7916">
        <v>2737</v>
      </c>
      <c r="N7916">
        <v>164</v>
      </c>
      <c r="O7916">
        <v>66</v>
      </c>
      <c r="P7916">
        <v>5</v>
      </c>
      <c r="Q7916">
        <v>0</v>
      </c>
    </row>
    <row r="7917" spans="1:17" x14ac:dyDescent="0.2">
      <c r="A7917" s="121">
        <v>41851</v>
      </c>
      <c r="B7917" t="s">
        <v>406</v>
      </c>
      <c r="C7917" t="s">
        <v>491</v>
      </c>
      <c r="D7917" t="s">
        <v>506</v>
      </c>
      <c r="E7917" t="s">
        <v>507</v>
      </c>
      <c r="F7917" t="s">
        <v>413</v>
      </c>
      <c r="G7917">
        <v>3533</v>
      </c>
      <c r="H7917">
        <v>3533</v>
      </c>
      <c r="I7917">
        <v>3475</v>
      </c>
      <c r="J7917">
        <v>3475</v>
      </c>
      <c r="K7917">
        <v>968</v>
      </c>
      <c r="L7917">
        <v>1</v>
      </c>
      <c r="M7917">
        <v>2558</v>
      </c>
      <c r="N7917">
        <v>1</v>
      </c>
      <c r="O7917">
        <v>5</v>
      </c>
      <c r="P7917">
        <v>0</v>
      </c>
      <c r="Q7917">
        <v>0</v>
      </c>
    </row>
    <row r="7918" spans="1:17" x14ac:dyDescent="0.2">
      <c r="A7918" s="121">
        <v>41851</v>
      </c>
      <c r="B7918" t="s">
        <v>406</v>
      </c>
      <c r="C7918" t="s">
        <v>491</v>
      </c>
      <c r="D7918" t="s">
        <v>508</v>
      </c>
      <c r="E7918" t="s">
        <v>509</v>
      </c>
      <c r="F7918" t="s">
        <v>413</v>
      </c>
      <c r="G7918">
        <v>4997</v>
      </c>
      <c r="H7918">
        <v>4997</v>
      </c>
      <c r="I7918">
        <v>4462</v>
      </c>
      <c r="J7918">
        <v>4462</v>
      </c>
      <c r="K7918">
        <v>1618</v>
      </c>
      <c r="L7918">
        <v>10</v>
      </c>
      <c r="M7918">
        <v>3162</v>
      </c>
      <c r="N7918">
        <v>96</v>
      </c>
      <c r="O7918">
        <v>111</v>
      </c>
      <c r="P7918">
        <v>9</v>
      </c>
      <c r="Q7918">
        <v>0</v>
      </c>
    </row>
    <row r="7919" spans="1:17" x14ac:dyDescent="0.2">
      <c r="A7919" s="121">
        <v>41851</v>
      </c>
      <c r="B7919" t="s">
        <v>406</v>
      </c>
      <c r="C7919" t="s">
        <v>510</v>
      </c>
      <c r="D7919" t="s">
        <v>513</v>
      </c>
      <c r="E7919" t="s">
        <v>514</v>
      </c>
      <c r="F7919" t="s">
        <v>410</v>
      </c>
      <c r="G7919">
        <v>719</v>
      </c>
      <c r="I7919">
        <v>716</v>
      </c>
    </row>
    <row r="7920" spans="1:17" x14ac:dyDescent="0.2">
      <c r="A7920" s="121">
        <v>41851</v>
      </c>
      <c r="B7920" t="s">
        <v>406</v>
      </c>
      <c r="C7920" t="s">
        <v>510</v>
      </c>
      <c r="D7920" t="s">
        <v>515</v>
      </c>
      <c r="E7920" t="s">
        <v>516</v>
      </c>
      <c r="F7920" t="s">
        <v>410</v>
      </c>
      <c r="G7920">
        <v>161</v>
      </c>
      <c r="I7920">
        <v>156</v>
      </c>
    </row>
    <row r="7921" spans="1:17" x14ac:dyDescent="0.2">
      <c r="A7921" s="121">
        <v>41851</v>
      </c>
      <c r="B7921" t="s">
        <v>406</v>
      </c>
      <c r="C7921" t="s">
        <v>510</v>
      </c>
      <c r="D7921" t="s">
        <v>519</v>
      </c>
      <c r="E7921" t="s">
        <v>520</v>
      </c>
      <c r="F7921" t="s">
        <v>410</v>
      </c>
      <c r="G7921">
        <v>432</v>
      </c>
      <c r="I7921">
        <v>423</v>
      </c>
    </row>
    <row r="7922" spans="1:17" x14ac:dyDescent="0.2">
      <c r="A7922" s="121">
        <v>41851</v>
      </c>
      <c r="B7922" t="s">
        <v>406</v>
      </c>
      <c r="C7922" t="s">
        <v>510</v>
      </c>
      <c r="D7922" t="s">
        <v>523</v>
      </c>
      <c r="E7922" t="s">
        <v>524</v>
      </c>
      <c r="F7922" t="s">
        <v>413</v>
      </c>
      <c r="G7922">
        <v>665</v>
      </c>
      <c r="H7922">
        <v>665</v>
      </c>
      <c r="I7922">
        <v>645</v>
      </c>
      <c r="J7922">
        <v>645</v>
      </c>
      <c r="K7922">
        <v>117</v>
      </c>
      <c r="L7922">
        <v>0</v>
      </c>
      <c r="M7922">
        <v>536</v>
      </c>
      <c r="N7922">
        <v>12</v>
      </c>
      <c r="O7922">
        <v>0</v>
      </c>
      <c r="P7922">
        <v>1</v>
      </c>
      <c r="Q7922">
        <v>0</v>
      </c>
    </row>
    <row r="7923" spans="1:17" x14ac:dyDescent="0.2">
      <c r="A7923" s="121">
        <v>41851</v>
      </c>
      <c r="B7923" t="s">
        <v>406</v>
      </c>
      <c r="C7923" t="s">
        <v>510</v>
      </c>
      <c r="D7923" t="s">
        <v>525</v>
      </c>
      <c r="E7923" t="s">
        <v>526</v>
      </c>
      <c r="F7923" t="s">
        <v>410</v>
      </c>
      <c r="G7923">
        <v>498</v>
      </c>
      <c r="I7923">
        <v>495</v>
      </c>
    </row>
    <row r="7924" spans="1:17" x14ac:dyDescent="0.2">
      <c r="A7924" s="121">
        <v>41851</v>
      </c>
      <c r="B7924" t="s">
        <v>406</v>
      </c>
      <c r="C7924" t="s">
        <v>510</v>
      </c>
      <c r="D7924" t="s">
        <v>527</v>
      </c>
      <c r="E7924" t="s">
        <v>528</v>
      </c>
      <c r="F7924" t="s">
        <v>410</v>
      </c>
      <c r="G7924">
        <v>224</v>
      </c>
      <c r="I7924">
        <v>224</v>
      </c>
    </row>
    <row r="7925" spans="1:17" x14ac:dyDescent="0.2">
      <c r="A7925" s="121">
        <v>41851</v>
      </c>
      <c r="B7925" t="s">
        <v>406</v>
      </c>
      <c r="C7925" t="s">
        <v>510</v>
      </c>
      <c r="D7925" t="s">
        <v>529</v>
      </c>
      <c r="E7925" t="s">
        <v>530</v>
      </c>
      <c r="F7925" t="s">
        <v>413</v>
      </c>
      <c r="G7925">
        <v>561</v>
      </c>
      <c r="H7925">
        <v>561</v>
      </c>
      <c r="I7925">
        <v>526</v>
      </c>
      <c r="J7925">
        <v>526</v>
      </c>
      <c r="K7925">
        <v>149</v>
      </c>
      <c r="L7925">
        <v>0</v>
      </c>
      <c r="M7925">
        <v>406</v>
      </c>
      <c r="N7925">
        <v>6</v>
      </c>
      <c r="O7925">
        <v>0</v>
      </c>
      <c r="P7925">
        <v>4</v>
      </c>
      <c r="Q7925">
        <v>0</v>
      </c>
    </row>
    <row r="7926" spans="1:17" x14ac:dyDescent="0.2">
      <c r="A7926" s="121">
        <v>41851</v>
      </c>
      <c r="B7926" t="s">
        <v>406</v>
      </c>
      <c r="C7926" t="s">
        <v>510</v>
      </c>
      <c r="D7926" t="s">
        <v>531</v>
      </c>
      <c r="E7926" t="s">
        <v>532</v>
      </c>
      <c r="F7926" t="s">
        <v>410</v>
      </c>
      <c r="G7926">
        <v>36</v>
      </c>
      <c r="I7926">
        <v>36</v>
      </c>
    </row>
    <row r="7927" spans="1:17" x14ac:dyDescent="0.2">
      <c r="A7927" s="121">
        <v>41851</v>
      </c>
      <c r="B7927" t="s">
        <v>406</v>
      </c>
      <c r="C7927" t="s">
        <v>510</v>
      </c>
      <c r="D7927" t="s">
        <v>533</v>
      </c>
      <c r="E7927" t="s">
        <v>534</v>
      </c>
      <c r="F7927" t="s">
        <v>413</v>
      </c>
      <c r="G7927">
        <v>2966</v>
      </c>
      <c r="H7927">
        <v>2966</v>
      </c>
      <c r="I7927">
        <v>2863</v>
      </c>
      <c r="J7927">
        <v>2863</v>
      </c>
      <c r="K7927">
        <v>709</v>
      </c>
      <c r="L7927">
        <v>4</v>
      </c>
      <c r="M7927">
        <v>2246</v>
      </c>
      <c r="N7927">
        <v>7</v>
      </c>
      <c r="O7927">
        <v>0</v>
      </c>
      <c r="P7927">
        <v>3</v>
      </c>
      <c r="Q7927">
        <v>0</v>
      </c>
    </row>
    <row r="7928" spans="1:17" x14ac:dyDescent="0.2">
      <c r="A7928" s="121">
        <v>41851</v>
      </c>
      <c r="B7928" t="s">
        <v>406</v>
      </c>
      <c r="C7928" t="s">
        <v>510</v>
      </c>
      <c r="D7928" t="s">
        <v>535</v>
      </c>
      <c r="E7928" t="s">
        <v>536</v>
      </c>
      <c r="F7928" t="s">
        <v>410</v>
      </c>
      <c r="G7928">
        <v>499</v>
      </c>
      <c r="I7928">
        <v>497</v>
      </c>
    </row>
    <row r="7929" spans="1:17" x14ac:dyDescent="0.2">
      <c r="A7929" s="121">
        <v>41851</v>
      </c>
      <c r="B7929" t="s">
        <v>406</v>
      </c>
      <c r="C7929" t="s">
        <v>510</v>
      </c>
      <c r="D7929" t="s">
        <v>537</v>
      </c>
      <c r="E7929" t="s">
        <v>538</v>
      </c>
      <c r="F7929" t="s">
        <v>410</v>
      </c>
      <c r="G7929">
        <v>128</v>
      </c>
      <c r="I7929">
        <v>128</v>
      </c>
    </row>
    <row r="7930" spans="1:17" x14ac:dyDescent="0.2">
      <c r="A7930" s="121">
        <v>41851</v>
      </c>
      <c r="B7930" t="s">
        <v>406</v>
      </c>
      <c r="C7930" t="s">
        <v>510</v>
      </c>
      <c r="D7930" t="s">
        <v>539</v>
      </c>
      <c r="E7930" t="s">
        <v>540</v>
      </c>
      <c r="F7930" t="s">
        <v>413</v>
      </c>
      <c r="G7930">
        <v>956</v>
      </c>
      <c r="H7930">
        <v>956</v>
      </c>
      <c r="I7930">
        <v>918</v>
      </c>
      <c r="J7930">
        <v>918</v>
      </c>
      <c r="K7930">
        <v>134</v>
      </c>
      <c r="L7930">
        <v>0</v>
      </c>
      <c r="M7930">
        <v>820</v>
      </c>
      <c r="N7930">
        <v>2</v>
      </c>
      <c r="O7930">
        <v>0</v>
      </c>
      <c r="P7930">
        <v>1</v>
      </c>
      <c r="Q7930">
        <v>0</v>
      </c>
    </row>
    <row r="7931" spans="1:17" x14ac:dyDescent="0.2">
      <c r="A7931" s="121">
        <v>41851</v>
      </c>
      <c r="B7931" t="s">
        <v>406</v>
      </c>
      <c r="C7931" t="s">
        <v>510</v>
      </c>
      <c r="D7931" t="s">
        <v>541</v>
      </c>
      <c r="E7931" t="s">
        <v>542</v>
      </c>
      <c r="F7931" t="s">
        <v>410</v>
      </c>
      <c r="G7931">
        <v>453</v>
      </c>
      <c r="I7931">
        <v>453</v>
      </c>
    </row>
    <row r="7932" spans="1:17" x14ac:dyDescent="0.2">
      <c r="A7932" s="121">
        <v>41851</v>
      </c>
      <c r="B7932" t="s">
        <v>406</v>
      </c>
      <c r="C7932" t="s">
        <v>510</v>
      </c>
      <c r="D7932" t="s">
        <v>543</v>
      </c>
      <c r="E7932" t="s">
        <v>544</v>
      </c>
      <c r="F7932" t="s">
        <v>410</v>
      </c>
      <c r="G7932">
        <v>309</v>
      </c>
      <c r="I7932">
        <v>309</v>
      </c>
    </row>
    <row r="7933" spans="1:17" x14ac:dyDescent="0.2">
      <c r="A7933" s="121">
        <v>41851</v>
      </c>
      <c r="B7933" t="s">
        <v>406</v>
      </c>
      <c r="C7933" t="s">
        <v>510</v>
      </c>
      <c r="D7933" t="s">
        <v>545</v>
      </c>
      <c r="E7933" t="s">
        <v>546</v>
      </c>
      <c r="F7933" t="s">
        <v>410</v>
      </c>
      <c r="G7933">
        <v>165</v>
      </c>
      <c r="I7933">
        <v>165</v>
      </c>
    </row>
    <row r="7934" spans="1:17" x14ac:dyDescent="0.2">
      <c r="A7934" s="121">
        <v>41851</v>
      </c>
      <c r="B7934" t="s">
        <v>406</v>
      </c>
      <c r="C7934" t="s">
        <v>510</v>
      </c>
      <c r="D7934" t="s">
        <v>547</v>
      </c>
      <c r="E7934" t="s">
        <v>548</v>
      </c>
      <c r="F7934" t="s">
        <v>410</v>
      </c>
      <c r="G7934">
        <v>175</v>
      </c>
      <c r="I7934">
        <v>175</v>
      </c>
    </row>
    <row r="7935" spans="1:17" x14ac:dyDescent="0.2">
      <c r="A7935" s="121">
        <v>41851</v>
      </c>
      <c r="B7935" t="s">
        <v>406</v>
      </c>
      <c r="C7935" t="s">
        <v>510</v>
      </c>
      <c r="D7935" t="s">
        <v>616</v>
      </c>
      <c r="E7935" t="s">
        <v>617</v>
      </c>
      <c r="F7935" t="s">
        <v>410</v>
      </c>
      <c r="G7935">
        <v>387</v>
      </c>
      <c r="I7935">
        <v>376</v>
      </c>
    </row>
    <row r="7936" spans="1:17" x14ac:dyDescent="0.2">
      <c r="A7936" s="121">
        <v>41851</v>
      </c>
      <c r="B7936" t="s">
        <v>406</v>
      </c>
      <c r="C7936" t="s">
        <v>510</v>
      </c>
      <c r="D7936" t="s">
        <v>549</v>
      </c>
      <c r="E7936" t="s">
        <v>550</v>
      </c>
      <c r="F7936" t="s">
        <v>410</v>
      </c>
      <c r="G7936">
        <v>252</v>
      </c>
      <c r="I7936">
        <v>252</v>
      </c>
    </row>
    <row r="7937" spans="1:17" x14ac:dyDescent="0.2">
      <c r="A7937" s="121">
        <v>41851</v>
      </c>
      <c r="B7937" t="s">
        <v>406</v>
      </c>
      <c r="C7937" t="s">
        <v>510</v>
      </c>
      <c r="D7937" t="s">
        <v>625</v>
      </c>
      <c r="E7937" t="s">
        <v>626</v>
      </c>
      <c r="F7937" t="s">
        <v>410</v>
      </c>
      <c r="G7937">
        <v>109</v>
      </c>
      <c r="I7937">
        <v>105</v>
      </c>
    </row>
    <row r="7938" spans="1:17" x14ac:dyDescent="0.2">
      <c r="A7938" s="121">
        <v>41851</v>
      </c>
      <c r="B7938" t="s">
        <v>406</v>
      </c>
      <c r="C7938" t="s">
        <v>551</v>
      </c>
      <c r="D7938" t="s">
        <v>552</v>
      </c>
      <c r="E7938" t="s">
        <v>553</v>
      </c>
      <c r="F7938" t="s">
        <v>413</v>
      </c>
      <c r="G7938">
        <v>5856</v>
      </c>
      <c r="H7938">
        <v>5856</v>
      </c>
      <c r="I7938">
        <v>5208</v>
      </c>
      <c r="J7938">
        <v>5208</v>
      </c>
      <c r="K7938">
        <v>1656</v>
      </c>
      <c r="L7938">
        <v>10</v>
      </c>
      <c r="M7938">
        <v>3877</v>
      </c>
      <c r="N7938">
        <v>180</v>
      </c>
      <c r="O7938">
        <v>133</v>
      </c>
      <c r="P7938">
        <v>13</v>
      </c>
      <c r="Q7938">
        <v>1</v>
      </c>
    </row>
    <row r="7939" spans="1:17" x14ac:dyDescent="0.2">
      <c r="A7939" s="121">
        <v>41851</v>
      </c>
      <c r="B7939" t="s">
        <v>406</v>
      </c>
      <c r="C7939" t="s">
        <v>551</v>
      </c>
      <c r="D7939" t="s">
        <v>554</v>
      </c>
      <c r="E7939" t="s">
        <v>555</v>
      </c>
      <c r="F7939" t="s">
        <v>410</v>
      </c>
      <c r="G7939">
        <v>107</v>
      </c>
      <c r="I7939">
        <v>107</v>
      </c>
    </row>
    <row r="7940" spans="1:17" x14ac:dyDescent="0.2">
      <c r="A7940" s="121">
        <v>41851</v>
      </c>
      <c r="B7940" t="s">
        <v>406</v>
      </c>
      <c r="C7940" t="s">
        <v>551</v>
      </c>
      <c r="D7940" t="s">
        <v>556</v>
      </c>
      <c r="E7940" t="s">
        <v>557</v>
      </c>
      <c r="F7940" t="s">
        <v>410</v>
      </c>
      <c r="G7940">
        <v>125</v>
      </c>
      <c r="I7940">
        <v>125</v>
      </c>
    </row>
    <row r="7941" spans="1:17" x14ac:dyDescent="0.2">
      <c r="A7941" s="121">
        <v>41851</v>
      </c>
      <c r="B7941" t="s">
        <v>406</v>
      </c>
      <c r="C7941" t="s">
        <v>551</v>
      </c>
      <c r="D7941" t="s">
        <v>558</v>
      </c>
      <c r="E7941" t="s">
        <v>559</v>
      </c>
      <c r="F7941" t="s">
        <v>413</v>
      </c>
      <c r="G7941">
        <v>4999</v>
      </c>
      <c r="H7941">
        <v>4999</v>
      </c>
      <c r="I7941">
        <v>4388</v>
      </c>
      <c r="J7941">
        <v>4388</v>
      </c>
      <c r="K7941">
        <v>1410</v>
      </c>
      <c r="L7941">
        <v>6</v>
      </c>
      <c r="M7941">
        <v>3413</v>
      </c>
      <c r="N7941">
        <v>146</v>
      </c>
      <c r="O7941">
        <v>24</v>
      </c>
      <c r="P7941">
        <v>85</v>
      </c>
      <c r="Q7941">
        <v>14</v>
      </c>
    </row>
    <row r="7942" spans="1:17" x14ac:dyDescent="0.2">
      <c r="A7942" s="121">
        <v>41851</v>
      </c>
      <c r="B7942" t="s">
        <v>406</v>
      </c>
      <c r="C7942" t="s">
        <v>551</v>
      </c>
      <c r="D7942" t="s">
        <v>560</v>
      </c>
      <c r="E7942" t="s">
        <v>561</v>
      </c>
      <c r="F7942" t="s">
        <v>413</v>
      </c>
      <c r="G7942">
        <v>5613</v>
      </c>
      <c r="H7942">
        <v>5613</v>
      </c>
      <c r="I7942">
        <v>5145</v>
      </c>
      <c r="J7942">
        <v>5145</v>
      </c>
      <c r="K7942">
        <v>1158</v>
      </c>
      <c r="L7942">
        <v>5</v>
      </c>
      <c r="M7942">
        <v>4180</v>
      </c>
      <c r="N7942">
        <v>156</v>
      </c>
      <c r="O7942">
        <v>114</v>
      </c>
      <c r="P7942">
        <v>32</v>
      </c>
      <c r="Q7942">
        <v>5</v>
      </c>
    </row>
    <row r="7943" spans="1:17" x14ac:dyDescent="0.2">
      <c r="A7943" s="121">
        <v>41851</v>
      </c>
      <c r="B7943" t="s">
        <v>406</v>
      </c>
      <c r="C7943" t="s">
        <v>562</v>
      </c>
      <c r="D7943" t="s">
        <v>605</v>
      </c>
      <c r="E7943" t="s">
        <v>606</v>
      </c>
      <c r="F7943" t="s">
        <v>410</v>
      </c>
      <c r="G7943">
        <v>166</v>
      </c>
      <c r="I7943">
        <v>166</v>
      </c>
    </row>
    <row r="7944" spans="1:17" x14ac:dyDescent="0.2">
      <c r="A7944" s="121">
        <v>41851</v>
      </c>
      <c r="B7944" t="s">
        <v>406</v>
      </c>
      <c r="C7944" t="s">
        <v>562</v>
      </c>
      <c r="D7944" t="s">
        <v>563</v>
      </c>
      <c r="E7944" t="s">
        <v>564</v>
      </c>
      <c r="F7944" t="s">
        <v>410</v>
      </c>
      <c r="G7944">
        <v>3406</v>
      </c>
      <c r="H7944">
        <v>3406</v>
      </c>
      <c r="I7944">
        <v>2987</v>
      </c>
      <c r="J7944">
        <v>2987</v>
      </c>
      <c r="K7944">
        <v>1150</v>
      </c>
      <c r="L7944">
        <v>0</v>
      </c>
      <c r="M7944">
        <v>2228</v>
      </c>
      <c r="N7944">
        <v>28</v>
      </c>
      <c r="O7944">
        <v>0</v>
      </c>
      <c r="P7944">
        <v>39</v>
      </c>
      <c r="Q7944">
        <v>4</v>
      </c>
    </row>
    <row r="7945" spans="1:17" x14ac:dyDescent="0.2">
      <c r="A7945" s="121">
        <v>41851</v>
      </c>
      <c r="B7945" t="s">
        <v>406</v>
      </c>
      <c r="C7945" t="s">
        <v>562</v>
      </c>
      <c r="D7945" t="s">
        <v>565</v>
      </c>
      <c r="E7945" t="s">
        <v>566</v>
      </c>
      <c r="F7945" t="s">
        <v>413</v>
      </c>
      <c r="G7945">
        <v>4578</v>
      </c>
      <c r="H7945">
        <v>4578</v>
      </c>
      <c r="I7945">
        <v>4378</v>
      </c>
      <c r="J7945">
        <v>4378</v>
      </c>
      <c r="K7945">
        <v>998</v>
      </c>
      <c r="L7945">
        <v>5</v>
      </c>
      <c r="M7945">
        <v>3502</v>
      </c>
      <c r="N7945">
        <v>73</v>
      </c>
      <c r="O7945">
        <v>0</v>
      </c>
      <c r="P7945">
        <v>4</v>
      </c>
      <c r="Q7945">
        <v>0</v>
      </c>
    </row>
    <row r="7946" spans="1:17" x14ac:dyDescent="0.2">
      <c r="A7946" s="121">
        <v>41851</v>
      </c>
      <c r="B7946" t="s">
        <v>406</v>
      </c>
      <c r="C7946" t="s">
        <v>562</v>
      </c>
      <c r="D7946" t="s">
        <v>567</v>
      </c>
      <c r="E7946" t="s">
        <v>568</v>
      </c>
      <c r="F7946" t="s">
        <v>413</v>
      </c>
      <c r="G7946">
        <v>10108</v>
      </c>
      <c r="H7946">
        <v>10108</v>
      </c>
      <c r="I7946">
        <v>9574</v>
      </c>
      <c r="J7946">
        <v>9574</v>
      </c>
      <c r="K7946">
        <v>2898</v>
      </c>
      <c r="L7946">
        <v>14</v>
      </c>
      <c r="M7946">
        <v>6946</v>
      </c>
      <c r="N7946">
        <v>250</v>
      </c>
      <c r="O7946">
        <v>0</v>
      </c>
      <c r="P7946">
        <v>34</v>
      </c>
      <c r="Q7946">
        <v>1</v>
      </c>
    </row>
    <row r="7947" spans="1:17" x14ac:dyDescent="0.2">
      <c r="A7947" s="121">
        <v>41851</v>
      </c>
      <c r="B7947" t="s">
        <v>406</v>
      </c>
      <c r="C7947" t="s">
        <v>562</v>
      </c>
      <c r="D7947" t="s">
        <v>569</v>
      </c>
      <c r="E7947" t="s">
        <v>570</v>
      </c>
      <c r="F7947" t="s">
        <v>413</v>
      </c>
      <c r="G7947">
        <v>3028</v>
      </c>
      <c r="H7947">
        <v>3028</v>
      </c>
      <c r="I7947">
        <v>3003</v>
      </c>
      <c r="J7947">
        <v>3003</v>
      </c>
      <c r="K7947">
        <v>378</v>
      </c>
      <c r="L7947">
        <v>1</v>
      </c>
      <c r="M7947">
        <v>2649</v>
      </c>
      <c r="N7947">
        <v>0</v>
      </c>
      <c r="O7947">
        <v>0</v>
      </c>
      <c r="P7947">
        <v>0</v>
      </c>
      <c r="Q7947">
        <v>0</v>
      </c>
    </row>
    <row r="7948" spans="1:17" x14ac:dyDescent="0.2">
      <c r="A7948" s="121">
        <v>41851</v>
      </c>
      <c r="B7948" t="s">
        <v>406</v>
      </c>
      <c r="C7948" t="s">
        <v>571</v>
      </c>
      <c r="D7948" t="s">
        <v>572</v>
      </c>
      <c r="E7948" t="s">
        <v>627</v>
      </c>
      <c r="F7948" t="s">
        <v>413</v>
      </c>
      <c r="G7948">
        <v>489</v>
      </c>
      <c r="H7948">
        <v>489</v>
      </c>
      <c r="I7948">
        <v>484</v>
      </c>
      <c r="J7948">
        <v>484</v>
      </c>
      <c r="K7948">
        <v>122</v>
      </c>
      <c r="L7948">
        <v>0</v>
      </c>
      <c r="M7948">
        <v>358</v>
      </c>
      <c r="N7948">
        <v>3</v>
      </c>
      <c r="O7948">
        <v>6</v>
      </c>
      <c r="P7948">
        <v>0</v>
      </c>
      <c r="Q7948">
        <v>0</v>
      </c>
    </row>
    <row r="7949" spans="1:17" x14ac:dyDescent="0.2">
      <c r="A7949" s="121">
        <v>41851</v>
      </c>
      <c r="B7949" t="s">
        <v>406</v>
      </c>
      <c r="C7949" t="s">
        <v>574</v>
      </c>
      <c r="D7949" t="s">
        <v>575</v>
      </c>
      <c r="E7949" t="s">
        <v>576</v>
      </c>
      <c r="F7949" t="s">
        <v>413</v>
      </c>
      <c r="G7949">
        <v>703</v>
      </c>
      <c r="H7949">
        <v>703</v>
      </c>
      <c r="I7949">
        <v>680</v>
      </c>
      <c r="J7949">
        <v>680</v>
      </c>
      <c r="K7949">
        <v>154</v>
      </c>
      <c r="L7949">
        <v>1</v>
      </c>
      <c r="M7949">
        <v>517</v>
      </c>
      <c r="N7949">
        <v>3</v>
      </c>
      <c r="O7949">
        <v>28</v>
      </c>
      <c r="P7949">
        <v>1</v>
      </c>
      <c r="Q7949">
        <v>0</v>
      </c>
    </row>
    <row r="7950" spans="1:17" x14ac:dyDescent="0.2">
      <c r="A7950" s="121">
        <v>41851</v>
      </c>
      <c r="B7950" t="s">
        <v>406</v>
      </c>
      <c r="C7950" t="s">
        <v>577</v>
      </c>
      <c r="D7950" t="s">
        <v>578</v>
      </c>
      <c r="E7950" t="s">
        <v>579</v>
      </c>
      <c r="F7950" t="s">
        <v>413</v>
      </c>
      <c r="G7950">
        <v>4051</v>
      </c>
      <c r="H7950">
        <v>4051</v>
      </c>
      <c r="I7950">
        <v>4004</v>
      </c>
      <c r="J7950">
        <v>4004</v>
      </c>
      <c r="K7950">
        <v>892</v>
      </c>
      <c r="L7950">
        <v>11</v>
      </c>
      <c r="M7950">
        <v>2905</v>
      </c>
      <c r="N7950">
        <v>232</v>
      </c>
      <c r="O7950">
        <v>11</v>
      </c>
      <c r="P7950">
        <v>0</v>
      </c>
      <c r="Q7950">
        <v>0</v>
      </c>
    </row>
    <row r="7951" spans="1:17" x14ac:dyDescent="0.2">
      <c r="A7951" s="121">
        <v>41851</v>
      </c>
      <c r="B7951" t="s">
        <v>406</v>
      </c>
      <c r="C7951" t="s">
        <v>577</v>
      </c>
      <c r="D7951" t="s">
        <v>580</v>
      </c>
      <c r="E7951" t="s">
        <v>581</v>
      </c>
      <c r="F7951" t="s">
        <v>413</v>
      </c>
      <c r="G7951">
        <v>2324</v>
      </c>
      <c r="H7951">
        <v>2324</v>
      </c>
      <c r="I7951">
        <v>2300</v>
      </c>
      <c r="J7951">
        <v>2300</v>
      </c>
      <c r="K7951">
        <v>340</v>
      </c>
      <c r="L7951">
        <v>0</v>
      </c>
      <c r="M7951">
        <v>1567</v>
      </c>
      <c r="N7951">
        <v>360</v>
      </c>
      <c r="O7951">
        <v>57</v>
      </c>
      <c r="P7951">
        <v>0</v>
      </c>
      <c r="Q7951">
        <v>0</v>
      </c>
    </row>
    <row r="7952" spans="1:17" x14ac:dyDescent="0.2">
      <c r="A7952" s="121">
        <v>41851</v>
      </c>
      <c r="B7952" t="s">
        <v>406</v>
      </c>
      <c r="C7952" t="s">
        <v>577</v>
      </c>
      <c r="D7952" t="s">
        <v>609</v>
      </c>
      <c r="E7952" t="s">
        <v>610</v>
      </c>
      <c r="F7952" t="s">
        <v>410</v>
      </c>
      <c r="G7952">
        <v>27</v>
      </c>
      <c r="H7952">
        <v>27</v>
      </c>
      <c r="I7952">
        <v>27</v>
      </c>
      <c r="J7952">
        <v>27</v>
      </c>
      <c r="K7952">
        <v>0</v>
      </c>
      <c r="L7952">
        <v>0</v>
      </c>
      <c r="M7952">
        <v>23</v>
      </c>
      <c r="N7952">
        <v>3</v>
      </c>
      <c r="O7952">
        <v>1</v>
      </c>
      <c r="P7952">
        <v>0</v>
      </c>
      <c r="Q7952">
        <v>0</v>
      </c>
    </row>
    <row r="7953" spans="1:17" x14ac:dyDescent="0.2">
      <c r="A7953" s="121">
        <v>41851</v>
      </c>
      <c r="B7953" t="s">
        <v>406</v>
      </c>
      <c r="C7953" t="s">
        <v>577</v>
      </c>
      <c r="D7953" t="s">
        <v>611</v>
      </c>
      <c r="E7953" t="s">
        <v>612</v>
      </c>
      <c r="F7953" t="s">
        <v>410</v>
      </c>
      <c r="G7953">
        <v>4</v>
      </c>
      <c r="H7953">
        <v>4</v>
      </c>
      <c r="I7953">
        <v>4</v>
      </c>
      <c r="J7953">
        <v>4</v>
      </c>
      <c r="K7953">
        <v>0</v>
      </c>
      <c r="L7953">
        <v>0</v>
      </c>
      <c r="M7953">
        <v>3</v>
      </c>
      <c r="N7953">
        <v>1</v>
      </c>
      <c r="O7953">
        <v>0</v>
      </c>
      <c r="P7953">
        <v>0</v>
      </c>
      <c r="Q7953">
        <v>0</v>
      </c>
    </row>
    <row r="7954" spans="1:17" x14ac:dyDescent="0.2">
      <c r="A7954" s="121">
        <v>41851</v>
      </c>
      <c r="B7954" t="s">
        <v>406</v>
      </c>
      <c r="C7954" t="s">
        <v>577</v>
      </c>
      <c r="D7954" t="s">
        <v>584</v>
      </c>
      <c r="E7954" t="s">
        <v>585</v>
      </c>
      <c r="F7954" t="s">
        <v>410</v>
      </c>
      <c r="G7954">
        <v>278</v>
      </c>
      <c r="H7954">
        <v>278</v>
      </c>
      <c r="I7954">
        <v>278</v>
      </c>
      <c r="J7954">
        <v>278</v>
      </c>
      <c r="K7954">
        <v>0</v>
      </c>
      <c r="L7954">
        <v>0</v>
      </c>
      <c r="M7954">
        <v>257</v>
      </c>
      <c r="N7954">
        <v>21</v>
      </c>
      <c r="O7954">
        <v>0</v>
      </c>
      <c r="P7954">
        <v>0</v>
      </c>
      <c r="Q7954">
        <v>0</v>
      </c>
    </row>
    <row r="7955" spans="1:17" x14ac:dyDescent="0.2">
      <c r="A7955" s="121">
        <v>41851</v>
      </c>
      <c r="B7955" t="s">
        <v>406</v>
      </c>
      <c r="C7955" t="s">
        <v>577</v>
      </c>
      <c r="D7955" t="s">
        <v>586</v>
      </c>
      <c r="E7955" t="s">
        <v>587</v>
      </c>
      <c r="F7955" t="s">
        <v>410</v>
      </c>
      <c r="G7955">
        <v>1273</v>
      </c>
      <c r="H7955">
        <v>1273</v>
      </c>
      <c r="I7955">
        <v>1272</v>
      </c>
      <c r="J7955">
        <v>1272</v>
      </c>
      <c r="K7955">
        <v>0</v>
      </c>
      <c r="L7955">
        <v>0</v>
      </c>
      <c r="M7955">
        <v>1175</v>
      </c>
      <c r="N7955">
        <v>94</v>
      </c>
      <c r="O7955">
        <v>4</v>
      </c>
      <c r="P7955">
        <v>0</v>
      </c>
      <c r="Q7955">
        <v>0</v>
      </c>
    </row>
    <row r="7956" spans="1:17" x14ac:dyDescent="0.2">
      <c r="A7956" s="121">
        <v>41851</v>
      </c>
      <c r="B7956" t="s">
        <v>406</v>
      </c>
      <c r="C7956" t="s">
        <v>577</v>
      </c>
      <c r="D7956" t="s">
        <v>588</v>
      </c>
      <c r="E7956" t="s">
        <v>589</v>
      </c>
      <c r="F7956" t="s">
        <v>410</v>
      </c>
      <c r="G7956">
        <v>327</v>
      </c>
      <c r="H7956">
        <v>327</v>
      </c>
      <c r="I7956">
        <v>326</v>
      </c>
      <c r="J7956">
        <v>326</v>
      </c>
      <c r="K7956">
        <v>0</v>
      </c>
      <c r="L7956">
        <v>0</v>
      </c>
      <c r="M7956">
        <v>307</v>
      </c>
      <c r="N7956">
        <v>20</v>
      </c>
      <c r="O7956">
        <v>0</v>
      </c>
      <c r="P7956">
        <v>0</v>
      </c>
      <c r="Q7956">
        <v>0</v>
      </c>
    </row>
    <row r="7957" spans="1:17" x14ac:dyDescent="0.2">
      <c r="A7957" s="121">
        <v>41851</v>
      </c>
      <c r="B7957" t="s">
        <v>406</v>
      </c>
      <c r="C7957" t="s">
        <v>577</v>
      </c>
      <c r="D7957" t="s">
        <v>613</v>
      </c>
      <c r="E7957" t="s">
        <v>614</v>
      </c>
      <c r="F7957" t="s">
        <v>410</v>
      </c>
      <c r="G7957">
        <v>172</v>
      </c>
      <c r="H7957">
        <v>172</v>
      </c>
      <c r="I7957">
        <v>171</v>
      </c>
      <c r="J7957">
        <v>171</v>
      </c>
      <c r="K7957">
        <v>0</v>
      </c>
      <c r="L7957">
        <v>0</v>
      </c>
      <c r="M7957">
        <v>144</v>
      </c>
      <c r="N7957">
        <v>15</v>
      </c>
      <c r="O7957">
        <v>13</v>
      </c>
      <c r="P7957">
        <v>0</v>
      </c>
      <c r="Q7957">
        <v>0</v>
      </c>
    </row>
    <row r="7958" spans="1:17" x14ac:dyDescent="0.2">
      <c r="A7958" s="121">
        <v>41851</v>
      </c>
      <c r="B7958" t="s">
        <v>406</v>
      </c>
      <c r="C7958" t="s">
        <v>577</v>
      </c>
      <c r="D7958" t="s">
        <v>590</v>
      </c>
      <c r="E7958" t="s">
        <v>591</v>
      </c>
      <c r="F7958" t="s">
        <v>410</v>
      </c>
      <c r="G7958">
        <v>715</v>
      </c>
      <c r="H7958">
        <v>715</v>
      </c>
      <c r="I7958">
        <v>714</v>
      </c>
      <c r="J7958">
        <v>714</v>
      </c>
      <c r="K7958">
        <v>0</v>
      </c>
      <c r="L7958">
        <v>0</v>
      </c>
      <c r="M7958">
        <v>673</v>
      </c>
      <c r="N7958">
        <v>41</v>
      </c>
      <c r="O7958">
        <v>1</v>
      </c>
      <c r="P7958">
        <v>0</v>
      </c>
      <c r="Q7958">
        <v>0</v>
      </c>
    </row>
    <row r="7959" spans="1:17" x14ac:dyDescent="0.2">
      <c r="A7959" s="121">
        <v>41851</v>
      </c>
      <c r="B7959" t="s">
        <v>406</v>
      </c>
      <c r="C7959" t="s">
        <v>577</v>
      </c>
      <c r="D7959" t="s">
        <v>607</v>
      </c>
      <c r="E7959" t="s">
        <v>608</v>
      </c>
      <c r="F7959" t="s">
        <v>410</v>
      </c>
      <c r="G7959">
        <v>364</v>
      </c>
      <c r="H7959">
        <v>364</v>
      </c>
      <c r="I7959">
        <v>364</v>
      </c>
      <c r="J7959">
        <v>364</v>
      </c>
      <c r="K7959">
        <v>1</v>
      </c>
      <c r="L7959">
        <v>0</v>
      </c>
      <c r="M7959">
        <v>331</v>
      </c>
      <c r="N7959">
        <v>28</v>
      </c>
      <c r="O7959">
        <v>4</v>
      </c>
      <c r="P7959">
        <v>0</v>
      </c>
      <c r="Q7959">
        <v>0</v>
      </c>
    </row>
    <row r="7960" spans="1:17" x14ac:dyDescent="0.2">
      <c r="A7960" s="121">
        <v>41851</v>
      </c>
      <c r="B7960" t="s">
        <v>406</v>
      </c>
      <c r="C7960" t="s">
        <v>577</v>
      </c>
      <c r="D7960" t="s">
        <v>592</v>
      </c>
      <c r="E7960" t="s">
        <v>593</v>
      </c>
      <c r="F7960" t="s">
        <v>410</v>
      </c>
      <c r="G7960">
        <v>672</v>
      </c>
      <c r="H7960">
        <v>672</v>
      </c>
      <c r="I7960">
        <v>672</v>
      </c>
      <c r="J7960">
        <v>672</v>
      </c>
      <c r="K7960">
        <v>0</v>
      </c>
      <c r="L7960">
        <v>0</v>
      </c>
      <c r="M7960">
        <v>644</v>
      </c>
      <c r="N7960">
        <v>27</v>
      </c>
      <c r="O7960">
        <v>1</v>
      </c>
      <c r="P7960">
        <v>0</v>
      </c>
      <c r="Q7960">
        <v>0</v>
      </c>
    </row>
    <row r="7961" spans="1:17" x14ac:dyDescent="0.2">
      <c r="A7961" s="121">
        <v>41851</v>
      </c>
      <c r="B7961" t="s">
        <v>406</v>
      </c>
      <c r="C7961" t="s">
        <v>594</v>
      </c>
      <c r="D7961" t="s">
        <v>595</v>
      </c>
      <c r="E7961" t="s">
        <v>596</v>
      </c>
      <c r="F7961" t="s">
        <v>410</v>
      </c>
      <c r="G7961">
        <v>86</v>
      </c>
      <c r="I7961">
        <v>86</v>
      </c>
    </row>
    <row r="7962" spans="1:17" x14ac:dyDescent="0.2">
      <c r="A7962" s="121">
        <v>41851</v>
      </c>
      <c r="B7962" t="s">
        <v>406</v>
      </c>
      <c r="C7962" t="s">
        <v>594</v>
      </c>
      <c r="D7962" t="s">
        <v>597</v>
      </c>
      <c r="E7962" t="s">
        <v>598</v>
      </c>
      <c r="F7962" t="s">
        <v>413</v>
      </c>
      <c r="G7962">
        <v>663</v>
      </c>
      <c r="H7962">
        <v>663</v>
      </c>
      <c r="I7962">
        <v>648</v>
      </c>
      <c r="J7962">
        <v>648</v>
      </c>
      <c r="K7962">
        <v>112</v>
      </c>
      <c r="L7962">
        <v>0</v>
      </c>
      <c r="M7962">
        <v>540</v>
      </c>
      <c r="N7962">
        <v>2</v>
      </c>
      <c r="O7962">
        <v>9</v>
      </c>
      <c r="P7962">
        <v>0</v>
      </c>
      <c r="Q7962">
        <v>0</v>
      </c>
    </row>
    <row r="7963" spans="1:17" x14ac:dyDescent="0.2">
      <c r="A7963" s="121">
        <v>41851</v>
      </c>
      <c r="B7963" t="s">
        <v>406</v>
      </c>
      <c r="C7963" t="s">
        <v>594</v>
      </c>
      <c r="D7963" t="s">
        <v>599</v>
      </c>
      <c r="E7963" t="s">
        <v>600</v>
      </c>
      <c r="F7963" t="s">
        <v>410</v>
      </c>
      <c r="G7963">
        <v>107</v>
      </c>
      <c r="I7963">
        <v>107</v>
      </c>
    </row>
    <row r="7964" spans="1:17" x14ac:dyDescent="0.2">
      <c r="A7964" s="121">
        <v>41882</v>
      </c>
      <c r="B7964" t="s">
        <v>406</v>
      </c>
      <c r="C7964" t="s">
        <v>407</v>
      </c>
      <c r="D7964" t="s">
        <v>408</v>
      </c>
      <c r="E7964" t="s">
        <v>409</v>
      </c>
      <c r="F7964" t="s">
        <v>410</v>
      </c>
      <c r="G7964">
        <v>312</v>
      </c>
      <c r="I7964">
        <v>312</v>
      </c>
    </row>
    <row r="7965" spans="1:17" x14ac:dyDescent="0.2">
      <c r="A7965" s="121">
        <v>41882</v>
      </c>
      <c r="B7965" t="s">
        <v>406</v>
      </c>
      <c r="C7965" t="s">
        <v>407</v>
      </c>
      <c r="D7965" t="s">
        <v>601</v>
      </c>
      <c r="E7965" t="s">
        <v>602</v>
      </c>
      <c r="F7965" t="s">
        <v>410</v>
      </c>
      <c r="G7965">
        <v>94</v>
      </c>
      <c r="I7965">
        <v>94</v>
      </c>
    </row>
    <row r="7966" spans="1:17" x14ac:dyDescent="0.2">
      <c r="A7966" s="121">
        <v>41882</v>
      </c>
      <c r="B7966" t="s">
        <v>406</v>
      </c>
      <c r="C7966" t="s">
        <v>407</v>
      </c>
      <c r="D7966" t="s">
        <v>411</v>
      </c>
      <c r="E7966" t="s">
        <v>412</v>
      </c>
      <c r="F7966" t="s">
        <v>413</v>
      </c>
      <c r="G7966">
        <v>6121</v>
      </c>
      <c r="H7966">
        <v>6121</v>
      </c>
      <c r="I7966">
        <v>5893</v>
      </c>
      <c r="J7966">
        <v>5893</v>
      </c>
      <c r="K7966">
        <v>2420</v>
      </c>
      <c r="L7966">
        <v>11</v>
      </c>
      <c r="M7966">
        <v>3364</v>
      </c>
      <c r="N7966">
        <v>125</v>
      </c>
      <c r="O7966">
        <v>201</v>
      </c>
      <c r="P7966">
        <v>6</v>
      </c>
      <c r="Q7966">
        <v>2</v>
      </c>
    </row>
    <row r="7967" spans="1:17" x14ac:dyDescent="0.2">
      <c r="A7967" s="121">
        <v>41882</v>
      </c>
      <c r="B7967" t="s">
        <v>406</v>
      </c>
      <c r="C7967" t="s">
        <v>407</v>
      </c>
      <c r="D7967" t="s">
        <v>416</v>
      </c>
      <c r="E7967" t="s">
        <v>417</v>
      </c>
      <c r="F7967" t="s">
        <v>413</v>
      </c>
      <c r="G7967">
        <v>3862</v>
      </c>
      <c r="H7967">
        <v>3862</v>
      </c>
      <c r="I7967">
        <v>3703</v>
      </c>
      <c r="J7967">
        <v>3703</v>
      </c>
      <c r="K7967">
        <v>1448</v>
      </c>
      <c r="L7967">
        <v>2</v>
      </c>
      <c r="M7967">
        <v>2220</v>
      </c>
      <c r="N7967">
        <v>130</v>
      </c>
      <c r="O7967">
        <v>62</v>
      </c>
      <c r="P7967">
        <v>1</v>
      </c>
      <c r="Q7967">
        <v>0</v>
      </c>
    </row>
    <row r="7968" spans="1:17" x14ac:dyDescent="0.2">
      <c r="A7968" s="121">
        <v>41882</v>
      </c>
      <c r="B7968" t="s">
        <v>406</v>
      </c>
      <c r="C7968" t="s">
        <v>407</v>
      </c>
      <c r="D7968" t="s">
        <v>618</v>
      </c>
      <c r="E7968" t="s">
        <v>619</v>
      </c>
      <c r="F7968" t="s">
        <v>410</v>
      </c>
      <c r="G7968">
        <v>100</v>
      </c>
      <c r="I7968">
        <v>100</v>
      </c>
    </row>
    <row r="7969" spans="1:17" x14ac:dyDescent="0.2">
      <c r="A7969" s="121">
        <v>41882</v>
      </c>
      <c r="B7969" t="s">
        <v>406</v>
      </c>
      <c r="C7969" t="s">
        <v>418</v>
      </c>
      <c r="D7969" t="s">
        <v>419</v>
      </c>
      <c r="E7969" t="s">
        <v>420</v>
      </c>
      <c r="F7969" t="s">
        <v>410</v>
      </c>
      <c r="G7969">
        <v>16</v>
      </c>
      <c r="I7969">
        <v>16</v>
      </c>
    </row>
    <row r="7970" spans="1:17" x14ac:dyDescent="0.2">
      <c r="A7970" s="121">
        <v>41882</v>
      </c>
      <c r="B7970" t="s">
        <v>406</v>
      </c>
      <c r="C7970" t="s">
        <v>418</v>
      </c>
      <c r="D7970" t="s">
        <v>421</v>
      </c>
      <c r="E7970" t="s">
        <v>422</v>
      </c>
      <c r="F7970" t="s">
        <v>410</v>
      </c>
      <c r="G7970">
        <v>105</v>
      </c>
      <c r="I7970">
        <v>105</v>
      </c>
    </row>
    <row r="7971" spans="1:17" x14ac:dyDescent="0.2">
      <c r="A7971" s="121">
        <v>41882</v>
      </c>
      <c r="B7971" t="s">
        <v>406</v>
      </c>
      <c r="C7971" t="s">
        <v>418</v>
      </c>
      <c r="D7971" t="s">
        <v>423</v>
      </c>
      <c r="E7971" t="s">
        <v>424</v>
      </c>
      <c r="F7971" t="s">
        <v>410</v>
      </c>
      <c r="G7971">
        <v>11</v>
      </c>
      <c r="I7971">
        <v>11</v>
      </c>
    </row>
    <row r="7972" spans="1:17" x14ac:dyDescent="0.2">
      <c r="A7972" s="121">
        <v>41882</v>
      </c>
      <c r="B7972" t="s">
        <v>406</v>
      </c>
      <c r="C7972" t="s">
        <v>418</v>
      </c>
      <c r="D7972" t="s">
        <v>425</v>
      </c>
      <c r="E7972" t="s">
        <v>426</v>
      </c>
      <c r="F7972" t="s">
        <v>410</v>
      </c>
      <c r="G7972">
        <v>41</v>
      </c>
      <c r="I7972">
        <v>41</v>
      </c>
    </row>
    <row r="7973" spans="1:17" x14ac:dyDescent="0.2">
      <c r="A7973" s="121">
        <v>41882</v>
      </c>
      <c r="B7973" t="s">
        <v>406</v>
      </c>
      <c r="C7973" t="s">
        <v>418</v>
      </c>
      <c r="D7973" t="s">
        <v>427</v>
      </c>
      <c r="E7973" t="s">
        <v>428</v>
      </c>
      <c r="F7973" t="s">
        <v>413</v>
      </c>
      <c r="G7973">
        <v>2340</v>
      </c>
      <c r="H7973">
        <v>2340</v>
      </c>
      <c r="I7973">
        <v>2218</v>
      </c>
      <c r="J7973">
        <v>2218</v>
      </c>
      <c r="K7973">
        <v>797</v>
      </c>
      <c r="L7973">
        <v>7</v>
      </c>
      <c r="M7973">
        <v>1388</v>
      </c>
      <c r="N7973">
        <v>116</v>
      </c>
      <c r="O7973">
        <v>32</v>
      </c>
      <c r="P7973">
        <v>1</v>
      </c>
      <c r="Q7973">
        <v>0</v>
      </c>
    </row>
    <row r="7974" spans="1:17" x14ac:dyDescent="0.2">
      <c r="A7974" s="121">
        <v>41882</v>
      </c>
      <c r="B7974" t="s">
        <v>406</v>
      </c>
      <c r="C7974" t="s">
        <v>429</v>
      </c>
      <c r="D7974" t="s">
        <v>430</v>
      </c>
      <c r="E7974" t="s">
        <v>431</v>
      </c>
      <c r="F7974" t="s">
        <v>410</v>
      </c>
      <c r="G7974">
        <v>41</v>
      </c>
      <c r="I7974">
        <v>41</v>
      </c>
    </row>
    <row r="7975" spans="1:17" x14ac:dyDescent="0.2">
      <c r="A7975" s="121">
        <v>41882</v>
      </c>
      <c r="B7975" t="s">
        <v>406</v>
      </c>
      <c r="C7975" t="s">
        <v>429</v>
      </c>
      <c r="D7975" t="s">
        <v>432</v>
      </c>
      <c r="E7975" t="s">
        <v>433</v>
      </c>
      <c r="F7975" t="s">
        <v>410</v>
      </c>
      <c r="G7975">
        <v>51</v>
      </c>
      <c r="I7975">
        <v>51</v>
      </c>
    </row>
    <row r="7976" spans="1:17" x14ac:dyDescent="0.2">
      <c r="A7976" s="121">
        <v>41882</v>
      </c>
      <c r="B7976" t="s">
        <v>406</v>
      </c>
      <c r="C7976" t="s">
        <v>429</v>
      </c>
      <c r="D7976" t="s">
        <v>434</v>
      </c>
      <c r="E7976" t="s">
        <v>435</v>
      </c>
      <c r="F7976" t="s">
        <v>410</v>
      </c>
      <c r="G7976">
        <v>7</v>
      </c>
      <c r="I7976">
        <v>7</v>
      </c>
    </row>
    <row r="7977" spans="1:17" x14ac:dyDescent="0.2">
      <c r="A7977" s="121">
        <v>41882</v>
      </c>
      <c r="B7977" t="s">
        <v>406</v>
      </c>
      <c r="C7977" t="s">
        <v>429</v>
      </c>
      <c r="D7977" t="s">
        <v>436</v>
      </c>
      <c r="E7977" t="s">
        <v>437</v>
      </c>
      <c r="F7977" t="s">
        <v>410</v>
      </c>
      <c r="G7977">
        <v>21</v>
      </c>
      <c r="H7977">
        <v>21</v>
      </c>
      <c r="I7977">
        <v>21</v>
      </c>
      <c r="J7977">
        <v>21</v>
      </c>
      <c r="K7977">
        <v>0</v>
      </c>
      <c r="L7977">
        <v>0</v>
      </c>
      <c r="M7977">
        <v>16</v>
      </c>
      <c r="N7977">
        <v>5</v>
      </c>
      <c r="O7977">
        <v>0</v>
      </c>
      <c r="P7977">
        <v>0</v>
      </c>
      <c r="Q7977">
        <v>0</v>
      </c>
    </row>
    <row r="7978" spans="1:17" x14ac:dyDescent="0.2">
      <c r="A7978" s="121">
        <v>41882</v>
      </c>
      <c r="B7978" t="s">
        <v>406</v>
      </c>
      <c r="C7978" t="s">
        <v>429</v>
      </c>
      <c r="D7978" t="s">
        <v>438</v>
      </c>
      <c r="E7978" t="s">
        <v>439</v>
      </c>
      <c r="F7978" t="s">
        <v>413</v>
      </c>
      <c r="G7978">
        <v>1036</v>
      </c>
      <c r="H7978">
        <v>1036</v>
      </c>
      <c r="I7978">
        <v>1018</v>
      </c>
      <c r="J7978">
        <v>1018</v>
      </c>
      <c r="K7978">
        <v>114</v>
      </c>
      <c r="L7978">
        <v>1</v>
      </c>
      <c r="M7978">
        <v>870</v>
      </c>
      <c r="N7978">
        <v>51</v>
      </c>
      <c r="O7978">
        <v>0</v>
      </c>
      <c r="P7978">
        <v>1</v>
      </c>
      <c r="Q7978">
        <v>0</v>
      </c>
    </row>
    <row r="7979" spans="1:17" x14ac:dyDescent="0.2">
      <c r="A7979" s="121">
        <v>41882</v>
      </c>
      <c r="B7979" t="s">
        <v>406</v>
      </c>
      <c r="C7979" t="s">
        <v>429</v>
      </c>
      <c r="D7979" t="s">
        <v>440</v>
      </c>
      <c r="E7979" t="s">
        <v>441</v>
      </c>
      <c r="F7979" t="s">
        <v>413</v>
      </c>
      <c r="G7979">
        <v>3078</v>
      </c>
      <c r="H7979">
        <v>3078</v>
      </c>
      <c r="I7979">
        <v>2939</v>
      </c>
      <c r="J7979">
        <v>2939</v>
      </c>
      <c r="K7979">
        <v>1036</v>
      </c>
      <c r="L7979">
        <v>4</v>
      </c>
      <c r="M7979">
        <v>1954</v>
      </c>
      <c r="N7979">
        <v>84</v>
      </c>
      <c r="O7979">
        <v>0</v>
      </c>
      <c r="P7979">
        <v>1</v>
      </c>
      <c r="Q7979">
        <v>0</v>
      </c>
    </row>
    <row r="7980" spans="1:17" x14ac:dyDescent="0.2">
      <c r="A7980" s="121">
        <v>41882</v>
      </c>
      <c r="B7980" t="s">
        <v>406</v>
      </c>
      <c r="C7980" t="s">
        <v>442</v>
      </c>
      <c r="D7980" t="s">
        <v>443</v>
      </c>
      <c r="E7980" t="s">
        <v>444</v>
      </c>
      <c r="F7980" t="s">
        <v>413</v>
      </c>
      <c r="G7980">
        <v>5379</v>
      </c>
      <c r="H7980">
        <v>5379</v>
      </c>
      <c r="I7980">
        <v>5029</v>
      </c>
      <c r="J7980">
        <v>5029</v>
      </c>
      <c r="K7980">
        <v>1402</v>
      </c>
      <c r="L7980">
        <v>12</v>
      </c>
      <c r="M7980">
        <v>3632</v>
      </c>
      <c r="N7980">
        <v>181</v>
      </c>
      <c r="O7980">
        <v>152</v>
      </c>
      <c r="P7980">
        <v>32</v>
      </c>
      <c r="Q7980">
        <v>3</v>
      </c>
    </row>
    <row r="7981" spans="1:17" x14ac:dyDescent="0.2">
      <c r="A7981" s="121">
        <v>41882</v>
      </c>
      <c r="B7981" t="s">
        <v>406</v>
      </c>
      <c r="C7981" t="s">
        <v>442</v>
      </c>
      <c r="D7981" t="s">
        <v>445</v>
      </c>
      <c r="E7981" t="s">
        <v>446</v>
      </c>
      <c r="F7981" t="s">
        <v>410</v>
      </c>
      <c r="G7981">
        <v>154</v>
      </c>
      <c r="I7981">
        <v>154</v>
      </c>
    </row>
    <row r="7982" spans="1:17" x14ac:dyDescent="0.2">
      <c r="A7982" s="121">
        <v>41882</v>
      </c>
      <c r="B7982" t="s">
        <v>406</v>
      </c>
      <c r="C7982" t="s">
        <v>442</v>
      </c>
      <c r="D7982" t="s">
        <v>447</v>
      </c>
      <c r="E7982" t="s">
        <v>448</v>
      </c>
      <c r="F7982" t="s">
        <v>410</v>
      </c>
      <c r="G7982">
        <v>414</v>
      </c>
      <c r="I7982">
        <v>414</v>
      </c>
    </row>
    <row r="7983" spans="1:17" x14ac:dyDescent="0.2">
      <c r="A7983" s="121">
        <v>41882</v>
      </c>
      <c r="B7983" t="s">
        <v>406</v>
      </c>
      <c r="C7983" t="s">
        <v>442</v>
      </c>
      <c r="D7983" t="s">
        <v>449</v>
      </c>
      <c r="E7983" t="s">
        <v>624</v>
      </c>
      <c r="F7983" t="s">
        <v>410</v>
      </c>
      <c r="G7983">
        <v>1667</v>
      </c>
      <c r="H7983">
        <v>1667</v>
      </c>
      <c r="I7983">
        <v>1665</v>
      </c>
      <c r="J7983">
        <v>1665</v>
      </c>
      <c r="K7983">
        <v>7</v>
      </c>
      <c r="L7983">
        <v>0</v>
      </c>
      <c r="M7983">
        <v>1499</v>
      </c>
      <c r="N7983">
        <v>134</v>
      </c>
      <c r="O7983">
        <v>27</v>
      </c>
      <c r="P7983">
        <v>1</v>
      </c>
      <c r="Q7983">
        <v>0</v>
      </c>
    </row>
    <row r="7984" spans="1:17" x14ac:dyDescent="0.2">
      <c r="A7984" s="121">
        <v>41882</v>
      </c>
      <c r="B7984" t="s">
        <v>406</v>
      </c>
      <c r="C7984" t="s">
        <v>451</v>
      </c>
      <c r="D7984" t="s">
        <v>454</v>
      </c>
      <c r="E7984" t="s">
        <v>621</v>
      </c>
      <c r="F7984" t="s">
        <v>410</v>
      </c>
      <c r="G7984">
        <v>1313</v>
      </c>
      <c r="H7984">
        <v>1313</v>
      </c>
      <c r="I7984">
        <v>1313</v>
      </c>
      <c r="J7984">
        <v>1313</v>
      </c>
      <c r="K7984">
        <v>4</v>
      </c>
      <c r="L7984">
        <v>0</v>
      </c>
      <c r="M7984">
        <v>1109</v>
      </c>
      <c r="N7984">
        <v>84</v>
      </c>
      <c r="O7984">
        <v>116</v>
      </c>
      <c r="P7984">
        <v>0</v>
      </c>
      <c r="Q7984">
        <v>0</v>
      </c>
    </row>
    <row r="7985" spans="1:17" x14ac:dyDescent="0.2">
      <c r="A7985" s="121">
        <v>41882</v>
      </c>
      <c r="B7985" t="s">
        <v>406</v>
      </c>
      <c r="C7985" t="s">
        <v>451</v>
      </c>
      <c r="D7985" t="s">
        <v>622</v>
      </c>
      <c r="E7985" t="s">
        <v>623</v>
      </c>
      <c r="F7985" t="s">
        <v>413</v>
      </c>
      <c r="G7985">
        <v>5447</v>
      </c>
      <c r="H7985">
        <v>5447</v>
      </c>
      <c r="I7985">
        <v>4967</v>
      </c>
      <c r="J7985">
        <v>4967</v>
      </c>
      <c r="K7985">
        <v>1229</v>
      </c>
      <c r="L7985">
        <v>9</v>
      </c>
      <c r="M7985">
        <v>3777</v>
      </c>
      <c r="N7985">
        <v>33</v>
      </c>
      <c r="O7985">
        <v>399</v>
      </c>
      <c r="P7985">
        <v>44</v>
      </c>
      <c r="Q7985">
        <v>8</v>
      </c>
    </row>
    <row r="7986" spans="1:17" x14ac:dyDescent="0.2">
      <c r="A7986" s="121">
        <v>41882</v>
      </c>
      <c r="B7986" t="s">
        <v>406</v>
      </c>
      <c r="C7986" t="s">
        <v>456</v>
      </c>
      <c r="D7986" t="s">
        <v>457</v>
      </c>
      <c r="E7986" t="s">
        <v>458</v>
      </c>
      <c r="F7986" t="s">
        <v>413</v>
      </c>
      <c r="G7986">
        <v>5007</v>
      </c>
      <c r="H7986">
        <v>5007</v>
      </c>
      <c r="I7986">
        <v>4541</v>
      </c>
      <c r="J7986">
        <v>4541</v>
      </c>
      <c r="K7986">
        <v>1215</v>
      </c>
      <c r="L7986">
        <v>16</v>
      </c>
      <c r="M7986">
        <v>3239</v>
      </c>
      <c r="N7986">
        <v>30</v>
      </c>
      <c r="O7986">
        <v>507</v>
      </c>
      <c r="P7986">
        <v>32</v>
      </c>
      <c r="Q7986">
        <v>3</v>
      </c>
    </row>
    <row r="7987" spans="1:17" x14ac:dyDescent="0.2">
      <c r="A7987" s="121">
        <v>41882</v>
      </c>
      <c r="B7987" t="s">
        <v>406</v>
      </c>
      <c r="C7987" t="s">
        <v>456</v>
      </c>
      <c r="D7987" t="s">
        <v>459</v>
      </c>
      <c r="E7987" t="s">
        <v>460</v>
      </c>
      <c r="F7987" t="s">
        <v>413</v>
      </c>
      <c r="G7987">
        <v>1433</v>
      </c>
      <c r="H7987">
        <v>1433</v>
      </c>
      <c r="I7987">
        <v>1381</v>
      </c>
      <c r="J7987">
        <v>1381</v>
      </c>
      <c r="K7987">
        <v>284</v>
      </c>
      <c r="L7987">
        <v>0</v>
      </c>
      <c r="M7987">
        <v>1147</v>
      </c>
      <c r="N7987">
        <v>0</v>
      </c>
      <c r="O7987">
        <v>2</v>
      </c>
      <c r="P7987">
        <v>1</v>
      </c>
      <c r="Q7987">
        <v>0</v>
      </c>
    </row>
    <row r="7988" spans="1:17" x14ac:dyDescent="0.2">
      <c r="A7988" s="121">
        <v>41882</v>
      </c>
      <c r="B7988" t="s">
        <v>406</v>
      </c>
      <c r="C7988" t="s">
        <v>456</v>
      </c>
      <c r="D7988" t="s">
        <v>461</v>
      </c>
      <c r="E7988" t="s">
        <v>462</v>
      </c>
      <c r="F7988" t="s">
        <v>410</v>
      </c>
      <c r="G7988">
        <v>98</v>
      </c>
      <c r="I7988">
        <v>98</v>
      </c>
    </row>
    <row r="7989" spans="1:17" x14ac:dyDescent="0.2">
      <c r="A7989" s="121">
        <v>41882</v>
      </c>
      <c r="B7989" t="s">
        <v>406</v>
      </c>
      <c r="C7989" t="s">
        <v>456</v>
      </c>
      <c r="D7989" t="s">
        <v>463</v>
      </c>
      <c r="E7989" t="s">
        <v>464</v>
      </c>
      <c r="F7989" t="s">
        <v>410</v>
      </c>
      <c r="G7989">
        <v>15</v>
      </c>
      <c r="I7989">
        <v>15</v>
      </c>
    </row>
    <row r="7990" spans="1:17" x14ac:dyDescent="0.2">
      <c r="A7990" s="121">
        <v>41882</v>
      </c>
      <c r="B7990" t="s">
        <v>406</v>
      </c>
      <c r="C7990" t="s">
        <v>456</v>
      </c>
      <c r="D7990" t="s">
        <v>465</v>
      </c>
      <c r="E7990" t="s">
        <v>466</v>
      </c>
      <c r="F7990" t="s">
        <v>410</v>
      </c>
      <c r="G7990">
        <v>47</v>
      </c>
      <c r="I7990">
        <v>47</v>
      </c>
    </row>
    <row r="7991" spans="1:17" x14ac:dyDescent="0.2">
      <c r="A7991" s="121">
        <v>41882</v>
      </c>
      <c r="B7991" t="s">
        <v>406</v>
      </c>
      <c r="C7991" t="s">
        <v>456</v>
      </c>
      <c r="D7991" t="s">
        <v>467</v>
      </c>
      <c r="E7991" t="s">
        <v>468</v>
      </c>
      <c r="F7991" t="s">
        <v>410</v>
      </c>
      <c r="G7991">
        <v>1342</v>
      </c>
      <c r="I7991">
        <v>1340</v>
      </c>
    </row>
    <row r="7992" spans="1:17" x14ac:dyDescent="0.2">
      <c r="A7992" s="121">
        <v>41882</v>
      </c>
      <c r="B7992" t="s">
        <v>406</v>
      </c>
      <c r="C7992" t="s">
        <v>456</v>
      </c>
      <c r="D7992" t="s">
        <v>469</v>
      </c>
      <c r="E7992" t="s">
        <v>470</v>
      </c>
      <c r="F7992" t="s">
        <v>410</v>
      </c>
      <c r="G7992">
        <v>773</v>
      </c>
      <c r="I7992">
        <v>770</v>
      </c>
    </row>
    <row r="7993" spans="1:17" x14ac:dyDescent="0.2">
      <c r="A7993" s="121">
        <v>41882</v>
      </c>
      <c r="B7993" t="s">
        <v>406</v>
      </c>
      <c r="C7993" t="s">
        <v>456</v>
      </c>
      <c r="D7993" t="s">
        <v>471</v>
      </c>
      <c r="E7993" t="s">
        <v>472</v>
      </c>
      <c r="F7993" t="s">
        <v>410</v>
      </c>
      <c r="G7993">
        <v>305</v>
      </c>
      <c r="I7993">
        <v>302</v>
      </c>
    </row>
    <row r="7994" spans="1:17" x14ac:dyDescent="0.2">
      <c r="A7994" s="121">
        <v>41882</v>
      </c>
      <c r="B7994" t="s">
        <v>406</v>
      </c>
      <c r="C7994" t="s">
        <v>456</v>
      </c>
      <c r="D7994" t="s">
        <v>473</v>
      </c>
      <c r="E7994" t="s">
        <v>474</v>
      </c>
      <c r="F7994" t="s">
        <v>410</v>
      </c>
      <c r="G7994">
        <v>177</v>
      </c>
      <c r="I7994">
        <v>177</v>
      </c>
    </row>
    <row r="7995" spans="1:17" x14ac:dyDescent="0.2">
      <c r="A7995" s="121">
        <v>41882</v>
      </c>
      <c r="B7995" t="s">
        <v>406</v>
      </c>
      <c r="C7995" t="s">
        <v>456</v>
      </c>
      <c r="D7995" t="s">
        <v>475</v>
      </c>
      <c r="E7995" t="s">
        <v>476</v>
      </c>
      <c r="F7995" t="s">
        <v>410</v>
      </c>
      <c r="G7995">
        <v>307</v>
      </c>
      <c r="I7995">
        <v>302</v>
      </c>
    </row>
    <row r="7996" spans="1:17" x14ac:dyDescent="0.2">
      <c r="A7996" s="121">
        <v>41882</v>
      </c>
      <c r="B7996" t="s">
        <v>406</v>
      </c>
      <c r="C7996" t="s">
        <v>456</v>
      </c>
      <c r="D7996" t="s">
        <v>477</v>
      </c>
      <c r="E7996" t="s">
        <v>478</v>
      </c>
      <c r="F7996" t="s">
        <v>413</v>
      </c>
      <c r="G7996">
        <v>2118</v>
      </c>
      <c r="H7996">
        <v>2118</v>
      </c>
      <c r="I7996">
        <v>1999</v>
      </c>
      <c r="J7996">
        <v>1999</v>
      </c>
      <c r="K7996">
        <v>389</v>
      </c>
      <c r="L7996">
        <v>2</v>
      </c>
      <c r="M7996">
        <v>1710</v>
      </c>
      <c r="N7996">
        <v>15</v>
      </c>
      <c r="O7996">
        <v>2</v>
      </c>
      <c r="P7996">
        <v>2</v>
      </c>
      <c r="Q7996">
        <v>0</v>
      </c>
    </row>
    <row r="7997" spans="1:17" x14ac:dyDescent="0.2">
      <c r="A7997" s="121">
        <v>41882</v>
      </c>
      <c r="B7997" t="s">
        <v>406</v>
      </c>
      <c r="C7997" t="s">
        <v>456</v>
      </c>
      <c r="D7997" t="s">
        <v>479</v>
      </c>
      <c r="E7997" t="s">
        <v>480</v>
      </c>
      <c r="F7997" t="s">
        <v>410</v>
      </c>
      <c r="G7997">
        <v>60</v>
      </c>
      <c r="I7997">
        <v>60</v>
      </c>
    </row>
    <row r="7998" spans="1:17" x14ac:dyDescent="0.2">
      <c r="A7998" s="121">
        <v>41882</v>
      </c>
      <c r="B7998" t="s">
        <v>406</v>
      </c>
      <c r="C7998" t="s">
        <v>456</v>
      </c>
      <c r="D7998" t="s">
        <v>481</v>
      </c>
      <c r="E7998" t="s">
        <v>482</v>
      </c>
      <c r="F7998" t="s">
        <v>410</v>
      </c>
      <c r="G7998">
        <v>32</v>
      </c>
      <c r="I7998">
        <v>32</v>
      </c>
    </row>
    <row r="7999" spans="1:17" x14ac:dyDescent="0.2">
      <c r="A7999" s="121">
        <v>41882</v>
      </c>
      <c r="B7999" t="s">
        <v>406</v>
      </c>
      <c r="C7999" t="s">
        <v>456</v>
      </c>
      <c r="D7999" t="s">
        <v>483</v>
      </c>
      <c r="E7999" t="s">
        <v>484</v>
      </c>
      <c r="F7999" t="s">
        <v>410</v>
      </c>
      <c r="G7999">
        <v>105</v>
      </c>
      <c r="I7999">
        <v>105</v>
      </c>
    </row>
    <row r="8000" spans="1:17" x14ac:dyDescent="0.2">
      <c r="A8000" s="121">
        <v>41882</v>
      </c>
      <c r="B8000" t="s">
        <v>406</v>
      </c>
      <c r="C8000" t="s">
        <v>456</v>
      </c>
      <c r="D8000" t="s">
        <v>485</v>
      </c>
      <c r="E8000" t="s">
        <v>486</v>
      </c>
      <c r="F8000" t="s">
        <v>410</v>
      </c>
      <c r="G8000">
        <v>35</v>
      </c>
      <c r="I8000">
        <v>35</v>
      </c>
    </row>
    <row r="8001" spans="1:17" x14ac:dyDescent="0.2">
      <c r="A8001" s="121">
        <v>41882</v>
      </c>
      <c r="B8001" t="s">
        <v>406</v>
      </c>
      <c r="C8001" t="s">
        <v>456</v>
      </c>
      <c r="D8001" t="s">
        <v>487</v>
      </c>
      <c r="E8001" t="s">
        <v>488</v>
      </c>
      <c r="F8001" t="s">
        <v>410</v>
      </c>
      <c r="G8001">
        <v>44</v>
      </c>
      <c r="I8001">
        <v>44</v>
      </c>
    </row>
    <row r="8002" spans="1:17" x14ac:dyDescent="0.2">
      <c r="A8002" s="121">
        <v>41882</v>
      </c>
      <c r="B8002" t="s">
        <v>406</v>
      </c>
      <c r="C8002" t="s">
        <v>456</v>
      </c>
      <c r="D8002" t="s">
        <v>489</v>
      </c>
      <c r="E8002" t="s">
        <v>490</v>
      </c>
      <c r="F8002" t="s">
        <v>410</v>
      </c>
      <c r="G8002">
        <v>121</v>
      </c>
      <c r="I8002">
        <v>121</v>
      </c>
    </row>
    <row r="8003" spans="1:17" x14ac:dyDescent="0.2">
      <c r="A8003" s="121">
        <v>41882</v>
      </c>
      <c r="B8003" t="s">
        <v>406</v>
      </c>
      <c r="C8003" t="s">
        <v>491</v>
      </c>
      <c r="D8003" t="s">
        <v>492</v>
      </c>
      <c r="E8003" t="s">
        <v>493</v>
      </c>
      <c r="F8003" t="s">
        <v>410</v>
      </c>
      <c r="G8003">
        <v>1417</v>
      </c>
      <c r="H8003">
        <v>1417</v>
      </c>
      <c r="I8003">
        <v>1370</v>
      </c>
      <c r="J8003">
        <v>1370</v>
      </c>
      <c r="K8003">
        <v>240</v>
      </c>
      <c r="L8003">
        <v>2</v>
      </c>
      <c r="M8003">
        <v>1091</v>
      </c>
      <c r="N8003">
        <v>79</v>
      </c>
      <c r="O8003">
        <v>5</v>
      </c>
      <c r="P8003">
        <v>0</v>
      </c>
      <c r="Q8003">
        <v>0</v>
      </c>
    </row>
    <row r="8004" spans="1:17" x14ac:dyDescent="0.2">
      <c r="A8004" s="121">
        <v>41882</v>
      </c>
      <c r="B8004" t="s">
        <v>406</v>
      </c>
      <c r="C8004" t="s">
        <v>491</v>
      </c>
      <c r="D8004" t="s">
        <v>494</v>
      </c>
      <c r="E8004" t="s">
        <v>495</v>
      </c>
      <c r="F8004" t="s">
        <v>413</v>
      </c>
      <c r="G8004">
        <v>2843</v>
      </c>
      <c r="H8004">
        <v>2843</v>
      </c>
      <c r="I8004">
        <v>2678</v>
      </c>
      <c r="J8004">
        <v>2678</v>
      </c>
      <c r="K8004">
        <v>779</v>
      </c>
      <c r="L8004">
        <v>6</v>
      </c>
      <c r="M8004">
        <v>1820</v>
      </c>
      <c r="N8004">
        <v>26</v>
      </c>
      <c r="O8004">
        <v>212</v>
      </c>
      <c r="P8004">
        <v>0</v>
      </c>
      <c r="Q8004">
        <v>0</v>
      </c>
    </row>
    <row r="8005" spans="1:17" x14ac:dyDescent="0.2">
      <c r="A8005" s="121">
        <v>41882</v>
      </c>
      <c r="B8005" t="s">
        <v>406</v>
      </c>
      <c r="C8005" t="s">
        <v>491</v>
      </c>
      <c r="D8005" t="s">
        <v>496</v>
      </c>
      <c r="E8005" t="s">
        <v>497</v>
      </c>
      <c r="F8005" t="s">
        <v>413</v>
      </c>
      <c r="G8005">
        <v>6096</v>
      </c>
      <c r="H8005">
        <v>6096</v>
      </c>
      <c r="I8005">
        <v>5259</v>
      </c>
      <c r="J8005">
        <v>5259</v>
      </c>
      <c r="K8005">
        <v>1896</v>
      </c>
      <c r="L8005">
        <v>12</v>
      </c>
      <c r="M8005">
        <v>3937</v>
      </c>
      <c r="N8005">
        <v>78</v>
      </c>
      <c r="O8005">
        <v>173</v>
      </c>
      <c r="P8005">
        <v>34</v>
      </c>
      <c r="Q8005">
        <v>0</v>
      </c>
    </row>
    <row r="8006" spans="1:17" x14ac:dyDescent="0.2">
      <c r="A8006" s="121">
        <v>41882</v>
      </c>
      <c r="B8006" t="s">
        <v>406</v>
      </c>
      <c r="C8006" t="s">
        <v>491</v>
      </c>
      <c r="D8006" t="s">
        <v>498</v>
      </c>
      <c r="E8006" t="s">
        <v>499</v>
      </c>
      <c r="F8006" t="s">
        <v>413</v>
      </c>
      <c r="G8006">
        <v>7047</v>
      </c>
      <c r="H8006">
        <v>7047</v>
      </c>
      <c r="I8006">
        <v>6370</v>
      </c>
      <c r="J8006">
        <v>6370</v>
      </c>
      <c r="K8006">
        <v>2271</v>
      </c>
      <c r="L8006">
        <v>25</v>
      </c>
      <c r="M8006">
        <v>4351</v>
      </c>
      <c r="N8006">
        <v>97</v>
      </c>
      <c r="O8006">
        <v>303</v>
      </c>
      <c r="P8006">
        <v>9</v>
      </c>
      <c r="Q8006">
        <v>0</v>
      </c>
    </row>
    <row r="8007" spans="1:17" x14ac:dyDescent="0.2">
      <c r="A8007" s="121">
        <v>41882</v>
      </c>
      <c r="B8007" t="s">
        <v>406</v>
      </c>
      <c r="C8007" t="s">
        <v>491</v>
      </c>
      <c r="D8007" t="s">
        <v>500</v>
      </c>
      <c r="E8007" t="s">
        <v>620</v>
      </c>
      <c r="F8007" t="s">
        <v>410</v>
      </c>
      <c r="G8007">
        <v>1439</v>
      </c>
      <c r="H8007">
        <v>1439</v>
      </c>
      <c r="I8007">
        <v>1438</v>
      </c>
      <c r="J8007">
        <v>1438</v>
      </c>
      <c r="K8007">
        <v>0</v>
      </c>
      <c r="L8007">
        <v>2</v>
      </c>
      <c r="M8007">
        <v>1333</v>
      </c>
      <c r="N8007">
        <v>95</v>
      </c>
      <c r="O8007">
        <v>9</v>
      </c>
      <c r="P8007">
        <v>0</v>
      </c>
      <c r="Q8007">
        <v>0</v>
      </c>
    </row>
    <row r="8008" spans="1:17" x14ac:dyDescent="0.2">
      <c r="A8008" s="121">
        <v>41882</v>
      </c>
      <c r="B8008" t="s">
        <v>406</v>
      </c>
      <c r="C8008" t="s">
        <v>491</v>
      </c>
      <c r="D8008" t="s">
        <v>502</v>
      </c>
      <c r="E8008" t="s">
        <v>615</v>
      </c>
      <c r="F8008" t="s">
        <v>410</v>
      </c>
      <c r="G8008">
        <v>2088</v>
      </c>
      <c r="H8008">
        <v>2088</v>
      </c>
      <c r="I8008">
        <v>2087</v>
      </c>
      <c r="J8008">
        <v>2087</v>
      </c>
      <c r="K8008">
        <v>6</v>
      </c>
      <c r="L8008">
        <v>0</v>
      </c>
      <c r="M8008">
        <v>1963</v>
      </c>
      <c r="N8008">
        <v>117</v>
      </c>
      <c r="O8008">
        <v>2</v>
      </c>
      <c r="P8008">
        <v>0</v>
      </c>
      <c r="Q8008">
        <v>0</v>
      </c>
    </row>
    <row r="8009" spans="1:17" x14ac:dyDescent="0.2">
      <c r="A8009" s="121">
        <v>41882</v>
      </c>
      <c r="B8009" t="s">
        <v>406</v>
      </c>
      <c r="C8009" t="s">
        <v>491</v>
      </c>
      <c r="D8009" t="s">
        <v>502</v>
      </c>
      <c r="E8009" t="s">
        <v>503</v>
      </c>
      <c r="F8009" t="s">
        <v>413</v>
      </c>
      <c r="G8009">
        <v>5175</v>
      </c>
      <c r="H8009">
        <v>5175</v>
      </c>
      <c r="I8009">
        <v>4450</v>
      </c>
      <c r="J8009">
        <v>4450</v>
      </c>
      <c r="K8009">
        <v>1567</v>
      </c>
      <c r="L8009">
        <v>14</v>
      </c>
      <c r="M8009">
        <v>3167</v>
      </c>
      <c r="N8009">
        <v>340</v>
      </c>
      <c r="O8009">
        <v>87</v>
      </c>
      <c r="P8009">
        <v>56</v>
      </c>
      <c r="Q8009">
        <v>2</v>
      </c>
    </row>
    <row r="8010" spans="1:17" x14ac:dyDescent="0.2">
      <c r="A8010" s="121">
        <v>41882</v>
      </c>
      <c r="B8010" t="s">
        <v>406</v>
      </c>
      <c r="C8010" t="s">
        <v>491</v>
      </c>
      <c r="D8010" t="s">
        <v>504</v>
      </c>
      <c r="E8010" t="s">
        <v>505</v>
      </c>
      <c r="F8010" t="s">
        <v>413</v>
      </c>
      <c r="G8010">
        <v>4145</v>
      </c>
      <c r="H8010">
        <v>4145</v>
      </c>
      <c r="I8010">
        <v>3743</v>
      </c>
      <c r="J8010">
        <v>3743</v>
      </c>
      <c r="K8010">
        <v>1151</v>
      </c>
      <c r="L8010">
        <v>12</v>
      </c>
      <c r="M8010">
        <v>2719</v>
      </c>
      <c r="N8010">
        <v>185</v>
      </c>
      <c r="O8010">
        <v>78</v>
      </c>
      <c r="P8010">
        <v>20</v>
      </c>
      <c r="Q8010">
        <v>1</v>
      </c>
    </row>
    <row r="8011" spans="1:17" x14ac:dyDescent="0.2">
      <c r="A8011" s="121">
        <v>41882</v>
      </c>
      <c r="B8011" t="s">
        <v>406</v>
      </c>
      <c r="C8011" t="s">
        <v>491</v>
      </c>
      <c r="D8011" t="s">
        <v>506</v>
      </c>
      <c r="E8011" t="s">
        <v>507</v>
      </c>
      <c r="F8011" t="s">
        <v>413</v>
      </c>
      <c r="G8011">
        <v>3681</v>
      </c>
      <c r="H8011">
        <v>3681</v>
      </c>
      <c r="I8011">
        <v>3616</v>
      </c>
      <c r="J8011">
        <v>3616</v>
      </c>
      <c r="K8011">
        <v>1021</v>
      </c>
      <c r="L8011">
        <v>2</v>
      </c>
      <c r="M8011">
        <v>2654</v>
      </c>
      <c r="N8011">
        <v>1</v>
      </c>
      <c r="O8011">
        <v>3</v>
      </c>
      <c r="P8011">
        <v>0</v>
      </c>
      <c r="Q8011">
        <v>0</v>
      </c>
    </row>
    <row r="8012" spans="1:17" x14ac:dyDescent="0.2">
      <c r="A8012" s="121">
        <v>41882</v>
      </c>
      <c r="B8012" t="s">
        <v>406</v>
      </c>
      <c r="C8012" t="s">
        <v>491</v>
      </c>
      <c r="D8012" t="s">
        <v>508</v>
      </c>
      <c r="E8012" t="s">
        <v>509</v>
      </c>
      <c r="F8012" t="s">
        <v>413</v>
      </c>
      <c r="G8012">
        <v>5032</v>
      </c>
      <c r="H8012">
        <v>5032</v>
      </c>
      <c r="I8012">
        <v>3938</v>
      </c>
      <c r="J8012">
        <v>3938</v>
      </c>
      <c r="K8012">
        <v>1689</v>
      </c>
      <c r="L8012">
        <v>12</v>
      </c>
      <c r="M8012">
        <v>3044</v>
      </c>
      <c r="N8012">
        <v>146</v>
      </c>
      <c r="O8012">
        <v>141</v>
      </c>
      <c r="P8012">
        <v>144</v>
      </c>
      <c r="Q8012">
        <v>1</v>
      </c>
    </row>
    <row r="8013" spans="1:17" x14ac:dyDescent="0.2">
      <c r="A8013" s="121">
        <v>41882</v>
      </c>
      <c r="B8013" t="s">
        <v>406</v>
      </c>
      <c r="C8013" t="s">
        <v>510</v>
      </c>
      <c r="D8013" t="s">
        <v>513</v>
      </c>
      <c r="E8013" t="s">
        <v>514</v>
      </c>
      <c r="F8013" t="s">
        <v>410</v>
      </c>
      <c r="G8013">
        <v>654</v>
      </c>
      <c r="I8013">
        <v>653</v>
      </c>
    </row>
    <row r="8014" spans="1:17" x14ac:dyDescent="0.2">
      <c r="A8014" s="121">
        <v>41882</v>
      </c>
      <c r="B8014" t="s">
        <v>406</v>
      </c>
      <c r="C8014" t="s">
        <v>510</v>
      </c>
      <c r="D8014" t="s">
        <v>515</v>
      </c>
      <c r="E8014" t="s">
        <v>516</v>
      </c>
      <c r="F8014" t="s">
        <v>410</v>
      </c>
      <c r="G8014">
        <v>149</v>
      </c>
      <c r="I8014">
        <v>148</v>
      </c>
    </row>
    <row r="8015" spans="1:17" x14ac:dyDescent="0.2">
      <c r="A8015" s="121">
        <v>41882</v>
      </c>
      <c r="B8015" t="s">
        <v>406</v>
      </c>
      <c r="C8015" t="s">
        <v>510</v>
      </c>
      <c r="D8015" t="s">
        <v>519</v>
      </c>
      <c r="E8015" t="s">
        <v>520</v>
      </c>
      <c r="F8015" t="s">
        <v>410</v>
      </c>
      <c r="G8015">
        <v>429</v>
      </c>
      <c r="I8015">
        <v>416</v>
      </c>
    </row>
    <row r="8016" spans="1:17" x14ac:dyDescent="0.2">
      <c r="A8016" s="121">
        <v>41882</v>
      </c>
      <c r="B8016" t="s">
        <v>406</v>
      </c>
      <c r="C8016" t="s">
        <v>510</v>
      </c>
      <c r="D8016" t="s">
        <v>523</v>
      </c>
      <c r="E8016" t="s">
        <v>524</v>
      </c>
      <c r="F8016" t="s">
        <v>413</v>
      </c>
      <c r="G8016">
        <v>663</v>
      </c>
      <c r="H8016">
        <v>663</v>
      </c>
      <c r="I8016">
        <v>640</v>
      </c>
      <c r="J8016">
        <v>640</v>
      </c>
      <c r="K8016">
        <v>127</v>
      </c>
      <c r="L8016">
        <v>0</v>
      </c>
      <c r="M8016">
        <v>521</v>
      </c>
      <c r="N8016">
        <v>15</v>
      </c>
      <c r="O8016">
        <v>0</v>
      </c>
      <c r="P8016">
        <v>0</v>
      </c>
      <c r="Q8016">
        <v>0</v>
      </c>
    </row>
    <row r="8017" spans="1:17" x14ac:dyDescent="0.2">
      <c r="A8017" s="121">
        <v>41882</v>
      </c>
      <c r="B8017" t="s">
        <v>406</v>
      </c>
      <c r="C8017" t="s">
        <v>510</v>
      </c>
      <c r="D8017" t="s">
        <v>525</v>
      </c>
      <c r="E8017" t="s">
        <v>526</v>
      </c>
      <c r="F8017" t="s">
        <v>410</v>
      </c>
      <c r="G8017">
        <v>524</v>
      </c>
      <c r="I8017">
        <v>515</v>
      </c>
    </row>
    <row r="8018" spans="1:17" x14ac:dyDescent="0.2">
      <c r="A8018" s="121">
        <v>41882</v>
      </c>
      <c r="B8018" t="s">
        <v>406</v>
      </c>
      <c r="C8018" t="s">
        <v>510</v>
      </c>
      <c r="D8018" t="s">
        <v>527</v>
      </c>
      <c r="E8018" t="s">
        <v>528</v>
      </c>
      <c r="F8018" t="s">
        <v>410</v>
      </c>
      <c r="G8018">
        <v>235</v>
      </c>
      <c r="I8018">
        <v>235</v>
      </c>
    </row>
    <row r="8019" spans="1:17" x14ac:dyDescent="0.2">
      <c r="A8019" s="121">
        <v>41882</v>
      </c>
      <c r="B8019" t="s">
        <v>406</v>
      </c>
      <c r="C8019" t="s">
        <v>510</v>
      </c>
      <c r="D8019" t="s">
        <v>529</v>
      </c>
      <c r="E8019" t="s">
        <v>530</v>
      </c>
      <c r="F8019" t="s">
        <v>413</v>
      </c>
      <c r="G8019">
        <v>601</v>
      </c>
      <c r="H8019">
        <v>601</v>
      </c>
      <c r="I8019">
        <v>576</v>
      </c>
      <c r="J8019">
        <v>576</v>
      </c>
      <c r="K8019">
        <v>157</v>
      </c>
      <c r="L8019">
        <v>2</v>
      </c>
      <c r="M8019">
        <v>440</v>
      </c>
      <c r="N8019">
        <v>2</v>
      </c>
      <c r="O8019">
        <v>0</v>
      </c>
      <c r="P8019">
        <v>0</v>
      </c>
      <c r="Q8019">
        <v>0</v>
      </c>
    </row>
    <row r="8020" spans="1:17" x14ac:dyDescent="0.2">
      <c r="A8020" s="121">
        <v>41882</v>
      </c>
      <c r="B8020" t="s">
        <v>406</v>
      </c>
      <c r="C8020" t="s">
        <v>510</v>
      </c>
      <c r="D8020" t="s">
        <v>531</v>
      </c>
      <c r="E8020" t="s">
        <v>532</v>
      </c>
      <c r="F8020" t="s">
        <v>410</v>
      </c>
      <c r="G8020">
        <v>34</v>
      </c>
      <c r="I8020">
        <v>34</v>
      </c>
    </row>
    <row r="8021" spans="1:17" x14ac:dyDescent="0.2">
      <c r="A8021" s="121">
        <v>41882</v>
      </c>
      <c r="B8021" t="s">
        <v>406</v>
      </c>
      <c r="C8021" t="s">
        <v>510</v>
      </c>
      <c r="D8021" t="s">
        <v>533</v>
      </c>
      <c r="E8021" t="s">
        <v>534</v>
      </c>
      <c r="F8021" t="s">
        <v>413</v>
      </c>
      <c r="G8021">
        <v>2875</v>
      </c>
      <c r="H8021">
        <v>2875</v>
      </c>
      <c r="I8021">
        <v>2722</v>
      </c>
      <c r="J8021">
        <v>2722</v>
      </c>
      <c r="K8021">
        <v>710</v>
      </c>
      <c r="L8021">
        <v>4</v>
      </c>
      <c r="M8021">
        <v>2154</v>
      </c>
      <c r="N8021">
        <v>7</v>
      </c>
      <c r="O8021">
        <v>0</v>
      </c>
      <c r="P8021">
        <v>9</v>
      </c>
      <c r="Q8021">
        <v>0</v>
      </c>
    </row>
    <row r="8022" spans="1:17" x14ac:dyDescent="0.2">
      <c r="A8022" s="121">
        <v>41882</v>
      </c>
      <c r="B8022" t="s">
        <v>406</v>
      </c>
      <c r="C8022" t="s">
        <v>510</v>
      </c>
      <c r="D8022" t="s">
        <v>535</v>
      </c>
      <c r="E8022" t="s">
        <v>536</v>
      </c>
      <c r="F8022" t="s">
        <v>410</v>
      </c>
      <c r="G8022">
        <v>512</v>
      </c>
      <c r="I8022">
        <v>512</v>
      </c>
    </row>
    <row r="8023" spans="1:17" x14ac:dyDescent="0.2">
      <c r="A8023" s="121">
        <v>41882</v>
      </c>
      <c r="B8023" t="s">
        <v>406</v>
      </c>
      <c r="C8023" t="s">
        <v>510</v>
      </c>
      <c r="D8023" t="s">
        <v>537</v>
      </c>
      <c r="E8023" t="s">
        <v>538</v>
      </c>
      <c r="F8023" t="s">
        <v>410</v>
      </c>
      <c r="G8023">
        <v>128</v>
      </c>
      <c r="I8023">
        <v>128</v>
      </c>
    </row>
    <row r="8024" spans="1:17" x14ac:dyDescent="0.2">
      <c r="A8024" s="121">
        <v>41882</v>
      </c>
      <c r="B8024" t="s">
        <v>406</v>
      </c>
      <c r="C8024" t="s">
        <v>510</v>
      </c>
      <c r="D8024" t="s">
        <v>539</v>
      </c>
      <c r="E8024" t="s">
        <v>540</v>
      </c>
      <c r="F8024" t="s">
        <v>413</v>
      </c>
      <c r="G8024">
        <v>946</v>
      </c>
      <c r="H8024">
        <v>946</v>
      </c>
      <c r="I8024">
        <v>891</v>
      </c>
      <c r="J8024">
        <v>891</v>
      </c>
      <c r="K8024">
        <v>148</v>
      </c>
      <c r="L8024">
        <v>0</v>
      </c>
      <c r="M8024">
        <v>794</v>
      </c>
      <c r="N8024">
        <v>4</v>
      </c>
      <c r="O8024">
        <v>0</v>
      </c>
      <c r="P8024">
        <v>1</v>
      </c>
      <c r="Q8024">
        <v>1</v>
      </c>
    </row>
    <row r="8025" spans="1:17" x14ac:dyDescent="0.2">
      <c r="A8025" s="121">
        <v>41882</v>
      </c>
      <c r="B8025" t="s">
        <v>406</v>
      </c>
      <c r="C8025" t="s">
        <v>510</v>
      </c>
      <c r="D8025" t="s">
        <v>541</v>
      </c>
      <c r="E8025" t="s">
        <v>542</v>
      </c>
      <c r="F8025" t="s">
        <v>410</v>
      </c>
      <c r="G8025">
        <v>448</v>
      </c>
      <c r="I8025">
        <v>448</v>
      </c>
    </row>
    <row r="8026" spans="1:17" x14ac:dyDescent="0.2">
      <c r="A8026" s="121">
        <v>41882</v>
      </c>
      <c r="B8026" t="s">
        <v>406</v>
      </c>
      <c r="C8026" t="s">
        <v>510</v>
      </c>
      <c r="D8026" t="s">
        <v>543</v>
      </c>
      <c r="E8026" t="s">
        <v>544</v>
      </c>
      <c r="F8026" t="s">
        <v>410</v>
      </c>
      <c r="G8026">
        <v>317</v>
      </c>
      <c r="I8026">
        <v>317</v>
      </c>
    </row>
    <row r="8027" spans="1:17" x14ac:dyDescent="0.2">
      <c r="A8027" s="121">
        <v>41882</v>
      </c>
      <c r="B8027" t="s">
        <v>406</v>
      </c>
      <c r="C8027" t="s">
        <v>510</v>
      </c>
      <c r="D8027" t="s">
        <v>545</v>
      </c>
      <c r="E8027" t="s">
        <v>546</v>
      </c>
      <c r="F8027" t="s">
        <v>410</v>
      </c>
      <c r="G8027">
        <v>166</v>
      </c>
      <c r="I8027">
        <v>166</v>
      </c>
    </row>
    <row r="8028" spans="1:17" x14ac:dyDescent="0.2">
      <c r="A8028" s="121">
        <v>41882</v>
      </c>
      <c r="B8028" t="s">
        <v>406</v>
      </c>
      <c r="C8028" t="s">
        <v>510</v>
      </c>
      <c r="D8028" t="s">
        <v>547</v>
      </c>
      <c r="E8028" t="s">
        <v>548</v>
      </c>
      <c r="F8028" t="s">
        <v>410</v>
      </c>
      <c r="G8028">
        <v>151</v>
      </c>
      <c r="I8028">
        <v>151</v>
      </c>
    </row>
    <row r="8029" spans="1:17" x14ac:dyDescent="0.2">
      <c r="A8029" s="121">
        <v>41882</v>
      </c>
      <c r="B8029" t="s">
        <v>406</v>
      </c>
      <c r="C8029" t="s">
        <v>510</v>
      </c>
      <c r="D8029" t="s">
        <v>616</v>
      </c>
      <c r="E8029" t="s">
        <v>617</v>
      </c>
      <c r="F8029" t="s">
        <v>410</v>
      </c>
      <c r="G8029">
        <v>365</v>
      </c>
      <c r="I8029">
        <v>354</v>
      </c>
    </row>
    <row r="8030" spans="1:17" x14ac:dyDescent="0.2">
      <c r="A8030" s="121">
        <v>41882</v>
      </c>
      <c r="B8030" t="s">
        <v>406</v>
      </c>
      <c r="C8030" t="s">
        <v>510</v>
      </c>
      <c r="D8030" t="s">
        <v>549</v>
      </c>
      <c r="E8030" t="s">
        <v>550</v>
      </c>
      <c r="F8030" t="s">
        <v>410</v>
      </c>
      <c r="G8030">
        <v>192</v>
      </c>
      <c r="I8030">
        <v>192</v>
      </c>
    </row>
    <row r="8031" spans="1:17" x14ac:dyDescent="0.2">
      <c r="A8031" s="121">
        <v>41882</v>
      </c>
      <c r="B8031" t="s">
        <v>406</v>
      </c>
      <c r="C8031" t="s">
        <v>510</v>
      </c>
      <c r="D8031" t="s">
        <v>625</v>
      </c>
      <c r="E8031" t="s">
        <v>626</v>
      </c>
      <c r="F8031" t="s">
        <v>410</v>
      </c>
      <c r="G8031">
        <v>87</v>
      </c>
      <c r="I8031">
        <v>86</v>
      </c>
    </row>
    <row r="8032" spans="1:17" x14ac:dyDescent="0.2">
      <c r="A8032" s="121">
        <v>41882</v>
      </c>
      <c r="B8032" t="s">
        <v>406</v>
      </c>
      <c r="C8032" t="s">
        <v>551</v>
      </c>
      <c r="D8032" t="s">
        <v>552</v>
      </c>
      <c r="E8032" t="s">
        <v>553</v>
      </c>
      <c r="F8032" t="s">
        <v>413</v>
      </c>
      <c r="G8032">
        <v>5653</v>
      </c>
      <c r="H8032">
        <v>5653</v>
      </c>
      <c r="I8032">
        <v>5116</v>
      </c>
      <c r="J8032">
        <v>5116</v>
      </c>
      <c r="K8032">
        <v>1578</v>
      </c>
      <c r="L8032">
        <v>5</v>
      </c>
      <c r="M8032">
        <v>3809</v>
      </c>
      <c r="N8032">
        <v>140</v>
      </c>
      <c r="O8032">
        <v>121</v>
      </c>
      <c r="P8032">
        <v>28</v>
      </c>
      <c r="Q8032">
        <v>2</v>
      </c>
    </row>
    <row r="8033" spans="1:17" x14ac:dyDescent="0.2">
      <c r="A8033" s="121">
        <v>41882</v>
      </c>
      <c r="B8033" t="s">
        <v>406</v>
      </c>
      <c r="C8033" t="s">
        <v>551</v>
      </c>
      <c r="D8033" t="s">
        <v>554</v>
      </c>
      <c r="E8033" t="s">
        <v>555</v>
      </c>
      <c r="F8033" t="s">
        <v>410</v>
      </c>
      <c r="G8033">
        <v>75</v>
      </c>
      <c r="I8033">
        <v>75</v>
      </c>
    </row>
    <row r="8034" spans="1:17" x14ac:dyDescent="0.2">
      <c r="A8034" s="121">
        <v>41882</v>
      </c>
      <c r="B8034" t="s">
        <v>406</v>
      </c>
      <c r="C8034" t="s">
        <v>551</v>
      </c>
      <c r="D8034" t="s">
        <v>556</v>
      </c>
      <c r="E8034" t="s">
        <v>557</v>
      </c>
      <c r="F8034" t="s">
        <v>410</v>
      </c>
      <c r="G8034">
        <v>125</v>
      </c>
      <c r="I8034">
        <v>125</v>
      </c>
    </row>
    <row r="8035" spans="1:17" x14ac:dyDescent="0.2">
      <c r="A8035" s="121">
        <v>41882</v>
      </c>
      <c r="B8035" t="s">
        <v>406</v>
      </c>
      <c r="C8035" t="s">
        <v>551</v>
      </c>
      <c r="D8035" t="s">
        <v>558</v>
      </c>
      <c r="E8035" t="s">
        <v>559</v>
      </c>
      <c r="F8035" t="s">
        <v>413</v>
      </c>
      <c r="G8035">
        <v>5142</v>
      </c>
      <c r="H8035">
        <v>5142</v>
      </c>
      <c r="I8035">
        <v>4674</v>
      </c>
      <c r="J8035">
        <v>4674</v>
      </c>
      <c r="K8035">
        <v>1438</v>
      </c>
      <c r="L8035">
        <v>5</v>
      </c>
      <c r="M8035">
        <v>3562</v>
      </c>
      <c r="N8035">
        <v>124</v>
      </c>
      <c r="O8035">
        <v>13</v>
      </c>
      <c r="P8035">
        <v>56</v>
      </c>
      <c r="Q8035">
        <v>14</v>
      </c>
    </row>
    <row r="8036" spans="1:17" x14ac:dyDescent="0.2">
      <c r="A8036" s="121">
        <v>41882</v>
      </c>
      <c r="B8036" t="s">
        <v>406</v>
      </c>
      <c r="C8036" t="s">
        <v>551</v>
      </c>
      <c r="D8036" t="s">
        <v>560</v>
      </c>
      <c r="E8036" t="s">
        <v>561</v>
      </c>
      <c r="F8036" t="s">
        <v>413</v>
      </c>
      <c r="G8036">
        <v>5427</v>
      </c>
      <c r="H8036">
        <v>5427</v>
      </c>
      <c r="I8036">
        <v>4823</v>
      </c>
      <c r="J8036">
        <v>4823</v>
      </c>
      <c r="K8036">
        <v>1257</v>
      </c>
      <c r="L8036">
        <v>9</v>
      </c>
      <c r="M8036">
        <v>3913</v>
      </c>
      <c r="N8036">
        <v>167</v>
      </c>
      <c r="O8036">
        <v>81</v>
      </c>
      <c r="P8036">
        <v>41</v>
      </c>
      <c r="Q8036">
        <v>7</v>
      </c>
    </row>
    <row r="8037" spans="1:17" x14ac:dyDescent="0.2">
      <c r="A8037" s="121">
        <v>41882</v>
      </c>
      <c r="B8037" t="s">
        <v>406</v>
      </c>
      <c r="C8037" t="s">
        <v>562</v>
      </c>
      <c r="D8037" t="s">
        <v>605</v>
      </c>
      <c r="E8037" t="s">
        <v>606</v>
      </c>
      <c r="F8037" t="s">
        <v>410</v>
      </c>
      <c r="G8037">
        <v>169</v>
      </c>
      <c r="I8037">
        <v>169</v>
      </c>
    </row>
    <row r="8038" spans="1:17" x14ac:dyDescent="0.2">
      <c r="A8038" s="121">
        <v>41882</v>
      </c>
      <c r="B8038" t="s">
        <v>406</v>
      </c>
      <c r="C8038" t="s">
        <v>562</v>
      </c>
      <c r="D8038" t="s">
        <v>563</v>
      </c>
      <c r="E8038" t="s">
        <v>564</v>
      </c>
      <c r="F8038" t="s">
        <v>410</v>
      </c>
      <c r="G8038">
        <v>3512</v>
      </c>
      <c r="H8038">
        <v>3512</v>
      </c>
      <c r="I8038">
        <v>3042</v>
      </c>
      <c r="J8038">
        <v>3042</v>
      </c>
      <c r="K8038">
        <v>1095</v>
      </c>
      <c r="L8038">
        <v>1</v>
      </c>
      <c r="M8038">
        <v>2390</v>
      </c>
      <c r="N8038">
        <v>26</v>
      </c>
      <c r="O8038">
        <v>0</v>
      </c>
      <c r="P8038">
        <v>71</v>
      </c>
      <c r="Q8038">
        <v>14</v>
      </c>
    </row>
    <row r="8039" spans="1:17" x14ac:dyDescent="0.2">
      <c r="A8039" s="121">
        <v>41882</v>
      </c>
      <c r="B8039" t="s">
        <v>406</v>
      </c>
      <c r="C8039" t="s">
        <v>562</v>
      </c>
      <c r="D8039" t="s">
        <v>565</v>
      </c>
      <c r="E8039" t="s">
        <v>566</v>
      </c>
      <c r="F8039" t="s">
        <v>413</v>
      </c>
      <c r="G8039">
        <v>4492</v>
      </c>
      <c r="H8039">
        <v>4492</v>
      </c>
      <c r="I8039">
        <v>4270</v>
      </c>
      <c r="J8039">
        <v>4270</v>
      </c>
      <c r="K8039">
        <v>1055</v>
      </c>
      <c r="L8039">
        <v>3</v>
      </c>
      <c r="M8039">
        <v>3347</v>
      </c>
      <c r="N8039">
        <v>87</v>
      </c>
      <c r="O8039">
        <v>0</v>
      </c>
      <c r="P8039">
        <v>11</v>
      </c>
      <c r="Q8039">
        <v>0</v>
      </c>
    </row>
    <row r="8040" spans="1:17" x14ac:dyDescent="0.2">
      <c r="A8040" s="121">
        <v>41882</v>
      </c>
      <c r="B8040" t="s">
        <v>406</v>
      </c>
      <c r="C8040" t="s">
        <v>562</v>
      </c>
      <c r="D8040" t="s">
        <v>567</v>
      </c>
      <c r="E8040" t="s">
        <v>568</v>
      </c>
      <c r="F8040" t="s">
        <v>413</v>
      </c>
      <c r="G8040">
        <v>10311</v>
      </c>
      <c r="H8040">
        <v>10311</v>
      </c>
      <c r="I8040">
        <v>9520</v>
      </c>
      <c r="J8040">
        <v>9520</v>
      </c>
      <c r="K8040">
        <v>2917</v>
      </c>
      <c r="L8040">
        <v>20</v>
      </c>
      <c r="M8040">
        <v>7098</v>
      </c>
      <c r="N8040">
        <v>276</v>
      </c>
      <c r="O8040">
        <v>0</v>
      </c>
      <c r="P8040">
        <v>116</v>
      </c>
      <c r="Q8040">
        <v>3</v>
      </c>
    </row>
    <row r="8041" spans="1:17" x14ac:dyDescent="0.2">
      <c r="A8041" s="121">
        <v>41882</v>
      </c>
      <c r="B8041" t="s">
        <v>406</v>
      </c>
      <c r="C8041" t="s">
        <v>562</v>
      </c>
      <c r="D8041" t="s">
        <v>569</v>
      </c>
      <c r="E8041" t="s">
        <v>570</v>
      </c>
      <c r="F8041" t="s">
        <v>413</v>
      </c>
      <c r="G8041">
        <v>3275</v>
      </c>
      <c r="H8041">
        <v>3275</v>
      </c>
      <c r="I8041">
        <v>3235</v>
      </c>
      <c r="J8041">
        <v>3235</v>
      </c>
      <c r="K8041">
        <v>436</v>
      </c>
      <c r="L8041">
        <v>1</v>
      </c>
      <c r="M8041">
        <v>2837</v>
      </c>
      <c r="N8041">
        <v>1</v>
      </c>
      <c r="O8041">
        <v>0</v>
      </c>
      <c r="P8041">
        <v>0</v>
      </c>
      <c r="Q8041">
        <v>0</v>
      </c>
    </row>
    <row r="8042" spans="1:17" x14ac:dyDescent="0.2">
      <c r="A8042" s="121">
        <v>41882</v>
      </c>
      <c r="B8042" t="s">
        <v>406</v>
      </c>
      <c r="C8042" t="s">
        <v>571</v>
      </c>
      <c r="D8042" t="s">
        <v>572</v>
      </c>
      <c r="E8042" t="s">
        <v>627</v>
      </c>
      <c r="F8042" t="s">
        <v>413</v>
      </c>
      <c r="G8042">
        <v>502</v>
      </c>
      <c r="H8042">
        <v>502</v>
      </c>
      <c r="I8042">
        <v>495</v>
      </c>
      <c r="J8042">
        <v>495</v>
      </c>
      <c r="K8042">
        <v>146</v>
      </c>
      <c r="L8042">
        <v>0</v>
      </c>
      <c r="M8042">
        <v>337</v>
      </c>
      <c r="N8042">
        <v>1</v>
      </c>
      <c r="O8042">
        <v>18</v>
      </c>
      <c r="P8042">
        <v>0</v>
      </c>
      <c r="Q8042">
        <v>0</v>
      </c>
    </row>
    <row r="8043" spans="1:17" x14ac:dyDescent="0.2">
      <c r="A8043" s="121">
        <v>41882</v>
      </c>
      <c r="B8043" t="s">
        <v>406</v>
      </c>
      <c r="C8043" t="s">
        <v>574</v>
      </c>
      <c r="D8043" t="s">
        <v>575</v>
      </c>
      <c r="E8043" t="s">
        <v>576</v>
      </c>
      <c r="F8043" t="s">
        <v>413</v>
      </c>
      <c r="G8043">
        <v>730</v>
      </c>
      <c r="H8043">
        <v>730</v>
      </c>
      <c r="I8043">
        <v>706</v>
      </c>
      <c r="J8043">
        <v>706</v>
      </c>
      <c r="K8043">
        <v>152</v>
      </c>
      <c r="L8043">
        <v>0</v>
      </c>
      <c r="M8043">
        <v>542</v>
      </c>
      <c r="N8043">
        <v>2</v>
      </c>
      <c r="O8043">
        <v>34</v>
      </c>
      <c r="P8043">
        <v>1</v>
      </c>
      <c r="Q8043">
        <v>0</v>
      </c>
    </row>
    <row r="8044" spans="1:17" x14ac:dyDescent="0.2">
      <c r="A8044" s="121">
        <v>41882</v>
      </c>
      <c r="B8044" t="s">
        <v>406</v>
      </c>
      <c r="C8044" t="s">
        <v>577</v>
      </c>
      <c r="D8044" t="s">
        <v>578</v>
      </c>
      <c r="E8044" t="s">
        <v>579</v>
      </c>
      <c r="F8044" t="s">
        <v>413</v>
      </c>
      <c r="G8044">
        <v>3917</v>
      </c>
      <c r="H8044">
        <v>3917</v>
      </c>
      <c r="I8044">
        <v>3872</v>
      </c>
      <c r="J8044">
        <v>3872</v>
      </c>
      <c r="K8044">
        <v>903</v>
      </c>
      <c r="L8044">
        <v>9</v>
      </c>
      <c r="M8044">
        <v>2792</v>
      </c>
      <c r="N8044">
        <v>202</v>
      </c>
      <c r="O8044">
        <v>11</v>
      </c>
      <c r="P8044">
        <v>0</v>
      </c>
      <c r="Q8044">
        <v>0</v>
      </c>
    </row>
    <row r="8045" spans="1:17" x14ac:dyDescent="0.2">
      <c r="A8045" s="121">
        <v>41882</v>
      </c>
      <c r="B8045" t="s">
        <v>406</v>
      </c>
      <c r="C8045" t="s">
        <v>577</v>
      </c>
      <c r="D8045" t="s">
        <v>580</v>
      </c>
      <c r="E8045" t="s">
        <v>581</v>
      </c>
      <c r="F8045" t="s">
        <v>413</v>
      </c>
      <c r="G8045">
        <v>2202</v>
      </c>
      <c r="H8045">
        <v>2202</v>
      </c>
      <c r="I8045">
        <v>2175</v>
      </c>
      <c r="J8045">
        <v>2175</v>
      </c>
      <c r="K8045">
        <v>343</v>
      </c>
      <c r="L8045">
        <v>0</v>
      </c>
      <c r="M8045">
        <v>1410</v>
      </c>
      <c r="N8045">
        <v>354</v>
      </c>
      <c r="O8045">
        <v>95</v>
      </c>
      <c r="P8045">
        <v>1</v>
      </c>
      <c r="Q8045">
        <v>0</v>
      </c>
    </row>
    <row r="8046" spans="1:17" x14ac:dyDescent="0.2">
      <c r="A8046" s="121">
        <v>41882</v>
      </c>
      <c r="B8046" t="s">
        <v>406</v>
      </c>
      <c r="C8046" t="s">
        <v>577</v>
      </c>
      <c r="D8046" t="s">
        <v>609</v>
      </c>
      <c r="E8046" t="s">
        <v>610</v>
      </c>
      <c r="F8046" t="s">
        <v>410</v>
      </c>
      <c r="G8046">
        <v>46</v>
      </c>
      <c r="H8046">
        <v>46</v>
      </c>
      <c r="I8046">
        <v>46</v>
      </c>
      <c r="J8046">
        <v>46</v>
      </c>
      <c r="K8046">
        <v>0</v>
      </c>
      <c r="L8046">
        <v>0</v>
      </c>
      <c r="M8046">
        <v>42</v>
      </c>
      <c r="N8046">
        <v>4</v>
      </c>
      <c r="O8046">
        <v>0</v>
      </c>
      <c r="P8046">
        <v>0</v>
      </c>
      <c r="Q8046">
        <v>0</v>
      </c>
    </row>
    <row r="8047" spans="1:17" x14ac:dyDescent="0.2">
      <c r="A8047" s="121">
        <v>41882</v>
      </c>
      <c r="B8047" t="s">
        <v>406</v>
      </c>
      <c r="C8047" t="s">
        <v>577</v>
      </c>
      <c r="D8047" t="s">
        <v>611</v>
      </c>
      <c r="E8047" t="s">
        <v>612</v>
      </c>
      <c r="F8047" t="s">
        <v>410</v>
      </c>
      <c r="G8047">
        <v>10</v>
      </c>
      <c r="H8047">
        <v>10</v>
      </c>
      <c r="I8047">
        <v>10</v>
      </c>
      <c r="J8047">
        <v>10</v>
      </c>
      <c r="K8047">
        <v>0</v>
      </c>
      <c r="L8047">
        <v>0</v>
      </c>
      <c r="M8047">
        <v>9</v>
      </c>
      <c r="N8047">
        <v>0</v>
      </c>
      <c r="O8047">
        <v>1</v>
      </c>
      <c r="P8047">
        <v>0</v>
      </c>
      <c r="Q8047">
        <v>0</v>
      </c>
    </row>
    <row r="8048" spans="1:17" x14ac:dyDescent="0.2">
      <c r="A8048" s="121">
        <v>41882</v>
      </c>
      <c r="B8048" t="s">
        <v>406</v>
      </c>
      <c r="C8048" t="s">
        <v>577</v>
      </c>
      <c r="D8048" t="s">
        <v>584</v>
      </c>
      <c r="E8048" t="s">
        <v>585</v>
      </c>
      <c r="F8048" t="s">
        <v>410</v>
      </c>
      <c r="G8048">
        <v>276</v>
      </c>
      <c r="H8048">
        <v>276</v>
      </c>
      <c r="I8048">
        <v>275</v>
      </c>
      <c r="J8048">
        <v>275</v>
      </c>
      <c r="K8048">
        <v>0</v>
      </c>
      <c r="L8048">
        <v>0</v>
      </c>
      <c r="M8048">
        <v>246</v>
      </c>
      <c r="N8048">
        <v>28</v>
      </c>
      <c r="O8048">
        <v>2</v>
      </c>
      <c r="P8048">
        <v>0</v>
      </c>
      <c r="Q8048">
        <v>0</v>
      </c>
    </row>
    <row r="8049" spans="1:17" x14ac:dyDescent="0.2">
      <c r="A8049" s="121">
        <v>41882</v>
      </c>
      <c r="B8049" t="s">
        <v>406</v>
      </c>
      <c r="C8049" t="s">
        <v>577</v>
      </c>
      <c r="D8049" t="s">
        <v>586</v>
      </c>
      <c r="E8049" t="s">
        <v>587</v>
      </c>
      <c r="F8049" t="s">
        <v>410</v>
      </c>
      <c r="G8049">
        <v>1262</v>
      </c>
      <c r="H8049">
        <v>1262</v>
      </c>
      <c r="I8049">
        <v>1260</v>
      </c>
      <c r="J8049">
        <v>1260</v>
      </c>
      <c r="K8049">
        <v>0</v>
      </c>
      <c r="L8049">
        <v>1</v>
      </c>
      <c r="M8049">
        <v>1126</v>
      </c>
      <c r="N8049">
        <v>133</v>
      </c>
      <c r="O8049">
        <v>2</v>
      </c>
      <c r="P8049">
        <v>0</v>
      </c>
      <c r="Q8049">
        <v>0</v>
      </c>
    </row>
    <row r="8050" spans="1:17" x14ac:dyDescent="0.2">
      <c r="A8050" s="121">
        <v>41882</v>
      </c>
      <c r="B8050" t="s">
        <v>406</v>
      </c>
      <c r="C8050" t="s">
        <v>577</v>
      </c>
      <c r="D8050" t="s">
        <v>588</v>
      </c>
      <c r="E8050" t="s">
        <v>589</v>
      </c>
      <c r="F8050" t="s">
        <v>410</v>
      </c>
      <c r="G8050">
        <v>302</v>
      </c>
      <c r="H8050">
        <v>302</v>
      </c>
      <c r="I8050">
        <v>302</v>
      </c>
      <c r="J8050">
        <v>302</v>
      </c>
      <c r="K8050">
        <v>0</v>
      </c>
      <c r="L8050">
        <v>0</v>
      </c>
      <c r="M8050">
        <v>276</v>
      </c>
      <c r="N8050">
        <v>26</v>
      </c>
      <c r="O8050">
        <v>0</v>
      </c>
      <c r="P8050">
        <v>0</v>
      </c>
      <c r="Q8050">
        <v>0</v>
      </c>
    </row>
    <row r="8051" spans="1:17" x14ac:dyDescent="0.2">
      <c r="A8051" s="121">
        <v>41882</v>
      </c>
      <c r="B8051" t="s">
        <v>406</v>
      </c>
      <c r="C8051" t="s">
        <v>577</v>
      </c>
      <c r="D8051" t="s">
        <v>613</v>
      </c>
      <c r="E8051" t="s">
        <v>614</v>
      </c>
      <c r="F8051" t="s">
        <v>410</v>
      </c>
      <c r="G8051">
        <v>163</v>
      </c>
      <c r="H8051">
        <v>163</v>
      </c>
      <c r="I8051">
        <v>163</v>
      </c>
      <c r="J8051">
        <v>163</v>
      </c>
      <c r="K8051">
        <v>0</v>
      </c>
      <c r="L8051">
        <v>0</v>
      </c>
      <c r="M8051">
        <v>135</v>
      </c>
      <c r="N8051">
        <v>14</v>
      </c>
      <c r="O8051">
        <v>14</v>
      </c>
      <c r="P8051">
        <v>0</v>
      </c>
      <c r="Q8051">
        <v>0</v>
      </c>
    </row>
    <row r="8052" spans="1:17" x14ac:dyDescent="0.2">
      <c r="A8052" s="121">
        <v>41882</v>
      </c>
      <c r="B8052" t="s">
        <v>406</v>
      </c>
      <c r="C8052" t="s">
        <v>577</v>
      </c>
      <c r="D8052" t="s">
        <v>590</v>
      </c>
      <c r="E8052" t="s">
        <v>591</v>
      </c>
      <c r="F8052" t="s">
        <v>410</v>
      </c>
      <c r="G8052">
        <v>716</v>
      </c>
      <c r="H8052">
        <v>716</v>
      </c>
      <c r="I8052">
        <v>716</v>
      </c>
      <c r="J8052">
        <v>716</v>
      </c>
      <c r="K8052">
        <v>0</v>
      </c>
      <c r="L8052">
        <v>1</v>
      </c>
      <c r="M8052">
        <v>676</v>
      </c>
      <c r="N8052">
        <v>39</v>
      </c>
      <c r="O8052">
        <v>0</v>
      </c>
      <c r="P8052">
        <v>0</v>
      </c>
      <c r="Q8052">
        <v>0</v>
      </c>
    </row>
    <row r="8053" spans="1:17" x14ac:dyDescent="0.2">
      <c r="A8053" s="121">
        <v>41882</v>
      </c>
      <c r="B8053" t="s">
        <v>406</v>
      </c>
      <c r="C8053" t="s">
        <v>577</v>
      </c>
      <c r="D8053" t="s">
        <v>607</v>
      </c>
      <c r="E8053" t="s">
        <v>608</v>
      </c>
      <c r="F8053" t="s">
        <v>410</v>
      </c>
      <c r="G8053">
        <v>254</v>
      </c>
      <c r="H8053">
        <v>254</v>
      </c>
      <c r="I8053">
        <v>253</v>
      </c>
      <c r="J8053">
        <v>253</v>
      </c>
      <c r="K8053">
        <v>1</v>
      </c>
      <c r="L8053">
        <v>0</v>
      </c>
      <c r="M8053">
        <v>228</v>
      </c>
      <c r="N8053">
        <v>21</v>
      </c>
      <c r="O8053">
        <v>4</v>
      </c>
      <c r="P8053">
        <v>0</v>
      </c>
      <c r="Q8053">
        <v>0</v>
      </c>
    </row>
    <row r="8054" spans="1:17" x14ac:dyDescent="0.2">
      <c r="A8054" s="121">
        <v>41882</v>
      </c>
      <c r="B8054" t="s">
        <v>406</v>
      </c>
      <c r="C8054" t="s">
        <v>577</v>
      </c>
      <c r="D8054" t="s">
        <v>592</v>
      </c>
      <c r="E8054" t="s">
        <v>593</v>
      </c>
      <c r="F8054" t="s">
        <v>410</v>
      </c>
      <c r="G8054">
        <v>576</v>
      </c>
      <c r="H8054">
        <v>576</v>
      </c>
      <c r="I8054">
        <v>576</v>
      </c>
      <c r="J8054">
        <v>576</v>
      </c>
      <c r="K8054">
        <v>0</v>
      </c>
      <c r="L8054">
        <v>0</v>
      </c>
      <c r="M8054">
        <v>540</v>
      </c>
      <c r="N8054">
        <v>32</v>
      </c>
      <c r="O8054">
        <v>4</v>
      </c>
      <c r="P8054">
        <v>0</v>
      </c>
      <c r="Q8054">
        <v>0</v>
      </c>
    </row>
    <row r="8055" spans="1:17" x14ac:dyDescent="0.2">
      <c r="A8055" s="121">
        <v>41882</v>
      </c>
      <c r="B8055" t="s">
        <v>406</v>
      </c>
      <c r="C8055" t="s">
        <v>594</v>
      </c>
      <c r="D8055" t="s">
        <v>595</v>
      </c>
      <c r="E8055" t="s">
        <v>596</v>
      </c>
      <c r="F8055" t="s">
        <v>410</v>
      </c>
      <c r="G8055">
        <v>50</v>
      </c>
      <c r="I8055">
        <v>50</v>
      </c>
    </row>
    <row r="8056" spans="1:17" x14ac:dyDescent="0.2">
      <c r="A8056" s="121">
        <v>41882</v>
      </c>
      <c r="B8056" t="s">
        <v>406</v>
      </c>
      <c r="C8056" t="s">
        <v>594</v>
      </c>
      <c r="D8056" t="s">
        <v>597</v>
      </c>
      <c r="E8056" t="s">
        <v>598</v>
      </c>
      <c r="F8056" t="s">
        <v>413</v>
      </c>
      <c r="G8056">
        <v>603</v>
      </c>
      <c r="H8056">
        <v>603</v>
      </c>
      <c r="I8056">
        <v>590</v>
      </c>
      <c r="J8056">
        <v>590</v>
      </c>
      <c r="K8056">
        <v>117</v>
      </c>
      <c r="L8056">
        <v>1</v>
      </c>
      <c r="M8056">
        <v>473</v>
      </c>
      <c r="N8056">
        <v>5</v>
      </c>
      <c r="O8056">
        <v>7</v>
      </c>
      <c r="P8056">
        <v>0</v>
      </c>
      <c r="Q8056">
        <v>0</v>
      </c>
    </row>
    <row r="8057" spans="1:17" x14ac:dyDescent="0.2">
      <c r="A8057" s="121">
        <v>41882</v>
      </c>
      <c r="B8057" t="s">
        <v>406</v>
      </c>
      <c r="C8057" t="s">
        <v>594</v>
      </c>
      <c r="D8057" t="s">
        <v>599</v>
      </c>
      <c r="E8057" t="s">
        <v>600</v>
      </c>
      <c r="F8057" t="s">
        <v>410</v>
      </c>
      <c r="G8057">
        <v>104</v>
      </c>
      <c r="I8057">
        <v>104</v>
      </c>
    </row>
    <row r="8058" spans="1:17" x14ac:dyDescent="0.2">
      <c r="A8058" s="121">
        <v>41912</v>
      </c>
      <c r="B8058" t="s">
        <v>406</v>
      </c>
      <c r="C8058" t="s">
        <v>407</v>
      </c>
      <c r="D8058" t="s">
        <v>408</v>
      </c>
      <c r="E8058" t="s">
        <v>409</v>
      </c>
      <c r="F8058" t="s">
        <v>410</v>
      </c>
      <c r="G8058">
        <v>251</v>
      </c>
      <c r="I8058">
        <v>251</v>
      </c>
    </row>
    <row r="8059" spans="1:17" x14ac:dyDescent="0.2">
      <c r="A8059" s="121">
        <v>41912</v>
      </c>
      <c r="B8059" t="s">
        <v>406</v>
      </c>
      <c r="C8059" t="s">
        <v>407</v>
      </c>
      <c r="D8059" t="s">
        <v>601</v>
      </c>
      <c r="E8059" t="s">
        <v>602</v>
      </c>
      <c r="F8059" t="s">
        <v>410</v>
      </c>
      <c r="G8059">
        <v>71</v>
      </c>
      <c r="I8059">
        <v>71</v>
      </c>
    </row>
    <row r="8060" spans="1:17" x14ac:dyDescent="0.2">
      <c r="A8060" s="121">
        <v>41912</v>
      </c>
      <c r="B8060" t="s">
        <v>406</v>
      </c>
      <c r="C8060" t="s">
        <v>407</v>
      </c>
      <c r="D8060" t="s">
        <v>411</v>
      </c>
      <c r="E8060" t="s">
        <v>412</v>
      </c>
      <c r="F8060" t="s">
        <v>413</v>
      </c>
      <c r="G8060">
        <v>6333</v>
      </c>
      <c r="H8060">
        <v>6333</v>
      </c>
      <c r="I8060">
        <v>5971</v>
      </c>
      <c r="J8060">
        <v>5971</v>
      </c>
      <c r="K8060">
        <v>2465</v>
      </c>
      <c r="L8060">
        <v>5</v>
      </c>
      <c r="M8060">
        <v>3428</v>
      </c>
      <c r="N8060">
        <v>145</v>
      </c>
      <c r="O8060">
        <v>290</v>
      </c>
      <c r="P8060">
        <v>23</v>
      </c>
      <c r="Q8060">
        <v>3</v>
      </c>
    </row>
    <row r="8061" spans="1:17" x14ac:dyDescent="0.2">
      <c r="A8061" s="121">
        <v>41912</v>
      </c>
      <c r="B8061" t="s">
        <v>406</v>
      </c>
      <c r="C8061" t="s">
        <v>407</v>
      </c>
      <c r="D8061" t="s">
        <v>416</v>
      </c>
      <c r="E8061" t="s">
        <v>417</v>
      </c>
      <c r="F8061" t="s">
        <v>413</v>
      </c>
      <c r="G8061">
        <v>3878</v>
      </c>
      <c r="H8061">
        <v>3878</v>
      </c>
      <c r="I8061">
        <v>3705</v>
      </c>
      <c r="J8061">
        <v>3705</v>
      </c>
      <c r="K8061">
        <v>1408</v>
      </c>
      <c r="L8061">
        <v>7</v>
      </c>
      <c r="M8061">
        <v>2311</v>
      </c>
      <c r="N8061">
        <v>82</v>
      </c>
      <c r="O8061">
        <v>70</v>
      </c>
      <c r="P8061">
        <v>2</v>
      </c>
      <c r="Q8061">
        <v>1</v>
      </c>
    </row>
    <row r="8062" spans="1:17" x14ac:dyDescent="0.2">
      <c r="A8062" s="121">
        <v>41912</v>
      </c>
      <c r="B8062" t="s">
        <v>406</v>
      </c>
      <c r="C8062" t="s">
        <v>407</v>
      </c>
      <c r="D8062" t="s">
        <v>618</v>
      </c>
      <c r="E8062" t="s">
        <v>619</v>
      </c>
      <c r="F8062" t="s">
        <v>410</v>
      </c>
      <c r="G8062">
        <v>102</v>
      </c>
      <c r="I8062">
        <v>102</v>
      </c>
    </row>
    <row r="8063" spans="1:17" x14ac:dyDescent="0.2">
      <c r="A8063" s="121">
        <v>41912</v>
      </c>
      <c r="B8063" t="s">
        <v>406</v>
      </c>
      <c r="C8063" t="s">
        <v>418</v>
      </c>
      <c r="D8063" t="s">
        <v>419</v>
      </c>
      <c r="E8063" t="s">
        <v>420</v>
      </c>
      <c r="F8063" t="s">
        <v>410</v>
      </c>
      <c r="G8063">
        <v>22</v>
      </c>
      <c r="I8063">
        <v>22</v>
      </c>
    </row>
    <row r="8064" spans="1:17" x14ac:dyDescent="0.2">
      <c r="A8064" s="121">
        <v>41912</v>
      </c>
      <c r="B8064" t="s">
        <v>406</v>
      </c>
      <c r="C8064" t="s">
        <v>418</v>
      </c>
      <c r="D8064" t="s">
        <v>421</v>
      </c>
      <c r="E8064" t="s">
        <v>422</v>
      </c>
      <c r="F8064" t="s">
        <v>410</v>
      </c>
      <c r="G8064">
        <v>81</v>
      </c>
      <c r="I8064">
        <v>81</v>
      </c>
    </row>
    <row r="8065" spans="1:17" x14ac:dyDescent="0.2">
      <c r="A8065" s="121">
        <v>41912</v>
      </c>
      <c r="B8065" t="s">
        <v>406</v>
      </c>
      <c r="C8065" t="s">
        <v>418</v>
      </c>
      <c r="D8065" t="s">
        <v>423</v>
      </c>
      <c r="E8065" t="s">
        <v>424</v>
      </c>
      <c r="F8065" t="s">
        <v>410</v>
      </c>
      <c r="G8065">
        <v>10</v>
      </c>
      <c r="I8065">
        <v>10</v>
      </c>
    </row>
    <row r="8066" spans="1:17" x14ac:dyDescent="0.2">
      <c r="A8066" s="121">
        <v>41912</v>
      </c>
      <c r="B8066" t="s">
        <v>406</v>
      </c>
      <c r="C8066" t="s">
        <v>418</v>
      </c>
      <c r="D8066" t="s">
        <v>425</v>
      </c>
      <c r="E8066" t="s">
        <v>426</v>
      </c>
      <c r="F8066" t="s">
        <v>410</v>
      </c>
      <c r="G8066">
        <v>24</v>
      </c>
      <c r="I8066">
        <v>24</v>
      </c>
    </row>
    <row r="8067" spans="1:17" x14ac:dyDescent="0.2">
      <c r="A8067" s="121">
        <v>41912</v>
      </c>
      <c r="B8067" t="s">
        <v>406</v>
      </c>
      <c r="C8067" t="s">
        <v>418</v>
      </c>
      <c r="D8067" t="s">
        <v>427</v>
      </c>
      <c r="E8067" t="s">
        <v>428</v>
      </c>
      <c r="F8067" t="s">
        <v>413</v>
      </c>
      <c r="G8067">
        <v>2413</v>
      </c>
      <c r="H8067">
        <v>2413</v>
      </c>
      <c r="I8067">
        <v>2292</v>
      </c>
      <c r="J8067">
        <v>2292</v>
      </c>
      <c r="K8067">
        <v>810</v>
      </c>
      <c r="L8067">
        <v>3</v>
      </c>
      <c r="M8067">
        <v>1472</v>
      </c>
      <c r="N8067">
        <v>111</v>
      </c>
      <c r="O8067">
        <v>17</v>
      </c>
      <c r="P8067">
        <v>3</v>
      </c>
      <c r="Q8067">
        <v>0</v>
      </c>
    </row>
    <row r="8068" spans="1:17" x14ac:dyDescent="0.2">
      <c r="A8068" s="121">
        <v>41912</v>
      </c>
      <c r="B8068" t="s">
        <v>406</v>
      </c>
      <c r="C8068" t="s">
        <v>429</v>
      </c>
      <c r="D8068" t="s">
        <v>430</v>
      </c>
      <c r="E8068" t="s">
        <v>431</v>
      </c>
      <c r="F8068" t="s">
        <v>410</v>
      </c>
      <c r="G8068">
        <v>39</v>
      </c>
      <c r="I8068">
        <v>39</v>
      </c>
    </row>
    <row r="8069" spans="1:17" x14ac:dyDescent="0.2">
      <c r="A8069" s="121">
        <v>41912</v>
      </c>
      <c r="B8069" t="s">
        <v>406</v>
      </c>
      <c r="C8069" t="s">
        <v>429</v>
      </c>
      <c r="D8069" t="s">
        <v>432</v>
      </c>
      <c r="E8069" t="s">
        <v>433</v>
      </c>
      <c r="F8069" t="s">
        <v>410</v>
      </c>
      <c r="G8069">
        <v>44</v>
      </c>
      <c r="I8069">
        <v>44</v>
      </c>
    </row>
    <row r="8070" spans="1:17" x14ac:dyDescent="0.2">
      <c r="A8070" s="121">
        <v>41912</v>
      </c>
      <c r="B8070" t="s">
        <v>406</v>
      </c>
      <c r="C8070" t="s">
        <v>429</v>
      </c>
      <c r="D8070" t="s">
        <v>434</v>
      </c>
      <c r="E8070" t="s">
        <v>435</v>
      </c>
      <c r="F8070" t="s">
        <v>410</v>
      </c>
      <c r="G8070">
        <v>6</v>
      </c>
      <c r="I8070">
        <v>6</v>
      </c>
    </row>
    <row r="8071" spans="1:17" x14ac:dyDescent="0.2">
      <c r="A8071" s="121">
        <v>41912</v>
      </c>
      <c r="B8071" t="s">
        <v>406</v>
      </c>
      <c r="C8071" t="s">
        <v>429</v>
      </c>
      <c r="D8071" t="s">
        <v>436</v>
      </c>
      <c r="E8071" t="s">
        <v>437</v>
      </c>
      <c r="F8071" t="s">
        <v>410</v>
      </c>
      <c r="G8071">
        <v>21</v>
      </c>
      <c r="H8071">
        <v>21</v>
      </c>
      <c r="I8071">
        <v>21</v>
      </c>
      <c r="J8071">
        <v>21</v>
      </c>
      <c r="K8071">
        <v>0</v>
      </c>
      <c r="L8071">
        <v>0</v>
      </c>
      <c r="M8071">
        <v>15</v>
      </c>
      <c r="N8071">
        <v>6</v>
      </c>
      <c r="O8071">
        <v>0</v>
      </c>
      <c r="P8071">
        <v>0</v>
      </c>
      <c r="Q8071">
        <v>0</v>
      </c>
    </row>
    <row r="8072" spans="1:17" x14ac:dyDescent="0.2">
      <c r="A8072" s="121">
        <v>41912</v>
      </c>
      <c r="B8072" t="s">
        <v>406</v>
      </c>
      <c r="C8072" t="s">
        <v>429</v>
      </c>
      <c r="D8072" t="s">
        <v>438</v>
      </c>
      <c r="E8072" t="s">
        <v>439</v>
      </c>
      <c r="F8072" t="s">
        <v>413</v>
      </c>
      <c r="G8072">
        <v>1043</v>
      </c>
      <c r="H8072">
        <v>1043</v>
      </c>
      <c r="I8072">
        <v>1020</v>
      </c>
      <c r="J8072">
        <v>1020</v>
      </c>
      <c r="K8072">
        <v>111</v>
      </c>
      <c r="L8072">
        <v>2</v>
      </c>
      <c r="M8072">
        <v>879</v>
      </c>
      <c r="N8072">
        <v>51</v>
      </c>
      <c r="O8072">
        <v>0</v>
      </c>
      <c r="P8072">
        <v>2</v>
      </c>
      <c r="Q8072">
        <v>0</v>
      </c>
    </row>
    <row r="8073" spans="1:17" x14ac:dyDescent="0.2">
      <c r="A8073" s="121">
        <v>41912</v>
      </c>
      <c r="B8073" t="s">
        <v>406</v>
      </c>
      <c r="C8073" t="s">
        <v>429</v>
      </c>
      <c r="D8073" t="s">
        <v>440</v>
      </c>
      <c r="E8073" t="s">
        <v>441</v>
      </c>
      <c r="F8073" t="s">
        <v>413</v>
      </c>
      <c r="G8073">
        <v>3042</v>
      </c>
      <c r="H8073">
        <v>3042</v>
      </c>
      <c r="I8073">
        <v>2938</v>
      </c>
      <c r="J8073">
        <v>2938</v>
      </c>
      <c r="K8073">
        <v>1049</v>
      </c>
      <c r="L8073">
        <v>3</v>
      </c>
      <c r="M8073">
        <v>1895</v>
      </c>
      <c r="N8073">
        <v>95</v>
      </c>
      <c r="O8073">
        <v>0</v>
      </c>
      <c r="P8073">
        <v>0</v>
      </c>
      <c r="Q8073">
        <v>0</v>
      </c>
    </row>
    <row r="8074" spans="1:17" x14ac:dyDescent="0.2">
      <c r="A8074" s="121">
        <v>41912</v>
      </c>
      <c r="B8074" t="s">
        <v>406</v>
      </c>
      <c r="C8074" t="s">
        <v>442</v>
      </c>
      <c r="D8074" t="s">
        <v>443</v>
      </c>
      <c r="E8074" t="s">
        <v>444</v>
      </c>
      <c r="F8074" t="s">
        <v>413</v>
      </c>
      <c r="G8074">
        <v>5431</v>
      </c>
      <c r="H8074">
        <v>5431</v>
      </c>
      <c r="I8074">
        <v>5131</v>
      </c>
      <c r="J8074">
        <v>5131</v>
      </c>
      <c r="K8074">
        <v>1302</v>
      </c>
      <c r="L8074">
        <v>9</v>
      </c>
      <c r="M8074">
        <v>3791</v>
      </c>
      <c r="N8074">
        <v>178</v>
      </c>
      <c r="O8074">
        <v>151</v>
      </c>
      <c r="P8074">
        <v>15</v>
      </c>
      <c r="Q8074">
        <v>1</v>
      </c>
    </row>
    <row r="8075" spans="1:17" x14ac:dyDescent="0.2">
      <c r="A8075" s="121">
        <v>41912</v>
      </c>
      <c r="B8075" t="s">
        <v>406</v>
      </c>
      <c r="C8075" t="s">
        <v>442</v>
      </c>
      <c r="D8075" t="s">
        <v>445</v>
      </c>
      <c r="E8075" t="s">
        <v>446</v>
      </c>
      <c r="F8075" t="s">
        <v>410</v>
      </c>
      <c r="G8075">
        <v>146</v>
      </c>
      <c r="I8075">
        <v>146</v>
      </c>
    </row>
    <row r="8076" spans="1:17" x14ac:dyDescent="0.2">
      <c r="A8076" s="121">
        <v>41912</v>
      </c>
      <c r="B8076" t="s">
        <v>406</v>
      </c>
      <c r="C8076" t="s">
        <v>442</v>
      </c>
      <c r="D8076" t="s">
        <v>447</v>
      </c>
      <c r="E8076" t="s">
        <v>448</v>
      </c>
      <c r="F8076" t="s">
        <v>410</v>
      </c>
      <c r="G8076">
        <v>455</v>
      </c>
      <c r="I8076">
        <v>455</v>
      </c>
    </row>
    <row r="8077" spans="1:17" x14ac:dyDescent="0.2">
      <c r="A8077" s="121">
        <v>41912</v>
      </c>
      <c r="B8077" t="s">
        <v>406</v>
      </c>
      <c r="C8077" t="s">
        <v>442</v>
      </c>
      <c r="D8077" t="s">
        <v>449</v>
      </c>
      <c r="E8077" t="s">
        <v>624</v>
      </c>
      <c r="F8077" t="s">
        <v>410</v>
      </c>
      <c r="G8077">
        <v>1775</v>
      </c>
      <c r="H8077">
        <v>1775</v>
      </c>
      <c r="I8077">
        <v>1773</v>
      </c>
      <c r="J8077">
        <v>1773</v>
      </c>
      <c r="K8077">
        <v>8</v>
      </c>
      <c r="L8077">
        <v>0</v>
      </c>
      <c r="M8077">
        <v>1593</v>
      </c>
      <c r="N8077">
        <v>162</v>
      </c>
      <c r="O8077">
        <v>12</v>
      </c>
      <c r="P8077">
        <v>0</v>
      </c>
      <c r="Q8077">
        <v>0</v>
      </c>
    </row>
    <row r="8078" spans="1:17" x14ac:dyDescent="0.2">
      <c r="A8078" s="121">
        <v>41912</v>
      </c>
      <c r="B8078" t="s">
        <v>406</v>
      </c>
      <c r="C8078" t="s">
        <v>451</v>
      </c>
      <c r="D8078" t="s">
        <v>454</v>
      </c>
      <c r="E8078" t="s">
        <v>621</v>
      </c>
      <c r="F8078" t="s">
        <v>410</v>
      </c>
      <c r="G8078">
        <v>1405</v>
      </c>
      <c r="H8078">
        <v>1405</v>
      </c>
      <c r="I8078">
        <v>1405</v>
      </c>
      <c r="J8078">
        <v>1405</v>
      </c>
      <c r="K8078">
        <v>4</v>
      </c>
      <c r="L8078">
        <v>0</v>
      </c>
      <c r="M8078">
        <v>1189</v>
      </c>
      <c r="N8078">
        <v>70</v>
      </c>
      <c r="O8078">
        <v>142</v>
      </c>
      <c r="P8078">
        <v>0</v>
      </c>
      <c r="Q8078">
        <v>0</v>
      </c>
    </row>
    <row r="8079" spans="1:17" x14ac:dyDescent="0.2">
      <c r="A8079" s="121">
        <v>41912</v>
      </c>
      <c r="B8079" t="s">
        <v>406</v>
      </c>
      <c r="C8079" t="s">
        <v>451</v>
      </c>
      <c r="D8079" t="s">
        <v>622</v>
      </c>
      <c r="E8079" t="s">
        <v>623</v>
      </c>
      <c r="F8079" t="s">
        <v>413</v>
      </c>
      <c r="G8079">
        <v>5518</v>
      </c>
      <c r="H8079">
        <v>5518</v>
      </c>
      <c r="I8079">
        <v>5017</v>
      </c>
      <c r="J8079">
        <v>5017</v>
      </c>
      <c r="K8079">
        <v>1160</v>
      </c>
      <c r="L8079">
        <v>13</v>
      </c>
      <c r="M8079">
        <v>3885</v>
      </c>
      <c r="N8079">
        <v>34</v>
      </c>
      <c r="O8079">
        <v>426</v>
      </c>
      <c r="P8079">
        <v>52</v>
      </c>
      <c r="Q8079">
        <v>7</v>
      </c>
    </row>
    <row r="8080" spans="1:17" x14ac:dyDescent="0.2">
      <c r="A8080" s="121">
        <v>41912</v>
      </c>
      <c r="B8080" t="s">
        <v>406</v>
      </c>
      <c r="C8080" t="s">
        <v>456</v>
      </c>
      <c r="D8080" t="s">
        <v>457</v>
      </c>
      <c r="E8080" t="s">
        <v>458</v>
      </c>
      <c r="F8080" t="s">
        <v>413</v>
      </c>
      <c r="G8080">
        <v>5161</v>
      </c>
      <c r="H8080">
        <v>5161</v>
      </c>
      <c r="I8080">
        <v>4668</v>
      </c>
      <c r="J8080">
        <v>4668</v>
      </c>
      <c r="K8080">
        <v>1222</v>
      </c>
      <c r="L8080">
        <v>13</v>
      </c>
      <c r="M8080">
        <v>3347</v>
      </c>
      <c r="N8080">
        <v>39</v>
      </c>
      <c r="O8080">
        <v>540</v>
      </c>
      <c r="P8080">
        <v>41</v>
      </c>
      <c r="Q8080">
        <v>0</v>
      </c>
    </row>
    <row r="8081" spans="1:17" x14ac:dyDescent="0.2">
      <c r="A8081" s="121">
        <v>41912</v>
      </c>
      <c r="B8081" t="s">
        <v>406</v>
      </c>
      <c r="C8081" t="s">
        <v>456</v>
      </c>
      <c r="D8081" t="s">
        <v>459</v>
      </c>
      <c r="E8081" t="s">
        <v>460</v>
      </c>
      <c r="F8081" t="s">
        <v>413</v>
      </c>
      <c r="G8081">
        <v>1603</v>
      </c>
      <c r="H8081">
        <v>1603</v>
      </c>
      <c r="I8081">
        <v>1571</v>
      </c>
      <c r="J8081">
        <v>1571</v>
      </c>
      <c r="K8081">
        <v>312</v>
      </c>
      <c r="L8081">
        <v>0</v>
      </c>
      <c r="M8081">
        <v>1289</v>
      </c>
      <c r="N8081">
        <v>0</v>
      </c>
      <c r="O8081">
        <v>2</v>
      </c>
      <c r="P8081">
        <v>0</v>
      </c>
      <c r="Q8081">
        <v>0</v>
      </c>
    </row>
    <row r="8082" spans="1:17" x14ac:dyDescent="0.2">
      <c r="A8082" s="121">
        <v>41912</v>
      </c>
      <c r="B8082" t="s">
        <v>406</v>
      </c>
      <c r="C8082" t="s">
        <v>456</v>
      </c>
      <c r="D8082" t="s">
        <v>461</v>
      </c>
      <c r="E8082" t="s">
        <v>462</v>
      </c>
      <c r="F8082" t="s">
        <v>410</v>
      </c>
      <c r="G8082">
        <v>86</v>
      </c>
      <c r="I8082">
        <v>86</v>
      </c>
    </row>
    <row r="8083" spans="1:17" x14ac:dyDescent="0.2">
      <c r="A8083" s="121">
        <v>41912</v>
      </c>
      <c r="B8083" t="s">
        <v>406</v>
      </c>
      <c r="C8083" t="s">
        <v>456</v>
      </c>
      <c r="D8083" t="s">
        <v>463</v>
      </c>
      <c r="E8083" t="s">
        <v>464</v>
      </c>
      <c r="F8083" t="s">
        <v>410</v>
      </c>
      <c r="G8083">
        <v>13</v>
      </c>
      <c r="I8083">
        <v>13</v>
      </c>
    </row>
    <row r="8084" spans="1:17" x14ac:dyDescent="0.2">
      <c r="A8084" s="121">
        <v>41912</v>
      </c>
      <c r="B8084" t="s">
        <v>406</v>
      </c>
      <c r="C8084" t="s">
        <v>456</v>
      </c>
      <c r="D8084" t="s">
        <v>465</v>
      </c>
      <c r="E8084" t="s">
        <v>466</v>
      </c>
      <c r="F8084" t="s">
        <v>410</v>
      </c>
      <c r="G8084">
        <v>29</v>
      </c>
      <c r="I8084">
        <v>29</v>
      </c>
    </row>
    <row r="8085" spans="1:17" x14ac:dyDescent="0.2">
      <c r="A8085" s="121">
        <v>41912</v>
      </c>
      <c r="B8085" t="s">
        <v>406</v>
      </c>
      <c r="C8085" t="s">
        <v>456</v>
      </c>
      <c r="D8085" t="s">
        <v>467</v>
      </c>
      <c r="E8085" t="s">
        <v>468</v>
      </c>
      <c r="F8085" t="s">
        <v>410</v>
      </c>
      <c r="G8085">
        <v>1355</v>
      </c>
      <c r="I8085">
        <v>1353</v>
      </c>
    </row>
    <row r="8086" spans="1:17" x14ac:dyDescent="0.2">
      <c r="A8086" s="121">
        <v>41912</v>
      </c>
      <c r="B8086" t="s">
        <v>406</v>
      </c>
      <c r="C8086" t="s">
        <v>456</v>
      </c>
      <c r="D8086" t="s">
        <v>469</v>
      </c>
      <c r="E8086" t="s">
        <v>470</v>
      </c>
      <c r="F8086" t="s">
        <v>410</v>
      </c>
      <c r="G8086">
        <v>844</v>
      </c>
      <c r="I8086">
        <v>843</v>
      </c>
    </row>
    <row r="8087" spans="1:17" x14ac:dyDescent="0.2">
      <c r="A8087" s="121">
        <v>41912</v>
      </c>
      <c r="B8087" t="s">
        <v>406</v>
      </c>
      <c r="C8087" t="s">
        <v>456</v>
      </c>
      <c r="D8087" t="s">
        <v>471</v>
      </c>
      <c r="E8087" t="s">
        <v>472</v>
      </c>
      <c r="F8087" t="s">
        <v>410</v>
      </c>
      <c r="G8087">
        <v>319</v>
      </c>
      <c r="I8087">
        <v>317</v>
      </c>
    </row>
    <row r="8088" spans="1:17" x14ac:dyDescent="0.2">
      <c r="A8088" s="121">
        <v>41912</v>
      </c>
      <c r="B8088" t="s">
        <v>406</v>
      </c>
      <c r="C8088" t="s">
        <v>456</v>
      </c>
      <c r="D8088" t="s">
        <v>473</v>
      </c>
      <c r="E8088" t="s">
        <v>474</v>
      </c>
      <c r="F8088" t="s">
        <v>410</v>
      </c>
      <c r="G8088">
        <v>196</v>
      </c>
      <c r="I8088">
        <v>196</v>
      </c>
    </row>
    <row r="8089" spans="1:17" x14ac:dyDescent="0.2">
      <c r="A8089" s="121">
        <v>41912</v>
      </c>
      <c r="B8089" t="s">
        <v>406</v>
      </c>
      <c r="C8089" t="s">
        <v>456</v>
      </c>
      <c r="D8089" t="s">
        <v>475</v>
      </c>
      <c r="E8089" t="s">
        <v>476</v>
      </c>
      <c r="F8089" t="s">
        <v>410</v>
      </c>
      <c r="G8089">
        <v>274</v>
      </c>
      <c r="I8089">
        <v>272</v>
      </c>
    </row>
    <row r="8090" spans="1:17" x14ac:dyDescent="0.2">
      <c r="A8090" s="121">
        <v>41912</v>
      </c>
      <c r="B8090" t="s">
        <v>406</v>
      </c>
      <c r="C8090" t="s">
        <v>456</v>
      </c>
      <c r="D8090" t="s">
        <v>477</v>
      </c>
      <c r="E8090" t="s">
        <v>478</v>
      </c>
      <c r="F8090" t="s">
        <v>413</v>
      </c>
      <c r="G8090">
        <v>2105</v>
      </c>
      <c r="H8090">
        <v>2105</v>
      </c>
      <c r="I8090">
        <v>1964</v>
      </c>
      <c r="J8090">
        <v>1964</v>
      </c>
      <c r="K8090">
        <v>415</v>
      </c>
      <c r="L8090">
        <v>1</v>
      </c>
      <c r="M8090">
        <v>1674</v>
      </c>
      <c r="N8090">
        <v>15</v>
      </c>
      <c r="O8090">
        <v>0</v>
      </c>
      <c r="P8090">
        <v>11</v>
      </c>
      <c r="Q8090">
        <v>0</v>
      </c>
    </row>
    <row r="8091" spans="1:17" x14ac:dyDescent="0.2">
      <c r="A8091" s="121">
        <v>41912</v>
      </c>
      <c r="B8091" t="s">
        <v>406</v>
      </c>
      <c r="C8091" t="s">
        <v>456</v>
      </c>
      <c r="D8091" t="s">
        <v>479</v>
      </c>
      <c r="E8091" t="s">
        <v>480</v>
      </c>
      <c r="F8091" t="s">
        <v>410</v>
      </c>
      <c r="G8091">
        <v>51</v>
      </c>
      <c r="I8091">
        <v>51</v>
      </c>
    </row>
    <row r="8092" spans="1:17" x14ac:dyDescent="0.2">
      <c r="A8092" s="121">
        <v>41912</v>
      </c>
      <c r="B8092" t="s">
        <v>406</v>
      </c>
      <c r="C8092" t="s">
        <v>456</v>
      </c>
      <c r="D8092" t="s">
        <v>481</v>
      </c>
      <c r="E8092" t="s">
        <v>482</v>
      </c>
      <c r="F8092" t="s">
        <v>410</v>
      </c>
      <c r="G8092">
        <v>37</v>
      </c>
      <c r="I8092">
        <v>37</v>
      </c>
    </row>
    <row r="8093" spans="1:17" x14ac:dyDescent="0.2">
      <c r="A8093" s="121">
        <v>41912</v>
      </c>
      <c r="B8093" t="s">
        <v>406</v>
      </c>
      <c r="C8093" t="s">
        <v>456</v>
      </c>
      <c r="D8093" t="s">
        <v>483</v>
      </c>
      <c r="E8093" t="s">
        <v>484</v>
      </c>
      <c r="F8093" t="s">
        <v>410</v>
      </c>
      <c r="G8093">
        <v>114</v>
      </c>
      <c r="I8093">
        <v>114</v>
      </c>
    </row>
    <row r="8094" spans="1:17" x14ac:dyDescent="0.2">
      <c r="A8094" s="121">
        <v>41912</v>
      </c>
      <c r="B8094" t="s">
        <v>406</v>
      </c>
      <c r="C8094" t="s">
        <v>456</v>
      </c>
      <c r="D8094" t="s">
        <v>485</v>
      </c>
      <c r="E8094" t="s">
        <v>486</v>
      </c>
      <c r="F8094" t="s">
        <v>410</v>
      </c>
      <c r="G8094">
        <v>4</v>
      </c>
      <c r="I8094">
        <v>4</v>
      </c>
    </row>
    <row r="8095" spans="1:17" x14ac:dyDescent="0.2">
      <c r="A8095" s="121">
        <v>41912</v>
      </c>
      <c r="B8095" t="s">
        <v>406</v>
      </c>
      <c r="C8095" t="s">
        <v>456</v>
      </c>
      <c r="D8095" t="s">
        <v>487</v>
      </c>
      <c r="E8095" t="s">
        <v>488</v>
      </c>
      <c r="F8095" t="s">
        <v>410</v>
      </c>
      <c r="G8095">
        <v>33</v>
      </c>
      <c r="I8095">
        <v>33</v>
      </c>
    </row>
    <row r="8096" spans="1:17" x14ac:dyDescent="0.2">
      <c r="A8096" s="121">
        <v>41912</v>
      </c>
      <c r="B8096" t="s">
        <v>406</v>
      </c>
      <c r="C8096" t="s">
        <v>456</v>
      </c>
      <c r="D8096" t="s">
        <v>489</v>
      </c>
      <c r="E8096" t="s">
        <v>490</v>
      </c>
      <c r="F8096" t="s">
        <v>410</v>
      </c>
      <c r="G8096">
        <v>102</v>
      </c>
      <c r="I8096">
        <v>102</v>
      </c>
    </row>
    <row r="8097" spans="1:17" x14ac:dyDescent="0.2">
      <c r="A8097" s="121">
        <v>41912</v>
      </c>
      <c r="B8097" t="s">
        <v>406</v>
      </c>
      <c r="C8097" t="s">
        <v>456</v>
      </c>
      <c r="D8097" t="s">
        <v>628</v>
      </c>
      <c r="E8097" t="s">
        <v>629</v>
      </c>
      <c r="F8097" t="s">
        <v>410</v>
      </c>
      <c r="G8097">
        <v>136</v>
      </c>
      <c r="I8097">
        <v>136</v>
      </c>
    </row>
    <row r="8098" spans="1:17" x14ac:dyDescent="0.2">
      <c r="A8098" s="121">
        <v>41912</v>
      </c>
      <c r="B8098" t="s">
        <v>406</v>
      </c>
      <c r="C8098" t="s">
        <v>491</v>
      </c>
      <c r="D8098" t="s">
        <v>492</v>
      </c>
      <c r="E8098" t="s">
        <v>493</v>
      </c>
      <c r="F8098" t="s">
        <v>410</v>
      </c>
      <c r="G8098">
        <v>1409</v>
      </c>
      <c r="H8098">
        <v>1409</v>
      </c>
      <c r="I8098">
        <v>1374</v>
      </c>
      <c r="J8098">
        <v>1374</v>
      </c>
      <c r="K8098">
        <v>193</v>
      </c>
      <c r="L8098">
        <v>1</v>
      </c>
      <c r="M8098">
        <v>1126</v>
      </c>
      <c r="N8098">
        <v>78</v>
      </c>
      <c r="O8098">
        <v>11</v>
      </c>
      <c r="P8098">
        <v>2</v>
      </c>
      <c r="Q8098">
        <v>0</v>
      </c>
    </row>
    <row r="8099" spans="1:17" x14ac:dyDescent="0.2">
      <c r="A8099" s="121">
        <v>41912</v>
      </c>
      <c r="B8099" t="s">
        <v>406</v>
      </c>
      <c r="C8099" t="s">
        <v>491</v>
      </c>
      <c r="D8099" t="s">
        <v>494</v>
      </c>
      <c r="E8099" t="s">
        <v>495</v>
      </c>
      <c r="F8099" t="s">
        <v>413</v>
      </c>
      <c r="G8099">
        <v>2854</v>
      </c>
      <c r="H8099">
        <v>2854</v>
      </c>
      <c r="I8099">
        <v>2551</v>
      </c>
      <c r="J8099">
        <v>2551</v>
      </c>
      <c r="K8099">
        <v>744</v>
      </c>
      <c r="L8099">
        <v>1</v>
      </c>
      <c r="M8099">
        <v>1871</v>
      </c>
      <c r="N8099">
        <v>36</v>
      </c>
      <c r="O8099">
        <v>202</v>
      </c>
      <c r="P8099">
        <v>11</v>
      </c>
      <c r="Q8099">
        <v>0</v>
      </c>
    </row>
    <row r="8100" spans="1:17" x14ac:dyDescent="0.2">
      <c r="A8100" s="121">
        <v>41912</v>
      </c>
      <c r="B8100" t="s">
        <v>406</v>
      </c>
      <c r="C8100" t="s">
        <v>491</v>
      </c>
      <c r="D8100" t="s">
        <v>496</v>
      </c>
      <c r="E8100" t="s">
        <v>497</v>
      </c>
      <c r="F8100" t="s">
        <v>413</v>
      </c>
      <c r="G8100">
        <v>5957</v>
      </c>
      <c r="H8100">
        <v>5957</v>
      </c>
      <c r="I8100">
        <v>5327</v>
      </c>
      <c r="J8100">
        <v>5327</v>
      </c>
      <c r="K8100">
        <v>1905</v>
      </c>
      <c r="L8100">
        <v>12</v>
      </c>
      <c r="M8100">
        <v>3797</v>
      </c>
      <c r="N8100">
        <v>100</v>
      </c>
      <c r="O8100">
        <v>143</v>
      </c>
      <c r="P8100">
        <v>60</v>
      </c>
      <c r="Q8100">
        <v>0</v>
      </c>
    </row>
    <row r="8101" spans="1:17" x14ac:dyDescent="0.2">
      <c r="A8101" s="121">
        <v>41912</v>
      </c>
      <c r="B8101" t="s">
        <v>406</v>
      </c>
      <c r="C8101" t="s">
        <v>491</v>
      </c>
      <c r="D8101" t="s">
        <v>498</v>
      </c>
      <c r="E8101" t="s">
        <v>499</v>
      </c>
      <c r="F8101" t="s">
        <v>413</v>
      </c>
      <c r="G8101">
        <v>7091</v>
      </c>
      <c r="H8101">
        <v>7091</v>
      </c>
      <c r="I8101">
        <v>6378</v>
      </c>
      <c r="J8101">
        <v>6378</v>
      </c>
      <c r="K8101">
        <v>2145</v>
      </c>
      <c r="L8101">
        <v>13</v>
      </c>
      <c r="M8101">
        <v>4525</v>
      </c>
      <c r="N8101">
        <v>126</v>
      </c>
      <c r="O8101">
        <v>282</v>
      </c>
      <c r="P8101">
        <v>21</v>
      </c>
      <c r="Q8101">
        <v>0</v>
      </c>
    </row>
    <row r="8102" spans="1:17" x14ac:dyDescent="0.2">
      <c r="A8102" s="121">
        <v>41912</v>
      </c>
      <c r="B8102" t="s">
        <v>406</v>
      </c>
      <c r="C8102" t="s">
        <v>491</v>
      </c>
      <c r="D8102" t="s">
        <v>500</v>
      </c>
      <c r="E8102" t="s">
        <v>620</v>
      </c>
      <c r="F8102" t="s">
        <v>410</v>
      </c>
      <c r="G8102">
        <v>1537</v>
      </c>
      <c r="H8102">
        <v>1537</v>
      </c>
      <c r="I8102">
        <v>1537</v>
      </c>
      <c r="J8102">
        <v>1537</v>
      </c>
      <c r="K8102">
        <v>0</v>
      </c>
      <c r="L8102">
        <v>0</v>
      </c>
      <c r="M8102">
        <v>1432</v>
      </c>
      <c r="N8102">
        <v>94</v>
      </c>
      <c r="O8102">
        <v>11</v>
      </c>
      <c r="P8102">
        <v>0</v>
      </c>
      <c r="Q8102">
        <v>0</v>
      </c>
    </row>
    <row r="8103" spans="1:17" x14ac:dyDescent="0.2">
      <c r="A8103" s="121">
        <v>41912</v>
      </c>
      <c r="B8103" t="s">
        <v>406</v>
      </c>
      <c r="C8103" t="s">
        <v>491</v>
      </c>
      <c r="D8103" t="s">
        <v>502</v>
      </c>
      <c r="E8103" t="s">
        <v>615</v>
      </c>
      <c r="F8103" t="s">
        <v>410</v>
      </c>
      <c r="G8103">
        <v>2213</v>
      </c>
      <c r="H8103">
        <v>2213</v>
      </c>
      <c r="I8103">
        <v>2213</v>
      </c>
      <c r="J8103">
        <v>2213</v>
      </c>
      <c r="K8103">
        <v>2</v>
      </c>
      <c r="L8103">
        <v>0</v>
      </c>
      <c r="M8103">
        <v>2062</v>
      </c>
      <c r="N8103">
        <v>146</v>
      </c>
      <c r="O8103">
        <v>3</v>
      </c>
      <c r="P8103">
        <v>0</v>
      </c>
      <c r="Q8103">
        <v>0</v>
      </c>
    </row>
    <row r="8104" spans="1:17" x14ac:dyDescent="0.2">
      <c r="A8104" s="121">
        <v>41912</v>
      </c>
      <c r="B8104" t="s">
        <v>406</v>
      </c>
      <c r="C8104" t="s">
        <v>491</v>
      </c>
      <c r="D8104" t="s">
        <v>502</v>
      </c>
      <c r="E8104" t="s">
        <v>503</v>
      </c>
      <c r="F8104" t="s">
        <v>413</v>
      </c>
      <c r="G8104">
        <v>5025</v>
      </c>
      <c r="H8104">
        <v>5025</v>
      </c>
      <c r="I8104">
        <v>4533</v>
      </c>
      <c r="J8104">
        <v>4533</v>
      </c>
      <c r="K8104">
        <v>1487</v>
      </c>
      <c r="L8104">
        <v>9</v>
      </c>
      <c r="M8104">
        <v>3117</v>
      </c>
      <c r="N8104">
        <v>335</v>
      </c>
      <c r="O8104">
        <v>77</v>
      </c>
      <c r="P8104">
        <v>27</v>
      </c>
      <c r="Q8104">
        <v>0</v>
      </c>
    </row>
    <row r="8105" spans="1:17" x14ac:dyDescent="0.2">
      <c r="A8105" s="121">
        <v>41912</v>
      </c>
      <c r="B8105" t="s">
        <v>406</v>
      </c>
      <c r="C8105" t="s">
        <v>491</v>
      </c>
      <c r="D8105" t="s">
        <v>504</v>
      </c>
      <c r="E8105" t="s">
        <v>505</v>
      </c>
      <c r="F8105" t="s">
        <v>413</v>
      </c>
      <c r="G8105">
        <v>4084</v>
      </c>
      <c r="H8105">
        <v>4084</v>
      </c>
      <c r="I8105">
        <v>3755</v>
      </c>
      <c r="J8105">
        <v>3755</v>
      </c>
      <c r="K8105">
        <v>1142</v>
      </c>
      <c r="L8105">
        <v>29</v>
      </c>
      <c r="M8105">
        <v>2676</v>
      </c>
      <c r="N8105">
        <v>156</v>
      </c>
      <c r="O8105">
        <v>81</v>
      </c>
      <c r="P8105">
        <v>6</v>
      </c>
      <c r="Q8105">
        <v>1</v>
      </c>
    </row>
    <row r="8106" spans="1:17" x14ac:dyDescent="0.2">
      <c r="A8106" s="121">
        <v>41912</v>
      </c>
      <c r="B8106" t="s">
        <v>406</v>
      </c>
      <c r="C8106" t="s">
        <v>491</v>
      </c>
      <c r="D8106" t="s">
        <v>506</v>
      </c>
      <c r="E8106" t="s">
        <v>507</v>
      </c>
      <c r="F8106" t="s">
        <v>413</v>
      </c>
      <c r="G8106">
        <v>3972</v>
      </c>
      <c r="H8106">
        <v>3972</v>
      </c>
      <c r="I8106">
        <v>3913</v>
      </c>
      <c r="J8106">
        <v>3913</v>
      </c>
      <c r="K8106">
        <v>1066</v>
      </c>
      <c r="L8106">
        <v>0</v>
      </c>
      <c r="M8106">
        <v>2896</v>
      </c>
      <c r="N8106">
        <v>3</v>
      </c>
      <c r="O8106">
        <v>7</v>
      </c>
      <c r="P8106">
        <v>0</v>
      </c>
      <c r="Q8106">
        <v>0</v>
      </c>
    </row>
    <row r="8107" spans="1:17" x14ac:dyDescent="0.2">
      <c r="A8107" s="121">
        <v>41912</v>
      </c>
      <c r="B8107" t="s">
        <v>406</v>
      </c>
      <c r="C8107" t="s">
        <v>491</v>
      </c>
      <c r="D8107" t="s">
        <v>508</v>
      </c>
      <c r="E8107" t="s">
        <v>509</v>
      </c>
      <c r="F8107" t="s">
        <v>413</v>
      </c>
      <c r="G8107">
        <v>5153</v>
      </c>
      <c r="H8107">
        <v>5153</v>
      </c>
      <c r="I8107">
        <v>4385</v>
      </c>
      <c r="J8107">
        <v>4385</v>
      </c>
      <c r="K8107">
        <v>1520</v>
      </c>
      <c r="L8107">
        <v>9</v>
      </c>
      <c r="M8107">
        <v>3318</v>
      </c>
      <c r="N8107">
        <v>135</v>
      </c>
      <c r="O8107">
        <v>171</v>
      </c>
      <c r="P8107">
        <v>75</v>
      </c>
      <c r="Q8107">
        <v>16</v>
      </c>
    </row>
    <row r="8108" spans="1:17" x14ac:dyDescent="0.2">
      <c r="A8108" s="121">
        <v>41912</v>
      </c>
      <c r="B8108" t="s">
        <v>406</v>
      </c>
      <c r="C8108" t="s">
        <v>510</v>
      </c>
      <c r="D8108" t="s">
        <v>513</v>
      </c>
      <c r="E8108" t="s">
        <v>514</v>
      </c>
      <c r="F8108" t="s">
        <v>410</v>
      </c>
      <c r="G8108">
        <v>636</v>
      </c>
      <c r="I8108">
        <v>621</v>
      </c>
    </row>
    <row r="8109" spans="1:17" x14ac:dyDescent="0.2">
      <c r="A8109" s="121">
        <v>41912</v>
      </c>
      <c r="B8109" t="s">
        <v>406</v>
      </c>
      <c r="C8109" t="s">
        <v>510</v>
      </c>
      <c r="D8109" t="s">
        <v>515</v>
      </c>
      <c r="E8109" t="s">
        <v>516</v>
      </c>
      <c r="F8109" t="s">
        <v>410</v>
      </c>
      <c r="G8109">
        <v>122</v>
      </c>
      <c r="I8109">
        <v>120</v>
      </c>
    </row>
    <row r="8110" spans="1:17" x14ac:dyDescent="0.2">
      <c r="A8110" s="121">
        <v>41912</v>
      </c>
      <c r="B8110" t="s">
        <v>406</v>
      </c>
      <c r="C8110" t="s">
        <v>510</v>
      </c>
      <c r="D8110" t="s">
        <v>519</v>
      </c>
      <c r="E8110" t="s">
        <v>520</v>
      </c>
      <c r="F8110" t="s">
        <v>410</v>
      </c>
      <c r="G8110">
        <v>363</v>
      </c>
      <c r="I8110">
        <v>355</v>
      </c>
    </row>
    <row r="8111" spans="1:17" x14ac:dyDescent="0.2">
      <c r="A8111" s="121">
        <v>41912</v>
      </c>
      <c r="B8111" t="s">
        <v>406</v>
      </c>
      <c r="C8111" t="s">
        <v>510</v>
      </c>
      <c r="D8111" t="s">
        <v>523</v>
      </c>
      <c r="E8111" t="s">
        <v>524</v>
      </c>
      <c r="F8111" t="s">
        <v>413</v>
      </c>
      <c r="G8111">
        <v>618</v>
      </c>
      <c r="H8111">
        <v>618</v>
      </c>
      <c r="I8111">
        <v>611</v>
      </c>
      <c r="J8111">
        <v>611</v>
      </c>
      <c r="K8111">
        <v>121</v>
      </c>
      <c r="L8111">
        <v>0</v>
      </c>
      <c r="M8111">
        <v>487</v>
      </c>
      <c r="N8111">
        <v>10</v>
      </c>
      <c r="O8111">
        <v>0</v>
      </c>
      <c r="P8111">
        <v>0</v>
      </c>
      <c r="Q8111">
        <v>0</v>
      </c>
    </row>
    <row r="8112" spans="1:17" x14ac:dyDescent="0.2">
      <c r="A8112" s="121">
        <v>41912</v>
      </c>
      <c r="B8112" t="s">
        <v>406</v>
      </c>
      <c r="C8112" t="s">
        <v>510</v>
      </c>
      <c r="D8112" t="s">
        <v>525</v>
      </c>
      <c r="E8112" t="s">
        <v>526</v>
      </c>
      <c r="F8112" t="s">
        <v>410</v>
      </c>
      <c r="G8112">
        <v>421</v>
      </c>
      <c r="I8112">
        <v>414</v>
      </c>
    </row>
    <row r="8113" spans="1:17" x14ac:dyDescent="0.2">
      <c r="A8113" s="121">
        <v>41912</v>
      </c>
      <c r="B8113" t="s">
        <v>406</v>
      </c>
      <c r="C8113" t="s">
        <v>510</v>
      </c>
      <c r="D8113" t="s">
        <v>527</v>
      </c>
      <c r="E8113" t="s">
        <v>528</v>
      </c>
      <c r="F8113" t="s">
        <v>410</v>
      </c>
      <c r="G8113">
        <v>216</v>
      </c>
      <c r="I8113">
        <v>215</v>
      </c>
    </row>
    <row r="8114" spans="1:17" x14ac:dyDescent="0.2">
      <c r="A8114" s="121">
        <v>41912</v>
      </c>
      <c r="B8114" t="s">
        <v>406</v>
      </c>
      <c r="C8114" t="s">
        <v>510</v>
      </c>
      <c r="D8114" t="s">
        <v>529</v>
      </c>
      <c r="E8114" t="s">
        <v>530</v>
      </c>
      <c r="F8114" t="s">
        <v>413</v>
      </c>
      <c r="G8114">
        <v>545</v>
      </c>
      <c r="H8114">
        <v>545</v>
      </c>
      <c r="I8114">
        <v>525</v>
      </c>
      <c r="J8114">
        <v>525</v>
      </c>
      <c r="K8114">
        <v>133</v>
      </c>
      <c r="L8114">
        <v>1</v>
      </c>
      <c r="M8114">
        <v>408</v>
      </c>
      <c r="N8114">
        <v>3</v>
      </c>
      <c r="O8114">
        <v>0</v>
      </c>
      <c r="P8114">
        <v>2</v>
      </c>
      <c r="Q8114">
        <v>0</v>
      </c>
    </row>
    <row r="8115" spans="1:17" x14ac:dyDescent="0.2">
      <c r="A8115" s="121">
        <v>41912</v>
      </c>
      <c r="B8115" t="s">
        <v>406</v>
      </c>
      <c r="C8115" t="s">
        <v>510</v>
      </c>
      <c r="D8115" t="s">
        <v>531</v>
      </c>
      <c r="E8115" t="s">
        <v>532</v>
      </c>
      <c r="F8115" t="s">
        <v>410</v>
      </c>
      <c r="G8115">
        <v>22</v>
      </c>
      <c r="I8115">
        <v>22</v>
      </c>
    </row>
    <row r="8116" spans="1:17" x14ac:dyDescent="0.2">
      <c r="A8116" s="121">
        <v>41912</v>
      </c>
      <c r="B8116" t="s">
        <v>406</v>
      </c>
      <c r="C8116" t="s">
        <v>510</v>
      </c>
      <c r="D8116" t="s">
        <v>533</v>
      </c>
      <c r="E8116" t="s">
        <v>534</v>
      </c>
      <c r="F8116" t="s">
        <v>413</v>
      </c>
      <c r="G8116">
        <v>2834</v>
      </c>
      <c r="H8116">
        <v>2834</v>
      </c>
      <c r="I8116">
        <v>2701</v>
      </c>
      <c r="J8116">
        <v>2701</v>
      </c>
      <c r="K8116">
        <v>684</v>
      </c>
      <c r="L8116">
        <v>4</v>
      </c>
      <c r="M8116">
        <v>2129</v>
      </c>
      <c r="N8116">
        <v>17</v>
      </c>
      <c r="O8116">
        <v>0</v>
      </c>
      <c r="P8116">
        <v>3</v>
      </c>
      <c r="Q8116">
        <v>1</v>
      </c>
    </row>
    <row r="8117" spans="1:17" x14ac:dyDescent="0.2">
      <c r="A8117" s="121">
        <v>41912</v>
      </c>
      <c r="B8117" t="s">
        <v>406</v>
      </c>
      <c r="C8117" t="s">
        <v>510</v>
      </c>
      <c r="D8117" t="s">
        <v>535</v>
      </c>
      <c r="E8117" t="s">
        <v>536</v>
      </c>
      <c r="F8117" t="s">
        <v>410</v>
      </c>
      <c r="G8117">
        <v>457</v>
      </c>
      <c r="I8117">
        <v>456</v>
      </c>
    </row>
    <row r="8118" spans="1:17" x14ac:dyDescent="0.2">
      <c r="A8118" s="121">
        <v>41912</v>
      </c>
      <c r="B8118" t="s">
        <v>406</v>
      </c>
      <c r="C8118" t="s">
        <v>510</v>
      </c>
      <c r="D8118" t="s">
        <v>537</v>
      </c>
      <c r="E8118" t="s">
        <v>538</v>
      </c>
      <c r="F8118" t="s">
        <v>410</v>
      </c>
      <c r="G8118">
        <v>134</v>
      </c>
      <c r="I8118">
        <v>134</v>
      </c>
    </row>
    <row r="8119" spans="1:17" x14ac:dyDescent="0.2">
      <c r="A8119" s="121">
        <v>41912</v>
      </c>
      <c r="B8119" t="s">
        <v>406</v>
      </c>
      <c r="C8119" t="s">
        <v>510</v>
      </c>
      <c r="D8119" t="s">
        <v>539</v>
      </c>
      <c r="E8119" t="s">
        <v>540</v>
      </c>
      <c r="F8119" t="s">
        <v>413</v>
      </c>
      <c r="G8119">
        <v>874</v>
      </c>
      <c r="H8119">
        <v>874</v>
      </c>
      <c r="I8119">
        <v>829</v>
      </c>
      <c r="J8119">
        <v>829</v>
      </c>
      <c r="K8119">
        <v>119</v>
      </c>
      <c r="L8119">
        <v>1</v>
      </c>
      <c r="M8119">
        <v>750</v>
      </c>
      <c r="N8119">
        <v>4</v>
      </c>
      <c r="O8119">
        <v>0</v>
      </c>
      <c r="P8119">
        <v>1</v>
      </c>
      <c r="Q8119">
        <v>0</v>
      </c>
    </row>
    <row r="8120" spans="1:17" x14ac:dyDescent="0.2">
      <c r="A8120" s="121">
        <v>41912</v>
      </c>
      <c r="B8120" t="s">
        <v>406</v>
      </c>
      <c r="C8120" t="s">
        <v>510</v>
      </c>
      <c r="D8120" t="s">
        <v>541</v>
      </c>
      <c r="E8120" t="s">
        <v>542</v>
      </c>
      <c r="F8120" t="s">
        <v>410</v>
      </c>
      <c r="G8120">
        <v>389</v>
      </c>
      <c r="I8120">
        <v>389</v>
      </c>
    </row>
    <row r="8121" spans="1:17" x14ac:dyDescent="0.2">
      <c r="A8121" s="121">
        <v>41912</v>
      </c>
      <c r="B8121" t="s">
        <v>406</v>
      </c>
      <c r="C8121" t="s">
        <v>510</v>
      </c>
      <c r="D8121" t="s">
        <v>543</v>
      </c>
      <c r="E8121" t="s">
        <v>544</v>
      </c>
      <c r="F8121" t="s">
        <v>410</v>
      </c>
      <c r="G8121">
        <v>252</v>
      </c>
      <c r="I8121">
        <v>252</v>
      </c>
    </row>
    <row r="8122" spans="1:17" x14ac:dyDescent="0.2">
      <c r="A8122" s="121">
        <v>41912</v>
      </c>
      <c r="B8122" t="s">
        <v>406</v>
      </c>
      <c r="C8122" t="s">
        <v>510</v>
      </c>
      <c r="D8122" t="s">
        <v>545</v>
      </c>
      <c r="E8122" t="s">
        <v>546</v>
      </c>
      <c r="F8122" t="s">
        <v>410</v>
      </c>
      <c r="G8122">
        <v>198</v>
      </c>
      <c r="I8122">
        <v>198</v>
      </c>
    </row>
    <row r="8123" spans="1:17" x14ac:dyDescent="0.2">
      <c r="A8123" s="121">
        <v>41912</v>
      </c>
      <c r="B8123" t="s">
        <v>406</v>
      </c>
      <c r="C8123" t="s">
        <v>510</v>
      </c>
      <c r="D8123" t="s">
        <v>547</v>
      </c>
      <c r="E8123" t="s">
        <v>548</v>
      </c>
      <c r="F8123" t="s">
        <v>410</v>
      </c>
      <c r="G8123">
        <v>179</v>
      </c>
      <c r="I8123">
        <v>179</v>
      </c>
    </row>
    <row r="8124" spans="1:17" x14ac:dyDescent="0.2">
      <c r="A8124" s="121">
        <v>41912</v>
      </c>
      <c r="B8124" t="s">
        <v>406</v>
      </c>
      <c r="C8124" t="s">
        <v>510</v>
      </c>
      <c r="D8124" t="s">
        <v>616</v>
      </c>
      <c r="E8124" t="s">
        <v>617</v>
      </c>
      <c r="F8124" t="s">
        <v>410</v>
      </c>
      <c r="G8124">
        <v>327</v>
      </c>
      <c r="I8124">
        <v>319</v>
      </c>
    </row>
    <row r="8125" spans="1:17" x14ac:dyDescent="0.2">
      <c r="A8125" s="121">
        <v>41912</v>
      </c>
      <c r="B8125" t="s">
        <v>406</v>
      </c>
      <c r="C8125" t="s">
        <v>510</v>
      </c>
      <c r="D8125" t="s">
        <v>549</v>
      </c>
      <c r="E8125" t="s">
        <v>550</v>
      </c>
      <c r="F8125" t="s">
        <v>410</v>
      </c>
      <c r="G8125">
        <v>151</v>
      </c>
      <c r="I8125">
        <v>151</v>
      </c>
    </row>
    <row r="8126" spans="1:17" x14ac:dyDescent="0.2">
      <c r="A8126" s="121">
        <v>41912</v>
      </c>
      <c r="B8126" t="s">
        <v>406</v>
      </c>
      <c r="C8126" t="s">
        <v>510</v>
      </c>
      <c r="D8126" t="s">
        <v>625</v>
      </c>
      <c r="E8126" t="s">
        <v>626</v>
      </c>
      <c r="F8126" t="s">
        <v>410</v>
      </c>
      <c r="G8126">
        <v>74</v>
      </c>
      <c r="I8126">
        <v>72</v>
      </c>
    </row>
    <row r="8127" spans="1:17" x14ac:dyDescent="0.2">
      <c r="A8127" s="121">
        <v>41912</v>
      </c>
      <c r="B8127" t="s">
        <v>406</v>
      </c>
      <c r="C8127" t="s">
        <v>551</v>
      </c>
      <c r="D8127" t="s">
        <v>552</v>
      </c>
      <c r="E8127" t="s">
        <v>553</v>
      </c>
      <c r="F8127" t="s">
        <v>413</v>
      </c>
      <c r="G8127">
        <v>5661</v>
      </c>
      <c r="H8127">
        <v>5661</v>
      </c>
      <c r="I8127">
        <v>5189</v>
      </c>
      <c r="J8127">
        <v>5189</v>
      </c>
      <c r="K8127">
        <v>1603</v>
      </c>
      <c r="L8127">
        <v>6</v>
      </c>
      <c r="M8127">
        <v>3833</v>
      </c>
      <c r="N8127">
        <v>131</v>
      </c>
      <c r="O8127">
        <v>88</v>
      </c>
      <c r="P8127">
        <v>30</v>
      </c>
      <c r="Q8127">
        <v>8</v>
      </c>
    </row>
    <row r="8128" spans="1:17" x14ac:dyDescent="0.2">
      <c r="A8128" s="121">
        <v>41912</v>
      </c>
      <c r="B8128" t="s">
        <v>406</v>
      </c>
      <c r="C8128" t="s">
        <v>551</v>
      </c>
      <c r="D8128" t="s">
        <v>554</v>
      </c>
      <c r="E8128" t="s">
        <v>555</v>
      </c>
      <c r="F8128" t="s">
        <v>410</v>
      </c>
      <c r="G8128">
        <v>58</v>
      </c>
      <c r="I8128">
        <v>58</v>
      </c>
    </row>
    <row r="8129" spans="1:17" x14ac:dyDescent="0.2">
      <c r="A8129" s="121">
        <v>41912</v>
      </c>
      <c r="B8129" t="s">
        <v>406</v>
      </c>
      <c r="C8129" t="s">
        <v>551</v>
      </c>
      <c r="D8129" t="s">
        <v>556</v>
      </c>
      <c r="E8129" t="s">
        <v>557</v>
      </c>
      <c r="F8129" t="s">
        <v>410</v>
      </c>
      <c r="G8129">
        <v>86</v>
      </c>
      <c r="I8129">
        <v>86</v>
      </c>
    </row>
    <row r="8130" spans="1:17" x14ac:dyDescent="0.2">
      <c r="A8130" s="121">
        <v>41912</v>
      </c>
      <c r="B8130" t="s">
        <v>406</v>
      </c>
      <c r="C8130" t="s">
        <v>551</v>
      </c>
      <c r="D8130" t="s">
        <v>558</v>
      </c>
      <c r="E8130" t="s">
        <v>559</v>
      </c>
      <c r="F8130" t="s">
        <v>413</v>
      </c>
      <c r="G8130">
        <v>4945</v>
      </c>
      <c r="H8130">
        <v>4945</v>
      </c>
      <c r="I8130">
        <v>4351</v>
      </c>
      <c r="J8130">
        <v>4351</v>
      </c>
      <c r="K8130">
        <v>1348</v>
      </c>
      <c r="L8130">
        <v>3</v>
      </c>
      <c r="M8130">
        <v>3482</v>
      </c>
      <c r="N8130">
        <v>94</v>
      </c>
      <c r="O8130">
        <v>18</v>
      </c>
      <c r="P8130">
        <v>125</v>
      </c>
      <c r="Q8130">
        <v>38</v>
      </c>
    </row>
    <row r="8131" spans="1:17" x14ac:dyDescent="0.2">
      <c r="A8131" s="121">
        <v>41912</v>
      </c>
      <c r="B8131" t="s">
        <v>406</v>
      </c>
      <c r="C8131" t="s">
        <v>551</v>
      </c>
      <c r="D8131" t="s">
        <v>560</v>
      </c>
      <c r="E8131" t="s">
        <v>561</v>
      </c>
      <c r="F8131" t="s">
        <v>413</v>
      </c>
      <c r="G8131">
        <v>5517</v>
      </c>
      <c r="H8131">
        <v>5517</v>
      </c>
      <c r="I8131">
        <v>4669</v>
      </c>
      <c r="J8131">
        <v>4669</v>
      </c>
      <c r="K8131">
        <v>1280</v>
      </c>
      <c r="L8131">
        <v>8</v>
      </c>
      <c r="M8131">
        <v>3959</v>
      </c>
      <c r="N8131">
        <v>144</v>
      </c>
      <c r="O8131">
        <v>126</v>
      </c>
      <c r="P8131">
        <v>151</v>
      </c>
      <c r="Q8131">
        <v>49</v>
      </c>
    </row>
    <row r="8132" spans="1:17" x14ac:dyDescent="0.2">
      <c r="A8132" s="121">
        <v>41912</v>
      </c>
      <c r="B8132" t="s">
        <v>406</v>
      </c>
      <c r="C8132" t="s">
        <v>562</v>
      </c>
      <c r="D8132" t="s">
        <v>605</v>
      </c>
      <c r="E8132" t="s">
        <v>606</v>
      </c>
      <c r="F8132" t="s">
        <v>410</v>
      </c>
      <c r="G8132">
        <v>151</v>
      </c>
      <c r="I8132">
        <v>151</v>
      </c>
    </row>
    <row r="8133" spans="1:17" x14ac:dyDescent="0.2">
      <c r="A8133" s="121">
        <v>41912</v>
      </c>
      <c r="B8133" t="s">
        <v>406</v>
      </c>
      <c r="C8133" t="s">
        <v>562</v>
      </c>
      <c r="D8133" t="s">
        <v>563</v>
      </c>
      <c r="E8133" t="s">
        <v>564</v>
      </c>
      <c r="F8133" t="s">
        <v>410</v>
      </c>
      <c r="G8133">
        <v>3634</v>
      </c>
      <c r="H8133">
        <v>3634</v>
      </c>
      <c r="I8133">
        <v>3235</v>
      </c>
      <c r="J8133">
        <v>3235</v>
      </c>
      <c r="K8133">
        <v>1080</v>
      </c>
      <c r="L8133">
        <v>0</v>
      </c>
      <c r="M8133">
        <v>2524</v>
      </c>
      <c r="N8133">
        <v>30</v>
      </c>
      <c r="O8133">
        <v>0</v>
      </c>
      <c r="P8133">
        <v>73</v>
      </c>
      <c r="Q8133">
        <v>21</v>
      </c>
    </row>
    <row r="8134" spans="1:17" x14ac:dyDescent="0.2">
      <c r="A8134" s="121">
        <v>41912</v>
      </c>
      <c r="B8134" t="s">
        <v>406</v>
      </c>
      <c r="C8134" t="s">
        <v>562</v>
      </c>
      <c r="D8134" t="s">
        <v>565</v>
      </c>
      <c r="E8134" t="s">
        <v>566</v>
      </c>
      <c r="F8134" t="s">
        <v>413</v>
      </c>
      <c r="G8134">
        <v>4628</v>
      </c>
      <c r="H8134">
        <v>4628</v>
      </c>
      <c r="I8134">
        <v>4402</v>
      </c>
      <c r="J8134">
        <v>4402</v>
      </c>
      <c r="K8134">
        <v>1065</v>
      </c>
      <c r="L8134">
        <v>7</v>
      </c>
      <c r="M8134">
        <v>3473</v>
      </c>
      <c r="N8134">
        <v>83</v>
      </c>
      <c r="O8134">
        <v>0</v>
      </c>
      <c r="P8134">
        <v>17</v>
      </c>
      <c r="Q8134">
        <v>1</v>
      </c>
    </row>
    <row r="8135" spans="1:17" x14ac:dyDescent="0.2">
      <c r="A8135" s="121">
        <v>41912</v>
      </c>
      <c r="B8135" t="s">
        <v>406</v>
      </c>
      <c r="C8135" t="s">
        <v>562</v>
      </c>
      <c r="D8135" t="s">
        <v>567</v>
      </c>
      <c r="E8135" t="s">
        <v>568</v>
      </c>
      <c r="F8135" t="s">
        <v>413</v>
      </c>
      <c r="G8135">
        <v>10095</v>
      </c>
      <c r="H8135">
        <v>10095</v>
      </c>
      <c r="I8135">
        <v>9406</v>
      </c>
      <c r="J8135">
        <v>9406</v>
      </c>
      <c r="K8135">
        <v>2858</v>
      </c>
      <c r="L8135">
        <v>20</v>
      </c>
      <c r="M8135">
        <v>7007</v>
      </c>
      <c r="N8135">
        <v>210</v>
      </c>
      <c r="O8135">
        <v>0</v>
      </c>
      <c r="P8135">
        <v>57</v>
      </c>
      <c r="Q8135">
        <v>1</v>
      </c>
    </row>
    <row r="8136" spans="1:17" x14ac:dyDescent="0.2">
      <c r="A8136" s="121">
        <v>41912</v>
      </c>
      <c r="B8136" t="s">
        <v>406</v>
      </c>
      <c r="C8136" t="s">
        <v>562</v>
      </c>
      <c r="D8136" t="s">
        <v>569</v>
      </c>
      <c r="E8136" t="s">
        <v>570</v>
      </c>
      <c r="F8136" t="s">
        <v>413</v>
      </c>
      <c r="G8136">
        <v>3799</v>
      </c>
      <c r="H8136">
        <v>3799</v>
      </c>
      <c r="I8136">
        <v>3747</v>
      </c>
      <c r="J8136">
        <v>3747</v>
      </c>
      <c r="K8136">
        <v>494</v>
      </c>
      <c r="L8136">
        <v>0</v>
      </c>
      <c r="M8136">
        <v>3305</v>
      </c>
      <c r="N8136">
        <v>0</v>
      </c>
      <c r="O8136">
        <v>0</v>
      </c>
      <c r="P8136">
        <v>0</v>
      </c>
      <c r="Q8136">
        <v>0</v>
      </c>
    </row>
    <row r="8137" spans="1:17" x14ac:dyDescent="0.2">
      <c r="A8137" s="121">
        <v>41912</v>
      </c>
      <c r="B8137" t="s">
        <v>406</v>
      </c>
      <c r="C8137" t="s">
        <v>571</v>
      </c>
      <c r="D8137" t="s">
        <v>572</v>
      </c>
      <c r="E8137" t="s">
        <v>627</v>
      </c>
      <c r="F8137" t="s">
        <v>413</v>
      </c>
      <c r="G8137">
        <v>439</v>
      </c>
      <c r="H8137">
        <v>439</v>
      </c>
      <c r="I8137">
        <v>436</v>
      </c>
      <c r="J8137">
        <v>436</v>
      </c>
      <c r="K8137">
        <v>118</v>
      </c>
      <c r="L8137">
        <v>0</v>
      </c>
      <c r="M8137">
        <v>309</v>
      </c>
      <c r="N8137">
        <v>1</v>
      </c>
      <c r="O8137">
        <v>11</v>
      </c>
      <c r="P8137">
        <v>0</v>
      </c>
      <c r="Q8137">
        <v>0</v>
      </c>
    </row>
    <row r="8138" spans="1:17" x14ac:dyDescent="0.2">
      <c r="A8138" s="121">
        <v>41912</v>
      </c>
      <c r="B8138" t="s">
        <v>406</v>
      </c>
      <c r="C8138" t="s">
        <v>574</v>
      </c>
      <c r="D8138" t="s">
        <v>575</v>
      </c>
      <c r="E8138" t="s">
        <v>576</v>
      </c>
      <c r="F8138" t="s">
        <v>413</v>
      </c>
      <c r="G8138">
        <v>675</v>
      </c>
      <c r="H8138">
        <v>675</v>
      </c>
      <c r="I8138">
        <v>647</v>
      </c>
      <c r="J8138">
        <v>647</v>
      </c>
      <c r="K8138">
        <v>179</v>
      </c>
      <c r="L8138">
        <v>1</v>
      </c>
      <c r="M8138">
        <v>465</v>
      </c>
      <c r="N8138">
        <v>2</v>
      </c>
      <c r="O8138">
        <v>28</v>
      </c>
      <c r="P8138">
        <v>2</v>
      </c>
      <c r="Q8138">
        <v>0</v>
      </c>
    </row>
    <row r="8139" spans="1:17" x14ac:dyDescent="0.2">
      <c r="A8139" s="121">
        <v>41912</v>
      </c>
      <c r="B8139" t="s">
        <v>406</v>
      </c>
      <c r="C8139" t="s">
        <v>577</v>
      </c>
      <c r="D8139" t="s">
        <v>578</v>
      </c>
      <c r="E8139" t="s">
        <v>579</v>
      </c>
      <c r="F8139" t="s">
        <v>413</v>
      </c>
      <c r="G8139">
        <v>4078</v>
      </c>
      <c r="H8139">
        <v>4078</v>
      </c>
      <c r="I8139">
        <v>4028</v>
      </c>
      <c r="J8139">
        <v>4028</v>
      </c>
      <c r="K8139">
        <v>1037</v>
      </c>
      <c r="L8139">
        <v>4</v>
      </c>
      <c r="M8139">
        <v>2953</v>
      </c>
      <c r="N8139">
        <v>75</v>
      </c>
      <c r="O8139">
        <v>9</v>
      </c>
      <c r="P8139">
        <v>0</v>
      </c>
      <c r="Q8139">
        <v>0</v>
      </c>
    </row>
    <row r="8140" spans="1:17" x14ac:dyDescent="0.2">
      <c r="A8140" s="121">
        <v>41912</v>
      </c>
      <c r="B8140" t="s">
        <v>406</v>
      </c>
      <c r="C8140" t="s">
        <v>577</v>
      </c>
      <c r="D8140" t="s">
        <v>580</v>
      </c>
      <c r="E8140" t="s">
        <v>581</v>
      </c>
      <c r="F8140" t="s">
        <v>413</v>
      </c>
      <c r="G8140">
        <v>2177</v>
      </c>
      <c r="H8140">
        <v>2177</v>
      </c>
      <c r="I8140">
        <v>2122</v>
      </c>
      <c r="J8140">
        <v>2122</v>
      </c>
      <c r="K8140">
        <v>352</v>
      </c>
      <c r="L8140">
        <v>0</v>
      </c>
      <c r="M8140">
        <v>1432</v>
      </c>
      <c r="N8140">
        <v>302</v>
      </c>
      <c r="O8140">
        <v>91</v>
      </c>
      <c r="P8140">
        <v>0</v>
      </c>
      <c r="Q8140">
        <v>0</v>
      </c>
    </row>
    <row r="8141" spans="1:17" x14ac:dyDescent="0.2">
      <c r="A8141" s="121">
        <v>41912</v>
      </c>
      <c r="B8141" t="s">
        <v>406</v>
      </c>
      <c r="C8141" t="s">
        <v>577</v>
      </c>
      <c r="D8141" t="s">
        <v>609</v>
      </c>
      <c r="E8141" t="s">
        <v>610</v>
      </c>
      <c r="F8141" t="s">
        <v>410</v>
      </c>
      <c r="G8141">
        <v>34</v>
      </c>
      <c r="H8141">
        <v>34</v>
      </c>
      <c r="I8141">
        <v>34</v>
      </c>
      <c r="J8141">
        <v>34</v>
      </c>
      <c r="K8141">
        <v>0</v>
      </c>
      <c r="L8141">
        <v>0</v>
      </c>
      <c r="M8141">
        <v>27</v>
      </c>
      <c r="N8141">
        <v>7</v>
      </c>
      <c r="O8141">
        <v>0</v>
      </c>
      <c r="P8141">
        <v>0</v>
      </c>
      <c r="Q8141">
        <v>0</v>
      </c>
    </row>
    <row r="8142" spans="1:17" x14ac:dyDescent="0.2">
      <c r="A8142" s="121">
        <v>41912</v>
      </c>
      <c r="B8142" t="s">
        <v>406</v>
      </c>
      <c r="C8142" t="s">
        <v>577</v>
      </c>
      <c r="D8142" t="s">
        <v>611</v>
      </c>
      <c r="E8142" t="s">
        <v>612</v>
      </c>
      <c r="F8142" t="s">
        <v>410</v>
      </c>
      <c r="G8142">
        <v>18</v>
      </c>
      <c r="H8142">
        <v>18</v>
      </c>
      <c r="I8142">
        <v>18</v>
      </c>
      <c r="J8142">
        <v>18</v>
      </c>
      <c r="K8142">
        <v>0</v>
      </c>
      <c r="L8142">
        <v>0</v>
      </c>
      <c r="M8142">
        <v>18</v>
      </c>
      <c r="N8142">
        <v>0</v>
      </c>
      <c r="O8142">
        <v>0</v>
      </c>
      <c r="P8142">
        <v>0</v>
      </c>
      <c r="Q8142">
        <v>0</v>
      </c>
    </row>
    <row r="8143" spans="1:17" x14ac:dyDescent="0.2">
      <c r="A8143" s="121">
        <v>41912</v>
      </c>
      <c r="B8143" t="s">
        <v>406</v>
      </c>
      <c r="C8143" t="s">
        <v>577</v>
      </c>
      <c r="D8143" t="s">
        <v>584</v>
      </c>
      <c r="E8143" t="s">
        <v>585</v>
      </c>
      <c r="F8143" t="s">
        <v>410</v>
      </c>
      <c r="G8143">
        <v>252</v>
      </c>
      <c r="H8143">
        <v>252</v>
      </c>
      <c r="I8143">
        <v>252</v>
      </c>
      <c r="J8143">
        <v>252</v>
      </c>
      <c r="K8143">
        <v>0</v>
      </c>
      <c r="L8143">
        <v>0</v>
      </c>
      <c r="M8143">
        <v>232</v>
      </c>
      <c r="N8143">
        <v>20</v>
      </c>
      <c r="O8143">
        <v>0</v>
      </c>
      <c r="P8143">
        <v>0</v>
      </c>
      <c r="Q8143">
        <v>0</v>
      </c>
    </row>
    <row r="8144" spans="1:17" x14ac:dyDescent="0.2">
      <c r="A8144" s="121">
        <v>41912</v>
      </c>
      <c r="B8144" t="s">
        <v>406</v>
      </c>
      <c r="C8144" t="s">
        <v>577</v>
      </c>
      <c r="D8144" t="s">
        <v>586</v>
      </c>
      <c r="E8144" t="s">
        <v>587</v>
      </c>
      <c r="F8144" t="s">
        <v>410</v>
      </c>
      <c r="G8144">
        <v>1110</v>
      </c>
      <c r="H8144">
        <v>1110</v>
      </c>
      <c r="I8144">
        <v>1109</v>
      </c>
      <c r="J8144">
        <v>1109</v>
      </c>
      <c r="K8144">
        <v>0</v>
      </c>
      <c r="L8144">
        <v>1</v>
      </c>
      <c r="M8144">
        <v>1000</v>
      </c>
      <c r="N8144">
        <v>103</v>
      </c>
      <c r="O8144">
        <v>6</v>
      </c>
      <c r="P8144">
        <v>0</v>
      </c>
      <c r="Q8144">
        <v>0</v>
      </c>
    </row>
    <row r="8145" spans="1:17" x14ac:dyDescent="0.2">
      <c r="A8145" s="121">
        <v>41912</v>
      </c>
      <c r="B8145" t="s">
        <v>406</v>
      </c>
      <c r="C8145" t="s">
        <v>577</v>
      </c>
      <c r="D8145" t="s">
        <v>588</v>
      </c>
      <c r="E8145" t="s">
        <v>589</v>
      </c>
      <c r="F8145" t="s">
        <v>410</v>
      </c>
      <c r="G8145">
        <v>263</v>
      </c>
      <c r="H8145">
        <v>263</v>
      </c>
      <c r="I8145">
        <v>263</v>
      </c>
      <c r="J8145">
        <v>263</v>
      </c>
      <c r="K8145">
        <v>0</v>
      </c>
      <c r="L8145">
        <v>1</v>
      </c>
      <c r="M8145">
        <v>249</v>
      </c>
      <c r="N8145">
        <v>13</v>
      </c>
      <c r="O8145">
        <v>0</v>
      </c>
      <c r="P8145">
        <v>0</v>
      </c>
      <c r="Q8145">
        <v>0</v>
      </c>
    </row>
    <row r="8146" spans="1:17" x14ac:dyDescent="0.2">
      <c r="A8146" s="121">
        <v>41912</v>
      </c>
      <c r="B8146" t="s">
        <v>406</v>
      </c>
      <c r="C8146" t="s">
        <v>577</v>
      </c>
      <c r="D8146" t="s">
        <v>613</v>
      </c>
      <c r="E8146" t="s">
        <v>614</v>
      </c>
      <c r="F8146" t="s">
        <v>410</v>
      </c>
      <c r="G8146">
        <v>163</v>
      </c>
      <c r="H8146">
        <v>163</v>
      </c>
      <c r="I8146">
        <v>163</v>
      </c>
      <c r="J8146">
        <v>163</v>
      </c>
      <c r="K8146">
        <v>0</v>
      </c>
      <c r="L8146">
        <v>0</v>
      </c>
      <c r="M8146">
        <v>134</v>
      </c>
      <c r="N8146">
        <v>21</v>
      </c>
      <c r="O8146">
        <v>8</v>
      </c>
      <c r="P8146">
        <v>0</v>
      </c>
      <c r="Q8146">
        <v>0</v>
      </c>
    </row>
    <row r="8147" spans="1:17" x14ac:dyDescent="0.2">
      <c r="A8147" s="121">
        <v>41912</v>
      </c>
      <c r="B8147" t="s">
        <v>406</v>
      </c>
      <c r="C8147" t="s">
        <v>577</v>
      </c>
      <c r="D8147" t="s">
        <v>590</v>
      </c>
      <c r="E8147" t="s">
        <v>591</v>
      </c>
      <c r="F8147" t="s">
        <v>410</v>
      </c>
      <c r="G8147">
        <v>606</v>
      </c>
      <c r="H8147">
        <v>606</v>
      </c>
      <c r="I8147">
        <v>604</v>
      </c>
      <c r="J8147">
        <v>604</v>
      </c>
      <c r="K8147">
        <v>0</v>
      </c>
      <c r="L8147">
        <v>0</v>
      </c>
      <c r="M8147">
        <v>568</v>
      </c>
      <c r="N8147">
        <v>34</v>
      </c>
      <c r="O8147">
        <v>4</v>
      </c>
      <c r="P8147">
        <v>0</v>
      </c>
      <c r="Q8147">
        <v>0</v>
      </c>
    </row>
    <row r="8148" spans="1:17" x14ac:dyDescent="0.2">
      <c r="A8148" s="121">
        <v>41912</v>
      </c>
      <c r="B8148" t="s">
        <v>406</v>
      </c>
      <c r="C8148" t="s">
        <v>577</v>
      </c>
      <c r="D8148" t="s">
        <v>607</v>
      </c>
      <c r="E8148" t="s">
        <v>608</v>
      </c>
      <c r="F8148" t="s">
        <v>410</v>
      </c>
      <c r="G8148">
        <v>256</v>
      </c>
      <c r="H8148">
        <v>256</v>
      </c>
      <c r="I8148">
        <v>256</v>
      </c>
      <c r="J8148">
        <v>256</v>
      </c>
      <c r="K8148">
        <v>0</v>
      </c>
      <c r="L8148">
        <v>0</v>
      </c>
      <c r="M8148">
        <v>233</v>
      </c>
      <c r="N8148">
        <v>20</v>
      </c>
      <c r="O8148">
        <v>3</v>
      </c>
      <c r="P8148">
        <v>0</v>
      </c>
      <c r="Q8148">
        <v>0</v>
      </c>
    </row>
    <row r="8149" spans="1:17" x14ac:dyDescent="0.2">
      <c r="A8149" s="121">
        <v>41912</v>
      </c>
      <c r="B8149" t="s">
        <v>406</v>
      </c>
      <c r="C8149" t="s">
        <v>577</v>
      </c>
      <c r="D8149" t="s">
        <v>592</v>
      </c>
      <c r="E8149" t="s">
        <v>593</v>
      </c>
      <c r="F8149" t="s">
        <v>410</v>
      </c>
      <c r="G8149">
        <v>558</v>
      </c>
      <c r="H8149">
        <v>558</v>
      </c>
      <c r="I8149">
        <v>558</v>
      </c>
      <c r="J8149">
        <v>558</v>
      </c>
      <c r="K8149">
        <v>0</v>
      </c>
      <c r="L8149">
        <v>0</v>
      </c>
      <c r="M8149">
        <v>527</v>
      </c>
      <c r="N8149">
        <v>26</v>
      </c>
      <c r="O8149">
        <v>5</v>
      </c>
      <c r="P8149">
        <v>0</v>
      </c>
      <c r="Q8149">
        <v>0</v>
      </c>
    </row>
    <row r="8150" spans="1:17" x14ac:dyDescent="0.2">
      <c r="A8150" s="121">
        <v>41912</v>
      </c>
      <c r="B8150" t="s">
        <v>406</v>
      </c>
      <c r="C8150" t="s">
        <v>594</v>
      </c>
      <c r="D8150" t="s">
        <v>595</v>
      </c>
      <c r="E8150" t="s">
        <v>596</v>
      </c>
      <c r="F8150" t="s">
        <v>410</v>
      </c>
      <c r="G8150">
        <v>35</v>
      </c>
      <c r="I8150">
        <v>35</v>
      </c>
    </row>
    <row r="8151" spans="1:17" x14ac:dyDescent="0.2">
      <c r="A8151" s="121">
        <v>41912</v>
      </c>
      <c r="B8151" t="s">
        <v>406</v>
      </c>
      <c r="C8151" t="s">
        <v>594</v>
      </c>
      <c r="D8151" t="s">
        <v>597</v>
      </c>
      <c r="E8151" t="s">
        <v>598</v>
      </c>
      <c r="F8151" t="s">
        <v>413</v>
      </c>
      <c r="G8151">
        <v>532</v>
      </c>
      <c r="H8151">
        <v>532</v>
      </c>
      <c r="I8151">
        <v>523</v>
      </c>
      <c r="J8151">
        <v>523</v>
      </c>
      <c r="K8151">
        <v>93</v>
      </c>
      <c r="L8151">
        <v>1</v>
      </c>
      <c r="M8151">
        <v>428</v>
      </c>
      <c r="N8151">
        <v>2</v>
      </c>
      <c r="O8151">
        <v>8</v>
      </c>
      <c r="P8151">
        <v>0</v>
      </c>
      <c r="Q8151">
        <v>0</v>
      </c>
    </row>
    <row r="8152" spans="1:17" x14ac:dyDescent="0.2">
      <c r="A8152" s="121">
        <v>41912</v>
      </c>
      <c r="B8152" t="s">
        <v>406</v>
      </c>
      <c r="C8152" t="s">
        <v>594</v>
      </c>
      <c r="D8152" t="s">
        <v>599</v>
      </c>
      <c r="E8152" t="s">
        <v>600</v>
      </c>
      <c r="F8152" t="s">
        <v>410</v>
      </c>
      <c r="G8152">
        <v>93</v>
      </c>
      <c r="I8152">
        <v>93</v>
      </c>
    </row>
    <row r="8153" spans="1:17" x14ac:dyDescent="0.2">
      <c r="A8153" s="121">
        <v>41943</v>
      </c>
      <c r="B8153" t="s">
        <v>406</v>
      </c>
      <c r="C8153" t="s">
        <v>407</v>
      </c>
      <c r="D8153" t="s">
        <v>408</v>
      </c>
      <c r="E8153" t="s">
        <v>409</v>
      </c>
      <c r="F8153" t="s">
        <v>410</v>
      </c>
      <c r="G8153">
        <v>166</v>
      </c>
      <c r="I8153">
        <v>166</v>
      </c>
    </row>
    <row r="8154" spans="1:17" x14ac:dyDescent="0.2">
      <c r="A8154" s="121">
        <v>41943</v>
      </c>
      <c r="B8154" t="s">
        <v>406</v>
      </c>
      <c r="C8154" t="s">
        <v>407</v>
      </c>
      <c r="D8154" t="s">
        <v>601</v>
      </c>
      <c r="E8154" t="s">
        <v>602</v>
      </c>
      <c r="F8154" t="s">
        <v>410</v>
      </c>
      <c r="G8154">
        <v>65</v>
      </c>
      <c r="I8154">
        <v>65</v>
      </c>
    </row>
    <row r="8155" spans="1:17" x14ac:dyDescent="0.2">
      <c r="A8155" s="121">
        <v>41943</v>
      </c>
      <c r="B8155" t="s">
        <v>406</v>
      </c>
      <c r="C8155" t="s">
        <v>407</v>
      </c>
      <c r="D8155" t="s">
        <v>411</v>
      </c>
      <c r="E8155" t="s">
        <v>412</v>
      </c>
      <c r="F8155" t="s">
        <v>413</v>
      </c>
      <c r="G8155">
        <v>5888</v>
      </c>
      <c r="H8155">
        <v>5888</v>
      </c>
      <c r="I8155">
        <v>5225</v>
      </c>
      <c r="J8155">
        <v>5225</v>
      </c>
      <c r="K8155">
        <v>2390</v>
      </c>
      <c r="L8155">
        <v>5</v>
      </c>
      <c r="M8155">
        <v>3074</v>
      </c>
      <c r="N8155">
        <v>97</v>
      </c>
      <c r="O8155">
        <v>322</v>
      </c>
      <c r="P8155">
        <v>58</v>
      </c>
      <c r="Q8155">
        <v>8</v>
      </c>
    </row>
    <row r="8156" spans="1:17" x14ac:dyDescent="0.2">
      <c r="A8156" s="121">
        <v>41943</v>
      </c>
      <c r="B8156" t="s">
        <v>406</v>
      </c>
      <c r="C8156" t="s">
        <v>407</v>
      </c>
      <c r="D8156" t="s">
        <v>416</v>
      </c>
      <c r="E8156" t="s">
        <v>417</v>
      </c>
      <c r="F8156" t="s">
        <v>413</v>
      </c>
      <c r="G8156">
        <v>3710</v>
      </c>
      <c r="H8156">
        <v>3710</v>
      </c>
      <c r="I8156">
        <v>3571</v>
      </c>
      <c r="J8156">
        <v>3571</v>
      </c>
      <c r="K8156">
        <v>1429</v>
      </c>
      <c r="L8156">
        <v>3</v>
      </c>
      <c r="M8156">
        <v>2067</v>
      </c>
      <c r="N8156">
        <v>116</v>
      </c>
      <c r="O8156">
        <v>95</v>
      </c>
      <c r="P8156">
        <v>2</v>
      </c>
      <c r="Q8156">
        <v>0</v>
      </c>
    </row>
    <row r="8157" spans="1:17" x14ac:dyDescent="0.2">
      <c r="A8157" s="121">
        <v>41943</v>
      </c>
      <c r="B8157" t="s">
        <v>406</v>
      </c>
      <c r="C8157" t="s">
        <v>407</v>
      </c>
      <c r="D8157" t="s">
        <v>618</v>
      </c>
      <c r="E8157" t="s">
        <v>619</v>
      </c>
      <c r="F8157" t="s">
        <v>410</v>
      </c>
      <c r="G8157">
        <v>80</v>
      </c>
      <c r="I8157">
        <v>80</v>
      </c>
    </row>
    <row r="8158" spans="1:17" x14ac:dyDescent="0.2">
      <c r="A8158" s="121">
        <v>41943</v>
      </c>
      <c r="B8158" t="s">
        <v>406</v>
      </c>
      <c r="C8158" t="s">
        <v>418</v>
      </c>
      <c r="D8158" t="s">
        <v>419</v>
      </c>
      <c r="E8158" t="s">
        <v>420</v>
      </c>
      <c r="F8158" t="s">
        <v>410</v>
      </c>
      <c r="G8158">
        <v>13</v>
      </c>
      <c r="I8158">
        <v>13</v>
      </c>
    </row>
    <row r="8159" spans="1:17" x14ac:dyDescent="0.2">
      <c r="A8159" s="121">
        <v>41943</v>
      </c>
      <c r="B8159" t="s">
        <v>406</v>
      </c>
      <c r="C8159" t="s">
        <v>418</v>
      </c>
      <c r="D8159" t="s">
        <v>421</v>
      </c>
      <c r="E8159" t="s">
        <v>422</v>
      </c>
      <c r="F8159" t="s">
        <v>410</v>
      </c>
      <c r="G8159">
        <v>59</v>
      </c>
      <c r="I8159">
        <v>59</v>
      </c>
    </row>
    <row r="8160" spans="1:17" x14ac:dyDescent="0.2">
      <c r="A8160" s="121">
        <v>41943</v>
      </c>
      <c r="B8160" t="s">
        <v>406</v>
      </c>
      <c r="C8160" t="s">
        <v>418</v>
      </c>
      <c r="D8160" t="s">
        <v>423</v>
      </c>
      <c r="E8160" t="s">
        <v>424</v>
      </c>
      <c r="F8160" t="s">
        <v>410</v>
      </c>
      <c r="G8160">
        <v>14</v>
      </c>
      <c r="I8160">
        <v>14</v>
      </c>
    </row>
    <row r="8161" spans="1:17" x14ac:dyDescent="0.2">
      <c r="A8161" s="121">
        <v>41943</v>
      </c>
      <c r="B8161" t="s">
        <v>406</v>
      </c>
      <c r="C8161" t="s">
        <v>418</v>
      </c>
      <c r="D8161" t="s">
        <v>425</v>
      </c>
      <c r="E8161" t="s">
        <v>426</v>
      </c>
      <c r="F8161" t="s">
        <v>410</v>
      </c>
      <c r="G8161">
        <v>13</v>
      </c>
      <c r="I8161">
        <v>13</v>
      </c>
    </row>
    <row r="8162" spans="1:17" x14ac:dyDescent="0.2">
      <c r="A8162" s="121">
        <v>41943</v>
      </c>
      <c r="B8162" t="s">
        <v>406</v>
      </c>
      <c r="C8162" t="s">
        <v>418</v>
      </c>
      <c r="D8162" t="s">
        <v>427</v>
      </c>
      <c r="E8162" t="s">
        <v>428</v>
      </c>
      <c r="F8162" t="s">
        <v>413</v>
      </c>
      <c r="G8162">
        <v>2167</v>
      </c>
      <c r="H8162">
        <v>2167</v>
      </c>
      <c r="I8162">
        <v>2093</v>
      </c>
      <c r="J8162">
        <v>2093</v>
      </c>
      <c r="K8162">
        <v>750</v>
      </c>
      <c r="L8162">
        <v>4</v>
      </c>
      <c r="M8162">
        <v>1265</v>
      </c>
      <c r="N8162">
        <v>131</v>
      </c>
      <c r="O8162">
        <v>17</v>
      </c>
      <c r="P8162">
        <v>2</v>
      </c>
      <c r="Q8162">
        <v>0</v>
      </c>
    </row>
    <row r="8163" spans="1:17" x14ac:dyDescent="0.2">
      <c r="A8163" s="121">
        <v>41943</v>
      </c>
      <c r="B8163" t="s">
        <v>406</v>
      </c>
      <c r="C8163" t="s">
        <v>429</v>
      </c>
      <c r="D8163" t="s">
        <v>430</v>
      </c>
      <c r="E8163" t="s">
        <v>431</v>
      </c>
      <c r="F8163" t="s">
        <v>410</v>
      </c>
      <c r="G8163">
        <v>27</v>
      </c>
      <c r="I8163">
        <v>27</v>
      </c>
    </row>
    <row r="8164" spans="1:17" x14ac:dyDescent="0.2">
      <c r="A8164" s="121">
        <v>41943</v>
      </c>
      <c r="B8164" t="s">
        <v>406</v>
      </c>
      <c r="C8164" t="s">
        <v>429</v>
      </c>
      <c r="D8164" t="s">
        <v>432</v>
      </c>
      <c r="E8164" t="s">
        <v>433</v>
      </c>
      <c r="F8164" t="s">
        <v>410</v>
      </c>
      <c r="G8164">
        <v>26</v>
      </c>
      <c r="I8164">
        <v>26</v>
      </c>
    </row>
    <row r="8165" spans="1:17" x14ac:dyDescent="0.2">
      <c r="A8165" s="121">
        <v>41943</v>
      </c>
      <c r="B8165" t="s">
        <v>406</v>
      </c>
      <c r="C8165" t="s">
        <v>429</v>
      </c>
      <c r="D8165" t="s">
        <v>434</v>
      </c>
      <c r="E8165" t="s">
        <v>435</v>
      </c>
      <c r="F8165" t="s">
        <v>410</v>
      </c>
      <c r="G8165">
        <v>8</v>
      </c>
      <c r="I8165">
        <v>8</v>
      </c>
    </row>
    <row r="8166" spans="1:17" x14ac:dyDescent="0.2">
      <c r="A8166" s="121">
        <v>41943</v>
      </c>
      <c r="B8166" t="s">
        <v>406</v>
      </c>
      <c r="C8166" t="s">
        <v>429</v>
      </c>
      <c r="D8166" t="s">
        <v>436</v>
      </c>
      <c r="E8166" t="s">
        <v>437</v>
      </c>
      <c r="F8166" t="s">
        <v>410</v>
      </c>
      <c r="G8166">
        <v>15</v>
      </c>
      <c r="H8166">
        <v>15</v>
      </c>
      <c r="I8166">
        <v>15</v>
      </c>
      <c r="J8166">
        <v>15</v>
      </c>
      <c r="K8166">
        <v>0</v>
      </c>
      <c r="L8166">
        <v>0</v>
      </c>
      <c r="M8166">
        <v>12</v>
      </c>
      <c r="N8166">
        <v>3</v>
      </c>
      <c r="O8166">
        <v>0</v>
      </c>
      <c r="P8166">
        <v>0</v>
      </c>
      <c r="Q8166">
        <v>0</v>
      </c>
    </row>
    <row r="8167" spans="1:17" x14ac:dyDescent="0.2">
      <c r="A8167" s="121">
        <v>41943</v>
      </c>
      <c r="B8167" t="s">
        <v>406</v>
      </c>
      <c r="C8167" t="s">
        <v>429</v>
      </c>
      <c r="D8167" t="s">
        <v>438</v>
      </c>
      <c r="E8167" t="s">
        <v>439</v>
      </c>
      <c r="F8167" t="s">
        <v>413</v>
      </c>
      <c r="G8167">
        <v>945</v>
      </c>
      <c r="H8167">
        <v>945</v>
      </c>
      <c r="I8167">
        <v>928</v>
      </c>
      <c r="J8167">
        <v>928</v>
      </c>
      <c r="K8167">
        <v>114</v>
      </c>
      <c r="L8167">
        <v>2</v>
      </c>
      <c r="M8167">
        <v>753</v>
      </c>
      <c r="N8167">
        <v>76</v>
      </c>
      <c r="O8167">
        <v>0</v>
      </c>
      <c r="P8167">
        <v>0</v>
      </c>
      <c r="Q8167">
        <v>0</v>
      </c>
    </row>
    <row r="8168" spans="1:17" x14ac:dyDescent="0.2">
      <c r="A8168" s="121">
        <v>41943</v>
      </c>
      <c r="B8168" t="s">
        <v>406</v>
      </c>
      <c r="C8168" t="s">
        <v>429</v>
      </c>
      <c r="D8168" t="s">
        <v>440</v>
      </c>
      <c r="E8168" t="s">
        <v>441</v>
      </c>
      <c r="F8168" t="s">
        <v>413</v>
      </c>
      <c r="G8168">
        <v>2821</v>
      </c>
      <c r="H8168">
        <v>2821</v>
      </c>
      <c r="I8168">
        <v>2680</v>
      </c>
      <c r="J8168">
        <v>2680</v>
      </c>
      <c r="K8168">
        <v>1103</v>
      </c>
      <c r="L8168">
        <v>10</v>
      </c>
      <c r="M8168">
        <v>1617</v>
      </c>
      <c r="N8168">
        <v>91</v>
      </c>
      <c r="O8168">
        <v>0</v>
      </c>
      <c r="P8168">
        <v>1</v>
      </c>
      <c r="Q8168">
        <v>0</v>
      </c>
    </row>
    <row r="8169" spans="1:17" x14ac:dyDescent="0.2">
      <c r="A8169" s="121">
        <v>41943</v>
      </c>
      <c r="B8169" t="s">
        <v>406</v>
      </c>
      <c r="C8169" t="s">
        <v>442</v>
      </c>
      <c r="D8169" t="s">
        <v>443</v>
      </c>
      <c r="E8169" t="s">
        <v>444</v>
      </c>
      <c r="F8169" t="s">
        <v>413</v>
      </c>
      <c r="G8169">
        <v>5074</v>
      </c>
      <c r="H8169">
        <v>5074</v>
      </c>
      <c r="I8169">
        <v>4474</v>
      </c>
      <c r="J8169">
        <v>4474</v>
      </c>
      <c r="K8169">
        <v>1365</v>
      </c>
      <c r="L8169">
        <v>8</v>
      </c>
      <c r="M8169">
        <v>3432</v>
      </c>
      <c r="N8169">
        <v>120</v>
      </c>
      <c r="O8169">
        <v>149</v>
      </c>
      <c r="P8169">
        <v>68</v>
      </c>
      <c r="Q8169">
        <v>4</v>
      </c>
    </row>
    <row r="8170" spans="1:17" x14ac:dyDescent="0.2">
      <c r="A8170" s="121">
        <v>41943</v>
      </c>
      <c r="B8170" t="s">
        <v>406</v>
      </c>
      <c r="C8170" t="s">
        <v>442</v>
      </c>
      <c r="D8170" t="s">
        <v>445</v>
      </c>
      <c r="E8170" t="s">
        <v>446</v>
      </c>
      <c r="F8170" t="s">
        <v>410</v>
      </c>
      <c r="G8170">
        <v>144</v>
      </c>
      <c r="I8170">
        <v>144</v>
      </c>
    </row>
    <row r="8171" spans="1:17" x14ac:dyDescent="0.2">
      <c r="A8171" s="121">
        <v>41943</v>
      </c>
      <c r="B8171" t="s">
        <v>406</v>
      </c>
      <c r="C8171" t="s">
        <v>442</v>
      </c>
      <c r="D8171" t="s">
        <v>447</v>
      </c>
      <c r="E8171" t="s">
        <v>448</v>
      </c>
      <c r="F8171" t="s">
        <v>410</v>
      </c>
      <c r="G8171">
        <v>400</v>
      </c>
      <c r="I8171">
        <v>400</v>
      </c>
    </row>
    <row r="8172" spans="1:17" x14ac:dyDescent="0.2">
      <c r="A8172" s="121">
        <v>41943</v>
      </c>
      <c r="B8172" t="s">
        <v>406</v>
      </c>
      <c r="C8172" t="s">
        <v>442</v>
      </c>
      <c r="D8172" t="s">
        <v>449</v>
      </c>
      <c r="E8172" t="s">
        <v>624</v>
      </c>
      <c r="F8172" t="s">
        <v>410</v>
      </c>
      <c r="G8172">
        <v>1528</v>
      </c>
      <c r="H8172">
        <v>1528</v>
      </c>
      <c r="I8172">
        <v>1528</v>
      </c>
      <c r="J8172">
        <v>1528</v>
      </c>
      <c r="K8172">
        <v>3</v>
      </c>
      <c r="L8172">
        <v>0</v>
      </c>
      <c r="M8172">
        <v>1347</v>
      </c>
      <c r="N8172">
        <v>171</v>
      </c>
      <c r="O8172">
        <v>7</v>
      </c>
      <c r="P8172">
        <v>0</v>
      </c>
      <c r="Q8172">
        <v>0</v>
      </c>
    </row>
    <row r="8173" spans="1:17" x14ac:dyDescent="0.2">
      <c r="A8173" s="121">
        <v>41943</v>
      </c>
      <c r="B8173" t="s">
        <v>406</v>
      </c>
      <c r="C8173" t="s">
        <v>451</v>
      </c>
      <c r="D8173" t="s">
        <v>454</v>
      </c>
      <c r="E8173" t="s">
        <v>621</v>
      </c>
      <c r="F8173" t="s">
        <v>410</v>
      </c>
      <c r="G8173">
        <v>1158</v>
      </c>
      <c r="H8173">
        <v>1158</v>
      </c>
      <c r="I8173">
        <v>1158</v>
      </c>
      <c r="J8173">
        <v>1158</v>
      </c>
      <c r="K8173">
        <v>3</v>
      </c>
      <c r="L8173">
        <v>0</v>
      </c>
      <c r="M8173">
        <v>982</v>
      </c>
      <c r="N8173">
        <v>47</v>
      </c>
      <c r="O8173">
        <v>126</v>
      </c>
      <c r="P8173">
        <v>0</v>
      </c>
      <c r="Q8173">
        <v>0</v>
      </c>
    </row>
    <row r="8174" spans="1:17" x14ac:dyDescent="0.2">
      <c r="A8174" s="121">
        <v>41943</v>
      </c>
      <c r="B8174" t="s">
        <v>406</v>
      </c>
      <c r="C8174" t="s">
        <v>451</v>
      </c>
      <c r="D8174" t="s">
        <v>622</v>
      </c>
      <c r="E8174" t="s">
        <v>623</v>
      </c>
      <c r="F8174" t="s">
        <v>413</v>
      </c>
      <c r="G8174">
        <v>5154</v>
      </c>
      <c r="H8174">
        <v>5154</v>
      </c>
      <c r="I8174">
        <v>4600</v>
      </c>
      <c r="J8174">
        <v>4600</v>
      </c>
      <c r="K8174">
        <v>1226</v>
      </c>
      <c r="L8174">
        <v>7</v>
      </c>
      <c r="M8174">
        <v>3511</v>
      </c>
      <c r="N8174">
        <v>36</v>
      </c>
      <c r="O8174">
        <v>374</v>
      </c>
      <c r="P8174">
        <v>67</v>
      </c>
      <c r="Q8174">
        <v>13</v>
      </c>
    </row>
    <row r="8175" spans="1:17" x14ac:dyDescent="0.2">
      <c r="A8175" s="121">
        <v>41943</v>
      </c>
      <c r="B8175" t="s">
        <v>406</v>
      </c>
      <c r="C8175" t="s">
        <v>456</v>
      </c>
      <c r="D8175" t="s">
        <v>457</v>
      </c>
      <c r="E8175" t="s">
        <v>458</v>
      </c>
      <c r="F8175" t="s">
        <v>413</v>
      </c>
      <c r="G8175">
        <v>4774</v>
      </c>
      <c r="H8175">
        <v>4774</v>
      </c>
      <c r="I8175">
        <v>4206</v>
      </c>
      <c r="J8175">
        <v>4206</v>
      </c>
      <c r="K8175">
        <v>1209</v>
      </c>
      <c r="L8175">
        <v>9</v>
      </c>
      <c r="M8175">
        <v>3050</v>
      </c>
      <c r="N8175">
        <v>32</v>
      </c>
      <c r="O8175">
        <v>474</v>
      </c>
      <c r="P8175">
        <v>76</v>
      </c>
      <c r="Q8175">
        <v>6</v>
      </c>
    </row>
    <row r="8176" spans="1:17" x14ac:dyDescent="0.2">
      <c r="A8176" s="121">
        <v>41943</v>
      </c>
      <c r="B8176" t="s">
        <v>406</v>
      </c>
      <c r="C8176" t="s">
        <v>456</v>
      </c>
      <c r="D8176" t="s">
        <v>459</v>
      </c>
      <c r="E8176" t="s">
        <v>460</v>
      </c>
      <c r="F8176" t="s">
        <v>413</v>
      </c>
      <c r="G8176">
        <v>1328</v>
      </c>
      <c r="H8176">
        <v>1328</v>
      </c>
      <c r="I8176">
        <v>1303</v>
      </c>
      <c r="J8176">
        <v>1303</v>
      </c>
      <c r="K8176">
        <v>304</v>
      </c>
      <c r="L8176">
        <v>0</v>
      </c>
      <c r="M8176">
        <v>1024</v>
      </c>
      <c r="N8176">
        <v>0</v>
      </c>
      <c r="O8176">
        <v>0</v>
      </c>
      <c r="P8176">
        <v>2</v>
      </c>
      <c r="Q8176">
        <v>0</v>
      </c>
    </row>
    <row r="8177" spans="1:17" x14ac:dyDescent="0.2">
      <c r="A8177" s="121">
        <v>41943</v>
      </c>
      <c r="B8177" t="s">
        <v>406</v>
      </c>
      <c r="C8177" t="s">
        <v>456</v>
      </c>
      <c r="D8177" t="s">
        <v>461</v>
      </c>
      <c r="E8177" t="s">
        <v>462</v>
      </c>
      <c r="F8177" t="s">
        <v>410</v>
      </c>
      <c r="G8177">
        <v>74</v>
      </c>
      <c r="I8177">
        <v>74</v>
      </c>
    </row>
    <row r="8178" spans="1:17" x14ac:dyDescent="0.2">
      <c r="A8178" s="121">
        <v>41943</v>
      </c>
      <c r="B8178" t="s">
        <v>406</v>
      </c>
      <c r="C8178" t="s">
        <v>456</v>
      </c>
      <c r="D8178" t="s">
        <v>463</v>
      </c>
      <c r="E8178" t="s">
        <v>464</v>
      </c>
      <c r="F8178" t="s">
        <v>410</v>
      </c>
      <c r="G8178">
        <v>14</v>
      </c>
      <c r="I8178">
        <v>14</v>
      </c>
    </row>
    <row r="8179" spans="1:17" x14ac:dyDescent="0.2">
      <c r="A8179" s="121">
        <v>41943</v>
      </c>
      <c r="B8179" t="s">
        <v>406</v>
      </c>
      <c r="C8179" t="s">
        <v>456</v>
      </c>
      <c r="D8179" t="s">
        <v>465</v>
      </c>
      <c r="E8179" t="s">
        <v>466</v>
      </c>
      <c r="F8179" t="s">
        <v>410</v>
      </c>
      <c r="G8179">
        <v>23</v>
      </c>
      <c r="I8179">
        <v>23</v>
      </c>
    </row>
    <row r="8180" spans="1:17" x14ac:dyDescent="0.2">
      <c r="A8180" s="121">
        <v>41943</v>
      </c>
      <c r="B8180" t="s">
        <v>406</v>
      </c>
      <c r="C8180" t="s">
        <v>456</v>
      </c>
      <c r="D8180" t="s">
        <v>467</v>
      </c>
      <c r="E8180" t="s">
        <v>468</v>
      </c>
      <c r="F8180" t="s">
        <v>410</v>
      </c>
      <c r="G8180">
        <v>1200</v>
      </c>
      <c r="I8180">
        <v>1197</v>
      </c>
    </row>
    <row r="8181" spans="1:17" x14ac:dyDescent="0.2">
      <c r="A8181" s="121">
        <v>41943</v>
      </c>
      <c r="B8181" t="s">
        <v>406</v>
      </c>
      <c r="C8181" t="s">
        <v>456</v>
      </c>
      <c r="D8181" t="s">
        <v>469</v>
      </c>
      <c r="E8181" t="s">
        <v>470</v>
      </c>
      <c r="F8181" t="s">
        <v>410</v>
      </c>
      <c r="G8181">
        <v>665</v>
      </c>
      <c r="I8181">
        <v>665</v>
      </c>
    </row>
    <row r="8182" spans="1:17" x14ac:dyDescent="0.2">
      <c r="A8182" s="121">
        <v>41943</v>
      </c>
      <c r="B8182" t="s">
        <v>406</v>
      </c>
      <c r="C8182" t="s">
        <v>456</v>
      </c>
      <c r="D8182" t="s">
        <v>471</v>
      </c>
      <c r="E8182" t="s">
        <v>472</v>
      </c>
      <c r="F8182" t="s">
        <v>410</v>
      </c>
      <c r="G8182">
        <v>265</v>
      </c>
      <c r="I8182">
        <v>263</v>
      </c>
    </row>
    <row r="8183" spans="1:17" x14ac:dyDescent="0.2">
      <c r="A8183" s="121">
        <v>41943</v>
      </c>
      <c r="B8183" t="s">
        <v>406</v>
      </c>
      <c r="C8183" t="s">
        <v>456</v>
      </c>
      <c r="D8183" t="s">
        <v>473</v>
      </c>
      <c r="E8183" t="s">
        <v>474</v>
      </c>
      <c r="F8183" t="s">
        <v>410</v>
      </c>
      <c r="G8183">
        <v>209</v>
      </c>
      <c r="I8183">
        <v>209</v>
      </c>
    </row>
    <row r="8184" spans="1:17" x14ac:dyDescent="0.2">
      <c r="A8184" s="121">
        <v>41943</v>
      </c>
      <c r="B8184" t="s">
        <v>406</v>
      </c>
      <c r="C8184" t="s">
        <v>456</v>
      </c>
      <c r="D8184" t="s">
        <v>475</v>
      </c>
      <c r="E8184" t="s">
        <v>476</v>
      </c>
      <c r="F8184" t="s">
        <v>410</v>
      </c>
      <c r="G8184">
        <v>273</v>
      </c>
      <c r="I8184">
        <v>265</v>
      </c>
    </row>
    <row r="8185" spans="1:17" x14ac:dyDescent="0.2">
      <c r="A8185" s="121">
        <v>41943</v>
      </c>
      <c r="B8185" t="s">
        <v>406</v>
      </c>
      <c r="C8185" t="s">
        <v>456</v>
      </c>
      <c r="D8185" t="s">
        <v>477</v>
      </c>
      <c r="E8185" t="s">
        <v>478</v>
      </c>
      <c r="F8185" t="s">
        <v>413</v>
      </c>
      <c r="G8185">
        <v>1844</v>
      </c>
      <c r="H8185">
        <v>1844</v>
      </c>
      <c r="I8185">
        <v>1737</v>
      </c>
      <c r="J8185">
        <v>1737</v>
      </c>
      <c r="K8185">
        <v>365</v>
      </c>
      <c r="L8185">
        <v>1</v>
      </c>
      <c r="M8185">
        <v>1469</v>
      </c>
      <c r="N8185">
        <v>9</v>
      </c>
      <c r="O8185">
        <v>0</v>
      </c>
      <c r="P8185">
        <v>10</v>
      </c>
      <c r="Q8185">
        <v>2</v>
      </c>
    </row>
    <row r="8186" spans="1:17" x14ac:dyDescent="0.2">
      <c r="A8186" s="121">
        <v>41943</v>
      </c>
      <c r="B8186" t="s">
        <v>406</v>
      </c>
      <c r="C8186" t="s">
        <v>456</v>
      </c>
      <c r="D8186" t="s">
        <v>479</v>
      </c>
      <c r="E8186" t="s">
        <v>480</v>
      </c>
      <c r="F8186" t="s">
        <v>410</v>
      </c>
      <c r="G8186">
        <v>51</v>
      </c>
      <c r="I8186">
        <v>51</v>
      </c>
    </row>
    <row r="8187" spans="1:17" x14ac:dyDescent="0.2">
      <c r="A8187" s="121">
        <v>41943</v>
      </c>
      <c r="B8187" t="s">
        <v>406</v>
      </c>
      <c r="C8187" t="s">
        <v>456</v>
      </c>
      <c r="D8187" t="s">
        <v>481</v>
      </c>
      <c r="E8187" t="s">
        <v>482</v>
      </c>
      <c r="F8187" t="s">
        <v>410</v>
      </c>
      <c r="G8187">
        <v>42</v>
      </c>
      <c r="I8187">
        <v>42</v>
      </c>
    </row>
    <row r="8188" spans="1:17" x14ac:dyDescent="0.2">
      <c r="A8188" s="121">
        <v>41943</v>
      </c>
      <c r="B8188" t="s">
        <v>406</v>
      </c>
      <c r="C8188" t="s">
        <v>456</v>
      </c>
      <c r="D8188" t="s">
        <v>483</v>
      </c>
      <c r="E8188" t="s">
        <v>484</v>
      </c>
      <c r="F8188" t="s">
        <v>410</v>
      </c>
      <c r="G8188">
        <v>81</v>
      </c>
      <c r="I8188">
        <v>81</v>
      </c>
    </row>
    <row r="8189" spans="1:17" x14ac:dyDescent="0.2">
      <c r="A8189" s="121">
        <v>41943</v>
      </c>
      <c r="B8189" t="s">
        <v>406</v>
      </c>
      <c r="C8189" t="s">
        <v>456</v>
      </c>
      <c r="D8189" t="s">
        <v>487</v>
      </c>
      <c r="E8189" t="s">
        <v>488</v>
      </c>
      <c r="F8189" t="s">
        <v>410</v>
      </c>
      <c r="G8189">
        <v>40</v>
      </c>
      <c r="I8189">
        <v>40</v>
      </c>
    </row>
    <row r="8190" spans="1:17" x14ac:dyDescent="0.2">
      <c r="A8190" s="121">
        <v>41943</v>
      </c>
      <c r="B8190" t="s">
        <v>406</v>
      </c>
      <c r="C8190" t="s">
        <v>456</v>
      </c>
      <c r="D8190" t="s">
        <v>489</v>
      </c>
      <c r="E8190" t="s">
        <v>490</v>
      </c>
      <c r="F8190" t="s">
        <v>410</v>
      </c>
      <c r="G8190">
        <v>93</v>
      </c>
      <c r="I8190">
        <v>93</v>
      </c>
    </row>
    <row r="8191" spans="1:17" x14ac:dyDescent="0.2">
      <c r="A8191" s="121">
        <v>41943</v>
      </c>
      <c r="B8191" t="s">
        <v>406</v>
      </c>
      <c r="C8191" t="s">
        <v>456</v>
      </c>
      <c r="D8191" t="s">
        <v>628</v>
      </c>
      <c r="E8191" t="s">
        <v>629</v>
      </c>
      <c r="F8191" t="s">
        <v>410</v>
      </c>
      <c r="G8191">
        <v>96</v>
      </c>
      <c r="I8191">
        <v>96</v>
      </c>
    </row>
    <row r="8192" spans="1:17" x14ac:dyDescent="0.2">
      <c r="A8192" s="121">
        <v>41943</v>
      </c>
      <c r="B8192" t="s">
        <v>406</v>
      </c>
      <c r="C8192" t="s">
        <v>491</v>
      </c>
      <c r="D8192" t="s">
        <v>492</v>
      </c>
      <c r="E8192" t="s">
        <v>493</v>
      </c>
      <c r="F8192" t="s">
        <v>410</v>
      </c>
      <c r="G8192">
        <v>1260</v>
      </c>
      <c r="H8192">
        <v>1260</v>
      </c>
      <c r="I8192">
        <v>1228</v>
      </c>
      <c r="J8192">
        <v>1228</v>
      </c>
      <c r="K8192">
        <v>223</v>
      </c>
      <c r="L8192">
        <v>2</v>
      </c>
      <c r="M8192">
        <v>960</v>
      </c>
      <c r="N8192">
        <v>72</v>
      </c>
      <c r="O8192">
        <v>3</v>
      </c>
      <c r="P8192">
        <v>1</v>
      </c>
      <c r="Q8192">
        <v>1</v>
      </c>
    </row>
    <row r="8193" spans="1:17" x14ac:dyDescent="0.2">
      <c r="A8193" s="121">
        <v>41943</v>
      </c>
      <c r="B8193" t="s">
        <v>406</v>
      </c>
      <c r="C8193" t="s">
        <v>491</v>
      </c>
      <c r="D8193" t="s">
        <v>494</v>
      </c>
      <c r="E8193" t="s">
        <v>495</v>
      </c>
      <c r="F8193" t="s">
        <v>413</v>
      </c>
      <c r="G8193">
        <v>2648</v>
      </c>
      <c r="H8193">
        <v>2648</v>
      </c>
      <c r="I8193">
        <v>2452</v>
      </c>
      <c r="J8193">
        <v>2452</v>
      </c>
      <c r="K8193">
        <v>701</v>
      </c>
      <c r="L8193">
        <v>0</v>
      </c>
      <c r="M8193">
        <v>1780</v>
      </c>
      <c r="N8193">
        <v>48</v>
      </c>
      <c r="O8193">
        <v>119</v>
      </c>
      <c r="P8193">
        <v>7</v>
      </c>
      <c r="Q8193">
        <v>0</v>
      </c>
    </row>
    <row r="8194" spans="1:17" x14ac:dyDescent="0.2">
      <c r="A8194" s="121">
        <v>41943</v>
      </c>
      <c r="B8194" t="s">
        <v>406</v>
      </c>
      <c r="C8194" t="s">
        <v>491</v>
      </c>
      <c r="D8194" t="s">
        <v>496</v>
      </c>
      <c r="E8194" t="s">
        <v>497</v>
      </c>
      <c r="F8194" t="s">
        <v>413</v>
      </c>
      <c r="G8194">
        <v>5666</v>
      </c>
      <c r="H8194">
        <v>5666</v>
      </c>
      <c r="I8194">
        <v>4994</v>
      </c>
      <c r="J8194">
        <v>4994</v>
      </c>
      <c r="K8194">
        <v>2010</v>
      </c>
      <c r="L8194">
        <v>10</v>
      </c>
      <c r="M8194">
        <v>3417</v>
      </c>
      <c r="N8194">
        <v>96</v>
      </c>
      <c r="O8194">
        <v>133</v>
      </c>
      <c r="P8194">
        <v>59</v>
      </c>
      <c r="Q8194">
        <v>2</v>
      </c>
    </row>
    <row r="8195" spans="1:17" x14ac:dyDescent="0.2">
      <c r="A8195" s="121">
        <v>41943</v>
      </c>
      <c r="B8195" t="s">
        <v>406</v>
      </c>
      <c r="C8195" t="s">
        <v>491</v>
      </c>
      <c r="D8195" t="s">
        <v>498</v>
      </c>
      <c r="E8195" t="s">
        <v>499</v>
      </c>
      <c r="F8195" t="s">
        <v>413</v>
      </c>
      <c r="G8195">
        <v>7035</v>
      </c>
      <c r="H8195">
        <v>7035</v>
      </c>
      <c r="I8195">
        <v>6141</v>
      </c>
      <c r="J8195">
        <v>6141</v>
      </c>
      <c r="K8195">
        <v>2158</v>
      </c>
      <c r="L8195">
        <v>10</v>
      </c>
      <c r="M8195">
        <v>4405</v>
      </c>
      <c r="N8195">
        <v>129</v>
      </c>
      <c r="O8195">
        <v>333</v>
      </c>
      <c r="P8195">
        <v>21</v>
      </c>
      <c r="Q8195">
        <v>0</v>
      </c>
    </row>
    <row r="8196" spans="1:17" x14ac:dyDescent="0.2">
      <c r="A8196" s="121">
        <v>41943</v>
      </c>
      <c r="B8196" t="s">
        <v>406</v>
      </c>
      <c r="C8196" t="s">
        <v>491</v>
      </c>
      <c r="D8196" t="s">
        <v>500</v>
      </c>
      <c r="E8196" t="s">
        <v>620</v>
      </c>
      <c r="F8196" t="s">
        <v>410</v>
      </c>
      <c r="G8196">
        <v>1346</v>
      </c>
      <c r="H8196">
        <v>1346</v>
      </c>
      <c r="I8196">
        <v>1346</v>
      </c>
      <c r="J8196">
        <v>1346</v>
      </c>
      <c r="K8196">
        <v>2</v>
      </c>
      <c r="L8196">
        <v>0</v>
      </c>
      <c r="M8196">
        <v>1240</v>
      </c>
      <c r="N8196">
        <v>94</v>
      </c>
      <c r="O8196">
        <v>10</v>
      </c>
      <c r="P8196">
        <v>0</v>
      </c>
      <c r="Q8196">
        <v>0</v>
      </c>
    </row>
    <row r="8197" spans="1:17" x14ac:dyDescent="0.2">
      <c r="A8197" s="121">
        <v>41943</v>
      </c>
      <c r="B8197" t="s">
        <v>406</v>
      </c>
      <c r="C8197" t="s">
        <v>491</v>
      </c>
      <c r="D8197" t="s">
        <v>502</v>
      </c>
      <c r="E8197" t="s">
        <v>615</v>
      </c>
      <c r="F8197" t="s">
        <v>410</v>
      </c>
      <c r="G8197">
        <v>1889</v>
      </c>
      <c r="H8197">
        <v>1889</v>
      </c>
      <c r="I8197">
        <v>1889</v>
      </c>
      <c r="J8197">
        <v>1889</v>
      </c>
      <c r="K8197">
        <v>2</v>
      </c>
      <c r="L8197">
        <v>1</v>
      </c>
      <c r="M8197">
        <v>1778</v>
      </c>
      <c r="N8197">
        <v>106</v>
      </c>
      <c r="O8197">
        <v>2</v>
      </c>
      <c r="P8197">
        <v>0</v>
      </c>
      <c r="Q8197">
        <v>0</v>
      </c>
    </row>
    <row r="8198" spans="1:17" x14ac:dyDescent="0.2">
      <c r="A8198" s="121">
        <v>41943</v>
      </c>
      <c r="B8198" t="s">
        <v>406</v>
      </c>
      <c r="C8198" t="s">
        <v>491</v>
      </c>
      <c r="D8198" t="s">
        <v>502</v>
      </c>
      <c r="E8198" t="s">
        <v>503</v>
      </c>
      <c r="F8198" t="s">
        <v>413</v>
      </c>
      <c r="G8198">
        <v>5063</v>
      </c>
      <c r="H8198">
        <v>5063</v>
      </c>
      <c r="I8198">
        <v>4338</v>
      </c>
      <c r="J8198">
        <v>4338</v>
      </c>
      <c r="K8198">
        <v>1579</v>
      </c>
      <c r="L8198">
        <v>12</v>
      </c>
      <c r="M8198">
        <v>3052</v>
      </c>
      <c r="N8198">
        <v>317</v>
      </c>
      <c r="O8198">
        <v>103</v>
      </c>
      <c r="P8198">
        <v>71</v>
      </c>
      <c r="Q8198">
        <v>21</v>
      </c>
    </row>
    <row r="8199" spans="1:17" x14ac:dyDescent="0.2">
      <c r="A8199" s="121">
        <v>41943</v>
      </c>
      <c r="B8199" t="s">
        <v>406</v>
      </c>
      <c r="C8199" t="s">
        <v>491</v>
      </c>
      <c r="D8199" t="s">
        <v>504</v>
      </c>
      <c r="E8199" t="s">
        <v>505</v>
      </c>
      <c r="F8199" t="s">
        <v>413</v>
      </c>
      <c r="G8199">
        <v>3956</v>
      </c>
      <c r="H8199">
        <v>3956</v>
      </c>
      <c r="I8199">
        <v>3511</v>
      </c>
      <c r="J8199">
        <v>3511</v>
      </c>
      <c r="K8199">
        <v>1188</v>
      </c>
      <c r="L8199">
        <v>35</v>
      </c>
      <c r="M8199">
        <v>2498</v>
      </c>
      <c r="N8199">
        <v>188</v>
      </c>
      <c r="O8199">
        <v>47</v>
      </c>
      <c r="P8199">
        <v>36</v>
      </c>
      <c r="Q8199">
        <v>3</v>
      </c>
    </row>
    <row r="8200" spans="1:17" x14ac:dyDescent="0.2">
      <c r="A8200" s="121">
        <v>41943</v>
      </c>
      <c r="B8200" t="s">
        <v>406</v>
      </c>
      <c r="C8200" t="s">
        <v>491</v>
      </c>
      <c r="D8200" t="s">
        <v>506</v>
      </c>
      <c r="E8200" t="s">
        <v>507</v>
      </c>
      <c r="F8200" t="s">
        <v>413</v>
      </c>
      <c r="G8200">
        <v>3670</v>
      </c>
      <c r="H8200">
        <v>3670</v>
      </c>
      <c r="I8200">
        <v>3622</v>
      </c>
      <c r="J8200">
        <v>3622</v>
      </c>
      <c r="K8200">
        <v>1027</v>
      </c>
      <c r="L8200">
        <v>4</v>
      </c>
      <c r="M8200">
        <v>2635</v>
      </c>
      <c r="N8200">
        <v>3</v>
      </c>
      <c r="O8200">
        <v>1</v>
      </c>
      <c r="P8200">
        <v>0</v>
      </c>
      <c r="Q8200">
        <v>0</v>
      </c>
    </row>
    <row r="8201" spans="1:17" x14ac:dyDescent="0.2">
      <c r="A8201" s="121">
        <v>41943</v>
      </c>
      <c r="B8201" t="s">
        <v>406</v>
      </c>
      <c r="C8201" t="s">
        <v>491</v>
      </c>
      <c r="D8201" t="s">
        <v>508</v>
      </c>
      <c r="E8201" t="s">
        <v>509</v>
      </c>
      <c r="F8201" t="s">
        <v>413</v>
      </c>
      <c r="G8201">
        <v>4996</v>
      </c>
      <c r="H8201">
        <v>4996</v>
      </c>
      <c r="I8201">
        <v>3957</v>
      </c>
      <c r="J8201">
        <v>3957</v>
      </c>
      <c r="K8201">
        <v>1545</v>
      </c>
      <c r="L8201">
        <v>8</v>
      </c>
      <c r="M8201">
        <v>3126</v>
      </c>
      <c r="N8201">
        <v>170</v>
      </c>
      <c r="O8201">
        <v>147</v>
      </c>
      <c r="P8201">
        <v>124</v>
      </c>
      <c r="Q8201">
        <v>0</v>
      </c>
    </row>
    <row r="8202" spans="1:17" x14ac:dyDescent="0.2">
      <c r="A8202" s="121">
        <v>41943</v>
      </c>
      <c r="B8202" t="s">
        <v>406</v>
      </c>
      <c r="C8202" t="s">
        <v>510</v>
      </c>
      <c r="D8202" t="s">
        <v>513</v>
      </c>
      <c r="E8202" t="s">
        <v>514</v>
      </c>
      <c r="F8202" t="s">
        <v>410</v>
      </c>
      <c r="G8202">
        <v>586</v>
      </c>
      <c r="I8202">
        <v>583</v>
      </c>
    </row>
    <row r="8203" spans="1:17" x14ac:dyDescent="0.2">
      <c r="A8203" s="121">
        <v>41943</v>
      </c>
      <c r="B8203" t="s">
        <v>406</v>
      </c>
      <c r="C8203" t="s">
        <v>510</v>
      </c>
      <c r="D8203" t="s">
        <v>515</v>
      </c>
      <c r="E8203" t="s">
        <v>516</v>
      </c>
      <c r="F8203" t="s">
        <v>410</v>
      </c>
      <c r="G8203">
        <v>97</v>
      </c>
      <c r="I8203">
        <v>97</v>
      </c>
    </row>
    <row r="8204" spans="1:17" x14ac:dyDescent="0.2">
      <c r="A8204" s="121">
        <v>41943</v>
      </c>
      <c r="B8204" t="s">
        <v>406</v>
      </c>
      <c r="C8204" t="s">
        <v>510</v>
      </c>
      <c r="D8204" t="s">
        <v>519</v>
      </c>
      <c r="E8204" t="s">
        <v>520</v>
      </c>
      <c r="F8204" t="s">
        <v>410</v>
      </c>
      <c r="G8204">
        <v>361</v>
      </c>
      <c r="I8204">
        <v>343</v>
      </c>
    </row>
    <row r="8205" spans="1:17" x14ac:dyDescent="0.2">
      <c r="A8205" s="121">
        <v>41943</v>
      </c>
      <c r="B8205" t="s">
        <v>406</v>
      </c>
      <c r="C8205" t="s">
        <v>510</v>
      </c>
      <c r="D8205" t="s">
        <v>523</v>
      </c>
      <c r="E8205" t="s">
        <v>524</v>
      </c>
      <c r="F8205" t="s">
        <v>413</v>
      </c>
      <c r="G8205">
        <v>464</v>
      </c>
      <c r="H8205">
        <v>464</v>
      </c>
      <c r="I8205">
        <v>451</v>
      </c>
      <c r="J8205">
        <v>451</v>
      </c>
      <c r="K8205">
        <v>96</v>
      </c>
      <c r="L8205">
        <v>0</v>
      </c>
      <c r="M8205">
        <v>358</v>
      </c>
      <c r="N8205">
        <v>10</v>
      </c>
      <c r="O8205">
        <v>0</v>
      </c>
      <c r="P8205">
        <v>0</v>
      </c>
      <c r="Q8205">
        <v>0</v>
      </c>
    </row>
    <row r="8206" spans="1:17" x14ac:dyDescent="0.2">
      <c r="A8206" s="121">
        <v>41943</v>
      </c>
      <c r="B8206" t="s">
        <v>406</v>
      </c>
      <c r="C8206" t="s">
        <v>510</v>
      </c>
      <c r="D8206" t="s">
        <v>525</v>
      </c>
      <c r="E8206" t="s">
        <v>526</v>
      </c>
      <c r="F8206" t="s">
        <v>410</v>
      </c>
      <c r="G8206">
        <v>426</v>
      </c>
      <c r="I8206">
        <v>416</v>
      </c>
    </row>
    <row r="8207" spans="1:17" x14ac:dyDescent="0.2">
      <c r="A8207" s="121">
        <v>41943</v>
      </c>
      <c r="B8207" t="s">
        <v>406</v>
      </c>
      <c r="C8207" t="s">
        <v>510</v>
      </c>
      <c r="D8207" t="s">
        <v>527</v>
      </c>
      <c r="E8207" t="s">
        <v>528</v>
      </c>
      <c r="F8207" t="s">
        <v>410</v>
      </c>
      <c r="G8207">
        <v>191</v>
      </c>
      <c r="I8207">
        <v>190</v>
      </c>
    </row>
    <row r="8208" spans="1:17" x14ac:dyDescent="0.2">
      <c r="A8208" s="121">
        <v>41943</v>
      </c>
      <c r="B8208" t="s">
        <v>406</v>
      </c>
      <c r="C8208" t="s">
        <v>510</v>
      </c>
      <c r="D8208" t="s">
        <v>529</v>
      </c>
      <c r="E8208" t="s">
        <v>530</v>
      </c>
      <c r="F8208" t="s">
        <v>413</v>
      </c>
      <c r="G8208">
        <v>522</v>
      </c>
      <c r="H8208">
        <v>522</v>
      </c>
      <c r="I8208">
        <v>507</v>
      </c>
      <c r="J8208">
        <v>507</v>
      </c>
      <c r="K8208">
        <v>141</v>
      </c>
      <c r="L8208">
        <v>0</v>
      </c>
      <c r="M8208">
        <v>380</v>
      </c>
      <c r="N8208">
        <v>1</v>
      </c>
      <c r="O8208">
        <v>0</v>
      </c>
      <c r="P8208">
        <v>0</v>
      </c>
      <c r="Q8208">
        <v>0</v>
      </c>
    </row>
    <row r="8209" spans="1:17" x14ac:dyDescent="0.2">
      <c r="A8209" s="121">
        <v>41943</v>
      </c>
      <c r="B8209" t="s">
        <v>406</v>
      </c>
      <c r="C8209" t="s">
        <v>510</v>
      </c>
      <c r="D8209" t="s">
        <v>531</v>
      </c>
      <c r="E8209" t="s">
        <v>532</v>
      </c>
      <c r="F8209" t="s">
        <v>410</v>
      </c>
      <c r="G8209">
        <v>20</v>
      </c>
      <c r="I8209">
        <v>20</v>
      </c>
    </row>
    <row r="8210" spans="1:17" x14ac:dyDescent="0.2">
      <c r="A8210" s="121">
        <v>41943</v>
      </c>
      <c r="B8210" t="s">
        <v>406</v>
      </c>
      <c r="C8210" t="s">
        <v>510</v>
      </c>
      <c r="D8210" t="s">
        <v>533</v>
      </c>
      <c r="E8210" t="s">
        <v>534</v>
      </c>
      <c r="F8210" t="s">
        <v>413</v>
      </c>
      <c r="G8210">
        <v>2547</v>
      </c>
      <c r="H8210">
        <v>2547</v>
      </c>
      <c r="I8210">
        <v>2400</v>
      </c>
      <c r="J8210">
        <v>2400</v>
      </c>
      <c r="K8210">
        <v>677</v>
      </c>
      <c r="L8210">
        <v>3</v>
      </c>
      <c r="M8210">
        <v>1855</v>
      </c>
      <c r="N8210">
        <v>12</v>
      </c>
      <c r="O8210">
        <v>0</v>
      </c>
      <c r="P8210">
        <v>5</v>
      </c>
      <c r="Q8210">
        <v>0</v>
      </c>
    </row>
    <row r="8211" spans="1:17" x14ac:dyDescent="0.2">
      <c r="A8211" s="121">
        <v>41943</v>
      </c>
      <c r="B8211" t="s">
        <v>406</v>
      </c>
      <c r="C8211" t="s">
        <v>510</v>
      </c>
      <c r="D8211" t="s">
        <v>535</v>
      </c>
      <c r="E8211" t="s">
        <v>536</v>
      </c>
      <c r="F8211" t="s">
        <v>410</v>
      </c>
      <c r="G8211">
        <v>366</v>
      </c>
      <c r="I8211">
        <v>366</v>
      </c>
    </row>
    <row r="8212" spans="1:17" x14ac:dyDescent="0.2">
      <c r="A8212" s="121">
        <v>41943</v>
      </c>
      <c r="B8212" t="s">
        <v>406</v>
      </c>
      <c r="C8212" t="s">
        <v>510</v>
      </c>
      <c r="D8212" t="s">
        <v>537</v>
      </c>
      <c r="E8212" t="s">
        <v>538</v>
      </c>
      <c r="F8212" t="s">
        <v>410</v>
      </c>
      <c r="G8212">
        <v>86</v>
      </c>
      <c r="I8212">
        <v>86</v>
      </c>
    </row>
    <row r="8213" spans="1:17" x14ac:dyDescent="0.2">
      <c r="A8213" s="121">
        <v>41943</v>
      </c>
      <c r="B8213" t="s">
        <v>406</v>
      </c>
      <c r="C8213" t="s">
        <v>510</v>
      </c>
      <c r="D8213" t="s">
        <v>539</v>
      </c>
      <c r="E8213" t="s">
        <v>540</v>
      </c>
      <c r="F8213" t="s">
        <v>413</v>
      </c>
      <c r="G8213">
        <v>699</v>
      </c>
      <c r="H8213">
        <v>699</v>
      </c>
      <c r="I8213">
        <v>665</v>
      </c>
      <c r="J8213">
        <v>665</v>
      </c>
      <c r="K8213">
        <v>126</v>
      </c>
      <c r="L8213">
        <v>1</v>
      </c>
      <c r="M8213">
        <v>568</v>
      </c>
      <c r="N8213">
        <v>4</v>
      </c>
      <c r="O8213">
        <v>0</v>
      </c>
      <c r="P8213">
        <v>1</v>
      </c>
      <c r="Q8213">
        <v>0</v>
      </c>
    </row>
    <row r="8214" spans="1:17" x14ac:dyDescent="0.2">
      <c r="A8214" s="121">
        <v>41943</v>
      </c>
      <c r="B8214" t="s">
        <v>406</v>
      </c>
      <c r="C8214" t="s">
        <v>510</v>
      </c>
      <c r="D8214" t="s">
        <v>541</v>
      </c>
      <c r="E8214" t="s">
        <v>542</v>
      </c>
      <c r="F8214" t="s">
        <v>410</v>
      </c>
      <c r="G8214">
        <v>345</v>
      </c>
      <c r="I8214">
        <v>345</v>
      </c>
    </row>
    <row r="8215" spans="1:17" x14ac:dyDescent="0.2">
      <c r="A8215" s="121">
        <v>41943</v>
      </c>
      <c r="B8215" t="s">
        <v>406</v>
      </c>
      <c r="C8215" t="s">
        <v>510</v>
      </c>
      <c r="D8215" t="s">
        <v>543</v>
      </c>
      <c r="E8215" t="s">
        <v>544</v>
      </c>
      <c r="F8215" t="s">
        <v>410</v>
      </c>
      <c r="G8215">
        <v>200</v>
      </c>
      <c r="I8215">
        <v>200</v>
      </c>
    </row>
    <row r="8216" spans="1:17" x14ac:dyDescent="0.2">
      <c r="A8216" s="121">
        <v>41943</v>
      </c>
      <c r="B8216" t="s">
        <v>406</v>
      </c>
      <c r="C8216" t="s">
        <v>510</v>
      </c>
      <c r="D8216" t="s">
        <v>545</v>
      </c>
      <c r="E8216" t="s">
        <v>546</v>
      </c>
      <c r="F8216" t="s">
        <v>410</v>
      </c>
      <c r="G8216">
        <v>142</v>
      </c>
      <c r="I8216">
        <v>142</v>
      </c>
    </row>
    <row r="8217" spans="1:17" x14ac:dyDescent="0.2">
      <c r="A8217" s="121">
        <v>41943</v>
      </c>
      <c r="B8217" t="s">
        <v>406</v>
      </c>
      <c r="C8217" t="s">
        <v>510</v>
      </c>
      <c r="D8217" t="s">
        <v>547</v>
      </c>
      <c r="E8217" t="s">
        <v>548</v>
      </c>
      <c r="F8217" t="s">
        <v>410</v>
      </c>
      <c r="G8217">
        <v>161</v>
      </c>
      <c r="I8217">
        <v>161</v>
      </c>
    </row>
    <row r="8218" spans="1:17" x14ac:dyDescent="0.2">
      <c r="A8218" s="121">
        <v>41943</v>
      </c>
      <c r="B8218" t="s">
        <v>406</v>
      </c>
      <c r="C8218" t="s">
        <v>510</v>
      </c>
      <c r="D8218" t="s">
        <v>616</v>
      </c>
      <c r="E8218" t="s">
        <v>617</v>
      </c>
      <c r="F8218" t="s">
        <v>410</v>
      </c>
      <c r="G8218">
        <v>307</v>
      </c>
      <c r="I8218">
        <v>297</v>
      </c>
    </row>
    <row r="8219" spans="1:17" x14ac:dyDescent="0.2">
      <c r="A8219" s="121">
        <v>41943</v>
      </c>
      <c r="B8219" t="s">
        <v>406</v>
      </c>
      <c r="C8219" t="s">
        <v>510</v>
      </c>
      <c r="D8219" t="s">
        <v>549</v>
      </c>
      <c r="E8219" t="s">
        <v>550</v>
      </c>
      <c r="F8219" t="s">
        <v>410</v>
      </c>
      <c r="G8219">
        <v>169</v>
      </c>
      <c r="I8219">
        <v>169</v>
      </c>
    </row>
    <row r="8220" spans="1:17" x14ac:dyDescent="0.2">
      <c r="A8220" s="121">
        <v>41943</v>
      </c>
      <c r="B8220" t="s">
        <v>406</v>
      </c>
      <c r="C8220" t="s">
        <v>510</v>
      </c>
      <c r="D8220" t="s">
        <v>625</v>
      </c>
      <c r="E8220" t="s">
        <v>626</v>
      </c>
      <c r="F8220" t="s">
        <v>410</v>
      </c>
      <c r="G8220">
        <v>62</v>
      </c>
      <c r="I8220">
        <v>62</v>
      </c>
    </row>
    <row r="8221" spans="1:17" x14ac:dyDescent="0.2">
      <c r="A8221" s="121">
        <v>41943</v>
      </c>
      <c r="B8221" t="s">
        <v>406</v>
      </c>
      <c r="C8221" t="s">
        <v>551</v>
      </c>
      <c r="D8221" t="s">
        <v>552</v>
      </c>
      <c r="E8221" t="s">
        <v>553</v>
      </c>
      <c r="F8221" t="s">
        <v>413</v>
      </c>
      <c r="G8221">
        <v>5410</v>
      </c>
      <c r="H8221">
        <v>5410</v>
      </c>
      <c r="I8221">
        <v>4891</v>
      </c>
      <c r="J8221">
        <v>4891</v>
      </c>
      <c r="K8221">
        <v>1557</v>
      </c>
      <c r="L8221">
        <v>5</v>
      </c>
      <c r="M8221">
        <v>3648</v>
      </c>
      <c r="N8221">
        <v>120</v>
      </c>
      <c r="O8221">
        <v>80</v>
      </c>
      <c r="P8221">
        <v>44</v>
      </c>
      <c r="Q8221">
        <v>4</v>
      </c>
    </row>
    <row r="8222" spans="1:17" x14ac:dyDescent="0.2">
      <c r="A8222" s="121">
        <v>41943</v>
      </c>
      <c r="B8222" t="s">
        <v>406</v>
      </c>
      <c r="C8222" t="s">
        <v>551</v>
      </c>
      <c r="D8222" t="s">
        <v>554</v>
      </c>
      <c r="E8222" t="s">
        <v>555</v>
      </c>
      <c r="F8222" t="s">
        <v>410</v>
      </c>
      <c r="G8222">
        <v>72</v>
      </c>
      <c r="I8222">
        <v>72</v>
      </c>
    </row>
    <row r="8223" spans="1:17" x14ac:dyDescent="0.2">
      <c r="A8223" s="121">
        <v>41943</v>
      </c>
      <c r="B8223" t="s">
        <v>406</v>
      </c>
      <c r="C8223" t="s">
        <v>551</v>
      </c>
      <c r="D8223" t="s">
        <v>556</v>
      </c>
      <c r="E8223" t="s">
        <v>557</v>
      </c>
      <c r="F8223" t="s">
        <v>410</v>
      </c>
      <c r="G8223">
        <v>102</v>
      </c>
      <c r="I8223">
        <v>102</v>
      </c>
    </row>
    <row r="8224" spans="1:17" x14ac:dyDescent="0.2">
      <c r="A8224" s="121">
        <v>41943</v>
      </c>
      <c r="B8224" t="s">
        <v>406</v>
      </c>
      <c r="C8224" t="s">
        <v>551</v>
      </c>
      <c r="D8224" t="s">
        <v>558</v>
      </c>
      <c r="E8224" t="s">
        <v>559</v>
      </c>
      <c r="F8224" t="s">
        <v>413</v>
      </c>
      <c r="G8224">
        <v>4696</v>
      </c>
      <c r="H8224">
        <v>4696</v>
      </c>
      <c r="I8224">
        <v>3854</v>
      </c>
      <c r="J8224">
        <v>3854</v>
      </c>
      <c r="K8224">
        <v>1395</v>
      </c>
      <c r="L8224">
        <v>6</v>
      </c>
      <c r="M8224">
        <v>3180</v>
      </c>
      <c r="N8224">
        <v>93</v>
      </c>
      <c r="O8224">
        <v>22</v>
      </c>
      <c r="P8224">
        <v>206</v>
      </c>
      <c r="Q8224">
        <v>57</v>
      </c>
    </row>
    <row r="8225" spans="1:17" x14ac:dyDescent="0.2">
      <c r="A8225" s="121">
        <v>41943</v>
      </c>
      <c r="B8225" t="s">
        <v>406</v>
      </c>
      <c r="C8225" t="s">
        <v>551</v>
      </c>
      <c r="D8225" t="s">
        <v>560</v>
      </c>
      <c r="E8225" t="s">
        <v>561</v>
      </c>
      <c r="F8225" t="s">
        <v>413</v>
      </c>
      <c r="G8225">
        <v>5168</v>
      </c>
      <c r="H8225">
        <v>5168</v>
      </c>
      <c r="I8225">
        <v>4525</v>
      </c>
      <c r="J8225">
        <v>4525</v>
      </c>
      <c r="K8225">
        <v>1213</v>
      </c>
      <c r="L8225">
        <v>7</v>
      </c>
      <c r="M8225">
        <v>3703</v>
      </c>
      <c r="N8225">
        <v>136</v>
      </c>
      <c r="O8225">
        <v>109</v>
      </c>
      <c r="P8225">
        <v>91</v>
      </c>
      <c r="Q8225">
        <v>31</v>
      </c>
    </row>
    <row r="8226" spans="1:17" x14ac:dyDescent="0.2">
      <c r="A8226" s="121">
        <v>41943</v>
      </c>
      <c r="B8226" t="s">
        <v>406</v>
      </c>
      <c r="C8226" t="s">
        <v>562</v>
      </c>
      <c r="D8226" t="s">
        <v>605</v>
      </c>
      <c r="E8226" t="s">
        <v>606</v>
      </c>
      <c r="F8226" t="s">
        <v>410</v>
      </c>
      <c r="G8226">
        <v>123</v>
      </c>
      <c r="I8226">
        <v>123</v>
      </c>
    </row>
    <row r="8227" spans="1:17" x14ac:dyDescent="0.2">
      <c r="A8227" s="121">
        <v>41943</v>
      </c>
      <c r="B8227" t="s">
        <v>406</v>
      </c>
      <c r="C8227" t="s">
        <v>562</v>
      </c>
      <c r="D8227" t="s">
        <v>563</v>
      </c>
      <c r="E8227" t="s">
        <v>564</v>
      </c>
      <c r="F8227" t="s">
        <v>410</v>
      </c>
      <c r="G8227">
        <v>3362</v>
      </c>
      <c r="H8227">
        <v>3362</v>
      </c>
      <c r="I8227">
        <v>2874</v>
      </c>
      <c r="J8227">
        <v>2874</v>
      </c>
      <c r="K8227">
        <v>1137</v>
      </c>
      <c r="L8227">
        <v>1</v>
      </c>
      <c r="M8227">
        <v>2209</v>
      </c>
      <c r="N8227">
        <v>15</v>
      </c>
      <c r="O8227">
        <v>0</v>
      </c>
      <c r="P8227">
        <v>70</v>
      </c>
      <c r="Q8227">
        <v>12</v>
      </c>
    </row>
    <row r="8228" spans="1:17" x14ac:dyDescent="0.2">
      <c r="A8228" s="121">
        <v>41943</v>
      </c>
      <c r="B8228" t="s">
        <v>406</v>
      </c>
      <c r="C8228" t="s">
        <v>562</v>
      </c>
      <c r="D8228" t="s">
        <v>565</v>
      </c>
      <c r="E8228" t="s">
        <v>566</v>
      </c>
      <c r="F8228" t="s">
        <v>413</v>
      </c>
      <c r="G8228">
        <v>4438</v>
      </c>
      <c r="H8228">
        <v>4438</v>
      </c>
      <c r="I8228">
        <v>4148</v>
      </c>
      <c r="J8228">
        <v>4148</v>
      </c>
      <c r="K8228">
        <v>1097</v>
      </c>
      <c r="L8228">
        <v>7</v>
      </c>
      <c r="M8228">
        <v>3276</v>
      </c>
      <c r="N8228">
        <v>58</v>
      </c>
      <c r="O8228">
        <v>0</v>
      </c>
      <c r="P8228">
        <v>21</v>
      </c>
      <c r="Q8228">
        <v>1</v>
      </c>
    </row>
    <row r="8229" spans="1:17" x14ac:dyDescent="0.2">
      <c r="A8229" s="121">
        <v>41943</v>
      </c>
      <c r="B8229" t="s">
        <v>406</v>
      </c>
      <c r="C8229" t="s">
        <v>562</v>
      </c>
      <c r="D8229" t="s">
        <v>567</v>
      </c>
      <c r="E8229" t="s">
        <v>568</v>
      </c>
      <c r="F8229" t="s">
        <v>413</v>
      </c>
      <c r="G8229">
        <v>9958</v>
      </c>
      <c r="H8229">
        <v>9958</v>
      </c>
      <c r="I8229">
        <v>9242</v>
      </c>
      <c r="J8229">
        <v>9242</v>
      </c>
      <c r="K8229">
        <v>2886</v>
      </c>
      <c r="L8229">
        <v>31</v>
      </c>
      <c r="M8229">
        <v>6847</v>
      </c>
      <c r="N8229">
        <v>194</v>
      </c>
      <c r="O8229">
        <v>0</v>
      </c>
      <c r="P8229">
        <v>84</v>
      </c>
      <c r="Q8229">
        <v>1</v>
      </c>
    </row>
    <row r="8230" spans="1:17" x14ac:dyDescent="0.2">
      <c r="A8230" s="121">
        <v>41943</v>
      </c>
      <c r="B8230" t="s">
        <v>406</v>
      </c>
      <c r="C8230" t="s">
        <v>562</v>
      </c>
      <c r="D8230" t="s">
        <v>569</v>
      </c>
      <c r="E8230" t="s">
        <v>570</v>
      </c>
      <c r="F8230" t="s">
        <v>413</v>
      </c>
      <c r="G8230">
        <v>3669</v>
      </c>
      <c r="H8230">
        <v>3669</v>
      </c>
      <c r="I8230">
        <v>3581</v>
      </c>
      <c r="J8230">
        <v>3581</v>
      </c>
      <c r="K8230">
        <v>533</v>
      </c>
      <c r="L8230">
        <v>1</v>
      </c>
      <c r="M8230">
        <v>3134</v>
      </c>
      <c r="N8230">
        <v>1</v>
      </c>
      <c r="O8230">
        <v>0</v>
      </c>
      <c r="P8230">
        <v>3</v>
      </c>
      <c r="Q8230">
        <v>0</v>
      </c>
    </row>
    <row r="8231" spans="1:17" x14ac:dyDescent="0.2">
      <c r="A8231" s="121">
        <v>41943</v>
      </c>
      <c r="B8231" t="s">
        <v>406</v>
      </c>
      <c r="C8231" t="s">
        <v>571</v>
      </c>
      <c r="D8231" t="s">
        <v>572</v>
      </c>
      <c r="E8231" t="s">
        <v>627</v>
      </c>
      <c r="F8231" t="s">
        <v>413</v>
      </c>
      <c r="G8231">
        <v>401</v>
      </c>
      <c r="H8231">
        <v>401</v>
      </c>
      <c r="I8231">
        <v>399</v>
      </c>
      <c r="J8231">
        <v>399</v>
      </c>
      <c r="K8231">
        <v>136</v>
      </c>
      <c r="L8231">
        <v>0</v>
      </c>
      <c r="M8231">
        <v>263</v>
      </c>
      <c r="N8231">
        <v>0</v>
      </c>
      <c r="O8231">
        <v>2</v>
      </c>
      <c r="P8231">
        <v>0</v>
      </c>
      <c r="Q8231">
        <v>0</v>
      </c>
    </row>
    <row r="8232" spans="1:17" x14ac:dyDescent="0.2">
      <c r="A8232" s="121">
        <v>41943</v>
      </c>
      <c r="B8232" t="s">
        <v>406</v>
      </c>
      <c r="C8232" t="s">
        <v>574</v>
      </c>
      <c r="D8232" t="s">
        <v>575</v>
      </c>
      <c r="E8232" t="s">
        <v>576</v>
      </c>
      <c r="F8232" t="s">
        <v>413</v>
      </c>
      <c r="G8232">
        <v>598</v>
      </c>
      <c r="H8232">
        <v>598</v>
      </c>
      <c r="I8232">
        <v>566</v>
      </c>
      <c r="J8232">
        <v>566</v>
      </c>
      <c r="K8232">
        <v>189</v>
      </c>
      <c r="L8232">
        <v>0</v>
      </c>
      <c r="M8232">
        <v>381</v>
      </c>
      <c r="N8232">
        <v>4</v>
      </c>
      <c r="O8232">
        <v>24</v>
      </c>
      <c r="P8232">
        <v>1</v>
      </c>
      <c r="Q8232">
        <v>0</v>
      </c>
    </row>
    <row r="8233" spans="1:17" x14ac:dyDescent="0.2">
      <c r="A8233" s="121">
        <v>41943</v>
      </c>
      <c r="B8233" t="s">
        <v>406</v>
      </c>
      <c r="C8233" t="s">
        <v>577</v>
      </c>
      <c r="D8233" t="s">
        <v>578</v>
      </c>
      <c r="E8233" t="s">
        <v>579</v>
      </c>
      <c r="F8233" t="s">
        <v>413</v>
      </c>
      <c r="G8233">
        <v>3797</v>
      </c>
      <c r="H8233">
        <v>3797</v>
      </c>
      <c r="I8233">
        <v>3768</v>
      </c>
      <c r="J8233">
        <v>3768</v>
      </c>
      <c r="K8233">
        <v>1067</v>
      </c>
      <c r="L8233">
        <v>7</v>
      </c>
      <c r="M8233">
        <v>2509</v>
      </c>
      <c r="N8233">
        <v>212</v>
      </c>
      <c r="O8233">
        <v>2</v>
      </c>
      <c r="P8233">
        <v>0</v>
      </c>
      <c r="Q8233">
        <v>0</v>
      </c>
    </row>
    <row r="8234" spans="1:17" x14ac:dyDescent="0.2">
      <c r="A8234" s="121">
        <v>41943</v>
      </c>
      <c r="B8234" t="s">
        <v>406</v>
      </c>
      <c r="C8234" t="s">
        <v>577</v>
      </c>
      <c r="D8234" t="s">
        <v>580</v>
      </c>
      <c r="E8234" t="s">
        <v>581</v>
      </c>
      <c r="F8234" t="s">
        <v>413</v>
      </c>
      <c r="G8234">
        <v>2065</v>
      </c>
      <c r="H8234">
        <v>2065</v>
      </c>
      <c r="I8234">
        <v>2028</v>
      </c>
      <c r="J8234">
        <v>2028</v>
      </c>
      <c r="K8234">
        <v>369</v>
      </c>
      <c r="L8234">
        <v>4</v>
      </c>
      <c r="M8234">
        <v>1418</v>
      </c>
      <c r="N8234">
        <v>257</v>
      </c>
      <c r="O8234">
        <v>17</v>
      </c>
      <c r="P8234">
        <v>1</v>
      </c>
      <c r="Q8234">
        <v>0</v>
      </c>
    </row>
    <row r="8235" spans="1:17" x14ac:dyDescent="0.2">
      <c r="A8235" s="121">
        <v>41943</v>
      </c>
      <c r="B8235" t="s">
        <v>406</v>
      </c>
      <c r="C8235" t="s">
        <v>577</v>
      </c>
      <c r="D8235" t="s">
        <v>609</v>
      </c>
      <c r="E8235" t="s">
        <v>610</v>
      </c>
      <c r="F8235" t="s">
        <v>410</v>
      </c>
      <c r="G8235">
        <v>30</v>
      </c>
      <c r="H8235">
        <v>30</v>
      </c>
      <c r="I8235">
        <v>30</v>
      </c>
      <c r="J8235">
        <v>30</v>
      </c>
      <c r="K8235">
        <v>0</v>
      </c>
      <c r="L8235">
        <v>0</v>
      </c>
      <c r="M8235">
        <v>26</v>
      </c>
      <c r="N8235">
        <v>3</v>
      </c>
      <c r="O8235">
        <v>1</v>
      </c>
      <c r="P8235">
        <v>0</v>
      </c>
      <c r="Q8235">
        <v>0</v>
      </c>
    </row>
    <row r="8236" spans="1:17" x14ac:dyDescent="0.2">
      <c r="A8236" s="121">
        <v>41943</v>
      </c>
      <c r="B8236" t="s">
        <v>406</v>
      </c>
      <c r="C8236" t="s">
        <v>577</v>
      </c>
      <c r="D8236" t="s">
        <v>611</v>
      </c>
      <c r="E8236" t="s">
        <v>612</v>
      </c>
      <c r="F8236" t="s">
        <v>410</v>
      </c>
      <c r="G8236">
        <v>13</v>
      </c>
      <c r="H8236">
        <v>13</v>
      </c>
      <c r="I8236">
        <v>13</v>
      </c>
      <c r="J8236">
        <v>13</v>
      </c>
      <c r="K8236">
        <v>0</v>
      </c>
      <c r="L8236">
        <v>0</v>
      </c>
      <c r="M8236">
        <v>11</v>
      </c>
      <c r="N8236">
        <v>1</v>
      </c>
      <c r="O8236">
        <v>1</v>
      </c>
      <c r="P8236">
        <v>0</v>
      </c>
      <c r="Q8236">
        <v>0</v>
      </c>
    </row>
    <row r="8237" spans="1:17" x14ac:dyDescent="0.2">
      <c r="A8237" s="121">
        <v>41943</v>
      </c>
      <c r="B8237" t="s">
        <v>406</v>
      </c>
      <c r="C8237" t="s">
        <v>577</v>
      </c>
      <c r="D8237" t="s">
        <v>584</v>
      </c>
      <c r="E8237" t="s">
        <v>585</v>
      </c>
      <c r="F8237" t="s">
        <v>410</v>
      </c>
      <c r="G8237">
        <v>247</v>
      </c>
      <c r="H8237">
        <v>247</v>
      </c>
      <c r="I8237">
        <v>247</v>
      </c>
      <c r="J8237">
        <v>247</v>
      </c>
      <c r="K8237">
        <v>0</v>
      </c>
      <c r="L8237">
        <v>0</v>
      </c>
      <c r="M8237">
        <v>239</v>
      </c>
      <c r="N8237">
        <v>7</v>
      </c>
      <c r="O8237">
        <v>1</v>
      </c>
      <c r="P8237">
        <v>0</v>
      </c>
      <c r="Q8237">
        <v>0</v>
      </c>
    </row>
    <row r="8238" spans="1:17" x14ac:dyDescent="0.2">
      <c r="A8238" s="121">
        <v>41943</v>
      </c>
      <c r="B8238" t="s">
        <v>406</v>
      </c>
      <c r="C8238" t="s">
        <v>577</v>
      </c>
      <c r="D8238" t="s">
        <v>586</v>
      </c>
      <c r="E8238" t="s">
        <v>587</v>
      </c>
      <c r="F8238" t="s">
        <v>410</v>
      </c>
      <c r="G8238">
        <v>1122</v>
      </c>
      <c r="H8238">
        <v>1122</v>
      </c>
      <c r="I8238">
        <v>1121</v>
      </c>
      <c r="J8238">
        <v>1121</v>
      </c>
      <c r="K8238">
        <v>0</v>
      </c>
      <c r="L8238">
        <v>1</v>
      </c>
      <c r="M8238">
        <v>1012</v>
      </c>
      <c r="N8238">
        <v>105</v>
      </c>
      <c r="O8238">
        <v>4</v>
      </c>
      <c r="P8238">
        <v>0</v>
      </c>
      <c r="Q8238">
        <v>0</v>
      </c>
    </row>
    <row r="8239" spans="1:17" x14ac:dyDescent="0.2">
      <c r="A8239" s="121">
        <v>41943</v>
      </c>
      <c r="B8239" t="s">
        <v>406</v>
      </c>
      <c r="C8239" t="s">
        <v>577</v>
      </c>
      <c r="D8239" t="s">
        <v>588</v>
      </c>
      <c r="E8239" t="s">
        <v>589</v>
      </c>
      <c r="F8239" t="s">
        <v>410</v>
      </c>
      <c r="G8239">
        <v>253</v>
      </c>
      <c r="H8239">
        <v>253</v>
      </c>
      <c r="I8239">
        <v>253</v>
      </c>
      <c r="J8239">
        <v>253</v>
      </c>
      <c r="K8239">
        <v>0</v>
      </c>
      <c r="L8239">
        <v>0</v>
      </c>
      <c r="M8239">
        <v>238</v>
      </c>
      <c r="N8239">
        <v>14</v>
      </c>
      <c r="O8239">
        <v>1</v>
      </c>
      <c r="P8239">
        <v>0</v>
      </c>
      <c r="Q8239">
        <v>0</v>
      </c>
    </row>
    <row r="8240" spans="1:17" x14ac:dyDescent="0.2">
      <c r="A8240" s="121">
        <v>41943</v>
      </c>
      <c r="B8240" t="s">
        <v>406</v>
      </c>
      <c r="C8240" t="s">
        <v>577</v>
      </c>
      <c r="D8240" t="s">
        <v>613</v>
      </c>
      <c r="E8240" t="s">
        <v>614</v>
      </c>
      <c r="F8240" t="s">
        <v>410</v>
      </c>
      <c r="G8240">
        <v>143</v>
      </c>
      <c r="H8240">
        <v>143</v>
      </c>
      <c r="I8240">
        <v>143</v>
      </c>
      <c r="J8240">
        <v>143</v>
      </c>
      <c r="K8240">
        <v>0</v>
      </c>
      <c r="L8240">
        <v>0</v>
      </c>
      <c r="M8240">
        <v>117</v>
      </c>
      <c r="N8240">
        <v>16</v>
      </c>
      <c r="O8240">
        <v>10</v>
      </c>
      <c r="P8240">
        <v>0</v>
      </c>
      <c r="Q8240">
        <v>0</v>
      </c>
    </row>
    <row r="8241" spans="1:17" x14ac:dyDescent="0.2">
      <c r="A8241" s="121">
        <v>41943</v>
      </c>
      <c r="B8241" t="s">
        <v>406</v>
      </c>
      <c r="C8241" t="s">
        <v>577</v>
      </c>
      <c r="D8241" t="s">
        <v>590</v>
      </c>
      <c r="E8241" t="s">
        <v>591</v>
      </c>
      <c r="F8241" t="s">
        <v>410</v>
      </c>
      <c r="G8241">
        <v>610</v>
      </c>
      <c r="H8241">
        <v>610</v>
      </c>
      <c r="I8241">
        <v>609</v>
      </c>
      <c r="J8241">
        <v>609</v>
      </c>
      <c r="K8241">
        <v>0</v>
      </c>
      <c r="L8241">
        <v>0</v>
      </c>
      <c r="M8241">
        <v>569</v>
      </c>
      <c r="N8241">
        <v>40</v>
      </c>
      <c r="O8241">
        <v>1</v>
      </c>
      <c r="P8241">
        <v>0</v>
      </c>
      <c r="Q8241">
        <v>0</v>
      </c>
    </row>
    <row r="8242" spans="1:17" x14ac:dyDescent="0.2">
      <c r="A8242" s="121">
        <v>41943</v>
      </c>
      <c r="B8242" t="s">
        <v>406</v>
      </c>
      <c r="C8242" t="s">
        <v>577</v>
      </c>
      <c r="D8242" t="s">
        <v>607</v>
      </c>
      <c r="E8242" t="s">
        <v>608</v>
      </c>
      <c r="F8242" t="s">
        <v>410</v>
      </c>
      <c r="G8242">
        <v>176</v>
      </c>
      <c r="H8242">
        <v>176</v>
      </c>
      <c r="I8242">
        <v>175</v>
      </c>
      <c r="J8242">
        <v>175</v>
      </c>
      <c r="K8242">
        <v>0</v>
      </c>
      <c r="L8242">
        <v>0</v>
      </c>
      <c r="M8242">
        <v>158</v>
      </c>
      <c r="N8242">
        <v>16</v>
      </c>
      <c r="O8242">
        <v>2</v>
      </c>
      <c r="P8242">
        <v>0</v>
      </c>
      <c r="Q8242">
        <v>0</v>
      </c>
    </row>
    <row r="8243" spans="1:17" x14ac:dyDescent="0.2">
      <c r="A8243" s="121">
        <v>41943</v>
      </c>
      <c r="B8243" t="s">
        <v>406</v>
      </c>
      <c r="C8243" t="s">
        <v>577</v>
      </c>
      <c r="D8243" t="s">
        <v>592</v>
      </c>
      <c r="E8243" t="s">
        <v>593</v>
      </c>
      <c r="F8243" t="s">
        <v>410</v>
      </c>
      <c r="G8243">
        <v>552</v>
      </c>
      <c r="H8243">
        <v>552</v>
      </c>
      <c r="I8243">
        <v>552</v>
      </c>
      <c r="J8243">
        <v>552</v>
      </c>
      <c r="K8243">
        <v>0</v>
      </c>
      <c r="L8243">
        <v>0</v>
      </c>
      <c r="M8243">
        <v>516</v>
      </c>
      <c r="N8243">
        <v>36</v>
      </c>
      <c r="O8243">
        <v>0</v>
      </c>
      <c r="P8243">
        <v>0</v>
      </c>
      <c r="Q8243">
        <v>0</v>
      </c>
    </row>
    <row r="8244" spans="1:17" x14ac:dyDescent="0.2">
      <c r="A8244" s="121">
        <v>41943</v>
      </c>
      <c r="B8244" t="s">
        <v>406</v>
      </c>
      <c r="C8244" t="s">
        <v>594</v>
      </c>
      <c r="D8244" t="s">
        <v>595</v>
      </c>
      <c r="E8244" t="s">
        <v>596</v>
      </c>
      <c r="F8244" t="s">
        <v>410</v>
      </c>
      <c r="G8244">
        <v>26</v>
      </c>
      <c r="I8244">
        <v>25</v>
      </c>
    </row>
    <row r="8245" spans="1:17" x14ac:dyDescent="0.2">
      <c r="A8245" s="121">
        <v>41943</v>
      </c>
      <c r="B8245" t="s">
        <v>406</v>
      </c>
      <c r="C8245" t="s">
        <v>594</v>
      </c>
      <c r="D8245" t="s">
        <v>597</v>
      </c>
      <c r="E8245" t="s">
        <v>598</v>
      </c>
      <c r="F8245" t="s">
        <v>413</v>
      </c>
      <c r="G8245">
        <v>521</v>
      </c>
      <c r="H8245">
        <v>521</v>
      </c>
      <c r="I8245">
        <v>505</v>
      </c>
      <c r="J8245">
        <v>505</v>
      </c>
      <c r="K8245">
        <v>118</v>
      </c>
      <c r="L8245">
        <v>3</v>
      </c>
      <c r="M8245">
        <v>381</v>
      </c>
      <c r="N8245">
        <v>9</v>
      </c>
      <c r="O8245">
        <v>10</v>
      </c>
      <c r="P8245">
        <v>0</v>
      </c>
      <c r="Q8245">
        <v>0</v>
      </c>
    </row>
    <row r="8246" spans="1:17" x14ac:dyDescent="0.2">
      <c r="A8246" s="121">
        <v>41943</v>
      </c>
      <c r="B8246" t="s">
        <v>406</v>
      </c>
      <c r="C8246" t="s">
        <v>594</v>
      </c>
      <c r="D8246" t="s">
        <v>599</v>
      </c>
      <c r="E8246" t="s">
        <v>600</v>
      </c>
      <c r="F8246" t="s">
        <v>410</v>
      </c>
      <c r="G8246">
        <v>84</v>
      </c>
      <c r="I8246">
        <v>84</v>
      </c>
    </row>
    <row r="8247" spans="1:17" x14ac:dyDescent="0.2">
      <c r="A8247" s="121">
        <v>41973</v>
      </c>
      <c r="B8247" t="s">
        <v>406</v>
      </c>
      <c r="C8247" t="s">
        <v>407</v>
      </c>
      <c r="D8247" t="s">
        <v>408</v>
      </c>
      <c r="E8247" t="s">
        <v>409</v>
      </c>
      <c r="F8247" t="s">
        <v>410</v>
      </c>
      <c r="G8247">
        <v>141</v>
      </c>
      <c r="I8247">
        <v>141</v>
      </c>
    </row>
    <row r="8248" spans="1:17" x14ac:dyDescent="0.2">
      <c r="A8248" s="121">
        <v>41973</v>
      </c>
      <c r="B8248" t="s">
        <v>406</v>
      </c>
      <c r="C8248" t="s">
        <v>407</v>
      </c>
      <c r="D8248" t="s">
        <v>601</v>
      </c>
      <c r="E8248" t="s">
        <v>602</v>
      </c>
      <c r="F8248" t="s">
        <v>410</v>
      </c>
      <c r="G8248">
        <v>69</v>
      </c>
      <c r="I8248">
        <v>69</v>
      </c>
    </row>
    <row r="8249" spans="1:17" x14ac:dyDescent="0.2">
      <c r="A8249" s="121">
        <v>41973</v>
      </c>
      <c r="B8249" t="s">
        <v>406</v>
      </c>
      <c r="C8249" t="s">
        <v>407</v>
      </c>
      <c r="D8249" t="s">
        <v>411</v>
      </c>
      <c r="E8249" t="s">
        <v>412</v>
      </c>
      <c r="F8249" t="s">
        <v>413</v>
      </c>
      <c r="G8249">
        <v>5943</v>
      </c>
      <c r="H8249">
        <v>5943</v>
      </c>
      <c r="I8249">
        <v>5292</v>
      </c>
      <c r="J8249">
        <v>5292</v>
      </c>
      <c r="K8249">
        <v>2547</v>
      </c>
      <c r="L8249">
        <v>12</v>
      </c>
      <c r="M8249">
        <v>3068</v>
      </c>
      <c r="N8249">
        <v>97</v>
      </c>
      <c r="O8249">
        <v>219</v>
      </c>
      <c r="P8249">
        <v>72</v>
      </c>
      <c r="Q8249">
        <v>5</v>
      </c>
    </row>
    <row r="8250" spans="1:17" x14ac:dyDescent="0.2">
      <c r="A8250" s="121">
        <v>41973</v>
      </c>
      <c r="B8250" t="s">
        <v>406</v>
      </c>
      <c r="C8250" t="s">
        <v>407</v>
      </c>
      <c r="D8250" t="s">
        <v>416</v>
      </c>
      <c r="E8250" t="s">
        <v>417</v>
      </c>
      <c r="F8250" t="s">
        <v>413</v>
      </c>
      <c r="G8250">
        <v>3439</v>
      </c>
      <c r="H8250">
        <v>3439</v>
      </c>
      <c r="I8250">
        <v>3253</v>
      </c>
      <c r="J8250">
        <v>3253</v>
      </c>
      <c r="K8250">
        <v>1341</v>
      </c>
      <c r="L8250">
        <v>1</v>
      </c>
      <c r="M8250">
        <v>1939</v>
      </c>
      <c r="N8250">
        <v>117</v>
      </c>
      <c r="O8250">
        <v>41</v>
      </c>
      <c r="P8250">
        <v>9</v>
      </c>
      <c r="Q8250">
        <v>1</v>
      </c>
    </row>
    <row r="8251" spans="1:17" x14ac:dyDescent="0.2">
      <c r="A8251" s="121">
        <v>41973</v>
      </c>
      <c r="B8251" t="s">
        <v>406</v>
      </c>
      <c r="C8251" t="s">
        <v>407</v>
      </c>
      <c r="D8251" t="s">
        <v>618</v>
      </c>
      <c r="E8251" t="s">
        <v>619</v>
      </c>
      <c r="F8251" t="s">
        <v>410</v>
      </c>
      <c r="G8251">
        <v>51</v>
      </c>
      <c r="I8251">
        <v>51</v>
      </c>
    </row>
    <row r="8252" spans="1:17" x14ac:dyDescent="0.2">
      <c r="A8252" s="121">
        <v>41973</v>
      </c>
      <c r="B8252" t="s">
        <v>406</v>
      </c>
      <c r="C8252" t="s">
        <v>418</v>
      </c>
      <c r="D8252" t="s">
        <v>419</v>
      </c>
      <c r="E8252" t="s">
        <v>420</v>
      </c>
      <c r="F8252" t="s">
        <v>410</v>
      </c>
      <c r="G8252">
        <v>8</v>
      </c>
      <c r="I8252">
        <v>8</v>
      </c>
    </row>
    <row r="8253" spans="1:17" x14ac:dyDescent="0.2">
      <c r="A8253" s="121">
        <v>41973</v>
      </c>
      <c r="B8253" t="s">
        <v>406</v>
      </c>
      <c r="C8253" t="s">
        <v>418</v>
      </c>
      <c r="D8253" t="s">
        <v>421</v>
      </c>
      <c r="E8253" t="s">
        <v>422</v>
      </c>
      <c r="F8253" t="s">
        <v>410</v>
      </c>
      <c r="G8253">
        <v>76</v>
      </c>
      <c r="I8253">
        <v>76</v>
      </c>
    </row>
    <row r="8254" spans="1:17" x14ac:dyDescent="0.2">
      <c r="A8254" s="121">
        <v>41973</v>
      </c>
      <c r="B8254" t="s">
        <v>406</v>
      </c>
      <c r="C8254" t="s">
        <v>418</v>
      </c>
      <c r="D8254" t="s">
        <v>423</v>
      </c>
      <c r="E8254" t="s">
        <v>424</v>
      </c>
      <c r="F8254" t="s">
        <v>410</v>
      </c>
      <c r="G8254">
        <v>8</v>
      </c>
      <c r="I8254">
        <v>8</v>
      </c>
    </row>
    <row r="8255" spans="1:17" x14ac:dyDescent="0.2">
      <c r="A8255" s="121">
        <v>41973</v>
      </c>
      <c r="B8255" t="s">
        <v>406</v>
      </c>
      <c r="C8255" t="s">
        <v>418</v>
      </c>
      <c r="D8255" t="s">
        <v>425</v>
      </c>
      <c r="E8255" t="s">
        <v>426</v>
      </c>
      <c r="F8255" t="s">
        <v>410</v>
      </c>
      <c r="G8255">
        <v>31</v>
      </c>
      <c r="I8255">
        <v>31</v>
      </c>
    </row>
    <row r="8256" spans="1:17" x14ac:dyDescent="0.2">
      <c r="A8256" s="121">
        <v>41973</v>
      </c>
      <c r="B8256" t="s">
        <v>406</v>
      </c>
      <c r="C8256" t="s">
        <v>418</v>
      </c>
      <c r="D8256" t="s">
        <v>427</v>
      </c>
      <c r="E8256" t="s">
        <v>428</v>
      </c>
      <c r="F8256" t="s">
        <v>413</v>
      </c>
      <c r="G8256">
        <v>1954</v>
      </c>
      <c r="H8256">
        <v>1954</v>
      </c>
      <c r="I8256">
        <v>1908</v>
      </c>
      <c r="J8256">
        <v>1908</v>
      </c>
      <c r="K8256">
        <v>694</v>
      </c>
      <c r="L8256">
        <v>6</v>
      </c>
      <c r="M8256">
        <v>1119</v>
      </c>
      <c r="N8256">
        <v>122</v>
      </c>
      <c r="O8256">
        <v>13</v>
      </c>
      <c r="P8256">
        <v>3</v>
      </c>
      <c r="Q8256">
        <v>0</v>
      </c>
    </row>
    <row r="8257" spans="1:17" x14ac:dyDescent="0.2">
      <c r="A8257" s="121">
        <v>41973</v>
      </c>
      <c r="B8257" t="s">
        <v>406</v>
      </c>
      <c r="C8257" t="s">
        <v>429</v>
      </c>
      <c r="D8257" t="s">
        <v>430</v>
      </c>
      <c r="E8257" t="s">
        <v>431</v>
      </c>
      <c r="F8257" t="s">
        <v>410</v>
      </c>
      <c r="G8257">
        <v>14</v>
      </c>
      <c r="I8257">
        <v>14</v>
      </c>
    </row>
    <row r="8258" spans="1:17" x14ac:dyDescent="0.2">
      <c r="A8258" s="121">
        <v>41973</v>
      </c>
      <c r="B8258" t="s">
        <v>406</v>
      </c>
      <c r="C8258" t="s">
        <v>429</v>
      </c>
      <c r="D8258" t="s">
        <v>432</v>
      </c>
      <c r="E8258" t="s">
        <v>433</v>
      </c>
      <c r="F8258" t="s">
        <v>410</v>
      </c>
      <c r="G8258">
        <v>36</v>
      </c>
      <c r="I8258">
        <v>36</v>
      </c>
    </row>
    <row r="8259" spans="1:17" x14ac:dyDescent="0.2">
      <c r="A8259" s="121">
        <v>41973</v>
      </c>
      <c r="B8259" t="s">
        <v>406</v>
      </c>
      <c r="C8259" t="s">
        <v>429</v>
      </c>
      <c r="D8259" t="s">
        <v>434</v>
      </c>
      <c r="E8259" t="s">
        <v>435</v>
      </c>
      <c r="F8259" t="s">
        <v>410</v>
      </c>
      <c r="G8259">
        <v>8</v>
      </c>
      <c r="I8259">
        <v>8</v>
      </c>
    </row>
    <row r="8260" spans="1:17" x14ac:dyDescent="0.2">
      <c r="A8260" s="121">
        <v>41973</v>
      </c>
      <c r="B8260" t="s">
        <v>406</v>
      </c>
      <c r="C8260" t="s">
        <v>429</v>
      </c>
      <c r="D8260" t="s">
        <v>436</v>
      </c>
      <c r="E8260" t="s">
        <v>437</v>
      </c>
      <c r="F8260" t="s">
        <v>410</v>
      </c>
      <c r="G8260">
        <v>9</v>
      </c>
      <c r="H8260">
        <v>9</v>
      </c>
      <c r="I8260">
        <v>9</v>
      </c>
      <c r="J8260">
        <v>9</v>
      </c>
      <c r="K8260">
        <v>0</v>
      </c>
      <c r="L8260">
        <v>0</v>
      </c>
      <c r="M8260">
        <v>6</v>
      </c>
      <c r="N8260">
        <v>3</v>
      </c>
      <c r="O8260">
        <v>0</v>
      </c>
      <c r="P8260">
        <v>0</v>
      </c>
      <c r="Q8260">
        <v>0</v>
      </c>
    </row>
    <row r="8261" spans="1:17" x14ac:dyDescent="0.2">
      <c r="A8261" s="121">
        <v>41973</v>
      </c>
      <c r="B8261" t="s">
        <v>406</v>
      </c>
      <c r="C8261" t="s">
        <v>429</v>
      </c>
      <c r="D8261" t="s">
        <v>438</v>
      </c>
      <c r="E8261" t="s">
        <v>439</v>
      </c>
      <c r="F8261" t="s">
        <v>413</v>
      </c>
      <c r="G8261">
        <v>878</v>
      </c>
      <c r="H8261">
        <v>878</v>
      </c>
      <c r="I8261">
        <v>864</v>
      </c>
      <c r="J8261">
        <v>864</v>
      </c>
      <c r="K8261">
        <v>101</v>
      </c>
      <c r="L8261">
        <v>1</v>
      </c>
      <c r="M8261">
        <v>756</v>
      </c>
      <c r="N8261">
        <v>20</v>
      </c>
      <c r="O8261">
        <v>0</v>
      </c>
      <c r="P8261">
        <v>0</v>
      </c>
      <c r="Q8261">
        <v>0</v>
      </c>
    </row>
    <row r="8262" spans="1:17" x14ac:dyDescent="0.2">
      <c r="A8262" s="121">
        <v>41973</v>
      </c>
      <c r="B8262" t="s">
        <v>406</v>
      </c>
      <c r="C8262" t="s">
        <v>429</v>
      </c>
      <c r="D8262" t="s">
        <v>440</v>
      </c>
      <c r="E8262" t="s">
        <v>441</v>
      </c>
      <c r="F8262" t="s">
        <v>413</v>
      </c>
      <c r="G8262">
        <v>2704</v>
      </c>
      <c r="H8262">
        <v>2704</v>
      </c>
      <c r="I8262">
        <v>2625</v>
      </c>
      <c r="J8262">
        <v>2625</v>
      </c>
      <c r="K8262">
        <v>999</v>
      </c>
      <c r="L8262">
        <v>2</v>
      </c>
      <c r="M8262">
        <v>1640</v>
      </c>
      <c r="N8262">
        <v>63</v>
      </c>
      <c r="O8262">
        <v>0</v>
      </c>
      <c r="P8262">
        <v>0</v>
      </c>
      <c r="Q8262">
        <v>0</v>
      </c>
    </row>
    <row r="8263" spans="1:17" x14ac:dyDescent="0.2">
      <c r="A8263" s="121">
        <v>41973</v>
      </c>
      <c r="B8263" t="s">
        <v>406</v>
      </c>
      <c r="C8263" t="s">
        <v>442</v>
      </c>
      <c r="D8263" t="s">
        <v>443</v>
      </c>
      <c r="E8263" t="s">
        <v>444</v>
      </c>
      <c r="F8263" t="s">
        <v>413</v>
      </c>
      <c r="G8263">
        <v>4934</v>
      </c>
      <c r="H8263">
        <v>4934</v>
      </c>
      <c r="I8263">
        <v>4605</v>
      </c>
      <c r="J8263">
        <v>4605</v>
      </c>
      <c r="K8263">
        <v>1342</v>
      </c>
      <c r="L8263">
        <v>7</v>
      </c>
      <c r="M8263">
        <v>3308</v>
      </c>
      <c r="N8263">
        <v>144</v>
      </c>
      <c r="O8263">
        <v>133</v>
      </c>
      <c r="P8263">
        <v>24</v>
      </c>
      <c r="Q8263">
        <v>0</v>
      </c>
    </row>
    <row r="8264" spans="1:17" x14ac:dyDescent="0.2">
      <c r="A8264" s="121">
        <v>41973</v>
      </c>
      <c r="B8264" t="s">
        <v>406</v>
      </c>
      <c r="C8264" t="s">
        <v>442</v>
      </c>
      <c r="D8264" t="s">
        <v>445</v>
      </c>
      <c r="E8264" t="s">
        <v>446</v>
      </c>
      <c r="F8264" t="s">
        <v>410</v>
      </c>
      <c r="G8264">
        <v>98</v>
      </c>
      <c r="I8264">
        <v>98</v>
      </c>
    </row>
    <row r="8265" spans="1:17" x14ac:dyDescent="0.2">
      <c r="A8265" s="121">
        <v>41973</v>
      </c>
      <c r="B8265" t="s">
        <v>406</v>
      </c>
      <c r="C8265" t="s">
        <v>442</v>
      </c>
      <c r="D8265" t="s">
        <v>447</v>
      </c>
      <c r="E8265" t="s">
        <v>448</v>
      </c>
      <c r="F8265" t="s">
        <v>410</v>
      </c>
      <c r="G8265">
        <v>280</v>
      </c>
      <c r="I8265">
        <v>280</v>
      </c>
    </row>
    <row r="8266" spans="1:17" x14ac:dyDescent="0.2">
      <c r="A8266" s="121">
        <v>41973</v>
      </c>
      <c r="B8266" t="s">
        <v>406</v>
      </c>
      <c r="C8266" t="s">
        <v>442</v>
      </c>
      <c r="D8266" t="s">
        <v>449</v>
      </c>
      <c r="E8266" t="s">
        <v>624</v>
      </c>
      <c r="F8266" t="s">
        <v>410</v>
      </c>
      <c r="G8266">
        <v>1503</v>
      </c>
      <c r="H8266">
        <v>1503</v>
      </c>
      <c r="I8266">
        <v>1502</v>
      </c>
      <c r="J8266">
        <v>1502</v>
      </c>
      <c r="K8266">
        <v>11</v>
      </c>
      <c r="L8266">
        <v>0</v>
      </c>
      <c r="M8266">
        <v>1314</v>
      </c>
      <c r="N8266">
        <v>174</v>
      </c>
      <c r="O8266">
        <v>4</v>
      </c>
      <c r="P8266">
        <v>0</v>
      </c>
      <c r="Q8266">
        <v>0</v>
      </c>
    </row>
    <row r="8267" spans="1:17" x14ac:dyDescent="0.2">
      <c r="A8267" s="121">
        <v>41973</v>
      </c>
      <c r="B8267" t="s">
        <v>406</v>
      </c>
      <c r="C8267" t="s">
        <v>451</v>
      </c>
      <c r="D8267" t="s">
        <v>454</v>
      </c>
      <c r="E8267" t="s">
        <v>621</v>
      </c>
      <c r="F8267" t="s">
        <v>410</v>
      </c>
      <c r="G8267">
        <v>1090</v>
      </c>
      <c r="H8267">
        <v>1090</v>
      </c>
      <c r="I8267">
        <v>1090</v>
      </c>
      <c r="J8267">
        <v>1090</v>
      </c>
      <c r="K8267">
        <v>3</v>
      </c>
      <c r="L8267">
        <v>0</v>
      </c>
      <c r="M8267">
        <v>891</v>
      </c>
      <c r="N8267">
        <v>61</v>
      </c>
      <c r="O8267">
        <v>135</v>
      </c>
      <c r="P8267">
        <v>0</v>
      </c>
      <c r="Q8267">
        <v>0</v>
      </c>
    </row>
    <row r="8268" spans="1:17" x14ac:dyDescent="0.2">
      <c r="A8268" s="121">
        <v>41973</v>
      </c>
      <c r="B8268" t="s">
        <v>406</v>
      </c>
      <c r="C8268" t="s">
        <v>451</v>
      </c>
      <c r="D8268" t="s">
        <v>622</v>
      </c>
      <c r="E8268" t="s">
        <v>623</v>
      </c>
      <c r="F8268" t="s">
        <v>413</v>
      </c>
      <c r="G8268">
        <v>4914</v>
      </c>
      <c r="H8268">
        <v>4914</v>
      </c>
      <c r="I8268">
        <v>4456</v>
      </c>
      <c r="J8268">
        <v>4456</v>
      </c>
      <c r="K8268">
        <v>1212</v>
      </c>
      <c r="L8268">
        <v>10</v>
      </c>
      <c r="M8268">
        <v>3279</v>
      </c>
      <c r="N8268">
        <v>40</v>
      </c>
      <c r="O8268">
        <v>373</v>
      </c>
      <c r="P8268">
        <v>29</v>
      </c>
      <c r="Q8268">
        <v>0</v>
      </c>
    </row>
    <row r="8269" spans="1:17" x14ac:dyDescent="0.2">
      <c r="A8269" s="121">
        <v>41973</v>
      </c>
      <c r="B8269" t="s">
        <v>406</v>
      </c>
      <c r="C8269" t="s">
        <v>456</v>
      </c>
      <c r="D8269" t="s">
        <v>457</v>
      </c>
      <c r="E8269" t="s">
        <v>458</v>
      </c>
      <c r="F8269" t="s">
        <v>413</v>
      </c>
      <c r="G8269">
        <v>4659</v>
      </c>
      <c r="H8269">
        <v>4659</v>
      </c>
      <c r="I8269">
        <v>4248</v>
      </c>
      <c r="J8269">
        <v>4248</v>
      </c>
      <c r="K8269">
        <v>1194</v>
      </c>
      <c r="L8269">
        <v>12</v>
      </c>
      <c r="M8269">
        <v>3100</v>
      </c>
      <c r="N8269">
        <v>20</v>
      </c>
      <c r="O8269">
        <v>333</v>
      </c>
      <c r="P8269">
        <v>36</v>
      </c>
      <c r="Q8269">
        <v>2</v>
      </c>
    </row>
    <row r="8270" spans="1:17" x14ac:dyDescent="0.2">
      <c r="A8270" s="121">
        <v>41973</v>
      </c>
      <c r="B8270" t="s">
        <v>406</v>
      </c>
      <c r="C8270" t="s">
        <v>456</v>
      </c>
      <c r="D8270" t="s">
        <v>459</v>
      </c>
      <c r="E8270" t="s">
        <v>460</v>
      </c>
      <c r="F8270" t="s">
        <v>413</v>
      </c>
      <c r="G8270">
        <v>1420</v>
      </c>
      <c r="H8270">
        <v>1420</v>
      </c>
      <c r="I8270">
        <v>1393</v>
      </c>
      <c r="J8270">
        <v>1393</v>
      </c>
      <c r="K8270">
        <v>343</v>
      </c>
      <c r="L8270">
        <v>0</v>
      </c>
      <c r="M8270">
        <v>1075</v>
      </c>
      <c r="N8270">
        <v>0</v>
      </c>
      <c r="O8270">
        <v>2</v>
      </c>
      <c r="P8270">
        <v>1</v>
      </c>
      <c r="Q8270">
        <v>0</v>
      </c>
    </row>
    <row r="8271" spans="1:17" x14ac:dyDescent="0.2">
      <c r="A8271" s="121">
        <v>41973</v>
      </c>
      <c r="B8271" t="s">
        <v>406</v>
      </c>
      <c r="C8271" t="s">
        <v>456</v>
      </c>
      <c r="D8271" t="s">
        <v>461</v>
      </c>
      <c r="E8271" t="s">
        <v>462</v>
      </c>
      <c r="F8271" t="s">
        <v>410</v>
      </c>
      <c r="G8271">
        <v>65</v>
      </c>
      <c r="I8271">
        <v>65</v>
      </c>
    </row>
    <row r="8272" spans="1:17" x14ac:dyDescent="0.2">
      <c r="A8272" s="121">
        <v>41973</v>
      </c>
      <c r="B8272" t="s">
        <v>406</v>
      </c>
      <c r="C8272" t="s">
        <v>456</v>
      </c>
      <c r="D8272" t="s">
        <v>463</v>
      </c>
      <c r="E8272" t="s">
        <v>464</v>
      </c>
      <c r="F8272" t="s">
        <v>410</v>
      </c>
      <c r="G8272">
        <v>10</v>
      </c>
      <c r="I8272">
        <v>10</v>
      </c>
    </row>
    <row r="8273" spans="1:17" x14ac:dyDescent="0.2">
      <c r="A8273" s="121">
        <v>41973</v>
      </c>
      <c r="B8273" t="s">
        <v>406</v>
      </c>
      <c r="C8273" t="s">
        <v>456</v>
      </c>
      <c r="D8273" t="s">
        <v>465</v>
      </c>
      <c r="E8273" t="s">
        <v>466</v>
      </c>
      <c r="F8273" t="s">
        <v>410</v>
      </c>
      <c r="G8273">
        <v>24</v>
      </c>
      <c r="I8273">
        <v>24</v>
      </c>
    </row>
    <row r="8274" spans="1:17" x14ac:dyDescent="0.2">
      <c r="A8274" s="121">
        <v>41973</v>
      </c>
      <c r="B8274" t="s">
        <v>406</v>
      </c>
      <c r="C8274" t="s">
        <v>456</v>
      </c>
      <c r="D8274" t="s">
        <v>467</v>
      </c>
      <c r="E8274" t="s">
        <v>468</v>
      </c>
      <c r="F8274" t="s">
        <v>410</v>
      </c>
      <c r="G8274">
        <v>1294</v>
      </c>
      <c r="I8274">
        <v>1291</v>
      </c>
    </row>
    <row r="8275" spans="1:17" x14ac:dyDescent="0.2">
      <c r="A8275" s="121">
        <v>41973</v>
      </c>
      <c r="B8275" t="s">
        <v>406</v>
      </c>
      <c r="C8275" t="s">
        <v>456</v>
      </c>
      <c r="D8275" t="s">
        <v>469</v>
      </c>
      <c r="E8275" t="s">
        <v>470</v>
      </c>
      <c r="F8275" t="s">
        <v>410</v>
      </c>
      <c r="G8275">
        <v>742</v>
      </c>
      <c r="I8275">
        <v>738</v>
      </c>
    </row>
    <row r="8276" spans="1:17" x14ac:dyDescent="0.2">
      <c r="A8276" s="121">
        <v>41973</v>
      </c>
      <c r="B8276" t="s">
        <v>406</v>
      </c>
      <c r="C8276" t="s">
        <v>456</v>
      </c>
      <c r="D8276" t="s">
        <v>471</v>
      </c>
      <c r="E8276" t="s">
        <v>472</v>
      </c>
      <c r="F8276" t="s">
        <v>410</v>
      </c>
      <c r="G8276">
        <v>261</v>
      </c>
      <c r="I8276">
        <v>261</v>
      </c>
    </row>
    <row r="8277" spans="1:17" x14ac:dyDescent="0.2">
      <c r="A8277" s="121">
        <v>41973</v>
      </c>
      <c r="B8277" t="s">
        <v>406</v>
      </c>
      <c r="C8277" t="s">
        <v>456</v>
      </c>
      <c r="D8277" t="s">
        <v>473</v>
      </c>
      <c r="E8277" t="s">
        <v>474</v>
      </c>
      <c r="F8277" t="s">
        <v>410</v>
      </c>
      <c r="G8277">
        <v>177</v>
      </c>
      <c r="I8277">
        <v>177</v>
      </c>
    </row>
    <row r="8278" spans="1:17" x14ac:dyDescent="0.2">
      <c r="A8278" s="121">
        <v>41973</v>
      </c>
      <c r="B8278" t="s">
        <v>406</v>
      </c>
      <c r="C8278" t="s">
        <v>456</v>
      </c>
      <c r="D8278" t="s">
        <v>475</v>
      </c>
      <c r="E8278" t="s">
        <v>476</v>
      </c>
      <c r="F8278" t="s">
        <v>410</v>
      </c>
      <c r="G8278">
        <v>245</v>
      </c>
      <c r="I8278">
        <v>242</v>
      </c>
    </row>
    <row r="8279" spans="1:17" x14ac:dyDescent="0.2">
      <c r="A8279" s="121">
        <v>41973</v>
      </c>
      <c r="B8279" t="s">
        <v>406</v>
      </c>
      <c r="C8279" t="s">
        <v>456</v>
      </c>
      <c r="D8279" t="s">
        <v>477</v>
      </c>
      <c r="E8279" t="s">
        <v>478</v>
      </c>
      <c r="F8279" t="s">
        <v>413</v>
      </c>
      <c r="G8279">
        <v>1781</v>
      </c>
      <c r="H8279">
        <v>1781</v>
      </c>
      <c r="I8279">
        <v>1680</v>
      </c>
      <c r="J8279">
        <v>1680</v>
      </c>
      <c r="K8279">
        <v>372</v>
      </c>
      <c r="L8279">
        <v>4</v>
      </c>
      <c r="M8279">
        <v>1392</v>
      </c>
      <c r="N8279">
        <v>13</v>
      </c>
      <c r="O8279">
        <v>0</v>
      </c>
      <c r="P8279">
        <v>9</v>
      </c>
      <c r="Q8279">
        <v>0</v>
      </c>
    </row>
    <row r="8280" spans="1:17" x14ac:dyDescent="0.2">
      <c r="A8280" s="121">
        <v>41973</v>
      </c>
      <c r="B8280" t="s">
        <v>406</v>
      </c>
      <c r="C8280" t="s">
        <v>456</v>
      </c>
      <c r="D8280" t="s">
        <v>479</v>
      </c>
      <c r="E8280" t="s">
        <v>480</v>
      </c>
      <c r="F8280" t="s">
        <v>410</v>
      </c>
      <c r="G8280">
        <v>60</v>
      </c>
      <c r="I8280">
        <v>60</v>
      </c>
    </row>
    <row r="8281" spans="1:17" x14ac:dyDescent="0.2">
      <c r="A8281" s="121">
        <v>41973</v>
      </c>
      <c r="B8281" t="s">
        <v>406</v>
      </c>
      <c r="C8281" t="s">
        <v>456</v>
      </c>
      <c r="D8281" t="s">
        <v>481</v>
      </c>
      <c r="E8281" t="s">
        <v>482</v>
      </c>
      <c r="F8281" t="s">
        <v>410</v>
      </c>
      <c r="G8281">
        <v>19</v>
      </c>
      <c r="I8281">
        <v>19</v>
      </c>
    </row>
    <row r="8282" spans="1:17" x14ac:dyDescent="0.2">
      <c r="A8282" s="121">
        <v>41973</v>
      </c>
      <c r="B8282" t="s">
        <v>406</v>
      </c>
      <c r="C8282" t="s">
        <v>456</v>
      </c>
      <c r="D8282" t="s">
        <v>483</v>
      </c>
      <c r="E8282" t="s">
        <v>484</v>
      </c>
      <c r="F8282" t="s">
        <v>410</v>
      </c>
      <c r="G8282">
        <v>62</v>
      </c>
      <c r="I8282">
        <v>62</v>
      </c>
    </row>
    <row r="8283" spans="1:17" x14ac:dyDescent="0.2">
      <c r="A8283" s="121">
        <v>41973</v>
      </c>
      <c r="B8283" t="s">
        <v>406</v>
      </c>
      <c r="C8283" t="s">
        <v>456</v>
      </c>
      <c r="D8283" t="s">
        <v>487</v>
      </c>
      <c r="E8283" t="s">
        <v>488</v>
      </c>
      <c r="F8283" t="s">
        <v>410</v>
      </c>
      <c r="G8283">
        <v>26</v>
      </c>
      <c r="I8283">
        <v>26</v>
      </c>
    </row>
    <row r="8284" spans="1:17" x14ac:dyDescent="0.2">
      <c r="A8284" s="121">
        <v>41973</v>
      </c>
      <c r="B8284" t="s">
        <v>406</v>
      </c>
      <c r="C8284" t="s">
        <v>456</v>
      </c>
      <c r="D8284" t="s">
        <v>489</v>
      </c>
      <c r="E8284" t="s">
        <v>490</v>
      </c>
      <c r="F8284" t="s">
        <v>410</v>
      </c>
      <c r="G8284">
        <v>96</v>
      </c>
      <c r="I8284">
        <v>96</v>
      </c>
    </row>
    <row r="8285" spans="1:17" x14ac:dyDescent="0.2">
      <c r="A8285" s="121">
        <v>41973</v>
      </c>
      <c r="B8285" t="s">
        <v>406</v>
      </c>
      <c r="C8285" t="s">
        <v>456</v>
      </c>
      <c r="D8285" t="s">
        <v>628</v>
      </c>
      <c r="E8285" t="s">
        <v>629</v>
      </c>
      <c r="F8285" t="s">
        <v>410</v>
      </c>
      <c r="G8285">
        <v>91</v>
      </c>
      <c r="I8285">
        <v>91</v>
      </c>
    </row>
    <row r="8286" spans="1:17" x14ac:dyDescent="0.2">
      <c r="A8286" s="121">
        <v>41973</v>
      </c>
      <c r="B8286" t="s">
        <v>406</v>
      </c>
      <c r="C8286" t="s">
        <v>491</v>
      </c>
      <c r="D8286" t="s">
        <v>492</v>
      </c>
      <c r="E8286" t="s">
        <v>493</v>
      </c>
      <c r="F8286" t="s">
        <v>410</v>
      </c>
      <c r="G8286">
        <v>1172</v>
      </c>
      <c r="H8286">
        <v>1172</v>
      </c>
      <c r="I8286">
        <v>1119</v>
      </c>
      <c r="J8286">
        <v>1119</v>
      </c>
      <c r="K8286">
        <v>211</v>
      </c>
      <c r="L8286">
        <v>1</v>
      </c>
      <c r="M8286">
        <v>875</v>
      </c>
      <c r="N8286">
        <v>82</v>
      </c>
      <c r="O8286">
        <v>3</v>
      </c>
      <c r="P8286">
        <v>1</v>
      </c>
      <c r="Q8286">
        <v>0</v>
      </c>
    </row>
    <row r="8287" spans="1:17" x14ac:dyDescent="0.2">
      <c r="A8287" s="121">
        <v>41973</v>
      </c>
      <c r="B8287" t="s">
        <v>406</v>
      </c>
      <c r="C8287" t="s">
        <v>491</v>
      </c>
      <c r="D8287" t="s">
        <v>494</v>
      </c>
      <c r="E8287" t="s">
        <v>495</v>
      </c>
      <c r="F8287" t="s">
        <v>413</v>
      </c>
      <c r="G8287">
        <v>2697</v>
      </c>
      <c r="H8287">
        <v>2697</v>
      </c>
      <c r="I8287">
        <v>2403</v>
      </c>
      <c r="J8287">
        <v>2403</v>
      </c>
      <c r="K8287">
        <v>796</v>
      </c>
      <c r="L8287">
        <v>4</v>
      </c>
      <c r="M8287">
        <v>1730</v>
      </c>
      <c r="N8287">
        <v>49</v>
      </c>
      <c r="O8287">
        <v>118</v>
      </c>
      <c r="P8287">
        <v>16</v>
      </c>
      <c r="Q8287">
        <v>0</v>
      </c>
    </row>
    <row r="8288" spans="1:17" x14ac:dyDescent="0.2">
      <c r="A8288" s="121">
        <v>41973</v>
      </c>
      <c r="B8288" t="s">
        <v>406</v>
      </c>
      <c r="C8288" t="s">
        <v>491</v>
      </c>
      <c r="D8288" t="s">
        <v>496</v>
      </c>
      <c r="E8288" t="s">
        <v>497</v>
      </c>
      <c r="F8288" t="s">
        <v>413</v>
      </c>
      <c r="G8288">
        <v>5605</v>
      </c>
      <c r="H8288">
        <v>5605</v>
      </c>
      <c r="I8288">
        <v>4667</v>
      </c>
      <c r="J8288">
        <v>4667</v>
      </c>
      <c r="K8288">
        <v>1977</v>
      </c>
      <c r="L8288">
        <v>16</v>
      </c>
      <c r="M8288">
        <v>3347</v>
      </c>
      <c r="N8288">
        <v>113</v>
      </c>
      <c r="O8288">
        <v>152</v>
      </c>
      <c r="P8288">
        <v>135</v>
      </c>
      <c r="Q8288">
        <v>1</v>
      </c>
    </row>
    <row r="8289" spans="1:17" x14ac:dyDescent="0.2">
      <c r="A8289" s="121">
        <v>41973</v>
      </c>
      <c r="B8289" t="s">
        <v>406</v>
      </c>
      <c r="C8289" t="s">
        <v>491</v>
      </c>
      <c r="D8289" t="s">
        <v>498</v>
      </c>
      <c r="E8289" t="s">
        <v>499</v>
      </c>
      <c r="F8289" t="s">
        <v>413</v>
      </c>
      <c r="G8289">
        <v>6850</v>
      </c>
      <c r="H8289">
        <v>6850</v>
      </c>
      <c r="I8289">
        <v>5964</v>
      </c>
      <c r="J8289">
        <v>5964</v>
      </c>
      <c r="K8289">
        <v>2208</v>
      </c>
      <c r="L8289">
        <v>21</v>
      </c>
      <c r="M8289">
        <v>4239</v>
      </c>
      <c r="N8289">
        <v>85</v>
      </c>
      <c r="O8289">
        <v>297</v>
      </c>
      <c r="P8289">
        <v>38</v>
      </c>
      <c r="Q8289">
        <v>0</v>
      </c>
    </row>
    <row r="8290" spans="1:17" x14ac:dyDescent="0.2">
      <c r="A8290" s="121">
        <v>41973</v>
      </c>
      <c r="B8290" t="s">
        <v>406</v>
      </c>
      <c r="C8290" t="s">
        <v>491</v>
      </c>
      <c r="D8290" t="s">
        <v>500</v>
      </c>
      <c r="E8290" t="s">
        <v>620</v>
      </c>
      <c r="F8290" t="s">
        <v>410</v>
      </c>
      <c r="G8290">
        <v>1296</v>
      </c>
      <c r="H8290">
        <v>1296</v>
      </c>
      <c r="I8290">
        <v>1296</v>
      </c>
      <c r="J8290">
        <v>1296</v>
      </c>
      <c r="K8290">
        <v>0</v>
      </c>
      <c r="L8290">
        <v>1</v>
      </c>
      <c r="M8290">
        <v>1209</v>
      </c>
      <c r="N8290">
        <v>70</v>
      </c>
      <c r="O8290">
        <v>16</v>
      </c>
      <c r="P8290">
        <v>0</v>
      </c>
      <c r="Q8290">
        <v>0</v>
      </c>
    </row>
    <row r="8291" spans="1:17" x14ac:dyDescent="0.2">
      <c r="A8291" s="121">
        <v>41973</v>
      </c>
      <c r="B8291" t="s">
        <v>406</v>
      </c>
      <c r="C8291" t="s">
        <v>491</v>
      </c>
      <c r="D8291" t="s">
        <v>502</v>
      </c>
      <c r="E8291" t="s">
        <v>615</v>
      </c>
      <c r="F8291" t="s">
        <v>410</v>
      </c>
      <c r="G8291">
        <v>1906</v>
      </c>
      <c r="H8291">
        <v>1906</v>
      </c>
      <c r="I8291">
        <v>1906</v>
      </c>
      <c r="J8291">
        <v>1906</v>
      </c>
      <c r="K8291">
        <v>4</v>
      </c>
      <c r="L8291">
        <v>1</v>
      </c>
      <c r="M8291">
        <v>1766</v>
      </c>
      <c r="N8291">
        <v>126</v>
      </c>
      <c r="O8291">
        <v>9</v>
      </c>
      <c r="P8291">
        <v>0</v>
      </c>
      <c r="Q8291">
        <v>0</v>
      </c>
    </row>
    <row r="8292" spans="1:17" x14ac:dyDescent="0.2">
      <c r="A8292" s="121">
        <v>41973</v>
      </c>
      <c r="B8292" t="s">
        <v>406</v>
      </c>
      <c r="C8292" t="s">
        <v>491</v>
      </c>
      <c r="D8292" t="s">
        <v>502</v>
      </c>
      <c r="E8292" t="s">
        <v>503</v>
      </c>
      <c r="F8292" t="s">
        <v>413</v>
      </c>
      <c r="G8292">
        <v>4651</v>
      </c>
      <c r="H8292">
        <v>4651</v>
      </c>
      <c r="I8292">
        <v>3967</v>
      </c>
      <c r="J8292">
        <v>3967</v>
      </c>
      <c r="K8292">
        <v>1419</v>
      </c>
      <c r="L8292">
        <v>11</v>
      </c>
      <c r="M8292">
        <v>2841</v>
      </c>
      <c r="N8292">
        <v>298</v>
      </c>
      <c r="O8292">
        <v>82</v>
      </c>
      <c r="P8292">
        <v>57</v>
      </c>
      <c r="Q8292">
        <v>3</v>
      </c>
    </row>
    <row r="8293" spans="1:17" x14ac:dyDescent="0.2">
      <c r="A8293" s="121">
        <v>41973</v>
      </c>
      <c r="B8293" t="s">
        <v>406</v>
      </c>
      <c r="C8293" t="s">
        <v>491</v>
      </c>
      <c r="D8293" t="s">
        <v>504</v>
      </c>
      <c r="E8293" t="s">
        <v>505</v>
      </c>
      <c r="F8293" t="s">
        <v>413</v>
      </c>
      <c r="G8293">
        <v>3920</v>
      </c>
      <c r="H8293">
        <v>3920</v>
      </c>
      <c r="I8293">
        <v>3585</v>
      </c>
      <c r="J8293">
        <v>3585</v>
      </c>
      <c r="K8293">
        <v>1095</v>
      </c>
      <c r="L8293">
        <v>54</v>
      </c>
      <c r="M8293">
        <v>2522</v>
      </c>
      <c r="N8293">
        <v>179</v>
      </c>
      <c r="O8293">
        <v>70</v>
      </c>
      <c r="P8293">
        <v>9</v>
      </c>
      <c r="Q8293">
        <v>0</v>
      </c>
    </row>
    <row r="8294" spans="1:17" x14ac:dyDescent="0.2">
      <c r="A8294" s="121">
        <v>41973</v>
      </c>
      <c r="B8294" t="s">
        <v>406</v>
      </c>
      <c r="C8294" t="s">
        <v>491</v>
      </c>
      <c r="D8294" t="s">
        <v>506</v>
      </c>
      <c r="E8294" t="s">
        <v>507</v>
      </c>
      <c r="F8294" t="s">
        <v>413</v>
      </c>
      <c r="G8294">
        <v>4718</v>
      </c>
      <c r="H8294">
        <v>4718</v>
      </c>
      <c r="I8294">
        <v>4609</v>
      </c>
      <c r="J8294">
        <v>4609</v>
      </c>
      <c r="K8294">
        <v>1370</v>
      </c>
      <c r="L8294">
        <v>2</v>
      </c>
      <c r="M8294">
        <v>3336</v>
      </c>
      <c r="N8294">
        <v>1</v>
      </c>
      <c r="O8294">
        <v>9</v>
      </c>
      <c r="P8294">
        <v>1</v>
      </c>
      <c r="Q8294">
        <v>0</v>
      </c>
    </row>
    <row r="8295" spans="1:17" x14ac:dyDescent="0.2">
      <c r="A8295" s="121">
        <v>41973</v>
      </c>
      <c r="B8295" t="s">
        <v>406</v>
      </c>
      <c r="C8295" t="s">
        <v>491</v>
      </c>
      <c r="D8295" t="s">
        <v>508</v>
      </c>
      <c r="E8295" t="s">
        <v>509</v>
      </c>
      <c r="F8295" t="s">
        <v>413</v>
      </c>
      <c r="G8295">
        <v>4769</v>
      </c>
      <c r="H8295">
        <v>4769</v>
      </c>
      <c r="I8295">
        <v>3717</v>
      </c>
      <c r="J8295">
        <v>3717</v>
      </c>
      <c r="K8295">
        <v>1487</v>
      </c>
      <c r="L8295">
        <v>11</v>
      </c>
      <c r="M8295">
        <v>2941</v>
      </c>
      <c r="N8295">
        <v>173</v>
      </c>
      <c r="O8295">
        <v>157</v>
      </c>
      <c r="P8295">
        <v>118</v>
      </c>
      <c r="Q8295">
        <v>1</v>
      </c>
    </row>
    <row r="8296" spans="1:17" x14ac:dyDescent="0.2">
      <c r="A8296" s="121">
        <v>41973</v>
      </c>
      <c r="B8296" t="s">
        <v>406</v>
      </c>
      <c r="C8296" t="s">
        <v>510</v>
      </c>
      <c r="D8296" t="s">
        <v>513</v>
      </c>
      <c r="E8296" t="s">
        <v>514</v>
      </c>
      <c r="F8296" t="s">
        <v>410</v>
      </c>
      <c r="G8296">
        <v>569</v>
      </c>
      <c r="I8296">
        <v>564</v>
      </c>
    </row>
    <row r="8297" spans="1:17" x14ac:dyDescent="0.2">
      <c r="A8297" s="121">
        <v>41973</v>
      </c>
      <c r="B8297" t="s">
        <v>406</v>
      </c>
      <c r="C8297" t="s">
        <v>510</v>
      </c>
      <c r="D8297" t="s">
        <v>515</v>
      </c>
      <c r="E8297" t="s">
        <v>516</v>
      </c>
      <c r="F8297" t="s">
        <v>410</v>
      </c>
      <c r="G8297">
        <v>100</v>
      </c>
      <c r="I8297">
        <v>100</v>
      </c>
    </row>
    <row r="8298" spans="1:17" x14ac:dyDescent="0.2">
      <c r="A8298" s="121">
        <v>41973</v>
      </c>
      <c r="B8298" t="s">
        <v>406</v>
      </c>
      <c r="C8298" t="s">
        <v>510</v>
      </c>
      <c r="D8298" t="s">
        <v>519</v>
      </c>
      <c r="E8298" t="s">
        <v>520</v>
      </c>
      <c r="F8298" t="s">
        <v>410</v>
      </c>
      <c r="G8298">
        <v>362</v>
      </c>
      <c r="I8298">
        <v>360</v>
      </c>
    </row>
    <row r="8299" spans="1:17" x14ac:dyDescent="0.2">
      <c r="A8299" s="121">
        <v>41973</v>
      </c>
      <c r="B8299" t="s">
        <v>406</v>
      </c>
      <c r="C8299" t="s">
        <v>510</v>
      </c>
      <c r="D8299" t="s">
        <v>523</v>
      </c>
      <c r="E8299" t="s">
        <v>524</v>
      </c>
      <c r="F8299" t="s">
        <v>413</v>
      </c>
      <c r="G8299">
        <v>487</v>
      </c>
      <c r="H8299">
        <v>487</v>
      </c>
      <c r="I8299">
        <v>476</v>
      </c>
      <c r="J8299">
        <v>476</v>
      </c>
      <c r="K8299">
        <v>111</v>
      </c>
      <c r="L8299">
        <v>0</v>
      </c>
      <c r="M8299">
        <v>365</v>
      </c>
      <c r="N8299">
        <v>11</v>
      </c>
      <c r="O8299">
        <v>0</v>
      </c>
      <c r="P8299">
        <v>1</v>
      </c>
      <c r="Q8299">
        <v>1</v>
      </c>
    </row>
    <row r="8300" spans="1:17" x14ac:dyDescent="0.2">
      <c r="A8300" s="121">
        <v>41973</v>
      </c>
      <c r="B8300" t="s">
        <v>406</v>
      </c>
      <c r="C8300" t="s">
        <v>510</v>
      </c>
      <c r="D8300" t="s">
        <v>525</v>
      </c>
      <c r="E8300" t="s">
        <v>526</v>
      </c>
      <c r="F8300" t="s">
        <v>410</v>
      </c>
      <c r="G8300">
        <v>423</v>
      </c>
      <c r="I8300">
        <v>413</v>
      </c>
    </row>
    <row r="8301" spans="1:17" x14ac:dyDescent="0.2">
      <c r="A8301" s="121">
        <v>41973</v>
      </c>
      <c r="B8301" t="s">
        <v>406</v>
      </c>
      <c r="C8301" t="s">
        <v>510</v>
      </c>
      <c r="D8301" t="s">
        <v>527</v>
      </c>
      <c r="E8301" t="s">
        <v>528</v>
      </c>
      <c r="F8301" t="s">
        <v>410</v>
      </c>
      <c r="G8301">
        <v>201</v>
      </c>
      <c r="I8301">
        <v>201</v>
      </c>
    </row>
    <row r="8302" spans="1:17" x14ac:dyDescent="0.2">
      <c r="A8302" s="121">
        <v>41973</v>
      </c>
      <c r="B8302" t="s">
        <v>406</v>
      </c>
      <c r="C8302" t="s">
        <v>510</v>
      </c>
      <c r="D8302" t="s">
        <v>529</v>
      </c>
      <c r="E8302" t="s">
        <v>530</v>
      </c>
      <c r="F8302" t="s">
        <v>413</v>
      </c>
      <c r="G8302">
        <v>467</v>
      </c>
      <c r="H8302">
        <v>467</v>
      </c>
      <c r="I8302">
        <v>455</v>
      </c>
      <c r="J8302">
        <v>455</v>
      </c>
      <c r="K8302">
        <v>139</v>
      </c>
      <c r="L8302">
        <v>0</v>
      </c>
      <c r="M8302">
        <v>326</v>
      </c>
      <c r="N8302">
        <v>2</v>
      </c>
      <c r="O8302">
        <v>0</v>
      </c>
      <c r="P8302">
        <v>1</v>
      </c>
      <c r="Q8302">
        <v>0</v>
      </c>
    </row>
    <row r="8303" spans="1:17" x14ac:dyDescent="0.2">
      <c r="A8303" s="121">
        <v>41973</v>
      </c>
      <c r="B8303" t="s">
        <v>406</v>
      </c>
      <c r="C8303" t="s">
        <v>510</v>
      </c>
      <c r="D8303" t="s">
        <v>531</v>
      </c>
      <c r="E8303" t="s">
        <v>532</v>
      </c>
      <c r="F8303" t="s">
        <v>410</v>
      </c>
      <c r="G8303">
        <v>19</v>
      </c>
      <c r="I8303">
        <v>19</v>
      </c>
    </row>
    <row r="8304" spans="1:17" x14ac:dyDescent="0.2">
      <c r="A8304" s="121">
        <v>41973</v>
      </c>
      <c r="B8304" t="s">
        <v>406</v>
      </c>
      <c r="C8304" t="s">
        <v>510</v>
      </c>
      <c r="D8304" t="s">
        <v>533</v>
      </c>
      <c r="E8304" t="s">
        <v>534</v>
      </c>
      <c r="F8304" t="s">
        <v>413</v>
      </c>
      <c r="G8304">
        <v>2471</v>
      </c>
      <c r="H8304">
        <v>2471</v>
      </c>
      <c r="I8304">
        <v>2363</v>
      </c>
      <c r="J8304">
        <v>2363</v>
      </c>
      <c r="K8304">
        <v>634</v>
      </c>
      <c r="L8304">
        <v>4</v>
      </c>
      <c r="M8304">
        <v>1827</v>
      </c>
      <c r="N8304">
        <v>6</v>
      </c>
      <c r="O8304">
        <v>0</v>
      </c>
      <c r="P8304">
        <v>9</v>
      </c>
      <c r="Q8304">
        <v>0</v>
      </c>
    </row>
    <row r="8305" spans="1:17" x14ac:dyDescent="0.2">
      <c r="A8305" s="121">
        <v>41973</v>
      </c>
      <c r="B8305" t="s">
        <v>406</v>
      </c>
      <c r="C8305" t="s">
        <v>510</v>
      </c>
      <c r="D8305" t="s">
        <v>535</v>
      </c>
      <c r="E8305" t="s">
        <v>536</v>
      </c>
      <c r="F8305" t="s">
        <v>410</v>
      </c>
      <c r="G8305">
        <v>377</v>
      </c>
      <c r="I8305">
        <v>377</v>
      </c>
    </row>
    <row r="8306" spans="1:17" x14ac:dyDescent="0.2">
      <c r="A8306" s="121">
        <v>41973</v>
      </c>
      <c r="B8306" t="s">
        <v>406</v>
      </c>
      <c r="C8306" t="s">
        <v>510</v>
      </c>
      <c r="D8306" t="s">
        <v>537</v>
      </c>
      <c r="E8306" t="s">
        <v>538</v>
      </c>
      <c r="F8306" t="s">
        <v>410</v>
      </c>
      <c r="G8306">
        <v>96</v>
      </c>
      <c r="I8306">
        <v>96</v>
      </c>
    </row>
    <row r="8307" spans="1:17" x14ac:dyDescent="0.2">
      <c r="A8307" s="121">
        <v>41973</v>
      </c>
      <c r="B8307" t="s">
        <v>406</v>
      </c>
      <c r="C8307" t="s">
        <v>510</v>
      </c>
      <c r="D8307" t="s">
        <v>539</v>
      </c>
      <c r="E8307" t="s">
        <v>540</v>
      </c>
      <c r="F8307" t="s">
        <v>413</v>
      </c>
      <c r="G8307">
        <v>615</v>
      </c>
      <c r="H8307">
        <v>615</v>
      </c>
      <c r="I8307">
        <v>600</v>
      </c>
      <c r="J8307">
        <v>600</v>
      </c>
      <c r="K8307">
        <v>103</v>
      </c>
      <c r="L8307">
        <v>0</v>
      </c>
      <c r="M8307">
        <v>510</v>
      </c>
      <c r="N8307">
        <v>2</v>
      </c>
      <c r="O8307">
        <v>0</v>
      </c>
      <c r="P8307">
        <v>1</v>
      </c>
      <c r="Q8307">
        <v>0</v>
      </c>
    </row>
    <row r="8308" spans="1:17" x14ac:dyDescent="0.2">
      <c r="A8308" s="121">
        <v>41973</v>
      </c>
      <c r="B8308" t="s">
        <v>406</v>
      </c>
      <c r="C8308" t="s">
        <v>510</v>
      </c>
      <c r="D8308" t="s">
        <v>541</v>
      </c>
      <c r="E8308" t="s">
        <v>542</v>
      </c>
      <c r="F8308" t="s">
        <v>410</v>
      </c>
      <c r="G8308">
        <v>301</v>
      </c>
      <c r="I8308">
        <v>301</v>
      </c>
    </row>
    <row r="8309" spans="1:17" x14ac:dyDescent="0.2">
      <c r="A8309" s="121">
        <v>41973</v>
      </c>
      <c r="B8309" t="s">
        <v>406</v>
      </c>
      <c r="C8309" t="s">
        <v>510</v>
      </c>
      <c r="D8309" t="s">
        <v>543</v>
      </c>
      <c r="E8309" t="s">
        <v>544</v>
      </c>
      <c r="F8309" t="s">
        <v>410</v>
      </c>
      <c r="G8309">
        <v>217</v>
      </c>
      <c r="I8309">
        <v>217</v>
      </c>
    </row>
    <row r="8310" spans="1:17" x14ac:dyDescent="0.2">
      <c r="A8310" s="121">
        <v>41973</v>
      </c>
      <c r="B8310" t="s">
        <v>406</v>
      </c>
      <c r="C8310" t="s">
        <v>510</v>
      </c>
      <c r="D8310" t="s">
        <v>545</v>
      </c>
      <c r="E8310" t="s">
        <v>546</v>
      </c>
      <c r="F8310" t="s">
        <v>410</v>
      </c>
      <c r="G8310">
        <v>117</v>
      </c>
      <c r="I8310">
        <v>117</v>
      </c>
    </row>
    <row r="8311" spans="1:17" x14ac:dyDescent="0.2">
      <c r="A8311" s="121">
        <v>41973</v>
      </c>
      <c r="B8311" t="s">
        <v>406</v>
      </c>
      <c r="C8311" t="s">
        <v>510</v>
      </c>
      <c r="D8311" t="s">
        <v>547</v>
      </c>
      <c r="E8311" t="s">
        <v>548</v>
      </c>
      <c r="F8311" t="s">
        <v>410</v>
      </c>
      <c r="G8311">
        <v>107</v>
      </c>
      <c r="I8311">
        <v>107</v>
      </c>
    </row>
    <row r="8312" spans="1:17" x14ac:dyDescent="0.2">
      <c r="A8312" s="121">
        <v>41973</v>
      </c>
      <c r="B8312" t="s">
        <v>406</v>
      </c>
      <c r="C8312" t="s">
        <v>510</v>
      </c>
      <c r="D8312" t="s">
        <v>616</v>
      </c>
      <c r="E8312" t="s">
        <v>617</v>
      </c>
      <c r="F8312" t="s">
        <v>410</v>
      </c>
      <c r="G8312">
        <v>301</v>
      </c>
      <c r="I8312">
        <v>296</v>
      </c>
    </row>
    <row r="8313" spans="1:17" x14ac:dyDescent="0.2">
      <c r="A8313" s="121">
        <v>41973</v>
      </c>
      <c r="B8313" t="s">
        <v>406</v>
      </c>
      <c r="C8313" t="s">
        <v>510</v>
      </c>
      <c r="D8313" t="s">
        <v>549</v>
      </c>
      <c r="E8313" t="s">
        <v>550</v>
      </c>
      <c r="F8313" t="s">
        <v>410</v>
      </c>
      <c r="G8313">
        <v>132</v>
      </c>
      <c r="I8313">
        <v>132</v>
      </c>
    </row>
    <row r="8314" spans="1:17" x14ac:dyDescent="0.2">
      <c r="A8314" s="121">
        <v>41973</v>
      </c>
      <c r="B8314" t="s">
        <v>406</v>
      </c>
      <c r="C8314" t="s">
        <v>510</v>
      </c>
      <c r="D8314" t="s">
        <v>625</v>
      </c>
      <c r="E8314" t="s">
        <v>626</v>
      </c>
      <c r="F8314" t="s">
        <v>410</v>
      </c>
      <c r="G8314">
        <v>51</v>
      </c>
      <c r="I8314">
        <v>51</v>
      </c>
    </row>
    <row r="8315" spans="1:17" x14ac:dyDescent="0.2">
      <c r="A8315" s="121">
        <v>41973</v>
      </c>
      <c r="B8315" t="s">
        <v>406</v>
      </c>
      <c r="C8315" t="s">
        <v>551</v>
      </c>
      <c r="D8315" t="s">
        <v>552</v>
      </c>
      <c r="E8315" t="s">
        <v>553</v>
      </c>
      <c r="F8315" t="s">
        <v>413</v>
      </c>
      <c r="G8315">
        <v>5330</v>
      </c>
      <c r="H8315">
        <v>5330</v>
      </c>
      <c r="I8315">
        <v>4690</v>
      </c>
      <c r="J8315">
        <v>4690</v>
      </c>
      <c r="K8315">
        <v>1491</v>
      </c>
      <c r="L8315">
        <v>11</v>
      </c>
      <c r="M8315">
        <v>3647</v>
      </c>
      <c r="N8315">
        <v>104</v>
      </c>
      <c r="O8315">
        <v>77</v>
      </c>
      <c r="P8315">
        <v>73</v>
      </c>
      <c r="Q8315">
        <v>10</v>
      </c>
    </row>
    <row r="8316" spans="1:17" x14ac:dyDescent="0.2">
      <c r="A8316" s="121">
        <v>41973</v>
      </c>
      <c r="B8316" t="s">
        <v>406</v>
      </c>
      <c r="C8316" t="s">
        <v>551</v>
      </c>
      <c r="D8316" t="s">
        <v>554</v>
      </c>
      <c r="E8316" t="s">
        <v>555</v>
      </c>
      <c r="F8316" t="s">
        <v>410</v>
      </c>
      <c r="G8316">
        <v>57</v>
      </c>
      <c r="I8316">
        <v>57</v>
      </c>
    </row>
    <row r="8317" spans="1:17" x14ac:dyDescent="0.2">
      <c r="A8317" s="121">
        <v>41973</v>
      </c>
      <c r="B8317" t="s">
        <v>406</v>
      </c>
      <c r="C8317" t="s">
        <v>551</v>
      </c>
      <c r="D8317" t="s">
        <v>556</v>
      </c>
      <c r="E8317" t="s">
        <v>557</v>
      </c>
      <c r="F8317" t="s">
        <v>410</v>
      </c>
      <c r="G8317">
        <v>102</v>
      </c>
      <c r="I8317">
        <v>102</v>
      </c>
    </row>
    <row r="8318" spans="1:17" x14ac:dyDescent="0.2">
      <c r="A8318" s="121">
        <v>41973</v>
      </c>
      <c r="B8318" t="s">
        <v>406</v>
      </c>
      <c r="C8318" t="s">
        <v>551</v>
      </c>
      <c r="D8318" t="s">
        <v>558</v>
      </c>
      <c r="E8318" t="s">
        <v>559</v>
      </c>
      <c r="F8318" t="s">
        <v>413</v>
      </c>
      <c r="G8318">
        <v>4519</v>
      </c>
      <c r="H8318">
        <v>4519</v>
      </c>
      <c r="I8318">
        <v>3737</v>
      </c>
      <c r="J8318">
        <v>3737</v>
      </c>
      <c r="K8318">
        <v>1282</v>
      </c>
      <c r="L8318">
        <v>10</v>
      </c>
      <c r="M8318">
        <v>3107</v>
      </c>
      <c r="N8318">
        <v>109</v>
      </c>
      <c r="O8318">
        <v>11</v>
      </c>
      <c r="P8318">
        <v>160</v>
      </c>
      <c r="Q8318">
        <v>46</v>
      </c>
    </row>
    <row r="8319" spans="1:17" x14ac:dyDescent="0.2">
      <c r="A8319" s="121">
        <v>41973</v>
      </c>
      <c r="B8319" t="s">
        <v>406</v>
      </c>
      <c r="C8319" t="s">
        <v>551</v>
      </c>
      <c r="D8319" t="s">
        <v>560</v>
      </c>
      <c r="E8319" t="s">
        <v>561</v>
      </c>
      <c r="F8319" t="s">
        <v>413</v>
      </c>
      <c r="G8319">
        <v>5053</v>
      </c>
      <c r="H8319">
        <v>5053</v>
      </c>
      <c r="I8319">
        <v>3911</v>
      </c>
      <c r="J8319">
        <v>3911</v>
      </c>
      <c r="K8319">
        <v>1137</v>
      </c>
      <c r="L8319">
        <v>10</v>
      </c>
      <c r="M8319">
        <v>3666</v>
      </c>
      <c r="N8319">
        <v>133</v>
      </c>
      <c r="O8319">
        <v>107</v>
      </c>
      <c r="P8319">
        <v>275</v>
      </c>
      <c r="Q8319">
        <v>66</v>
      </c>
    </row>
    <row r="8320" spans="1:17" x14ac:dyDescent="0.2">
      <c r="A8320" s="121">
        <v>41973</v>
      </c>
      <c r="B8320" t="s">
        <v>406</v>
      </c>
      <c r="C8320" t="s">
        <v>562</v>
      </c>
      <c r="D8320" t="s">
        <v>605</v>
      </c>
      <c r="E8320" t="s">
        <v>606</v>
      </c>
      <c r="F8320" t="s">
        <v>410</v>
      </c>
      <c r="G8320">
        <v>105</v>
      </c>
      <c r="I8320">
        <v>105</v>
      </c>
    </row>
    <row r="8321" spans="1:17" x14ac:dyDescent="0.2">
      <c r="A8321" s="121">
        <v>41973</v>
      </c>
      <c r="B8321" t="s">
        <v>406</v>
      </c>
      <c r="C8321" t="s">
        <v>562</v>
      </c>
      <c r="D8321" t="s">
        <v>563</v>
      </c>
      <c r="E8321" t="s">
        <v>564</v>
      </c>
      <c r="F8321" t="s">
        <v>410</v>
      </c>
      <c r="G8321">
        <v>3239</v>
      </c>
      <c r="H8321">
        <v>3239</v>
      </c>
      <c r="I8321">
        <v>2879</v>
      </c>
      <c r="J8321">
        <v>2879</v>
      </c>
      <c r="K8321">
        <v>1088</v>
      </c>
      <c r="L8321">
        <v>3</v>
      </c>
      <c r="M8321">
        <v>2133</v>
      </c>
      <c r="N8321">
        <v>15</v>
      </c>
      <c r="O8321">
        <v>0</v>
      </c>
      <c r="P8321">
        <v>44</v>
      </c>
      <c r="Q8321">
        <v>11</v>
      </c>
    </row>
    <row r="8322" spans="1:17" x14ac:dyDescent="0.2">
      <c r="A8322" s="121">
        <v>41973</v>
      </c>
      <c r="B8322" t="s">
        <v>406</v>
      </c>
      <c r="C8322" t="s">
        <v>562</v>
      </c>
      <c r="D8322" t="s">
        <v>565</v>
      </c>
      <c r="E8322" t="s">
        <v>566</v>
      </c>
      <c r="F8322" t="s">
        <v>413</v>
      </c>
      <c r="G8322">
        <v>4291</v>
      </c>
      <c r="H8322">
        <v>4291</v>
      </c>
      <c r="I8322">
        <v>4048</v>
      </c>
      <c r="J8322">
        <v>4048</v>
      </c>
      <c r="K8322">
        <v>1115</v>
      </c>
      <c r="L8322">
        <v>4</v>
      </c>
      <c r="M8322">
        <v>3067</v>
      </c>
      <c r="N8322">
        <v>105</v>
      </c>
      <c r="O8322">
        <v>0</v>
      </c>
      <c r="P8322">
        <v>16</v>
      </c>
      <c r="Q8322">
        <v>0</v>
      </c>
    </row>
    <row r="8323" spans="1:17" x14ac:dyDescent="0.2">
      <c r="A8323" s="121">
        <v>41973</v>
      </c>
      <c r="B8323" t="s">
        <v>406</v>
      </c>
      <c r="C8323" t="s">
        <v>562</v>
      </c>
      <c r="D8323" t="s">
        <v>567</v>
      </c>
      <c r="E8323" t="s">
        <v>568</v>
      </c>
      <c r="F8323" t="s">
        <v>413</v>
      </c>
      <c r="G8323">
        <v>9532</v>
      </c>
      <c r="H8323">
        <v>9532</v>
      </c>
      <c r="I8323">
        <v>9009</v>
      </c>
      <c r="J8323">
        <v>9009</v>
      </c>
      <c r="K8323">
        <v>2781</v>
      </c>
      <c r="L8323">
        <v>20</v>
      </c>
      <c r="M8323">
        <v>6524</v>
      </c>
      <c r="N8323">
        <v>207</v>
      </c>
      <c r="O8323">
        <v>0</v>
      </c>
      <c r="P8323">
        <v>37</v>
      </c>
      <c r="Q8323">
        <v>1</v>
      </c>
    </row>
    <row r="8324" spans="1:17" x14ac:dyDescent="0.2">
      <c r="A8324" s="121">
        <v>41973</v>
      </c>
      <c r="B8324" t="s">
        <v>406</v>
      </c>
      <c r="C8324" t="s">
        <v>562</v>
      </c>
      <c r="D8324" t="s">
        <v>569</v>
      </c>
      <c r="E8324" t="s">
        <v>570</v>
      </c>
      <c r="F8324" t="s">
        <v>413</v>
      </c>
      <c r="G8324">
        <v>4154</v>
      </c>
      <c r="H8324">
        <v>4154</v>
      </c>
      <c r="I8324">
        <v>4046</v>
      </c>
      <c r="J8324">
        <v>4046</v>
      </c>
      <c r="K8324">
        <v>593</v>
      </c>
      <c r="L8324">
        <v>1</v>
      </c>
      <c r="M8324">
        <v>3560</v>
      </c>
      <c r="N8324">
        <v>0</v>
      </c>
      <c r="O8324">
        <v>0</v>
      </c>
      <c r="P8324">
        <v>2</v>
      </c>
      <c r="Q8324">
        <v>0</v>
      </c>
    </row>
    <row r="8325" spans="1:17" x14ac:dyDescent="0.2">
      <c r="A8325" s="121">
        <v>41973</v>
      </c>
      <c r="B8325" t="s">
        <v>406</v>
      </c>
      <c r="C8325" t="s">
        <v>571</v>
      </c>
      <c r="D8325" t="s">
        <v>572</v>
      </c>
      <c r="E8325" t="s">
        <v>627</v>
      </c>
      <c r="F8325" t="s">
        <v>413</v>
      </c>
      <c r="G8325">
        <v>392</v>
      </c>
      <c r="H8325">
        <v>392</v>
      </c>
      <c r="I8325">
        <v>390</v>
      </c>
      <c r="J8325">
        <v>390</v>
      </c>
      <c r="K8325">
        <v>132</v>
      </c>
      <c r="L8325">
        <v>0</v>
      </c>
      <c r="M8325">
        <v>259</v>
      </c>
      <c r="N8325">
        <v>1</v>
      </c>
      <c r="O8325">
        <v>0</v>
      </c>
      <c r="P8325">
        <v>0</v>
      </c>
      <c r="Q8325">
        <v>0</v>
      </c>
    </row>
    <row r="8326" spans="1:17" x14ac:dyDescent="0.2">
      <c r="A8326" s="121">
        <v>41973</v>
      </c>
      <c r="B8326" t="s">
        <v>406</v>
      </c>
      <c r="C8326" t="s">
        <v>574</v>
      </c>
      <c r="D8326" t="s">
        <v>575</v>
      </c>
      <c r="E8326" t="s">
        <v>576</v>
      </c>
      <c r="F8326" t="s">
        <v>413</v>
      </c>
      <c r="G8326">
        <v>566</v>
      </c>
      <c r="H8326">
        <v>566</v>
      </c>
      <c r="I8326">
        <v>549</v>
      </c>
      <c r="J8326">
        <v>549</v>
      </c>
      <c r="K8326">
        <v>159</v>
      </c>
      <c r="L8326">
        <v>0</v>
      </c>
      <c r="M8326">
        <v>385</v>
      </c>
      <c r="N8326">
        <v>2</v>
      </c>
      <c r="O8326">
        <v>20</v>
      </c>
      <c r="P8326">
        <v>0</v>
      </c>
      <c r="Q8326">
        <v>0</v>
      </c>
    </row>
    <row r="8327" spans="1:17" x14ac:dyDescent="0.2">
      <c r="A8327" s="121">
        <v>41973</v>
      </c>
      <c r="B8327" t="s">
        <v>406</v>
      </c>
      <c r="C8327" t="s">
        <v>577</v>
      </c>
      <c r="D8327" t="s">
        <v>578</v>
      </c>
      <c r="E8327" t="s">
        <v>579</v>
      </c>
      <c r="F8327" t="s">
        <v>413</v>
      </c>
      <c r="G8327">
        <v>3808</v>
      </c>
      <c r="H8327">
        <v>3808</v>
      </c>
      <c r="I8327">
        <v>3759</v>
      </c>
      <c r="J8327">
        <v>3759</v>
      </c>
      <c r="K8327">
        <v>1113</v>
      </c>
      <c r="L8327">
        <v>8</v>
      </c>
      <c r="M8327">
        <v>2476</v>
      </c>
      <c r="N8327">
        <v>209</v>
      </c>
      <c r="O8327">
        <v>2</v>
      </c>
      <c r="P8327">
        <v>0</v>
      </c>
      <c r="Q8327">
        <v>0</v>
      </c>
    </row>
    <row r="8328" spans="1:17" x14ac:dyDescent="0.2">
      <c r="A8328" s="121">
        <v>41973</v>
      </c>
      <c r="B8328" t="s">
        <v>406</v>
      </c>
      <c r="C8328" t="s">
        <v>577</v>
      </c>
      <c r="D8328" t="s">
        <v>580</v>
      </c>
      <c r="E8328" t="s">
        <v>581</v>
      </c>
      <c r="F8328" t="s">
        <v>413</v>
      </c>
      <c r="G8328">
        <v>2008</v>
      </c>
      <c r="H8328">
        <v>2008</v>
      </c>
      <c r="I8328">
        <v>1976</v>
      </c>
      <c r="J8328">
        <v>1976</v>
      </c>
      <c r="K8328">
        <v>326</v>
      </c>
      <c r="L8328">
        <v>2</v>
      </c>
      <c r="M8328">
        <v>1312</v>
      </c>
      <c r="N8328">
        <v>346</v>
      </c>
      <c r="O8328">
        <v>22</v>
      </c>
      <c r="P8328">
        <v>1</v>
      </c>
      <c r="Q8328">
        <v>0</v>
      </c>
    </row>
    <row r="8329" spans="1:17" x14ac:dyDescent="0.2">
      <c r="A8329" s="121">
        <v>41973</v>
      </c>
      <c r="B8329" t="s">
        <v>406</v>
      </c>
      <c r="C8329" t="s">
        <v>577</v>
      </c>
      <c r="D8329" t="s">
        <v>609</v>
      </c>
      <c r="E8329" t="s">
        <v>610</v>
      </c>
      <c r="F8329" t="s">
        <v>410</v>
      </c>
      <c r="G8329">
        <v>23</v>
      </c>
      <c r="H8329">
        <v>23</v>
      </c>
      <c r="I8329">
        <v>23</v>
      </c>
      <c r="J8329">
        <v>23</v>
      </c>
      <c r="K8329">
        <v>0</v>
      </c>
      <c r="L8329">
        <v>0</v>
      </c>
      <c r="M8329">
        <v>22</v>
      </c>
      <c r="N8329">
        <v>0</v>
      </c>
      <c r="O8329">
        <v>1</v>
      </c>
      <c r="P8329">
        <v>0</v>
      </c>
      <c r="Q8329">
        <v>0</v>
      </c>
    </row>
    <row r="8330" spans="1:17" x14ac:dyDescent="0.2">
      <c r="A8330" s="121">
        <v>41973</v>
      </c>
      <c r="B8330" t="s">
        <v>406</v>
      </c>
      <c r="C8330" t="s">
        <v>577</v>
      </c>
      <c r="D8330" t="s">
        <v>611</v>
      </c>
      <c r="E8330" t="s">
        <v>612</v>
      </c>
      <c r="F8330" t="s">
        <v>410</v>
      </c>
      <c r="G8330">
        <v>10</v>
      </c>
      <c r="H8330">
        <v>10</v>
      </c>
      <c r="I8330">
        <v>10</v>
      </c>
      <c r="J8330">
        <v>10</v>
      </c>
      <c r="K8330">
        <v>0</v>
      </c>
      <c r="L8330">
        <v>0</v>
      </c>
      <c r="M8330">
        <v>9</v>
      </c>
      <c r="N8330">
        <v>1</v>
      </c>
      <c r="O8330">
        <v>0</v>
      </c>
      <c r="P8330">
        <v>0</v>
      </c>
      <c r="Q8330">
        <v>0</v>
      </c>
    </row>
    <row r="8331" spans="1:17" x14ac:dyDescent="0.2">
      <c r="A8331" s="121">
        <v>41973</v>
      </c>
      <c r="B8331" t="s">
        <v>406</v>
      </c>
      <c r="C8331" t="s">
        <v>577</v>
      </c>
      <c r="D8331" t="s">
        <v>584</v>
      </c>
      <c r="E8331" t="s">
        <v>585</v>
      </c>
      <c r="F8331" t="s">
        <v>410</v>
      </c>
      <c r="G8331">
        <v>247</v>
      </c>
      <c r="H8331">
        <v>247</v>
      </c>
      <c r="I8331">
        <v>247</v>
      </c>
      <c r="J8331">
        <v>247</v>
      </c>
      <c r="K8331">
        <v>0</v>
      </c>
      <c r="L8331">
        <v>0</v>
      </c>
      <c r="M8331">
        <v>233</v>
      </c>
      <c r="N8331">
        <v>14</v>
      </c>
      <c r="O8331">
        <v>0</v>
      </c>
      <c r="P8331">
        <v>0</v>
      </c>
      <c r="Q8331">
        <v>0</v>
      </c>
    </row>
    <row r="8332" spans="1:17" x14ac:dyDescent="0.2">
      <c r="A8332" s="121">
        <v>41973</v>
      </c>
      <c r="B8332" t="s">
        <v>406</v>
      </c>
      <c r="C8332" t="s">
        <v>577</v>
      </c>
      <c r="D8332" t="s">
        <v>586</v>
      </c>
      <c r="E8332" t="s">
        <v>587</v>
      </c>
      <c r="F8332" t="s">
        <v>410</v>
      </c>
      <c r="G8332">
        <v>1055</v>
      </c>
      <c r="H8332">
        <v>1055</v>
      </c>
      <c r="I8332">
        <v>1052</v>
      </c>
      <c r="J8332">
        <v>1052</v>
      </c>
      <c r="K8332">
        <v>0</v>
      </c>
      <c r="L8332">
        <v>0</v>
      </c>
      <c r="M8332">
        <v>924</v>
      </c>
      <c r="N8332">
        <v>127</v>
      </c>
      <c r="O8332">
        <v>4</v>
      </c>
      <c r="P8332">
        <v>0</v>
      </c>
      <c r="Q8332">
        <v>0</v>
      </c>
    </row>
    <row r="8333" spans="1:17" x14ac:dyDescent="0.2">
      <c r="A8333" s="121">
        <v>41973</v>
      </c>
      <c r="B8333" t="s">
        <v>406</v>
      </c>
      <c r="C8333" t="s">
        <v>577</v>
      </c>
      <c r="D8333" t="s">
        <v>588</v>
      </c>
      <c r="E8333" t="s">
        <v>589</v>
      </c>
      <c r="F8333" t="s">
        <v>410</v>
      </c>
      <c r="G8333">
        <v>229</v>
      </c>
      <c r="H8333">
        <v>229</v>
      </c>
      <c r="I8333">
        <v>229</v>
      </c>
      <c r="J8333">
        <v>229</v>
      </c>
      <c r="K8333">
        <v>0</v>
      </c>
      <c r="L8333">
        <v>0</v>
      </c>
      <c r="M8333">
        <v>207</v>
      </c>
      <c r="N8333">
        <v>20</v>
      </c>
      <c r="O8333">
        <v>2</v>
      </c>
      <c r="P8333">
        <v>0</v>
      </c>
      <c r="Q8333">
        <v>0</v>
      </c>
    </row>
    <row r="8334" spans="1:17" x14ac:dyDescent="0.2">
      <c r="A8334" s="121">
        <v>41973</v>
      </c>
      <c r="B8334" t="s">
        <v>406</v>
      </c>
      <c r="C8334" t="s">
        <v>577</v>
      </c>
      <c r="D8334" t="s">
        <v>613</v>
      </c>
      <c r="E8334" t="s">
        <v>614</v>
      </c>
      <c r="F8334" t="s">
        <v>410</v>
      </c>
      <c r="G8334">
        <v>136</v>
      </c>
      <c r="H8334">
        <v>136</v>
      </c>
      <c r="I8334">
        <v>135</v>
      </c>
      <c r="J8334">
        <v>135</v>
      </c>
      <c r="K8334">
        <v>0</v>
      </c>
      <c r="L8334">
        <v>0</v>
      </c>
      <c r="M8334">
        <v>102</v>
      </c>
      <c r="N8334">
        <v>25</v>
      </c>
      <c r="O8334">
        <v>9</v>
      </c>
      <c r="P8334">
        <v>0</v>
      </c>
      <c r="Q8334">
        <v>0</v>
      </c>
    </row>
    <row r="8335" spans="1:17" x14ac:dyDescent="0.2">
      <c r="A8335" s="121">
        <v>41973</v>
      </c>
      <c r="B8335" t="s">
        <v>406</v>
      </c>
      <c r="C8335" t="s">
        <v>577</v>
      </c>
      <c r="D8335" t="s">
        <v>590</v>
      </c>
      <c r="E8335" t="s">
        <v>591</v>
      </c>
      <c r="F8335" t="s">
        <v>410</v>
      </c>
      <c r="G8335">
        <v>643</v>
      </c>
      <c r="H8335">
        <v>643</v>
      </c>
      <c r="I8335">
        <v>643</v>
      </c>
      <c r="J8335">
        <v>643</v>
      </c>
      <c r="K8335">
        <v>0</v>
      </c>
      <c r="L8335">
        <v>0</v>
      </c>
      <c r="M8335">
        <v>609</v>
      </c>
      <c r="N8335">
        <v>34</v>
      </c>
      <c r="O8335">
        <v>0</v>
      </c>
      <c r="P8335">
        <v>0</v>
      </c>
      <c r="Q8335">
        <v>0</v>
      </c>
    </row>
    <row r="8336" spans="1:17" x14ac:dyDescent="0.2">
      <c r="A8336" s="121">
        <v>41973</v>
      </c>
      <c r="B8336" t="s">
        <v>406</v>
      </c>
      <c r="C8336" t="s">
        <v>577</v>
      </c>
      <c r="D8336" t="s">
        <v>607</v>
      </c>
      <c r="E8336" t="s">
        <v>608</v>
      </c>
      <c r="F8336" t="s">
        <v>410</v>
      </c>
      <c r="G8336">
        <v>148</v>
      </c>
      <c r="H8336">
        <v>148</v>
      </c>
      <c r="I8336">
        <v>147</v>
      </c>
      <c r="J8336">
        <v>147</v>
      </c>
      <c r="K8336">
        <v>0</v>
      </c>
      <c r="L8336">
        <v>0</v>
      </c>
      <c r="M8336">
        <v>136</v>
      </c>
      <c r="N8336">
        <v>12</v>
      </c>
      <c r="O8336">
        <v>0</v>
      </c>
      <c r="P8336">
        <v>0</v>
      </c>
      <c r="Q8336">
        <v>0</v>
      </c>
    </row>
    <row r="8337" spans="1:17" x14ac:dyDescent="0.2">
      <c r="A8337" s="121">
        <v>41973</v>
      </c>
      <c r="B8337" t="s">
        <v>406</v>
      </c>
      <c r="C8337" t="s">
        <v>577</v>
      </c>
      <c r="D8337" t="s">
        <v>592</v>
      </c>
      <c r="E8337" t="s">
        <v>593</v>
      </c>
      <c r="F8337" t="s">
        <v>410</v>
      </c>
      <c r="G8337">
        <v>498</v>
      </c>
      <c r="H8337">
        <v>498</v>
      </c>
      <c r="I8337">
        <v>498</v>
      </c>
      <c r="J8337">
        <v>498</v>
      </c>
      <c r="K8337">
        <v>0</v>
      </c>
      <c r="L8337">
        <v>0</v>
      </c>
      <c r="M8337">
        <v>465</v>
      </c>
      <c r="N8337">
        <v>25</v>
      </c>
      <c r="O8337">
        <v>8</v>
      </c>
      <c r="P8337">
        <v>0</v>
      </c>
      <c r="Q8337">
        <v>0</v>
      </c>
    </row>
    <row r="8338" spans="1:17" x14ac:dyDescent="0.2">
      <c r="A8338" s="121">
        <v>41973</v>
      </c>
      <c r="B8338" t="s">
        <v>406</v>
      </c>
      <c r="C8338" t="s">
        <v>594</v>
      </c>
      <c r="D8338" t="s">
        <v>595</v>
      </c>
      <c r="E8338" t="s">
        <v>596</v>
      </c>
      <c r="F8338" t="s">
        <v>410</v>
      </c>
      <c r="G8338">
        <v>27</v>
      </c>
      <c r="I8338">
        <v>27</v>
      </c>
    </row>
    <row r="8339" spans="1:17" x14ac:dyDescent="0.2">
      <c r="A8339" s="121">
        <v>41973</v>
      </c>
      <c r="B8339" t="s">
        <v>406</v>
      </c>
      <c r="C8339" t="s">
        <v>594</v>
      </c>
      <c r="D8339" t="s">
        <v>597</v>
      </c>
      <c r="E8339" t="s">
        <v>598</v>
      </c>
      <c r="F8339" t="s">
        <v>413</v>
      </c>
      <c r="G8339">
        <v>459</v>
      </c>
      <c r="H8339">
        <v>459</v>
      </c>
      <c r="I8339">
        <v>451</v>
      </c>
      <c r="J8339">
        <v>451</v>
      </c>
      <c r="K8339">
        <v>107</v>
      </c>
      <c r="L8339">
        <v>1</v>
      </c>
      <c r="M8339">
        <v>347</v>
      </c>
      <c r="N8339">
        <v>1</v>
      </c>
      <c r="O8339">
        <v>3</v>
      </c>
      <c r="P8339">
        <v>0</v>
      </c>
      <c r="Q8339">
        <v>0</v>
      </c>
    </row>
    <row r="8340" spans="1:17" x14ac:dyDescent="0.2">
      <c r="A8340" s="121">
        <v>41973</v>
      </c>
      <c r="B8340" t="s">
        <v>406</v>
      </c>
      <c r="C8340" t="s">
        <v>594</v>
      </c>
      <c r="D8340" t="s">
        <v>599</v>
      </c>
      <c r="E8340" t="s">
        <v>600</v>
      </c>
      <c r="F8340" t="s">
        <v>410</v>
      </c>
      <c r="G8340">
        <v>93</v>
      </c>
      <c r="I8340">
        <v>93</v>
      </c>
    </row>
    <row r="8341" spans="1:17" x14ac:dyDescent="0.2">
      <c r="A8341" s="121">
        <v>42004</v>
      </c>
      <c r="B8341" t="s">
        <v>406</v>
      </c>
      <c r="C8341" t="s">
        <v>407</v>
      </c>
      <c r="D8341" t="s">
        <v>408</v>
      </c>
      <c r="E8341" t="s">
        <v>409</v>
      </c>
      <c r="F8341" t="s">
        <v>410</v>
      </c>
      <c r="G8341">
        <v>144</v>
      </c>
      <c r="I8341">
        <v>144</v>
      </c>
    </row>
    <row r="8342" spans="1:17" x14ac:dyDescent="0.2">
      <c r="A8342" s="121">
        <v>42004</v>
      </c>
      <c r="B8342" t="s">
        <v>406</v>
      </c>
      <c r="C8342" t="s">
        <v>407</v>
      </c>
      <c r="D8342" t="s">
        <v>601</v>
      </c>
      <c r="E8342" t="s">
        <v>602</v>
      </c>
      <c r="F8342" t="s">
        <v>410</v>
      </c>
      <c r="G8342">
        <v>52</v>
      </c>
      <c r="I8342">
        <v>52</v>
      </c>
    </row>
    <row r="8343" spans="1:17" x14ac:dyDescent="0.2">
      <c r="A8343" s="121">
        <v>42004</v>
      </c>
      <c r="B8343" t="s">
        <v>406</v>
      </c>
      <c r="C8343" t="s">
        <v>407</v>
      </c>
      <c r="D8343" t="s">
        <v>411</v>
      </c>
      <c r="E8343" t="s">
        <v>412</v>
      </c>
      <c r="F8343" t="s">
        <v>413</v>
      </c>
      <c r="G8343">
        <v>5938</v>
      </c>
      <c r="H8343">
        <v>5938</v>
      </c>
      <c r="I8343">
        <v>5353</v>
      </c>
      <c r="J8343">
        <v>5353</v>
      </c>
      <c r="K8343">
        <v>2699</v>
      </c>
      <c r="L8343">
        <v>15</v>
      </c>
      <c r="M8343">
        <v>2902</v>
      </c>
      <c r="N8343">
        <v>109</v>
      </c>
      <c r="O8343">
        <v>213</v>
      </c>
      <c r="P8343">
        <v>114</v>
      </c>
      <c r="Q8343">
        <v>48</v>
      </c>
    </row>
    <row r="8344" spans="1:17" x14ac:dyDescent="0.2">
      <c r="A8344" s="121">
        <v>42004</v>
      </c>
      <c r="B8344" t="s">
        <v>406</v>
      </c>
      <c r="C8344" t="s">
        <v>407</v>
      </c>
      <c r="D8344" t="s">
        <v>416</v>
      </c>
      <c r="E8344" t="s">
        <v>417</v>
      </c>
      <c r="F8344" t="s">
        <v>413</v>
      </c>
      <c r="G8344">
        <v>3467</v>
      </c>
      <c r="H8344">
        <v>3467</v>
      </c>
      <c r="I8344">
        <v>3036</v>
      </c>
      <c r="J8344">
        <v>3036</v>
      </c>
      <c r="K8344">
        <v>1425</v>
      </c>
      <c r="L8344">
        <v>5</v>
      </c>
      <c r="M8344">
        <v>1865</v>
      </c>
      <c r="N8344">
        <v>105</v>
      </c>
      <c r="O8344">
        <v>67</v>
      </c>
      <c r="P8344">
        <v>60</v>
      </c>
      <c r="Q8344">
        <v>13</v>
      </c>
    </row>
    <row r="8345" spans="1:17" x14ac:dyDescent="0.2">
      <c r="A8345" s="121">
        <v>42004</v>
      </c>
      <c r="B8345" t="s">
        <v>406</v>
      </c>
      <c r="C8345" t="s">
        <v>407</v>
      </c>
      <c r="D8345" t="s">
        <v>618</v>
      </c>
      <c r="E8345" t="s">
        <v>619</v>
      </c>
      <c r="F8345" t="s">
        <v>410</v>
      </c>
      <c r="G8345">
        <v>77</v>
      </c>
      <c r="I8345">
        <v>77</v>
      </c>
    </row>
    <row r="8346" spans="1:17" x14ac:dyDescent="0.2">
      <c r="A8346" s="121">
        <v>42004</v>
      </c>
      <c r="B8346" t="s">
        <v>406</v>
      </c>
      <c r="C8346" t="s">
        <v>418</v>
      </c>
      <c r="D8346" t="s">
        <v>419</v>
      </c>
      <c r="E8346" t="s">
        <v>420</v>
      </c>
      <c r="F8346" t="s">
        <v>410</v>
      </c>
      <c r="G8346">
        <v>12</v>
      </c>
      <c r="I8346">
        <v>12</v>
      </c>
    </row>
    <row r="8347" spans="1:17" x14ac:dyDescent="0.2">
      <c r="A8347" s="121">
        <v>42004</v>
      </c>
      <c r="B8347" t="s">
        <v>406</v>
      </c>
      <c r="C8347" t="s">
        <v>418</v>
      </c>
      <c r="D8347" t="s">
        <v>421</v>
      </c>
      <c r="E8347" t="s">
        <v>422</v>
      </c>
      <c r="F8347" t="s">
        <v>410</v>
      </c>
      <c r="G8347">
        <v>66</v>
      </c>
      <c r="I8347">
        <v>66</v>
      </c>
    </row>
    <row r="8348" spans="1:17" x14ac:dyDescent="0.2">
      <c r="A8348" s="121">
        <v>42004</v>
      </c>
      <c r="B8348" t="s">
        <v>406</v>
      </c>
      <c r="C8348" t="s">
        <v>418</v>
      </c>
      <c r="D8348" t="s">
        <v>423</v>
      </c>
      <c r="E8348" t="s">
        <v>424</v>
      </c>
      <c r="F8348" t="s">
        <v>410</v>
      </c>
      <c r="G8348">
        <v>9</v>
      </c>
      <c r="I8348">
        <v>9</v>
      </c>
    </row>
    <row r="8349" spans="1:17" x14ac:dyDescent="0.2">
      <c r="A8349" s="121">
        <v>42004</v>
      </c>
      <c r="B8349" t="s">
        <v>406</v>
      </c>
      <c r="C8349" t="s">
        <v>418</v>
      </c>
      <c r="D8349" t="s">
        <v>425</v>
      </c>
      <c r="E8349" t="s">
        <v>426</v>
      </c>
      <c r="F8349" t="s">
        <v>410</v>
      </c>
      <c r="G8349">
        <v>35</v>
      </c>
      <c r="I8349">
        <v>35</v>
      </c>
    </row>
    <row r="8350" spans="1:17" x14ac:dyDescent="0.2">
      <c r="A8350" s="121">
        <v>42004</v>
      </c>
      <c r="B8350" t="s">
        <v>406</v>
      </c>
      <c r="C8350" t="s">
        <v>418</v>
      </c>
      <c r="D8350" t="s">
        <v>427</v>
      </c>
      <c r="E8350" t="s">
        <v>428</v>
      </c>
      <c r="F8350" t="s">
        <v>413</v>
      </c>
      <c r="G8350">
        <v>2256</v>
      </c>
      <c r="H8350">
        <v>2256</v>
      </c>
      <c r="I8350">
        <v>2045</v>
      </c>
      <c r="J8350">
        <v>2045</v>
      </c>
      <c r="K8350">
        <v>960</v>
      </c>
      <c r="L8350">
        <v>5</v>
      </c>
      <c r="M8350">
        <v>1120</v>
      </c>
      <c r="N8350">
        <v>160</v>
      </c>
      <c r="O8350">
        <v>11</v>
      </c>
      <c r="P8350">
        <v>14</v>
      </c>
      <c r="Q8350">
        <v>3</v>
      </c>
    </row>
    <row r="8351" spans="1:17" x14ac:dyDescent="0.2">
      <c r="A8351" s="121">
        <v>42004</v>
      </c>
      <c r="B8351" t="s">
        <v>406</v>
      </c>
      <c r="C8351" t="s">
        <v>429</v>
      </c>
      <c r="D8351" t="s">
        <v>430</v>
      </c>
      <c r="E8351" t="s">
        <v>431</v>
      </c>
      <c r="F8351" t="s">
        <v>410</v>
      </c>
      <c r="G8351">
        <v>10</v>
      </c>
      <c r="I8351">
        <v>10</v>
      </c>
    </row>
    <row r="8352" spans="1:17" x14ac:dyDescent="0.2">
      <c r="A8352" s="121">
        <v>42004</v>
      </c>
      <c r="B8352" t="s">
        <v>406</v>
      </c>
      <c r="C8352" t="s">
        <v>429</v>
      </c>
      <c r="D8352" t="s">
        <v>432</v>
      </c>
      <c r="E8352" t="s">
        <v>433</v>
      </c>
      <c r="F8352" t="s">
        <v>410</v>
      </c>
      <c r="G8352">
        <v>30</v>
      </c>
      <c r="I8352">
        <v>30</v>
      </c>
    </row>
    <row r="8353" spans="1:17" x14ac:dyDescent="0.2">
      <c r="A8353" s="121">
        <v>42004</v>
      </c>
      <c r="B8353" t="s">
        <v>406</v>
      </c>
      <c r="C8353" t="s">
        <v>429</v>
      </c>
      <c r="D8353" t="s">
        <v>434</v>
      </c>
      <c r="E8353" t="s">
        <v>435</v>
      </c>
      <c r="F8353" t="s">
        <v>410</v>
      </c>
      <c r="G8353">
        <v>3</v>
      </c>
      <c r="I8353">
        <v>3</v>
      </c>
    </row>
    <row r="8354" spans="1:17" x14ac:dyDescent="0.2">
      <c r="A8354" s="121">
        <v>42004</v>
      </c>
      <c r="B8354" t="s">
        <v>406</v>
      </c>
      <c r="C8354" t="s">
        <v>429</v>
      </c>
      <c r="D8354" t="s">
        <v>436</v>
      </c>
      <c r="E8354" t="s">
        <v>437</v>
      </c>
      <c r="F8354" t="s">
        <v>410</v>
      </c>
      <c r="G8354">
        <v>9</v>
      </c>
      <c r="H8354">
        <v>9</v>
      </c>
      <c r="I8354">
        <v>9</v>
      </c>
      <c r="J8354">
        <v>9</v>
      </c>
      <c r="K8354">
        <v>0</v>
      </c>
      <c r="L8354">
        <v>0</v>
      </c>
      <c r="M8354">
        <v>5</v>
      </c>
      <c r="N8354">
        <v>4</v>
      </c>
      <c r="O8354">
        <v>0</v>
      </c>
      <c r="P8354">
        <v>0</v>
      </c>
      <c r="Q8354">
        <v>0</v>
      </c>
    </row>
    <row r="8355" spans="1:17" x14ac:dyDescent="0.2">
      <c r="A8355" s="121">
        <v>42004</v>
      </c>
      <c r="B8355" t="s">
        <v>406</v>
      </c>
      <c r="C8355" t="s">
        <v>429</v>
      </c>
      <c r="D8355" t="s">
        <v>438</v>
      </c>
      <c r="E8355" t="s">
        <v>439</v>
      </c>
      <c r="F8355" t="s">
        <v>413</v>
      </c>
      <c r="G8355">
        <v>909</v>
      </c>
      <c r="H8355">
        <v>909</v>
      </c>
      <c r="I8355">
        <v>886</v>
      </c>
      <c r="J8355">
        <v>886</v>
      </c>
      <c r="K8355">
        <v>91</v>
      </c>
      <c r="L8355">
        <v>0</v>
      </c>
      <c r="M8355">
        <v>797</v>
      </c>
      <c r="N8355">
        <v>21</v>
      </c>
      <c r="O8355">
        <v>0</v>
      </c>
      <c r="P8355">
        <v>1</v>
      </c>
      <c r="Q8355">
        <v>0</v>
      </c>
    </row>
    <row r="8356" spans="1:17" x14ac:dyDescent="0.2">
      <c r="A8356" s="121">
        <v>42004</v>
      </c>
      <c r="B8356" t="s">
        <v>406</v>
      </c>
      <c r="C8356" t="s">
        <v>429</v>
      </c>
      <c r="D8356" t="s">
        <v>440</v>
      </c>
      <c r="E8356" t="s">
        <v>441</v>
      </c>
      <c r="F8356" t="s">
        <v>413</v>
      </c>
      <c r="G8356">
        <v>2723</v>
      </c>
      <c r="H8356">
        <v>2723</v>
      </c>
      <c r="I8356">
        <v>2642</v>
      </c>
      <c r="J8356">
        <v>2642</v>
      </c>
      <c r="K8356">
        <v>984</v>
      </c>
      <c r="L8356">
        <v>5</v>
      </c>
      <c r="M8356">
        <v>1653</v>
      </c>
      <c r="N8356">
        <v>81</v>
      </c>
      <c r="O8356">
        <v>0</v>
      </c>
      <c r="P8356">
        <v>0</v>
      </c>
      <c r="Q8356">
        <v>0</v>
      </c>
    </row>
    <row r="8357" spans="1:17" x14ac:dyDescent="0.2">
      <c r="A8357" s="121">
        <v>42004</v>
      </c>
      <c r="B8357" t="s">
        <v>406</v>
      </c>
      <c r="C8357" t="s">
        <v>442</v>
      </c>
      <c r="D8357" t="s">
        <v>443</v>
      </c>
      <c r="E8357" t="s">
        <v>444</v>
      </c>
      <c r="F8357" t="s">
        <v>413</v>
      </c>
      <c r="G8357">
        <v>5096</v>
      </c>
      <c r="H8357">
        <v>5096</v>
      </c>
      <c r="I8357">
        <v>4476</v>
      </c>
      <c r="J8357">
        <v>4476</v>
      </c>
      <c r="K8357">
        <v>1379</v>
      </c>
      <c r="L8357">
        <v>17</v>
      </c>
      <c r="M8357">
        <v>3386</v>
      </c>
      <c r="N8357">
        <v>147</v>
      </c>
      <c r="O8357">
        <v>167</v>
      </c>
      <c r="P8357">
        <v>89</v>
      </c>
      <c r="Q8357">
        <v>10</v>
      </c>
    </row>
    <row r="8358" spans="1:17" x14ac:dyDescent="0.2">
      <c r="A8358" s="121">
        <v>42004</v>
      </c>
      <c r="B8358" t="s">
        <v>406</v>
      </c>
      <c r="C8358" t="s">
        <v>442</v>
      </c>
      <c r="D8358" t="s">
        <v>445</v>
      </c>
      <c r="E8358" t="s">
        <v>446</v>
      </c>
      <c r="F8358" t="s">
        <v>410</v>
      </c>
      <c r="G8358">
        <v>93</v>
      </c>
      <c r="I8358">
        <v>93</v>
      </c>
    </row>
    <row r="8359" spans="1:17" x14ac:dyDescent="0.2">
      <c r="A8359" s="121">
        <v>42004</v>
      </c>
      <c r="B8359" t="s">
        <v>406</v>
      </c>
      <c r="C8359" t="s">
        <v>442</v>
      </c>
      <c r="D8359" t="s">
        <v>447</v>
      </c>
      <c r="E8359" t="s">
        <v>448</v>
      </c>
      <c r="F8359" t="s">
        <v>410</v>
      </c>
      <c r="G8359">
        <v>248</v>
      </c>
      <c r="I8359">
        <v>247</v>
      </c>
    </row>
    <row r="8360" spans="1:17" x14ac:dyDescent="0.2">
      <c r="A8360" s="121">
        <v>42004</v>
      </c>
      <c r="B8360" t="s">
        <v>406</v>
      </c>
      <c r="C8360" t="s">
        <v>442</v>
      </c>
      <c r="D8360" t="s">
        <v>449</v>
      </c>
      <c r="E8360" t="s">
        <v>624</v>
      </c>
      <c r="F8360" t="s">
        <v>410</v>
      </c>
      <c r="G8360">
        <v>1423</v>
      </c>
      <c r="H8360">
        <v>1423</v>
      </c>
      <c r="I8360">
        <v>1422</v>
      </c>
      <c r="J8360">
        <v>1422</v>
      </c>
      <c r="K8360">
        <v>14</v>
      </c>
      <c r="L8360">
        <v>0</v>
      </c>
      <c r="M8360">
        <v>1254</v>
      </c>
      <c r="N8360">
        <v>149</v>
      </c>
      <c r="O8360">
        <v>6</v>
      </c>
      <c r="P8360">
        <v>0</v>
      </c>
      <c r="Q8360">
        <v>0</v>
      </c>
    </row>
    <row r="8361" spans="1:17" x14ac:dyDescent="0.2">
      <c r="A8361" s="121">
        <v>42004</v>
      </c>
      <c r="B8361" t="s">
        <v>406</v>
      </c>
      <c r="C8361" t="s">
        <v>451</v>
      </c>
      <c r="D8361" t="s">
        <v>454</v>
      </c>
      <c r="E8361" t="s">
        <v>621</v>
      </c>
      <c r="F8361" t="s">
        <v>410</v>
      </c>
      <c r="G8361">
        <v>958</v>
      </c>
      <c r="H8361">
        <v>958</v>
      </c>
      <c r="I8361">
        <v>957</v>
      </c>
      <c r="J8361">
        <v>957</v>
      </c>
      <c r="K8361">
        <v>2</v>
      </c>
      <c r="L8361">
        <v>0</v>
      </c>
      <c r="M8361">
        <v>783</v>
      </c>
      <c r="N8361">
        <v>53</v>
      </c>
      <c r="O8361">
        <v>120</v>
      </c>
      <c r="P8361">
        <v>0</v>
      </c>
      <c r="Q8361">
        <v>0</v>
      </c>
    </row>
    <row r="8362" spans="1:17" x14ac:dyDescent="0.2">
      <c r="A8362" s="121">
        <v>42004</v>
      </c>
      <c r="B8362" t="s">
        <v>406</v>
      </c>
      <c r="C8362" t="s">
        <v>451</v>
      </c>
      <c r="D8362" t="s">
        <v>622</v>
      </c>
      <c r="E8362" t="s">
        <v>623</v>
      </c>
      <c r="F8362" t="s">
        <v>413</v>
      </c>
      <c r="G8362">
        <v>4918</v>
      </c>
      <c r="H8362">
        <v>4918</v>
      </c>
      <c r="I8362">
        <v>3991</v>
      </c>
      <c r="J8362">
        <v>3991</v>
      </c>
      <c r="K8362">
        <v>1197</v>
      </c>
      <c r="L8362">
        <v>15</v>
      </c>
      <c r="M8362">
        <v>3260</v>
      </c>
      <c r="N8362">
        <v>19</v>
      </c>
      <c r="O8362">
        <v>427</v>
      </c>
      <c r="P8362">
        <v>193</v>
      </c>
      <c r="Q8362">
        <v>31</v>
      </c>
    </row>
    <row r="8363" spans="1:17" x14ac:dyDescent="0.2">
      <c r="A8363" s="121">
        <v>42004</v>
      </c>
      <c r="B8363" t="s">
        <v>406</v>
      </c>
      <c r="C8363" t="s">
        <v>456</v>
      </c>
      <c r="D8363" t="s">
        <v>457</v>
      </c>
      <c r="E8363" t="s">
        <v>458</v>
      </c>
      <c r="F8363" t="s">
        <v>413</v>
      </c>
      <c r="G8363">
        <v>4736</v>
      </c>
      <c r="H8363">
        <v>4736</v>
      </c>
      <c r="I8363">
        <v>4232</v>
      </c>
      <c r="J8363">
        <v>4232</v>
      </c>
      <c r="K8363">
        <v>1300</v>
      </c>
      <c r="L8363">
        <v>18</v>
      </c>
      <c r="M8363">
        <v>3005</v>
      </c>
      <c r="N8363">
        <v>21</v>
      </c>
      <c r="O8363">
        <v>392</v>
      </c>
      <c r="P8363">
        <v>18</v>
      </c>
      <c r="Q8363">
        <v>0</v>
      </c>
    </row>
    <row r="8364" spans="1:17" x14ac:dyDescent="0.2">
      <c r="A8364" s="121">
        <v>42004</v>
      </c>
      <c r="B8364" t="s">
        <v>406</v>
      </c>
      <c r="C8364" t="s">
        <v>456</v>
      </c>
      <c r="D8364" t="s">
        <v>459</v>
      </c>
      <c r="E8364" t="s">
        <v>460</v>
      </c>
      <c r="F8364" t="s">
        <v>413</v>
      </c>
      <c r="G8364">
        <v>1326</v>
      </c>
      <c r="H8364">
        <v>1326</v>
      </c>
      <c r="I8364">
        <v>1307</v>
      </c>
      <c r="J8364">
        <v>1307</v>
      </c>
      <c r="K8364">
        <v>349</v>
      </c>
      <c r="L8364">
        <v>1</v>
      </c>
      <c r="M8364">
        <v>975</v>
      </c>
      <c r="N8364">
        <v>0</v>
      </c>
      <c r="O8364">
        <v>1</v>
      </c>
      <c r="P8364">
        <v>0</v>
      </c>
      <c r="Q8364">
        <v>0</v>
      </c>
    </row>
    <row r="8365" spans="1:17" x14ac:dyDescent="0.2">
      <c r="A8365" s="121">
        <v>42004</v>
      </c>
      <c r="B8365" t="s">
        <v>406</v>
      </c>
      <c r="C8365" t="s">
        <v>456</v>
      </c>
      <c r="D8365" t="s">
        <v>461</v>
      </c>
      <c r="E8365" t="s">
        <v>462</v>
      </c>
      <c r="F8365" t="s">
        <v>410</v>
      </c>
      <c r="G8365">
        <v>75</v>
      </c>
      <c r="I8365">
        <v>75</v>
      </c>
    </row>
    <row r="8366" spans="1:17" x14ac:dyDescent="0.2">
      <c r="A8366" s="121">
        <v>42004</v>
      </c>
      <c r="B8366" t="s">
        <v>406</v>
      </c>
      <c r="C8366" t="s">
        <v>456</v>
      </c>
      <c r="D8366" t="s">
        <v>463</v>
      </c>
      <c r="E8366" t="s">
        <v>464</v>
      </c>
      <c r="F8366" t="s">
        <v>410</v>
      </c>
      <c r="G8366">
        <v>11</v>
      </c>
      <c r="I8366">
        <v>11</v>
      </c>
    </row>
    <row r="8367" spans="1:17" x14ac:dyDescent="0.2">
      <c r="A8367" s="121">
        <v>42004</v>
      </c>
      <c r="B8367" t="s">
        <v>406</v>
      </c>
      <c r="C8367" t="s">
        <v>456</v>
      </c>
      <c r="D8367" t="s">
        <v>465</v>
      </c>
      <c r="E8367" t="s">
        <v>466</v>
      </c>
      <c r="F8367" t="s">
        <v>410</v>
      </c>
      <c r="G8367">
        <v>31</v>
      </c>
      <c r="I8367">
        <v>31</v>
      </c>
    </row>
    <row r="8368" spans="1:17" x14ac:dyDescent="0.2">
      <c r="A8368" s="121">
        <v>42004</v>
      </c>
      <c r="B8368" t="s">
        <v>406</v>
      </c>
      <c r="C8368" t="s">
        <v>456</v>
      </c>
      <c r="D8368" t="s">
        <v>467</v>
      </c>
      <c r="E8368" t="s">
        <v>468</v>
      </c>
      <c r="F8368" t="s">
        <v>410</v>
      </c>
      <c r="G8368">
        <v>1344</v>
      </c>
      <c r="I8368">
        <v>1342</v>
      </c>
    </row>
    <row r="8369" spans="1:17" x14ac:dyDescent="0.2">
      <c r="A8369" s="121">
        <v>42004</v>
      </c>
      <c r="B8369" t="s">
        <v>406</v>
      </c>
      <c r="C8369" t="s">
        <v>456</v>
      </c>
      <c r="D8369" t="s">
        <v>469</v>
      </c>
      <c r="E8369" t="s">
        <v>470</v>
      </c>
      <c r="F8369" t="s">
        <v>410</v>
      </c>
      <c r="G8369">
        <v>729</v>
      </c>
      <c r="I8369">
        <v>727</v>
      </c>
    </row>
    <row r="8370" spans="1:17" x14ac:dyDescent="0.2">
      <c r="A8370" s="121">
        <v>42004</v>
      </c>
      <c r="B8370" t="s">
        <v>406</v>
      </c>
      <c r="C8370" t="s">
        <v>456</v>
      </c>
      <c r="D8370" t="s">
        <v>471</v>
      </c>
      <c r="E8370" t="s">
        <v>472</v>
      </c>
      <c r="F8370" t="s">
        <v>410</v>
      </c>
      <c r="G8370">
        <v>294</v>
      </c>
      <c r="I8370">
        <v>292</v>
      </c>
    </row>
    <row r="8371" spans="1:17" x14ac:dyDescent="0.2">
      <c r="A8371" s="121">
        <v>42004</v>
      </c>
      <c r="B8371" t="s">
        <v>406</v>
      </c>
      <c r="C8371" t="s">
        <v>456</v>
      </c>
      <c r="D8371" t="s">
        <v>473</v>
      </c>
      <c r="E8371" t="s">
        <v>474</v>
      </c>
      <c r="F8371" t="s">
        <v>410</v>
      </c>
      <c r="G8371">
        <v>159</v>
      </c>
      <c r="I8371">
        <v>159</v>
      </c>
    </row>
    <row r="8372" spans="1:17" x14ac:dyDescent="0.2">
      <c r="A8372" s="121">
        <v>42004</v>
      </c>
      <c r="B8372" t="s">
        <v>406</v>
      </c>
      <c r="C8372" t="s">
        <v>456</v>
      </c>
      <c r="D8372" t="s">
        <v>475</v>
      </c>
      <c r="E8372" t="s">
        <v>476</v>
      </c>
      <c r="F8372" t="s">
        <v>410</v>
      </c>
      <c r="G8372">
        <v>263</v>
      </c>
      <c r="I8372">
        <v>259</v>
      </c>
    </row>
    <row r="8373" spans="1:17" x14ac:dyDescent="0.2">
      <c r="A8373" s="121">
        <v>42004</v>
      </c>
      <c r="B8373" t="s">
        <v>406</v>
      </c>
      <c r="C8373" t="s">
        <v>456</v>
      </c>
      <c r="D8373" t="s">
        <v>477</v>
      </c>
      <c r="E8373" t="s">
        <v>478</v>
      </c>
      <c r="F8373" t="s">
        <v>413</v>
      </c>
      <c r="G8373">
        <v>1985</v>
      </c>
      <c r="H8373">
        <v>1985</v>
      </c>
      <c r="I8373">
        <v>1885</v>
      </c>
      <c r="J8373">
        <v>1885</v>
      </c>
      <c r="K8373">
        <v>449</v>
      </c>
      <c r="L8373">
        <v>2</v>
      </c>
      <c r="M8373">
        <v>1521</v>
      </c>
      <c r="N8373">
        <v>13</v>
      </c>
      <c r="O8373">
        <v>0</v>
      </c>
      <c r="P8373">
        <v>7</v>
      </c>
      <c r="Q8373">
        <v>0</v>
      </c>
    </row>
    <row r="8374" spans="1:17" x14ac:dyDescent="0.2">
      <c r="A8374" s="121">
        <v>42004</v>
      </c>
      <c r="B8374" t="s">
        <v>406</v>
      </c>
      <c r="C8374" t="s">
        <v>456</v>
      </c>
      <c r="D8374" t="s">
        <v>479</v>
      </c>
      <c r="E8374" t="s">
        <v>480</v>
      </c>
      <c r="F8374" t="s">
        <v>410</v>
      </c>
      <c r="G8374">
        <v>33</v>
      </c>
      <c r="I8374">
        <v>33</v>
      </c>
    </row>
    <row r="8375" spans="1:17" x14ac:dyDescent="0.2">
      <c r="A8375" s="121">
        <v>42004</v>
      </c>
      <c r="B8375" t="s">
        <v>406</v>
      </c>
      <c r="C8375" t="s">
        <v>456</v>
      </c>
      <c r="D8375" t="s">
        <v>481</v>
      </c>
      <c r="E8375" t="s">
        <v>482</v>
      </c>
      <c r="F8375" t="s">
        <v>410</v>
      </c>
      <c r="G8375">
        <v>28</v>
      </c>
      <c r="I8375">
        <v>28</v>
      </c>
    </row>
    <row r="8376" spans="1:17" x14ac:dyDescent="0.2">
      <c r="A8376" s="121">
        <v>42004</v>
      </c>
      <c r="B8376" t="s">
        <v>406</v>
      </c>
      <c r="C8376" t="s">
        <v>456</v>
      </c>
      <c r="D8376" t="s">
        <v>483</v>
      </c>
      <c r="E8376" t="s">
        <v>484</v>
      </c>
      <c r="F8376" t="s">
        <v>410</v>
      </c>
      <c r="G8376">
        <v>90</v>
      </c>
      <c r="I8376">
        <v>90</v>
      </c>
    </row>
    <row r="8377" spans="1:17" x14ac:dyDescent="0.2">
      <c r="A8377" s="121">
        <v>42004</v>
      </c>
      <c r="B8377" t="s">
        <v>406</v>
      </c>
      <c r="C8377" t="s">
        <v>456</v>
      </c>
      <c r="D8377" t="s">
        <v>487</v>
      </c>
      <c r="E8377" t="s">
        <v>488</v>
      </c>
      <c r="F8377" t="s">
        <v>410</v>
      </c>
      <c r="G8377">
        <v>18</v>
      </c>
      <c r="I8377">
        <v>18</v>
      </c>
    </row>
    <row r="8378" spans="1:17" x14ac:dyDescent="0.2">
      <c r="A8378" s="121">
        <v>42004</v>
      </c>
      <c r="B8378" t="s">
        <v>406</v>
      </c>
      <c r="C8378" t="s">
        <v>456</v>
      </c>
      <c r="D8378" t="s">
        <v>489</v>
      </c>
      <c r="E8378" t="s">
        <v>490</v>
      </c>
      <c r="F8378" t="s">
        <v>410</v>
      </c>
      <c r="G8378">
        <v>88</v>
      </c>
      <c r="I8378">
        <v>88</v>
      </c>
    </row>
    <row r="8379" spans="1:17" x14ac:dyDescent="0.2">
      <c r="A8379" s="121">
        <v>42004</v>
      </c>
      <c r="B8379" t="s">
        <v>406</v>
      </c>
      <c r="C8379" t="s">
        <v>456</v>
      </c>
      <c r="D8379" t="s">
        <v>628</v>
      </c>
      <c r="E8379" t="s">
        <v>629</v>
      </c>
      <c r="F8379" t="s">
        <v>410</v>
      </c>
      <c r="G8379">
        <v>65</v>
      </c>
      <c r="I8379">
        <v>65</v>
      </c>
    </row>
    <row r="8380" spans="1:17" x14ac:dyDescent="0.2">
      <c r="A8380" s="121">
        <v>42004</v>
      </c>
      <c r="B8380" t="s">
        <v>406</v>
      </c>
      <c r="C8380" t="s">
        <v>491</v>
      </c>
      <c r="D8380" t="s">
        <v>492</v>
      </c>
      <c r="E8380" t="s">
        <v>493</v>
      </c>
      <c r="F8380" t="s">
        <v>410</v>
      </c>
      <c r="G8380">
        <v>1143</v>
      </c>
      <c r="H8380">
        <v>1143</v>
      </c>
      <c r="I8380">
        <v>1056</v>
      </c>
      <c r="J8380">
        <v>1056</v>
      </c>
      <c r="K8380">
        <v>247</v>
      </c>
      <c r="L8380">
        <v>0</v>
      </c>
      <c r="M8380">
        <v>816</v>
      </c>
      <c r="N8380">
        <v>71</v>
      </c>
      <c r="O8380">
        <v>9</v>
      </c>
      <c r="P8380">
        <v>1</v>
      </c>
      <c r="Q8380">
        <v>0</v>
      </c>
    </row>
    <row r="8381" spans="1:17" x14ac:dyDescent="0.2">
      <c r="A8381" s="121">
        <v>42004</v>
      </c>
      <c r="B8381" t="s">
        <v>406</v>
      </c>
      <c r="C8381" t="s">
        <v>491</v>
      </c>
      <c r="D8381" t="s">
        <v>494</v>
      </c>
      <c r="E8381" t="s">
        <v>495</v>
      </c>
      <c r="F8381" t="s">
        <v>413</v>
      </c>
      <c r="G8381">
        <v>2438</v>
      </c>
      <c r="H8381">
        <v>2438</v>
      </c>
      <c r="I8381">
        <v>2130</v>
      </c>
      <c r="J8381">
        <v>2130</v>
      </c>
      <c r="K8381">
        <v>784</v>
      </c>
      <c r="L8381">
        <v>6</v>
      </c>
      <c r="M8381">
        <v>1489</v>
      </c>
      <c r="N8381">
        <v>43</v>
      </c>
      <c r="O8381">
        <v>116</v>
      </c>
      <c r="P8381">
        <v>16</v>
      </c>
      <c r="Q8381">
        <v>0</v>
      </c>
    </row>
    <row r="8382" spans="1:17" x14ac:dyDescent="0.2">
      <c r="A8382" s="121">
        <v>42004</v>
      </c>
      <c r="B8382" t="s">
        <v>406</v>
      </c>
      <c r="C8382" t="s">
        <v>491</v>
      </c>
      <c r="D8382" t="s">
        <v>496</v>
      </c>
      <c r="E8382" t="s">
        <v>497</v>
      </c>
      <c r="F8382" t="s">
        <v>413</v>
      </c>
      <c r="G8382">
        <v>5493</v>
      </c>
      <c r="H8382">
        <v>5493</v>
      </c>
      <c r="I8382">
        <v>4251</v>
      </c>
      <c r="J8382">
        <v>4251</v>
      </c>
      <c r="K8382">
        <v>2058</v>
      </c>
      <c r="L8382">
        <v>17</v>
      </c>
      <c r="M8382">
        <v>3138</v>
      </c>
      <c r="N8382">
        <v>120</v>
      </c>
      <c r="O8382">
        <v>160</v>
      </c>
      <c r="P8382">
        <v>220</v>
      </c>
      <c r="Q8382">
        <v>2</v>
      </c>
    </row>
    <row r="8383" spans="1:17" x14ac:dyDescent="0.2">
      <c r="A8383" s="121">
        <v>42004</v>
      </c>
      <c r="B8383" t="s">
        <v>406</v>
      </c>
      <c r="C8383" t="s">
        <v>491</v>
      </c>
      <c r="D8383" t="s">
        <v>498</v>
      </c>
      <c r="E8383" t="s">
        <v>499</v>
      </c>
      <c r="F8383" t="s">
        <v>413</v>
      </c>
      <c r="G8383">
        <v>6506</v>
      </c>
      <c r="H8383">
        <v>6506</v>
      </c>
      <c r="I8383">
        <v>5554</v>
      </c>
      <c r="J8383">
        <v>5554</v>
      </c>
      <c r="K8383">
        <v>2081</v>
      </c>
      <c r="L8383">
        <v>15</v>
      </c>
      <c r="M8383">
        <v>3968</v>
      </c>
      <c r="N8383">
        <v>115</v>
      </c>
      <c r="O8383">
        <v>327</v>
      </c>
      <c r="P8383">
        <v>42</v>
      </c>
      <c r="Q8383">
        <v>0</v>
      </c>
    </row>
    <row r="8384" spans="1:17" x14ac:dyDescent="0.2">
      <c r="A8384" s="121">
        <v>42004</v>
      </c>
      <c r="B8384" t="s">
        <v>406</v>
      </c>
      <c r="C8384" t="s">
        <v>491</v>
      </c>
      <c r="D8384" t="s">
        <v>500</v>
      </c>
      <c r="E8384" t="s">
        <v>620</v>
      </c>
      <c r="F8384" t="s">
        <v>410</v>
      </c>
      <c r="G8384">
        <v>1069</v>
      </c>
      <c r="H8384">
        <v>1069</v>
      </c>
      <c r="I8384">
        <v>1069</v>
      </c>
      <c r="J8384">
        <v>1069</v>
      </c>
      <c r="K8384">
        <v>0</v>
      </c>
      <c r="L8384">
        <v>1</v>
      </c>
      <c r="M8384">
        <v>982</v>
      </c>
      <c r="N8384">
        <v>76</v>
      </c>
      <c r="O8384">
        <v>10</v>
      </c>
      <c r="P8384">
        <v>0</v>
      </c>
      <c r="Q8384">
        <v>0</v>
      </c>
    </row>
    <row r="8385" spans="1:17" x14ac:dyDescent="0.2">
      <c r="A8385" s="121">
        <v>42004</v>
      </c>
      <c r="B8385" t="s">
        <v>406</v>
      </c>
      <c r="C8385" t="s">
        <v>491</v>
      </c>
      <c r="D8385" t="s">
        <v>502</v>
      </c>
      <c r="E8385" t="s">
        <v>615</v>
      </c>
      <c r="F8385" t="s">
        <v>410</v>
      </c>
      <c r="G8385">
        <v>1566</v>
      </c>
      <c r="H8385">
        <v>1566</v>
      </c>
      <c r="I8385">
        <v>1566</v>
      </c>
      <c r="J8385">
        <v>1566</v>
      </c>
      <c r="K8385">
        <v>1</v>
      </c>
      <c r="L8385">
        <v>0</v>
      </c>
      <c r="M8385">
        <v>1458</v>
      </c>
      <c r="N8385">
        <v>101</v>
      </c>
      <c r="O8385">
        <v>6</v>
      </c>
      <c r="P8385">
        <v>0</v>
      </c>
      <c r="Q8385">
        <v>0</v>
      </c>
    </row>
    <row r="8386" spans="1:17" x14ac:dyDescent="0.2">
      <c r="A8386" s="121">
        <v>42004</v>
      </c>
      <c r="B8386" t="s">
        <v>406</v>
      </c>
      <c r="C8386" t="s">
        <v>491</v>
      </c>
      <c r="D8386" t="s">
        <v>502</v>
      </c>
      <c r="E8386" t="s">
        <v>503</v>
      </c>
      <c r="F8386" t="s">
        <v>413</v>
      </c>
      <c r="G8386">
        <v>4734</v>
      </c>
      <c r="H8386">
        <v>4734</v>
      </c>
      <c r="I8386">
        <v>3850</v>
      </c>
      <c r="J8386">
        <v>3850</v>
      </c>
      <c r="K8386">
        <v>1496</v>
      </c>
      <c r="L8386">
        <v>28</v>
      </c>
      <c r="M8386">
        <v>2846</v>
      </c>
      <c r="N8386">
        <v>290</v>
      </c>
      <c r="O8386">
        <v>74</v>
      </c>
      <c r="P8386">
        <v>154</v>
      </c>
      <c r="Q8386">
        <v>24</v>
      </c>
    </row>
    <row r="8387" spans="1:17" x14ac:dyDescent="0.2">
      <c r="A8387" s="121">
        <v>42004</v>
      </c>
      <c r="B8387" t="s">
        <v>406</v>
      </c>
      <c r="C8387" t="s">
        <v>491</v>
      </c>
      <c r="D8387" t="s">
        <v>504</v>
      </c>
      <c r="E8387" t="s">
        <v>505</v>
      </c>
      <c r="F8387" t="s">
        <v>413</v>
      </c>
      <c r="G8387">
        <v>3848</v>
      </c>
      <c r="H8387">
        <v>3848</v>
      </c>
      <c r="I8387">
        <v>3300</v>
      </c>
      <c r="J8387">
        <v>3300</v>
      </c>
      <c r="K8387">
        <v>1219</v>
      </c>
      <c r="L8387">
        <v>21</v>
      </c>
      <c r="M8387">
        <v>2383</v>
      </c>
      <c r="N8387">
        <v>165</v>
      </c>
      <c r="O8387">
        <v>60</v>
      </c>
      <c r="P8387">
        <v>41</v>
      </c>
      <c r="Q8387">
        <v>1</v>
      </c>
    </row>
    <row r="8388" spans="1:17" x14ac:dyDescent="0.2">
      <c r="A8388" s="121">
        <v>42004</v>
      </c>
      <c r="B8388" t="s">
        <v>406</v>
      </c>
      <c r="C8388" t="s">
        <v>491</v>
      </c>
      <c r="D8388" t="s">
        <v>506</v>
      </c>
      <c r="E8388" t="s">
        <v>507</v>
      </c>
      <c r="F8388" t="s">
        <v>413</v>
      </c>
      <c r="G8388">
        <v>4538</v>
      </c>
      <c r="H8388">
        <v>4538</v>
      </c>
      <c r="I8388">
        <v>4424</v>
      </c>
      <c r="J8388">
        <v>4424</v>
      </c>
      <c r="K8388">
        <v>1330</v>
      </c>
      <c r="L8388">
        <v>2</v>
      </c>
      <c r="M8388">
        <v>3201</v>
      </c>
      <c r="N8388">
        <v>1</v>
      </c>
      <c r="O8388">
        <v>4</v>
      </c>
      <c r="P8388">
        <v>0</v>
      </c>
      <c r="Q8388">
        <v>0</v>
      </c>
    </row>
    <row r="8389" spans="1:17" x14ac:dyDescent="0.2">
      <c r="A8389" s="121">
        <v>42004</v>
      </c>
      <c r="B8389" t="s">
        <v>406</v>
      </c>
      <c r="C8389" t="s">
        <v>491</v>
      </c>
      <c r="D8389" t="s">
        <v>508</v>
      </c>
      <c r="E8389" t="s">
        <v>509</v>
      </c>
      <c r="F8389" t="s">
        <v>413</v>
      </c>
      <c r="G8389">
        <v>4781</v>
      </c>
      <c r="H8389">
        <v>4781</v>
      </c>
      <c r="I8389">
        <v>3311</v>
      </c>
      <c r="J8389">
        <v>3311</v>
      </c>
      <c r="K8389">
        <v>1604</v>
      </c>
      <c r="L8389">
        <v>17</v>
      </c>
      <c r="M8389">
        <v>2838</v>
      </c>
      <c r="N8389">
        <v>157</v>
      </c>
      <c r="O8389">
        <v>165</v>
      </c>
      <c r="P8389">
        <v>242</v>
      </c>
      <c r="Q8389">
        <v>13</v>
      </c>
    </row>
    <row r="8390" spans="1:17" x14ac:dyDescent="0.2">
      <c r="A8390" s="121">
        <v>42004</v>
      </c>
      <c r="B8390" t="s">
        <v>406</v>
      </c>
      <c r="C8390" t="s">
        <v>510</v>
      </c>
      <c r="D8390" t="s">
        <v>513</v>
      </c>
      <c r="E8390" t="s">
        <v>514</v>
      </c>
      <c r="F8390" t="s">
        <v>410</v>
      </c>
      <c r="G8390">
        <v>518</v>
      </c>
      <c r="I8390">
        <v>511</v>
      </c>
    </row>
    <row r="8391" spans="1:17" x14ac:dyDescent="0.2">
      <c r="A8391" s="121">
        <v>42004</v>
      </c>
      <c r="B8391" t="s">
        <v>406</v>
      </c>
      <c r="C8391" t="s">
        <v>510</v>
      </c>
      <c r="D8391" t="s">
        <v>515</v>
      </c>
      <c r="E8391" t="s">
        <v>516</v>
      </c>
      <c r="F8391" t="s">
        <v>410</v>
      </c>
      <c r="G8391">
        <v>77</v>
      </c>
      <c r="I8391">
        <v>76</v>
      </c>
    </row>
    <row r="8392" spans="1:17" x14ac:dyDescent="0.2">
      <c r="A8392" s="121">
        <v>42004</v>
      </c>
      <c r="B8392" t="s">
        <v>406</v>
      </c>
      <c r="C8392" t="s">
        <v>510</v>
      </c>
      <c r="D8392" t="s">
        <v>519</v>
      </c>
      <c r="E8392" t="s">
        <v>520</v>
      </c>
      <c r="F8392" t="s">
        <v>410</v>
      </c>
      <c r="G8392">
        <v>353</v>
      </c>
      <c r="I8392">
        <v>342</v>
      </c>
    </row>
    <row r="8393" spans="1:17" x14ac:dyDescent="0.2">
      <c r="A8393" s="121">
        <v>42004</v>
      </c>
      <c r="B8393" t="s">
        <v>406</v>
      </c>
      <c r="C8393" t="s">
        <v>510</v>
      </c>
      <c r="D8393" t="s">
        <v>523</v>
      </c>
      <c r="E8393" t="s">
        <v>524</v>
      </c>
      <c r="F8393" t="s">
        <v>413</v>
      </c>
      <c r="G8393">
        <v>471</v>
      </c>
      <c r="H8393">
        <v>471</v>
      </c>
      <c r="I8393">
        <v>463</v>
      </c>
      <c r="J8393">
        <v>463</v>
      </c>
      <c r="K8393">
        <v>105</v>
      </c>
      <c r="L8393">
        <v>0</v>
      </c>
      <c r="M8393">
        <v>351</v>
      </c>
      <c r="N8393">
        <v>15</v>
      </c>
      <c r="O8393">
        <v>0</v>
      </c>
      <c r="P8393">
        <v>2</v>
      </c>
      <c r="Q8393">
        <v>1</v>
      </c>
    </row>
    <row r="8394" spans="1:17" x14ac:dyDescent="0.2">
      <c r="A8394" s="121">
        <v>42004</v>
      </c>
      <c r="B8394" t="s">
        <v>406</v>
      </c>
      <c r="C8394" t="s">
        <v>510</v>
      </c>
      <c r="D8394" t="s">
        <v>525</v>
      </c>
      <c r="E8394" t="s">
        <v>526</v>
      </c>
      <c r="F8394" t="s">
        <v>410</v>
      </c>
      <c r="G8394">
        <v>404</v>
      </c>
      <c r="I8394">
        <v>402</v>
      </c>
    </row>
    <row r="8395" spans="1:17" x14ac:dyDescent="0.2">
      <c r="A8395" s="121">
        <v>42004</v>
      </c>
      <c r="B8395" t="s">
        <v>406</v>
      </c>
      <c r="C8395" t="s">
        <v>510</v>
      </c>
      <c r="D8395" t="s">
        <v>527</v>
      </c>
      <c r="E8395" t="s">
        <v>528</v>
      </c>
      <c r="F8395" t="s">
        <v>410</v>
      </c>
      <c r="G8395">
        <v>184</v>
      </c>
      <c r="I8395">
        <v>183</v>
      </c>
    </row>
    <row r="8396" spans="1:17" x14ac:dyDescent="0.2">
      <c r="A8396" s="121">
        <v>42004</v>
      </c>
      <c r="B8396" t="s">
        <v>406</v>
      </c>
      <c r="C8396" t="s">
        <v>510</v>
      </c>
      <c r="D8396" t="s">
        <v>529</v>
      </c>
      <c r="E8396" t="s">
        <v>530</v>
      </c>
      <c r="F8396" t="s">
        <v>413</v>
      </c>
      <c r="G8396">
        <v>509</v>
      </c>
      <c r="H8396">
        <v>509</v>
      </c>
      <c r="I8396">
        <v>482</v>
      </c>
      <c r="J8396">
        <v>482</v>
      </c>
      <c r="K8396">
        <v>151</v>
      </c>
      <c r="L8396">
        <v>2</v>
      </c>
      <c r="M8396">
        <v>355</v>
      </c>
      <c r="N8396">
        <v>1</v>
      </c>
      <c r="O8396">
        <v>0</v>
      </c>
      <c r="P8396">
        <v>2</v>
      </c>
      <c r="Q8396">
        <v>0</v>
      </c>
    </row>
    <row r="8397" spans="1:17" x14ac:dyDescent="0.2">
      <c r="A8397" s="121">
        <v>42004</v>
      </c>
      <c r="B8397" t="s">
        <v>406</v>
      </c>
      <c r="C8397" t="s">
        <v>510</v>
      </c>
      <c r="D8397" t="s">
        <v>531</v>
      </c>
      <c r="E8397" t="s">
        <v>532</v>
      </c>
      <c r="F8397" t="s">
        <v>410</v>
      </c>
      <c r="G8397">
        <v>8</v>
      </c>
      <c r="I8397">
        <v>8</v>
      </c>
    </row>
    <row r="8398" spans="1:17" x14ac:dyDescent="0.2">
      <c r="A8398" s="121">
        <v>42004</v>
      </c>
      <c r="B8398" t="s">
        <v>406</v>
      </c>
      <c r="C8398" t="s">
        <v>510</v>
      </c>
      <c r="D8398" t="s">
        <v>533</v>
      </c>
      <c r="E8398" t="s">
        <v>534</v>
      </c>
      <c r="F8398" t="s">
        <v>413</v>
      </c>
      <c r="G8398">
        <v>2473</v>
      </c>
      <c r="H8398">
        <v>2473</v>
      </c>
      <c r="I8398">
        <v>2335</v>
      </c>
      <c r="J8398">
        <v>2335</v>
      </c>
      <c r="K8398">
        <v>663</v>
      </c>
      <c r="L8398">
        <v>4</v>
      </c>
      <c r="M8398">
        <v>1796</v>
      </c>
      <c r="N8398">
        <v>10</v>
      </c>
      <c r="O8398">
        <v>0</v>
      </c>
      <c r="P8398">
        <v>2</v>
      </c>
      <c r="Q8398">
        <v>1</v>
      </c>
    </row>
    <row r="8399" spans="1:17" x14ac:dyDescent="0.2">
      <c r="A8399" s="121">
        <v>42004</v>
      </c>
      <c r="B8399" t="s">
        <v>406</v>
      </c>
      <c r="C8399" t="s">
        <v>510</v>
      </c>
      <c r="D8399" t="s">
        <v>535</v>
      </c>
      <c r="E8399" t="s">
        <v>536</v>
      </c>
      <c r="F8399" t="s">
        <v>410</v>
      </c>
      <c r="G8399">
        <v>340</v>
      </c>
      <c r="I8399">
        <v>340</v>
      </c>
    </row>
    <row r="8400" spans="1:17" x14ac:dyDescent="0.2">
      <c r="A8400" s="121">
        <v>42004</v>
      </c>
      <c r="B8400" t="s">
        <v>406</v>
      </c>
      <c r="C8400" t="s">
        <v>510</v>
      </c>
      <c r="D8400" t="s">
        <v>537</v>
      </c>
      <c r="E8400" t="s">
        <v>538</v>
      </c>
      <c r="F8400" t="s">
        <v>410</v>
      </c>
      <c r="G8400">
        <v>82</v>
      </c>
      <c r="I8400">
        <v>82</v>
      </c>
    </row>
    <row r="8401" spans="1:17" x14ac:dyDescent="0.2">
      <c r="A8401" s="121">
        <v>42004</v>
      </c>
      <c r="B8401" t="s">
        <v>406</v>
      </c>
      <c r="C8401" t="s">
        <v>510</v>
      </c>
      <c r="D8401" t="s">
        <v>539</v>
      </c>
      <c r="E8401" t="s">
        <v>540</v>
      </c>
      <c r="F8401" t="s">
        <v>413</v>
      </c>
      <c r="G8401">
        <v>594</v>
      </c>
      <c r="H8401">
        <v>594</v>
      </c>
      <c r="I8401">
        <v>576</v>
      </c>
      <c r="J8401">
        <v>576</v>
      </c>
      <c r="K8401">
        <v>98</v>
      </c>
      <c r="L8401">
        <v>1</v>
      </c>
      <c r="M8401">
        <v>493</v>
      </c>
      <c r="N8401">
        <v>2</v>
      </c>
      <c r="O8401">
        <v>0</v>
      </c>
      <c r="P8401">
        <v>0</v>
      </c>
      <c r="Q8401">
        <v>0</v>
      </c>
    </row>
    <row r="8402" spans="1:17" x14ac:dyDescent="0.2">
      <c r="A8402" s="121">
        <v>42004</v>
      </c>
      <c r="B8402" t="s">
        <v>406</v>
      </c>
      <c r="C8402" t="s">
        <v>510</v>
      </c>
      <c r="D8402" t="s">
        <v>541</v>
      </c>
      <c r="E8402" t="s">
        <v>542</v>
      </c>
      <c r="F8402" t="s">
        <v>410</v>
      </c>
      <c r="G8402">
        <v>315</v>
      </c>
      <c r="I8402">
        <v>315</v>
      </c>
    </row>
    <row r="8403" spans="1:17" x14ac:dyDescent="0.2">
      <c r="A8403" s="121">
        <v>42004</v>
      </c>
      <c r="B8403" t="s">
        <v>406</v>
      </c>
      <c r="C8403" t="s">
        <v>510</v>
      </c>
      <c r="D8403" t="s">
        <v>543</v>
      </c>
      <c r="E8403" t="s">
        <v>544</v>
      </c>
      <c r="F8403" t="s">
        <v>410</v>
      </c>
      <c r="G8403">
        <v>202</v>
      </c>
      <c r="I8403">
        <v>202</v>
      </c>
    </row>
    <row r="8404" spans="1:17" x14ac:dyDescent="0.2">
      <c r="A8404" s="121">
        <v>42004</v>
      </c>
      <c r="B8404" t="s">
        <v>406</v>
      </c>
      <c r="C8404" t="s">
        <v>510</v>
      </c>
      <c r="D8404" t="s">
        <v>545</v>
      </c>
      <c r="E8404" t="s">
        <v>546</v>
      </c>
      <c r="F8404" t="s">
        <v>410</v>
      </c>
      <c r="G8404">
        <v>131</v>
      </c>
      <c r="I8404">
        <v>131</v>
      </c>
    </row>
    <row r="8405" spans="1:17" x14ac:dyDescent="0.2">
      <c r="A8405" s="121">
        <v>42004</v>
      </c>
      <c r="B8405" t="s">
        <v>406</v>
      </c>
      <c r="C8405" t="s">
        <v>510</v>
      </c>
      <c r="D8405" t="s">
        <v>547</v>
      </c>
      <c r="E8405" t="s">
        <v>548</v>
      </c>
      <c r="F8405" t="s">
        <v>410</v>
      </c>
      <c r="G8405">
        <v>106</v>
      </c>
      <c r="I8405">
        <v>106</v>
      </c>
    </row>
    <row r="8406" spans="1:17" x14ac:dyDescent="0.2">
      <c r="A8406" s="121">
        <v>42004</v>
      </c>
      <c r="B8406" t="s">
        <v>406</v>
      </c>
      <c r="C8406" t="s">
        <v>510</v>
      </c>
      <c r="D8406" t="s">
        <v>616</v>
      </c>
      <c r="E8406" t="s">
        <v>617</v>
      </c>
      <c r="F8406" t="s">
        <v>410</v>
      </c>
      <c r="G8406">
        <v>270</v>
      </c>
      <c r="I8406">
        <v>257</v>
      </c>
    </row>
    <row r="8407" spans="1:17" x14ac:dyDescent="0.2">
      <c r="A8407" s="121">
        <v>42004</v>
      </c>
      <c r="B8407" t="s">
        <v>406</v>
      </c>
      <c r="C8407" t="s">
        <v>510</v>
      </c>
      <c r="D8407" t="s">
        <v>549</v>
      </c>
      <c r="E8407" t="s">
        <v>550</v>
      </c>
      <c r="F8407" t="s">
        <v>410</v>
      </c>
      <c r="G8407">
        <v>160</v>
      </c>
      <c r="I8407">
        <v>160</v>
      </c>
    </row>
    <row r="8408" spans="1:17" x14ac:dyDescent="0.2">
      <c r="A8408" s="121">
        <v>42004</v>
      </c>
      <c r="B8408" t="s">
        <v>406</v>
      </c>
      <c r="C8408" t="s">
        <v>510</v>
      </c>
      <c r="D8408" t="s">
        <v>625</v>
      </c>
      <c r="E8408" t="s">
        <v>626</v>
      </c>
      <c r="F8408" t="s">
        <v>410</v>
      </c>
      <c r="G8408">
        <v>41</v>
      </c>
      <c r="I8408">
        <v>41</v>
      </c>
    </row>
    <row r="8409" spans="1:17" x14ac:dyDescent="0.2">
      <c r="A8409" s="121">
        <v>42004</v>
      </c>
      <c r="B8409" t="s">
        <v>406</v>
      </c>
      <c r="C8409" t="s">
        <v>551</v>
      </c>
      <c r="D8409" t="s">
        <v>552</v>
      </c>
      <c r="E8409" t="s">
        <v>553</v>
      </c>
      <c r="F8409" t="s">
        <v>413</v>
      </c>
      <c r="G8409">
        <v>5207</v>
      </c>
      <c r="H8409">
        <v>5207</v>
      </c>
      <c r="I8409">
        <v>4557</v>
      </c>
      <c r="J8409">
        <v>4557</v>
      </c>
      <c r="K8409">
        <v>1680</v>
      </c>
      <c r="L8409">
        <v>8</v>
      </c>
      <c r="M8409">
        <v>3335</v>
      </c>
      <c r="N8409">
        <v>125</v>
      </c>
      <c r="O8409">
        <v>59</v>
      </c>
      <c r="P8409">
        <v>88</v>
      </c>
      <c r="Q8409">
        <v>19</v>
      </c>
    </row>
    <row r="8410" spans="1:17" x14ac:dyDescent="0.2">
      <c r="A8410" s="121">
        <v>42004</v>
      </c>
      <c r="B8410" t="s">
        <v>406</v>
      </c>
      <c r="C8410" t="s">
        <v>551</v>
      </c>
      <c r="D8410" t="s">
        <v>554</v>
      </c>
      <c r="E8410" t="s">
        <v>555</v>
      </c>
      <c r="F8410" t="s">
        <v>410</v>
      </c>
      <c r="G8410">
        <v>46</v>
      </c>
      <c r="I8410">
        <v>46</v>
      </c>
    </row>
    <row r="8411" spans="1:17" x14ac:dyDescent="0.2">
      <c r="A8411" s="121">
        <v>42004</v>
      </c>
      <c r="B8411" t="s">
        <v>406</v>
      </c>
      <c r="C8411" t="s">
        <v>551</v>
      </c>
      <c r="D8411" t="s">
        <v>556</v>
      </c>
      <c r="E8411" t="s">
        <v>557</v>
      </c>
      <c r="F8411" t="s">
        <v>410</v>
      </c>
      <c r="G8411">
        <v>89</v>
      </c>
      <c r="I8411">
        <v>89</v>
      </c>
    </row>
    <row r="8412" spans="1:17" x14ac:dyDescent="0.2">
      <c r="A8412" s="121">
        <v>42004</v>
      </c>
      <c r="B8412" t="s">
        <v>406</v>
      </c>
      <c r="C8412" t="s">
        <v>551</v>
      </c>
      <c r="D8412" t="s">
        <v>558</v>
      </c>
      <c r="E8412" t="s">
        <v>559</v>
      </c>
      <c r="F8412" t="s">
        <v>413</v>
      </c>
      <c r="G8412">
        <v>4563</v>
      </c>
      <c r="H8412">
        <v>4563</v>
      </c>
      <c r="I8412">
        <v>3719</v>
      </c>
      <c r="J8412">
        <v>3719</v>
      </c>
      <c r="K8412">
        <v>1434</v>
      </c>
      <c r="L8412">
        <v>8</v>
      </c>
      <c r="M8412">
        <v>3003</v>
      </c>
      <c r="N8412">
        <v>109</v>
      </c>
      <c r="O8412">
        <v>9</v>
      </c>
      <c r="P8412">
        <v>166</v>
      </c>
      <c r="Q8412">
        <v>20</v>
      </c>
    </row>
    <row r="8413" spans="1:17" x14ac:dyDescent="0.2">
      <c r="A8413" s="121">
        <v>42004</v>
      </c>
      <c r="B8413" t="s">
        <v>406</v>
      </c>
      <c r="C8413" t="s">
        <v>551</v>
      </c>
      <c r="D8413" t="s">
        <v>560</v>
      </c>
      <c r="E8413" t="s">
        <v>561</v>
      </c>
      <c r="F8413" t="s">
        <v>413</v>
      </c>
      <c r="G8413">
        <v>4762</v>
      </c>
      <c r="H8413">
        <v>4762</v>
      </c>
      <c r="I8413">
        <v>4274</v>
      </c>
      <c r="J8413">
        <v>4274</v>
      </c>
      <c r="K8413">
        <v>1175</v>
      </c>
      <c r="L8413">
        <v>12</v>
      </c>
      <c r="M8413">
        <v>3312</v>
      </c>
      <c r="N8413">
        <v>138</v>
      </c>
      <c r="O8413">
        <v>125</v>
      </c>
      <c r="P8413">
        <v>49</v>
      </c>
      <c r="Q8413">
        <v>0</v>
      </c>
    </row>
    <row r="8414" spans="1:17" x14ac:dyDescent="0.2">
      <c r="A8414" s="121">
        <v>42004</v>
      </c>
      <c r="B8414" t="s">
        <v>406</v>
      </c>
      <c r="C8414" t="s">
        <v>562</v>
      </c>
      <c r="D8414" t="s">
        <v>605</v>
      </c>
      <c r="E8414" t="s">
        <v>606</v>
      </c>
      <c r="F8414" t="s">
        <v>410</v>
      </c>
      <c r="G8414">
        <v>113</v>
      </c>
      <c r="I8414">
        <v>113</v>
      </c>
    </row>
    <row r="8415" spans="1:17" x14ac:dyDescent="0.2">
      <c r="A8415" s="121">
        <v>42004</v>
      </c>
      <c r="B8415" t="s">
        <v>406</v>
      </c>
      <c r="C8415" t="s">
        <v>562</v>
      </c>
      <c r="D8415" t="s">
        <v>563</v>
      </c>
      <c r="E8415" t="s">
        <v>564</v>
      </c>
      <c r="F8415" t="s">
        <v>410</v>
      </c>
      <c r="G8415">
        <v>3316</v>
      </c>
      <c r="H8415">
        <v>3316</v>
      </c>
      <c r="I8415">
        <v>2845</v>
      </c>
      <c r="J8415">
        <v>2845</v>
      </c>
      <c r="K8415">
        <v>1213</v>
      </c>
      <c r="L8415">
        <v>2</v>
      </c>
      <c r="M8415">
        <v>2088</v>
      </c>
      <c r="N8415">
        <v>13</v>
      </c>
      <c r="O8415">
        <v>0</v>
      </c>
      <c r="P8415">
        <v>68</v>
      </c>
      <c r="Q8415">
        <v>10</v>
      </c>
    </row>
    <row r="8416" spans="1:17" x14ac:dyDescent="0.2">
      <c r="A8416" s="121">
        <v>42004</v>
      </c>
      <c r="B8416" t="s">
        <v>406</v>
      </c>
      <c r="C8416" t="s">
        <v>562</v>
      </c>
      <c r="D8416" t="s">
        <v>565</v>
      </c>
      <c r="E8416" t="s">
        <v>566</v>
      </c>
      <c r="F8416" t="s">
        <v>413</v>
      </c>
      <c r="G8416">
        <v>4356</v>
      </c>
      <c r="H8416">
        <v>4356</v>
      </c>
      <c r="I8416">
        <v>4035</v>
      </c>
      <c r="J8416">
        <v>4035</v>
      </c>
      <c r="K8416">
        <v>1210</v>
      </c>
      <c r="L8416">
        <v>7</v>
      </c>
      <c r="M8416">
        <v>3043</v>
      </c>
      <c r="N8416">
        <v>96</v>
      </c>
      <c r="O8416">
        <v>0</v>
      </c>
      <c r="P8416">
        <v>27</v>
      </c>
      <c r="Q8416">
        <v>1</v>
      </c>
    </row>
    <row r="8417" spans="1:17" x14ac:dyDescent="0.2">
      <c r="A8417" s="121">
        <v>42004</v>
      </c>
      <c r="B8417" t="s">
        <v>406</v>
      </c>
      <c r="C8417" t="s">
        <v>562</v>
      </c>
      <c r="D8417" t="s">
        <v>567</v>
      </c>
      <c r="E8417" t="s">
        <v>568</v>
      </c>
      <c r="F8417" t="s">
        <v>413</v>
      </c>
      <c r="G8417">
        <v>9432</v>
      </c>
      <c r="H8417">
        <v>9432</v>
      </c>
      <c r="I8417">
        <v>8703</v>
      </c>
      <c r="J8417">
        <v>8703</v>
      </c>
      <c r="K8417">
        <v>3005</v>
      </c>
      <c r="L8417">
        <v>31</v>
      </c>
      <c r="M8417">
        <v>6158</v>
      </c>
      <c r="N8417">
        <v>238</v>
      </c>
      <c r="O8417">
        <v>0</v>
      </c>
      <c r="P8417">
        <v>93</v>
      </c>
      <c r="Q8417">
        <v>4</v>
      </c>
    </row>
    <row r="8418" spans="1:17" x14ac:dyDescent="0.2">
      <c r="A8418" s="121">
        <v>42004</v>
      </c>
      <c r="B8418" t="s">
        <v>406</v>
      </c>
      <c r="C8418" t="s">
        <v>562</v>
      </c>
      <c r="D8418" t="s">
        <v>569</v>
      </c>
      <c r="E8418" t="s">
        <v>570</v>
      </c>
      <c r="F8418" t="s">
        <v>413</v>
      </c>
      <c r="G8418">
        <v>3993</v>
      </c>
      <c r="H8418">
        <v>3993</v>
      </c>
      <c r="I8418">
        <v>3899</v>
      </c>
      <c r="J8418">
        <v>3899</v>
      </c>
      <c r="K8418">
        <v>598</v>
      </c>
      <c r="L8418">
        <v>0</v>
      </c>
      <c r="M8418">
        <v>3394</v>
      </c>
      <c r="N8418">
        <v>1</v>
      </c>
      <c r="O8418">
        <v>0</v>
      </c>
      <c r="P8418">
        <v>7</v>
      </c>
      <c r="Q8418">
        <v>1</v>
      </c>
    </row>
    <row r="8419" spans="1:17" x14ac:dyDescent="0.2">
      <c r="A8419" s="121">
        <v>42004</v>
      </c>
      <c r="B8419" t="s">
        <v>406</v>
      </c>
      <c r="C8419" t="s">
        <v>571</v>
      </c>
      <c r="D8419" t="s">
        <v>572</v>
      </c>
      <c r="E8419" t="s">
        <v>627</v>
      </c>
      <c r="F8419" t="s">
        <v>413</v>
      </c>
      <c r="G8419">
        <v>419</v>
      </c>
      <c r="H8419">
        <v>419</v>
      </c>
      <c r="I8419">
        <v>414</v>
      </c>
      <c r="J8419">
        <v>414</v>
      </c>
      <c r="K8419">
        <v>134</v>
      </c>
      <c r="L8419">
        <v>0</v>
      </c>
      <c r="M8419">
        <v>284</v>
      </c>
      <c r="N8419">
        <v>0</v>
      </c>
      <c r="O8419">
        <v>1</v>
      </c>
      <c r="P8419">
        <v>0</v>
      </c>
      <c r="Q8419">
        <v>0</v>
      </c>
    </row>
    <row r="8420" spans="1:17" x14ac:dyDescent="0.2">
      <c r="A8420" s="121">
        <v>42004</v>
      </c>
      <c r="B8420" t="s">
        <v>406</v>
      </c>
      <c r="C8420" t="s">
        <v>574</v>
      </c>
      <c r="D8420" t="s">
        <v>575</v>
      </c>
      <c r="E8420" t="s">
        <v>576</v>
      </c>
      <c r="F8420" t="s">
        <v>413</v>
      </c>
      <c r="G8420">
        <v>582</v>
      </c>
      <c r="H8420">
        <v>582</v>
      </c>
      <c r="I8420">
        <v>571</v>
      </c>
      <c r="J8420">
        <v>571</v>
      </c>
      <c r="K8420">
        <v>167</v>
      </c>
      <c r="L8420">
        <v>1</v>
      </c>
      <c r="M8420">
        <v>395</v>
      </c>
      <c r="N8420">
        <v>6</v>
      </c>
      <c r="O8420">
        <v>13</v>
      </c>
      <c r="P8420">
        <v>0</v>
      </c>
      <c r="Q8420">
        <v>0</v>
      </c>
    </row>
    <row r="8421" spans="1:17" x14ac:dyDescent="0.2">
      <c r="A8421" s="121">
        <v>42004</v>
      </c>
      <c r="B8421" t="s">
        <v>406</v>
      </c>
      <c r="C8421" t="s">
        <v>577</v>
      </c>
      <c r="D8421" t="s">
        <v>578</v>
      </c>
      <c r="E8421" t="s">
        <v>579</v>
      </c>
      <c r="F8421" t="s">
        <v>413</v>
      </c>
      <c r="G8421">
        <v>3626</v>
      </c>
      <c r="H8421">
        <v>3626</v>
      </c>
      <c r="I8421">
        <v>3574</v>
      </c>
      <c r="J8421">
        <v>3574</v>
      </c>
      <c r="K8421">
        <v>1179</v>
      </c>
      <c r="L8421">
        <v>11</v>
      </c>
      <c r="M8421">
        <v>2260</v>
      </c>
      <c r="N8421">
        <v>174</v>
      </c>
      <c r="O8421">
        <v>2</v>
      </c>
      <c r="P8421">
        <v>1</v>
      </c>
      <c r="Q8421">
        <v>0</v>
      </c>
    </row>
    <row r="8422" spans="1:17" x14ac:dyDescent="0.2">
      <c r="A8422" s="121">
        <v>42004</v>
      </c>
      <c r="B8422" t="s">
        <v>406</v>
      </c>
      <c r="C8422" t="s">
        <v>577</v>
      </c>
      <c r="D8422" t="s">
        <v>580</v>
      </c>
      <c r="E8422" t="s">
        <v>581</v>
      </c>
      <c r="F8422" t="s">
        <v>413</v>
      </c>
      <c r="G8422">
        <v>2015</v>
      </c>
      <c r="H8422">
        <v>2015</v>
      </c>
      <c r="I8422">
        <v>1967</v>
      </c>
      <c r="J8422">
        <v>1967</v>
      </c>
      <c r="K8422">
        <v>353</v>
      </c>
      <c r="L8422">
        <v>5</v>
      </c>
      <c r="M8422">
        <v>1283</v>
      </c>
      <c r="N8422">
        <v>352</v>
      </c>
      <c r="O8422">
        <v>22</v>
      </c>
      <c r="P8422">
        <v>0</v>
      </c>
      <c r="Q8422">
        <v>0</v>
      </c>
    </row>
    <row r="8423" spans="1:17" x14ac:dyDescent="0.2">
      <c r="A8423" s="121">
        <v>42004</v>
      </c>
      <c r="B8423" t="s">
        <v>406</v>
      </c>
      <c r="C8423" t="s">
        <v>577</v>
      </c>
      <c r="D8423" t="s">
        <v>609</v>
      </c>
      <c r="E8423" t="s">
        <v>610</v>
      </c>
      <c r="F8423" t="s">
        <v>410</v>
      </c>
      <c r="G8423">
        <v>26</v>
      </c>
      <c r="H8423">
        <v>26</v>
      </c>
      <c r="I8423">
        <v>26</v>
      </c>
      <c r="J8423">
        <v>26</v>
      </c>
      <c r="K8423">
        <v>0</v>
      </c>
      <c r="L8423">
        <v>0</v>
      </c>
      <c r="M8423">
        <v>22</v>
      </c>
      <c r="N8423">
        <v>4</v>
      </c>
      <c r="O8423">
        <v>0</v>
      </c>
      <c r="P8423">
        <v>0</v>
      </c>
      <c r="Q8423">
        <v>0</v>
      </c>
    </row>
    <row r="8424" spans="1:17" x14ac:dyDescent="0.2">
      <c r="A8424" s="121">
        <v>42004</v>
      </c>
      <c r="B8424" t="s">
        <v>406</v>
      </c>
      <c r="C8424" t="s">
        <v>577</v>
      </c>
      <c r="D8424" t="s">
        <v>611</v>
      </c>
      <c r="E8424" t="s">
        <v>612</v>
      </c>
      <c r="F8424" t="s">
        <v>410</v>
      </c>
      <c r="G8424">
        <v>4</v>
      </c>
      <c r="H8424">
        <v>4</v>
      </c>
      <c r="I8424">
        <v>4</v>
      </c>
      <c r="J8424">
        <v>4</v>
      </c>
      <c r="K8424">
        <v>0</v>
      </c>
      <c r="L8424">
        <v>0</v>
      </c>
      <c r="M8424">
        <v>4</v>
      </c>
      <c r="N8424">
        <v>0</v>
      </c>
      <c r="O8424">
        <v>0</v>
      </c>
      <c r="P8424">
        <v>0</v>
      </c>
      <c r="Q8424">
        <v>0</v>
      </c>
    </row>
    <row r="8425" spans="1:17" x14ac:dyDescent="0.2">
      <c r="A8425" s="121">
        <v>42004</v>
      </c>
      <c r="B8425" t="s">
        <v>406</v>
      </c>
      <c r="C8425" t="s">
        <v>577</v>
      </c>
      <c r="D8425" t="s">
        <v>584</v>
      </c>
      <c r="E8425" t="s">
        <v>585</v>
      </c>
      <c r="F8425" t="s">
        <v>410</v>
      </c>
      <c r="G8425">
        <v>280</v>
      </c>
      <c r="H8425">
        <v>280</v>
      </c>
      <c r="I8425">
        <v>280</v>
      </c>
      <c r="J8425">
        <v>280</v>
      </c>
      <c r="K8425">
        <v>0</v>
      </c>
      <c r="L8425">
        <v>0</v>
      </c>
      <c r="M8425">
        <v>267</v>
      </c>
      <c r="N8425">
        <v>13</v>
      </c>
      <c r="O8425">
        <v>0</v>
      </c>
      <c r="P8425">
        <v>0</v>
      </c>
      <c r="Q8425">
        <v>0</v>
      </c>
    </row>
    <row r="8426" spans="1:17" x14ac:dyDescent="0.2">
      <c r="A8426" s="121">
        <v>42004</v>
      </c>
      <c r="B8426" t="s">
        <v>406</v>
      </c>
      <c r="C8426" t="s">
        <v>577</v>
      </c>
      <c r="D8426" t="s">
        <v>586</v>
      </c>
      <c r="E8426" t="s">
        <v>587</v>
      </c>
      <c r="F8426" t="s">
        <v>410</v>
      </c>
      <c r="G8426">
        <v>1048</v>
      </c>
      <c r="H8426">
        <v>1048</v>
      </c>
      <c r="I8426">
        <v>1048</v>
      </c>
      <c r="J8426">
        <v>1048</v>
      </c>
      <c r="K8426">
        <v>0</v>
      </c>
      <c r="L8426">
        <v>0</v>
      </c>
      <c r="M8426">
        <v>928</v>
      </c>
      <c r="N8426">
        <v>116</v>
      </c>
      <c r="O8426">
        <v>4</v>
      </c>
      <c r="P8426">
        <v>0</v>
      </c>
      <c r="Q8426">
        <v>0</v>
      </c>
    </row>
    <row r="8427" spans="1:17" x14ac:dyDescent="0.2">
      <c r="A8427" s="121">
        <v>42004</v>
      </c>
      <c r="B8427" t="s">
        <v>406</v>
      </c>
      <c r="C8427" t="s">
        <v>577</v>
      </c>
      <c r="D8427" t="s">
        <v>588</v>
      </c>
      <c r="E8427" t="s">
        <v>589</v>
      </c>
      <c r="F8427" t="s">
        <v>410</v>
      </c>
      <c r="G8427">
        <v>244</v>
      </c>
      <c r="H8427">
        <v>244</v>
      </c>
      <c r="I8427">
        <v>243</v>
      </c>
      <c r="J8427">
        <v>243</v>
      </c>
      <c r="K8427">
        <v>0</v>
      </c>
      <c r="L8427">
        <v>0</v>
      </c>
      <c r="M8427">
        <v>227</v>
      </c>
      <c r="N8427">
        <v>15</v>
      </c>
      <c r="O8427">
        <v>2</v>
      </c>
      <c r="P8427">
        <v>0</v>
      </c>
      <c r="Q8427">
        <v>0</v>
      </c>
    </row>
    <row r="8428" spans="1:17" x14ac:dyDescent="0.2">
      <c r="A8428" s="121">
        <v>42004</v>
      </c>
      <c r="B8428" t="s">
        <v>406</v>
      </c>
      <c r="C8428" t="s">
        <v>577</v>
      </c>
      <c r="D8428" t="s">
        <v>613</v>
      </c>
      <c r="E8428" t="s">
        <v>614</v>
      </c>
      <c r="F8428" t="s">
        <v>410</v>
      </c>
      <c r="G8428">
        <v>137</v>
      </c>
      <c r="H8428">
        <v>137</v>
      </c>
      <c r="I8428">
        <v>137</v>
      </c>
      <c r="J8428">
        <v>137</v>
      </c>
      <c r="K8428">
        <v>0</v>
      </c>
      <c r="L8428">
        <v>0</v>
      </c>
      <c r="M8428">
        <v>111</v>
      </c>
      <c r="N8428">
        <v>16</v>
      </c>
      <c r="O8428">
        <v>10</v>
      </c>
      <c r="P8428">
        <v>0</v>
      </c>
      <c r="Q8428">
        <v>0</v>
      </c>
    </row>
    <row r="8429" spans="1:17" x14ac:dyDescent="0.2">
      <c r="A8429" s="121">
        <v>42004</v>
      </c>
      <c r="B8429" t="s">
        <v>406</v>
      </c>
      <c r="C8429" t="s">
        <v>577</v>
      </c>
      <c r="D8429" t="s">
        <v>590</v>
      </c>
      <c r="E8429" t="s">
        <v>591</v>
      </c>
      <c r="F8429" t="s">
        <v>410</v>
      </c>
      <c r="G8429">
        <v>677</v>
      </c>
      <c r="H8429">
        <v>677</v>
      </c>
      <c r="I8429">
        <v>676</v>
      </c>
      <c r="J8429">
        <v>676</v>
      </c>
      <c r="K8429">
        <v>0</v>
      </c>
      <c r="L8429">
        <v>0</v>
      </c>
      <c r="M8429">
        <v>634</v>
      </c>
      <c r="N8429">
        <v>39</v>
      </c>
      <c r="O8429">
        <v>4</v>
      </c>
      <c r="P8429">
        <v>0</v>
      </c>
      <c r="Q8429">
        <v>0</v>
      </c>
    </row>
    <row r="8430" spans="1:17" x14ac:dyDescent="0.2">
      <c r="A8430" s="121">
        <v>42004</v>
      </c>
      <c r="B8430" t="s">
        <v>406</v>
      </c>
      <c r="C8430" t="s">
        <v>577</v>
      </c>
      <c r="D8430" t="s">
        <v>607</v>
      </c>
      <c r="E8430" t="s">
        <v>608</v>
      </c>
      <c r="F8430" t="s">
        <v>410</v>
      </c>
      <c r="G8430">
        <v>179</v>
      </c>
      <c r="H8430">
        <v>179</v>
      </c>
      <c r="I8430">
        <v>179</v>
      </c>
      <c r="J8430">
        <v>179</v>
      </c>
      <c r="K8430">
        <v>0</v>
      </c>
      <c r="L8430">
        <v>0</v>
      </c>
      <c r="M8430">
        <v>163</v>
      </c>
      <c r="N8430">
        <v>12</v>
      </c>
      <c r="O8430">
        <v>4</v>
      </c>
      <c r="P8430">
        <v>0</v>
      </c>
      <c r="Q8430">
        <v>0</v>
      </c>
    </row>
    <row r="8431" spans="1:17" x14ac:dyDescent="0.2">
      <c r="A8431" s="121">
        <v>42004</v>
      </c>
      <c r="B8431" t="s">
        <v>406</v>
      </c>
      <c r="C8431" t="s">
        <v>577</v>
      </c>
      <c r="D8431" t="s">
        <v>592</v>
      </c>
      <c r="E8431" t="s">
        <v>593</v>
      </c>
      <c r="F8431" t="s">
        <v>410</v>
      </c>
      <c r="G8431">
        <v>463</v>
      </c>
      <c r="H8431">
        <v>463</v>
      </c>
      <c r="I8431">
        <v>463</v>
      </c>
      <c r="J8431">
        <v>463</v>
      </c>
      <c r="K8431">
        <v>0</v>
      </c>
      <c r="L8431">
        <v>0</v>
      </c>
      <c r="M8431">
        <v>416</v>
      </c>
      <c r="N8431">
        <v>44</v>
      </c>
      <c r="O8431">
        <v>3</v>
      </c>
      <c r="P8431">
        <v>0</v>
      </c>
      <c r="Q8431">
        <v>0</v>
      </c>
    </row>
    <row r="8432" spans="1:17" x14ac:dyDescent="0.2">
      <c r="A8432" s="121">
        <v>42004</v>
      </c>
      <c r="B8432" t="s">
        <v>406</v>
      </c>
      <c r="C8432" t="s">
        <v>594</v>
      </c>
      <c r="D8432" t="s">
        <v>595</v>
      </c>
      <c r="E8432" t="s">
        <v>596</v>
      </c>
      <c r="F8432" t="s">
        <v>410</v>
      </c>
      <c r="G8432">
        <v>30</v>
      </c>
      <c r="I8432">
        <v>29</v>
      </c>
    </row>
    <row r="8433" spans="1:17" x14ac:dyDescent="0.2">
      <c r="A8433" s="121">
        <v>42004</v>
      </c>
      <c r="B8433" t="s">
        <v>406</v>
      </c>
      <c r="C8433" t="s">
        <v>594</v>
      </c>
      <c r="D8433" t="s">
        <v>597</v>
      </c>
      <c r="E8433" t="s">
        <v>598</v>
      </c>
      <c r="F8433" t="s">
        <v>413</v>
      </c>
      <c r="G8433">
        <v>470</v>
      </c>
      <c r="H8433">
        <v>470</v>
      </c>
      <c r="I8433">
        <v>454</v>
      </c>
      <c r="J8433">
        <v>454</v>
      </c>
      <c r="K8433">
        <v>115</v>
      </c>
      <c r="L8433">
        <v>0</v>
      </c>
      <c r="M8433">
        <v>341</v>
      </c>
      <c r="N8433">
        <v>10</v>
      </c>
      <c r="O8433">
        <v>4</v>
      </c>
      <c r="P8433">
        <v>0</v>
      </c>
      <c r="Q8433">
        <v>0</v>
      </c>
    </row>
    <row r="8434" spans="1:17" x14ac:dyDescent="0.2">
      <c r="A8434" s="121">
        <v>42004</v>
      </c>
      <c r="B8434" t="s">
        <v>406</v>
      </c>
      <c r="C8434" t="s">
        <v>594</v>
      </c>
      <c r="D8434" t="s">
        <v>599</v>
      </c>
      <c r="E8434" t="s">
        <v>600</v>
      </c>
      <c r="F8434" t="s">
        <v>410</v>
      </c>
      <c r="G8434">
        <v>73</v>
      </c>
      <c r="I8434">
        <v>73</v>
      </c>
    </row>
    <row r="8435" spans="1:17" x14ac:dyDescent="0.2">
      <c r="A8435" s="121">
        <v>42035</v>
      </c>
      <c r="B8435" t="s">
        <v>406</v>
      </c>
      <c r="C8435" t="s">
        <v>407</v>
      </c>
      <c r="D8435" t="s">
        <v>408</v>
      </c>
      <c r="E8435" t="s">
        <v>409</v>
      </c>
      <c r="F8435" t="s">
        <v>410</v>
      </c>
      <c r="G8435">
        <v>134</v>
      </c>
      <c r="I8435">
        <v>132</v>
      </c>
    </row>
    <row r="8436" spans="1:17" x14ac:dyDescent="0.2">
      <c r="A8436" s="121">
        <v>42035</v>
      </c>
      <c r="B8436" t="s">
        <v>406</v>
      </c>
      <c r="C8436" t="s">
        <v>407</v>
      </c>
      <c r="D8436" t="s">
        <v>601</v>
      </c>
      <c r="E8436" t="s">
        <v>602</v>
      </c>
      <c r="F8436" t="s">
        <v>410</v>
      </c>
      <c r="G8436">
        <v>40</v>
      </c>
      <c r="I8436">
        <v>40</v>
      </c>
    </row>
    <row r="8437" spans="1:17" x14ac:dyDescent="0.2">
      <c r="A8437" s="121">
        <v>42035</v>
      </c>
      <c r="B8437" t="s">
        <v>406</v>
      </c>
      <c r="C8437" t="s">
        <v>407</v>
      </c>
      <c r="D8437" t="s">
        <v>411</v>
      </c>
      <c r="E8437" t="s">
        <v>412</v>
      </c>
      <c r="F8437" t="s">
        <v>413</v>
      </c>
      <c r="G8437">
        <v>6009</v>
      </c>
      <c r="H8437">
        <v>6009</v>
      </c>
      <c r="I8437">
        <v>4858</v>
      </c>
      <c r="J8437">
        <v>4858</v>
      </c>
      <c r="K8437">
        <v>2595</v>
      </c>
      <c r="L8437">
        <v>10</v>
      </c>
      <c r="M8437">
        <v>3031</v>
      </c>
      <c r="N8437">
        <v>127</v>
      </c>
      <c r="O8437">
        <v>246</v>
      </c>
      <c r="P8437">
        <v>212</v>
      </c>
      <c r="Q8437">
        <v>54</v>
      </c>
    </row>
    <row r="8438" spans="1:17" x14ac:dyDescent="0.2">
      <c r="A8438" s="121">
        <v>42035</v>
      </c>
      <c r="B8438" t="s">
        <v>406</v>
      </c>
      <c r="C8438" t="s">
        <v>407</v>
      </c>
      <c r="D8438" t="s">
        <v>416</v>
      </c>
      <c r="E8438" t="s">
        <v>417</v>
      </c>
      <c r="F8438" t="s">
        <v>413</v>
      </c>
      <c r="G8438">
        <v>3458</v>
      </c>
      <c r="H8438">
        <v>3458</v>
      </c>
      <c r="I8438">
        <v>2873</v>
      </c>
      <c r="J8438">
        <v>2873</v>
      </c>
      <c r="K8438">
        <v>1394</v>
      </c>
      <c r="L8438">
        <v>8</v>
      </c>
      <c r="M8438">
        <v>1862</v>
      </c>
      <c r="N8438">
        <v>108</v>
      </c>
      <c r="O8438">
        <v>86</v>
      </c>
      <c r="P8438">
        <v>80</v>
      </c>
      <c r="Q8438">
        <v>16</v>
      </c>
    </row>
    <row r="8439" spans="1:17" x14ac:dyDescent="0.2">
      <c r="A8439" s="121">
        <v>42035</v>
      </c>
      <c r="B8439" t="s">
        <v>406</v>
      </c>
      <c r="C8439" t="s">
        <v>407</v>
      </c>
      <c r="D8439" t="s">
        <v>618</v>
      </c>
      <c r="E8439" t="s">
        <v>619</v>
      </c>
      <c r="F8439" t="s">
        <v>410</v>
      </c>
      <c r="G8439">
        <v>72</v>
      </c>
      <c r="I8439">
        <v>72</v>
      </c>
    </row>
    <row r="8440" spans="1:17" x14ac:dyDescent="0.2">
      <c r="A8440" s="121">
        <v>42035</v>
      </c>
      <c r="B8440" t="s">
        <v>406</v>
      </c>
      <c r="C8440" t="s">
        <v>418</v>
      </c>
      <c r="D8440" t="s">
        <v>419</v>
      </c>
      <c r="E8440" t="s">
        <v>420</v>
      </c>
      <c r="F8440" t="s">
        <v>410</v>
      </c>
      <c r="G8440">
        <v>9</v>
      </c>
      <c r="I8440">
        <v>9</v>
      </c>
    </row>
    <row r="8441" spans="1:17" x14ac:dyDescent="0.2">
      <c r="A8441" s="121">
        <v>42035</v>
      </c>
      <c r="B8441" t="s">
        <v>406</v>
      </c>
      <c r="C8441" t="s">
        <v>418</v>
      </c>
      <c r="D8441" t="s">
        <v>421</v>
      </c>
      <c r="E8441" t="s">
        <v>422</v>
      </c>
      <c r="F8441" t="s">
        <v>410</v>
      </c>
      <c r="G8441">
        <v>72</v>
      </c>
      <c r="I8441">
        <v>72</v>
      </c>
    </row>
    <row r="8442" spans="1:17" x14ac:dyDescent="0.2">
      <c r="A8442" s="121">
        <v>42035</v>
      </c>
      <c r="B8442" t="s">
        <v>406</v>
      </c>
      <c r="C8442" t="s">
        <v>418</v>
      </c>
      <c r="D8442" t="s">
        <v>423</v>
      </c>
      <c r="E8442" t="s">
        <v>424</v>
      </c>
      <c r="F8442" t="s">
        <v>410</v>
      </c>
      <c r="G8442">
        <v>9</v>
      </c>
      <c r="I8442">
        <v>9</v>
      </c>
    </row>
    <row r="8443" spans="1:17" x14ac:dyDescent="0.2">
      <c r="A8443" s="121">
        <v>42035</v>
      </c>
      <c r="B8443" t="s">
        <v>406</v>
      </c>
      <c r="C8443" t="s">
        <v>418</v>
      </c>
      <c r="D8443" t="s">
        <v>425</v>
      </c>
      <c r="E8443" t="s">
        <v>426</v>
      </c>
      <c r="F8443" t="s">
        <v>410</v>
      </c>
      <c r="G8443">
        <v>34</v>
      </c>
      <c r="I8443">
        <v>34</v>
      </c>
    </row>
    <row r="8444" spans="1:17" x14ac:dyDescent="0.2">
      <c r="A8444" s="121">
        <v>42035</v>
      </c>
      <c r="B8444" t="s">
        <v>406</v>
      </c>
      <c r="C8444" t="s">
        <v>418</v>
      </c>
      <c r="D8444" t="s">
        <v>427</v>
      </c>
      <c r="E8444" t="s">
        <v>428</v>
      </c>
      <c r="F8444" t="s">
        <v>413</v>
      </c>
      <c r="G8444">
        <v>2233</v>
      </c>
      <c r="H8444">
        <v>2233</v>
      </c>
      <c r="I8444">
        <v>2003</v>
      </c>
      <c r="J8444">
        <v>2003</v>
      </c>
      <c r="K8444">
        <v>911</v>
      </c>
      <c r="L8444">
        <v>5</v>
      </c>
      <c r="M8444">
        <v>1079</v>
      </c>
      <c r="N8444">
        <v>227</v>
      </c>
      <c r="O8444">
        <v>11</v>
      </c>
      <c r="P8444">
        <v>7</v>
      </c>
      <c r="Q8444">
        <v>0</v>
      </c>
    </row>
    <row r="8445" spans="1:17" x14ac:dyDescent="0.2">
      <c r="A8445" s="121">
        <v>42035</v>
      </c>
      <c r="B8445" t="s">
        <v>406</v>
      </c>
      <c r="C8445" t="s">
        <v>429</v>
      </c>
      <c r="D8445" t="s">
        <v>430</v>
      </c>
      <c r="E8445" t="s">
        <v>431</v>
      </c>
      <c r="F8445" t="s">
        <v>410</v>
      </c>
      <c r="G8445">
        <v>25</v>
      </c>
      <c r="I8445">
        <v>25</v>
      </c>
    </row>
    <row r="8446" spans="1:17" x14ac:dyDescent="0.2">
      <c r="A8446" s="121">
        <v>42035</v>
      </c>
      <c r="B8446" t="s">
        <v>406</v>
      </c>
      <c r="C8446" t="s">
        <v>429</v>
      </c>
      <c r="D8446" t="s">
        <v>432</v>
      </c>
      <c r="E8446" t="s">
        <v>433</v>
      </c>
      <c r="F8446" t="s">
        <v>410</v>
      </c>
      <c r="G8446">
        <v>22</v>
      </c>
      <c r="I8446">
        <v>22</v>
      </c>
    </row>
    <row r="8447" spans="1:17" x14ac:dyDescent="0.2">
      <c r="A8447" s="121">
        <v>42035</v>
      </c>
      <c r="B8447" t="s">
        <v>406</v>
      </c>
      <c r="C8447" t="s">
        <v>429</v>
      </c>
      <c r="D8447" t="s">
        <v>434</v>
      </c>
      <c r="E8447" t="s">
        <v>435</v>
      </c>
      <c r="F8447" t="s">
        <v>410</v>
      </c>
      <c r="G8447">
        <v>2</v>
      </c>
      <c r="I8447">
        <v>2</v>
      </c>
    </row>
    <row r="8448" spans="1:17" x14ac:dyDescent="0.2">
      <c r="A8448" s="121">
        <v>42035</v>
      </c>
      <c r="B8448" t="s">
        <v>406</v>
      </c>
      <c r="C8448" t="s">
        <v>429</v>
      </c>
      <c r="D8448" t="s">
        <v>436</v>
      </c>
      <c r="E8448" t="s">
        <v>437</v>
      </c>
      <c r="F8448" t="s">
        <v>410</v>
      </c>
      <c r="G8448">
        <v>10</v>
      </c>
      <c r="H8448">
        <v>10</v>
      </c>
      <c r="I8448">
        <v>10</v>
      </c>
      <c r="J8448">
        <v>10</v>
      </c>
      <c r="K8448">
        <v>0</v>
      </c>
      <c r="L8448">
        <v>0</v>
      </c>
      <c r="M8448">
        <v>9</v>
      </c>
      <c r="N8448">
        <v>1</v>
      </c>
      <c r="O8448">
        <v>0</v>
      </c>
      <c r="P8448">
        <v>0</v>
      </c>
      <c r="Q8448">
        <v>0</v>
      </c>
    </row>
    <row r="8449" spans="1:17" x14ac:dyDescent="0.2">
      <c r="A8449" s="121">
        <v>42035</v>
      </c>
      <c r="B8449" t="s">
        <v>406</v>
      </c>
      <c r="C8449" t="s">
        <v>429</v>
      </c>
      <c r="D8449" t="s">
        <v>438</v>
      </c>
      <c r="E8449" t="s">
        <v>439</v>
      </c>
      <c r="F8449" t="s">
        <v>413</v>
      </c>
      <c r="G8449">
        <v>882</v>
      </c>
      <c r="H8449">
        <v>882</v>
      </c>
      <c r="I8449">
        <v>849</v>
      </c>
      <c r="J8449">
        <v>849</v>
      </c>
      <c r="K8449">
        <v>108</v>
      </c>
      <c r="L8449">
        <v>1</v>
      </c>
      <c r="M8449">
        <v>748</v>
      </c>
      <c r="N8449">
        <v>25</v>
      </c>
      <c r="O8449">
        <v>0</v>
      </c>
      <c r="P8449">
        <v>1</v>
      </c>
      <c r="Q8449">
        <v>0</v>
      </c>
    </row>
    <row r="8450" spans="1:17" x14ac:dyDescent="0.2">
      <c r="A8450" s="121">
        <v>42035</v>
      </c>
      <c r="B8450" t="s">
        <v>406</v>
      </c>
      <c r="C8450" t="s">
        <v>429</v>
      </c>
      <c r="D8450" t="s">
        <v>440</v>
      </c>
      <c r="E8450" t="s">
        <v>441</v>
      </c>
      <c r="F8450" t="s">
        <v>413</v>
      </c>
      <c r="G8450">
        <v>2741</v>
      </c>
      <c r="H8450">
        <v>2741</v>
      </c>
      <c r="I8450">
        <v>2629</v>
      </c>
      <c r="J8450">
        <v>2629</v>
      </c>
      <c r="K8450">
        <v>1029</v>
      </c>
      <c r="L8450">
        <v>6</v>
      </c>
      <c r="M8450">
        <v>1625</v>
      </c>
      <c r="N8450">
        <v>81</v>
      </c>
      <c r="O8450">
        <v>0</v>
      </c>
      <c r="P8450">
        <v>4</v>
      </c>
      <c r="Q8450">
        <v>0</v>
      </c>
    </row>
    <row r="8451" spans="1:17" x14ac:dyDescent="0.2">
      <c r="A8451" s="121">
        <v>42035</v>
      </c>
      <c r="B8451" t="s">
        <v>406</v>
      </c>
      <c r="C8451" t="s">
        <v>442</v>
      </c>
      <c r="D8451" t="s">
        <v>443</v>
      </c>
      <c r="E8451" t="s">
        <v>444</v>
      </c>
      <c r="F8451" t="s">
        <v>413</v>
      </c>
      <c r="G8451">
        <v>4971</v>
      </c>
      <c r="H8451">
        <v>4971</v>
      </c>
      <c r="I8451">
        <v>4470</v>
      </c>
      <c r="J8451">
        <v>4470</v>
      </c>
      <c r="K8451">
        <v>1329</v>
      </c>
      <c r="L8451">
        <v>9</v>
      </c>
      <c r="M8451">
        <v>3292</v>
      </c>
      <c r="N8451">
        <v>171</v>
      </c>
      <c r="O8451">
        <v>170</v>
      </c>
      <c r="P8451">
        <v>97</v>
      </c>
      <c r="Q8451">
        <v>15</v>
      </c>
    </row>
    <row r="8452" spans="1:17" x14ac:dyDescent="0.2">
      <c r="A8452" s="121">
        <v>42035</v>
      </c>
      <c r="B8452" t="s">
        <v>406</v>
      </c>
      <c r="C8452" t="s">
        <v>442</v>
      </c>
      <c r="D8452" t="s">
        <v>445</v>
      </c>
      <c r="E8452" t="s">
        <v>446</v>
      </c>
      <c r="F8452" t="s">
        <v>410</v>
      </c>
      <c r="G8452">
        <v>122</v>
      </c>
      <c r="I8452">
        <v>122</v>
      </c>
    </row>
    <row r="8453" spans="1:17" x14ac:dyDescent="0.2">
      <c r="A8453" s="121">
        <v>42035</v>
      </c>
      <c r="B8453" t="s">
        <v>406</v>
      </c>
      <c r="C8453" t="s">
        <v>442</v>
      </c>
      <c r="D8453" t="s">
        <v>447</v>
      </c>
      <c r="E8453" t="s">
        <v>448</v>
      </c>
      <c r="F8453" t="s">
        <v>410</v>
      </c>
      <c r="G8453">
        <v>286</v>
      </c>
      <c r="I8453">
        <v>286</v>
      </c>
    </row>
    <row r="8454" spans="1:17" x14ac:dyDescent="0.2">
      <c r="A8454" s="121">
        <v>42035</v>
      </c>
      <c r="B8454" t="s">
        <v>406</v>
      </c>
      <c r="C8454" t="s">
        <v>442</v>
      </c>
      <c r="D8454" t="s">
        <v>449</v>
      </c>
      <c r="E8454" t="s">
        <v>624</v>
      </c>
      <c r="F8454" t="s">
        <v>410</v>
      </c>
      <c r="G8454">
        <v>1429</v>
      </c>
      <c r="H8454">
        <v>1429</v>
      </c>
      <c r="I8454">
        <v>1429</v>
      </c>
      <c r="J8454">
        <v>1429</v>
      </c>
      <c r="K8454">
        <v>9</v>
      </c>
      <c r="L8454">
        <v>0</v>
      </c>
      <c r="M8454">
        <v>1258</v>
      </c>
      <c r="N8454">
        <v>160</v>
      </c>
      <c r="O8454">
        <v>2</v>
      </c>
      <c r="P8454">
        <v>0</v>
      </c>
      <c r="Q8454">
        <v>0</v>
      </c>
    </row>
    <row r="8455" spans="1:17" x14ac:dyDescent="0.2">
      <c r="A8455" s="121">
        <v>42035</v>
      </c>
      <c r="B8455" t="s">
        <v>406</v>
      </c>
      <c r="C8455" t="s">
        <v>451</v>
      </c>
      <c r="D8455" t="s">
        <v>454</v>
      </c>
      <c r="E8455" t="s">
        <v>621</v>
      </c>
      <c r="F8455" t="s">
        <v>410</v>
      </c>
      <c r="G8455">
        <v>1015</v>
      </c>
      <c r="H8455">
        <v>1015</v>
      </c>
      <c r="I8455">
        <v>1015</v>
      </c>
      <c r="J8455">
        <v>1015</v>
      </c>
      <c r="K8455">
        <v>1</v>
      </c>
      <c r="L8455">
        <v>0</v>
      </c>
      <c r="M8455">
        <v>813</v>
      </c>
      <c r="N8455">
        <v>67</v>
      </c>
      <c r="O8455">
        <v>134</v>
      </c>
      <c r="P8455">
        <v>0</v>
      </c>
      <c r="Q8455">
        <v>0</v>
      </c>
    </row>
    <row r="8456" spans="1:17" x14ac:dyDescent="0.2">
      <c r="A8456" s="121">
        <v>42035</v>
      </c>
      <c r="B8456" t="s">
        <v>406</v>
      </c>
      <c r="C8456" t="s">
        <v>451</v>
      </c>
      <c r="D8456" t="s">
        <v>622</v>
      </c>
      <c r="E8456" t="s">
        <v>623</v>
      </c>
      <c r="F8456" t="s">
        <v>413</v>
      </c>
      <c r="G8456">
        <v>4866</v>
      </c>
      <c r="H8456">
        <v>4866</v>
      </c>
      <c r="I8456">
        <v>4219</v>
      </c>
      <c r="J8456">
        <v>4219</v>
      </c>
      <c r="K8456">
        <v>1241</v>
      </c>
      <c r="L8456">
        <v>10</v>
      </c>
      <c r="M8456">
        <v>3171</v>
      </c>
      <c r="N8456">
        <v>36</v>
      </c>
      <c r="O8456">
        <v>408</v>
      </c>
      <c r="P8456">
        <v>148</v>
      </c>
      <c r="Q8456">
        <v>33</v>
      </c>
    </row>
    <row r="8457" spans="1:17" x14ac:dyDescent="0.2">
      <c r="A8457" s="121">
        <v>42035</v>
      </c>
      <c r="B8457" t="s">
        <v>406</v>
      </c>
      <c r="C8457" t="s">
        <v>456</v>
      </c>
      <c r="D8457" t="s">
        <v>457</v>
      </c>
      <c r="E8457" t="s">
        <v>458</v>
      </c>
      <c r="F8457" t="s">
        <v>413</v>
      </c>
      <c r="G8457">
        <v>4778</v>
      </c>
      <c r="H8457">
        <v>4778</v>
      </c>
      <c r="I8457">
        <v>3829</v>
      </c>
      <c r="J8457">
        <v>3829</v>
      </c>
      <c r="K8457">
        <v>1374</v>
      </c>
      <c r="L8457">
        <v>11</v>
      </c>
      <c r="M8457">
        <v>3007</v>
      </c>
      <c r="N8457">
        <v>27</v>
      </c>
      <c r="O8457">
        <v>359</v>
      </c>
      <c r="P8457">
        <v>125</v>
      </c>
      <c r="Q8457">
        <v>23</v>
      </c>
    </row>
    <row r="8458" spans="1:17" x14ac:dyDescent="0.2">
      <c r="A8458" s="121">
        <v>42035</v>
      </c>
      <c r="B8458" t="s">
        <v>406</v>
      </c>
      <c r="C8458" t="s">
        <v>456</v>
      </c>
      <c r="D8458" t="s">
        <v>459</v>
      </c>
      <c r="E8458" t="s">
        <v>460</v>
      </c>
      <c r="F8458" t="s">
        <v>413</v>
      </c>
      <c r="G8458">
        <v>1307</v>
      </c>
      <c r="H8458">
        <v>1307</v>
      </c>
      <c r="I8458">
        <v>1290</v>
      </c>
      <c r="J8458">
        <v>1290</v>
      </c>
      <c r="K8458">
        <v>333</v>
      </c>
      <c r="L8458">
        <v>0</v>
      </c>
      <c r="M8458">
        <v>971</v>
      </c>
      <c r="N8458">
        <v>0</v>
      </c>
      <c r="O8458">
        <v>3</v>
      </c>
      <c r="P8458">
        <v>0</v>
      </c>
      <c r="Q8458">
        <v>0</v>
      </c>
    </row>
    <row r="8459" spans="1:17" x14ac:dyDescent="0.2">
      <c r="A8459" s="121">
        <v>42035</v>
      </c>
      <c r="B8459" t="s">
        <v>406</v>
      </c>
      <c r="C8459" t="s">
        <v>456</v>
      </c>
      <c r="D8459" t="s">
        <v>461</v>
      </c>
      <c r="E8459" t="s">
        <v>462</v>
      </c>
      <c r="F8459" t="s">
        <v>410</v>
      </c>
      <c r="G8459">
        <v>66</v>
      </c>
      <c r="I8459">
        <v>66</v>
      </c>
    </row>
    <row r="8460" spans="1:17" x14ac:dyDescent="0.2">
      <c r="A8460" s="121">
        <v>42035</v>
      </c>
      <c r="B8460" t="s">
        <v>406</v>
      </c>
      <c r="C8460" t="s">
        <v>456</v>
      </c>
      <c r="D8460" t="s">
        <v>463</v>
      </c>
      <c r="E8460" t="s">
        <v>464</v>
      </c>
      <c r="F8460" t="s">
        <v>410</v>
      </c>
      <c r="G8460">
        <v>19</v>
      </c>
      <c r="I8460">
        <v>19</v>
      </c>
    </row>
    <row r="8461" spans="1:17" x14ac:dyDescent="0.2">
      <c r="A8461" s="121">
        <v>42035</v>
      </c>
      <c r="B8461" t="s">
        <v>406</v>
      </c>
      <c r="C8461" t="s">
        <v>456</v>
      </c>
      <c r="D8461" t="s">
        <v>465</v>
      </c>
      <c r="E8461" t="s">
        <v>466</v>
      </c>
      <c r="F8461" t="s">
        <v>410</v>
      </c>
      <c r="G8461">
        <v>36</v>
      </c>
      <c r="I8461">
        <v>36</v>
      </c>
    </row>
    <row r="8462" spans="1:17" x14ac:dyDescent="0.2">
      <c r="A8462" s="121">
        <v>42035</v>
      </c>
      <c r="B8462" t="s">
        <v>406</v>
      </c>
      <c r="C8462" t="s">
        <v>456</v>
      </c>
      <c r="D8462" t="s">
        <v>467</v>
      </c>
      <c r="E8462" t="s">
        <v>468</v>
      </c>
      <c r="F8462" t="s">
        <v>410</v>
      </c>
      <c r="G8462">
        <v>1419</v>
      </c>
      <c r="I8462">
        <v>1416</v>
      </c>
    </row>
    <row r="8463" spans="1:17" x14ac:dyDescent="0.2">
      <c r="A8463" s="121">
        <v>42035</v>
      </c>
      <c r="B8463" t="s">
        <v>406</v>
      </c>
      <c r="C8463" t="s">
        <v>456</v>
      </c>
      <c r="D8463" t="s">
        <v>469</v>
      </c>
      <c r="E8463" t="s">
        <v>470</v>
      </c>
      <c r="F8463" t="s">
        <v>410</v>
      </c>
      <c r="G8463">
        <v>762</v>
      </c>
      <c r="I8463">
        <v>758</v>
      </c>
    </row>
    <row r="8464" spans="1:17" x14ac:dyDescent="0.2">
      <c r="A8464" s="121">
        <v>42035</v>
      </c>
      <c r="B8464" t="s">
        <v>406</v>
      </c>
      <c r="C8464" t="s">
        <v>456</v>
      </c>
      <c r="D8464" t="s">
        <v>471</v>
      </c>
      <c r="E8464" t="s">
        <v>472</v>
      </c>
      <c r="F8464" t="s">
        <v>410</v>
      </c>
      <c r="G8464">
        <v>247</v>
      </c>
      <c r="I8464">
        <v>241</v>
      </c>
    </row>
    <row r="8465" spans="1:17" x14ac:dyDescent="0.2">
      <c r="A8465" s="121">
        <v>42035</v>
      </c>
      <c r="B8465" t="s">
        <v>406</v>
      </c>
      <c r="C8465" t="s">
        <v>456</v>
      </c>
      <c r="D8465" t="s">
        <v>473</v>
      </c>
      <c r="E8465" t="s">
        <v>474</v>
      </c>
      <c r="F8465" t="s">
        <v>410</v>
      </c>
      <c r="G8465">
        <v>164</v>
      </c>
      <c r="I8465">
        <v>164</v>
      </c>
    </row>
    <row r="8466" spans="1:17" x14ac:dyDescent="0.2">
      <c r="A8466" s="121">
        <v>42035</v>
      </c>
      <c r="B8466" t="s">
        <v>406</v>
      </c>
      <c r="C8466" t="s">
        <v>456</v>
      </c>
      <c r="D8466" t="s">
        <v>475</v>
      </c>
      <c r="E8466" t="s">
        <v>476</v>
      </c>
      <c r="F8466" t="s">
        <v>410</v>
      </c>
      <c r="G8466">
        <v>243</v>
      </c>
      <c r="I8466">
        <v>233</v>
      </c>
    </row>
    <row r="8467" spans="1:17" x14ac:dyDescent="0.2">
      <c r="A8467" s="121">
        <v>42035</v>
      </c>
      <c r="B8467" t="s">
        <v>406</v>
      </c>
      <c r="C8467" t="s">
        <v>456</v>
      </c>
      <c r="D8467" t="s">
        <v>477</v>
      </c>
      <c r="E8467" t="s">
        <v>478</v>
      </c>
      <c r="F8467" t="s">
        <v>413</v>
      </c>
      <c r="G8467">
        <v>2026</v>
      </c>
      <c r="H8467">
        <v>2026</v>
      </c>
      <c r="I8467">
        <v>1868</v>
      </c>
      <c r="J8467">
        <v>1868</v>
      </c>
      <c r="K8467">
        <v>504</v>
      </c>
      <c r="L8467">
        <v>4</v>
      </c>
      <c r="M8467">
        <v>1501</v>
      </c>
      <c r="N8467">
        <v>17</v>
      </c>
      <c r="O8467">
        <v>0</v>
      </c>
      <c r="P8467">
        <v>12</v>
      </c>
      <c r="Q8467">
        <v>1</v>
      </c>
    </row>
    <row r="8468" spans="1:17" x14ac:dyDescent="0.2">
      <c r="A8468" s="121">
        <v>42035</v>
      </c>
      <c r="B8468" t="s">
        <v>406</v>
      </c>
      <c r="C8468" t="s">
        <v>456</v>
      </c>
      <c r="D8468" t="s">
        <v>479</v>
      </c>
      <c r="E8468" t="s">
        <v>480</v>
      </c>
      <c r="F8468" t="s">
        <v>410</v>
      </c>
      <c r="G8468">
        <v>45</v>
      </c>
      <c r="I8468">
        <v>45</v>
      </c>
    </row>
    <row r="8469" spans="1:17" x14ac:dyDescent="0.2">
      <c r="A8469" s="121">
        <v>42035</v>
      </c>
      <c r="B8469" t="s">
        <v>406</v>
      </c>
      <c r="C8469" t="s">
        <v>456</v>
      </c>
      <c r="D8469" t="s">
        <v>481</v>
      </c>
      <c r="E8469" t="s">
        <v>482</v>
      </c>
      <c r="F8469" t="s">
        <v>410</v>
      </c>
      <c r="G8469">
        <v>23</v>
      </c>
      <c r="I8469">
        <v>23</v>
      </c>
    </row>
    <row r="8470" spans="1:17" x14ac:dyDescent="0.2">
      <c r="A8470" s="121">
        <v>42035</v>
      </c>
      <c r="B8470" t="s">
        <v>406</v>
      </c>
      <c r="C8470" t="s">
        <v>456</v>
      </c>
      <c r="D8470" t="s">
        <v>483</v>
      </c>
      <c r="E8470" t="s">
        <v>484</v>
      </c>
      <c r="F8470" t="s">
        <v>410</v>
      </c>
      <c r="G8470">
        <v>66</v>
      </c>
      <c r="I8470">
        <v>66</v>
      </c>
    </row>
    <row r="8471" spans="1:17" x14ac:dyDescent="0.2">
      <c r="A8471" s="121">
        <v>42035</v>
      </c>
      <c r="B8471" t="s">
        <v>406</v>
      </c>
      <c r="C8471" t="s">
        <v>456</v>
      </c>
      <c r="D8471" t="s">
        <v>487</v>
      </c>
      <c r="E8471" t="s">
        <v>488</v>
      </c>
      <c r="F8471" t="s">
        <v>410</v>
      </c>
      <c r="G8471">
        <v>19</v>
      </c>
      <c r="I8471">
        <v>19</v>
      </c>
    </row>
    <row r="8472" spans="1:17" x14ac:dyDescent="0.2">
      <c r="A8472" s="121">
        <v>42035</v>
      </c>
      <c r="B8472" t="s">
        <v>406</v>
      </c>
      <c r="C8472" t="s">
        <v>456</v>
      </c>
      <c r="D8472" t="s">
        <v>489</v>
      </c>
      <c r="E8472" t="s">
        <v>490</v>
      </c>
      <c r="F8472" t="s">
        <v>410</v>
      </c>
      <c r="G8472">
        <v>97</v>
      </c>
      <c r="I8472">
        <v>97</v>
      </c>
    </row>
    <row r="8473" spans="1:17" x14ac:dyDescent="0.2">
      <c r="A8473" s="121">
        <v>42035</v>
      </c>
      <c r="B8473" t="s">
        <v>406</v>
      </c>
      <c r="C8473" t="s">
        <v>456</v>
      </c>
      <c r="D8473" t="s">
        <v>628</v>
      </c>
      <c r="E8473" t="s">
        <v>629</v>
      </c>
      <c r="F8473" t="s">
        <v>410</v>
      </c>
      <c r="G8473">
        <v>58</v>
      </c>
      <c r="I8473">
        <v>58</v>
      </c>
    </row>
    <row r="8474" spans="1:17" x14ac:dyDescent="0.2">
      <c r="A8474" s="121">
        <v>42035</v>
      </c>
      <c r="B8474" t="s">
        <v>406</v>
      </c>
      <c r="C8474" t="s">
        <v>491</v>
      </c>
      <c r="D8474" t="s">
        <v>492</v>
      </c>
      <c r="E8474" t="s">
        <v>493</v>
      </c>
      <c r="F8474" t="s">
        <v>410</v>
      </c>
      <c r="G8474">
        <v>1254</v>
      </c>
      <c r="H8474">
        <v>1254</v>
      </c>
      <c r="I8474">
        <v>1097</v>
      </c>
      <c r="J8474">
        <v>1097</v>
      </c>
      <c r="K8474">
        <v>249</v>
      </c>
      <c r="L8474">
        <v>1</v>
      </c>
      <c r="M8474">
        <v>912</v>
      </c>
      <c r="N8474">
        <v>76</v>
      </c>
      <c r="O8474">
        <v>16</v>
      </c>
      <c r="P8474">
        <v>6</v>
      </c>
      <c r="Q8474">
        <v>0</v>
      </c>
    </row>
    <row r="8475" spans="1:17" x14ac:dyDescent="0.2">
      <c r="A8475" s="121">
        <v>42035</v>
      </c>
      <c r="B8475" t="s">
        <v>406</v>
      </c>
      <c r="C8475" t="s">
        <v>491</v>
      </c>
      <c r="D8475" t="s">
        <v>494</v>
      </c>
      <c r="E8475" t="s">
        <v>495</v>
      </c>
      <c r="F8475" t="s">
        <v>413</v>
      </c>
      <c r="G8475">
        <v>2530</v>
      </c>
      <c r="H8475">
        <v>2530</v>
      </c>
      <c r="I8475">
        <v>2177</v>
      </c>
      <c r="J8475">
        <v>2177</v>
      </c>
      <c r="K8475">
        <v>794</v>
      </c>
      <c r="L8475">
        <v>5</v>
      </c>
      <c r="M8475">
        <v>1551</v>
      </c>
      <c r="N8475">
        <v>36</v>
      </c>
      <c r="O8475">
        <v>144</v>
      </c>
      <c r="P8475">
        <v>24</v>
      </c>
      <c r="Q8475">
        <v>5</v>
      </c>
    </row>
    <row r="8476" spans="1:17" x14ac:dyDescent="0.2">
      <c r="A8476" s="121">
        <v>42035</v>
      </c>
      <c r="B8476" t="s">
        <v>406</v>
      </c>
      <c r="C8476" t="s">
        <v>491</v>
      </c>
      <c r="D8476" t="s">
        <v>496</v>
      </c>
      <c r="E8476" t="s">
        <v>497</v>
      </c>
      <c r="F8476" t="s">
        <v>413</v>
      </c>
      <c r="G8476">
        <v>5478</v>
      </c>
      <c r="H8476">
        <v>5478</v>
      </c>
      <c r="I8476">
        <v>3898</v>
      </c>
      <c r="J8476">
        <v>3898</v>
      </c>
      <c r="K8476">
        <v>1975</v>
      </c>
      <c r="L8476">
        <v>12</v>
      </c>
      <c r="M8476">
        <v>3201</v>
      </c>
      <c r="N8476">
        <v>133</v>
      </c>
      <c r="O8476">
        <v>157</v>
      </c>
      <c r="P8476">
        <v>413</v>
      </c>
      <c r="Q8476">
        <v>45</v>
      </c>
    </row>
    <row r="8477" spans="1:17" x14ac:dyDescent="0.2">
      <c r="A8477" s="121">
        <v>42035</v>
      </c>
      <c r="B8477" t="s">
        <v>406</v>
      </c>
      <c r="C8477" t="s">
        <v>491</v>
      </c>
      <c r="D8477" t="s">
        <v>498</v>
      </c>
      <c r="E8477" t="s">
        <v>499</v>
      </c>
      <c r="F8477" t="s">
        <v>413</v>
      </c>
      <c r="G8477">
        <v>6590</v>
      </c>
      <c r="H8477">
        <v>6590</v>
      </c>
      <c r="I8477">
        <v>5100</v>
      </c>
      <c r="J8477">
        <v>5100</v>
      </c>
      <c r="K8477">
        <v>2105</v>
      </c>
      <c r="L8477">
        <v>23</v>
      </c>
      <c r="M8477">
        <v>4056</v>
      </c>
      <c r="N8477">
        <v>88</v>
      </c>
      <c r="O8477">
        <v>318</v>
      </c>
      <c r="P8477">
        <v>143</v>
      </c>
      <c r="Q8477">
        <v>4</v>
      </c>
    </row>
    <row r="8478" spans="1:17" x14ac:dyDescent="0.2">
      <c r="A8478" s="121">
        <v>42035</v>
      </c>
      <c r="B8478" t="s">
        <v>406</v>
      </c>
      <c r="C8478" t="s">
        <v>491</v>
      </c>
      <c r="D8478" t="s">
        <v>500</v>
      </c>
      <c r="E8478" t="s">
        <v>620</v>
      </c>
      <c r="F8478" t="s">
        <v>410</v>
      </c>
      <c r="G8478">
        <v>1244</v>
      </c>
      <c r="H8478">
        <v>1244</v>
      </c>
      <c r="I8478">
        <v>1244</v>
      </c>
      <c r="J8478">
        <v>1244</v>
      </c>
      <c r="K8478">
        <v>0</v>
      </c>
      <c r="L8478">
        <v>0</v>
      </c>
      <c r="M8478">
        <v>1165</v>
      </c>
      <c r="N8478">
        <v>71</v>
      </c>
      <c r="O8478">
        <v>8</v>
      </c>
      <c r="P8478">
        <v>0</v>
      </c>
      <c r="Q8478">
        <v>0</v>
      </c>
    </row>
    <row r="8479" spans="1:17" x14ac:dyDescent="0.2">
      <c r="A8479" s="121">
        <v>42035</v>
      </c>
      <c r="B8479" t="s">
        <v>406</v>
      </c>
      <c r="C8479" t="s">
        <v>491</v>
      </c>
      <c r="D8479" t="s">
        <v>502</v>
      </c>
      <c r="E8479" t="s">
        <v>615</v>
      </c>
      <c r="F8479" t="s">
        <v>410</v>
      </c>
      <c r="G8479">
        <v>1794</v>
      </c>
      <c r="H8479">
        <v>1794</v>
      </c>
      <c r="I8479">
        <v>1794</v>
      </c>
      <c r="J8479">
        <v>1794</v>
      </c>
      <c r="K8479">
        <v>2</v>
      </c>
      <c r="L8479">
        <v>5</v>
      </c>
      <c r="M8479">
        <v>1664</v>
      </c>
      <c r="N8479">
        <v>114</v>
      </c>
      <c r="O8479">
        <v>9</v>
      </c>
      <c r="P8479">
        <v>0</v>
      </c>
      <c r="Q8479">
        <v>0</v>
      </c>
    </row>
    <row r="8480" spans="1:17" x14ac:dyDescent="0.2">
      <c r="A8480" s="121">
        <v>42035</v>
      </c>
      <c r="B8480" t="s">
        <v>406</v>
      </c>
      <c r="C8480" t="s">
        <v>491</v>
      </c>
      <c r="D8480" t="s">
        <v>502</v>
      </c>
      <c r="E8480" t="s">
        <v>503</v>
      </c>
      <c r="F8480" t="s">
        <v>413</v>
      </c>
      <c r="G8480">
        <v>4812</v>
      </c>
      <c r="H8480">
        <v>4812</v>
      </c>
      <c r="I8480">
        <v>3483</v>
      </c>
      <c r="J8480">
        <v>3483</v>
      </c>
      <c r="K8480">
        <v>1653</v>
      </c>
      <c r="L8480">
        <v>12</v>
      </c>
      <c r="M8480">
        <v>2742</v>
      </c>
      <c r="N8480">
        <v>330</v>
      </c>
      <c r="O8480">
        <v>75</v>
      </c>
      <c r="P8480">
        <v>357</v>
      </c>
      <c r="Q8480">
        <v>129</v>
      </c>
    </row>
    <row r="8481" spans="1:17" x14ac:dyDescent="0.2">
      <c r="A8481" s="121">
        <v>42035</v>
      </c>
      <c r="B8481" t="s">
        <v>406</v>
      </c>
      <c r="C8481" t="s">
        <v>491</v>
      </c>
      <c r="D8481" t="s">
        <v>504</v>
      </c>
      <c r="E8481" t="s">
        <v>505</v>
      </c>
      <c r="F8481" t="s">
        <v>413</v>
      </c>
      <c r="G8481">
        <v>3909</v>
      </c>
      <c r="H8481">
        <v>3909</v>
      </c>
      <c r="I8481">
        <v>3071</v>
      </c>
      <c r="J8481">
        <v>3071</v>
      </c>
      <c r="K8481">
        <v>1222</v>
      </c>
      <c r="L8481">
        <v>25</v>
      </c>
      <c r="M8481">
        <v>2420</v>
      </c>
      <c r="N8481">
        <v>169</v>
      </c>
      <c r="O8481">
        <v>73</v>
      </c>
      <c r="P8481">
        <v>65</v>
      </c>
      <c r="Q8481">
        <v>6</v>
      </c>
    </row>
    <row r="8482" spans="1:17" x14ac:dyDescent="0.2">
      <c r="A8482" s="121">
        <v>42035</v>
      </c>
      <c r="B8482" t="s">
        <v>406</v>
      </c>
      <c r="C8482" t="s">
        <v>491</v>
      </c>
      <c r="D8482" t="s">
        <v>506</v>
      </c>
      <c r="E8482" t="s">
        <v>507</v>
      </c>
      <c r="F8482" t="s">
        <v>413</v>
      </c>
      <c r="G8482">
        <v>3817</v>
      </c>
      <c r="H8482">
        <v>3817</v>
      </c>
      <c r="I8482">
        <v>3772</v>
      </c>
      <c r="J8482">
        <v>3772</v>
      </c>
      <c r="K8482">
        <v>1064</v>
      </c>
      <c r="L8482">
        <v>2</v>
      </c>
      <c r="M8482">
        <v>2751</v>
      </c>
      <c r="N8482">
        <v>0</v>
      </c>
      <c r="O8482">
        <v>0</v>
      </c>
      <c r="P8482">
        <v>0</v>
      </c>
      <c r="Q8482">
        <v>0</v>
      </c>
    </row>
    <row r="8483" spans="1:17" x14ac:dyDescent="0.2">
      <c r="A8483" s="121">
        <v>42035</v>
      </c>
      <c r="B8483" t="s">
        <v>406</v>
      </c>
      <c r="C8483" t="s">
        <v>491</v>
      </c>
      <c r="D8483" t="s">
        <v>508</v>
      </c>
      <c r="E8483" t="s">
        <v>509</v>
      </c>
      <c r="F8483" t="s">
        <v>413</v>
      </c>
      <c r="G8483">
        <v>4721</v>
      </c>
      <c r="H8483">
        <v>4721</v>
      </c>
      <c r="I8483">
        <v>3239</v>
      </c>
      <c r="J8483">
        <v>3239</v>
      </c>
      <c r="K8483">
        <v>1415</v>
      </c>
      <c r="L8483">
        <v>12</v>
      </c>
      <c r="M8483">
        <v>2937</v>
      </c>
      <c r="N8483">
        <v>199</v>
      </c>
      <c r="O8483">
        <v>158</v>
      </c>
      <c r="P8483">
        <v>478</v>
      </c>
      <c r="Q8483">
        <v>112</v>
      </c>
    </row>
    <row r="8484" spans="1:17" x14ac:dyDescent="0.2">
      <c r="A8484" s="121">
        <v>42035</v>
      </c>
      <c r="B8484" t="s">
        <v>406</v>
      </c>
      <c r="C8484" t="s">
        <v>510</v>
      </c>
      <c r="D8484" t="s">
        <v>513</v>
      </c>
      <c r="E8484" t="s">
        <v>514</v>
      </c>
      <c r="F8484" t="s">
        <v>410</v>
      </c>
      <c r="G8484">
        <v>566</v>
      </c>
      <c r="I8484">
        <v>563</v>
      </c>
    </row>
    <row r="8485" spans="1:17" x14ac:dyDescent="0.2">
      <c r="A8485" s="121">
        <v>42035</v>
      </c>
      <c r="B8485" t="s">
        <v>406</v>
      </c>
      <c r="C8485" t="s">
        <v>510</v>
      </c>
      <c r="D8485" t="s">
        <v>515</v>
      </c>
      <c r="E8485" t="s">
        <v>516</v>
      </c>
      <c r="F8485" t="s">
        <v>410</v>
      </c>
      <c r="G8485">
        <v>90</v>
      </c>
      <c r="I8485">
        <v>90</v>
      </c>
    </row>
    <row r="8486" spans="1:17" x14ac:dyDescent="0.2">
      <c r="A8486" s="121">
        <v>42035</v>
      </c>
      <c r="B8486" t="s">
        <v>406</v>
      </c>
      <c r="C8486" t="s">
        <v>510</v>
      </c>
      <c r="D8486" t="s">
        <v>519</v>
      </c>
      <c r="E8486" t="s">
        <v>520</v>
      </c>
      <c r="F8486" t="s">
        <v>410</v>
      </c>
      <c r="G8486">
        <v>387</v>
      </c>
      <c r="I8486">
        <v>381</v>
      </c>
    </row>
    <row r="8487" spans="1:17" x14ac:dyDescent="0.2">
      <c r="A8487" s="121">
        <v>42035</v>
      </c>
      <c r="B8487" t="s">
        <v>406</v>
      </c>
      <c r="C8487" t="s">
        <v>510</v>
      </c>
      <c r="D8487" t="s">
        <v>523</v>
      </c>
      <c r="E8487" t="s">
        <v>524</v>
      </c>
      <c r="F8487" t="s">
        <v>413</v>
      </c>
      <c r="G8487">
        <v>485</v>
      </c>
      <c r="H8487">
        <v>485</v>
      </c>
      <c r="I8487">
        <v>472</v>
      </c>
      <c r="J8487">
        <v>472</v>
      </c>
      <c r="K8487">
        <v>144</v>
      </c>
      <c r="L8487">
        <v>1</v>
      </c>
      <c r="M8487">
        <v>333</v>
      </c>
      <c r="N8487">
        <v>7</v>
      </c>
      <c r="O8487">
        <v>0</v>
      </c>
      <c r="P8487">
        <v>1</v>
      </c>
      <c r="Q8487">
        <v>0</v>
      </c>
    </row>
    <row r="8488" spans="1:17" x14ac:dyDescent="0.2">
      <c r="A8488" s="121">
        <v>42035</v>
      </c>
      <c r="B8488" t="s">
        <v>406</v>
      </c>
      <c r="C8488" t="s">
        <v>510</v>
      </c>
      <c r="D8488" t="s">
        <v>525</v>
      </c>
      <c r="E8488" t="s">
        <v>526</v>
      </c>
      <c r="F8488" t="s">
        <v>410</v>
      </c>
      <c r="G8488">
        <v>457</v>
      </c>
      <c r="I8488">
        <v>456</v>
      </c>
    </row>
    <row r="8489" spans="1:17" x14ac:dyDescent="0.2">
      <c r="A8489" s="121">
        <v>42035</v>
      </c>
      <c r="B8489" t="s">
        <v>406</v>
      </c>
      <c r="C8489" t="s">
        <v>510</v>
      </c>
      <c r="D8489" t="s">
        <v>527</v>
      </c>
      <c r="E8489" t="s">
        <v>528</v>
      </c>
      <c r="F8489" t="s">
        <v>410</v>
      </c>
      <c r="G8489">
        <v>183</v>
      </c>
      <c r="I8489">
        <v>182</v>
      </c>
    </row>
    <row r="8490" spans="1:17" x14ac:dyDescent="0.2">
      <c r="A8490" s="121">
        <v>42035</v>
      </c>
      <c r="B8490" t="s">
        <v>406</v>
      </c>
      <c r="C8490" t="s">
        <v>510</v>
      </c>
      <c r="D8490" t="s">
        <v>529</v>
      </c>
      <c r="E8490" t="s">
        <v>530</v>
      </c>
      <c r="F8490" t="s">
        <v>413</v>
      </c>
      <c r="G8490">
        <v>476</v>
      </c>
      <c r="H8490">
        <v>476</v>
      </c>
      <c r="I8490">
        <v>437</v>
      </c>
      <c r="J8490">
        <v>437</v>
      </c>
      <c r="K8490">
        <v>168</v>
      </c>
      <c r="L8490">
        <v>2</v>
      </c>
      <c r="M8490">
        <v>304</v>
      </c>
      <c r="N8490">
        <v>2</v>
      </c>
      <c r="O8490">
        <v>0</v>
      </c>
      <c r="P8490">
        <v>1</v>
      </c>
      <c r="Q8490">
        <v>1</v>
      </c>
    </row>
    <row r="8491" spans="1:17" x14ac:dyDescent="0.2">
      <c r="A8491" s="121">
        <v>42035</v>
      </c>
      <c r="B8491" t="s">
        <v>406</v>
      </c>
      <c r="C8491" t="s">
        <v>510</v>
      </c>
      <c r="D8491" t="s">
        <v>531</v>
      </c>
      <c r="E8491" t="s">
        <v>532</v>
      </c>
      <c r="F8491" t="s">
        <v>410</v>
      </c>
      <c r="G8491">
        <v>19</v>
      </c>
      <c r="I8491">
        <v>19</v>
      </c>
    </row>
    <row r="8492" spans="1:17" x14ac:dyDescent="0.2">
      <c r="A8492" s="121">
        <v>42035</v>
      </c>
      <c r="B8492" t="s">
        <v>406</v>
      </c>
      <c r="C8492" t="s">
        <v>510</v>
      </c>
      <c r="D8492" t="s">
        <v>533</v>
      </c>
      <c r="E8492" t="s">
        <v>534</v>
      </c>
      <c r="F8492" t="s">
        <v>413</v>
      </c>
      <c r="G8492">
        <v>2335</v>
      </c>
      <c r="H8492">
        <v>2335</v>
      </c>
      <c r="I8492">
        <v>2207</v>
      </c>
      <c r="J8492">
        <v>2207</v>
      </c>
      <c r="K8492">
        <v>666</v>
      </c>
      <c r="L8492">
        <v>3</v>
      </c>
      <c r="M8492">
        <v>1656</v>
      </c>
      <c r="N8492">
        <v>10</v>
      </c>
      <c r="O8492">
        <v>0</v>
      </c>
      <c r="P8492">
        <v>5</v>
      </c>
      <c r="Q8492">
        <v>0</v>
      </c>
    </row>
    <row r="8493" spans="1:17" x14ac:dyDescent="0.2">
      <c r="A8493" s="121">
        <v>42035</v>
      </c>
      <c r="B8493" t="s">
        <v>406</v>
      </c>
      <c r="C8493" t="s">
        <v>510</v>
      </c>
      <c r="D8493" t="s">
        <v>535</v>
      </c>
      <c r="E8493" t="s">
        <v>536</v>
      </c>
      <c r="F8493" t="s">
        <v>410</v>
      </c>
      <c r="G8493">
        <v>367</v>
      </c>
      <c r="I8493">
        <v>367</v>
      </c>
    </row>
    <row r="8494" spans="1:17" x14ac:dyDescent="0.2">
      <c r="A8494" s="121">
        <v>42035</v>
      </c>
      <c r="B8494" t="s">
        <v>406</v>
      </c>
      <c r="C8494" t="s">
        <v>510</v>
      </c>
      <c r="D8494" t="s">
        <v>537</v>
      </c>
      <c r="E8494" t="s">
        <v>538</v>
      </c>
      <c r="F8494" t="s">
        <v>410</v>
      </c>
      <c r="G8494">
        <v>79</v>
      </c>
      <c r="I8494">
        <v>79</v>
      </c>
    </row>
    <row r="8495" spans="1:17" x14ac:dyDescent="0.2">
      <c r="A8495" s="121">
        <v>42035</v>
      </c>
      <c r="B8495" t="s">
        <v>406</v>
      </c>
      <c r="C8495" t="s">
        <v>510</v>
      </c>
      <c r="D8495" t="s">
        <v>539</v>
      </c>
      <c r="E8495" t="s">
        <v>540</v>
      </c>
      <c r="F8495" t="s">
        <v>413</v>
      </c>
      <c r="G8495">
        <v>618</v>
      </c>
      <c r="H8495">
        <v>618</v>
      </c>
      <c r="I8495">
        <v>593</v>
      </c>
      <c r="J8495">
        <v>593</v>
      </c>
      <c r="K8495">
        <v>122</v>
      </c>
      <c r="L8495">
        <v>0</v>
      </c>
      <c r="M8495">
        <v>492</v>
      </c>
      <c r="N8495">
        <v>4</v>
      </c>
      <c r="O8495">
        <v>0</v>
      </c>
      <c r="P8495">
        <v>2</v>
      </c>
      <c r="Q8495">
        <v>0</v>
      </c>
    </row>
    <row r="8496" spans="1:17" x14ac:dyDescent="0.2">
      <c r="A8496" s="121">
        <v>42035</v>
      </c>
      <c r="B8496" t="s">
        <v>406</v>
      </c>
      <c r="C8496" t="s">
        <v>510</v>
      </c>
      <c r="D8496" t="s">
        <v>541</v>
      </c>
      <c r="E8496" t="s">
        <v>542</v>
      </c>
      <c r="F8496" t="s">
        <v>410</v>
      </c>
      <c r="G8496">
        <v>314</v>
      </c>
      <c r="I8496">
        <v>314</v>
      </c>
    </row>
    <row r="8497" spans="1:17" x14ac:dyDescent="0.2">
      <c r="A8497" s="121">
        <v>42035</v>
      </c>
      <c r="B8497" t="s">
        <v>406</v>
      </c>
      <c r="C8497" t="s">
        <v>510</v>
      </c>
      <c r="D8497" t="s">
        <v>543</v>
      </c>
      <c r="E8497" t="s">
        <v>544</v>
      </c>
      <c r="F8497" t="s">
        <v>410</v>
      </c>
      <c r="G8497">
        <v>219</v>
      </c>
      <c r="I8497">
        <v>219</v>
      </c>
    </row>
    <row r="8498" spans="1:17" x14ac:dyDescent="0.2">
      <c r="A8498" s="121">
        <v>42035</v>
      </c>
      <c r="B8498" t="s">
        <v>406</v>
      </c>
      <c r="C8498" t="s">
        <v>510</v>
      </c>
      <c r="D8498" t="s">
        <v>545</v>
      </c>
      <c r="E8498" t="s">
        <v>546</v>
      </c>
      <c r="F8498" t="s">
        <v>410</v>
      </c>
      <c r="G8498">
        <v>109</v>
      </c>
      <c r="I8498">
        <v>109</v>
      </c>
    </row>
    <row r="8499" spans="1:17" x14ac:dyDescent="0.2">
      <c r="A8499" s="121">
        <v>42035</v>
      </c>
      <c r="B8499" t="s">
        <v>406</v>
      </c>
      <c r="C8499" t="s">
        <v>510</v>
      </c>
      <c r="D8499" t="s">
        <v>547</v>
      </c>
      <c r="E8499" t="s">
        <v>548</v>
      </c>
      <c r="F8499" t="s">
        <v>410</v>
      </c>
      <c r="G8499">
        <v>113</v>
      </c>
      <c r="I8499">
        <v>113</v>
      </c>
    </row>
    <row r="8500" spans="1:17" x14ac:dyDescent="0.2">
      <c r="A8500" s="121">
        <v>42035</v>
      </c>
      <c r="B8500" t="s">
        <v>406</v>
      </c>
      <c r="C8500" t="s">
        <v>510</v>
      </c>
      <c r="D8500" t="s">
        <v>616</v>
      </c>
      <c r="E8500" t="s">
        <v>617</v>
      </c>
      <c r="F8500" t="s">
        <v>410</v>
      </c>
      <c r="G8500">
        <v>338</v>
      </c>
      <c r="I8500">
        <v>324</v>
      </c>
    </row>
    <row r="8501" spans="1:17" x14ac:dyDescent="0.2">
      <c r="A8501" s="121">
        <v>42035</v>
      </c>
      <c r="B8501" t="s">
        <v>406</v>
      </c>
      <c r="C8501" t="s">
        <v>510</v>
      </c>
      <c r="D8501" t="s">
        <v>549</v>
      </c>
      <c r="E8501" t="s">
        <v>550</v>
      </c>
      <c r="F8501" t="s">
        <v>410</v>
      </c>
      <c r="G8501">
        <v>129</v>
      </c>
      <c r="I8501">
        <v>129</v>
      </c>
    </row>
    <row r="8502" spans="1:17" x14ac:dyDescent="0.2">
      <c r="A8502" s="121">
        <v>42035</v>
      </c>
      <c r="B8502" t="s">
        <v>406</v>
      </c>
      <c r="C8502" t="s">
        <v>510</v>
      </c>
      <c r="D8502" t="s">
        <v>625</v>
      </c>
      <c r="E8502" t="s">
        <v>626</v>
      </c>
      <c r="F8502" t="s">
        <v>410</v>
      </c>
      <c r="G8502">
        <v>51</v>
      </c>
      <c r="I8502">
        <v>49</v>
      </c>
    </row>
    <row r="8503" spans="1:17" x14ac:dyDescent="0.2">
      <c r="A8503" s="121">
        <v>42035</v>
      </c>
      <c r="B8503" t="s">
        <v>406</v>
      </c>
      <c r="C8503" t="s">
        <v>551</v>
      </c>
      <c r="D8503" t="s">
        <v>552</v>
      </c>
      <c r="E8503" t="s">
        <v>553</v>
      </c>
      <c r="F8503" t="s">
        <v>413</v>
      </c>
      <c r="G8503">
        <v>5347</v>
      </c>
      <c r="H8503">
        <v>5347</v>
      </c>
      <c r="I8503">
        <v>5133</v>
      </c>
      <c r="J8503">
        <v>5133</v>
      </c>
      <c r="K8503">
        <v>1884</v>
      </c>
      <c r="L8503">
        <v>10</v>
      </c>
      <c r="M8503">
        <v>3285</v>
      </c>
      <c r="N8503">
        <v>108</v>
      </c>
      <c r="O8503">
        <v>60</v>
      </c>
      <c r="P8503">
        <v>1</v>
      </c>
      <c r="Q8503">
        <v>0</v>
      </c>
    </row>
    <row r="8504" spans="1:17" x14ac:dyDescent="0.2">
      <c r="A8504" s="121">
        <v>42035</v>
      </c>
      <c r="B8504" t="s">
        <v>406</v>
      </c>
      <c r="C8504" t="s">
        <v>551</v>
      </c>
      <c r="D8504" t="s">
        <v>554</v>
      </c>
      <c r="E8504" t="s">
        <v>555</v>
      </c>
      <c r="F8504" t="s">
        <v>410</v>
      </c>
      <c r="G8504">
        <v>52</v>
      </c>
      <c r="I8504">
        <v>52</v>
      </c>
    </row>
    <row r="8505" spans="1:17" x14ac:dyDescent="0.2">
      <c r="A8505" s="121">
        <v>42035</v>
      </c>
      <c r="B8505" t="s">
        <v>406</v>
      </c>
      <c r="C8505" t="s">
        <v>551</v>
      </c>
      <c r="D8505" t="s">
        <v>556</v>
      </c>
      <c r="E8505" t="s">
        <v>557</v>
      </c>
      <c r="F8505" t="s">
        <v>410</v>
      </c>
      <c r="G8505">
        <v>84</v>
      </c>
      <c r="I8505">
        <v>84</v>
      </c>
    </row>
    <row r="8506" spans="1:17" x14ac:dyDescent="0.2">
      <c r="A8506" s="121">
        <v>42035</v>
      </c>
      <c r="B8506" t="s">
        <v>406</v>
      </c>
      <c r="C8506" t="s">
        <v>551</v>
      </c>
      <c r="D8506" t="s">
        <v>558</v>
      </c>
      <c r="E8506" t="s">
        <v>559</v>
      </c>
      <c r="F8506" t="s">
        <v>413</v>
      </c>
      <c r="G8506">
        <v>4568</v>
      </c>
      <c r="H8506">
        <v>4568</v>
      </c>
      <c r="I8506">
        <v>3600</v>
      </c>
      <c r="J8506">
        <v>3600</v>
      </c>
      <c r="K8506">
        <v>1431</v>
      </c>
      <c r="L8506">
        <v>5</v>
      </c>
      <c r="M8506">
        <v>3019</v>
      </c>
      <c r="N8506">
        <v>100</v>
      </c>
      <c r="O8506">
        <v>13</v>
      </c>
      <c r="P8506">
        <v>221</v>
      </c>
      <c r="Q8506">
        <v>59</v>
      </c>
    </row>
    <row r="8507" spans="1:17" x14ac:dyDescent="0.2">
      <c r="A8507" s="121">
        <v>42035</v>
      </c>
      <c r="B8507" t="s">
        <v>406</v>
      </c>
      <c r="C8507" t="s">
        <v>551</v>
      </c>
      <c r="D8507" t="s">
        <v>560</v>
      </c>
      <c r="E8507" t="s">
        <v>561</v>
      </c>
      <c r="F8507" t="s">
        <v>413</v>
      </c>
      <c r="G8507">
        <v>5000</v>
      </c>
      <c r="H8507">
        <v>5000</v>
      </c>
      <c r="I8507">
        <v>4221</v>
      </c>
      <c r="J8507">
        <v>4221</v>
      </c>
      <c r="K8507">
        <v>1137</v>
      </c>
      <c r="L8507">
        <v>17</v>
      </c>
      <c r="M8507">
        <v>3637</v>
      </c>
      <c r="N8507">
        <v>122</v>
      </c>
      <c r="O8507">
        <v>87</v>
      </c>
      <c r="P8507">
        <v>228</v>
      </c>
      <c r="Q8507">
        <v>71</v>
      </c>
    </row>
    <row r="8508" spans="1:17" x14ac:dyDescent="0.2">
      <c r="A8508" s="121">
        <v>42035</v>
      </c>
      <c r="B8508" t="s">
        <v>406</v>
      </c>
      <c r="C8508" t="s">
        <v>562</v>
      </c>
      <c r="D8508" t="s">
        <v>605</v>
      </c>
      <c r="E8508" t="s">
        <v>606</v>
      </c>
      <c r="F8508" t="s">
        <v>410</v>
      </c>
      <c r="G8508">
        <v>78</v>
      </c>
      <c r="I8508">
        <v>78</v>
      </c>
    </row>
    <row r="8509" spans="1:17" x14ac:dyDescent="0.2">
      <c r="A8509" s="121">
        <v>42035</v>
      </c>
      <c r="B8509" t="s">
        <v>406</v>
      </c>
      <c r="C8509" t="s">
        <v>562</v>
      </c>
      <c r="D8509" t="s">
        <v>563</v>
      </c>
      <c r="E8509" t="s">
        <v>564</v>
      </c>
      <c r="F8509" t="s">
        <v>410</v>
      </c>
      <c r="G8509">
        <v>3428</v>
      </c>
      <c r="H8509">
        <v>3428</v>
      </c>
      <c r="I8509">
        <v>2776</v>
      </c>
      <c r="J8509">
        <v>2776</v>
      </c>
      <c r="K8509">
        <v>1307</v>
      </c>
      <c r="L8509">
        <v>0</v>
      </c>
      <c r="M8509">
        <v>2097</v>
      </c>
      <c r="N8509">
        <v>24</v>
      </c>
      <c r="O8509">
        <v>0</v>
      </c>
      <c r="P8509">
        <v>209</v>
      </c>
      <c r="Q8509">
        <v>95</v>
      </c>
    </row>
    <row r="8510" spans="1:17" x14ac:dyDescent="0.2">
      <c r="A8510" s="121">
        <v>42035</v>
      </c>
      <c r="B8510" t="s">
        <v>406</v>
      </c>
      <c r="C8510" t="s">
        <v>562</v>
      </c>
      <c r="D8510" t="s">
        <v>565</v>
      </c>
      <c r="E8510" t="s">
        <v>566</v>
      </c>
      <c r="F8510" t="s">
        <v>413</v>
      </c>
      <c r="G8510">
        <v>4170</v>
      </c>
      <c r="H8510">
        <v>4170</v>
      </c>
      <c r="I8510">
        <v>3669</v>
      </c>
      <c r="J8510">
        <v>3669</v>
      </c>
      <c r="K8510">
        <v>1186</v>
      </c>
      <c r="L8510">
        <v>11</v>
      </c>
      <c r="M8510">
        <v>2871</v>
      </c>
      <c r="N8510">
        <v>102</v>
      </c>
      <c r="O8510">
        <v>0</v>
      </c>
      <c r="P8510">
        <v>77</v>
      </c>
      <c r="Q8510">
        <v>4</v>
      </c>
    </row>
    <row r="8511" spans="1:17" x14ac:dyDescent="0.2">
      <c r="A8511" s="121">
        <v>42035</v>
      </c>
      <c r="B8511" t="s">
        <v>406</v>
      </c>
      <c r="C8511" t="s">
        <v>562</v>
      </c>
      <c r="D8511" t="s">
        <v>567</v>
      </c>
      <c r="E8511" t="s">
        <v>568</v>
      </c>
      <c r="F8511" t="s">
        <v>413</v>
      </c>
      <c r="G8511">
        <v>9608</v>
      </c>
      <c r="H8511">
        <v>9608</v>
      </c>
      <c r="I8511">
        <v>8163</v>
      </c>
      <c r="J8511">
        <v>8163</v>
      </c>
      <c r="K8511">
        <v>2978</v>
      </c>
      <c r="L8511">
        <v>25</v>
      </c>
      <c r="M8511">
        <v>6341</v>
      </c>
      <c r="N8511">
        <v>264</v>
      </c>
      <c r="O8511">
        <v>0</v>
      </c>
      <c r="P8511">
        <v>293</v>
      </c>
      <c r="Q8511">
        <v>30</v>
      </c>
    </row>
    <row r="8512" spans="1:17" x14ac:dyDescent="0.2">
      <c r="A8512" s="121">
        <v>42035</v>
      </c>
      <c r="B8512" t="s">
        <v>406</v>
      </c>
      <c r="C8512" t="s">
        <v>562</v>
      </c>
      <c r="D8512" t="s">
        <v>569</v>
      </c>
      <c r="E8512" t="s">
        <v>570</v>
      </c>
      <c r="F8512" t="s">
        <v>413</v>
      </c>
      <c r="G8512">
        <v>3414</v>
      </c>
      <c r="H8512">
        <v>3414</v>
      </c>
      <c r="I8512">
        <v>3366</v>
      </c>
      <c r="J8512">
        <v>3366</v>
      </c>
      <c r="K8512">
        <v>384</v>
      </c>
      <c r="L8512">
        <v>1</v>
      </c>
      <c r="M8512">
        <v>3028</v>
      </c>
      <c r="N8512">
        <v>1</v>
      </c>
      <c r="O8512">
        <v>0</v>
      </c>
      <c r="P8512">
        <v>0</v>
      </c>
      <c r="Q8512">
        <v>0</v>
      </c>
    </row>
    <row r="8513" spans="1:17" x14ac:dyDescent="0.2">
      <c r="A8513" s="121">
        <v>42035</v>
      </c>
      <c r="B8513" t="s">
        <v>406</v>
      </c>
      <c r="C8513" t="s">
        <v>571</v>
      </c>
      <c r="D8513" t="s">
        <v>572</v>
      </c>
      <c r="E8513" t="s">
        <v>627</v>
      </c>
      <c r="F8513" t="s">
        <v>413</v>
      </c>
      <c r="G8513">
        <v>406</v>
      </c>
      <c r="H8513">
        <v>406</v>
      </c>
      <c r="I8513">
        <v>402</v>
      </c>
      <c r="J8513">
        <v>402</v>
      </c>
      <c r="K8513">
        <v>147</v>
      </c>
      <c r="L8513">
        <v>0</v>
      </c>
      <c r="M8513">
        <v>258</v>
      </c>
      <c r="N8513">
        <v>0</v>
      </c>
      <c r="O8513">
        <v>1</v>
      </c>
      <c r="P8513">
        <v>0</v>
      </c>
      <c r="Q8513">
        <v>0</v>
      </c>
    </row>
    <row r="8514" spans="1:17" x14ac:dyDescent="0.2">
      <c r="A8514" s="121">
        <v>42035</v>
      </c>
      <c r="B8514" t="s">
        <v>406</v>
      </c>
      <c r="C8514" t="s">
        <v>574</v>
      </c>
      <c r="D8514" t="s">
        <v>575</v>
      </c>
      <c r="E8514" t="s">
        <v>576</v>
      </c>
      <c r="F8514" t="s">
        <v>413</v>
      </c>
      <c r="G8514">
        <v>691</v>
      </c>
      <c r="H8514">
        <v>691</v>
      </c>
      <c r="I8514">
        <v>676</v>
      </c>
      <c r="J8514">
        <v>676</v>
      </c>
      <c r="K8514">
        <v>179</v>
      </c>
      <c r="L8514">
        <v>1</v>
      </c>
      <c r="M8514">
        <v>487</v>
      </c>
      <c r="N8514">
        <v>3</v>
      </c>
      <c r="O8514">
        <v>21</v>
      </c>
      <c r="P8514">
        <v>0</v>
      </c>
      <c r="Q8514">
        <v>0</v>
      </c>
    </row>
    <row r="8515" spans="1:17" x14ac:dyDescent="0.2">
      <c r="A8515" s="121">
        <v>42035</v>
      </c>
      <c r="B8515" t="s">
        <v>406</v>
      </c>
      <c r="C8515" t="s">
        <v>577</v>
      </c>
      <c r="D8515" t="s">
        <v>578</v>
      </c>
      <c r="E8515" t="s">
        <v>579</v>
      </c>
      <c r="F8515" t="s">
        <v>413</v>
      </c>
      <c r="G8515">
        <v>3473</v>
      </c>
      <c r="H8515">
        <v>3473</v>
      </c>
      <c r="I8515">
        <v>3430</v>
      </c>
      <c r="J8515">
        <v>3430</v>
      </c>
      <c r="K8515">
        <v>1141</v>
      </c>
      <c r="L8515">
        <v>8</v>
      </c>
      <c r="M8515">
        <v>2097</v>
      </c>
      <c r="N8515">
        <v>212</v>
      </c>
      <c r="O8515">
        <v>15</v>
      </c>
      <c r="P8515">
        <v>2</v>
      </c>
      <c r="Q8515">
        <v>0</v>
      </c>
    </row>
    <row r="8516" spans="1:17" x14ac:dyDescent="0.2">
      <c r="A8516" s="121">
        <v>42035</v>
      </c>
      <c r="B8516" t="s">
        <v>406</v>
      </c>
      <c r="C8516" t="s">
        <v>577</v>
      </c>
      <c r="D8516" t="s">
        <v>580</v>
      </c>
      <c r="E8516" t="s">
        <v>581</v>
      </c>
      <c r="F8516" t="s">
        <v>413</v>
      </c>
      <c r="G8516">
        <v>1832</v>
      </c>
      <c r="H8516">
        <v>1832</v>
      </c>
      <c r="I8516">
        <v>1812</v>
      </c>
      <c r="J8516">
        <v>1812</v>
      </c>
      <c r="K8516">
        <v>341</v>
      </c>
      <c r="L8516">
        <v>4</v>
      </c>
      <c r="M8516">
        <v>1124</v>
      </c>
      <c r="N8516">
        <v>351</v>
      </c>
      <c r="O8516">
        <v>12</v>
      </c>
      <c r="P8516">
        <v>1</v>
      </c>
      <c r="Q8516">
        <v>0</v>
      </c>
    </row>
    <row r="8517" spans="1:17" x14ac:dyDescent="0.2">
      <c r="A8517" s="121">
        <v>42035</v>
      </c>
      <c r="B8517" t="s">
        <v>406</v>
      </c>
      <c r="C8517" t="s">
        <v>577</v>
      </c>
      <c r="D8517" t="s">
        <v>609</v>
      </c>
      <c r="E8517" t="s">
        <v>610</v>
      </c>
      <c r="F8517" t="s">
        <v>410</v>
      </c>
      <c r="G8517">
        <v>19</v>
      </c>
      <c r="H8517">
        <v>19</v>
      </c>
      <c r="I8517">
        <v>19</v>
      </c>
      <c r="J8517">
        <v>19</v>
      </c>
      <c r="K8517">
        <v>0</v>
      </c>
      <c r="L8517">
        <v>0</v>
      </c>
      <c r="M8517">
        <v>19</v>
      </c>
      <c r="N8517">
        <v>0</v>
      </c>
      <c r="O8517">
        <v>0</v>
      </c>
      <c r="P8517">
        <v>0</v>
      </c>
      <c r="Q8517">
        <v>0</v>
      </c>
    </row>
    <row r="8518" spans="1:17" x14ac:dyDescent="0.2">
      <c r="A8518" s="121">
        <v>42035</v>
      </c>
      <c r="B8518" t="s">
        <v>406</v>
      </c>
      <c r="C8518" t="s">
        <v>577</v>
      </c>
      <c r="D8518" t="s">
        <v>611</v>
      </c>
      <c r="E8518" t="s">
        <v>612</v>
      </c>
      <c r="F8518" t="s">
        <v>410</v>
      </c>
      <c r="G8518">
        <v>8</v>
      </c>
      <c r="H8518">
        <v>8</v>
      </c>
      <c r="I8518">
        <v>8</v>
      </c>
      <c r="J8518">
        <v>8</v>
      </c>
      <c r="K8518">
        <v>0</v>
      </c>
      <c r="L8518">
        <v>0</v>
      </c>
      <c r="M8518">
        <v>5</v>
      </c>
      <c r="N8518">
        <v>1</v>
      </c>
      <c r="O8518">
        <v>2</v>
      </c>
      <c r="P8518">
        <v>0</v>
      </c>
      <c r="Q8518">
        <v>0</v>
      </c>
    </row>
    <row r="8519" spans="1:17" x14ac:dyDescent="0.2">
      <c r="A8519" s="121">
        <v>42035</v>
      </c>
      <c r="B8519" t="s">
        <v>406</v>
      </c>
      <c r="C8519" t="s">
        <v>577</v>
      </c>
      <c r="D8519" t="s">
        <v>584</v>
      </c>
      <c r="E8519" t="s">
        <v>585</v>
      </c>
      <c r="F8519" t="s">
        <v>410</v>
      </c>
      <c r="G8519">
        <v>212</v>
      </c>
      <c r="H8519">
        <v>212</v>
      </c>
      <c r="I8519">
        <v>212</v>
      </c>
      <c r="J8519">
        <v>212</v>
      </c>
      <c r="K8519">
        <v>0</v>
      </c>
      <c r="L8519">
        <v>0</v>
      </c>
      <c r="M8519">
        <v>202</v>
      </c>
      <c r="N8519">
        <v>8</v>
      </c>
      <c r="O8519">
        <v>2</v>
      </c>
      <c r="P8519">
        <v>0</v>
      </c>
      <c r="Q8519">
        <v>0</v>
      </c>
    </row>
    <row r="8520" spans="1:17" x14ac:dyDescent="0.2">
      <c r="A8520" s="121">
        <v>42035</v>
      </c>
      <c r="B8520" t="s">
        <v>406</v>
      </c>
      <c r="C8520" t="s">
        <v>577</v>
      </c>
      <c r="D8520" t="s">
        <v>586</v>
      </c>
      <c r="E8520" t="s">
        <v>587</v>
      </c>
      <c r="F8520" t="s">
        <v>410</v>
      </c>
      <c r="G8520">
        <v>1171</v>
      </c>
      <c r="H8520">
        <v>1171</v>
      </c>
      <c r="I8520">
        <v>1166</v>
      </c>
      <c r="J8520">
        <v>1166</v>
      </c>
      <c r="K8520">
        <v>0</v>
      </c>
      <c r="L8520">
        <v>0</v>
      </c>
      <c r="M8520">
        <v>1071</v>
      </c>
      <c r="N8520">
        <v>98</v>
      </c>
      <c r="O8520">
        <v>2</v>
      </c>
      <c r="P8520">
        <v>0</v>
      </c>
      <c r="Q8520">
        <v>0</v>
      </c>
    </row>
    <row r="8521" spans="1:17" x14ac:dyDescent="0.2">
      <c r="A8521" s="121">
        <v>42035</v>
      </c>
      <c r="B8521" t="s">
        <v>406</v>
      </c>
      <c r="C8521" t="s">
        <v>577</v>
      </c>
      <c r="D8521" t="s">
        <v>588</v>
      </c>
      <c r="E8521" t="s">
        <v>589</v>
      </c>
      <c r="F8521" t="s">
        <v>410</v>
      </c>
      <c r="G8521">
        <v>228</v>
      </c>
      <c r="H8521">
        <v>228</v>
      </c>
      <c r="I8521">
        <v>228</v>
      </c>
      <c r="J8521">
        <v>228</v>
      </c>
      <c r="K8521">
        <v>0</v>
      </c>
      <c r="L8521">
        <v>0</v>
      </c>
      <c r="M8521">
        <v>212</v>
      </c>
      <c r="N8521">
        <v>16</v>
      </c>
      <c r="O8521">
        <v>0</v>
      </c>
      <c r="P8521">
        <v>0</v>
      </c>
      <c r="Q8521">
        <v>0</v>
      </c>
    </row>
    <row r="8522" spans="1:17" x14ac:dyDescent="0.2">
      <c r="A8522" s="121">
        <v>42035</v>
      </c>
      <c r="B8522" t="s">
        <v>406</v>
      </c>
      <c r="C8522" t="s">
        <v>577</v>
      </c>
      <c r="D8522" t="s">
        <v>613</v>
      </c>
      <c r="E8522" t="s">
        <v>614</v>
      </c>
      <c r="F8522" t="s">
        <v>410</v>
      </c>
      <c r="G8522">
        <v>143</v>
      </c>
      <c r="H8522">
        <v>143</v>
      </c>
      <c r="I8522">
        <v>143</v>
      </c>
      <c r="J8522">
        <v>143</v>
      </c>
      <c r="K8522">
        <v>0</v>
      </c>
      <c r="L8522">
        <v>0</v>
      </c>
      <c r="M8522">
        <v>125</v>
      </c>
      <c r="N8522">
        <v>16</v>
      </c>
      <c r="O8522">
        <v>2</v>
      </c>
      <c r="P8522">
        <v>0</v>
      </c>
      <c r="Q8522">
        <v>0</v>
      </c>
    </row>
    <row r="8523" spans="1:17" x14ac:dyDescent="0.2">
      <c r="A8523" s="121">
        <v>42035</v>
      </c>
      <c r="B8523" t="s">
        <v>406</v>
      </c>
      <c r="C8523" t="s">
        <v>577</v>
      </c>
      <c r="D8523" t="s">
        <v>590</v>
      </c>
      <c r="E8523" t="s">
        <v>591</v>
      </c>
      <c r="F8523" t="s">
        <v>410</v>
      </c>
      <c r="G8523">
        <v>657</v>
      </c>
      <c r="H8523">
        <v>657</v>
      </c>
      <c r="I8523">
        <v>657</v>
      </c>
      <c r="J8523">
        <v>657</v>
      </c>
      <c r="K8523">
        <v>0</v>
      </c>
      <c r="L8523">
        <v>0</v>
      </c>
      <c r="M8523">
        <v>616</v>
      </c>
      <c r="N8523">
        <v>41</v>
      </c>
      <c r="O8523">
        <v>0</v>
      </c>
      <c r="P8523">
        <v>0</v>
      </c>
      <c r="Q8523">
        <v>0</v>
      </c>
    </row>
    <row r="8524" spans="1:17" x14ac:dyDescent="0.2">
      <c r="A8524" s="121">
        <v>42035</v>
      </c>
      <c r="B8524" t="s">
        <v>406</v>
      </c>
      <c r="C8524" t="s">
        <v>577</v>
      </c>
      <c r="D8524" t="s">
        <v>607</v>
      </c>
      <c r="E8524" t="s">
        <v>608</v>
      </c>
      <c r="F8524" t="s">
        <v>410</v>
      </c>
      <c r="G8524">
        <v>166</v>
      </c>
      <c r="H8524">
        <v>166</v>
      </c>
      <c r="I8524">
        <v>166</v>
      </c>
      <c r="J8524">
        <v>166</v>
      </c>
      <c r="K8524">
        <v>0</v>
      </c>
      <c r="L8524">
        <v>0</v>
      </c>
      <c r="M8524">
        <v>158</v>
      </c>
      <c r="N8524">
        <v>6</v>
      </c>
      <c r="O8524">
        <v>2</v>
      </c>
      <c r="P8524">
        <v>0</v>
      </c>
      <c r="Q8524">
        <v>0</v>
      </c>
    </row>
    <row r="8525" spans="1:17" x14ac:dyDescent="0.2">
      <c r="A8525" s="121">
        <v>42035</v>
      </c>
      <c r="B8525" t="s">
        <v>406</v>
      </c>
      <c r="C8525" t="s">
        <v>577</v>
      </c>
      <c r="D8525" t="s">
        <v>592</v>
      </c>
      <c r="E8525" t="s">
        <v>593</v>
      </c>
      <c r="F8525" t="s">
        <v>410</v>
      </c>
      <c r="G8525">
        <v>506</v>
      </c>
      <c r="H8525">
        <v>506</v>
      </c>
      <c r="I8525">
        <v>506</v>
      </c>
      <c r="J8525">
        <v>506</v>
      </c>
      <c r="K8525">
        <v>0</v>
      </c>
      <c r="L8525">
        <v>0</v>
      </c>
      <c r="M8525">
        <v>472</v>
      </c>
      <c r="N8525">
        <v>33</v>
      </c>
      <c r="O8525">
        <v>1</v>
      </c>
      <c r="P8525">
        <v>0</v>
      </c>
      <c r="Q8525">
        <v>0</v>
      </c>
    </row>
    <row r="8526" spans="1:17" x14ac:dyDescent="0.2">
      <c r="A8526" s="121">
        <v>42035</v>
      </c>
      <c r="B8526" t="s">
        <v>406</v>
      </c>
      <c r="C8526" t="s">
        <v>594</v>
      </c>
      <c r="D8526" t="s">
        <v>595</v>
      </c>
      <c r="E8526" t="s">
        <v>596</v>
      </c>
      <c r="F8526" t="s">
        <v>410</v>
      </c>
      <c r="G8526">
        <v>37</v>
      </c>
      <c r="I8526">
        <v>37</v>
      </c>
    </row>
    <row r="8527" spans="1:17" x14ac:dyDescent="0.2">
      <c r="A8527" s="121">
        <v>42035</v>
      </c>
      <c r="B8527" t="s">
        <v>406</v>
      </c>
      <c r="C8527" t="s">
        <v>594</v>
      </c>
      <c r="D8527" t="s">
        <v>597</v>
      </c>
      <c r="E8527" t="s">
        <v>598</v>
      </c>
      <c r="F8527" t="s">
        <v>413</v>
      </c>
      <c r="G8527">
        <v>517</v>
      </c>
      <c r="H8527">
        <v>517</v>
      </c>
      <c r="I8527">
        <v>501</v>
      </c>
      <c r="J8527">
        <v>501</v>
      </c>
      <c r="K8527">
        <v>115</v>
      </c>
      <c r="L8527">
        <v>1</v>
      </c>
      <c r="M8527">
        <v>378</v>
      </c>
      <c r="N8527">
        <v>8</v>
      </c>
      <c r="O8527">
        <v>15</v>
      </c>
      <c r="P8527">
        <v>1</v>
      </c>
      <c r="Q8527">
        <v>0</v>
      </c>
    </row>
    <row r="8528" spans="1:17" x14ac:dyDescent="0.2">
      <c r="A8528" s="121">
        <v>42035</v>
      </c>
      <c r="B8528" t="s">
        <v>406</v>
      </c>
      <c r="C8528" t="s">
        <v>594</v>
      </c>
      <c r="D8528" t="s">
        <v>599</v>
      </c>
      <c r="E8528" t="s">
        <v>600</v>
      </c>
      <c r="F8528" t="s">
        <v>410</v>
      </c>
      <c r="G8528">
        <v>93</v>
      </c>
      <c r="I8528">
        <v>93</v>
      </c>
    </row>
    <row r="8529" spans="1:17" x14ac:dyDescent="0.2">
      <c r="A8529" s="121">
        <v>42063</v>
      </c>
      <c r="B8529" t="s">
        <v>406</v>
      </c>
      <c r="C8529" t="s">
        <v>407</v>
      </c>
      <c r="D8529" t="s">
        <v>408</v>
      </c>
      <c r="E8529" t="s">
        <v>409</v>
      </c>
      <c r="F8529" t="s">
        <v>410</v>
      </c>
      <c r="G8529">
        <v>137</v>
      </c>
      <c r="I8529">
        <v>136</v>
      </c>
    </row>
    <row r="8530" spans="1:17" x14ac:dyDescent="0.2">
      <c r="A8530" s="121">
        <v>42063</v>
      </c>
      <c r="B8530" t="s">
        <v>406</v>
      </c>
      <c r="C8530" t="s">
        <v>407</v>
      </c>
      <c r="D8530" t="s">
        <v>601</v>
      </c>
      <c r="E8530" t="s">
        <v>602</v>
      </c>
      <c r="F8530" t="s">
        <v>410</v>
      </c>
      <c r="G8530">
        <v>42</v>
      </c>
      <c r="I8530">
        <v>42</v>
      </c>
    </row>
    <row r="8531" spans="1:17" x14ac:dyDescent="0.2">
      <c r="A8531" s="121">
        <v>42063</v>
      </c>
      <c r="B8531" t="s">
        <v>406</v>
      </c>
      <c r="C8531" t="s">
        <v>407</v>
      </c>
      <c r="D8531" t="s">
        <v>411</v>
      </c>
      <c r="E8531" t="s">
        <v>412</v>
      </c>
      <c r="F8531" t="s">
        <v>413</v>
      </c>
      <c r="G8531">
        <v>5457</v>
      </c>
      <c r="H8531">
        <v>5457</v>
      </c>
      <c r="I8531">
        <v>4500</v>
      </c>
      <c r="J8531">
        <v>4500</v>
      </c>
      <c r="K8531">
        <v>2414</v>
      </c>
      <c r="L8531">
        <v>8</v>
      </c>
      <c r="M8531">
        <v>2648</v>
      </c>
      <c r="N8531">
        <v>107</v>
      </c>
      <c r="O8531">
        <v>280</v>
      </c>
      <c r="P8531">
        <v>168</v>
      </c>
      <c r="Q8531">
        <v>33</v>
      </c>
    </row>
    <row r="8532" spans="1:17" x14ac:dyDescent="0.2">
      <c r="A8532" s="121">
        <v>42063</v>
      </c>
      <c r="B8532" t="s">
        <v>406</v>
      </c>
      <c r="C8532" t="s">
        <v>407</v>
      </c>
      <c r="D8532" t="s">
        <v>416</v>
      </c>
      <c r="E8532" t="s">
        <v>417</v>
      </c>
      <c r="F8532" t="s">
        <v>413</v>
      </c>
      <c r="G8532">
        <v>3109</v>
      </c>
      <c r="H8532">
        <v>3109</v>
      </c>
      <c r="I8532">
        <v>2541</v>
      </c>
      <c r="J8532">
        <v>2541</v>
      </c>
      <c r="K8532">
        <v>1178</v>
      </c>
      <c r="L8532">
        <v>6</v>
      </c>
      <c r="M8532">
        <v>1785</v>
      </c>
      <c r="N8532">
        <v>85</v>
      </c>
      <c r="O8532">
        <v>55</v>
      </c>
      <c r="P8532">
        <v>75</v>
      </c>
      <c r="Q8532">
        <v>20</v>
      </c>
    </row>
    <row r="8533" spans="1:17" x14ac:dyDescent="0.2">
      <c r="A8533" s="121">
        <v>42063</v>
      </c>
      <c r="B8533" t="s">
        <v>406</v>
      </c>
      <c r="C8533" t="s">
        <v>407</v>
      </c>
      <c r="D8533" t="s">
        <v>618</v>
      </c>
      <c r="E8533" t="s">
        <v>619</v>
      </c>
      <c r="F8533" t="s">
        <v>410</v>
      </c>
      <c r="G8533">
        <v>64</v>
      </c>
      <c r="I8533">
        <v>64</v>
      </c>
    </row>
    <row r="8534" spans="1:17" x14ac:dyDescent="0.2">
      <c r="A8534" s="121">
        <v>42063</v>
      </c>
      <c r="B8534" t="s">
        <v>406</v>
      </c>
      <c r="C8534" t="s">
        <v>418</v>
      </c>
      <c r="D8534" t="s">
        <v>419</v>
      </c>
      <c r="E8534" t="s">
        <v>420</v>
      </c>
      <c r="F8534" t="s">
        <v>410</v>
      </c>
      <c r="G8534">
        <v>5</v>
      </c>
      <c r="I8534">
        <v>5</v>
      </c>
    </row>
    <row r="8535" spans="1:17" x14ac:dyDescent="0.2">
      <c r="A8535" s="121">
        <v>42063</v>
      </c>
      <c r="B8535" t="s">
        <v>406</v>
      </c>
      <c r="C8535" t="s">
        <v>418</v>
      </c>
      <c r="D8535" t="s">
        <v>421</v>
      </c>
      <c r="E8535" t="s">
        <v>422</v>
      </c>
      <c r="F8535" t="s">
        <v>410</v>
      </c>
      <c r="G8535">
        <v>32</v>
      </c>
      <c r="I8535">
        <v>32</v>
      </c>
    </row>
    <row r="8536" spans="1:17" x14ac:dyDescent="0.2">
      <c r="A8536" s="121">
        <v>42063</v>
      </c>
      <c r="B8536" t="s">
        <v>406</v>
      </c>
      <c r="C8536" t="s">
        <v>418</v>
      </c>
      <c r="D8536" t="s">
        <v>423</v>
      </c>
      <c r="E8536" t="s">
        <v>424</v>
      </c>
      <c r="F8536" t="s">
        <v>410</v>
      </c>
      <c r="G8536">
        <v>12</v>
      </c>
      <c r="I8536">
        <v>12</v>
      </c>
    </row>
    <row r="8537" spans="1:17" x14ac:dyDescent="0.2">
      <c r="A8537" s="121">
        <v>42063</v>
      </c>
      <c r="B8537" t="s">
        <v>406</v>
      </c>
      <c r="C8537" t="s">
        <v>418</v>
      </c>
      <c r="D8537" t="s">
        <v>425</v>
      </c>
      <c r="E8537" t="s">
        <v>426</v>
      </c>
      <c r="F8537" t="s">
        <v>410</v>
      </c>
      <c r="G8537">
        <v>32</v>
      </c>
      <c r="I8537">
        <v>32</v>
      </c>
    </row>
    <row r="8538" spans="1:17" x14ac:dyDescent="0.2">
      <c r="A8538" s="121">
        <v>42063</v>
      </c>
      <c r="B8538" t="s">
        <v>406</v>
      </c>
      <c r="C8538" t="s">
        <v>418</v>
      </c>
      <c r="D8538" t="s">
        <v>427</v>
      </c>
      <c r="E8538" t="s">
        <v>428</v>
      </c>
      <c r="F8538" t="s">
        <v>413</v>
      </c>
      <c r="G8538">
        <v>2109</v>
      </c>
      <c r="H8538">
        <v>2109</v>
      </c>
      <c r="I8538">
        <v>1921</v>
      </c>
      <c r="J8538">
        <v>1921</v>
      </c>
      <c r="K8538">
        <v>851</v>
      </c>
      <c r="L8538">
        <v>2</v>
      </c>
      <c r="M8538">
        <v>1129</v>
      </c>
      <c r="N8538">
        <v>117</v>
      </c>
      <c r="O8538">
        <v>10</v>
      </c>
      <c r="P8538">
        <v>5</v>
      </c>
      <c r="Q8538">
        <v>0</v>
      </c>
    </row>
    <row r="8539" spans="1:17" x14ac:dyDescent="0.2">
      <c r="A8539" s="121">
        <v>42063</v>
      </c>
      <c r="B8539" t="s">
        <v>406</v>
      </c>
      <c r="C8539" t="s">
        <v>429</v>
      </c>
      <c r="D8539" t="s">
        <v>430</v>
      </c>
      <c r="E8539" t="s">
        <v>431</v>
      </c>
      <c r="F8539" t="s">
        <v>410</v>
      </c>
      <c r="G8539">
        <v>24</v>
      </c>
      <c r="I8539">
        <v>24</v>
      </c>
    </row>
    <row r="8540" spans="1:17" x14ac:dyDescent="0.2">
      <c r="A8540" s="121">
        <v>42063</v>
      </c>
      <c r="B8540" t="s">
        <v>406</v>
      </c>
      <c r="C8540" t="s">
        <v>429</v>
      </c>
      <c r="D8540" t="s">
        <v>432</v>
      </c>
      <c r="E8540" t="s">
        <v>433</v>
      </c>
      <c r="F8540" t="s">
        <v>410</v>
      </c>
      <c r="G8540">
        <v>35</v>
      </c>
      <c r="I8540">
        <v>35</v>
      </c>
    </row>
    <row r="8541" spans="1:17" x14ac:dyDescent="0.2">
      <c r="A8541" s="121">
        <v>42063</v>
      </c>
      <c r="B8541" t="s">
        <v>406</v>
      </c>
      <c r="C8541" t="s">
        <v>429</v>
      </c>
      <c r="D8541" t="s">
        <v>434</v>
      </c>
      <c r="E8541" t="s">
        <v>435</v>
      </c>
      <c r="F8541" t="s">
        <v>410</v>
      </c>
      <c r="G8541">
        <v>2</v>
      </c>
      <c r="I8541">
        <v>2</v>
      </c>
    </row>
    <row r="8542" spans="1:17" x14ac:dyDescent="0.2">
      <c r="A8542" s="121">
        <v>42063</v>
      </c>
      <c r="B8542" t="s">
        <v>406</v>
      </c>
      <c r="C8542" t="s">
        <v>429</v>
      </c>
      <c r="D8542" t="s">
        <v>436</v>
      </c>
      <c r="E8542" t="s">
        <v>437</v>
      </c>
      <c r="F8542" t="s">
        <v>410</v>
      </c>
      <c r="G8542">
        <v>3</v>
      </c>
      <c r="H8542">
        <v>3</v>
      </c>
      <c r="I8542">
        <v>3</v>
      </c>
      <c r="J8542">
        <v>3</v>
      </c>
      <c r="K8542">
        <v>0</v>
      </c>
      <c r="L8542">
        <v>0</v>
      </c>
      <c r="M8542">
        <v>2</v>
      </c>
      <c r="N8542">
        <v>1</v>
      </c>
      <c r="O8542">
        <v>0</v>
      </c>
      <c r="P8542">
        <v>0</v>
      </c>
      <c r="Q8542">
        <v>0</v>
      </c>
    </row>
    <row r="8543" spans="1:17" x14ac:dyDescent="0.2">
      <c r="A8543" s="121">
        <v>42063</v>
      </c>
      <c r="B8543" t="s">
        <v>406</v>
      </c>
      <c r="C8543" t="s">
        <v>429</v>
      </c>
      <c r="D8543" t="s">
        <v>438</v>
      </c>
      <c r="E8543" t="s">
        <v>439</v>
      </c>
      <c r="F8543" t="s">
        <v>413</v>
      </c>
      <c r="G8543">
        <v>847</v>
      </c>
      <c r="H8543">
        <v>847</v>
      </c>
      <c r="I8543">
        <v>803</v>
      </c>
      <c r="J8543">
        <v>803</v>
      </c>
      <c r="K8543">
        <v>106</v>
      </c>
      <c r="L8543">
        <v>1</v>
      </c>
      <c r="M8543">
        <v>701</v>
      </c>
      <c r="N8543">
        <v>39</v>
      </c>
      <c r="O8543">
        <v>0</v>
      </c>
      <c r="P8543">
        <v>1</v>
      </c>
      <c r="Q8543">
        <v>0</v>
      </c>
    </row>
    <row r="8544" spans="1:17" x14ac:dyDescent="0.2">
      <c r="A8544" s="121">
        <v>42063</v>
      </c>
      <c r="B8544" t="s">
        <v>406</v>
      </c>
      <c r="C8544" t="s">
        <v>429</v>
      </c>
      <c r="D8544" t="s">
        <v>440</v>
      </c>
      <c r="E8544" t="s">
        <v>441</v>
      </c>
      <c r="F8544" t="s">
        <v>413</v>
      </c>
      <c r="G8544">
        <v>2550</v>
      </c>
      <c r="H8544">
        <v>2550</v>
      </c>
      <c r="I8544">
        <v>2396</v>
      </c>
      <c r="J8544">
        <v>2396</v>
      </c>
      <c r="K8544">
        <v>938</v>
      </c>
      <c r="L8544">
        <v>5</v>
      </c>
      <c r="M8544">
        <v>1519</v>
      </c>
      <c r="N8544">
        <v>44</v>
      </c>
      <c r="O8544">
        <v>44</v>
      </c>
      <c r="P8544">
        <v>4</v>
      </c>
      <c r="Q8544">
        <v>0</v>
      </c>
    </row>
    <row r="8545" spans="1:17" x14ac:dyDescent="0.2">
      <c r="A8545" s="121">
        <v>42063</v>
      </c>
      <c r="B8545" t="s">
        <v>406</v>
      </c>
      <c r="C8545" t="s">
        <v>442</v>
      </c>
      <c r="D8545" t="s">
        <v>443</v>
      </c>
      <c r="E8545" t="s">
        <v>444</v>
      </c>
      <c r="F8545" t="s">
        <v>413</v>
      </c>
      <c r="G8545">
        <v>4802</v>
      </c>
      <c r="H8545">
        <v>4802</v>
      </c>
      <c r="I8545">
        <v>4188</v>
      </c>
      <c r="J8545">
        <v>4188</v>
      </c>
      <c r="K8545">
        <v>1189</v>
      </c>
      <c r="L8545">
        <v>10</v>
      </c>
      <c r="M8545">
        <v>3264</v>
      </c>
      <c r="N8545">
        <v>187</v>
      </c>
      <c r="O8545">
        <v>152</v>
      </c>
      <c r="P8545">
        <v>96</v>
      </c>
      <c r="Q8545">
        <v>10</v>
      </c>
    </row>
    <row r="8546" spans="1:17" x14ac:dyDescent="0.2">
      <c r="A8546" s="121">
        <v>42063</v>
      </c>
      <c r="B8546" t="s">
        <v>406</v>
      </c>
      <c r="C8546" t="s">
        <v>442</v>
      </c>
      <c r="D8546" t="s">
        <v>445</v>
      </c>
      <c r="E8546" t="s">
        <v>446</v>
      </c>
      <c r="F8546" t="s">
        <v>410</v>
      </c>
      <c r="G8546">
        <v>126</v>
      </c>
      <c r="I8546">
        <v>126</v>
      </c>
    </row>
    <row r="8547" spans="1:17" x14ac:dyDescent="0.2">
      <c r="A8547" s="121">
        <v>42063</v>
      </c>
      <c r="B8547" t="s">
        <v>406</v>
      </c>
      <c r="C8547" t="s">
        <v>442</v>
      </c>
      <c r="D8547" t="s">
        <v>447</v>
      </c>
      <c r="E8547" t="s">
        <v>448</v>
      </c>
      <c r="F8547" t="s">
        <v>410</v>
      </c>
      <c r="G8547">
        <v>339</v>
      </c>
      <c r="I8547">
        <v>339</v>
      </c>
    </row>
    <row r="8548" spans="1:17" x14ac:dyDescent="0.2">
      <c r="A8548" s="121">
        <v>42063</v>
      </c>
      <c r="B8548" t="s">
        <v>406</v>
      </c>
      <c r="C8548" t="s">
        <v>442</v>
      </c>
      <c r="D8548" t="s">
        <v>449</v>
      </c>
      <c r="E8548" t="s">
        <v>624</v>
      </c>
      <c r="F8548" t="s">
        <v>410</v>
      </c>
      <c r="G8548">
        <v>1431</v>
      </c>
      <c r="H8548">
        <v>1431</v>
      </c>
      <c r="I8548">
        <v>1429</v>
      </c>
      <c r="J8548">
        <v>1429</v>
      </c>
      <c r="K8548">
        <v>6</v>
      </c>
      <c r="L8548">
        <v>0</v>
      </c>
      <c r="M8548">
        <v>1315</v>
      </c>
      <c r="N8548">
        <v>107</v>
      </c>
      <c r="O8548">
        <v>3</v>
      </c>
      <c r="P8548">
        <v>0</v>
      </c>
      <c r="Q8548">
        <v>0</v>
      </c>
    </row>
    <row r="8549" spans="1:17" x14ac:dyDescent="0.2">
      <c r="A8549" s="121">
        <v>42063</v>
      </c>
      <c r="B8549" t="s">
        <v>406</v>
      </c>
      <c r="C8549" t="s">
        <v>451</v>
      </c>
      <c r="D8549" t="s">
        <v>454</v>
      </c>
      <c r="E8549" t="s">
        <v>621</v>
      </c>
      <c r="F8549" t="s">
        <v>410</v>
      </c>
      <c r="G8549">
        <v>1144</v>
      </c>
      <c r="H8549">
        <v>1144</v>
      </c>
      <c r="I8549">
        <v>1143</v>
      </c>
      <c r="J8549">
        <v>1143</v>
      </c>
      <c r="K8549">
        <v>3</v>
      </c>
      <c r="L8549">
        <v>0</v>
      </c>
      <c r="M8549">
        <v>977</v>
      </c>
      <c r="N8549">
        <v>60</v>
      </c>
      <c r="O8549">
        <v>104</v>
      </c>
      <c r="P8549">
        <v>0</v>
      </c>
      <c r="Q8549">
        <v>0</v>
      </c>
    </row>
    <row r="8550" spans="1:17" x14ac:dyDescent="0.2">
      <c r="A8550" s="121">
        <v>42063</v>
      </c>
      <c r="B8550" t="s">
        <v>406</v>
      </c>
      <c r="C8550" t="s">
        <v>451</v>
      </c>
      <c r="D8550" t="s">
        <v>622</v>
      </c>
      <c r="E8550" t="s">
        <v>623</v>
      </c>
      <c r="F8550" t="s">
        <v>413</v>
      </c>
      <c r="G8550">
        <v>4392</v>
      </c>
      <c r="H8550">
        <v>4392</v>
      </c>
      <c r="I8550">
        <v>4155</v>
      </c>
      <c r="J8550">
        <v>4155</v>
      </c>
      <c r="K8550">
        <v>1157</v>
      </c>
      <c r="L8550">
        <v>9</v>
      </c>
      <c r="M8550">
        <v>2875</v>
      </c>
      <c r="N8550">
        <v>22</v>
      </c>
      <c r="O8550">
        <v>329</v>
      </c>
      <c r="P8550">
        <v>13</v>
      </c>
      <c r="Q8550">
        <v>2</v>
      </c>
    </row>
    <row r="8551" spans="1:17" x14ac:dyDescent="0.2">
      <c r="A8551" s="121">
        <v>42063</v>
      </c>
      <c r="B8551" t="s">
        <v>406</v>
      </c>
      <c r="C8551" t="s">
        <v>456</v>
      </c>
      <c r="D8551" t="s">
        <v>457</v>
      </c>
      <c r="E8551" t="s">
        <v>458</v>
      </c>
      <c r="F8551" t="s">
        <v>413</v>
      </c>
      <c r="G8551">
        <v>4415</v>
      </c>
      <c r="H8551">
        <v>4415</v>
      </c>
      <c r="I8551">
        <v>3691</v>
      </c>
      <c r="J8551">
        <v>3691</v>
      </c>
      <c r="K8551">
        <v>1137</v>
      </c>
      <c r="L8551">
        <v>8</v>
      </c>
      <c r="M8551">
        <v>2831</v>
      </c>
      <c r="N8551">
        <v>21</v>
      </c>
      <c r="O8551">
        <v>418</v>
      </c>
      <c r="P8551">
        <v>137</v>
      </c>
      <c r="Q8551">
        <v>16</v>
      </c>
    </row>
    <row r="8552" spans="1:17" x14ac:dyDescent="0.2">
      <c r="A8552" s="121">
        <v>42063</v>
      </c>
      <c r="B8552" t="s">
        <v>406</v>
      </c>
      <c r="C8552" t="s">
        <v>456</v>
      </c>
      <c r="D8552" t="s">
        <v>459</v>
      </c>
      <c r="E8552" t="s">
        <v>460</v>
      </c>
      <c r="F8552" t="s">
        <v>413</v>
      </c>
      <c r="G8552">
        <v>1377</v>
      </c>
      <c r="H8552">
        <v>1377</v>
      </c>
      <c r="I8552">
        <v>1354</v>
      </c>
      <c r="J8552">
        <v>1354</v>
      </c>
      <c r="K8552">
        <v>349</v>
      </c>
      <c r="L8552">
        <v>0</v>
      </c>
      <c r="M8552">
        <v>1026</v>
      </c>
      <c r="N8552">
        <v>0</v>
      </c>
      <c r="O8552">
        <v>2</v>
      </c>
      <c r="P8552">
        <v>1</v>
      </c>
      <c r="Q8552">
        <v>0</v>
      </c>
    </row>
    <row r="8553" spans="1:17" x14ac:dyDescent="0.2">
      <c r="A8553" s="121">
        <v>42063</v>
      </c>
      <c r="B8553" t="s">
        <v>406</v>
      </c>
      <c r="C8553" t="s">
        <v>456</v>
      </c>
      <c r="D8553" t="s">
        <v>461</v>
      </c>
      <c r="E8553" t="s">
        <v>462</v>
      </c>
      <c r="F8553" t="s">
        <v>410</v>
      </c>
      <c r="G8553">
        <v>46</v>
      </c>
      <c r="I8553">
        <v>46</v>
      </c>
    </row>
    <row r="8554" spans="1:17" x14ac:dyDescent="0.2">
      <c r="A8554" s="121">
        <v>42063</v>
      </c>
      <c r="B8554" t="s">
        <v>406</v>
      </c>
      <c r="C8554" t="s">
        <v>456</v>
      </c>
      <c r="D8554" t="s">
        <v>463</v>
      </c>
      <c r="E8554" t="s">
        <v>464</v>
      </c>
      <c r="F8554" t="s">
        <v>410</v>
      </c>
      <c r="G8554">
        <v>7</v>
      </c>
      <c r="I8554">
        <v>7</v>
      </c>
    </row>
    <row r="8555" spans="1:17" x14ac:dyDescent="0.2">
      <c r="A8555" s="121">
        <v>42063</v>
      </c>
      <c r="B8555" t="s">
        <v>406</v>
      </c>
      <c r="C8555" t="s">
        <v>456</v>
      </c>
      <c r="D8555" t="s">
        <v>465</v>
      </c>
      <c r="E8555" t="s">
        <v>466</v>
      </c>
      <c r="F8555" t="s">
        <v>410</v>
      </c>
      <c r="G8555">
        <v>28</v>
      </c>
      <c r="I8555">
        <v>28</v>
      </c>
    </row>
    <row r="8556" spans="1:17" x14ac:dyDescent="0.2">
      <c r="A8556" s="121">
        <v>42063</v>
      </c>
      <c r="B8556" t="s">
        <v>406</v>
      </c>
      <c r="C8556" t="s">
        <v>456</v>
      </c>
      <c r="D8556" t="s">
        <v>467</v>
      </c>
      <c r="E8556" t="s">
        <v>468</v>
      </c>
      <c r="F8556" t="s">
        <v>410</v>
      </c>
      <c r="G8556">
        <v>1273</v>
      </c>
      <c r="I8556">
        <v>1268</v>
      </c>
    </row>
    <row r="8557" spans="1:17" x14ac:dyDescent="0.2">
      <c r="A8557" s="121">
        <v>42063</v>
      </c>
      <c r="B8557" t="s">
        <v>406</v>
      </c>
      <c r="C8557" t="s">
        <v>456</v>
      </c>
      <c r="D8557" t="s">
        <v>469</v>
      </c>
      <c r="E8557" t="s">
        <v>470</v>
      </c>
      <c r="F8557" t="s">
        <v>410</v>
      </c>
      <c r="G8557">
        <v>669</v>
      </c>
      <c r="I8557">
        <v>666</v>
      </c>
    </row>
    <row r="8558" spans="1:17" x14ac:dyDescent="0.2">
      <c r="A8558" s="121">
        <v>42063</v>
      </c>
      <c r="B8558" t="s">
        <v>406</v>
      </c>
      <c r="C8558" t="s">
        <v>456</v>
      </c>
      <c r="D8558" t="s">
        <v>471</v>
      </c>
      <c r="E8558" t="s">
        <v>472</v>
      </c>
      <c r="F8558" t="s">
        <v>410</v>
      </c>
      <c r="G8558">
        <v>221</v>
      </c>
      <c r="I8558">
        <v>215</v>
      </c>
    </row>
    <row r="8559" spans="1:17" x14ac:dyDescent="0.2">
      <c r="A8559" s="121">
        <v>42063</v>
      </c>
      <c r="B8559" t="s">
        <v>406</v>
      </c>
      <c r="C8559" t="s">
        <v>456</v>
      </c>
      <c r="D8559" t="s">
        <v>473</v>
      </c>
      <c r="E8559" t="s">
        <v>474</v>
      </c>
      <c r="F8559" t="s">
        <v>410</v>
      </c>
      <c r="G8559">
        <v>160</v>
      </c>
      <c r="I8559">
        <v>160</v>
      </c>
    </row>
    <row r="8560" spans="1:17" x14ac:dyDescent="0.2">
      <c r="A8560" s="121">
        <v>42063</v>
      </c>
      <c r="B8560" t="s">
        <v>406</v>
      </c>
      <c r="C8560" t="s">
        <v>456</v>
      </c>
      <c r="D8560" t="s">
        <v>475</v>
      </c>
      <c r="E8560" t="s">
        <v>476</v>
      </c>
      <c r="F8560" t="s">
        <v>410</v>
      </c>
      <c r="G8560">
        <v>233</v>
      </c>
      <c r="I8560">
        <v>231</v>
      </c>
    </row>
    <row r="8561" spans="1:17" x14ac:dyDescent="0.2">
      <c r="A8561" s="121">
        <v>42063</v>
      </c>
      <c r="B8561" t="s">
        <v>406</v>
      </c>
      <c r="C8561" t="s">
        <v>456</v>
      </c>
      <c r="D8561" t="s">
        <v>477</v>
      </c>
      <c r="E8561" t="s">
        <v>478</v>
      </c>
      <c r="F8561" t="s">
        <v>413</v>
      </c>
      <c r="G8561">
        <v>1784</v>
      </c>
      <c r="H8561">
        <v>1784</v>
      </c>
      <c r="I8561">
        <v>1673</v>
      </c>
      <c r="J8561">
        <v>1673</v>
      </c>
      <c r="K8561">
        <v>380</v>
      </c>
      <c r="L8561">
        <v>3</v>
      </c>
      <c r="M8561">
        <v>1388</v>
      </c>
      <c r="N8561">
        <v>13</v>
      </c>
      <c r="O8561">
        <v>0</v>
      </c>
      <c r="P8561">
        <v>4</v>
      </c>
      <c r="Q8561">
        <v>2</v>
      </c>
    </row>
    <row r="8562" spans="1:17" x14ac:dyDescent="0.2">
      <c r="A8562" s="121">
        <v>42063</v>
      </c>
      <c r="B8562" t="s">
        <v>406</v>
      </c>
      <c r="C8562" t="s">
        <v>456</v>
      </c>
      <c r="D8562" t="s">
        <v>479</v>
      </c>
      <c r="E8562" t="s">
        <v>480</v>
      </c>
      <c r="F8562" t="s">
        <v>410</v>
      </c>
      <c r="G8562">
        <v>39</v>
      </c>
      <c r="I8562">
        <v>39</v>
      </c>
    </row>
    <row r="8563" spans="1:17" x14ac:dyDescent="0.2">
      <c r="A8563" s="121">
        <v>42063</v>
      </c>
      <c r="B8563" t="s">
        <v>406</v>
      </c>
      <c r="C8563" t="s">
        <v>456</v>
      </c>
      <c r="D8563" t="s">
        <v>481</v>
      </c>
      <c r="E8563" t="s">
        <v>482</v>
      </c>
      <c r="F8563" t="s">
        <v>410</v>
      </c>
      <c r="G8563">
        <v>36</v>
      </c>
      <c r="I8563">
        <v>36</v>
      </c>
    </row>
    <row r="8564" spans="1:17" x14ac:dyDescent="0.2">
      <c r="A8564" s="121">
        <v>42063</v>
      </c>
      <c r="B8564" t="s">
        <v>406</v>
      </c>
      <c r="C8564" t="s">
        <v>456</v>
      </c>
      <c r="D8564" t="s">
        <v>483</v>
      </c>
      <c r="E8564" t="s">
        <v>484</v>
      </c>
      <c r="F8564" t="s">
        <v>410</v>
      </c>
      <c r="G8564">
        <v>65</v>
      </c>
      <c r="I8564">
        <v>65</v>
      </c>
    </row>
    <row r="8565" spans="1:17" x14ac:dyDescent="0.2">
      <c r="A8565" s="121">
        <v>42063</v>
      </c>
      <c r="B8565" t="s">
        <v>406</v>
      </c>
      <c r="C8565" t="s">
        <v>456</v>
      </c>
      <c r="D8565" t="s">
        <v>487</v>
      </c>
      <c r="E8565" t="s">
        <v>488</v>
      </c>
      <c r="F8565" t="s">
        <v>410</v>
      </c>
      <c r="G8565">
        <v>23</v>
      </c>
      <c r="I8565">
        <v>23</v>
      </c>
    </row>
    <row r="8566" spans="1:17" x14ac:dyDescent="0.2">
      <c r="A8566" s="121">
        <v>42063</v>
      </c>
      <c r="B8566" t="s">
        <v>406</v>
      </c>
      <c r="C8566" t="s">
        <v>456</v>
      </c>
      <c r="D8566" t="s">
        <v>489</v>
      </c>
      <c r="E8566" t="s">
        <v>490</v>
      </c>
      <c r="F8566" t="s">
        <v>410</v>
      </c>
      <c r="G8566">
        <v>82</v>
      </c>
      <c r="I8566">
        <v>82</v>
      </c>
    </row>
    <row r="8567" spans="1:17" x14ac:dyDescent="0.2">
      <c r="A8567" s="121">
        <v>42063</v>
      </c>
      <c r="B8567" t="s">
        <v>406</v>
      </c>
      <c r="C8567" t="s">
        <v>456</v>
      </c>
      <c r="D8567" t="s">
        <v>628</v>
      </c>
      <c r="E8567" t="s">
        <v>629</v>
      </c>
      <c r="F8567" t="s">
        <v>410</v>
      </c>
      <c r="G8567">
        <v>72</v>
      </c>
      <c r="I8567">
        <v>72</v>
      </c>
    </row>
    <row r="8568" spans="1:17" x14ac:dyDescent="0.2">
      <c r="A8568" s="121">
        <v>42063</v>
      </c>
      <c r="B8568" t="s">
        <v>406</v>
      </c>
      <c r="C8568" t="s">
        <v>491</v>
      </c>
      <c r="D8568" t="s">
        <v>492</v>
      </c>
      <c r="E8568" t="s">
        <v>493</v>
      </c>
      <c r="F8568" t="s">
        <v>410</v>
      </c>
      <c r="G8568">
        <v>1151</v>
      </c>
      <c r="H8568">
        <v>1151</v>
      </c>
      <c r="I8568">
        <v>1055</v>
      </c>
      <c r="J8568">
        <v>1055</v>
      </c>
      <c r="K8568">
        <v>207</v>
      </c>
      <c r="L8568">
        <v>0</v>
      </c>
      <c r="M8568">
        <v>865</v>
      </c>
      <c r="N8568">
        <v>68</v>
      </c>
      <c r="O8568">
        <v>11</v>
      </c>
      <c r="P8568">
        <v>1</v>
      </c>
      <c r="Q8568">
        <v>0</v>
      </c>
    </row>
    <row r="8569" spans="1:17" x14ac:dyDescent="0.2">
      <c r="A8569" s="121">
        <v>42063</v>
      </c>
      <c r="B8569" t="s">
        <v>406</v>
      </c>
      <c r="C8569" t="s">
        <v>491</v>
      </c>
      <c r="D8569" t="s">
        <v>494</v>
      </c>
      <c r="E8569" t="s">
        <v>495</v>
      </c>
      <c r="F8569" t="s">
        <v>413</v>
      </c>
      <c r="G8569">
        <v>2498</v>
      </c>
      <c r="H8569">
        <v>2498</v>
      </c>
      <c r="I8569">
        <v>2140</v>
      </c>
      <c r="J8569">
        <v>2140</v>
      </c>
      <c r="K8569">
        <v>739</v>
      </c>
      <c r="L8569">
        <v>5</v>
      </c>
      <c r="M8569">
        <v>1546</v>
      </c>
      <c r="N8569">
        <v>41</v>
      </c>
      <c r="O8569">
        <v>167</v>
      </c>
      <c r="P8569">
        <v>20</v>
      </c>
      <c r="Q8569">
        <v>0</v>
      </c>
    </row>
    <row r="8570" spans="1:17" x14ac:dyDescent="0.2">
      <c r="A8570" s="121">
        <v>42063</v>
      </c>
      <c r="B8570" t="s">
        <v>406</v>
      </c>
      <c r="C8570" t="s">
        <v>491</v>
      </c>
      <c r="D8570" t="s">
        <v>496</v>
      </c>
      <c r="E8570" t="s">
        <v>497</v>
      </c>
      <c r="F8570" t="s">
        <v>413</v>
      </c>
      <c r="G8570">
        <v>5050</v>
      </c>
      <c r="H8570">
        <v>5050</v>
      </c>
      <c r="I8570">
        <v>3712</v>
      </c>
      <c r="J8570">
        <v>3712</v>
      </c>
      <c r="K8570">
        <v>1733</v>
      </c>
      <c r="L8570">
        <v>9</v>
      </c>
      <c r="M8570">
        <v>3009</v>
      </c>
      <c r="N8570">
        <v>109</v>
      </c>
      <c r="O8570">
        <v>190</v>
      </c>
      <c r="P8570">
        <v>279</v>
      </c>
      <c r="Q8570">
        <v>32</v>
      </c>
    </row>
    <row r="8571" spans="1:17" x14ac:dyDescent="0.2">
      <c r="A8571" s="121">
        <v>42063</v>
      </c>
      <c r="B8571" t="s">
        <v>406</v>
      </c>
      <c r="C8571" t="s">
        <v>491</v>
      </c>
      <c r="D8571" t="s">
        <v>498</v>
      </c>
      <c r="E8571" t="s">
        <v>499</v>
      </c>
      <c r="F8571" t="s">
        <v>413</v>
      </c>
      <c r="G8571">
        <v>6122</v>
      </c>
      <c r="H8571">
        <v>6122</v>
      </c>
      <c r="I8571">
        <v>4533</v>
      </c>
      <c r="J8571">
        <v>4533</v>
      </c>
      <c r="K8571">
        <v>1995</v>
      </c>
      <c r="L8571">
        <v>27</v>
      </c>
      <c r="M8571">
        <v>3677</v>
      </c>
      <c r="N8571">
        <v>105</v>
      </c>
      <c r="O8571">
        <v>318</v>
      </c>
      <c r="P8571">
        <v>178</v>
      </c>
      <c r="Q8571">
        <v>18</v>
      </c>
    </row>
    <row r="8572" spans="1:17" x14ac:dyDescent="0.2">
      <c r="A8572" s="121">
        <v>42063</v>
      </c>
      <c r="B8572" t="s">
        <v>406</v>
      </c>
      <c r="C8572" t="s">
        <v>491</v>
      </c>
      <c r="D8572" t="s">
        <v>500</v>
      </c>
      <c r="E8572" t="s">
        <v>620</v>
      </c>
      <c r="F8572" t="s">
        <v>410</v>
      </c>
      <c r="G8572">
        <v>1275</v>
      </c>
      <c r="H8572">
        <v>1275</v>
      </c>
      <c r="I8572">
        <v>1275</v>
      </c>
      <c r="J8572">
        <v>1275</v>
      </c>
      <c r="K8572">
        <v>0</v>
      </c>
      <c r="L8572">
        <v>0</v>
      </c>
      <c r="M8572">
        <v>1176</v>
      </c>
      <c r="N8572">
        <v>80</v>
      </c>
      <c r="O8572">
        <v>19</v>
      </c>
      <c r="P8572">
        <v>0</v>
      </c>
      <c r="Q8572">
        <v>0</v>
      </c>
    </row>
    <row r="8573" spans="1:17" x14ac:dyDescent="0.2">
      <c r="A8573" s="121">
        <v>42063</v>
      </c>
      <c r="B8573" t="s">
        <v>406</v>
      </c>
      <c r="C8573" t="s">
        <v>491</v>
      </c>
      <c r="D8573" t="s">
        <v>502</v>
      </c>
      <c r="E8573" t="s">
        <v>615</v>
      </c>
      <c r="F8573" t="s">
        <v>410</v>
      </c>
      <c r="G8573">
        <v>1682</v>
      </c>
      <c r="H8573">
        <v>1682</v>
      </c>
      <c r="I8573">
        <v>1679</v>
      </c>
      <c r="J8573">
        <v>1679</v>
      </c>
      <c r="K8573">
        <v>0</v>
      </c>
      <c r="L8573">
        <v>0</v>
      </c>
      <c r="M8573">
        <v>1583</v>
      </c>
      <c r="N8573">
        <v>93</v>
      </c>
      <c r="O8573">
        <v>6</v>
      </c>
      <c r="P8573">
        <v>0</v>
      </c>
      <c r="Q8573">
        <v>0</v>
      </c>
    </row>
    <row r="8574" spans="1:17" x14ac:dyDescent="0.2">
      <c r="A8574" s="121">
        <v>42063</v>
      </c>
      <c r="B8574" t="s">
        <v>406</v>
      </c>
      <c r="C8574" t="s">
        <v>491</v>
      </c>
      <c r="D8574" t="s">
        <v>502</v>
      </c>
      <c r="E8574" t="s">
        <v>503</v>
      </c>
      <c r="F8574" t="s">
        <v>413</v>
      </c>
      <c r="G8574">
        <v>4416</v>
      </c>
      <c r="H8574">
        <v>4416</v>
      </c>
      <c r="I8574">
        <v>3261</v>
      </c>
      <c r="J8574">
        <v>3261</v>
      </c>
      <c r="K8574">
        <v>1481</v>
      </c>
      <c r="L8574">
        <v>9</v>
      </c>
      <c r="M8574">
        <v>2626</v>
      </c>
      <c r="N8574">
        <v>239</v>
      </c>
      <c r="O8574">
        <v>61</v>
      </c>
      <c r="P8574">
        <v>344</v>
      </c>
      <c r="Q8574">
        <v>95</v>
      </c>
    </row>
    <row r="8575" spans="1:17" x14ac:dyDescent="0.2">
      <c r="A8575" s="121">
        <v>42063</v>
      </c>
      <c r="B8575" t="s">
        <v>406</v>
      </c>
      <c r="C8575" t="s">
        <v>491</v>
      </c>
      <c r="D8575" t="s">
        <v>504</v>
      </c>
      <c r="E8575" t="s">
        <v>505</v>
      </c>
      <c r="F8575" t="s">
        <v>413</v>
      </c>
      <c r="G8575">
        <v>3646</v>
      </c>
      <c r="H8575">
        <v>3646</v>
      </c>
      <c r="I8575">
        <v>2796</v>
      </c>
      <c r="J8575">
        <v>2796</v>
      </c>
      <c r="K8575">
        <v>1071</v>
      </c>
      <c r="L8575">
        <v>3</v>
      </c>
      <c r="M8575">
        <v>2360</v>
      </c>
      <c r="N8575">
        <v>138</v>
      </c>
      <c r="O8575">
        <v>74</v>
      </c>
      <c r="P8575">
        <v>131</v>
      </c>
      <c r="Q8575">
        <v>35</v>
      </c>
    </row>
    <row r="8576" spans="1:17" x14ac:dyDescent="0.2">
      <c r="A8576" s="121">
        <v>42063</v>
      </c>
      <c r="B8576" t="s">
        <v>406</v>
      </c>
      <c r="C8576" t="s">
        <v>491</v>
      </c>
      <c r="D8576" t="s">
        <v>506</v>
      </c>
      <c r="E8576" t="s">
        <v>507</v>
      </c>
      <c r="F8576" t="s">
        <v>413</v>
      </c>
      <c r="G8576">
        <v>3757</v>
      </c>
      <c r="H8576">
        <v>3757</v>
      </c>
      <c r="I8576">
        <v>3714</v>
      </c>
      <c r="J8576">
        <v>3714</v>
      </c>
      <c r="K8576">
        <v>1031</v>
      </c>
      <c r="L8576">
        <v>0</v>
      </c>
      <c r="M8576">
        <v>2721</v>
      </c>
      <c r="N8576">
        <v>1</v>
      </c>
      <c r="O8576">
        <v>4</v>
      </c>
      <c r="P8576">
        <v>0</v>
      </c>
      <c r="Q8576">
        <v>0</v>
      </c>
    </row>
    <row r="8577" spans="1:17" x14ac:dyDescent="0.2">
      <c r="A8577" s="121">
        <v>42063</v>
      </c>
      <c r="B8577" t="s">
        <v>406</v>
      </c>
      <c r="C8577" t="s">
        <v>491</v>
      </c>
      <c r="D8577" t="s">
        <v>508</v>
      </c>
      <c r="E8577" t="s">
        <v>509</v>
      </c>
      <c r="F8577" t="s">
        <v>413</v>
      </c>
      <c r="G8577">
        <v>4348</v>
      </c>
      <c r="H8577">
        <v>4348</v>
      </c>
      <c r="I8577">
        <v>2843</v>
      </c>
      <c r="J8577">
        <v>2843</v>
      </c>
      <c r="K8577">
        <v>1333</v>
      </c>
      <c r="L8577">
        <v>15</v>
      </c>
      <c r="M8577">
        <v>2651</v>
      </c>
      <c r="N8577">
        <v>157</v>
      </c>
      <c r="O8577">
        <v>192</v>
      </c>
      <c r="P8577">
        <v>474</v>
      </c>
      <c r="Q8577">
        <v>142</v>
      </c>
    </row>
    <row r="8578" spans="1:17" x14ac:dyDescent="0.2">
      <c r="A8578" s="121">
        <v>42063</v>
      </c>
      <c r="B8578" t="s">
        <v>406</v>
      </c>
      <c r="C8578" t="s">
        <v>510</v>
      </c>
      <c r="D8578" t="s">
        <v>513</v>
      </c>
      <c r="E8578" t="s">
        <v>514</v>
      </c>
      <c r="F8578" t="s">
        <v>410</v>
      </c>
      <c r="G8578">
        <v>501</v>
      </c>
      <c r="I8578">
        <v>500</v>
      </c>
    </row>
    <row r="8579" spans="1:17" x14ac:dyDescent="0.2">
      <c r="A8579" s="121">
        <v>42063</v>
      </c>
      <c r="B8579" t="s">
        <v>406</v>
      </c>
      <c r="C8579" t="s">
        <v>510</v>
      </c>
      <c r="D8579" t="s">
        <v>515</v>
      </c>
      <c r="E8579" t="s">
        <v>516</v>
      </c>
      <c r="F8579" t="s">
        <v>410</v>
      </c>
      <c r="G8579">
        <v>86</v>
      </c>
      <c r="I8579">
        <v>86</v>
      </c>
    </row>
    <row r="8580" spans="1:17" x14ac:dyDescent="0.2">
      <c r="A8580" s="121">
        <v>42063</v>
      </c>
      <c r="B8580" t="s">
        <v>406</v>
      </c>
      <c r="C8580" t="s">
        <v>510</v>
      </c>
      <c r="D8580" t="s">
        <v>519</v>
      </c>
      <c r="E8580" t="s">
        <v>520</v>
      </c>
      <c r="F8580" t="s">
        <v>410</v>
      </c>
      <c r="G8580">
        <v>305</v>
      </c>
      <c r="I8580">
        <v>303</v>
      </c>
    </row>
    <row r="8581" spans="1:17" x14ac:dyDescent="0.2">
      <c r="A8581" s="121">
        <v>42063</v>
      </c>
      <c r="B8581" t="s">
        <v>406</v>
      </c>
      <c r="C8581" t="s">
        <v>510</v>
      </c>
      <c r="D8581" t="s">
        <v>523</v>
      </c>
      <c r="E8581" t="s">
        <v>524</v>
      </c>
      <c r="F8581" t="s">
        <v>413</v>
      </c>
      <c r="G8581">
        <v>471</v>
      </c>
      <c r="H8581">
        <v>471</v>
      </c>
      <c r="I8581">
        <v>465</v>
      </c>
      <c r="J8581">
        <v>465</v>
      </c>
      <c r="K8581">
        <v>124</v>
      </c>
      <c r="L8581">
        <v>1</v>
      </c>
      <c r="M8581">
        <v>335</v>
      </c>
      <c r="N8581">
        <v>11</v>
      </c>
      <c r="O8581">
        <v>0</v>
      </c>
      <c r="P8581">
        <v>0</v>
      </c>
      <c r="Q8581">
        <v>0</v>
      </c>
    </row>
    <row r="8582" spans="1:17" x14ac:dyDescent="0.2">
      <c r="A8582" s="121">
        <v>42063</v>
      </c>
      <c r="B8582" t="s">
        <v>406</v>
      </c>
      <c r="C8582" t="s">
        <v>510</v>
      </c>
      <c r="D8582" t="s">
        <v>525</v>
      </c>
      <c r="E8582" t="s">
        <v>526</v>
      </c>
      <c r="F8582" t="s">
        <v>410</v>
      </c>
      <c r="G8582">
        <v>419</v>
      </c>
      <c r="I8582">
        <v>415</v>
      </c>
    </row>
    <row r="8583" spans="1:17" x14ac:dyDescent="0.2">
      <c r="A8583" s="121">
        <v>42063</v>
      </c>
      <c r="B8583" t="s">
        <v>406</v>
      </c>
      <c r="C8583" t="s">
        <v>510</v>
      </c>
      <c r="D8583" t="s">
        <v>527</v>
      </c>
      <c r="E8583" t="s">
        <v>528</v>
      </c>
      <c r="F8583" t="s">
        <v>410</v>
      </c>
      <c r="G8583">
        <v>210</v>
      </c>
      <c r="I8583">
        <v>209</v>
      </c>
    </row>
    <row r="8584" spans="1:17" x14ac:dyDescent="0.2">
      <c r="A8584" s="121">
        <v>42063</v>
      </c>
      <c r="B8584" t="s">
        <v>406</v>
      </c>
      <c r="C8584" t="s">
        <v>510</v>
      </c>
      <c r="D8584" t="s">
        <v>529</v>
      </c>
      <c r="E8584" t="s">
        <v>530</v>
      </c>
      <c r="F8584" t="s">
        <v>413</v>
      </c>
      <c r="G8584">
        <v>468</v>
      </c>
      <c r="H8584">
        <v>468</v>
      </c>
      <c r="I8584">
        <v>432</v>
      </c>
      <c r="J8584">
        <v>432</v>
      </c>
      <c r="K8584">
        <v>156</v>
      </c>
      <c r="L8584">
        <v>2</v>
      </c>
      <c r="M8584">
        <v>308</v>
      </c>
      <c r="N8584">
        <v>2</v>
      </c>
      <c r="O8584">
        <v>0</v>
      </c>
      <c r="P8584">
        <v>1</v>
      </c>
      <c r="Q8584">
        <v>1</v>
      </c>
    </row>
    <row r="8585" spans="1:17" x14ac:dyDescent="0.2">
      <c r="A8585" s="121">
        <v>42063</v>
      </c>
      <c r="B8585" t="s">
        <v>406</v>
      </c>
      <c r="C8585" t="s">
        <v>510</v>
      </c>
      <c r="D8585" t="s">
        <v>531</v>
      </c>
      <c r="E8585" t="s">
        <v>532</v>
      </c>
      <c r="F8585" t="s">
        <v>410</v>
      </c>
      <c r="G8585">
        <v>13</v>
      </c>
      <c r="I8585">
        <v>13</v>
      </c>
    </row>
    <row r="8586" spans="1:17" x14ac:dyDescent="0.2">
      <c r="A8586" s="121">
        <v>42063</v>
      </c>
      <c r="B8586" t="s">
        <v>406</v>
      </c>
      <c r="C8586" t="s">
        <v>510</v>
      </c>
      <c r="D8586" t="s">
        <v>533</v>
      </c>
      <c r="E8586" t="s">
        <v>534</v>
      </c>
      <c r="F8586" t="s">
        <v>413</v>
      </c>
      <c r="G8586">
        <v>2195</v>
      </c>
      <c r="H8586">
        <v>2195</v>
      </c>
      <c r="I8586">
        <v>2072</v>
      </c>
      <c r="J8586">
        <v>2072</v>
      </c>
      <c r="K8586">
        <v>579</v>
      </c>
      <c r="L8586">
        <v>1</v>
      </c>
      <c r="M8586">
        <v>1607</v>
      </c>
      <c r="N8586">
        <v>8</v>
      </c>
      <c r="O8586">
        <v>0</v>
      </c>
      <c r="P8586">
        <v>11</v>
      </c>
      <c r="Q8586">
        <v>0</v>
      </c>
    </row>
    <row r="8587" spans="1:17" x14ac:dyDescent="0.2">
      <c r="A8587" s="121">
        <v>42063</v>
      </c>
      <c r="B8587" t="s">
        <v>406</v>
      </c>
      <c r="C8587" t="s">
        <v>510</v>
      </c>
      <c r="D8587" t="s">
        <v>535</v>
      </c>
      <c r="E8587" t="s">
        <v>536</v>
      </c>
      <c r="F8587" t="s">
        <v>410</v>
      </c>
      <c r="G8587">
        <v>359</v>
      </c>
      <c r="I8587">
        <v>359</v>
      </c>
    </row>
    <row r="8588" spans="1:17" x14ac:dyDescent="0.2">
      <c r="A8588" s="121">
        <v>42063</v>
      </c>
      <c r="B8588" t="s">
        <v>406</v>
      </c>
      <c r="C8588" t="s">
        <v>510</v>
      </c>
      <c r="D8588" t="s">
        <v>537</v>
      </c>
      <c r="E8588" t="s">
        <v>538</v>
      </c>
      <c r="F8588" t="s">
        <v>410</v>
      </c>
      <c r="G8588">
        <v>50</v>
      </c>
      <c r="I8588">
        <v>50</v>
      </c>
    </row>
    <row r="8589" spans="1:17" x14ac:dyDescent="0.2">
      <c r="A8589" s="121">
        <v>42063</v>
      </c>
      <c r="B8589" t="s">
        <v>406</v>
      </c>
      <c r="C8589" t="s">
        <v>510</v>
      </c>
      <c r="D8589" t="s">
        <v>539</v>
      </c>
      <c r="E8589" t="s">
        <v>540</v>
      </c>
      <c r="F8589" t="s">
        <v>413</v>
      </c>
      <c r="G8589">
        <v>600</v>
      </c>
      <c r="H8589">
        <v>600</v>
      </c>
      <c r="I8589">
        <v>552</v>
      </c>
      <c r="J8589">
        <v>552</v>
      </c>
      <c r="K8589">
        <v>101</v>
      </c>
      <c r="L8589">
        <v>1</v>
      </c>
      <c r="M8589">
        <v>494</v>
      </c>
      <c r="N8589">
        <v>4</v>
      </c>
      <c r="O8589">
        <v>0</v>
      </c>
      <c r="P8589">
        <v>1</v>
      </c>
      <c r="Q8589">
        <v>1</v>
      </c>
    </row>
    <row r="8590" spans="1:17" x14ac:dyDescent="0.2">
      <c r="A8590" s="121">
        <v>42063</v>
      </c>
      <c r="B8590" t="s">
        <v>406</v>
      </c>
      <c r="C8590" t="s">
        <v>510</v>
      </c>
      <c r="D8590" t="s">
        <v>541</v>
      </c>
      <c r="E8590" t="s">
        <v>542</v>
      </c>
      <c r="F8590" t="s">
        <v>410</v>
      </c>
      <c r="G8590">
        <v>269</v>
      </c>
      <c r="I8590">
        <v>269</v>
      </c>
    </row>
    <row r="8591" spans="1:17" x14ac:dyDescent="0.2">
      <c r="A8591" s="121">
        <v>42063</v>
      </c>
      <c r="B8591" t="s">
        <v>406</v>
      </c>
      <c r="C8591" t="s">
        <v>510</v>
      </c>
      <c r="D8591" t="s">
        <v>543</v>
      </c>
      <c r="E8591" t="s">
        <v>544</v>
      </c>
      <c r="F8591" t="s">
        <v>410</v>
      </c>
      <c r="G8591">
        <v>183</v>
      </c>
      <c r="I8591">
        <v>183</v>
      </c>
    </row>
    <row r="8592" spans="1:17" x14ac:dyDescent="0.2">
      <c r="A8592" s="121">
        <v>42063</v>
      </c>
      <c r="B8592" t="s">
        <v>406</v>
      </c>
      <c r="C8592" t="s">
        <v>510</v>
      </c>
      <c r="D8592" t="s">
        <v>545</v>
      </c>
      <c r="E8592" t="s">
        <v>546</v>
      </c>
      <c r="F8592" t="s">
        <v>410</v>
      </c>
      <c r="G8592">
        <v>124</v>
      </c>
      <c r="I8592">
        <v>124</v>
      </c>
    </row>
    <row r="8593" spans="1:17" x14ac:dyDescent="0.2">
      <c r="A8593" s="121">
        <v>42063</v>
      </c>
      <c r="B8593" t="s">
        <v>406</v>
      </c>
      <c r="C8593" t="s">
        <v>510</v>
      </c>
      <c r="D8593" t="s">
        <v>547</v>
      </c>
      <c r="E8593" t="s">
        <v>548</v>
      </c>
      <c r="F8593" t="s">
        <v>410</v>
      </c>
      <c r="G8593">
        <v>136</v>
      </c>
      <c r="I8593">
        <v>136</v>
      </c>
    </row>
    <row r="8594" spans="1:17" x14ac:dyDescent="0.2">
      <c r="A8594" s="121">
        <v>42063</v>
      </c>
      <c r="B8594" t="s">
        <v>406</v>
      </c>
      <c r="C8594" t="s">
        <v>510</v>
      </c>
      <c r="D8594" t="s">
        <v>616</v>
      </c>
      <c r="E8594" t="s">
        <v>617</v>
      </c>
      <c r="F8594" t="s">
        <v>410</v>
      </c>
      <c r="G8594">
        <v>262</v>
      </c>
      <c r="I8594">
        <v>253</v>
      </c>
    </row>
    <row r="8595" spans="1:17" x14ac:dyDescent="0.2">
      <c r="A8595" s="121">
        <v>42063</v>
      </c>
      <c r="B8595" t="s">
        <v>406</v>
      </c>
      <c r="C8595" t="s">
        <v>510</v>
      </c>
      <c r="D8595" t="s">
        <v>549</v>
      </c>
      <c r="E8595" t="s">
        <v>550</v>
      </c>
      <c r="F8595" t="s">
        <v>410</v>
      </c>
      <c r="G8595">
        <v>180</v>
      </c>
      <c r="I8595">
        <v>180</v>
      </c>
    </row>
    <row r="8596" spans="1:17" x14ac:dyDescent="0.2">
      <c r="A8596" s="121">
        <v>42063</v>
      </c>
      <c r="B8596" t="s">
        <v>406</v>
      </c>
      <c r="C8596" t="s">
        <v>510</v>
      </c>
      <c r="D8596" t="s">
        <v>625</v>
      </c>
      <c r="E8596" t="s">
        <v>626</v>
      </c>
      <c r="F8596" t="s">
        <v>410</v>
      </c>
      <c r="G8596">
        <v>38</v>
      </c>
      <c r="I8596">
        <v>38</v>
      </c>
    </row>
    <row r="8597" spans="1:17" x14ac:dyDescent="0.2">
      <c r="A8597" s="121">
        <v>42063</v>
      </c>
      <c r="B8597" t="s">
        <v>406</v>
      </c>
      <c r="C8597" t="s">
        <v>551</v>
      </c>
      <c r="D8597" t="s">
        <v>552</v>
      </c>
      <c r="E8597" t="s">
        <v>553</v>
      </c>
      <c r="F8597" t="s">
        <v>413</v>
      </c>
      <c r="G8597">
        <v>5095</v>
      </c>
      <c r="H8597">
        <v>5095</v>
      </c>
      <c r="I8597">
        <v>4752</v>
      </c>
      <c r="J8597">
        <v>4752</v>
      </c>
      <c r="K8597">
        <v>1822</v>
      </c>
      <c r="L8597">
        <v>5</v>
      </c>
      <c r="M8597">
        <v>3096</v>
      </c>
      <c r="N8597">
        <v>105</v>
      </c>
      <c r="O8597">
        <v>67</v>
      </c>
      <c r="P8597">
        <v>5</v>
      </c>
      <c r="Q8597">
        <v>0</v>
      </c>
    </row>
    <row r="8598" spans="1:17" x14ac:dyDescent="0.2">
      <c r="A8598" s="121">
        <v>42063</v>
      </c>
      <c r="B8598" t="s">
        <v>406</v>
      </c>
      <c r="C8598" t="s">
        <v>551</v>
      </c>
      <c r="D8598" t="s">
        <v>554</v>
      </c>
      <c r="E8598" t="s">
        <v>555</v>
      </c>
      <c r="F8598" t="s">
        <v>410</v>
      </c>
      <c r="G8598">
        <v>47</v>
      </c>
      <c r="I8598">
        <v>47</v>
      </c>
    </row>
    <row r="8599" spans="1:17" x14ac:dyDescent="0.2">
      <c r="A8599" s="121">
        <v>42063</v>
      </c>
      <c r="B8599" t="s">
        <v>406</v>
      </c>
      <c r="C8599" t="s">
        <v>551</v>
      </c>
      <c r="D8599" t="s">
        <v>556</v>
      </c>
      <c r="E8599" t="s">
        <v>557</v>
      </c>
      <c r="F8599" t="s">
        <v>410</v>
      </c>
      <c r="G8599">
        <v>78</v>
      </c>
      <c r="I8599">
        <v>78</v>
      </c>
    </row>
    <row r="8600" spans="1:17" x14ac:dyDescent="0.2">
      <c r="A8600" s="121">
        <v>42063</v>
      </c>
      <c r="B8600" t="s">
        <v>406</v>
      </c>
      <c r="C8600" t="s">
        <v>551</v>
      </c>
      <c r="D8600" t="s">
        <v>558</v>
      </c>
      <c r="E8600" t="s">
        <v>559</v>
      </c>
      <c r="F8600" t="s">
        <v>413</v>
      </c>
      <c r="G8600">
        <v>4341</v>
      </c>
      <c r="H8600">
        <v>4341</v>
      </c>
      <c r="I8600">
        <v>3547</v>
      </c>
      <c r="J8600">
        <v>3547</v>
      </c>
      <c r="K8600">
        <v>1308</v>
      </c>
      <c r="L8600">
        <v>5</v>
      </c>
      <c r="M8600">
        <v>2914</v>
      </c>
      <c r="N8600">
        <v>103</v>
      </c>
      <c r="O8600">
        <v>11</v>
      </c>
      <c r="P8600">
        <v>192</v>
      </c>
      <c r="Q8600">
        <v>82</v>
      </c>
    </row>
    <row r="8601" spans="1:17" x14ac:dyDescent="0.2">
      <c r="A8601" s="121">
        <v>42063</v>
      </c>
      <c r="B8601" t="s">
        <v>406</v>
      </c>
      <c r="C8601" t="s">
        <v>551</v>
      </c>
      <c r="D8601" t="s">
        <v>560</v>
      </c>
      <c r="E8601" t="s">
        <v>561</v>
      </c>
      <c r="F8601" t="s">
        <v>413</v>
      </c>
      <c r="G8601">
        <v>4751</v>
      </c>
      <c r="H8601">
        <v>4751</v>
      </c>
      <c r="I8601">
        <v>3815</v>
      </c>
      <c r="J8601">
        <v>3815</v>
      </c>
      <c r="K8601">
        <v>1146</v>
      </c>
      <c r="L8601">
        <v>8</v>
      </c>
      <c r="M8601">
        <v>3383</v>
      </c>
      <c r="N8601">
        <v>89</v>
      </c>
      <c r="O8601">
        <v>125</v>
      </c>
      <c r="P8601">
        <v>311</v>
      </c>
      <c r="Q8601">
        <v>108</v>
      </c>
    </row>
    <row r="8602" spans="1:17" x14ac:dyDescent="0.2">
      <c r="A8602" s="121">
        <v>42063</v>
      </c>
      <c r="B8602" t="s">
        <v>406</v>
      </c>
      <c r="C8602" t="s">
        <v>562</v>
      </c>
      <c r="D8602" t="s">
        <v>605</v>
      </c>
      <c r="E8602" t="s">
        <v>606</v>
      </c>
      <c r="F8602" t="s">
        <v>410</v>
      </c>
      <c r="G8602">
        <v>74</v>
      </c>
      <c r="I8602">
        <v>74</v>
      </c>
    </row>
    <row r="8603" spans="1:17" x14ac:dyDescent="0.2">
      <c r="A8603" s="121">
        <v>42063</v>
      </c>
      <c r="B8603" t="s">
        <v>406</v>
      </c>
      <c r="C8603" t="s">
        <v>562</v>
      </c>
      <c r="D8603" t="s">
        <v>563</v>
      </c>
      <c r="E8603" t="s">
        <v>564</v>
      </c>
      <c r="F8603" t="s">
        <v>410</v>
      </c>
      <c r="G8603">
        <v>3279</v>
      </c>
      <c r="H8603">
        <v>3279</v>
      </c>
      <c r="I8603">
        <v>2755</v>
      </c>
      <c r="J8603">
        <v>2755</v>
      </c>
      <c r="K8603">
        <v>1170</v>
      </c>
      <c r="L8603">
        <v>1</v>
      </c>
      <c r="M8603">
        <v>2092</v>
      </c>
      <c r="N8603">
        <v>16</v>
      </c>
      <c r="O8603">
        <v>0</v>
      </c>
      <c r="P8603">
        <v>136</v>
      </c>
      <c r="Q8603">
        <v>52</v>
      </c>
    </row>
    <row r="8604" spans="1:17" x14ac:dyDescent="0.2">
      <c r="A8604" s="121">
        <v>42063</v>
      </c>
      <c r="B8604" t="s">
        <v>406</v>
      </c>
      <c r="C8604" t="s">
        <v>562</v>
      </c>
      <c r="D8604" t="s">
        <v>565</v>
      </c>
      <c r="E8604" t="s">
        <v>566</v>
      </c>
      <c r="F8604" t="s">
        <v>413</v>
      </c>
      <c r="G8604">
        <v>3991</v>
      </c>
      <c r="H8604">
        <v>3991</v>
      </c>
      <c r="I8604">
        <v>3637</v>
      </c>
      <c r="J8604">
        <v>3637</v>
      </c>
      <c r="K8604">
        <v>1002</v>
      </c>
      <c r="L8604">
        <v>3</v>
      </c>
      <c r="M8604">
        <v>2906</v>
      </c>
      <c r="N8604">
        <v>80</v>
      </c>
      <c r="O8604">
        <v>0</v>
      </c>
      <c r="P8604">
        <v>46</v>
      </c>
      <c r="Q8604">
        <v>9</v>
      </c>
    </row>
    <row r="8605" spans="1:17" x14ac:dyDescent="0.2">
      <c r="A8605" s="121">
        <v>42063</v>
      </c>
      <c r="B8605" t="s">
        <v>406</v>
      </c>
      <c r="C8605" t="s">
        <v>562</v>
      </c>
      <c r="D8605" t="s">
        <v>567</v>
      </c>
      <c r="E8605" t="s">
        <v>568</v>
      </c>
      <c r="F8605" t="s">
        <v>413</v>
      </c>
      <c r="G8605">
        <v>8613</v>
      </c>
      <c r="H8605">
        <v>8613</v>
      </c>
      <c r="I8605">
        <v>7922</v>
      </c>
      <c r="J8605">
        <v>7922</v>
      </c>
      <c r="K8605">
        <v>2625</v>
      </c>
      <c r="L8605">
        <v>18</v>
      </c>
      <c r="M8605">
        <v>5753</v>
      </c>
      <c r="N8605">
        <v>217</v>
      </c>
      <c r="O8605">
        <v>0</v>
      </c>
      <c r="P8605">
        <v>115</v>
      </c>
      <c r="Q8605">
        <v>2</v>
      </c>
    </row>
    <row r="8606" spans="1:17" x14ac:dyDescent="0.2">
      <c r="A8606" s="121">
        <v>42063</v>
      </c>
      <c r="B8606" t="s">
        <v>406</v>
      </c>
      <c r="C8606" t="s">
        <v>562</v>
      </c>
      <c r="D8606" t="s">
        <v>569</v>
      </c>
      <c r="E8606" t="s">
        <v>570</v>
      </c>
      <c r="F8606" t="s">
        <v>413</v>
      </c>
      <c r="G8606">
        <v>3475</v>
      </c>
      <c r="H8606">
        <v>3475</v>
      </c>
      <c r="I8606">
        <v>3414</v>
      </c>
      <c r="J8606">
        <v>3414</v>
      </c>
      <c r="K8606">
        <v>417</v>
      </c>
      <c r="L8606">
        <v>1</v>
      </c>
      <c r="M8606">
        <v>3056</v>
      </c>
      <c r="N8606">
        <v>1</v>
      </c>
      <c r="O8606">
        <v>0</v>
      </c>
      <c r="P8606">
        <v>1</v>
      </c>
      <c r="Q8606">
        <v>0</v>
      </c>
    </row>
    <row r="8607" spans="1:17" x14ac:dyDescent="0.2">
      <c r="A8607" s="121">
        <v>42063</v>
      </c>
      <c r="B8607" t="s">
        <v>406</v>
      </c>
      <c r="C8607" t="s">
        <v>571</v>
      </c>
      <c r="D8607" t="s">
        <v>572</v>
      </c>
      <c r="E8607" t="s">
        <v>627</v>
      </c>
      <c r="F8607" t="s">
        <v>413</v>
      </c>
      <c r="G8607">
        <v>353</v>
      </c>
      <c r="H8607">
        <v>353</v>
      </c>
      <c r="I8607">
        <v>342</v>
      </c>
      <c r="J8607">
        <v>342</v>
      </c>
      <c r="K8607">
        <v>127</v>
      </c>
      <c r="L8607">
        <v>0</v>
      </c>
      <c r="M8607">
        <v>222</v>
      </c>
      <c r="N8607">
        <v>2</v>
      </c>
      <c r="O8607">
        <v>2</v>
      </c>
      <c r="P8607">
        <v>0</v>
      </c>
      <c r="Q8607">
        <v>0</v>
      </c>
    </row>
    <row r="8608" spans="1:17" x14ac:dyDescent="0.2">
      <c r="A8608" s="121">
        <v>42063</v>
      </c>
      <c r="B8608" t="s">
        <v>406</v>
      </c>
      <c r="C8608" t="s">
        <v>574</v>
      </c>
      <c r="D8608" t="s">
        <v>575</v>
      </c>
      <c r="E8608" t="s">
        <v>576</v>
      </c>
      <c r="F8608" t="s">
        <v>413</v>
      </c>
      <c r="G8608">
        <v>573</v>
      </c>
      <c r="H8608">
        <v>573</v>
      </c>
      <c r="I8608">
        <v>560</v>
      </c>
      <c r="J8608">
        <v>560</v>
      </c>
      <c r="K8608">
        <v>151</v>
      </c>
      <c r="L8608">
        <v>1</v>
      </c>
      <c r="M8608">
        <v>404</v>
      </c>
      <c r="N8608">
        <v>3</v>
      </c>
      <c r="O8608">
        <v>14</v>
      </c>
      <c r="P8608">
        <v>0</v>
      </c>
      <c r="Q8608">
        <v>0</v>
      </c>
    </row>
    <row r="8609" spans="1:17" x14ac:dyDescent="0.2">
      <c r="A8609" s="121">
        <v>42063</v>
      </c>
      <c r="B8609" t="s">
        <v>406</v>
      </c>
      <c r="C8609" t="s">
        <v>577</v>
      </c>
      <c r="D8609" t="s">
        <v>578</v>
      </c>
      <c r="E8609" t="s">
        <v>579</v>
      </c>
      <c r="F8609" t="s">
        <v>413</v>
      </c>
      <c r="G8609">
        <v>3488</v>
      </c>
      <c r="H8609">
        <v>3488</v>
      </c>
      <c r="I8609">
        <v>3453</v>
      </c>
      <c r="J8609">
        <v>3453</v>
      </c>
      <c r="K8609">
        <v>1000</v>
      </c>
      <c r="L8609">
        <v>5</v>
      </c>
      <c r="M8609">
        <v>2258</v>
      </c>
      <c r="N8609">
        <v>225</v>
      </c>
      <c r="O8609">
        <v>0</v>
      </c>
      <c r="P8609">
        <v>0</v>
      </c>
      <c r="Q8609">
        <v>0</v>
      </c>
    </row>
    <row r="8610" spans="1:17" x14ac:dyDescent="0.2">
      <c r="A8610" s="121">
        <v>42063</v>
      </c>
      <c r="B8610" t="s">
        <v>406</v>
      </c>
      <c r="C8610" t="s">
        <v>577</v>
      </c>
      <c r="D8610" t="s">
        <v>580</v>
      </c>
      <c r="E8610" t="s">
        <v>581</v>
      </c>
      <c r="F8610" t="s">
        <v>413</v>
      </c>
      <c r="G8610">
        <v>1777</v>
      </c>
      <c r="H8610">
        <v>1777</v>
      </c>
      <c r="I8610">
        <v>1749</v>
      </c>
      <c r="J8610">
        <v>1749</v>
      </c>
      <c r="K8610">
        <v>326</v>
      </c>
      <c r="L8610">
        <v>4</v>
      </c>
      <c r="M8610">
        <v>1155</v>
      </c>
      <c r="N8610">
        <v>292</v>
      </c>
      <c r="O8610">
        <v>0</v>
      </c>
      <c r="P8610">
        <v>2</v>
      </c>
      <c r="Q8610">
        <v>0</v>
      </c>
    </row>
    <row r="8611" spans="1:17" x14ac:dyDescent="0.2">
      <c r="A8611" s="121">
        <v>42063</v>
      </c>
      <c r="B8611" t="s">
        <v>406</v>
      </c>
      <c r="C8611" t="s">
        <v>577</v>
      </c>
      <c r="D8611" t="s">
        <v>609</v>
      </c>
      <c r="E8611" t="s">
        <v>610</v>
      </c>
      <c r="F8611" t="s">
        <v>410</v>
      </c>
      <c r="G8611">
        <v>23</v>
      </c>
      <c r="H8611">
        <v>23</v>
      </c>
      <c r="I8611">
        <v>23</v>
      </c>
      <c r="J8611">
        <v>23</v>
      </c>
      <c r="K8611">
        <v>0</v>
      </c>
      <c r="L8611">
        <v>0</v>
      </c>
      <c r="M8611">
        <v>23</v>
      </c>
      <c r="N8611">
        <v>0</v>
      </c>
      <c r="O8611">
        <v>0</v>
      </c>
      <c r="P8611">
        <v>0</v>
      </c>
      <c r="Q8611">
        <v>0</v>
      </c>
    </row>
    <row r="8612" spans="1:17" x14ac:dyDescent="0.2">
      <c r="A8612" s="121">
        <v>42063</v>
      </c>
      <c r="B8612" t="s">
        <v>406</v>
      </c>
      <c r="C8612" t="s">
        <v>577</v>
      </c>
      <c r="D8612" t="s">
        <v>611</v>
      </c>
      <c r="E8612" t="s">
        <v>612</v>
      </c>
      <c r="F8612" t="s">
        <v>410</v>
      </c>
      <c r="G8612">
        <v>4</v>
      </c>
      <c r="H8612">
        <v>4</v>
      </c>
      <c r="I8612">
        <v>4</v>
      </c>
      <c r="J8612">
        <v>4</v>
      </c>
      <c r="K8612">
        <v>0</v>
      </c>
      <c r="L8612">
        <v>0</v>
      </c>
      <c r="M8612">
        <v>3</v>
      </c>
      <c r="N8612">
        <v>0</v>
      </c>
      <c r="O8612">
        <v>1</v>
      </c>
      <c r="P8612">
        <v>0</v>
      </c>
      <c r="Q8612">
        <v>0</v>
      </c>
    </row>
    <row r="8613" spans="1:17" x14ac:dyDescent="0.2">
      <c r="A8613" s="121">
        <v>42063</v>
      </c>
      <c r="B8613" t="s">
        <v>406</v>
      </c>
      <c r="C8613" t="s">
        <v>577</v>
      </c>
      <c r="D8613" t="s">
        <v>584</v>
      </c>
      <c r="E8613" t="s">
        <v>585</v>
      </c>
      <c r="F8613" t="s">
        <v>410</v>
      </c>
      <c r="G8613">
        <v>265</v>
      </c>
      <c r="H8613">
        <v>265</v>
      </c>
      <c r="I8613">
        <v>264</v>
      </c>
      <c r="J8613">
        <v>264</v>
      </c>
      <c r="K8613">
        <v>0</v>
      </c>
      <c r="L8613">
        <v>0</v>
      </c>
      <c r="M8613">
        <v>247</v>
      </c>
      <c r="N8613">
        <v>17</v>
      </c>
      <c r="O8613">
        <v>1</v>
      </c>
      <c r="P8613">
        <v>0</v>
      </c>
      <c r="Q8613">
        <v>0</v>
      </c>
    </row>
    <row r="8614" spans="1:17" x14ac:dyDescent="0.2">
      <c r="A8614" s="121">
        <v>42063</v>
      </c>
      <c r="B8614" t="s">
        <v>406</v>
      </c>
      <c r="C8614" t="s">
        <v>577</v>
      </c>
      <c r="D8614" t="s">
        <v>586</v>
      </c>
      <c r="E8614" t="s">
        <v>587</v>
      </c>
      <c r="F8614" t="s">
        <v>410</v>
      </c>
      <c r="G8614">
        <v>965</v>
      </c>
      <c r="H8614">
        <v>965</v>
      </c>
      <c r="I8614">
        <v>963</v>
      </c>
      <c r="J8614">
        <v>963</v>
      </c>
      <c r="K8614">
        <v>0</v>
      </c>
      <c r="L8614">
        <v>0</v>
      </c>
      <c r="M8614">
        <v>863</v>
      </c>
      <c r="N8614">
        <v>97</v>
      </c>
      <c r="O8614">
        <v>5</v>
      </c>
      <c r="P8614">
        <v>0</v>
      </c>
      <c r="Q8614">
        <v>0</v>
      </c>
    </row>
    <row r="8615" spans="1:17" x14ac:dyDescent="0.2">
      <c r="A8615" s="121">
        <v>42063</v>
      </c>
      <c r="B8615" t="s">
        <v>406</v>
      </c>
      <c r="C8615" t="s">
        <v>577</v>
      </c>
      <c r="D8615" t="s">
        <v>588</v>
      </c>
      <c r="E8615" t="s">
        <v>589</v>
      </c>
      <c r="F8615" t="s">
        <v>410</v>
      </c>
      <c r="G8615">
        <v>227</v>
      </c>
      <c r="H8615">
        <v>227</v>
      </c>
      <c r="I8615">
        <v>227</v>
      </c>
      <c r="J8615">
        <v>227</v>
      </c>
      <c r="K8615">
        <v>0</v>
      </c>
      <c r="L8615">
        <v>0</v>
      </c>
      <c r="M8615">
        <v>214</v>
      </c>
      <c r="N8615">
        <v>13</v>
      </c>
      <c r="O8615">
        <v>0</v>
      </c>
      <c r="P8615">
        <v>0</v>
      </c>
      <c r="Q8615">
        <v>0</v>
      </c>
    </row>
    <row r="8616" spans="1:17" x14ac:dyDescent="0.2">
      <c r="A8616" s="121">
        <v>42063</v>
      </c>
      <c r="B8616" t="s">
        <v>406</v>
      </c>
      <c r="C8616" t="s">
        <v>577</v>
      </c>
      <c r="D8616" t="s">
        <v>613</v>
      </c>
      <c r="E8616" t="s">
        <v>614</v>
      </c>
      <c r="F8616" t="s">
        <v>410</v>
      </c>
      <c r="G8616">
        <v>136</v>
      </c>
      <c r="H8616">
        <v>136</v>
      </c>
      <c r="I8616">
        <v>136</v>
      </c>
      <c r="J8616">
        <v>136</v>
      </c>
      <c r="K8616">
        <v>0</v>
      </c>
      <c r="L8616">
        <v>0</v>
      </c>
      <c r="M8616">
        <v>122</v>
      </c>
      <c r="N8616">
        <v>11</v>
      </c>
      <c r="O8616">
        <v>3</v>
      </c>
      <c r="P8616">
        <v>0</v>
      </c>
      <c r="Q8616">
        <v>0</v>
      </c>
    </row>
    <row r="8617" spans="1:17" x14ac:dyDescent="0.2">
      <c r="A8617" s="121">
        <v>42063</v>
      </c>
      <c r="B8617" t="s">
        <v>406</v>
      </c>
      <c r="C8617" t="s">
        <v>577</v>
      </c>
      <c r="D8617" t="s">
        <v>590</v>
      </c>
      <c r="E8617" t="s">
        <v>591</v>
      </c>
      <c r="F8617" t="s">
        <v>410</v>
      </c>
      <c r="G8617">
        <v>582</v>
      </c>
      <c r="H8617">
        <v>582</v>
      </c>
      <c r="I8617">
        <v>582</v>
      </c>
      <c r="J8617">
        <v>582</v>
      </c>
      <c r="K8617">
        <v>0</v>
      </c>
      <c r="L8617">
        <v>0</v>
      </c>
      <c r="M8617">
        <v>561</v>
      </c>
      <c r="N8617">
        <v>19</v>
      </c>
      <c r="O8617">
        <v>2</v>
      </c>
      <c r="P8617">
        <v>0</v>
      </c>
      <c r="Q8617">
        <v>0</v>
      </c>
    </row>
    <row r="8618" spans="1:17" x14ac:dyDescent="0.2">
      <c r="A8618" s="121">
        <v>42063</v>
      </c>
      <c r="B8618" t="s">
        <v>406</v>
      </c>
      <c r="C8618" t="s">
        <v>577</v>
      </c>
      <c r="D8618" t="s">
        <v>607</v>
      </c>
      <c r="E8618" t="s">
        <v>608</v>
      </c>
      <c r="F8618" t="s">
        <v>410</v>
      </c>
      <c r="G8618">
        <v>132</v>
      </c>
      <c r="H8618">
        <v>132</v>
      </c>
      <c r="I8618">
        <v>132</v>
      </c>
      <c r="J8618">
        <v>132</v>
      </c>
      <c r="K8618">
        <v>0</v>
      </c>
      <c r="L8618">
        <v>0</v>
      </c>
      <c r="M8618">
        <v>119</v>
      </c>
      <c r="N8618">
        <v>9</v>
      </c>
      <c r="O8618">
        <v>4</v>
      </c>
      <c r="P8618">
        <v>0</v>
      </c>
      <c r="Q8618">
        <v>0</v>
      </c>
    </row>
    <row r="8619" spans="1:17" x14ac:dyDescent="0.2">
      <c r="A8619" s="121">
        <v>42063</v>
      </c>
      <c r="B8619" t="s">
        <v>406</v>
      </c>
      <c r="C8619" t="s">
        <v>577</v>
      </c>
      <c r="D8619" t="s">
        <v>592</v>
      </c>
      <c r="E8619" t="s">
        <v>593</v>
      </c>
      <c r="F8619" t="s">
        <v>410</v>
      </c>
      <c r="G8619">
        <v>403</v>
      </c>
      <c r="H8619">
        <v>403</v>
      </c>
      <c r="I8619">
        <v>403</v>
      </c>
      <c r="J8619">
        <v>403</v>
      </c>
      <c r="K8619">
        <v>0</v>
      </c>
      <c r="L8619">
        <v>0</v>
      </c>
      <c r="M8619">
        <v>371</v>
      </c>
      <c r="N8619">
        <v>29</v>
      </c>
      <c r="O8619">
        <v>3</v>
      </c>
      <c r="P8619">
        <v>0</v>
      </c>
      <c r="Q8619">
        <v>0</v>
      </c>
    </row>
    <row r="8620" spans="1:17" x14ac:dyDescent="0.2">
      <c r="A8620" s="121">
        <v>42063</v>
      </c>
      <c r="B8620" t="s">
        <v>406</v>
      </c>
      <c r="C8620" t="s">
        <v>594</v>
      </c>
      <c r="D8620" t="s">
        <v>595</v>
      </c>
      <c r="E8620" t="s">
        <v>596</v>
      </c>
      <c r="F8620" t="s">
        <v>410</v>
      </c>
      <c r="G8620">
        <v>22</v>
      </c>
      <c r="I8620">
        <v>22</v>
      </c>
    </row>
    <row r="8621" spans="1:17" x14ac:dyDescent="0.2">
      <c r="A8621" s="121">
        <v>42063</v>
      </c>
      <c r="B8621" t="s">
        <v>406</v>
      </c>
      <c r="C8621" t="s">
        <v>594</v>
      </c>
      <c r="D8621" t="s">
        <v>597</v>
      </c>
      <c r="E8621" t="s">
        <v>598</v>
      </c>
      <c r="F8621" t="s">
        <v>413</v>
      </c>
      <c r="G8621">
        <v>459</v>
      </c>
      <c r="H8621">
        <v>459</v>
      </c>
      <c r="I8621">
        <v>444</v>
      </c>
      <c r="J8621">
        <v>444</v>
      </c>
      <c r="K8621">
        <v>106</v>
      </c>
      <c r="L8621">
        <v>0</v>
      </c>
      <c r="M8621">
        <v>340</v>
      </c>
      <c r="N8621">
        <v>6</v>
      </c>
      <c r="O8621">
        <v>7</v>
      </c>
      <c r="P8621">
        <v>1</v>
      </c>
      <c r="Q8621">
        <v>0</v>
      </c>
    </row>
    <row r="8622" spans="1:17" x14ac:dyDescent="0.2">
      <c r="A8622" s="121">
        <v>42063</v>
      </c>
      <c r="B8622" t="s">
        <v>406</v>
      </c>
      <c r="C8622" t="s">
        <v>594</v>
      </c>
      <c r="D8622" t="s">
        <v>599</v>
      </c>
      <c r="E8622" t="s">
        <v>600</v>
      </c>
      <c r="F8622" t="s">
        <v>410</v>
      </c>
      <c r="G8622">
        <v>80</v>
      </c>
      <c r="I8622">
        <v>80</v>
      </c>
    </row>
    <row r="8623" spans="1:17" x14ac:dyDescent="0.2">
      <c r="A8623" s="121">
        <v>42094</v>
      </c>
      <c r="B8623" t="s">
        <v>406</v>
      </c>
      <c r="C8623" t="s">
        <v>407</v>
      </c>
      <c r="D8623" t="s">
        <v>408</v>
      </c>
      <c r="E8623" t="s">
        <v>409</v>
      </c>
      <c r="F8623" t="s">
        <v>410</v>
      </c>
      <c r="G8623">
        <v>205</v>
      </c>
      <c r="I8623">
        <v>203</v>
      </c>
    </row>
    <row r="8624" spans="1:17" x14ac:dyDescent="0.2">
      <c r="A8624" s="121">
        <v>42094</v>
      </c>
      <c r="B8624" t="s">
        <v>406</v>
      </c>
      <c r="C8624" t="s">
        <v>407</v>
      </c>
      <c r="D8624" t="s">
        <v>601</v>
      </c>
      <c r="E8624" t="s">
        <v>602</v>
      </c>
      <c r="F8624" t="s">
        <v>410</v>
      </c>
      <c r="G8624">
        <v>54</v>
      </c>
      <c r="I8624">
        <v>54</v>
      </c>
    </row>
    <row r="8625" spans="1:17" x14ac:dyDescent="0.2">
      <c r="A8625" s="121">
        <v>42094</v>
      </c>
      <c r="B8625" t="s">
        <v>406</v>
      </c>
      <c r="C8625" t="s">
        <v>407</v>
      </c>
      <c r="D8625" t="s">
        <v>411</v>
      </c>
      <c r="E8625" t="s">
        <v>412</v>
      </c>
      <c r="F8625" t="s">
        <v>413</v>
      </c>
      <c r="G8625">
        <v>6263</v>
      </c>
      <c r="H8625">
        <v>6263</v>
      </c>
      <c r="I8625">
        <v>5328</v>
      </c>
      <c r="J8625">
        <v>5328</v>
      </c>
      <c r="K8625">
        <v>2634</v>
      </c>
      <c r="L8625">
        <v>7</v>
      </c>
      <c r="M8625">
        <v>3259</v>
      </c>
      <c r="N8625">
        <v>105</v>
      </c>
      <c r="O8625">
        <v>258</v>
      </c>
      <c r="P8625">
        <v>128</v>
      </c>
      <c r="Q8625">
        <v>25</v>
      </c>
    </row>
    <row r="8626" spans="1:17" x14ac:dyDescent="0.2">
      <c r="A8626" s="121">
        <v>42094</v>
      </c>
      <c r="B8626" t="s">
        <v>406</v>
      </c>
      <c r="C8626" t="s">
        <v>407</v>
      </c>
      <c r="D8626" t="s">
        <v>416</v>
      </c>
      <c r="E8626" t="s">
        <v>417</v>
      </c>
      <c r="F8626" t="s">
        <v>413</v>
      </c>
      <c r="G8626">
        <v>3643</v>
      </c>
      <c r="H8626">
        <v>3643</v>
      </c>
      <c r="I8626">
        <v>3331</v>
      </c>
      <c r="J8626">
        <v>3331</v>
      </c>
      <c r="K8626">
        <v>1337</v>
      </c>
      <c r="L8626">
        <v>5</v>
      </c>
      <c r="M8626">
        <v>2156</v>
      </c>
      <c r="N8626">
        <v>106</v>
      </c>
      <c r="O8626">
        <v>39</v>
      </c>
      <c r="P8626">
        <v>22</v>
      </c>
      <c r="Q8626">
        <v>7</v>
      </c>
    </row>
    <row r="8627" spans="1:17" x14ac:dyDescent="0.2">
      <c r="A8627" s="121">
        <v>42094</v>
      </c>
      <c r="B8627" t="s">
        <v>406</v>
      </c>
      <c r="C8627" t="s">
        <v>407</v>
      </c>
      <c r="D8627" t="s">
        <v>618</v>
      </c>
      <c r="E8627" t="s">
        <v>619</v>
      </c>
      <c r="F8627" t="s">
        <v>410</v>
      </c>
      <c r="G8627">
        <v>101</v>
      </c>
      <c r="I8627">
        <v>101</v>
      </c>
    </row>
    <row r="8628" spans="1:17" x14ac:dyDescent="0.2">
      <c r="A8628" s="121">
        <v>42094</v>
      </c>
      <c r="B8628" t="s">
        <v>406</v>
      </c>
      <c r="C8628" t="s">
        <v>418</v>
      </c>
      <c r="D8628" t="s">
        <v>419</v>
      </c>
      <c r="E8628" t="s">
        <v>420</v>
      </c>
      <c r="F8628" t="s">
        <v>410</v>
      </c>
      <c r="G8628">
        <v>9</v>
      </c>
      <c r="I8628">
        <v>9</v>
      </c>
    </row>
    <row r="8629" spans="1:17" x14ac:dyDescent="0.2">
      <c r="A8629" s="121">
        <v>42094</v>
      </c>
      <c r="B8629" t="s">
        <v>406</v>
      </c>
      <c r="C8629" t="s">
        <v>418</v>
      </c>
      <c r="D8629" t="s">
        <v>421</v>
      </c>
      <c r="E8629" t="s">
        <v>422</v>
      </c>
      <c r="F8629" t="s">
        <v>410</v>
      </c>
      <c r="G8629">
        <v>60</v>
      </c>
      <c r="I8629">
        <v>60</v>
      </c>
    </row>
    <row r="8630" spans="1:17" x14ac:dyDescent="0.2">
      <c r="A8630" s="121">
        <v>42094</v>
      </c>
      <c r="B8630" t="s">
        <v>406</v>
      </c>
      <c r="C8630" t="s">
        <v>418</v>
      </c>
      <c r="D8630" t="s">
        <v>423</v>
      </c>
      <c r="E8630" t="s">
        <v>424</v>
      </c>
      <c r="F8630" t="s">
        <v>410</v>
      </c>
      <c r="G8630">
        <v>15</v>
      </c>
      <c r="I8630">
        <v>15</v>
      </c>
    </row>
    <row r="8631" spans="1:17" x14ac:dyDescent="0.2">
      <c r="A8631" s="121">
        <v>42094</v>
      </c>
      <c r="B8631" t="s">
        <v>406</v>
      </c>
      <c r="C8631" t="s">
        <v>418</v>
      </c>
      <c r="D8631" t="s">
        <v>425</v>
      </c>
      <c r="E8631" t="s">
        <v>426</v>
      </c>
      <c r="F8631" t="s">
        <v>410</v>
      </c>
      <c r="G8631">
        <v>35</v>
      </c>
      <c r="I8631">
        <v>35</v>
      </c>
    </row>
    <row r="8632" spans="1:17" x14ac:dyDescent="0.2">
      <c r="A8632" s="121">
        <v>42094</v>
      </c>
      <c r="B8632" t="s">
        <v>406</v>
      </c>
      <c r="C8632" t="s">
        <v>418</v>
      </c>
      <c r="D8632" t="s">
        <v>427</v>
      </c>
      <c r="E8632" t="s">
        <v>428</v>
      </c>
      <c r="F8632" t="s">
        <v>413</v>
      </c>
      <c r="G8632">
        <v>2396</v>
      </c>
      <c r="H8632">
        <v>2396</v>
      </c>
      <c r="I8632">
        <v>2189</v>
      </c>
      <c r="J8632">
        <v>2189</v>
      </c>
      <c r="K8632">
        <v>953</v>
      </c>
      <c r="L8632">
        <v>8</v>
      </c>
      <c r="M8632">
        <v>1220</v>
      </c>
      <c r="N8632">
        <v>200</v>
      </c>
      <c r="O8632">
        <v>15</v>
      </c>
      <c r="P8632">
        <v>7</v>
      </c>
      <c r="Q8632">
        <v>0</v>
      </c>
    </row>
    <row r="8633" spans="1:17" x14ac:dyDescent="0.2">
      <c r="A8633" s="121">
        <v>42094</v>
      </c>
      <c r="B8633" t="s">
        <v>406</v>
      </c>
      <c r="C8633" t="s">
        <v>429</v>
      </c>
      <c r="D8633" t="s">
        <v>430</v>
      </c>
      <c r="E8633" t="s">
        <v>431</v>
      </c>
      <c r="F8633" t="s">
        <v>410</v>
      </c>
      <c r="G8633">
        <v>32</v>
      </c>
      <c r="I8633">
        <v>32</v>
      </c>
    </row>
    <row r="8634" spans="1:17" x14ac:dyDescent="0.2">
      <c r="A8634" s="121">
        <v>42094</v>
      </c>
      <c r="B8634" t="s">
        <v>406</v>
      </c>
      <c r="C8634" t="s">
        <v>429</v>
      </c>
      <c r="D8634" t="s">
        <v>432</v>
      </c>
      <c r="E8634" t="s">
        <v>433</v>
      </c>
      <c r="F8634" t="s">
        <v>410</v>
      </c>
      <c r="G8634">
        <v>30</v>
      </c>
      <c r="I8634">
        <v>30</v>
      </c>
    </row>
    <row r="8635" spans="1:17" x14ac:dyDescent="0.2">
      <c r="A8635" s="121">
        <v>42094</v>
      </c>
      <c r="B8635" t="s">
        <v>406</v>
      </c>
      <c r="C8635" t="s">
        <v>429</v>
      </c>
      <c r="D8635" t="s">
        <v>434</v>
      </c>
      <c r="E8635" t="s">
        <v>435</v>
      </c>
      <c r="F8635" t="s">
        <v>410</v>
      </c>
      <c r="G8635">
        <v>5</v>
      </c>
      <c r="I8635">
        <v>5</v>
      </c>
    </row>
    <row r="8636" spans="1:17" x14ac:dyDescent="0.2">
      <c r="A8636" s="121">
        <v>42094</v>
      </c>
      <c r="B8636" t="s">
        <v>406</v>
      </c>
      <c r="C8636" t="s">
        <v>429</v>
      </c>
      <c r="D8636" t="s">
        <v>436</v>
      </c>
      <c r="E8636" t="s">
        <v>437</v>
      </c>
      <c r="F8636" t="s">
        <v>410</v>
      </c>
      <c r="G8636">
        <v>15</v>
      </c>
      <c r="H8636">
        <v>15</v>
      </c>
      <c r="I8636">
        <v>15</v>
      </c>
      <c r="J8636">
        <v>15</v>
      </c>
      <c r="K8636">
        <v>0</v>
      </c>
      <c r="L8636">
        <v>0</v>
      </c>
      <c r="M8636">
        <v>10</v>
      </c>
      <c r="N8636">
        <v>5</v>
      </c>
      <c r="O8636">
        <v>0</v>
      </c>
      <c r="P8636">
        <v>0</v>
      </c>
      <c r="Q8636">
        <v>0</v>
      </c>
    </row>
    <row r="8637" spans="1:17" x14ac:dyDescent="0.2">
      <c r="A8637" s="121">
        <v>42094</v>
      </c>
      <c r="B8637" t="s">
        <v>406</v>
      </c>
      <c r="C8637" t="s">
        <v>429</v>
      </c>
      <c r="D8637" t="s">
        <v>438</v>
      </c>
      <c r="E8637" t="s">
        <v>439</v>
      </c>
      <c r="F8637" t="s">
        <v>413</v>
      </c>
      <c r="G8637">
        <v>1005</v>
      </c>
      <c r="H8637">
        <v>1005</v>
      </c>
      <c r="I8637">
        <v>968</v>
      </c>
      <c r="J8637">
        <v>968</v>
      </c>
      <c r="K8637">
        <v>111</v>
      </c>
      <c r="L8637">
        <v>0</v>
      </c>
      <c r="M8637">
        <v>845</v>
      </c>
      <c r="N8637">
        <v>49</v>
      </c>
      <c r="O8637">
        <v>0</v>
      </c>
      <c r="P8637">
        <v>2</v>
      </c>
      <c r="Q8637">
        <v>0</v>
      </c>
    </row>
    <row r="8638" spans="1:17" x14ac:dyDescent="0.2">
      <c r="A8638" s="121">
        <v>42094</v>
      </c>
      <c r="B8638" t="s">
        <v>406</v>
      </c>
      <c r="C8638" t="s">
        <v>429</v>
      </c>
      <c r="D8638" t="s">
        <v>440</v>
      </c>
      <c r="E8638" t="s">
        <v>441</v>
      </c>
      <c r="F8638" t="s">
        <v>413</v>
      </c>
      <c r="G8638">
        <v>2871</v>
      </c>
      <c r="H8638">
        <v>2871</v>
      </c>
      <c r="I8638">
        <v>2780</v>
      </c>
      <c r="J8638">
        <v>2780</v>
      </c>
      <c r="K8638">
        <v>989</v>
      </c>
      <c r="L8638">
        <v>4</v>
      </c>
      <c r="M8638">
        <v>1762</v>
      </c>
      <c r="N8638">
        <v>54</v>
      </c>
      <c r="O8638">
        <v>62</v>
      </c>
      <c r="P8638">
        <v>1</v>
      </c>
      <c r="Q8638">
        <v>0</v>
      </c>
    </row>
    <row r="8639" spans="1:17" x14ac:dyDescent="0.2">
      <c r="A8639" s="121">
        <v>42094</v>
      </c>
      <c r="B8639" t="s">
        <v>406</v>
      </c>
      <c r="C8639" t="s">
        <v>442</v>
      </c>
      <c r="D8639" t="s">
        <v>443</v>
      </c>
      <c r="E8639" t="s">
        <v>444</v>
      </c>
      <c r="F8639" t="s">
        <v>413</v>
      </c>
      <c r="G8639">
        <v>5308</v>
      </c>
      <c r="H8639">
        <v>5308</v>
      </c>
      <c r="I8639">
        <v>4747</v>
      </c>
      <c r="J8639">
        <v>4747</v>
      </c>
      <c r="K8639">
        <v>1264</v>
      </c>
      <c r="L8639">
        <v>13</v>
      </c>
      <c r="M8639">
        <v>3694</v>
      </c>
      <c r="N8639">
        <v>153</v>
      </c>
      <c r="O8639">
        <v>184</v>
      </c>
      <c r="P8639">
        <v>109</v>
      </c>
      <c r="Q8639">
        <v>15</v>
      </c>
    </row>
    <row r="8640" spans="1:17" x14ac:dyDescent="0.2">
      <c r="A8640" s="121">
        <v>42094</v>
      </c>
      <c r="B8640" t="s">
        <v>406</v>
      </c>
      <c r="C8640" t="s">
        <v>442</v>
      </c>
      <c r="D8640" t="s">
        <v>445</v>
      </c>
      <c r="E8640" t="s">
        <v>446</v>
      </c>
      <c r="F8640" t="s">
        <v>410</v>
      </c>
      <c r="G8640">
        <v>133</v>
      </c>
      <c r="I8640">
        <v>133</v>
      </c>
    </row>
    <row r="8641" spans="1:17" x14ac:dyDescent="0.2">
      <c r="A8641" s="121">
        <v>42094</v>
      </c>
      <c r="B8641" t="s">
        <v>406</v>
      </c>
      <c r="C8641" t="s">
        <v>442</v>
      </c>
      <c r="D8641" t="s">
        <v>447</v>
      </c>
      <c r="E8641" t="s">
        <v>448</v>
      </c>
      <c r="F8641" t="s">
        <v>410</v>
      </c>
      <c r="G8641">
        <v>336</v>
      </c>
      <c r="I8641">
        <v>335</v>
      </c>
    </row>
    <row r="8642" spans="1:17" x14ac:dyDescent="0.2">
      <c r="A8642" s="121">
        <v>42094</v>
      </c>
      <c r="B8642" t="s">
        <v>406</v>
      </c>
      <c r="C8642" t="s">
        <v>442</v>
      </c>
      <c r="D8642" t="s">
        <v>449</v>
      </c>
      <c r="E8642" t="s">
        <v>624</v>
      </c>
      <c r="F8642" t="s">
        <v>410</v>
      </c>
      <c r="G8642">
        <v>1766</v>
      </c>
      <c r="H8642">
        <v>1766</v>
      </c>
      <c r="I8642">
        <v>1764</v>
      </c>
      <c r="J8642">
        <v>1764</v>
      </c>
      <c r="K8642">
        <v>12</v>
      </c>
      <c r="L8642">
        <v>0</v>
      </c>
      <c r="M8642">
        <v>1570</v>
      </c>
      <c r="N8642">
        <v>176</v>
      </c>
      <c r="O8642">
        <v>8</v>
      </c>
      <c r="P8642">
        <v>0</v>
      </c>
      <c r="Q8642">
        <v>0</v>
      </c>
    </row>
    <row r="8643" spans="1:17" x14ac:dyDescent="0.2">
      <c r="A8643" s="121">
        <v>42094</v>
      </c>
      <c r="B8643" t="s">
        <v>406</v>
      </c>
      <c r="C8643" t="s">
        <v>451</v>
      </c>
      <c r="D8643" t="s">
        <v>454</v>
      </c>
      <c r="E8643" t="s">
        <v>621</v>
      </c>
      <c r="F8643" t="s">
        <v>410</v>
      </c>
      <c r="G8643">
        <v>1467</v>
      </c>
      <c r="H8643">
        <v>1467</v>
      </c>
      <c r="I8643">
        <v>1467</v>
      </c>
      <c r="J8643">
        <v>1467</v>
      </c>
      <c r="K8643">
        <v>2</v>
      </c>
      <c r="L8643">
        <v>0</v>
      </c>
      <c r="M8643">
        <v>1271</v>
      </c>
      <c r="N8643">
        <v>74</v>
      </c>
      <c r="O8643">
        <v>120</v>
      </c>
      <c r="P8643">
        <v>0</v>
      </c>
      <c r="Q8643">
        <v>0</v>
      </c>
    </row>
    <row r="8644" spans="1:17" x14ac:dyDescent="0.2">
      <c r="A8644" s="121">
        <v>42094</v>
      </c>
      <c r="B8644" t="s">
        <v>406</v>
      </c>
      <c r="C8644" t="s">
        <v>451</v>
      </c>
      <c r="D8644" t="s">
        <v>622</v>
      </c>
      <c r="E8644" t="s">
        <v>623</v>
      </c>
      <c r="F8644" t="s">
        <v>413</v>
      </c>
      <c r="G8644">
        <v>5099</v>
      </c>
      <c r="H8644">
        <v>5099</v>
      </c>
      <c r="I8644">
        <v>4681</v>
      </c>
      <c r="J8644">
        <v>4681</v>
      </c>
      <c r="K8644">
        <v>1280</v>
      </c>
      <c r="L8644">
        <v>10</v>
      </c>
      <c r="M8644">
        <v>3419</v>
      </c>
      <c r="N8644">
        <v>43</v>
      </c>
      <c r="O8644">
        <v>347</v>
      </c>
      <c r="P8644">
        <v>27</v>
      </c>
      <c r="Q8644">
        <v>0</v>
      </c>
    </row>
    <row r="8645" spans="1:17" x14ac:dyDescent="0.2">
      <c r="A8645" s="121">
        <v>42094</v>
      </c>
      <c r="B8645" t="s">
        <v>406</v>
      </c>
      <c r="C8645" t="s">
        <v>456</v>
      </c>
      <c r="D8645" t="s">
        <v>457</v>
      </c>
      <c r="E8645" t="s">
        <v>458</v>
      </c>
      <c r="F8645" t="s">
        <v>413</v>
      </c>
      <c r="G8645">
        <v>4790</v>
      </c>
      <c r="H8645">
        <v>4790</v>
      </c>
      <c r="I8645">
        <v>4316</v>
      </c>
      <c r="J8645">
        <v>4316</v>
      </c>
      <c r="K8645">
        <v>1243</v>
      </c>
      <c r="L8645">
        <v>8</v>
      </c>
      <c r="M8645">
        <v>3117</v>
      </c>
      <c r="N8645">
        <v>29</v>
      </c>
      <c r="O8645">
        <v>393</v>
      </c>
      <c r="P8645">
        <v>43</v>
      </c>
      <c r="Q8645">
        <v>2</v>
      </c>
    </row>
    <row r="8646" spans="1:17" x14ac:dyDescent="0.2">
      <c r="A8646" s="121">
        <v>42094</v>
      </c>
      <c r="B8646" t="s">
        <v>406</v>
      </c>
      <c r="C8646" t="s">
        <v>456</v>
      </c>
      <c r="D8646" t="s">
        <v>459</v>
      </c>
      <c r="E8646" t="s">
        <v>460</v>
      </c>
      <c r="F8646" t="s">
        <v>413</v>
      </c>
      <c r="G8646">
        <v>1731</v>
      </c>
      <c r="H8646">
        <v>1731</v>
      </c>
      <c r="I8646">
        <v>1688</v>
      </c>
      <c r="J8646">
        <v>1688</v>
      </c>
      <c r="K8646">
        <v>409</v>
      </c>
      <c r="L8646">
        <v>1</v>
      </c>
      <c r="M8646">
        <v>1320</v>
      </c>
      <c r="N8646">
        <v>0</v>
      </c>
      <c r="O8646">
        <v>1</v>
      </c>
      <c r="P8646">
        <v>0</v>
      </c>
      <c r="Q8646">
        <v>0</v>
      </c>
    </row>
    <row r="8647" spans="1:17" x14ac:dyDescent="0.2">
      <c r="A8647" s="121">
        <v>42094</v>
      </c>
      <c r="B8647" t="s">
        <v>406</v>
      </c>
      <c r="C8647" t="s">
        <v>456</v>
      </c>
      <c r="D8647" t="s">
        <v>461</v>
      </c>
      <c r="E8647" t="s">
        <v>462</v>
      </c>
      <c r="F8647" t="s">
        <v>410</v>
      </c>
      <c r="G8647">
        <v>60</v>
      </c>
      <c r="I8647">
        <v>60</v>
      </c>
    </row>
    <row r="8648" spans="1:17" x14ac:dyDescent="0.2">
      <c r="A8648" s="121">
        <v>42094</v>
      </c>
      <c r="B8648" t="s">
        <v>406</v>
      </c>
      <c r="C8648" t="s">
        <v>456</v>
      </c>
      <c r="D8648" t="s">
        <v>463</v>
      </c>
      <c r="E8648" t="s">
        <v>464</v>
      </c>
      <c r="F8648" t="s">
        <v>410</v>
      </c>
      <c r="G8648">
        <v>10</v>
      </c>
      <c r="I8648">
        <v>10</v>
      </c>
    </row>
    <row r="8649" spans="1:17" x14ac:dyDescent="0.2">
      <c r="A8649" s="121">
        <v>42094</v>
      </c>
      <c r="B8649" t="s">
        <v>406</v>
      </c>
      <c r="C8649" t="s">
        <v>456</v>
      </c>
      <c r="D8649" t="s">
        <v>465</v>
      </c>
      <c r="E8649" t="s">
        <v>466</v>
      </c>
      <c r="F8649" t="s">
        <v>410</v>
      </c>
      <c r="G8649">
        <v>35</v>
      </c>
      <c r="I8649">
        <v>35</v>
      </c>
    </row>
    <row r="8650" spans="1:17" x14ac:dyDescent="0.2">
      <c r="A8650" s="121">
        <v>42094</v>
      </c>
      <c r="B8650" t="s">
        <v>406</v>
      </c>
      <c r="C8650" t="s">
        <v>456</v>
      </c>
      <c r="D8650" t="s">
        <v>467</v>
      </c>
      <c r="E8650" t="s">
        <v>468</v>
      </c>
      <c r="F8650" t="s">
        <v>410</v>
      </c>
      <c r="G8650">
        <v>1421</v>
      </c>
      <c r="I8650">
        <v>1419</v>
      </c>
    </row>
    <row r="8651" spans="1:17" x14ac:dyDescent="0.2">
      <c r="A8651" s="121">
        <v>42094</v>
      </c>
      <c r="B8651" t="s">
        <v>406</v>
      </c>
      <c r="C8651" t="s">
        <v>456</v>
      </c>
      <c r="D8651" t="s">
        <v>469</v>
      </c>
      <c r="E8651" t="s">
        <v>470</v>
      </c>
      <c r="F8651" t="s">
        <v>410</v>
      </c>
      <c r="G8651">
        <v>854</v>
      </c>
      <c r="I8651">
        <v>851</v>
      </c>
    </row>
    <row r="8652" spans="1:17" x14ac:dyDescent="0.2">
      <c r="A8652" s="121">
        <v>42094</v>
      </c>
      <c r="B8652" t="s">
        <v>406</v>
      </c>
      <c r="C8652" t="s">
        <v>456</v>
      </c>
      <c r="D8652" t="s">
        <v>471</v>
      </c>
      <c r="E8652" t="s">
        <v>472</v>
      </c>
      <c r="F8652" t="s">
        <v>410</v>
      </c>
      <c r="G8652">
        <v>276</v>
      </c>
      <c r="I8652">
        <v>275</v>
      </c>
    </row>
    <row r="8653" spans="1:17" x14ac:dyDescent="0.2">
      <c r="A8653" s="121">
        <v>42094</v>
      </c>
      <c r="B8653" t="s">
        <v>406</v>
      </c>
      <c r="C8653" t="s">
        <v>456</v>
      </c>
      <c r="D8653" t="s">
        <v>473</v>
      </c>
      <c r="E8653" t="s">
        <v>474</v>
      </c>
      <c r="F8653" t="s">
        <v>410</v>
      </c>
      <c r="G8653">
        <v>163</v>
      </c>
      <c r="I8653">
        <v>163</v>
      </c>
    </row>
    <row r="8654" spans="1:17" x14ac:dyDescent="0.2">
      <c r="A8654" s="121">
        <v>42094</v>
      </c>
      <c r="B8654" t="s">
        <v>406</v>
      </c>
      <c r="C8654" t="s">
        <v>456</v>
      </c>
      <c r="D8654" t="s">
        <v>475</v>
      </c>
      <c r="E8654" t="s">
        <v>476</v>
      </c>
      <c r="F8654" t="s">
        <v>410</v>
      </c>
      <c r="G8654">
        <v>241</v>
      </c>
      <c r="I8654">
        <v>236</v>
      </c>
    </row>
    <row r="8655" spans="1:17" x14ac:dyDescent="0.2">
      <c r="A8655" s="121">
        <v>42094</v>
      </c>
      <c r="B8655" t="s">
        <v>406</v>
      </c>
      <c r="C8655" t="s">
        <v>456</v>
      </c>
      <c r="D8655" t="s">
        <v>477</v>
      </c>
      <c r="E8655" t="s">
        <v>478</v>
      </c>
      <c r="F8655" t="s">
        <v>413</v>
      </c>
      <c r="G8655">
        <v>2034</v>
      </c>
      <c r="H8655">
        <v>2034</v>
      </c>
      <c r="I8655">
        <v>1959</v>
      </c>
      <c r="J8655">
        <v>1959</v>
      </c>
      <c r="K8655">
        <v>400</v>
      </c>
      <c r="L8655">
        <v>2</v>
      </c>
      <c r="M8655">
        <v>1626</v>
      </c>
      <c r="N8655">
        <v>5</v>
      </c>
      <c r="O8655">
        <v>1</v>
      </c>
      <c r="P8655">
        <v>4</v>
      </c>
      <c r="Q8655">
        <v>0</v>
      </c>
    </row>
    <row r="8656" spans="1:17" x14ac:dyDescent="0.2">
      <c r="A8656" s="121">
        <v>42094</v>
      </c>
      <c r="B8656" t="s">
        <v>406</v>
      </c>
      <c r="C8656" t="s">
        <v>456</v>
      </c>
      <c r="D8656" t="s">
        <v>479</v>
      </c>
      <c r="E8656" t="s">
        <v>480</v>
      </c>
      <c r="F8656" t="s">
        <v>410</v>
      </c>
      <c r="G8656">
        <v>39</v>
      </c>
      <c r="I8656">
        <v>39</v>
      </c>
    </row>
    <row r="8657" spans="1:17" x14ac:dyDescent="0.2">
      <c r="A8657" s="121">
        <v>42094</v>
      </c>
      <c r="B8657" t="s">
        <v>406</v>
      </c>
      <c r="C8657" t="s">
        <v>456</v>
      </c>
      <c r="D8657" t="s">
        <v>481</v>
      </c>
      <c r="E8657" t="s">
        <v>482</v>
      </c>
      <c r="F8657" t="s">
        <v>410</v>
      </c>
      <c r="G8657">
        <v>39</v>
      </c>
      <c r="I8657">
        <v>39</v>
      </c>
    </row>
    <row r="8658" spans="1:17" x14ac:dyDescent="0.2">
      <c r="A8658" s="121">
        <v>42094</v>
      </c>
      <c r="B8658" t="s">
        <v>406</v>
      </c>
      <c r="C8658" t="s">
        <v>456</v>
      </c>
      <c r="D8658" t="s">
        <v>483</v>
      </c>
      <c r="E8658" t="s">
        <v>484</v>
      </c>
      <c r="F8658" t="s">
        <v>410</v>
      </c>
      <c r="G8658">
        <v>84</v>
      </c>
      <c r="I8658">
        <v>84</v>
      </c>
    </row>
    <row r="8659" spans="1:17" x14ac:dyDescent="0.2">
      <c r="A8659" s="121">
        <v>42094</v>
      </c>
      <c r="B8659" t="s">
        <v>406</v>
      </c>
      <c r="C8659" t="s">
        <v>456</v>
      </c>
      <c r="D8659" t="s">
        <v>487</v>
      </c>
      <c r="E8659" t="s">
        <v>488</v>
      </c>
      <c r="F8659" t="s">
        <v>410</v>
      </c>
      <c r="G8659">
        <v>23</v>
      </c>
      <c r="I8659">
        <v>23</v>
      </c>
    </row>
    <row r="8660" spans="1:17" x14ac:dyDescent="0.2">
      <c r="A8660" s="121">
        <v>42094</v>
      </c>
      <c r="B8660" t="s">
        <v>406</v>
      </c>
      <c r="C8660" t="s">
        <v>456</v>
      </c>
      <c r="D8660" t="s">
        <v>489</v>
      </c>
      <c r="E8660" t="s">
        <v>490</v>
      </c>
      <c r="F8660" t="s">
        <v>410</v>
      </c>
      <c r="G8660">
        <v>113</v>
      </c>
      <c r="I8660">
        <v>113</v>
      </c>
    </row>
    <row r="8661" spans="1:17" x14ac:dyDescent="0.2">
      <c r="A8661" s="121">
        <v>42094</v>
      </c>
      <c r="B8661" t="s">
        <v>406</v>
      </c>
      <c r="C8661" t="s">
        <v>456</v>
      </c>
      <c r="D8661" t="s">
        <v>628</v>
      </c>
      <c r="E8661" t="s">
        <v>629</v>
      </c>
      <c r="F8661" t="s">
        <v>410</v>
      </c>
      <c r="G8661">
        <v>51</v>
      </c>
      <c r="I8661">
        <v>51</v>
      </c>
    </row>
    <row r="8662" spans="1:17" x14ac:dyDescent="0.2">
      <c r="A8662" s="121">
        <v>42094</v>
      </c>
      <c r="B8662" t="s">
        <v>406</v>
      </c>
      <c r="C8662" t="s">
        <v>491</v>
      </c>
      <c r="D8662" t="s">
        <v>492</v>
      </c>
      <c r="E8662" t="s">
        <v>493</v>
      </c>
      <c r="F8662" t="s">
        <v>410</v>
      </c>
      <c r="G8662">
        <v>1361</v>
      </c>
      <c r="H8662">
        <v>1361</v>
      </c>
      <c r="I8662">
        <v>1258</v>
      </c>
      <c r="J8662">
        <v>1258</v>
      </c>
      <c r="K8662">
        <v>221</v>
      </c>
      <c r="L8662">
        <v>2</v>
      </c>
      <c r="M8662">
        <v>1040</v>
      </c>
      <c r="N8662">
        <v>84</v>
      </c>
      <c r="O8662">
        <v>14</v>
      </c>
      <c r="P8662">
        <v>1</v>
      </c>
      <c r="Q8662">
        <v>0</v>
      </c>
    </row>
    <row r="8663" spans="1:17" x14ac:dyDescent="0.2">
      <c r="A8663" s="121">
        <v>42094</v>
      </c>
      <c r="B8663" t="s">
        <v>406</v>
      </c>
      <c r="C8663" t="s">
        <v>491</v>
      </c>
      <c r="D8663" t="s">
        <v>494</v>
      </c>
      <c r="E8663" t="s">
        <v>495</v>
      </c>
      <c r="F8663" t="s">
        <v>413</v>
      </c>
      <c r="G8663">
        <v>2646</v>
      </c>
      <c r="H8663">
        <v>2646</v>
      </c>
      <c r="I8663">
        <v>2418</v>
      </c>
      <c r="J8663">
        <v>2418</v>
      </c>
      <c r="K8663">
        <v>727</v>
      </c>
      <c r="L8663">
        <v>4</v>
      </c>
      <c r="M8663">
        <v>1721</v>
      </c>
      <c r="N8663">
        <v>32</v>
      </c>
      <c r="O8663">
        <v>162</v>
      </c>
      <c r="P8663">
        <v>6</v>
      </c>
      <c r="Q8663">
        <v>0</v>
      </c>
    </row>
    <row r="8664" spans="1:17" x14ac:dyDescent="0.2">
      <c r="A8664" s="121">
        <v>42094</v>
      </c>
      <c r="B8664" t="s">
        <v>406</v>
      </c>
      <c r="C8664" t="s">
        <v>491</v>
      </c>
      <c r="D8664" t="s">
        <v>496</v>
      </c>
      <c r="E8664" t="s">
        <v>497</v>
      </c>
      <c r="F8664" t="s">
        <v>413</v>
      </c>
      <c r="G8664">
        <v>5673</v>
      </c>
      <c r="H8664">
        <v>5673</v>
      </c>
      <c r="I8664">
        <v>4870</v>
      </c>
      <c r="J8664">
        <v>4870</v>
      </c>
      <c r="K8664">
        <v>1953</v>
      </c>
      <c r="L8664">
        <v>13</v>
      </c>
      <c r="M8664">
        <v>3465</v>
      </c>
      <c r="N8664">
        <v>117</v>
      </c>
      <c r="O8664">
        <v>125</v>
      </c>
      <c r="P8664">
        <v>67</v>
      </c>
      <c r="Q8664">
        <v>0</v>
      </c>
    </row>
    <row r="8665" spans="1:17" x14ac:dyDescent="0.2">
      <c r="A8665" s="121">
        <v>42094</v>
      </c>
      <c r="B8665" t="s">
        <v>406</v>
      </c>
      <c r="C8665" t="s">
        <v>491</v>
      </c>
      <c r="D8665" t="s">
        <v>498</v>
      </c>
      <c r="E8665" t="s">
        <v>499</v>
      </c>
      <c r="F8665" t="s">
        <v>413</v>
      </c>
      <c r="G8665">
        <v>6858</v>
      </c>
      <c r="H8665">
        <v>6858</v>
      </c>
      <c r="I8665">
        <v>5821</v>
      </c>
      <c r="J8665">
        <v>5821</v>
      </c>
      <c r="K8665">
        <v>2252</v>
      </c>
      <c r="L8665">
        <v>19</v>
      </c>
      <c r="M8665">
        <v>4178</v>
      </c>
      <c r="N8665">
        <v>118</v>
      </c>
      <c r="O8665">
        <v>291</v>
      </c>
      <c r="P8665">
        <v>28</v>
      </c>
      <c r="Q8665">
        <v>0</v>
      </c>
    </row>
    <row r="8666" spans="1:17" x14ac:dyDescent="0.2">
      <c r="A8666" s="121">
        <v>42094</v>
      </c>
      <c r="B8666" t="s">
        <v>406</v>
      </c>
      <c r="C8666" t="s">
        <v>491</v>
      </c>
      <c r="D8666" t="s">
        <v>500</v>
      </c>
      <c r="E8666" t="s">
        <v>620</v>
      </c>
      <c r="F8666" t="s">
        <v>410</v>
      </c>
      <c r="G8666">
        <v>1569</v>
      </c>
      <c r="H8666">
        <v>1569</v>
      </c>
      <c r="I8666">
        <v>1568</v>
      </c>
      <c r="J8666">
        <v>1568</v>
      </c>
      <c r="K8666">
        <v>0</v>
      </c>
      <c r="L8666">
        <v>0</v>
      </c>
      <c r="M8666">
        <v>1449</v>
      </c>
      <c r="N8666">
        <v>96</v>
      </c>
      <c r="O8666">
        <v>24</v>
      </c>
      <c r="P8666">
        <v>0</v>
      </c>
      <c r="Q8666">
        <v>0</v>
      </c>
    </row>
    <row r="8667" spans="1:17" x14ac:dyDescent="0.2">
      <c r="A8667" s="121">
        <v>42094</v>
      </c>
      <c r="B8667" t="s">
        <v>406</v>
      </c>
      <c r="C8667" t="s">
        <v>491</v>
      </c>
      <c r="D8667" t="s">
        <v>502</v>
      </c>
      <c r="E8667" t="s">
        <v>615</v>
      </c>
      <c r="F8667" t="s">
        <v>410</v>
      </c>
      <c r="G8667">
        <v>1996</v>
      </c>
      <c r="H8667">
        <v>1996</v>
      </c>
      <c r="I8667">
        <v>1996</v>
      </c>
      <c r="J8667">
        <v>1996</v>
      </c>
      <c r="K8667">
        <v>0</v>
      </c>
      <c r="L8667">
        <v>0</v>
      </c>
      <c r="M8667">
        <v>1904</v>
      </c>
      <c r="N8667">
        <v>87</v>
      </c>
      <c r="O8667">
        <v>5</v>
      </c>
      <c r="P8667">
        <v>0</v>
      </c>
      <c r="Q8667">
        <v>0</v>
      </c>
    </row>
    <row r="8668" spans="1:17" x14ac:dyDescent="0.2">
      <c r="A8668" s="121">
        <v>42094</v>
      </c>
      <c r="B8668" t="s">
        <v>406</v>
      </c>
      <c r="C8668" t="s">
        <v>491</v>
      </c>
      <c r="D8668" t="s">
        <v>502</v>
      </c>
      <c r="E8668" t="s">
        <v>503</v>
      </c>
      <c r="F8668" t="s">
        <v>413</v>
      </c>
      <c r="G8668">
        <v>4959</v>
      </c>
      <c r="H8668">
        <v>4959</v>
      </c>
      <c r="I8668">
        <v>4250</v>
      </c>
      <c r="J8668">
        <v>4250</v>
      </c>
      <c r="K8668">
        <v>1644</v>
      </c>
      <c r="L8668">
        <v>15</v>
      </c>
      <c r="M8668">
        <v>2941</v>
      </c>
      <c r="N8668">
        <v>265</v>
      </c>
      <c r="O8668">
        <v>94</v>
      </c>
      <c r="P8668">
        <v>57</v>
      </c>
      <c r="Q8668">
        <v>7</v>
      </c>
    </row>
    <row r="8669" spans="1:17" x14ac:dyDescent="0.2">
      <c r="A8669" s="121">
        <v>42094</v>
      </c>
      <c r="B8669" t="s">
        <v>406</v>
      </c>
      <c r="C8669" t="s">
        <v>491</v>
      </c>
      <c r="D8669" t="s">
        <v>504</v>
      </c>
      <c r="E8669" t="s">
        <v>505</v>
      </c>
      <c r="F8669" t="s">
        <v>413</v>
      </c>
      <c r="G8669">
        <v>3903</v>
      </c>
      <c r="H8669">
        <v>3903</v>
      </c>
      <c r="I8669">
        <v>3473</v>
      </c>
      <c r="J8669">
        <v>3473</v>
      </c>
      <c r="K8669">
        <v>1172</v>
      </c>
      <c r="L8669">
        <v>8</v>
      </c>
      <c r="M8669">
        <v>2517</v>
      </c>
      <c r="N8669">
        <v>131</v>
      </c>
      <c r="O8669">
        <v>75</v>
      </c>
      <c r="P8669">
        <v>19</v>
      </c>
      <c r="Q8669">
        <v>0</v>
      </c>
    </row>
    <row r="8670" spans="1:17" x14ac:dyDescent="0.2">
      <c r="A8670" s="121">
        <v>42094</v>
      </c>
      <c r="B8670" t="s">
        <v>406</v>
      </c>
      <c r="C8670" t="s">
        <v>491</v>
      </c>
      <c r="D8670" t="s">
        <v>506</v>
      </c>
      <c r="E8670" t="s">
        <v>507</v>
      </c>
      <c r="F8670" t="s">
        <v>413</v>
      </c>
      <c r="G8670">
        <v>4413</v>
      </c>
      <c r="H8670">
        <v>4413</v>
      </c>
      <c r="I8670">
        <v>4364</v>
      </c>
      <c r="J8670">
        <v>4364</v>
      </c>
      <c r="K8670">
        <v>1221</v>
      </c>
      <c r="L8670">
        <v>3</v>
      </c>
      <c r="M8670">
        <v>3185</v>
      </c>
      <c r="N8670">
        <v>2</v>
      </c>
      <c r="O8670">
        <v>2</v>
      </c>
      <c r="P8670">
        <v>0</v>
      </c>
      <c r="Q8670">
        <v>0</v>
      </c>
    </row>
    <row r="8671" spans="1:17" x14ac:dyDescent="0.2">
      <c r="A8671" s="121">
        <v>42094</v>
      </c>
      <c r="B8671" t="s">
        <v>406</v>
      </c>
      <c r="C8671" t="s">
        <v>491</v>
      </c>
      <c r="D8671" t="s">
        <v>508</v>
      </c>
      <c r="E8671" t="s">
        <v>509</v>
      </c>
      <c r="F8671" t="s">
        <v>413</v>
      </c>
      <c r="G8671">
        <v>4865</v>
      </c>
      <c r="H8671">
        <v>4865</v>
      </c>
      <c r="I8671">
        <v>3842</v>
      </c>
      <c r="J8671">
        <v>3842</v>
      </c>
      <c r="K8671">
        <v>1561</v>
      </c>
      <c r="L8671">
        <v>12</v>
      </c>
      <c r="M8671">
        <v>2968</v>
      </c>
      <c r="N8671">
        <v>177</v>
      </c>
      <c r="O8671">
        <v>147</v>
      </c>
      <c r="P8671">
        <v>119</v>
      </c>
      <c r="Q8671">
        <v>1</v>
      </c>
    </row>
    <row r="8672" spans="1:17" x14ac:dyDescent="0.2">
      <c r="A8672" s="121">
        <v>42094</v>
      </c>
      <c r="B8672" t="s">
        <v>406</v>
      </c>
      <c r="C8672" t="s">
        <v>510</v>
      </c>
      <c r="D8672" t="s">
        <v>513</v>
      </c>
      <c r="E8672" t="s">
        <v>514</v>
      </c>
      <c r="F8672" t="s">
        <v>410</v>
      </c>
      <c r="G8672">
        <v>573</v>
      </c>
      <c r="I8672">
        <v>569</v>
      </c>
    </row>
    <row r="8673" spans="1:17" x14ac:dyDescent="0.2">
      <c r="A8673" s="121">
        <v>42094</v>
      </c>
      <c r="B8673" t="s">
        <v>406</v>
      </c>
      <c r="C8673" t="s">
        <v>510</v>
      </c>
      <c r="D8673" t="s">
        <v>515</v>
      </c>
      <c r="E8673" t="s">
        <v>516</v>
      </c>
      <c r="F8673" t="s">
        <v>410</v>
      </c>
      <c r="G8673">
        <v>102</v>
      </c>
      <c r="I8673">
        <v>102</v>
      </c>
    </row>
    <row r="8674" spans="1:17" x14ac:dyDescent="0.2">
      <c r="A8674" s="121">
        <v>42094</v>
      </c>
      <c r="B8674" t="s">
        <v>406</v>
      </c>
      <c r="C8674" t="s">
        <v>510</v>
      </c>
      <c r="D8674" t="s">
        <v>519</v>
      </c>
      <c r="E8674" t="s">
        <v>520</v>
      </c>
      <c r="F8674" t="s">
        <v>410</v>
      </c>
      <c r="G8674">
        <v>347</v>
      </c>
      <c r="I8674">
        <v>339</v>
      </c>
    </row>
    <row r="8675" spans="1:17" x14ac:dyDescent="0.2">
      <c r="A8675" s="121">
        <v>42094</v>
      </c>
      <c r="B8675" t="s">
        <v>406</v>
      </c>
      <c r="C8675" t="s">
        <v>510</v>
      </c>
      <c r="D8675" t="s">
        <v>523</v>
      </c>
      <c r="E8675" t="s">
        <v>524</v>
      </c>
      <c r="F8675" t="s">
        <v>413</v>
      </c>
      <c r="G8675">
        <v>543</v>
      </c>
      <c r="H8675">
        <v>543</v>
      </c>
      <c r="I8675">
        <v>531</v>
      </c>
      <c r="J8675">
        <v>531</v>
      </c>
      <c r="K8675">
        <v>124</v>
      </c>
      <c r="L8675">
        <v>1</v>
      </c>
      <c r="M8675">
        <v>408</v>
      </c>
      <c r="N8675">
        <v>10</v>
      </c>
      <c r="O8675">
        <v>0</v>
      </c>
      <c r="P8675">
        <v>0</v>
      </c>
      <c r="Q8675">
        <v>0</v>
      </c>
    </row>
    <row r="8676" spans="1:17" x14ac:dyDescent="0.2">
      <c r="A8676" s="121">
        <v>42094</v>
      </c>
      <c r="B8676" t="s">
        <v>406</v>
      </c>
      <c r="C8676" t="s">
        <v>510</v>
      </c>
      <c r="D8676" t="s">
        <v>525</v>
      </c>
      <c r="E8676" t="s">
        <v>526</v>
      </c>
      <c r="F8676" t="s">
        <v>410</v>
      </c>
      <c r="G8676">
        <v>498</v>
      </c>
      <c r="I8676">
        <v>494</v>
      </c>
    </row>
    <row r="8677" spans="1:17" x14ac:dyDescent="0.2">
      <c r="A8677" s="121">
        <v>42094</v>
      </c>
      <c r="B8677" t="s">
        <v>406</v>
      </c>
      <c r="C8677" t="s">
        <v>510</v>
      </c>
      <c r="D8677" t="s">
        <v>527</v>
      </c>
      <c r="E8677" t="s">
        <v>528</v>
      </c>
      <c r="F8677" t="s">
        <v>410</v>
      </c>
      <c r="G8677">
        <v>201</v>
      </c>
      <c r="I8677">
        <v>201</v>
      </c>
    </row>
    <row r="8678" spans="1:17" x14ac:dyDescent="0.2">
      <c r="A8678" s="121">
        <v>42094</v>
      </c>
      <c r="B8678" t="s">
        <v>406</v>
      </c>
      <c r="C8678" t="s">
        <v>510</v>
      </c>
      <c r="D8678" t="s">
        <v>529</v>
      </c>
      <c r="E8678" t="s">
        <v>530</v>
      </c>
      <c r="F8678" t="s">
        <v>413</v>
      </c>
      <c r="G8678">
        <v>547</v>
      </c>
      <c r="H8678">
        <v>547</v>
      </c>
      <c r="I8678">
        <v>519</v>
      </c>
      <c r="J8678">
        <v>519</v>
      </c>
      <c r="K8678">
        <v>152</v>
      </c>
      <c r="L8678">
        <v>1</v>
      </c>
      <c r="M8678">
        <v>394</v>
      </c>
      <c r="N8678">
        <v>0</v>
      </c>
      <c r="O8678">
        <v>0</v>
      </c>
      <c r="P8678">
        <v>1</v>
      </c>
      <c r="Q8678">
        <v>0</v>
      </c>
    </row>
    <row r="8679" spans="1:17" x14ac:dyDescent="0.2">
      <c r="A8679" s="121">
        <v>42094</v>
      </c>
      <c r="B8679" t="s">
        <v>406</v>
      </c>
      <c r="C8679" t="s">
        <v>510</v>
      </c>
      <c r="D8679" t="s">
        <v>531</v>
      </c>
      <c r="E8679" t="s">
        <v>532</v>
      </c>
      <c r="F8679" t="s">
        <v>410</v>
      </c>
      <c r="G8679">
        <v>23</v>
      </c>
      <c r="I8679">
        <v>23</v>
      </c>
    </row>
    <row r="8680" spans="1:17" x14ac:dyDescent="0.2">
      <c r="A8680" s="121">
        <v>42094</v>
      </c>
      <c r="B8680" t="s">
        <v>406</v>
      </c>
      <c r="C8680" t="s">
        <v>510</v>
      </c>
      <c r="D8680" t="s">
        <v>533</v>
      </c>
      <c r="E8680" t="s">
        <v>534</v>
      </c>
      <c r="F8680" t="s">
        <v>413</v>
      </c>
      <c r="G8680">
        <v>2627</v>
      </c>
      <c r="H8680">
        <v>2627</v>
      </c>
      <c r="I8680">
        <v>2528</v>
      </c>
      <c r="J8680">
        <v>2528</v>
      </c>
      <c r="K8680">
        <v>656</v>
      </c>
      <c r="L8680">
        <v>6</v>
      </c>
      <c r="M8680">
        <v>1956</v>
      </c>
      <c r="N8680">
        <v>9</v>
      </c>
      <c r="O8680">
        <v>0</v>
      </c>
      <c r="P8680">
        <v>3</v>
      </c>
      <c r="Q8680">
        <v>0</v>
      </c>
    </row>
    <row r="8681" spans="1:17" x14ac:dyDescent="0.2">
      <c r="A8681" s="121">
        <v>42094</v>
      </c>
      <c r="B8681" t="s">
        <v>406</v>
      </c>
      <c r="C8681" t="s">
        <v>510</v>
      </c>
      <c r="D8681" t="s">
        <v>535</v>
      </c>
      <c r="E8681" t="s">
        <v>536</v>
      </c>
      <c r="F8681" t="s">
        <v>410</v>
      </c>
      <c r="G8681">
        <v>450</v>
      </c>
      <c r="I8681">
        <v>450</v>
      </c>
    </row>
    <row r="8682" spans="1:17" x14ac:dyDescent="0.2">
      <c r="A8682" s="121">
        <v>42094</v>
      </c>
      <c r="B8682" t="s">
        <v>406</v>
      </c>
      <c r="C8682" t="s">
        <v>510</v>
      </c>
      <c r="D8682" t="s">
        <v>537</v>
      </c>
      <c r="E8682" t="s">
        <v>538</v>
      </c>
      <c r="F8682" t="s">
        <v>410</v>
      </c>
      <c r="G8682">
        <v>76</v>
      </c>
      <c r="I8682">
        <v>76</v>
      </c>
    </row>
    <row r="8683" spans="1:17" x14ac:dyDescent="0.2">
      <c r="A8683" s="121">
        <v>42094</v>
      </c>
      <c r="B8683" t="s">
        <v>406</v>
      </c>
      <c r="C8683" t="s">
        <v>510</v>
      </c>
      <c r="D8683" t="s">
        <v>539</v>
      </c>
      <c r="E8683" t="s">
        <v>540</v>
      </c>
      <c r="F8683" t="s">
        <v>413</v>
      </c>
      <c r="G8683">
        <v>703</v>
      </c>
      <c r="H8683">
        <v>703</v>
      </c>
      <c r="I8683">
        <v>666</v>
      </c>
      <c r="J8683">
        <v>666</v>
      </c>
      <c r="K8683">
        <v>115</v>
      </c>
      <c r="L8683">
        <v>0</v>
      </c>
      <c r="M8683">
        <v>585</v>
      </c>
      <c r="N8683">
        <v>3</v>
      </c>
      <c r="O8683">
        <v>0</v>
      </c>
      <c r="P8683">
        <v>1</v>
      </c>
      <c r="Q8683">
        <v>0</v>
      </c>
    </row>
    <row r="8684" spans="1:17" x14ac:dyDescent="0.2">
      <c r="A8684" s="121">
        <v>42094</v>
      </c>
      <c r="B8684" t="s">
        <v>406</v>
      </c>
      <c r="C8684" t="s">
        <v>510</v>
      </c>
      <c r="D8684" t="s">
        <v>541</v>
      </c>
      <c r="E8684" t="s">
        <v>542</v>
      </c>
      <c r="F8684" t="s">
        <v>410</v>
      </c>
      <c r="G8684">
        <v>331</v>
      </c>
      <c r="I8684">
        <v>331</v>
      </c>
    </row>
    <row r="8685" spans="1:17" x14ac:dyDescent="0.2">
      <c r="A8685" s="121">
        <v>42094</v>
      </c>
      <c r="B8685" t="s">
        <v>406</v>
      </c>
      <c r="C8685" t="s">
        <v>510</v>
      </c>
      <c r="D8685" t="s">
        <v>543</v>
      </c>
      <c r="E8685" t="s">
        <v>544</v>
      </c>
      <c r="F8685" t="s">
        <v>410</v>
      </c>
      <c r="G8685">
        <v>174</v>
      </c>
      <c r="I8685">
        <v>174</v>
      </c>
    </row>
    <row r="8686" spans="1:17" x14ac:dyDescent="0.2">
      <c r="A8686" s="121">
        <v>42094</v>
      </c>
      <c r="B8686" t="s">
        <v>406</v>
      </c>
      <c r="C8686" t="s">
        <v>510</v>
      </c>
      <c r="D8686" t="s">
        <v>545</v>
      </c>
      <c r="E8686" t="s">
        <v>546</v>
      </c>
      <c r="F8686" t="s">
        <v>410</v>
      </c>
      <c r="G8686">
        <v>137</v>
      </c>
      <c r="I8686">
        <v>137</v>
      </c>
    </row>
    <row r="8687" spans="1:17" x14ac:dyDescent="0.2">
      <c r="A8687" s="121">
        <v>42094</v>
      </c>
      <c r="B8687" t="s">
        <v>406</v>
      </c>
      <c r="C8687" t="s">
        <v>510</v>
      </c>
      <c r="D8687" t="s">
        <v>547</v>
      </c>
      <c r="E8687" t="s">
        <v>548</v>
      </c>
      <c r="F8687" t="s">
        <v>410</v>
      </c>
      <c r="G8687">
        <v>164</v>
      </c>
      <c r="I8687">
        <v>164</v>
      </c>
    </row>
    <row r="8688" spans="1:17" x14ac:dyDescent="0.2">
      <c r="A8688" s="121">
        <v>42094</v>
      </c>
      <c r="B8688" t="s">
        <v>406</v>
      </c>
      <c r="C8688" t="s">
        <v>510</v>
      </c>
      <c r="D8688" t="s">
        <v>616</v>
      </c>
      <c r="E8688" t="s">
        <v>617</v>
      </c>
      <c r="F8688" t="s">
        <v>410</v>
      </c>
      <c r="G8688">
        <v>329</v>
      </c>
      <c r="I8688">
        <v>314</v>
      </c>
    </row>
    <row r="8689" spans="1:17" x14ac:dyDescent="0.2">
      <c r="A8689" s="121">
        <v>42094</v>
      </c>
      <c r="B8689" t="s">
        <v>406</v>
      </c>
      <c r="C8689" t="s">
        <v>510</v>
      </c>
      <c r="D8689" t="s">
        <v>549</v>
      </c>
      <c r="E8689" t="s">
        <v>550</v>
      </c>
      <c r="F8689" t="s">
        <v>410</v>
      </c>
      <c r="G8689">
        <v>140</v>
      </c>
      <c r="I8689">
        <v>140</v>
      </c>
    </row>
    <row r="8690" spans="1:17" x14ac:dyDescent="0.2">
      <c r="A8690" s="121">
        <v>42094</v>
      </c>
      <c r="B8690" t="s">
        <v>406</v>
      </c>
      <c r="C8690" t="s">
        <v>510</v>
      </c>
      <c r="D8690" t="s">
        <v>625</v>
      </c>
      <c r="E8690" t="s">
        <v>626</v>
      </c>
      <c r="F8690" t="s">
        <v>410</v>
      </c>
      <c r="G8690">
        <v>46</v>
      </c>
      <c r="I8690">
        <v>45</v>
      </c>
    </row>
    <row r="8691" spans="1:17" x14ac:dyDescent="0.2">
      <c r="A8691" s="121">
        <v>42094</v>
      </c>
      <c r="B8691" t="s">
        <v>406</v>
      </c>
      <c r="C8691" t="s">
        <v>551</v>
      </c>
      <c r="D8691" t="s">
        <v>552</v>
      </c>
      <c r="E8691" t="s">
        <v>553</v>
      </c>
      <c r="F8691" t="s">
        <v>413</v>
      </c>
      <c r="G8691">
        <v>5834</v>
      </c>
      <c r="H8691">
        <v>5834</v>
      </c>
      <c r="I8691">
        <v>5600</v>
      </c>
      <c r="J8691">
        <v>5600</v>
      </c>
      <c r="K8691">
        <v>1976</v>
      </c>
      <c r="L8691">
        <v>13</v>
      </c>
      <c r="M8691">
        <v>3648</v>
      </c>
      <c r="N8691">
        <v>99</v>
      </c>
      <c r="O8691">
        <v>98</v>
      </c>
      <c r="P8691">
        <v>0</v>
      </c>
      <c r="Q8691">
        <v>0</v>
      </c>
    </row>
    <row r="8692" spans="1:17" x14ac:dyDescent="0.2">
      <c r="A8692" s="121">
        <v>42094</v>
      </c>
      <c r="B8692" t="s">
        <v>406</v>
      </c>
      <c r="C8692" t="s">
        <v>551</v>
      </c>
      <c r="D8692" t="s">
        <v>554</v>
      </c>
      <c r="E8692" t="s">
        <v>555</v>
      </c>
      <c r="F8692" t="s">
        <v>410</v>
      </c>
      <c r="G8692">
        <v>47</v>
      </c>
      <c r="I8692">
        <v>47</v>
      </c>
    </row>
    <row r="8693" spans="1:17" x14ac:dyDescent="0.2">
      <c r="A8693" s="121">
        <v>42094</v>
      </c>
      <c r="B8693" t="s">
        <v>406</v>
      </c>
      <c r="C8693" t="s">
        <v>551</v>
      </c>
      <c r="D8693" t="s">
        <v>556</v>
      </c>
      <c r="E8693" t="s">
        <v>557</v>
      </c>
      <c r="F8693" t="s">
        <v>410</v>
      </c>
      <c r="G8693">
        <v>78</v>
      </c>
      <c r="I8693">
        <v>78</v>
      </c>
    </row>
    <row r="8694" spans="1:17" x14ac:dyDescent="0.2">
      <c r="A8694" s="121">
        <v>42094</v>
      </c>
      <c r="B8694" t="s">
        <v>406</v>
      </c>
      <c r="C8694" t="s">
        <v>551</v>
      </c>
      <c r="D8694" t="s">
        <v>558</v>
      </c>
      <c r="E8694" t="s">
        <v>559</v>
      </c>
      <c r="F8694" t="s">
        <v>413</v>
      </c>
      <c r="G8694">
        <v>4848</v>
      </c>
      <c r="H8694">
        <v>4848</v>
      </c>
      <c r="I8694">
        <v>4426</v>
      </c>
      <c r="J8694">
        <v>4426</v>
      </c>
      <c r="K8694">
        <v>1438</v>
      </c>
      <c r="L8694">
        <v>5</v>
      </c>
      <c r="M8694">
        <v>3279</v>
      </c>
      <c r="N8694">
        <v>113</v>
      </c>
      <c r="O8694">
        <v>13</v>
      </c>
      <c r="P8694">
        <v>79</v>
      </c>
      <c r="Q8694">
        <v>18</v>
      </c>
    </row>
    <row r="8695" spans="1:17" x14ac:dyDescent="0.2">
      <c r="A8695" s="121">
        <v>42094</v>
      </c>
      <c r="B8695" t="s">
        <v>406</v>
      </c>
      <c r="C8695" t="s">
        <v>551</v>
      </c>
      <c r="D8695" t="s">
        <v>560</v>
      </c>
      <c r="E8695" t="s">
        <v>561</v>
      </c>
      <c r="F8695" t="s">
        <v>413</v>
      </c>
      <c r="G8695">
        <v>5075</v>
      </c>
      <c r="H8695">
        <v>5075</v>
      </c>
      <c r="I8695">
        <v>4429</v>
      </c>
      <c r="J8695">
        <v>4429</v>
      </c>
      <c r="K8695">
        <v>1136</v>
      </c>
      <c r="L8695">
        <v>8</v>
      </c>
      <c r="M8695">
        <v>3740</v>
      </c>
      <c r="N8695">
        <v>96</v>
      </c>
      <c r="O8695">
        <v>95</v>
      </c>
      <c r="P8695">
        <v>101</v>
      </c>
      <c r="Q8695">
        <v>10</v>
      </c>
    </row>
    <row r="8696" spans="1:17" x14ac:dyDescent="0.2">
      <c r="A8696" s="121">
        <v>42094</v>
      </c>
      <c r="B8696" t="s">
        <v>406</v>
      </c>
      <c r="C8696" t="s">
        <v>562</v>
      </c>
      <c r="D8696" t="s">
        <v>605</v>
      </c>
      <c r="E8696" t="s">
        <v>606</v>
      </c>
      <c r="F8696" t="s">
        <v>410</v>
      </c>
      <c r="G8696">
        <v>97</v>
      </c>
      <c r="I8696">
        <v>97</v>
      </c>
    </row>
    <row r="8697" spans="1:17" x14ac:dyDescent="0.2">
      <c r="A8697" s="121">
        <v>42094</v>
      </c>
      <c r="B8697" t="s">
        <v>406</v>
      </c>
      <c r="C8697" t="s">
        <v>562</v>
      </c>
      <c r="D8697" t="s">
        <v>563</v>
      </c>
      <c r="E8697" t="s">
        <v>564</v>
      </c>
      <c r="F8697" t="s">
        <v>410</v>
      </c>
      <c r="G8697">
        <v>3510</v>
      </c>
      <c r="H8697">
        <v>3510</v>
      </c>
      <c r="I8697">
        <v>3048</v>
      </c>
      <c r="J8697">
        <v>3048</v>
      </c>
      <c r="K8697">
        <v>1146</v>
      </c>
      <c r="L8697">
        <v>1</v>
      </c>
      <c r="M8697">
        <v>2344</v>
      </c>
      <c r="N8697">
        <v>19</v>
      </c>
      <c r="O8697">
        <v>0</v>
      </c>
      <c r="P8697">
        <v>86</v>
      </c>
      <c r="Q8697">
        <v>22</v>
      </c>
    </row>
    <row r="8698" spans="1:17" x14ac:dyDescent="0.2">
      <c r="A8698" s="121">
        <v>42094</v>
      </c>
      <c r="B8698" t="s">
        <v>406</v>
      </c>
      <c r="C8698" t="s">
        <v>562</v>
      </c>
      <c r="D8698" t="s">
        <v>565</v>
      </c>
      <c r="E8698" t="s">
        <v>566</v>
      </c>
      <c r="F8698" t="s">
        <v>413</v>
      </c>
      <c r="G8698">
        <v>4613</v>
      </c>
      <c r="H8698">
        <v>4613</v>
      </c>
      <c r="I8698">
        <v>4283</v>
      </c>
      <c r="J8698">
        <v>4283</v>
      </c>
      <c r="K8698">
        <v>1109</v>
      </c>
      <c r="L8698">
        <v>5</v>
      </c>
      <c r="M8698">
        <v>3385</v>
      </c>
      <c r="N8698">
        <v>114</v>
      </c>
      <c r="O8698">
        <v>0</v>
      </c>
      <c r="P8698">
        <v>34</v>
      </c>
      <c r="Q8698">
        <v>3</v>
      </c>
    </row>
    <row r="8699" spans="1:17" x14ac:dyDescent="0.2">
      <c r="A8699" s="121">
        <v>42094</v>
      </c>
      <c r="B8699" t="s">
        <v>406</v>
      </c>
      <c r="C8699" t="s">
        <v>562</v>
      </c>
      <c r="D8699" t="s">
        <v>567</v>
      </c>
      <c r="E8699" t="s">
        <v>568</v>
      </c>
      <c r="F8699" t="s">
        <v>413</v>
      </c>
      <c r="G8699">
        <v>9635</v>
      </c>
      <c r="H8699">
        <v>9635</v>
      </c>
      <c r="I8699">
        <v>8879</v>
      </c>
      <c r="J8699">
        <v>8879</v>
      </c>
      <c r="K8699">
        <v>2935</v>
      </c>
      <c r="L8699">
        <v>26</v>
      </c>
      <c r="M8699">
        <v>6464</v>
      </c>
      <c r="N8699">
        <v>210</v>
      </c>
      <c r="O8699">
        <v>0</v>
      </c>
      <c r="P8699">
        <v>111</v>
      </c>
      <c r="Q8699">
        <v>4</v>
      </c>
    </row>
    <row r="8700" spans="1:17" x14ac:dyDescent="0.2">
      <c r="A8700" s="121">
        <v>42094</v>
      </c>
      <c r="B8700" t="s">
        <v>406</v>
      </c>
      <c r="C8700" t="s">
        <v>562</v>
      </c>
      <c r="D8700" t="s">
        <v>569</v>
      </c>
      <c r="E8700" t="s">
        <v>570</v>
      </c>
      <c r="F8700" t="s">
        <v>413</v>
      </c>
      <c r="G8700">
        <v>4151</v>
      </c>
      <c r="H8700">
        <v>4151</v>
      </c>
      <c r="I8700">
        <v>4081</v>
      </c>
      <c r="J8700">
        <v>4081</v>
      </c>
      <c r="K8700">
        <v>501</v>
      </c>
      <c r="L8700">
        <v>2</v>
      </c>
      <c r="M8700">
        <v>3648</v>
      </c>
      <c r="N8700">
        <v>0</v>
      </c>
      <c r="O8700">
        <v>0</v>
      </c>
      <c r="P8700">
        <v>1</v>
      </c>
      <c r="Q8700">
        <v>0</v>
      </c>
    </row>
    <row r="8701" spans="1:17" x14ac:dyDescent="0.2">
      <c r="A8701" s="121">
        <v>42094</v>
      </c>
      <c r="B8701" t="s">
        <v>406</v>
      </c>
      <c r="C8701" t="s">
        <v>571</v>
      </c>
      <c r="D8701" t="s">
        <v>572</v>
      </c>
      <c r="E8701" t="s">
        <v>627</v>
      </c>
      <c r="F8701" t="s">
        <v>413</v>
      </c>
      <c r="G8701">
        <v>391</v>
      </c>
      <c r="H8701">
        <v>391</v>
      </c>
      <c r="I8701">
        <v>390</v>
      </c>
      <c r="J8701">
        <v>390</v>
      </c>
      <c r="K8701">
        <v>146</v>
      </c>
      <c r="L8701">
        <v>0</v>
      </c>
      <c r="M8701">
        <v>245</v>
      </c>
      <c r="N8701">
        <v>0</v>
      </c>
      <c r="O8701">
        <v>0</v>
      </c>
      <c r="P8701">
        <v>0</v>
      </c>
      <c r="Q8701">
        <v>0</v>
      </c>
    </row>
    <row r="8702" spans="1:17" x14ac:dyDescent="0.2">
      <c r="A8702" s="121">
        <v>42094</v>
      </c>
      <c r="B8702" t="s">
        <v>406</v>
      </c>
      <c r="C8702" t="s">
        <v>574</v>
      </c>
      <c r="D8702" t="s">
        <v>575</v>
      </c>
      <c r="E8702" t="s">
        <v>576</v>
      </c>
      <c r="F8702" t="s">
        <v>413</v>
      </c>
      <c r="G8702">
        <v>654</v>
      </c>
      <c r="H8702">
        <v>654</v>
      </c>
      <c r="I8702">
        <v>636</v>
      </c>
      <c r="J8702">
        <v>636</v>
      </c>
      <c r="K8702">
        <v>175</v>
      </c>
      <c r="L8702">
        <v>0</v>
      </c>
      <c r="M8702">
        <v>454</v>
      </c>
      <c r="N8702">
        <v>5</v>
      </c>
      <c r="O8702">
        <v>20</v>
      </c>
      <c r="P8702">
        <v>0</v>
      </c>
      <c r="Q8702">
        <v>0</v>
      </c>
    </row>
    <row r="8703" spans="1:17" x14ac:dyDescent="0.2">
      <c r="A8703" s="121">
        <v>42094</v>
      </c>
      <c r="B8703" t="s">
        <v>406</v>
      </c>
      <c r="C8703" t="s">
        <v>577</v>
      </c>
      <c r="D8703" t="s">
        <v>578</v>
      </c>
      <c r="E8703" t="s">
        <v>579</v>
      </c>
      <c r="F8703" t="s">
        <v>413</v>
      </c>
      <c r="G8703">
        <v>3886</v>
      </c>
      <c r="H8703">
        <v>3886</v>
      </c>
      <c r="I8703">
        <v>3862</v>
      </c>
      <c r="J8703">
        <v>3862</v>
      </c>
      <c r="K8703">
        <v>1061</v>
      </c>
      <c r="L8703">
        <v>12</v>
      </c>
      <c r="M8703">
        <v>2522</v>
      </c>
      <c r="N8703">
        <v>288</v>
      </c>
      <c r="O8703">
        <v>3</v>
      </c>
      <c r="P8703">
        <v>0</v>
      </c>
      <c r="Q8703">
        <v>0</v>
      </c>
    </row>
    <row r="8704" spans="1:17" x14ac:dyDescent="0.2">
      <c r="A8704" s="121">
        <v>42094</v>
      </c>
      <c r="B8704" t="s">
        <v>406</v>
      </c>
      <c r="C8704" t="s">
        <v>577</v>
      </c>
      <c r="D8704" t="s">
        <v>580</v>
      </c>
      <c r="E8704" t="s">
        <v>581</v>
      </c>
      <c r="F8704" t="s">
        <v>413</v>
      </c>
      <c r="G8704">
        <v>2107</v>
      </c>
      <c r="H8704">
        <v>2107</v>
      </c>
      <c r="I8704">
        <v>2071</v>
      </c>
      <c r="J8704">
        <v>2071</v>
      </c>
      <c r="K8704">
        <v>314</v>
      </c>
      <c r="L8704">
        <v>6</v>
      </c>
      <c r="M8704">
        <v>1385</v>
      </c>
      <c r="N8704">
        <v>402</v>
      </c>
      <c r="O8704">
        <v>0</v>
      </c>
      <c r="P8704">
        <v>1</v>
      </c>
      <c r="Q8704">
        <v>0</v>
      </c>
    </row>
    <row r="8705" spans="1:17" x14ac:dyDescent="0.2">
      <c r="A8705" s="121">
        <v>42094</v>
      </c>
      <c r="B8705" t="s">
        <v>406</v>
      </c>
      <c r="C8705" t="s">
        <v>577</v>
      </c>
      <c r="D8705" t="s">
        <v>609</v>
      </c>
      <c r="E8705" t="s">
        <v>610</v>
      </c>
      <c r="F8705" t="s">
        <v>410</v>
      </c>
      <c r="G8705">
        <v>23</v>
      </c>
      <c r="H8705">
        <v>23</v>
      </c>
      <c r="I8705">
        <v>23</v>
      </c>
      <c r="J8705">
        <v>23</v>
      </c>
      <c r="K8705">
        <v>0</v>
      </c>
      <c r="L8705">
        <v>0</v>
      </c>
      <c r="M8705">
        <v>22</v>
      </c>
      <c r="N8705">
        <v>1</v>
      </c>
      <c r="O8705">
        <v>0</v>
      </c>
      <c r="P8705">
        <v>0</v>
      </c>
      <c r="Q8705">
        <v>0</v>
      </c>
    </row>
    <row r="8706" spans="1:17" x14ac:dyDescent="0.2">
      <c r="A8706" s="121">
        <v>42094</v>
      </c>
      <c r="B8706" t="s">
        <v>406</v>
      </c>
      <c r="C8706" t="s">
        <v>577</v>
      </c>
      <c r="D8706" t="s">
        <v>611</v>
      </c>
      <c r="E8706" t="s">
        <v>612</v>
      </c>
      <c r="F8706" t="s">
        <v>410</v>
      </c>
      <c r="G8706">
        <v>7</v>
      </c>
      <c r="H8706">
        <v>7</v>
      </c>
      <c r="I8706">
        <v>7</v>
      </c>
      <c r="J8706">
        <v>7</v>
      </c>
      <c r="K8706">
        <v>0</v>
      </c>
      <c r="L8706">
        <v>0</v>
      </c>
      <c r="M8706">
        <v>5</v>
      </c>
      <c r="N8706">
        <v>2</v>
      </c>
      <c r="O8706">
        <v>0</v>
      </c>
      <c r="P8706">
        <v>0</v>
      </c>
      <c r="Q8706">
        <v>0</v>
      </c>
    </row>
    <row r="8707" spans="1:17" x14ac:dyDescent="0.2">
      <c r="A8707" s="121">
        <v>42094</v>
      </c>
      <c r="B8707" t="s">
        <v>406</v>
      </c>
      <c r="C8707" t="s">
        <v>577</v>
      </c>
      <c r="D8707" t="s">
        <v>584</v>
      </c>
      <c r="E8707" t="s">
        <v>585</v>
      </c>
      <c r="F8707" t="s">
        <v>410</v>
      </c>
      <c r="G8707">
        <v>267</v>
      </c>
      <c r="H8707">
        <v>267</v>
      </c>
      <c r="I8707">
        <v>266</v>
      </c>
      <c r="J8707">
        <v>266</v>
      </c>
      <c r="K8707">
        <v>0</v>
      </c>
      <c r="L8707">
        <v>0</v>
      </c>
      <c r="M8707">
        <v>257</v>
      </c>
      <c r="N8707">
        <v>9</v>
      </c>
      <c r="O8707">
        <v>1</v>
      </c>
      <c r="P8707">
        <v>0</v>
      </c>
      <c r="Q8707">
        <v>0</v>
      </c>
    </row>
    <row r="8708" spans="1:17" x14ac:dyDescent="0.2">
      <c r="A8708" s="121">
        <v>42094</v>
      </c>
      <c r="B8708" t="s">
        <v>406</v>
      </c>
      <c r="C8708" t="s">
        <v>577</v>
      </c>
      <c r="D8708" t="s">
        <v>586</v>
      </c>
      <c r="E8708" t="s">
        <v>587</v>
      </c>
      <c r="F8708" t="s">
        <v>410</v>
      </c>
      <c r="G8708">
        <v>1024</v>
      </c>
      <c r="H8708">
        <v>1024</v>
      </c>
      <c r="I8708">
        <v>1024</v>
      </c>
      <c r="J8708">
        <v>1024</v>
      </c>
      <c r="K8708">
        <v>0</v>
      </c>
      <c r="L8708">
        <v>0</v>
      </c>
      <c r="M8708">
        <v>936</v>
      </c>
      <c r="N8708">
        <v>84</v>
      </c>
      <c r="O8708">
        <v>4</v>
      </c>
      <c r="P8708">
        <v>0</v>
      </c>
      <c r="Q8708">
        <v>0</v>
      </c>
    </row>
    <row r="8709" spans="1:17" x14ac:dyDescent="0.2">
      <c r="A8709" s="121">
        <v>42094</v>
      </c>
      <c r="B8709" t="s">
        <v>406</v>
      </c>
      <c r="C8709" t="s">
        <v>577</v>
      </c>
      <c r="D8709" t="s">
        <v>588</v>
      </c>
      <c r="E8709" t="s">
        <v>589</v>
      </c>
      <c r="F8709" t="s">
        <v>410</v>
      </c>
      <c r="G8709">
        <v>265</v>
      </c>
      <c r="H8709">
        <v>265</v>
      </c>
      <c r="I8709">
        <v>265</v>
      </c>
      <c r="J8709">
        <v>265</v>
      </c>
      <c r="K8709">
        <v>0</v>
      </c>
      <c r="L8709">
        <v>0</v>
      </c>
      <c r="M8709">
        <v>245</v>
      </c>
      <c r="N8709">
        <v>20</v>
      </c>
      <c r="O8709">
        <v>0</v>
      </c>
      <c r="P8709">
        <v>0</v>
      </c>
      <c r="Q8709">
        <v>0</v>
      </c>
    </row>
    <row r="8710" spans="1:17" x14ac:dyDescent="0.2">
      <c r="A8710" s="121">
        <v>42094</v>
      </c>
      <c r="B8710" t="s">
        <v>406</v>
      </c>
      <c r="C8710" t="s">
        <v>577</v>
      </c>
      <c r="D8710" t="s">
        <v>613</v>
      </c>
      <c r="E8710" t="s">
        <v>614</v>
      </c>
      <c r="F8710" t="s">
        <v>410</v>
      </c>
      <c r="G8710">
        <v>118</v>
      </c>
      <c r="H8710">
        <v>118</v>
      </c>
      <c r="I8710">
        <v>118</v>
      </c>
      <c r="J8710">
        <v>118</v>
      </c>
      <c r="K8710">
        <v>0</v>
      </c>
      <c r="L8710">
        <v>0</v>
      </c>
      <c r="M8710">
        <v>98</v>
      </c>
      <c r="N8710">
        <v>11</v>
      </c>
      <c r="O8710">
        <v>9</v>
      </c>
      <c r="P8710">
        <v>0</v>
      </c>
      <c r="Q8710">
        <v>0</v>
      </c>
    </row>
    <row r="8711" spans="1:17" x14ac:dyDescent="0.2">
      <c r="A8711" s="121">
        <v>42094</v>
      </c>
      <c r="B8711" t="s">
        <v>406</v>
      </c>
      <c r="C8711" t="s">
        <v>577</v>
      </c>
      <c r="D8711" t="s">
        <v>590</v>
      </c>
      <c r="E8711" t="s">
        <v>591</v>
      </c>
      <c r="F8711" t="s">
        <v>410</v>
      </c>
      <c r="G8711">
        <v>664</v>
      </c>
      <c r="H8711">
        <v>664</v>
      </c>
      <c r="I8711">
        <v>664</v>
      </c>
      <c r="J8711">
        <v>664</v>
      </c>
      <c r="K8711">
        <v>0</v>
      </c>
      <c r="L8711">
        <v>0</v>
      </c>
      <c r="M8711">
        <v>619</v>
      </c>
      <c r="N8711">
        <v>45</v>
      </c>
      <c r="O8711">
        <v>0</v>
      </c>
      <c r="P8711">
        <v>0</v>
      </c>
      <c r="Q8711">
        <v>0</v>
      </c>
    </row>
    <row r="8712" spans="1:17" x14ac:dyDescent="0.2">
      <c r="A8712" s="121">
        <v>42094</v>
      </c>
      <c r="B8712" t="s">
        <v>406</v>
      </c>
      <c r="C8712" t="s">
        <v>577</v>
      </c>
      <c r="D8712" t="s">
        <v>607</v>
      </c>
      <c r="E8712" t="s">
        <v>608</v>
      </c>
      <c r="F8712" t="s">
        <v>410</v>
      </c>
      <c r="G8712">
        <v>107</v>
      </c>
      <c r="H8712">
        <v>107</v>
      </c>
      <c r="I8712">
        <v>107</v>
      </c>
      <c r="J8712">
        <v>107</v>
      </c>
      <c r="K8712">
        <v>0</v>
      </c>
      <c r="L8712">
        <v>0</v>
      </c>
      <c r="M8712">
        <v>94</v>
      </c>
      <c r="N8712">
        <v>12</v>
      </c>
      <c r="O8712">
        <v>1</v>
      </c>
      <c r="P8712">
        <v>0</v>
      </c>
      <c r="Q8712">
        <v>0</v>
      </c>
    </row>
    <row r="8713" spans="1:17" x14ac:dyDescent="0.2">
      <c r="A8713" s="121">
        <v>42094</v>
      </c>
      <c r="B8713" t="s">
        <v>406</v>
      </c>
      <c r="C8713" t="s">
        <v>577</v>
      </c>
      <c r="D8713" t="s">
        <v>592</v>
      </c>
      <c r="E8713" t="s">
        <v>593</v>
      </c>
      <c r="F8713" t="s">
        <v>410</v>
      </c>
      <c r="G8713">
        <v>484</v>
      </c>
      <c r="H8713">
        <v>484</v>
      </c>
      <c r="I8713">
        <v>484</v>
      </c>
      <c r="J8713">
        <v>484</v>
      </c>
      <c r="K8713">
        <v>0</v>
      </c>
      <c r="L8713">
        <v>0</v>
      </c>
      <c r="M8713">
        <v>455</v>
      </c>
      <c r="N8713">
        <v>21</v>
      </c>
      <c r="O8713">
        <v>8</v>
      </c>
      <c r="P8713">
        <v>0</v>
      </c>
      <c r="Q8713">
        <v>0</v>
      </c>
    </row>
    <row r="8714" spans="1:17" x14ac:dyDescent="0.2">
      <c r="A8714" s="121">
        <v>42094</v>
      </c>
      <c r="B8714" t="s">
        <v>406</v>
      </c>
      <c r="C8714" t="s">
        <v>594</v>
      </c>
      <c r="D8714" t="s">
        <v>595</v>
      </c>
      <c r="E8714" t="s">
        <v>596</v>
      </c>
      <c r="F8714" t="s">
        <v>410</v>
      </c>
      <c r="G8714">
        <v>18</v>
      </c>
      <c r="I8714">
        <v>18</v>
      </c>
    </row>
    <row r="8715" spans="1:17" x14ac:dyDescent="0.2">
      <c r="A8715" s="121">
        <v>42094</v>
      </c>
      <c r="B8715" t="s">
        <v>406</v>
      </c>
      <c r="C8715" t="s">
        <v>594</v>
      </c>
      <c r="D8715" t="s">
        <v>597</v>
      </c>
      <c r="E8715" t="s">
        <v>598</v>
      </c>
      <c r="F8715" t="s">
        <v>413</v>
      </c>
      <c r="G8715">
        <v>502</v>
      </c>
      <c r="H8715">
        <v>502</v>
      </c>
      <c r="I8715">
        <v>496</v>
      </c>
      <c r="J8715">
        <v>496</v>
      </c>
      <c r="K8715">
        <v>90</v>
      </c>
      <c r="L8715">
        <v>0</v>
      </c>
      <c r="M8715">
        <v>395</v>
      </c>
      <c r="N8715">
        <v>13</v>
      </c>
      <c r="O8715">
        <v>4</v>
      </c>
      <c r="P8715">
        <v>0</v>
      </c>
      <c r="Q8715">
        <v>0</v>
      </c>
    </row>
    <row r="8716" spans="1:17" x14ac:dyDescent="0.2">
      <c r="A8716" s="121">
        <v>42094</v>
      </c>
      <c r="B8716" t="s">
        <v>406</v>
      </c>
      <c r="C8716" t="s">
        <v>594</v>
      </c>
      <c r="D8716" t="s">
        <v>599</v>
      </c>
      <c r="E8716" t="s">
        <v>600</v>
      </c>
      <c r="F8716" t="s">
        <v>410</v>
      </c>
      <c r="G8716">
        <v>89</v>
      </c>
      <c r="I8716">
        <v>89</v>
      </c>
    </row>
    <row r="8717" spans="1:17" x14ac:dyDescent="0.2">
      <c r="A8717" s="121">
        <v>42124</v>
      </c>
      <c r="B8717" t="s">
        <v>406</v>
      </c>
      <c r="C8717" t="s">
        <v>407</v>
      </c>
      <c r="D8717" t="s">
        <v>408</v>
      </c>
      <c r="E8717" t="s">
        <v>409</v>
      </c>
      <c r="F8717" t="s">
        <v>410</v>
      </c>
      <c r="G8717">
        <v>194</v>
      </c>
      <c r="I8717">
        <v>192</v>
      </c>
    </row>
    <row r="8718" spans="1:17" x14ac:dyDescent="0.2">
      <c r="A8718" s="121">
        <v>42124</v>
      </c>
      <c r="B8718" t="s">
        <v>406</v>
      </c>
      <c r="C8718" t="s">
        <v>407</v>
      </c>
      <c r="D8718" t="s">
        <v>601</v>
      </c>
      <c r="E8718" t="s">
        <v>602</v>
      </c>
      <c r="F8718" t="s">
        <v>410</v>
      </c>
      <c r="G8718">
        <v>46</v>
      </c>
      <c r="I8718">
        <v>46</v>
      </c>
    </row>
    <row r="8719" spans="1:17" x14ac:dyDescent="0.2">
      <c r="A8719" s="121">
        <v>42124</v>
      </c>
      <c r="B8719" t="s">
        <v>406</v>
      </c>
      <c r="C8719" t="s">
        <v>407</v>
      </c>
      <c r="D8719" t="s">
        <v>411</v>
      </c>
      <c r="E8719" t="s">
        <v>412</v>
      </c>
      <c r="F8719" t="s">
        <v>413</v>
      </c>
      <c r="G8719">
        <v>6061</v>
      </c>
      <c r="H8719">
        <v>6061</v>
      </c>
      <c r="I8719">
        <v>5258</v>
      </c>
      <c r="J8719">
        <v>5258</v>
      </c>
      <c r="K8719">
        <v>2492</v>
      </c>
      <c r="L8719">
        <v>11</v>
      </c>
      <c r="M8719">
        <v>3141</v>
      </c>
      <c r="N8719">
        <v>120</v>
      </c>
      <c r="O8719">
        <v>297</v>
      </c>
      <c r="P8719">
        <v>122</v>
      </c>
      <c r="Q8719">
        <v>22</v>
      </c>
    </row>
    <row r="8720" spans="1:17" x14ac:dyDescent="0.2">
      <c r="A8720" s="121">
        <v>42124</v>
      </c>
      <c r="B8720" t="s">
        <v>406</v>
      </c>
      <c r="C8720" t="s">
        <v>407</v>
      </c>
      <c r="D8720" t="s">
        <v>416</v>
      </c>
      <c r="E8720" t="s">
        <v>417</v>
      </c>
      <c r="F8720" t="s">
        <v>413</v>
      </c>
      <c r="G8720">
        <v>3507</v>
      </c>
      <c r="H8720">
        <v>3507</v>
      </c>
      <c r="I8720">
        <v>3149</v>
      </c>
      <c r="J8720">
        <v>3149</v>
      </c>
      <c r="K8720">
        <v>1252</v>
      </c>
      <c r="L8720">
        <v>4</v>
      </c>
      <c r="M8720">
        <v>2065</v>
      </c>
      <c r="N8720">
        <v>117</v>
      </c>
      <c r="O8720">
        <v>69</v>
      </c>
      <c r="P8720">
        <v>23</v>
      </c>
      <c r="Q8720">
        <v>5</v>
      </c>
    </row>
    <row r="8721" spans="1:17" x14ac:dyDescent="0.2">
      <c r="A8721" s="121">
        <v>42124</v>
      </c>
      <c r="B8721" t="s">
        <v>406</v>
      </c>
      <c r="C8721" t="s">
        <v>407</v>
      </c>
      <c r="D8721" t="s">
        <v>618</v>
      </c>
      <c r="E8721" t="s">
        <v>619</v>
      </c>
      <c r="F8721" t="s">
        <v>410</v>
      </c>
      <c r="G8721">
        <v>93</v>
      </c>
      <c r="I8721">
        <v>93</v>
      </c>
    </row>
    <row r="8722" spans="1:17" x14ac:dyDescent="0.2">
      <c r="A8722" s="121">
        <v>42124</v>
      </c>
      <c r="B8722" t="s">
        <v>406</v>
      </c>
      <c r="C8722" t="s">
        <v>418</v>
      </c>
      <c r="D8722" t="s">
        <v>419</v>
      </c>
      <c r="E8722" t="s">
        <v>420</v>
      </c>
      <c r="F8722" t="s">
        <v>410</v>
      </c>
      <c r="G8722">
        <v>12</v>
      </c>
      <c r="I8722">
        <v>12</v>
      </c>
    </row>
    <row r="8723" spans="1:17" x14ac:dyDescent="0.2">
      <c r="A8723" s="121">
        <v>42124</v>
      </c>
      <c r="B8723" t="s">
        <v>406</v>
      </c>
      <c r="C8723" t="s">
        <v>418</v>
      </c>
      <c r="D8723" t="s">
        <v>421</v>
      </c>
      <c r="E8723" t="s">
        <v>422</v>
      </c>
      <c r="F8723" t="s">
        <v>410</v>
      </c>
      <c r="G8723">
        <v>97</v>
      </c>
      <c r="I8723">
        <v>97</v>
      </c>
    </row>
    <row r="8724" spans="1:17" x14ac:dyDescent="0.2">
      <c r="A8724" s="121">
        <v>42124</v>
      </c>
      <c r="B8724" t="s">
        <v>406</v>
      </c>
      <c r="C8724" t="s">
        <v>418</v>
      </c>
      <c r="D8724" t="s">
        <v>423</v>
      </c>
      <c r="E8724" t="s">
        <v>424</v>
      </c>
      <c r="F8724" t="s">
        <v>410</v>
      </c>
      <c r="G8724">
        <v>8</v>
      </c>
      <c r="I8724">
        <v>8</v>
      </c>
    </row>
    <row r="8725" spans="1:17" x14ac:dyDescent="0.2">
      <c r="A8725" s="121">
        <v>42124</v>
      </c>
      <c r="B8725" t="s">
        <v>406</v>
      </c>
      <c r="C8725" t="s">
        <v>418</v>
      </c>
      <c r="D8725" t="s">
        <v>425</v>
      </c>
      <c r="E8725" t="s">
        <v>426</v>
      </c>
      <c r="F8725" t="s">
        <v>410</v>
      </c>
      <c r="G8725">
        <v>40</v>
      </c>
      <c r="I8725">
        <v>40</v>
      </c>
    </row>
    <row r="8726" spans="1:17" x14ac:dyDescent="0.2">
      <c r="A8726" s="121">
        <v>42124</v>
      </c>
      <c r="B8726" t="s">
        <v>406</v>
      </c>
      <c r="C8726" t="s">
        <v>418</v>
      </c>
      <c r="D8726" t="s">
        <v>427</v>
      </c>
      <c r="E8726" t="s">
        <v>428</v>
      </c>
      <c r="F8726" t="s">
        <v>413</v>
      </c>
      <c r="G8726">
        <v>2287</v>
      </c>
      <c r="H8726">
        <v>2287</v>
      </c>
      <c r="I8726">
        <v>2167</v>
      </c>
      <c r="J8726">
        <v>2167</v>
      </c>
      <c r="K8726">
        <v>811</v>
      </c>
      <c r="L8726">
        <v>4</v>
      </c>
      <c r="M8726">
        <v>1314</v>
      </c>
      <c r="N8726">
        <v>140</v>
      </c>
      <c r="O8726">
        <v>18</v>
      </c>
      <c r="P8726">
        <v>2</v>
      </c>
      <c r="Q8726">
        <v>0</v>
      </c>
    </row>
    <row r="8727" spans="1:17" x14ac:dyDescent="0.2">
      <c r="A8727" s="121">
        <v>42124</v>
      </c>
      <c r="B8727" t="s">
        <v>406</v>
      </c>
      <c r="C8727" t="s">
        <v>429</v>
      </c>
      <c r="D8727" t="s">
        <v>430</v>
      </c>
      <c r="E8727" t="s">
        <v>431</v>
      </c>
      <c r="F8727" t="s">
        <v>410</v>
      </c>
      <c r="G8727">
        <v>16</v>
      </c>
      <c r="I8727">
        <v>16</v>
      </c>
    </row>
    <row r="8728" spans="1:17" x14ac:dyDescent="0.2">
      <c r="A8728" s="121">
        <v>42124</v>
      </c>
      <c r="B8728" t="s">
        <v>406</v>
      </c>
      <c r="C8728" t="s">
        <v>429</v>
      </c>
      <c r="D8728" t="s">
        <v>432</v>
      </c>
      <c r="E8728" t="s">
        <v>433</v>
      </c>
      <c r="F8728" t="s">
        <v>410</v>
      </c>
      <c r="G8728">
        <v>30</v>
      </c>
      <c r="I8728">
        <v>30</v>
      </c>
    </row>
    <row r="8729" spans="1:17" x14ac:dyDescent="0.2">
      <c r="A8729" s="121">
        <v>42124</v>
      </c>
      <c r="B8729" t="s">
        <v>406</v>
      </c>
      <c r="C8729" t="s">
        <v>429</v>
      </c>
      <c r="D8729" t="s">
        <v>434</v>
      </c>
      <c r="E8729" t="s">
        <v>435</v>
      </c>
      <c r="F8729" t="s">
        <v>410</v>
      </c>
      <c r="G8729">
        <v>5</v>
      </c>
      <c r="I8729">
        <v>5</v>
      </c>
    </row>
    <row r="8730" spans="1:17" x14ac:dyDescent="0.2">
      <c r="A8730" s="121">
        <v>42124</v>
      </c>
      <c r="B8730" t="s">
        <v>406</v>
      </c>
      <c r="C8730" t="s">
        <v>429</v>
      </c>
      <c r="D8730" t="s">
        <v>436</v>
      </c>
      <c r="E8730" t="s">
        <v>437</v>
      </c>
      <c r="F8730" t="s">
        <v>410</v>
      </c>
      <c r="G8730">
        <v>14</v>
      </c>
      <c r="H8730">
        <v>14</v>
      </c>
      <c r="I8730">
        <v>14</v>
      </c>
      <c r="J8730">
        <v>14</v>
      </c>
      <c r="K8730">
        <v>0</v>
      </c>
      <c r="L8730">
        <v>0</v>
      </c>
      <c r="M8730">
        <v>12</v>
      </c>
      <c r="N8730">
        <v>2</v>
      </c>
      <c r="O8730">
        <v>0</v>
      </c>
      <c r="P8730">
        <v>0</v>
      </c>
      <c r="Q8730">
        <v>0</v>
      </c>
    </row>
    <row r="8731" spans="1:17" x14ac:dyDescent="0.2">
      <c r="A8731" s="121">
        <v>42124</v>
      </c>
      <c r="B8731" t="s">
        <v>406</v>
      </c>
      <c r="C8731" t="s">
        <v>429</v>
      </c>
      <c r="D8731" t="s">
        <v>438</v>
      </c>
      <c r="E8731" t="s">
        <v>439</v>
      </c>
      <c r="F8731" t="s">
        <v>413</v>
      </c>
      <c r="G8731">
        <v>1009</v>
      </c>
      <c r="H8731">
        <v>1009</v>
      </c>
      <c r="I8731">
        <v>981</v>
      </c>
      <c r="J8731">
        <v>981</v>
      </c>
      <c r="K8731">
        <v>106</v>
      </c>
      <c r="L8731">
        <v>0</v>
      </c>
      <c r="M8731">
        <v>868</v>
      </c>
      <c r="N8731">
        <v>35</v>
      </c>
      <c r="O8731">
        <v>0</v>
      </c>
      <c r="P8731">
        <v>3</v>
      </c>
      <c r="Q8731">
        <v>0</v>
      </c>
    </row>
    <row r="8732" spans="1:17" x14ac:dyDescent="0.2">
      <c r="A8732" s="121">
        <v>42124</v>
      </c>
      <c r="B8732" t="s">
        <v>406</v>
      </c>
      <c r="C8732" t="s">
        <v>429</v>
      </c>
      <c r="D8732" t="s">
        <v>440</v>
      </c>
      <c r="E8732" t="s">
        <v>441</v>
      </c>
      <c r="F8732" t="s">
        <v>413</v>
      </c>
      <c r="G8732">
        <v>2732</v>
      </c>
      <c r="H8732">
        <v>2732</v>
      </c>
      <c r="I8732">
        <v>2615</v>
      </c>
      <c r="J8732">
        <v>2615</v>
      </c>
      <c r="K8732">
        <v>958</v>
      </c>
      <c r="L8732">
        <v>5</v>
      </c>
      <c r="M8732">
        <v>1650</v>
      </c>
      <c r="N8732">
        <v>57</v>
      </c>
      <c r="O8732">
        <v>62</v>
      </c>
      <c r="P8732">
        <v>3</v>
      </c>
      <c r="Q8732">
        <v>0</v>
      </c>
    </row>
    <row r="8733" spans="1:17" x14ac:dyDescent="0.2">
      <c r="A8733" s="121">
        <v>42124</v>
      </c>
      <c r="B8733" t="s">
        <v>406</v>
      </c>
      <c r="C8733" t="s">
        <v>442</v>
      </c>
      <c r="D8733" t="s">
        <v>443</v>
      </c>
      <c r="E8733" t="s">
        <v>444</v>
      </c>
      <c r="F8733" t="s">
        <v>413</v>
      </c>
      <c r="G8733">
        <v>5172</v>
      </c>
      <c r="H8733">
        <v>5172</v>
      </c>
      <c r="I8733">
        <v>4806</v>
      </c>
      <c r="J8733">
        <v>4806</v>
      </c>
      <c r="K8733">
        <v>1268</v>
      </c>
      <c r="L8733">
        <v>10</v>
      </c>
      <c r="M8733">
        <v>3573</v>
      </c>
      <c r="N8733">
        <v>137</v>
      </c>
      <c r="O8733">
        <v>184</v>
      </c>
      <c r="P8733">
        <v>43</v>
      </c>
      <c r="Q8733">
        <v>12</v>
      </c>
    </row>
    <row r="8734" spans="1:17" x14ac:dyDescent="0.2">
      <c r="A8734" s="121">
        <v>42124</v>
      </c>
      <c r="B8734" t="s">
        <v>406</v>
      </c>
      <c r="C8734" t="s">
        <v>442</v>
      </c>
      <c r="D8734" t="s">
        <v>445</v>
      </c>
      <c r="E8734" t="s">
        <v>446</v>
      </c>
      <c r="F8734" t="s">
        <v>410</v>
      </c>
      <c r="G8734">
        <v>133</v>
      </c>
      <c r="I8734">
        <v>133</v>
      </c>
    </row>
    <row r="8735" spans="1:17" x14ac:dyDescent="0.2">
      <c r="A8735" s="121">
        <v>42124</v>
      </c>
      <c r="B8735" t="s">
        <v>406</v>
      </c>
      <c r="C8735" t="s">
        <v>442</v>
      </c>
      <c r="D8735" t="s">
        <v>447</v>
      </c>
      <c r="E8735" t="s">
        <v>448</v>
      </c>
      <c r="F8735" t="s">
        <v>410</v>
      </c>
      <c r="G8735">
        <v>410</v>
      </c>
      <c r="I8735">
        <v>410</v>
      </c>
    </row>
    <row r="8736" spans="1:17" x14ac:dyDescent="0.2">
      <c r="A8736" s="121">
        <v>42124</v>
      </c>
      <c r="B8736" t="s">
        <v>406</v>
      </c>
      <c r="C8736" t="s">
        <v>442</v>
      </c>
      <c r="D8736" t="s">
        <v>449</v>
      </c>
      <c r="E8736" t="s">
        <v>624</v>
      </c>
      <c r="F8736" t="s">
        <v>410</v>
      </c>
      <c r="G8736">
        <v>1825</v>
      </c>
      <c r="H8736">
        <v>1825</v>
      </c>
      <c r="I8736">
        <v>1824</v>
      </c>
      <c r="J8736">
        <v>1824</v>
      </c>
      <c r="K8736">
        <v>9</v>
      </c>
      <c r="L8736">
        <v>0</v>
      </c>
      <c r="M8736">
        <v>1625</v>
      </c>
      <c r="N8736">
        <v>184</v>
      </c>
      <c r="O8736">
        <v>7</v>
      </c>
      <c r="P8736">
        <v>0</v>
      </c>
      <c r="Q8736">
        <v>0</v>
      </c>
    </row>
    <row r="8737" spans="1:17" x14ac:dyDescent="0.2">
      <c r="A8737" s="121">
        <v>42124</v>
      </c>
      <c r="B8737" t="s">
        <v>406</v>
      </c>
      <c r="C8737" t="s">
        <v>451</v>
      </c>
      <c r="D8737" t="s">
        <v>454</v>
      </c>
      <c r="E8737" t="s">
        <v>621</v>
      </c>
      <c r="F8737" t="s">
        <v>410</v>
      </c>
      <c r="G8737">
        <v>1375</v>
      </c>
      <c r="H8737">
        <v>1375</v>
      </c>
      <c r="I8737">
        <v>1374</v>
      </c>
      <c r="J8737">
        <v>1374</v>
      </c>
      <c r="K8737">
        <v>0</v>
      </c>
      <c r="L8737">
        <v>0</v>
      </c>
      <c r="M8737">
        <v>961</v>
      </c>
      <c r="N8737">
        <v>54</v>
      </c>
      <c r="O8737">
        <v>360</v>
      </c>
      <c r="P8737">
        <v>0</v>
      </c>
      <c r="Q8737">
        <v>0</v>
      </c>
    </row>
    <row r="8738" spans="1:17" x14ac:dyDescent="0.2">
      <c r="A8738" s="121">
        <v>42124</v>
      </c>
      <c r="B8738" t="s">
        <v>406</v>
      </c>
      <c r="C8738" t="s">
        <v>451</v>
      </c>
      <c r="D8738" t="s">
        <v>622</v>
      </c>
      <c r="E8738" t="s">
        <v>623</v>
      </c>
      <c r="F8738" t="s">
        <v>413</v>
      </c>
      <c r="G8738">
        <v>5113</v>
      </c>
      <c r="H8738">
        <v>5113</v>
      </c>
      <c r="I8738">
        <v>4711</v>
      </c>
      <c r="J8738">
        <v>4711</v>
      </c>
      <c r="K8738">
        <v>1354</v>
      </c>
      <c r="L8738">
        <v>7</v>
      </c>
      <c r="M8738">
        <v>2838</v>
      </c>
      <c r="N8738">
        <v>27</v>
      </c>
      <c r="O8738">
        <v>887</v>
      </c>
      <c r="P8738">
        <v>5</v>
      </c>
      <c r="Q8738">
        <v>0</v>
      </c>
    </row>
    <row r="8739" spans="1:17" x14ac:dyDescent="0.2">
      <c r="A8739" s="121">
        <v>42124</v>
      </c>
      <c r="B8739" t="s">
        <v>406</v>
      </c>
      <c r="C8739" t="s">
        <v>456</v>
      </c>
      <c r="D8739" t="s">
        <v>457</v>
      </c>
      <c r="E8739" t="s">
        <v>458</v>
      </c>
      <c r="F8739" t="s">
        <v>413</v>
      </c>
      <c r="G8739">
        <v>4607</v>
      </c>
      <c r="H8739">
        <v>4607</v>
      </c>
      <c r="I8739">
        <v>4212</v>
      </c>
      <c r="J8739">
        <v>4212</v>
      </c>
      <c r="K8739">
        <v>1234</v>
      </c>
      <c r="L8739">
        <v>9</v>
      </c>
      <c r="M8739">
        <v>2974</v>
      </c>
      <c r="N8739">
        <v>22</v>
      </c>
      <c r="O8739">
        <v>368</v>
      </c>
      <c r="P8739">
        <v>28</v>
      </c>
      <c r="Q8739">
        <v>1</v>
      </c>
    </row>
    <row r="8740" spans="1:17" x14ac:dyDescent="0.2">
      <c r="A8740" s="121">
        <v>42124</v>
      </c>
      <c r="B8740" t="s">
        <v>406</v>
      </c>
      <c r="C8740" t="s">
        <v>456</v>
      </c>
      <c r="D8740" t="s">
        <v>459</v>
      </c>
      <c r="E8740" t="s">
        <v>460</v>
      </c>
      <c r="F8740" t="s">
        <v>413</v>
      </c>
      <c r="G8740">
        <v>1466</v>
      </c>
      <c r="H8740">
        <v>1466</v>
      </c>
      <c r="I8740">
        <v>1446</v>
      </c>
      <c r="J8740">
        <v>1446</v>
      </c>
      <c r="K8740">
        <v>304</v>
      </c>
      <c r="L8740">
        <v>0</v>
      </c>
      <c r="M8740">
        <v>1162</v>
      </c>
      <c r="N8740">
        <v>0</v>
      </c>
      <c r="O8740">
        <v>0</v>
      </c>
      <c r="P8740">
        <v>1</v>
      </c>
      <c r="Q8740">
        <v>0</v>
      </c>
    </row>
    <row r="8741" spans="1:17" x14ac:dyDescent="0.2">
      <c r="A8741" s="121">
        <v>42124</v>
      </c>
      <c r="B8741" t="s">
        <v>406</v>
      </c>
      <c r="C8741" t="s">
        <v>456</v>
      </c>
      <c r="D8741" t="s">
        <v>461</v>
      </c>
      <c r="E8741" t="s">
        <v>462</v>
      </c>
      <c r="F8741" t="s">
        <v>410</v>
      </c>
      <c r="G8741">
        <v>106</v>
      </c>
      <c r="I8741">
        <v>106</v>
      </c>
    </row>
    <row r="8742" spans="1:17" x14ac:dyDescent="0.2">
      <c r="A8742" s="121">
        <v>42124</v>
      </c>
      <c r="B8742" t="s">
        <v>406</v>
      </c>
      <c r="C8742" t="s">
        <v>456</v>
      </c>
      <c r="D8742" t="s">
        <v>463</v>
      </c>
      <c r="E8742" t="s">
        <v>464</v>
      </c>
      <c r="F8742" t="s">
        <v>410</v>
      </c>
      <c r="G8742">
        <v>6</v>
      </c>
      <c r="I8742">
        <v>6</v>
      </c>
    </row>
    <row r="8743" spans="1:17" x14ac:dyDescent="0.2">
      <c r="A8743" s="121">
        <v>42124</v>
      </c>
      <c r="B8743" t="s">
        <v>406</v>
      </c>
      <c r="C8743" t="s">
        <v>456</v>
      </c>
      <c r="D8743" t="s">
        <v>465</v>
      </c>
      <c r="E8743" t="s">
        <v>466</v>
      </c>
      <c r="F8743" t="s">
        <v>410</v>
      </c>
      <c r="G8743">
        <v>24</v>
      </c>
      <c r="I8743">
        <v>24</v>
      </c>
    </row>
    <row r="8744" spans="1:17" x14ac:dyDescent="0.2">
      <c r="A8744" s="121">
        <v>42124</v>
      </c>
      <c r="B8744" t="s">
        <v>406</v>
      </c>
      <c r="C8744" t="s">
        <v>456</v>
      </c>
      <c r="D8744" t="s">
        <v>467</v>
      </c>
      <c r="E8744" t="s">
        <v>468</v>
      </c>
      <c r="F8744" t="s">
        <v>410</v>
      </c>
      <c r="G8744">
        <v>1357</v>
      </c>
      <c r="I8744">
        <v>1354</v>
      </c>
    </row>
    <row r="8745" spans="1:17" x14ac:dyDescent="0.2">
      <c r="A8745" s="121">
        <v>42124</v>
      </c>
      <c r="B8745" t="s">
        <v>406</v>
      </c>
      <c r="C8745" t="s">
        <v>456</v>
      </c>
      <c r="D8745" t="s">
        <v>469</v>
      </c>
      <c r="E8745" t="s">
        <v>470</v>
      </c>
      <c r="F8745" t="s">
        <v>410</v>
      </c>
      <c r="G8745">
        <v>691</v>
      </c>
      <c r="I8745">
        <v>687</v>
      </c>
    </row>
    <row r="8746" spans="1:17" x14ac:dyDescent="0.2">
      <c r="A8746" s="121">
        <v>42124</v>
      </c>
      <c r="B8746" t="s">
        <v>406</v>
      </c>
      <c r="C8746" t="s">
        <v>456</v>
      </c>
      <c r="D8746" t="s">
        <v>471</v>
      </c>
      <c r="E8746" t="s">
        <v>472</v>
      </c>
      <c r="F8746" t="s">
        <v>410</v>
      </c>
      <c r="G8746">
        <v>275</v>
      </c>
      <c r="I8746">
        <v>272</v>
      </c>
    </row>
    <row r="8747" spans="1:17" x14ac:dyDescent="0.2">
      <c r="A8747" s="121">
        <v>42124</v>
      </c>
      <c r="B8747" t="s">
        <v>406</v>
      </c>
      <c r="C8747" t="s">
        <v>456</v>
      </c>
      <c r="D8747" t="s">
        <v>473</v>
      </c>
      <c r="E8747" t="s">
        <v>474</v>
      </c>
      <c r="F8747" t="s">
        <v>410</v>
      </c>
      <c r="G8747">
        <v>192</v>
      </c>
      <c r="I8747">
        <v>192</v>
      </c>
    </row>
    <row r="8748" spans="1:17" x14ac:dyDescent="0.2">
      <c r="A8748" s="121">
        <v>42124</v>
      </c>
      <c r="B8748" t="s">
        <v>406</v>
      </c>
      <c r="C8748" t="s">
        <v>456</v>
      </c>
      <c r="D8748" t="s">
        <v>475</v>
      </c>
      <c r="E8748" t="s">
        <v>476</v>
      </c>
      <c r="F8748" t="s">
        <v>410</v>
      </c>
      <c r="G8748">
        <v>289</v>
      </c>
      <c r="I8748">
        <v>282</v>
      </c>
    </row>
    <row r="8749" spans="1:17" x14ac:dyDescent="0.2">
      <c r="A8749" s="121">
        <v>42124</v>
      </c>
      <c r="B8749" t="s">
        <v>406</v>
      </c>
      <c r="C8749" t="s">
        <v>456</v>
      </c>
      <c r="D8749" t="s">
        <v>477</v>
      </c>
      <c r="E8749" t="s">
        <v>478</v>
      </c>
      <c r="F8749" t="s">
        <v>413</v>
      </c>
      <c r="G8749">
        <v>2003</v>
      </c>
      <c r="H8749">
        <v>2003</v>
      </c>
      <c r="I8749">
        <v>1921</v>
      </c>
      <c r="J8749">
        <v>1921</v>
      </c>
      <c r="K8749">
        <v>410</v>
      </c>
      <c r="L8749">
        <v>2</v>
      </c>
      <c r="M8749">
        <v>1574</v>
      </c>
      <c r="N8749">
        <v>13</v>
      </c>
      <c r="O8749">
        <v>4</v>
      </c>
      <c r="P8749">
        <v>6</v>
      </c>
      <c r="Q8749">
        <v>0</v>
      </c>
    </row>
    <row r="8750" spans="1:17" x14ac:dyDescent="0.2">
      <c r="A8750" s="121">
        <v>42124</v>
      </c>
      <c r="B8750" t="s">
        <v>406</v>
      </c>
      <c r="C8750" t="s">
        <v>456</v>
      </c>
      <c r="D8750" t="s">
        <v>479</v>
      </c>
      <c r="E8750" t="s">
        <v>480</v>
      </c>
      <c r="F8750" t="s">
        <v>410</v>
      </c>
      <c r="G8750">
        <v>48</v>
      </c>
      <c r="I8750">
        <v>48</v>
      </c>
    </row>
    <row r="8751" spans="1:17" x14ac:dyDescent="0.2">
      <c r="A8751" s="121">
        <v>42124</v>
      </c>
      <c r="B8751" t="s">
        <v>406</v>
      </c>
      <c r="C8751" t="s">
        <v>456</v>
      </c>
      <c r="D8751" t="s">
        <v>481</v>
      </c>
      <c r="E8751" t="s">
        <v>482</v>
      </c>
      <c r="F8751" t="s">
        <v>410</v>
      </c>
      <c r="G8751">
        <v>41</v>
      </c>
      <c r="I8751">
        <v>41</v>
      </c>
    </row>
    <row r="8752" spans="1:17" x14ac:dyDescent="0.2">
      <c r="A8752" s="121">
        <v>42124</v>
      </c>
      <c r="B8752" t="s">
        <v>406</v>
      </c>
      <c r="C8752" t="s">
        <v>456</v>
      </c>
      <c r="D8752" t="s">
        <v>483</v>
      </c>
      <c r="E8752" t="s">
        <v>484</v>
      </c>
      <c r="F8752" t="s">
        <v>410</v>
      </c>
      <c r="G8752">
        <v>91</v>
      </c>
      <c r="I8752">
        <v>91</v>
      </c>
    </row>
    <row r="8753" spans="1:17" x14ac:dyDescent="0.2">
      <c r="A8753" s="121">
        <v>42124</v>
      </c>
      <c r="B8753" t="s">
        <v>406</v>
      </c>
      <c r="C8753" t="s">
        <v>456</v>
      </c>
      <c r="D8753" t="s">
        <v>487</v>
      </c>
      <c r="E8753" t="s">
        <v>488</v>
      </c>
      <c r="F8753" t="s">
        <v>410</v>
      </c>
      <c r="G8753">
        <v>21</v>
      </c>
      <c r="I8753">
        <v>21</v>
      </c>
    </row>
    <row r="8754" spans="1:17" x14ac:dyDescent="0.2">
      <c r="A8754" s="121">
        <v>42124</v>
      </c>
      <c r="B8754" t="s">
        <v>406</v>
      </c>
      <c r="C8754" t="s">
        <v>456</v>
      </c>
      <c r="D8754" t="s">
        <v>489</v>
      </c>
      <c r="E8754" t="s">
        <v>490</v>
      </c>
      <c r="F8754" t="s">
        <v>410</v>
      </c>
      <c r="G8754">
        <v>101</v>
      </c>
      <c r="I8754">
        <v>101</v>
      </c>
    </row>
    <row r="8755" spans="1:17" x14ac:dyDescent="0.2">
      <c r="A8755" s="121">
        <v>42124</v>
      </c>
      <c r="B8755" t="s">
        <v>406</v>
      </c>
      <c r="C8755" t="s">
        <v>456</v>
      </c>
      <c r="D8755" t="s">
        <v>628</v>
      </c>
      <c r="E8755" t="s">
        <v>629</v>
      </c>
      <c r="F8755" t="s">
        <v>410</v>
      </c>
      <c r="G8755">
        <v>59</v>
      </c>
      <c r="I8755">
        <v>59</v>
      </c>
    </row>
    <row r="8756" spans="1:17" x14ac:dyDescent="0.2">
      <c r="A8756" s="121">
        <v>42124</v>
      </c>
      <c r="B8756" t="s">
        <v>406</v>
      </c>
      <c r="C8756" t="s">
        <v>491</v>
      </c>
      <c r="D8756" t="s">
        <v>492</v>
      </c>
      <c r="E8756" t="s">
        <v>493</v>
      </c>
      <c r="F8756" t="s">
        <v>410</v>
      </c>
      <c r="G8756">
        <v>1323</v>
      </c>
      <c r="H8756">
        <v>1323</v>
      </c>
      <c r="I8756">
        <v>1254</v>
      </c>
      <c r="J8756">
        <v>1254</v>
      </c>
      <c r="K8756">
        <v>209</v>
      </c>
      <c r="L8756">
        <v>0</v>
      </c>
      <c r="M8756">
        <v>1011</v>
      </c>
      <c r="N8756">
        <v>93</v>
      </c>
      <c r="O8756">
        <v>10</v>
      </c>
      <c r="P8756">
        <v>2</v>
      </c>
      <c r="Q8756">
        <v>0</v>
      </c>
    </row>
    <row r="8757" spans="1:17" x14ac:dyDescent="0.2">
      <c r="A8757" s="121">
        <v>42124</v>
      </c>
      <c r="B8757" t="s">
        <v>406</v>
      </c>
      <c r="C8757" t="s">
        <v>491</v>
      </c>
      <c r="D8757" t="s">
        <v>494</v>
      </c>
      <c r="E8757" t="s">
        <v>495</v>
      </c>
      <c r="F8757" t="s">
        <v>413</v>
      </c>
      <c r="G8757">
        <v>2637</v>
      </c>
      <c r="H8757">
        <v>2637</v>
      </c>
      <c r="I8757">
        <v>2463</v>
      </c>
      <c r="J8757">
        <v>2463</v>
      </c>
      <c r="K8757">
        <v>723</v>
      </c>
      <c r="L8757">
        <v>4</v>
      </c>
      <c r="M8757">
        <v>1638</v>
      </c>
      <c r="N8757">
        <v>51</v>
      </c>
      <c r="O8757">
        <v>221</v>
      </c>
      <c r="P8757">
        <v>5</v>
      </c>
      <c r="Q8757">
        <v>0</v>
      </c>
    </row>
    <row r="8758" spans="1:17" x14ac:dyDescent="0.2">
      <c r="A8758" s="121">
        <v>42124</v>
      </c>
      <c r="B8758" t="s">
        <v>406</v>
      </c>
      <c r="C8758" t="s">
        <v>491</v>
      </c>
      <c r="D8758" t="s">
        <v>496</v>
      </c>
      <c r="E8758" t="s">
        <v>497</v>
      </c>
      <c r="F8758" t="s">
        <v>413</v>
      </c>
      <c r="G8758">
        <v>5463</v>
      </c>
      <c r="H8758">
        <v>5463</v>
      </c>
      <c r="I8758">
        <v>4767</v>
      </c>
      <c r="J8758">
        <v>4767</v>
      </c>
      <c r="K8758">
        <v>1829</v>
      </c>
      <c r="L8758">
        <v>17</v>
      </c>
      <c r="M8758">
        <v>3381</v>
      </c>
      <c r="N8758">
        <v>113</v>
      </c>
      <c r="O8758">
        <v>123</v>
      </c>
      <c r="P8758">
        <v>47</v>
      </c>
      <c r="Q8758">
        <v>0</v>
      </c>
    </row>
    <row r="8759" spans="1:17" x14ac:dyDescent="0.2">
      <c r="A8759" s="121">
        <v>42124</v>
      </c>
      <c r="B8759" t="s">
        <v>406</v>
      </c>
      <c r="C8759" t="s">
        <v>491</v>
      </c>
      <c r="D8759" t="s">
        <v>498</v>
      </c>
      <c r="E8759" t="s">
        <v>499</v>
      </c>
      <c r="F8759" t="s">
        <v>413</v>
      </c>
      <c r="G8759">
        <v>6612</v>
      </c>
      <c r="H8759">
        <v>6612</v>
      </c>
      <c r="I8759">
        <v>5837</v>
      </c>
      <c r="J8759">
        <v>5837</v>
      </c>
      <c r="K8759">
        <v>2209</v>
      </c>
      <c r="L8759">
        <v>16</v>
      </c>
      <c r="M8759">
        <v>3999</v>
      </c>
      <c r="N8759">
        <v>129</v>
      </c>
      <c r="O8759">
        <v>259</v>
      </c>
      <c r="P8759">
        <v>28</v>
      </c>
      <c r="Q8759">
        <v>0</v>
      </c>
    </row>
    <row r="8760" spans="1:17" x14ac:dyDescent="0.2">
      <c r="A8760" s="121">
        <v>42124</v>
      </c>
      <c r="B8760" t="s">
        <v>406</v>
      </c>
      <c r="C8760" t="s">
        <v>491</v>
      </c>
      <c r="D8760" t="s">
        <v>500</v>
      </c>
      <c r="E8760" t="s">
        <v>620</v>
      </c>
      <c r="F8760" t="s">
        <v>410</v>
      </c>
      <c r="G8760">
        <v>1562</v>
      </c>
      <c r="H8760">
        <v>1562</v>
      </c>
      <c r="I8760">
        <v>1561</v>
      </c>
      <c r="J8760">
        <v>1561</v>
      </c>
      <c r="K8760">
        <v>0</v>
      </c>
      <c r="L8760">
        <v>0</v>
      </c>
      <c r="M8760">
        <v>1444</v>
      </c>
      <c r="N8760">
        <v>100</v>
      </c>
      <c r="O8760">
        <v>18</v>
      </c>
      <c r="P8760">
        <v>0</v>
      </c>
      <c r="Q8760">
        <v>0</v>
      </c>
    </row>
    <row r="8761" spans="1:17" x14ac:dyDescent="0.2">
      <c r="A8761" s="121">
        <v>42124</v>
      </c>
      <c r="B8761" t="s">
        <v>406</v>
      </c>
      <c r="C8761" t="s">
        <v>491</v>
      </c>
      <c r="D8761" t="s">
        <v>502</v>
      </c>
      <c r="E8761" t="s">
        <v>615</v>
      </c>
      <c r="F8761" t="s">
        <v>410</v>
      </c>
      <c r="G8761">
        <v>1957</v>
      </c>
      <c r="H8761">
        <v>1957</v>
      </c>
      <c r="I8761">
        <v>1957</v>
      </c>
      <c r="J8761">
        <v>1957</v>
      </c>
      <c r="K8761">
        <v>1</v>
      </c>
      <c r="L8761">
        <v>0</v>
      </c>
      <c r="M8761">
        <v>1849</v>
      </c>
      <c r="N8761">
        <v>101</v>
      </c>
      <c r="O8761">
        <v>6</v>
      </c>
      <c r="P8761">
        <v>0</v>
      </c>
      <c r="Q8761">
        <v>0</v>
      </c>
    </row>
    <row r="8762" spans="1:17" x14ac:dyDescent="0.2">
      <c r="A8762" s="121">
        <v>42124</v>
      </c>
      <c r="B8762" t="s">
        <v>406</v>
      </c>
      <c r="C8762" t="s">
        <v>491</v>
      </c>
      <c r="D8762" t="s">
        <v>502</v>
      </c>
      <c r="E8762" t="s">
        <v>503</v>
      </c>
      <c r="F8762" t="s">
        <v>413</v>
      </c>
      <c r="G8762">
        <v>4887</v>
      </c>
      <c r="H8762">
        <v>4887</v>
      </c>
      <c r="I8762">
        <v>4173</v>
      </c>
      <c r="J8762">
        <v>4173</v>
      </c>
      <c r="K8762">
        <v>1630</v>
      </c>
      <c r="L8762">
        <v>10</v>
      </c>
      <c r="M8762">
        <v>2874</v>
      </c>
      <c r="N8762">
        <v>270</v>
      </c>
      <c r="O8762">
        <v>103</v>
      </c>
      <c r="P8762">
        <v>61</v>
      </c>
      <c r="Q8762">
        <v>1</v>
      </c>
    </row>
    <row r="8763" spans="1:17" x14ac:dyDescent="0.2">
      <c r="A8763" s="121">
        <v>42124</v>
      </c>
      <c r="B8763" t="s">
        <v>406</v>
      </c>
      <c r="C8763" t="s">
        <v>491</v>
      </c>
      <c r="D8763" t="s">
        <v>504</v>
      </c>
      <c r="E8763" t="s">
        <v>505</v>
      </c>
      <c r="F8763" t="s">
        <v>413</v>
      </c>
      <c r="G8763">
        <v>3944</v>
      </c>
      <c r="H8763">
        <v>3944</v>
      </c>
      <c r="I8763">
        <v>3462</v>
      </c>
      <c r="J8763">
        <v>3462</v>
      </c>
      <c r="K8763">
        <v>1127</v>
      </c>
      <c r="L8763">
        <v>4</v>
      </c>
      <c r="M8763">
        <v>2560</v>
      </c>
      <c r="N8763">
        <v>180</v>
      </c>
      <c r="O8763">
        <v>73</v>
      </c>
      <c r="P8763">
        <v>11</v>
      </c>
      <c r="Q8763">
        <v>0</v>
      </c>
    </row>
    <row r="8764" spans="1:17" x14ac:dyDescent="0.2">
      <c r="A8764" s="121">
        <v>42124</v>
      </c>
      <c r="B8764" t="s">
        <v>406</v>
      </c>
      <c r="C8764" t="s">
        <v>491</v>
      </c>
      <c r="D8764" t="s">
        <v>506</v>
      </c>
      <c r="E8764" t="s">
        <v>507</v>
      </c>
      <c r="F8764" t="s">
        <v>413</v>
      </c>
      <c r="G8764">
        <v>4019</v>
      </c>
      <c r="H8764">
        <v>4019</v>
      </c>
      <c r="I8764">
        <v>3996</v>
      </c>
      <c r="J8764">
        <v>3996</v>
      </c>
      <c r="K8764">
        <v>1050</v>
      </c>
      <c r="L8764">
        <v>0</v>
      </c>
      <c r="M8764">
        <v>2966</v>
      </c>
      <c r="N8764">
        <v>0</v>
      </c>
      <c r="O8764">
        <v>3</v>
      </c>
      <c r="P8764">
        <v>0</v>
      </c>
      <c r="Q8764">
        <v>0</v>
      </c>
    </row>
    <row r="8765" spans="1:17" x14ac:dyDescent="0.2">
      <c r="A8765" s="121">
        <v>42124</v>
      </c>
      <c r="B8765" t="s">
        <v>406</v>
      </c>
      <c r="C8765" t="s">
        <v>491</v>
      </c>
      <c r="D8765" t="s">
        <v>508</v>
      </c>
      <c r="E8765" t="s">
        <v>509</v>
      </c>
      <c r="F8765" t="s">
        <v>413</v>
      </c>
      <c r="G8765">
        <v>4660</v>
      </c>
      <c r="H8765">
        <v>4660</v>
      </c>
      <c r="I8765">
        <v>3859</v>
      </c>
      <c r="J8765">
        <v>3859</v>
      </c>
      <c r="K8765">
        <v>1549</v>
      </c>
      <c r="L8765">
        <v>14</v>
      </c>
      <c r="M8765">
        <v>2789</v>
      </c>
      <c r="N8765">
        <v>163</v>
      </c>
      <c r="O8765">
        <v>145</v>
      </c>
      <c r="P8765">
        <v>55</v>
      </c>
      <c r="Q8765">
        <v>0</v>
      </c>
    </row>
    <row r="8766" spans="1:17" x14ac:dyDescent="0.2">
      <c r="A8766" s="121">
        <v>42124</v>
      </c>
      <c r="B8766" t="s">
        <v>406</v>
      </c>
      <c r="C8766" t="s">
        <v>510</v>
      </c>
      <c r="D8766" t="s">
        <v>513</v>
      </c>
      <c r="E8766" t="s">
        <v>514</v>
      </c>
      <c r="F8766" t="s">
        <v>410</v>
      </c>
      <c r="G8766">
        <v>525</v>
      </c>
      <c r="I8766">
        <v>525</v>
      </c>
    </row>
    <row r="8767" spans="1:17" x14ac:dyDescent="0.2">
      <c r="A8767" s="121">
        <v>42124</v>
      </c>
      <c r="B8767" t="s">
        <v>406</v>
      </c>
      <c r="C8767" t="s">
        <v>510</v>
      </c>
      <c r="D8767" t="s">
        <v>515</v>
      </c>
      <c r="E8767" t="s">
        <v>516</v>
      </c>
      <c r="F8767" t="s">
        <v>410</v>
      </c>
      <c r="G8767">
        <v>101</v>
      </c>
      <c r="I8767">
        <v>101</v>
      </c>
    </row>
    <row r="8768" spans="1:17" x14ac:dyDescent="0.2">
      <c r="A8768" s="121">
        <v>42124</v>
      </c>
      <c r="B8768" t="s">
        <v>406</v>
      </c>
      <c r="C8768" t="s">
        <v>510</v>
      </c>
      <c r="D8768" t="s">
        <v>519</v>
      </c>
      <c r="E8768" t="s">
        <v>520</v>
      </c>
      <c r="F8768" t="s">
        <v>410</v>
      </c>
      <c r="G8768">
        <v>392</v>
      </c>
      <c r="I8768">
        <v>384</v>
      </c>
    </row>
    <row r="8769" spans="1:17" x14ac:dyDescent="0.2">
      <c r="A8769" s="121">
        <v>42124</v>
      </c>
      <c r="B8769" t="s">
        <v>406</v>
      </c>
      <c r="C8769" t="s">
        <v>510</v>
      </c>
      <c r="D8769" t="s">
        <v>523</v>
      </c>
      <c r="E8769" t="s">
        <v>524</v>
      </c>
      <c r="F8769" t="s">
        <v>413</v>
      </c>
      <c r="G8769">
        <v>605</v>
      </c>
      <c r="H8769">
        <v>605</v>
      </c>
      <c r="I8769">
        <v>590</v>
      </c>
      <c r="J8769">
        <v>590</v>
      </c>
      <c r="K8769">
        <v>139</v>
      </c>
      <c r="L8769">
        <v>0</v>
      </c>
      <c r="M8769">
        <v>448</v>
      </c>
      <c r="N8769">
        <v>18</v>
      </c>
      <c r="O8769">
        <v>0</v>
      </c>
      <c r="P8769">
        <v>0</v>
      </c>
      <c r="Q8769">
        <v>0</v>
      </c>
    </row>
    <row r="8770" spans="1:17" x14ac:dyDescent="0.2">
      <c r="A8770" s="121">
        <v>42124</v>
      </c>
      <c r="B8770" t="s">
        <v>406</v>
      </c>
      <c r="C8770" t="s">
        <v>510</v>
      </c>
      <c r="D8770" t="s">
        <v>525</v>
      </c>
      <c r="E8770" t="s">
        <v>526</v>
      </c>
      <c r="F8770" t="s">
        <v>410</v>
      </c>
      <c r="G8770">
        <v>456</v>
      </c>
      <c r="I8770">
        <v>454</v>
      </c>
    </row>
    <row r="8771" spans="1:17" x14ac:dyDescent="0.2">
      <c r="A8771" s="121">
        <v>42124</v>
      </c>
      <c r="B8771" t="s">
        <v>406</v>
      </c>
      <c r="C8771" t="s">
        <v>510</v>
      </c>
      <c r="D8771" t="s">
        <v>527</v>
      </c>
      <c r="E8771" t="s">
        <v>528</v>
      </c>
      <c r="F8771" t="s">
        <v>410</v>
      </c>
      <c r="G8771">
        <v>222</v>
      </c>
      <c r="I8771">
        <v>220</v>
      </c>
    </row>
    <row r="8772" spans="1:17" x14ac:dyDescent="0.2">
      <c r="A8772" s="121">
        <v>42124</v>
      </c>
      <c r="B8772" t="s">
        <v>406</v>
      </c>
      <c r="C8772" t="s">
        <v>510</v>
      </c>
      <c r="D8772" t="s">
        <v>529</v>
      </c>
      <c r="E8772" t="s">
        <v>530</v>
      </c>
      <c r="F8772" t="s">
        <v>413</v>
      </c>
      <c r="G8772">
        <v>489</v>
      </c>
      <c r="H8772">
        <v>489</v>
      </c>
      <c r="I8772">
        <v>459</v>
      </c>
      <c r="J8772">
        <v>459</v>
      </c>
      <c r="K8772">
        <v>172</v>
      </c>
      <c r="L8772">
        <v>2</v>
      </c>
      <c r="M8772">
        <v>315</v>
      </c>
      <c r="N8772">
        <v>0</v>
      </c>
      <c r="O8772">
        <v>0</v>
      </c>
      <c r="P8772">
        <v>2</v>
      </c>
      <c r="Q8772">
        <v>0</v>
      </c>
    </row>
    <row r="8773" spans="1:17" x14ac:dyDescent="0.2">
      <c r="A8773" s="121">
        <v>42124</v>
      </c>
      <c r="B8773" t="s">
        <v>406</v>
      </c>
      <c r="C8773" t="s">
        <v>510</v>
      </c>
      <c r="D8773" t="s">
        <v>531</v>
      </c>
      <c r="E8773" t="s">
        <v>532</v>
      </c>
      <c r="F8773" t="s">
        <v>410</v>
      </c>
      <c r="G8773">
        <v>28</v>
      </c>
      <c r="I8773">
        <v>28</v>
      </c>
    </row>
    <row r="8774" spans="1:17" x14ac:dyDescent="0.2">
      <c r="A8774" s="121">
        <v>42124</v>
      </c>
      <c r="B8774" t="s">
        <v>406</v>
      </c>
      <c r="C8774" t="s">
        <v>510</v>
      </c>
      <c r="D8774" t="s">
        <v>533</v>
      </c>
      <c r="E8774" t="s">
        <v>534</v>
      </c>
      <c r="F8774" t="s">
        <v>413</v>
      </c>
      <c r="G8774">
        <v>2701</v>
      </c>
      <c r="H8774">
        <v>2701</v>
      </c>
      <c r="I8774">
        <v>2573</v>
      </c>
      <c r="J8774">
        <v>2573</v>
      </c>
      <c r="K8774">
        <v>648</v>
      </c>
      <c r="L8774">
        <v>9</v>
      </c>
      <c r="M8774">
        <v>2030</v>
      </c>
      <c r="N8774">
        <v>14</v>
      </c>
      <c r="O8774">
        <v>0</v>
      </c>
      <c r="P8774">
        <v>3</v>
      </c>
      <c r="Q8774">
        <v>0</v>
      </c>
    </row>
    <row r="8775" spans="1:17" x14ac:dyDescent="0.2">
      <c r="A8775" s="121">
        <v>42124</v>
      </c>
      <c r="B8775" t="s">
        <v>406</v>
      </c>
      <c r="C8775" t="s">
        <v>510</v>
      </c>
      <c r="D8775" t="s">
        <v>535</v>
      </c>
      <c r="E8775" t="s">
        <v>536</v>
      </c>
      <c r="F8775" t="s">
        <v>410</v>
      </c>
      <c r="G8775">
        <v>439</v>
      </c>
      <c r="I8775">
        <v>439</v>
      </c>
    </row>
    <row r="8776" spans="1:17" x14ac:dyDescent="0.2">
      <c r="A8776" s="121">
        <v>42124</v>
      </c>
      <c r="B8776" t="s">
        <v>406</v>
      </c>
      <c r="C8776" t="s">
        <v>510</v>
      </c>
      <c r="D8776" t="s">
        <v>537</v>
      </c>
      <c r="E8776" t="s">
        <v>538</v>
      </c>
      <c r="F8776" t="s">
        <v>410</v>
      </c>
      <c r="G8776">
        <v>92</v>
      </c>
      <c r="I8776">
        <v>92</v>
      </c>
    </row>
    <row r="8777" spans="1:17" x14ac:dyDescent="0.2">
      <c r="A8777" s="121">
        <v>42124</v>
      </c>
      <c r="B8777" t="s">
        <v>406</v>
      </c>
      <c r="C8777" t="s">
        <v>510</v>
      </c>
      <c r="D8777" t="s">
        <v>539</v>
      </c>
      <c r="E8777" t="s">
        <v>540</v>
      </c>
      <c r="F8777" t="s">
        <v>413</v>
      </c>
      <c r="G8777">
        <v>723</v>
      </c>
      <c r="H8777">
        <v>723</v>
      </c>
      <c r="I8777">
        <v>707</v>
      </c>
      <c r="J8777">
        <v>707</v>
      </c>
      <c r="K8777">
        <v>106</v>
      </c>
      <c r="L8777">
        <v>1</v>
      </c>
      <c r="M8777">
        <v>613</v>
      </c>
      <c r="N8777">
        <v>3</v>
      </c>
      <c r="O8777">
        <v>0</v>
      </c>
      <c r="P8777">
        <v>1</v>
      </c>
      <c r="Q8777">
        <v>0</v>
      </c>
    </row>
    <row r="8778" spans="1:17" x14ac:dyDescent="0.2">
      <c r="A8778" s="121">
        <v>42124</v>
      </c>
      <c r="B8778" t="s">
        <v>406</v>
      </c>
      <c r="C8778" t="s">
        <v>510</v>
      </c>
      <c r="D8778" t="s">
        <v>541</v>
      </c>
      <c r="E8778" t="s">
        <v>542</v>
      </c>
      <c r="F8778" t="s">
        <v>410</v>
      </c>
      <c r="G8778">
        <v>362</v>
      </c>
      <c r="I8778">
        <v>362</v>
      </c>
    </row>
    <row r="8779" spans="1:17" x14ac:dyDescent="0.2">
      <c r="A8779" s="121">
        <v>42124</v>
      </c>
      <c r="B8779" t="s">
        <v>406</v>
      </c>
      <c r="C8779" t="s">
        <v>510</v>
      </c>
      <c r="D8779" t="s">
        <v>543</v>
      </c>
      <c r="E8779" t="s">
        <v>544</v>
      </c>
      <c r="F8779" t="s">
        <v>410</v>
      </c>
      <c r="G8779">
        <v>200</v>
      </c>
      <c r="I8779">
        <v>200</v>
      </c>
    </row>
    <row r="8780" spans="1:17" x14ac:dyDescent="0.2">
      <c r="A8780" s="121">
        <v>42124</v>
      </c>
      <c r="B8780" t="s">
        <v>406</v>
      </c>
      <c r="C8780" t="s">
        <v>510</v>
      </c>
      <c r="D8780" t="s">
        <v>545</v>
      </c>
      <c r="E8780" t="s">
        <v>546</v>
      </c>
      <c r="F8780" t="s">
        <v>410</v>
      </c>
      <c r="G8780">
        <v>135</v>
      </c>
      <c r="I8780">
        <v>135</v>
      </c>
    </row>
    <row r="8781" spans="1:17" x14ac:dyDescent="0.2">
      <c r="A8781" s="121">
        <v>42124</v>
      </c>
      <c r="B8781" t="s">
        <v>406</v>
      </c>
      <c r="C8781" t="s">
        <v>510</v>
      </c>
      <c r="D8781" t="s">
        <v>547</v>
      </c>
      <c r="E8781" t="s">
        <v>548</v>
      </c>
      <c r="F8781" t="s">
        <v>410</v>
      </c>
      <c r="G8781">
        <v>156</v>
      </c>
      <c r="I8781">
        <v>156</v>
      </c>
    </row>
    <row r="8782" spans="1:17" x14ac:dyDescent="0.2">
      <c r="A8782" s="121">
        <v>42124</v>
      </c>
      <c r="B8782" t="s">
        <v>406</v>
      </c>
      <c r="C8782" t="s">
        <v>510</v>
      </c>
      <c r="D8782" t="s">
        <v>616</v>
      </c>
      <c r="E8782" t="s">
        <v>617</v>
      </c>
      <c r="F8782" t="s">
        <v>410</v>
      </c>
      <c r="G8782">
        <v>342</v>
      </c>
      <c r="I8782">
        <v>332</v>
      </c>
    </row>
    <row r="8783" spans="1:17" x14ac:dyDescent="0.2">
      <c r="A8783" s="121">
        <v>42124</v>
      </c>
      <c r="B8783" t="s">
        <v>406</v>
      </c>
      <c r="C8783" t="s">
        <v>510</v>
      </c>
      <c r="D8783" t="s">
        <v>549</v>
      </c>
      <c r="E8783" t="s">
        <v>550</v>
      </c>
      <c r="F8783" t="s">
        <v>410</v>
      </c>
      <c r="G8783">
        <v>145</v>
      </c>
      <c r="I8783">
        <v>145</v>
      </c>
    </row>
    <row r="8784" spans="1:17" x14ac:dyDescent="0.2">
      <c r="A8784" s="121">
        <v>42124</v>
      </c>
      <c r="B8784" t="s">
        <v>406</v>
      </c>
      <c r="C8784" t="s">
        <v>510</v>
      </c>
      <c r="D8784" t="s">
        <v>625</v>
      </c>
      <c r="E8784" t="s">
        <v>626</v>
      </c>
      <c r="F8784" t="s">
        <v>410</v>
      </c>
      <c r="G8784">
        <v>89</v>
      </c>
      <c r="I8784">
        <v>87</v>
      </c>
    </row>
    <row r="8785" spans="1:17" x14ac:dyDescent="0.2">
      <c r="A8785" s="121">
        <v>42124</v>
      </c>
      <c r="B8785" t="s">
        <v>406</v>
      </c>
      <c r="C8785" t="s">
        <v>551</v>
      </c>
      <c r="D8785" t="s">
        <v>552</v>
      </c>
      <c r="E8785" t="s">
        <v>553</v>
      </c>
      <c r="F8785" t="s">
        <v>413</v>
      </c>
      <c r="G8785">
        <v>5466</v>
      </c>
      <c r="H8785">
        <v>5466</v>
      </c>
      <c r="I8785">
        <v>5163</v>
      </c>
      <c r="J8785">
        <v>5163</v>
      </c>
      <c r="K8785">
        <v>1846</v>
      </c>
      <c r="L8785">
        <v>62</v>
      </c>
      <c r="M8785">
        <v>3399</v>
      </c>
      <c r="N8785">
        <v>84</v>
      </c>
      <c r="O8785">
        <v>75</v>
      </c>
      <c r="P8785">
        <v>5</v>
      </c>
      <c r="Q8785">
        <v>1</v>
      </c>
    </row>
    <row r="8786" spans="1:17" x14ac:dyDescent="0.2">
      <c r="A8786" s="121">
        <v>42124</v>
      </c>
      <c r="B8786" t="s">
        <v>406</v>
      </c>
      <c r="C8786" t="s">
        <v>551</v>
      </c>
      <c r="D8786" t="s">
        <v>554</v>
      </c>
      <c r="E8786" t="s">
        <v>555</v>
      </c>
      <c r="F8786" t="s">
        <v>410</v>
      </c>
      <c r="G8786">
        <v>55</v>
      </c>
      <c r="I8786">
        <v>55</v>
      </c>
    </row>
    <row r="8787" spans="1:17" x14ac:dyDescent="0.2">
      <c r="A8787" s="121">
        <v>42124</v>
      </c>
      <c r="B8787" t="s">
        <v>406</v>
      </c>
      <c r="C8787" t="s">
        <v>551</v>
      </c>
      <c r="D8787" t="s">
        <v>556</v>
      </c>
      <c r="E8787" t="s">
        <v>557</v>
      </c>
      <c r="F8787" t="s">
        <v>410</v>
      </c>
      <c r="G8787">
        <v>85</v>
      </c>
      <c r="I8787">
        <v>85</v>
      </c>
    </row>
    <row r="8788" spans="1:17" x14ac:dyDescent="0.2">
      <c r="A8788" s="121">
        <v>42124</v>
      </c>
      <c r="B8788" t="s">
        <v>406</v>
      </c>
      <c r="C8788" t="s">
        <v>551</v>
      </c>
      <c r="D8788" t="s">
        <v>558</v>
      </c>
      <c r="E8788" t="s">
        <v>559</v>
      </c>
      <c r="F8788" t="s">
        <v>413</v>
      </c>
      <c r="G8788">
        <v>4838</v>
      </c>
      <c r="H8788">
        <v>4838</v>
      </c>
      <c r="I8788">
        <v>4163</v>
      </c>
      <c r="J8788">
        <v>4163</v>
      </c>
      <c r="K8788">
        <v>1366</v>
      </c>
      <c r="L8788">
        <v>10</v>
      </c>
      <c r="M8788">
        <v>3338</v>
      </c>
      <c r="N8788">
        <v>109</v>
      </c>
      <c r="O8788">
        <v>15</v>
      </c>
      <c r="P8788">
        <v>117</v>
      </c>
      <c r="Q8788">
        <v>51</v>
      </c>
    </row>
    <row r="8789" spans="1:17" x14ac:dyDescent="0.2">
      <c r="A8789" s="121">
        <v>42124</v>
      </c>
      <c r="B8789" t="s">
        <v>406</v>
      </c>
      <c r="C8789" t="s">
        <v>551</v>
      </c>
      <c r="D8789" t="s">
        <v>560</v>
      </c>
      <c r="E8789" t="s">
        <v>561</v>
      </c>
      <c r="F8789" t="s">
        <v>413</v>
      </c>
      <c r="G8789">
        <v>4976</v>
      </c>
      <c r="H8789">
        <v>4976</v>
      </c>
      <c r="I8789">
        <v>4456</v>
      </c>
      <c r="J8789">
        <v>4456</v>
      </c>
      <c r="K8789">
        <v>1032</v>
      </c>
      <c r="L8789">
        <v>5</v>
      </c>
      <c r="M8789">
        <v>3782</v>
      </c>
      <c r="N8789">
        <v>78</v>
      </c>
      <c r="O8789">
        <v>79</v>
      </c>
      <c r="P8789">
        <v>93</v>
      </c>
      <c r="Q8789">
        <v>13</v>
      </c>
    </row>
    <row r="8790" spans="1:17" x14ac:dyDescent="0.2">
      <c r="A8790" s="121">
        <v>42124</v>
      </c>
      <c r="B8790" t="s">
        <v>406</v>
      </c>
      <c r="C8790" t="s">
        <v>562</v>
      </c>
      <c r="D8790" t="s">
        <v>605</v>
      </c>
      <c r="E8790" t="s">
        <v>606</v>
      </c>
      <c r="F8790" t="s">
        <v>410</v>
      </c>
      <c r="G8790">
        <v>108</v>
      </c>
      <c r="I8790">
        <v>108</v>
      </c>
    </row>
    <row r="8791" spans="1:17" x14ac:dyDescent="0.2">
      <c r="A8791" s="121">
        <v>42124</v>
      </c>
      <c r="B8791" t="s">
        <v>406</v>
      </c>
      <c r="C8791" t="s">
        <v>562</v>
      </c>
      <c r="D8791" t="s">
        <v>563</v>
      </c>
      <c r="E8791" t="s">
        <v>564</v>
      </c>
      <c r="F8791" t="s">
        <v>410</v>
      </c>
      <c r="G8791">
        <v>3418</v>
      </c>
      <c r="H8791">
        <v>3418</v>
      </c>
      <c r="I8791">
        <v>3015</v>
      </c>
      <c r="J8791">
        <v>3015</v>
      </c>
      <c r="K8791">
        <v>1102</v>
      </c>
      <c r="L8791">
        <v>0</v>
      </c>
      <c r="M8791">
        <v>2302</v>
      </c>
      <c r="N8791">
        <v>14</v>
      </c>
      <c r="O8791">
        <v>0</v>
      </c>
      <c r="P8791">
        <v>74</v>
      </c>
      <c r="Q8791">
        <v>26</v>
      </c>
    </row>
    <row r="8792" spans="1:17" x14ac:dyDescent="0.2">
      <c r="A8792" s="121">
        <v>42124</v>
      </c>
      <c r="B8792" t="s">
        <v>406</v>
      </c>
      <c r="C8792" t="s">
        <v>562</v>
      </c>
      <c r="D8792" t="s">
        <v>565</v>
      </c>
      <c r="E8792" t="s">
        <v>566</v>
      </c>
      <c r="F8792" t="s">
        <v>413</v>
      </c>
      <c r="G8792">
        <v>4379</v>
      </c>
      <c r="H8792">
        <v>4379</v>
      </c>
      <c r="I8792">
        <v>4085</v>
      </c>
      <c r="J8792">
        <v>4085</v>
      </c>
      <c r="K8792">
        <v>1059</v>
      </c>
      <c r="L8792">
        <v>6</v>
      </c>
      <c r="M8792">
        <v>3237</v>
      </c>
      <c r="N8792">
        <v>77</v>
      </c>
      <c r="O8792">
        <v>0</v>
      </c>
      <c r="P8792">
        <v>19</v>
      </c>
      <c r="Q8792">
        <v>0</v>
      </c>
    </row>
    <row r="8793" spans="1:17" x14ac:dyDescent="0.2">
      <c r="A8793" s="121">
        <v>42124</v>
      </c>
      <c r="B8793" t="s">
        <v>406</v>
      </c>
      <c r="C8793" t="s">
        <v>562</v>
      </c>
      <c r="D8793" t="s">
        <v>567</v>
      </c>
      <c r="E8793" t="s">
        <v>568</v>
      </c>
      <c r="F8793" t="s">
        <v>413</v>
      </c>
      <c r="G8793">
        <v>9440</v>
      </c>
      <c r="H8793">
        <v>9440</v>
      </c>
      <c r="I8793">
        <v>8839</v>
      </c>
      <c r="J8793">
        <v>8839</v>
      </c>
      <c r="K8793">
        <v>2857</v>
      </c>
      <c r="L8793">
        <v>13</v>
      </c>
      <c r="M8793">
        <v>6322</v>
      </c>
      <c r="N8793">
        <v>248</v>
      </c>
      <c r="O8793">
        <v>0</v>
      </c>
      <c r="P8793">
        <v>76</v>
      </c>
      <c r="Q8793">
        <v>2</v>
      </c>
    </row>
    <row r="8794" spans="1:17" x14ac:dyDescent="0.2">
      <c r="A8794" s="121">
        <v>42124</v>
      </c>
      <c r="B8794" t="s">
        <v>406</v>
      </c>
      <c r="C8794" t="s">
        <v>562</v>
      </c>
      <c r="D8794" t="s">
        <v>569</v>
      </c>
      <c r="E8794" t="s">
        <v>570</v>
      </c>
      <c r="F8794" t="s">
        <v>413</v>
      </c>
      <c r="G8794">
        <v>3820</v>
      </c>
      <c r="H8794">
        <v>3820</v>
      </c>
      <c r="I8794">
        <v>3762</v>
      </c>
      <c r="J8794">
        <v>3762</v>
      </c>
      <c r="K8794">
        <v>460</v>
      </c>
      <c r="L8794">
        <v>0</v>
      </c>
      <c r="M8794">
        <v>3360</v>
      </c>
      <c r="N8794">
        <v>0</v>
      </c>
      <c r="O8794">
        <v>0</v>
      </c>
      <c r="P8794">
        <v>1</v>
      </c>
      <c r="Q8794">
        <v>0</v>
      </c>
    </row>
    <row r="8795" spans="1:17" x14ac:dyDescent="0.2">
      <c r="A8795" s="121">
        <v>42124</v>
      </c>
      <c r="B8795" t="s">
        <v>406</v>
      </c>
      <c r="C8795" t="s">
        <v>571</v>
      </c>
      <c r="D8795" t="s">
        <v>572</v>
      </c>
      <c r="E8795" t="s">
        <v>627</v>
      </c>
      <c r="F8795" t="s">
        <v>413</v>
      </c>
      <c r="G8795">
        <v>409</v>
      </c>
      <c r="H8795">
        <v>409</v>
      </c>
      <c r="I8795">
        <v>400</v>
      </c>
      <c r="J8795">
        <v>400</v>
      </c>
      <c r="K8795">
        <v>128</v>
      </c>
      <c r="L8795">
        <v>0</v>
      </c>
      <c r="M8795">
        <v>280</v>
      </c>
      <c r="N8795">
        <v>0</v>
      </c>
      <c r="O8795">
        <v>1</v>
      </c>
      <c r="P8795">
        <v>0</v>
      </c>
      <c r="Q8795">
        <v>0</v>
      </c>
    </row>
    <row r="8796" spans="1:17" x14ac:dyDescent="0.2">
      <c r="A8796" s="121">
        <v>42124</v>
      </c>
      <c r="B8796" t="s">
        <v>406</v>
      </c>
      <c r="C8796" t="s">
        <v>574</v>
      </c>
      <c r="D8796" t="s">
        <v>575</v>
      </c>
      <c r="E8796" t="s">
        <v>576</v>
      </c>
      <c r="F8796" t="s">
        <v>413</v>
      </c>
      <c r="G8796">
        <v>621</v>
      </c>
      <c r="H8796">
        <v>621</v>
      </c>
      <c r="I8796">
        <v>603</v>
      </c>
      <c r="J8796">
        <v>603</v>
      </c>
      <c r="K8796">
        <v>154</v>
      </c>
      <c r="L8796">
        <v>1</v>
      </c>
      <c r="M8796">
        <v>442</v>
      </c>
      <c r="N8796">
        <v>5</v>
      </c>
      <c r="O8796">
        <v>19</v>
      </c>
      <c r="P8796">
        <v>1</v>
      </c>
      <c r="Q8796">
        <v>1</v>
      </c>
    </row>
    <row r="8797" spans="1:17" x14ac:dyDescent="0.2">
      <c r="A8797" s="121">
        <v>42124</v>
      </c>
      <c r="B8797" t="s">
        <v>406</v>
      </c>
      <c r="C8797" t="s">
        <v>577</v>
      </c>
      <c r="D8797" t="s">
        <v>578</v>
      </c>
      <c r="E8797" t="s">
        <v>579</v>
      </c>
      <c r="F8797" t="s">
        <v>413</v>
      </c>
      <c r="G8797">
        <v>3928</v>
      </c>
      <c r="H8797">
        <v>3928</v>
      </c>
      <c r="I8797">
        <v>3849</v>
      </c>
      <c r="J8797">
        <v>3849</v>
      </c>
      <c r="K8797">
        <v>1066</v>
      </c>
      <c r="L8797">
        <v>8</v>
      </c>
      <c r="M8797">
        <v>2568</v>
      </c>
      <c r="N8797">
        <v>285</v>
      </c>
      <c r="O8797">
        <v>1</v>
      </c>
      <c r="P8797">
        <v>0</v>
      </c>
      <c r="Q8797">
        <v>0</v>
      </c>
    </row>
    <row r="8798" spans="1:17" x14ac:dyDescent="0.2">
      <c r="A8798" s="121">
        <v>42124</v>
      </c>
      <c r="B8798" t="s">
        <v>406</v>
      </c>
      <c r="C8798" t="s">
        <v>577</v>
      </c>
      <c r="D8798" t="s">
        <v>580</v>
      </c>
      <c r="E8798" t="s">
        <v>581</v>
      </c>
      <c r="F8798" t="s">
        <v>413</v>
      </c>
      <c r="G8798">
        <v>2083</v>
      </c>
      <c r="H8798">
        <v>2083</v>
      </c>
      <c r="I8798">
        <v>2055</v>
      </c>
      <c r="J8798">
        <v>2055</v>
      </c>
      <c r="K8798">
        <v>340</v>
      </c>
      <c r="L8798">
        <v>3</v>
      </c>
      <c r="M8798">
        <v>1396</v>
      </c>
      <c r="N8798">
        <v>342</v>
      </c>
      <c r="O8798">
        <v>2</v>
      </c>
      <c r="P8798">
        <v>1</v>
      </c>
      <c r="Q8798">
        <v>1</v>
      </c>
    </row>
    <row r="8799" spans="1:17" x14ac:dyDescent="0.2">
      <c r="A8799" s="121">
        <v>42124</v>
      </c>
      <c r="B8799" t="s">
        <v>406</v>
      </c>
      <c r="C8799" t="s">
        <v>577</v>
      </c>
      <c r="D8799" t="s">
        <v>609</v>
      </c>
      <c r="E8799" t="s">
        <v>610</v>
      </c>
      <c r="F8799" t="s">
        <v>410</v>
      </c>
      <c r="G8799">
        <v>31</v>
      </c>
      <c r="H8799">
        <v>31</v>
      </c>
      <c r="I8799">
        <v>31</v>
      </c>
      <c r="J8799">
        <v>31</v>
      </c>
      <c r="K8799">
        <v>0</v>
      </c>
      <c r="L8799">
        <v>0</v>
      </c>
      <c r="M8799">
        <v>28</v>
      </c>
      <c r="N8799">
        <v>2</v>
      </c>
      <c r="O8799">
        <v>1</v>
      </c>
      <c r="P8799">
        <v>0</v>
      </c>
      <c r="Q8799">
        <v>0</v>
      </c>
    </row>
    <row r="8800" spans="1:17" x14ac:dyDescent="0.2">
      <c r="A8800" s="121">
        <v>42124</v>
      </c>
      <c r="B8800" t="s">
        <v>406</v>
      </c>
      <c r="C8800" t="s">
        <v>577</v>
      </c>
      <c r="D8800" t="s">
        <v>611</v>
      </c>
      <c r="E8800" t="s">
        <v>612</v>
      </c>
      <c r="F8800" t="s">
        <v>410</v>
      </c>
      <c r="G8800">
        <v>10</v>
      </c>
      <c r="H8800">
        <v>10</v>
      </c>
      <c r="I8800">
        <v>10</v>
      </c>
      <c r="J8800">
        <v>10</v>
      </c>
      <c r="K8800">
        <v>0</v>
      </c>
      <c r="L8800">
        <v>0</v>
      </c>
      <c r="M8800">
        <v>9</v>
      </c>
      <c r="N8800">
        <v>1</v>
      </c>
      <c r="O8800">
        <v>0</v>
      </c>
      <c r="P8800">
        <v>0</v>
      </c>
      <c r="Q8800">
        <v>0</v>
      </c>
    </row>
    <row r="8801" spans="1:17" x14ac:dyDescent="0.2">
      <c r="A8801" s="121">
        <v>42124</v>
      </c>
      <c r="B8801" t="s">
        <v>406</v>
      </c>
      <c r="C8801" t="s">
        <v>577</v>
      </c>
      <c r="D8801" t="s">
        <v>584</v>
      </c>
      <c r="E8801" t="s">
        <v>585</v>
      </c>
      <c r="F8801" t="s">
        <v>410</v>
      </c>
      <c r="G8801">
        <v>310</v>
      </c>
      <c r="H8801">
        <v>310</v>
      </c>
      <c r="I8801">
        <v>310</v>
      </c>
      <c r="J8801">
        <v>310</v>
      </c>
      <c r="K8801">
        <v>0</v>
      </c>
      <c r="L8801">
        <v>0</v>
      </c>
      <c r="M8801">
        <v>288</v>
      </c>
      <c r="N8801">
        <v>21</v>
      </c>
      <c r="O8801">
        <v>1</v>
      </c>
      <c r="P8801">
        <v>0</v>
      </c>
      <c r="Q8801">
        <v>0</v>
      </c>
    </row>
    <row r="8802" spans="1:17" x14ac:dyDescent="0.2">
      <c r="A8802" s="121">
        <v>42124</v>
      </c>
      <c r="B8802" t="s">
        <v>406</v>
      </c>
      <c r="C8802" t="s">
        <v>577</v>
      </c>
      <c r="D8802" t="s">
        <v>586</v>
      </c>
      <c r="E8802" t="s">
        <v>587</v>
      </c>
      <c r="F8802" t="s">
        <v>410</v>
      </c>
      <c r="G8802">
        <v>1276</v>
      </c>
      <c r="H8802">
        <v>1276</v>
      </c>
      <c r="I8802">
        <v>1276</v>
      </c>
      <c r="J8802">
        <v>1276</v>
      </c>
      <c r="K8802">
        <v>0</v>
      </c>
      <c r="L8802">
        <v>0</v>
      </c>
      <c r="M8802">
        <v>1139</v>
      </c>
      <c r="N8802">
        <v>131</v>
      </c>
      <c r="O8802">
        <v>6</v>
      </c>
      <c r="P8802">
        <v>0</v>
      </c>
      <c r="Q8802">
        <v>0</v>
      </c>
    </row>
    <row r="8803" spans="1:17" x14ac:dyDescent="0.2">
      <c r="A8803" s="121">
        <v>42124</v>
      </c>
      <c r="B8803" t="s">
        <v>406</v>
      </c>
      <c r="C8803" t="s">
        <v>577</v>
      </c>
      <c r="D8803" t="s">
        <v>588</v>
      </c>
      <c r="E8803" t="s">
        <v>589</v>
      </c>
      <c r="F8803" t="s">
        <v>410</v>
      </c>
      <c r="G8803">
        <v>279</v>
      </c>
      <c r="H8803">
        <v>279</v>
      </c>
      <c r="I8803">
        <v>279</v>
      </c>
      <c r="J8803">
        <v>279</v>
      </c>
      <c r="K8803">
        <v>0</v>
      </c>
      <c r="L8803">
        <v>0</v>
      </c>
      <c r="M8803">
        <v>257</v>
      </c>
      <c r="N8803">
        <v>22</v>
      </c>
      <c r="O8803">
        <v>0</v>
      </c>
      <c r="P8803">
        <v>0</v>
      </c>
      <c r="Q8803">
        <v>0</v>
      </c>
    </row>
    <row r="8804" spans="1:17" x14ac:dyDescent="0.2">
      <c r="A8804" s="121">
        <v>42124</v>
      </c>
      <c r="B8804" t="s">
        <v>406</v>
      </c>
      <c r="C8804" t="s">
        <v>577</v>
      </c>
      <c r="D8804" t="s">
        <v>613</v>
      </c>
      <c r="E8804" t="s">
        <v>614</v>
      </c>
      <c r="F8804" t="s">
        <v>410</v>
      </c>
      <c r="G8804">
        <v>182</v>
      </c>
      <c r="H8804">
        <v>182</v>
      </c>
      <c r="I8804">
        <v>182</v>
      </c>
      <c r="J8804">
        <v>182</v>
      </c>
      <c r="K8804">
        <v>1</v>
      </c>
      <c r="L8804">
        <v>0</v>
      </c>
      <c r="M8804">
        <v>158</v>
      </c>
      <c r="N8804">
        <v>15</v>
      </c>
      <c r="O8804">
        <v>8</v>
      </c>
      <c r="P8804">
        <v>0</v>
      </c>
      <c r="Q8804">
        <v>0</v>
      </c>
    </row>
    <row r="8805" spans="1:17" x14ac:dyDescent="0.2">
      <c r="A8805" s="121">
        <v>42124</v>
      </c>
      <c r="B8805" t="s">
        <v>406</v>
      </c>
      <c r="C8805" t="s">
        <v>577</v>
      </c>
      <c r="D8805" t="s">
        <v>590</v>
      </c>
      <c r="E8805" t="s">
        <v>591</v>
      </c>
      <c r="F8805" t="s">
        <v>410</v>
      </c>
      <c r="G8805">
        <v>661</v>
      </c>
      <c r="H8805">
        <v>661</v>
      </c>
      <c r="I8805">
        <v>661</v>
      </c>
      <c r="J8805">
        <v>661</v>
      </c>
      <c r="K8805">
        <v>0</v>
      </c>
      <c r="L8805">
        <v>0</v>
      </c>
      <c r="M8805">
        <v>615</v>
      </c>
      <c r="N8805">
        <v>44</v>
      </c>
      <c r="O8805">
        <v>2</v>
      </c>
      <c r="P8805">
        <v>0</v>
      </c>
      <c r="Q8805">
        <v>0</v>
      </c>
    </row>
    <row r="8806" spans="1:17" x14ac:dyDescent="0.2">
      <c r="A8806" s="121">
        <v>42124</v>
      </c>
      <c r="B8806" t="s">
        <v>406</v>
      </c>
      <c r="C8806" t="s">
        <v>577</v>
      </c>
      <c r="D8806" t="s">
        <v>607</v>
      </c>
      <c r="E8806" t="s">
        <v>608</v>
      </c>
      <c r="F8806" t="s">
        <v>410</v>
      </c>
      <c r="G8806">
        <v>237</v>
      </c>
      <c r="H8806">
        <v>237</v>
      </c>
      <c r="I8806">
        <v>237</v>
      </c>
      <c r="J8806">
        <v>237</v>
      </c>
      <c r="K8806">
        <v>0</v>
      </c>
      <c r="L8806">
        <v>0</v>
      </c>
      <c r="M8806">
        <v>220</v>
      </c>
      <c r="N8806">
        <v>15</v>
      </c>
      <c r="O8806">
        <v>2</v>
      </c>
      <c r="P8806">
        <v>0</v>
      </c>
      <c r="Q8806">
        <v>0</v>
      </c>
    </row>
    <row r="8807" spans="1:17" x14ac:dyDescent="0.2">
      <c r="A8807" s="121">
        <v>42124</v>
      </c>
      <c r="B8807" t="s">
        <v>406</v>
      </c>
      <c r="C8807" t="s">
        <v>577</v>
      </c>
      <c r="D8807" t="s">
        <v>592</v>
      </c>
      <c r="E8807" t="s">
        <v>593</v>
      </c>
      <c r="F8807" t="s">
        <v>410</v>
      </c>
      <c r="G8807">
        <v>552</v>
      </c>
      <c r="H8807">
        <v>552</v>
      </c>
      <c r="I8807">
        <v>552</v>
      </c>
      <c r="J8807">
        <v>552</v>
      </c>
      <c r="K8807">
        <v>0</v>
      </c>
      <c r="L8807">
        <v>1</v>
      </c>
      <c r="M8807">
        <v>501</v>
      </c>
      <c r="N8807">
        <v>46</v>
      </c>
      <c r="O8807">
        <v>4</v>
      </c>
      <c r="P8807">
        <v>0</v>
      </c>
      <c r="Q8807">
        <v>0</v>
      </c>
    </row>
    <row r="8808" spans="1:17" x14ac:dyDescent="0.2">
      <c r="A8808" s="121">
        <v>42124</v>
      </c>
      <c r="B8808" t="s">
        <v>406</v>
      </c>
      <c r="C8808" t="s">
        <v>594</v>
      </c>
      <c r="D8808" t="s">
        <v>595</v>
      </c>
      <c r="E8808" t="s">
        <v>596</v>
      </c>
      <c r="F8808" t="s">
        <v>410</v>
      </c>
      <c r="G8808">
        <v>35</v>
      </c>
      <c r="I8808">
        <v>35</v>
      </c>
    </row>
    <row r="8809" spans="1:17" x14ac:dyDescent="0.2">
      <c r="A8809" s="121">
        <v>42124</v>
      </c>
      <c r="B8809" t="s">
        <v>406</v>
      </c>
      <c r="C8809" t="s">
        <v>594</v>
      </c>
      <c r="D8809" t="s">
        <v>597</v>
      </c>
      <c r="E8809" t="s">
        <v>598</v>
      </c>
      <c r="F8809" t="s">
        <v>413</v>
      </c>
      <c r="G8809">
        <v>570</v>
      </c>
      <c r="H8809">
        <v>570</v>
      </c>
      <c r="I8809">
        <v>551</v>
      </c>
      <c r="J8809">
        <v>551</v>
      </c>
      <c r="K8809">
        <v>126</v>
      </c>
      <c r="L8809">
        <v>0</v>
      </c>
      <c r="M8809">
        <v>432</v>
      </c>
      <c r="N8809">
        <v>7</v>
      </c>
      <c r="O8809">
        <v>5</v>
      </c>
      <c r="P8809">
        <v>2</v>
      </c>
      <c r="Q8809">
        <v>0</v>
      </c>
    </row>
    <row r="8810" spans="1:17" x14ac:dyDescent="0.2">
      <c r="A8810" s="121">
        <v>42124</v>
      </c>
      <c r="B8810" t="s">
        <v>406</v>
      </c>
      <c r="C8810" t="s">
        <v>594</v>
      </c>
      <c r="D8810" t="s">
        <v>599</v>
      </c>
      <c r="E8810" t="s">
        <v>600</v>
      </c>
      <c r="F8810" t="s">
        <v>410</v>
      </c>
      <c r="G8810">
        <v>107</v>
      </c>
      <c r="I8810">
        <v>107</v>
      </c>
    </row>
    <row r="8811" spans="1:17" x14ac:dyDescent="0.2">
      <c r="A8811" s="121">
        <v>42155</v>
      </c>
      <c r="B8811" t="s">
        <v>406</v>
      </c>
      <c r="C8811" t="s">
        <v>407</v>
      </c>
      <c r="D8811" t="s">
        <v>408</v>
      </c>
      <c r="E8811" t="s">
        <v>409</v>
      </c>
      <c r="F8811" t="s">
        <v>410</v>
      </c>
      <c r="G8811">
        <v>235</v>
      </c>
      <c r="I8811">
        <v>233</v>
      </c>
    </row>
    <row r="8812" spans="1:17" x14ac:dyDescent="0.2">
      <c r="A8812" s="121">
        <v>42155</v>
      </c>
      <c r="B8812" t="s">
        <v>406</v>
      </c>
      <c r="C8812" t="s">
        <v>407</v>
      </c>
      <c r="D8812" t="s">
        <v>601</v>
      </c>
      <c r="E8812" t="s">
        <v>602</v>
      </c>
      <c r="F8812" t="s">
        <v>410</v>
      </c>
      <c r="G8812">
        <v>44</v>
      </c>
      <c r="I8812">
        <v>44</v>
      </c>
    </row>
    <row r="8813" spans="1:17" x14ac:dyDescent="0.2">
      <c r="A8813" s="121">
        <v>42155</v>
      </c>
      <c r="B8813" t="s">
        <v>406</v>
      </c>
      <c r="C8813" t="s">
        <v>407</v>
      </c>
      <c r="D8813" t="s">
        <v>411</v>
      </c>
      <c r="E8813" t="s">
        <v>412</v>
      </c>
      <c r="F8813" t="s">
        <v>413</v>
      </c>
      <c r="G8813">
        <v>6335</v>
      </c>
      <c r="H8813">
        <v>6335</v>
      </c>
      <c r="I8813">
        <v>5589</v>
      </c>
      <c r="J8813">
        <v>5589</v>
      </c>
      <c r="K8813">
        <v>2607</v>
      </c>
      <c r="L8813">
        <v>10</v>
      </c>
      <c r="M8813">
        <v>3250</v>
      </c>
      <c r="N8813">
        <v>108</v>
      </c>
      <c r="O8813">
        <v>360</v>
      </c>
      <c r="P8813">
        <v>68</v>
      </c>
      <c r="Q8813">
        <v>13</v>
      </c>
    </row>
    <row r="8814" spans="1:17" x14ac:dyDescent="0.2">
      <c r="A8814" s="121">
        <v>42155</v>
      </c>
      <c r="B8814" t="s">
        <v>406</v>
      </c>
      <c r="C8814" t="s">
        <v>407</v>
      </c>
      <c r="D8814" t="s">
        <v>416</v>
      </c>
      <c r="E8814" t="s">
        <v>417</v>
      </c>
      <c r="F8814" t="s">
        <v>413</v>
      </c>
      <c r="G8814">
        <v>3843</v>
      </c>
      <c r="H8814">
        <v>3843</v>
      </c>
      <c r="I8814">
        <v>3404</v>
      </c>
      <c r="J8814">
        <v>3404</v>
      </c>
      <c r="K8814">
        <v>1387</v>
      </c>
      <c r="L8814">
        <v>8</v>
      </c>
      <c r="M8814">
        <v>2304</v>
      </c>
      <c r="N8814">
        <v>97</v>
      </c>
      <c r="O8814">
        <v>47</v>
      </c>
      <c r="P8814">
        <v>46</v>
      </c>
      <c r="Q8814">
        <v>8</v>
      </c>
    </row>
    <row r="8815" spans="1:17" x14ac:dyDescent="0.2">
      <c r="A8815" s="121">
        <v>42155</v>
      </c>
      <c r="B8815" t="s">
        <v>406</v>
      </c>
      <c r="C8815" t="s">
        <v>407</v>
      </c>
      <c r="D8815" t="s">
        <v>618</v>
      </c>
      <c r="E8815" t="s">
        <v>619</v>
      </c>
      <c r="F8815" t="s">
        <v>410</v>
      </c>
      <c r="G8815">
        <v>96</v>
      </c>
      <c r="I8815">
        <v>96</v>
      </c>
    </row>
    <row r="8816" spans="1:17" x14ac:dyDescent="0.2">
      <c r="A8816" s="121">
        <v>42155</v>
      </c>
      <c r="B8816" t="s">
        <v>406</v>
      </c>
      <c r="C8816" t="s">
        <v>418</v>
      </c>
      <c r="D8816" t="s">
        <v>419</v>
      </c>
      <c r="E8816" t="s">
        <v>420</v>
      </c>
      <c r="F8816" t="s">
        <v>410</v>
      </c>
      <c r="G8816">
        <v>10</v>
      </c>
      <c r="I8816">
        <v>10</v>
      </c>
    </row>
    <row r="8817" spans="1:17" x14ac:dyDescent="0.2">
      <c r="A8817" s="121">
        <v>42155</v>
      </c>
      <c r="B8817" t="s">
        <v>406</v>
      </c>
      <c r="C8817" t="s">
        <v>418</v>
      </c>
      <c r="D8817" t="s">
        <v>421</v>
      </c>
      <c r="E8817" t="s">
        <v>422</v>
      </c>
      <c r="F8817" t="s">
        <v>410</v>
      </c>
      <c r="G8817">
        <v>74</v>
      </c>
      <c r="I8817">
        <v>74</v>
      </c>
    </row>
    <row r="8818" spans="1:17" x14ac:dyDescent="0.2">
      <c r="A8818" s="121">
        <v>42155</v>
      </c>
      <c r="B8818" t="s">
        <v>406</v>
      </c>
      <c r="C8818" t="s">
        <v>418</v>
      </c>
      <c r="D8818" t="s">
        <v>423</v>
      </c>
      <c r="E8818" t="s">
        <v>424</v>
      </c>
      <c r="F8818" t="s">
        <v>410</v>
      </c>
      <c r="G8818">
        <v>12</v>
      </c>
      <c r="I8818">
        <v>12</v>
      </c>
    </row>
    <row r="8819" spans="1:17" x14ac:dyDescent="0.2">
      <c r="A8819" s="121">
        <v>42155</v>
      </c>
      <c r="B8819" t="s">
        <v>406</v>
      </c>
      <c r="C8819" t="s">
        <v>418</v>
      </c>
      <c r="D8819" t="s">
        <v>425</v>
      </c>
      <c r="E8819" t="s">
        <v>426</v>
      </c>
      <c r="F8819" t="s">
        <v>410</v>
      </c>
      <c r="G8819">
        <v>42</v>
      </c>
      <c r="I8819">
        <v>42</v>
      </c>
    </row>
    <row r="8820" spans="1:17" x14ac:dyDescent="0.2">
      <c r="A8820" s="121">
        <v>42155</v>
      </c>
      <c r="B8820" t="s">
        <v>406</v>
      </c>
      <c r="C8820" t="s">
        <v>418</v>
      </c>
      <c r="D8820" t="s">
        <v>427</v>
      </c>
      <c r="E8820" t="s">
        <v>428</v>
      </c>
      <c r="F8820" t="s">
        <v>413</v>
      </c>
      <c r="G8820">
        <v>2411</v>
      </c>
      <c r="H8820">
        <v>2411</v>
      </c>
      <c r="I8820">
        <v>2326</v>
      </c>
      <c r="J8820">
        <v>2326</v>
      </c>
      <c r="K8820">
        <v>831</v>
      </c>
      <c r="L8820">
        <v>3</v>
      </c>
      <c r="M8820">
        <v>1387</v>
      </c>
      <c r="N8820">
        <v>173</v>
      </c>
      <c r="O8820">
        <v>17</v>
      </c>
      <c r="P8820">
        <v>1</v>
      </c>
      <c r="Q8820">
        <v>0</v>
      </c>
    </row>
    <row r="8821" spans="1:17" x14ac:dyDescent="0.2">
      <c r="A8821" s="121">
        <v>42155</v>
      </c>
      <c r="B8821" t="s">
        <v>406</v>
      </c>
      <c r="C8821" t="s">
        <v>429</v>
      </c>
      <c r="D8821" t="s">
        <v>430</v>
      </c>
      <c r="E8821" t="s">
        <v>431</v>
      </c>
      <c r="F8821" t="s">
        <v>410</v>
      </c>
      <c r="G8821">
        <v>21</v>
      </c>
      <c r="I8821">
        <v>21</v>
      </c>
    </row>
    <row r="8822" spans="1:17" x14ac:dyDescent="0.2">
      <c r="A8822" s="121">
        <v>42155</v>
      </c>
      <c r="B8822" t="s">
        <v>406</v>
      </c>
      <c r="C8822" t="s">
        <v>429</v>
      </c>
      <c r="D8822" t="s">
        <v>432</v>
      </c>
      <c r="E8822" t="s">
        <v>433</v>
      </c>
      <c r="F8822" t="s">
        <v>410</v>
      </c>
      <c r="G8822">
        <v>20</v>
      </c>
      <c r="I8822">
        <v>20</v>
      </c>
    </row>
    <row r="8823" spans="1:17" x14ac:dyDescent="0.2">
      <c r="A8823" s="121">
        <v>42155</v>
      </c>
      <c r="B8823" t="s">
        <v>406</v>
      </c>
      <c r="C8823" t="s">
        <v>429</v>
      </c>
      <c r="D8823" t="s">
        <v>434</v>
      </c>
      <c r="E8823" t="s">
        <v>435</v>
      </c>
      <c r="F8823" t="s">
        <v>410</v>
      </c>
      <c r="G8823">
        <v>6</v>
      </c>
      <c r="I8823">
        <v>6</v>
      </c>
    </row>
    <row r="8824" spans="1:17" x14ac:dyDescent="0.2">
      <c r="A8824" s="121">
        <v>42155</v>
      </c>
      <c r="B8824" t="s">
        <v>406</v>
      </c>
      <c r="C8824" t="s">
        <v>429</v>
      </c>
      <c r="D8824" t="s">
        <v>436</v>
      </c>
      <c r="E8824" t="s">
        <v>437</v>
      </c>
      <c r="F8824" t="s">
        <v>410</v>
      </c>
      <c r="G8824">
        <v>19</v>
      </c>
      <c r="H8824">
        <v>19</v>
      </c>
      <c r="I8824">
        <v>19</v>
      </c>
      <c r="J8824">
        <v>19</v>
      </c>
      <c r="K8824">
        <v>0</v>
      </c>
      <c r="L8824">
        <v>0</v>
      </c>
      <c r="M8824">
        <v>19</v>
      </c>
      <c r="N8824">
        <v>0</v>
      </c>
      <c r="O8824">
        <v>0</v>
      </c>
      <c r="P8824">
        <v>0</v>
      </c>
      <c r="Q8824">
        <v>0</v>
      </c>
    </row>
    <row r="8825" spans="1:17" x14ac:dyDescent="0.2">
      <c r="A8825" s="121">
        <v>42155</v>
      </c>
      <c r="B8825" t="s">
        <v>406</v>
      </c>
      <c r="C8825" t="s">
        <v>429</v>
      </c>
      <c r="D8825" t="s">
        <v>438</v>
      </c>
      <c r="E8825" t="s">
        <v>439</v>
      </c>
      <c r="F8825" t="s">
        <v>413</v>
      </c>
      <c r="G8825">
        <v>1065</v>
      </c>
      <c r="H8825">
        <v>1065</v>
      </c>
      <c r="I8825">
        <v>1042</v>
      </c>
      <c r="J8825">
        <v>1042</v>
      </c>
      <c r="K8825">
        <v>117</v>
      </c>
      <c r="L8825">
        <v>2</v>
      </c>
      <c r="M8825">
        <v>915</v>
      </c>
      <c r="N8825">
        <v>31</v>
      </c>
      <c r="O8825">
        <v>0</v>
      </c>
      <c r="P8825">
        <v>1</v>
      </c>
      <c r="Q8825">
        <v>0</v>
      </c>
    </row>
    <row r="8826" spans="1:17" x14ac:dyDescent="0.2">
      <c r="A8826" s="121">
        <v>42155</v>
      </c>
      <c r="B8826" t="s">
        <v>406</v>
      </c>
      <c r="C8826" t="s">
        <v>429</v>
      </c>
      <c r="D8826" t="s">
        <v>440</v>
      </c>
      <c r="E8826" t="s">
        <v>441</v>
      </c>
      <c r="F8826" t="s">
        <v>413</v>
      </c>
      <c r="G8826">
        <v>2939</v>
      </c>
      <c r="H8826">
        <v>2939</v>
      </c>
      <c r="I8826">
        <v>2851</v>
      </c>
      <c r="J8826">
        <v>2851</v>
      </c>
      <c r="K8826">
        <v>986</v>
      </c>
      <c r="L8826">
        <v>3</v>
      </c>
      <c r="M8826">
        <v>1832</v>
      </c>
      <c r="N8826">
        <v>60</v>
      </c>
      <c r="O8826">
        <v>58</v>
      </c>
      <c r="P8826">
        <v>2</v>
      </c>
      <c r="Q8826">
        <v>0</v>
      </c>
    </row>
    <row r="8827" spans="1:17" x14ac:dyDescent="0.2">
      <c r="A8827" s="121">
        <v>42155</v>
      </c>
      <c r="B8827" t="s">
        <v>406</v>
      </c>
      <c r="C8827" t="s">
        <v>442</v>
      </c>
      <c r="D8827" t="s">
        <v>443</v>
      </c>
      <c r="E8827" t="s">
        <v>444</v>
      </c>
      <c r="F8827" t="s">
        <v>413</v>
      </c>
      <c r="G8827">
        <v>5399</v>
      </c>
      <c r="H8827">
        <v>5399</v>
      </c>
      <c r="I8827">
        <v>5226</v>
      </c>
      <c r="J8827">
        <v>5226</v>
      </c>
      <c r="K8827">
        <v>1250</v>
      </c>
      <c r="L8827">
        <v>9</v>
      </c>
      <c r="M8827">
        <v>3809</v>
      </c>
      <c r="N8827">
        <v>163</v>
      </c>
      <c r="O8827">
        <v>168</v>
      </c>
      <c r="P8827">
        <v>5</v>
      </c>
      <c r="Q8827">
        <v>0</v>
      </c>
    </row>
    <row r="8828" spans="1:17" x14ac:dyDescent="0.2">
      <c r="A8828" s="121">
        <v>42155</v>
      </c>
      <c r="B8828" t="s">
        <v>406</v>
      </c>
      <c r="C8828" t="s">
        <v>442</v>
      </c>
      <c r="D8828" t="s">
        <v>445</v>
      </c>
      <c r="E8828" t="s">
        <v>446</v>
      </c>
      <c r="F8828" t="s">
        <v>410</v>
      </c>
      <c r="G8828">
        <v>131</v>
      </c>
      <c r="I8828">
        <v>131</v>
      </c>
    </row>
    <row r="8829" spans="1:17" x14ac:dyDescent="0.2">
      <c r="A8829" s="121">
        <v>42155</v>
      </c>
      <c r="B8829" t="s">
        <v>406</v>
      </c>
      <c r="C8829" t="s">
        <v>442</v>
      </c>
      <c r="D8829" t="s">
        <v>447</v>
      </c>
      <c r="E8829" t="s">
        <v>448</v>
      </c>
      <c r="F8829" t="s">
        <v>410</v>
      </c>
      <c r="G8829">
        <v>376</v>
      </c>
      <c r="I8829">
        <v>376</v>
      </c>
    </row>
    <row r="8830" spans="1:17" x14ac:dyDescent="0.2">
      <c r="A8830" s="121">
        <v>42155</v>
      </c>
      <c r="B8830" t="s">
        <v>406</v>
      </c>
      <c r="C8830" t="s">
        <v>442</v>
      </c>
      <c r="D8830" t="s">
        <v>449</v>
      </c>
      <c r="E8830" t="s">
        <v>624</v>
      </c>
      <c r="F8830" t="s">
        <v>410</v>
      </c>
      <c r="G8830">
        <v>1889</v>
      </c>
      <c r="H8830">
        <v>1889</v>
      </c>
      <c r="I8830">
        <v>1888</v>
      </c>
      <c r="J8830">
        <v>1888</v>
      </c>
      <c r="K8830">
        <v>8</v>
      </c>
      <c r="L8830">
        <v>0</v>
      </c>
      <c r="M8830">
        <v>1708</v>
      </c>
      <c r="N8830">
        <v>145</v>
      </c>
      <c r="O8830">
        <v>28</v>
      </c>
      <c r="P8830">
        <v>0</v>
      </c>
      <c r="Q8830">
        <v>0</v>
      </c>
    </row>
    <row r="8831" spans="1:17" x14ac:dyDescent="0.2">
      <c r="A8831" s="121">
        <v>42155</v>
      </c>
      <c r="B8831" t="s">
        <v>406</v>
      </c>
      <c r="C8831" t="s">
        <v>451</v>
      </c>
      <c r="D8831" t="s">
        <v>454</v>
      </c>
      <c r="E8831" t="s">
        <v>621</v>
      </c>
      <c r="F8831" t="s">
        <v>410</v>
      </c>
      <c r="G8831">
        <v>1421</v>
      </c>
      <c r="H8831">
        <v>1421</v>
      </c>
      <c r="I8831">
        <v>1421</v>
      </c>
      <c r="J8831">
        <v>1421</v>
      </c>
      <c r="K8831">
        <v>1</v>
      </c>
      <c r="L8831">
        <v>0</v>
      </c>
      <c r="M8831">
        <v>1008</v>
      </c>
      <c r="N8831">
        <v>58</v>
      </c>
      <c r="O8831">
        <v>354</v>
      </c>
      <c r="P8831">
        <v>0</v>
      </c>
      <c r="Q8831">
        <v>0</v>
      </c>
    </row>
    <row r="8832" spans="1:17" x14ac:dyDescent="0.2">
      <c r="A8832" s="121">
        <v>42155</v>
      </c>
      <c r="B8832" t="s">
        <v>406</v>
      </c>
      <c r="C8832" t="s">
        <v>451</v>
      </c>
      <c r="D8832" t="s">
        <v>622</v>
      </c>
      <c r="E8832" t="s">
        <v>623</v>
      </c>
      <c r="F8832" t="s">
        <v>413</v>
      </c>
      <c r="G8832">
        <v>5311</v>
      </c>
      <c r="H8832">
        <v>5311</v>
      </c>
      <c r="I8832">
        <v>4821</v>
      </c>
      <c r="J8832">
        <v>4821</v>
      </c>
      <c r="K8832">
        <v>1382</v>
      </c>
      <c r="L8832">
        <v>17</v>
      </c>
      <c r="M8832">
        <v>2992</v>
      </c>
      <c r="N8832">
        <v>51</v>
      </c>
      <c r="O8832">
        <v>869</v>
      </c>
      <c r="P8832">
        <v>30</v>
      </c>
      <c r="Q8832">
        <v>0</v>
      </c>
    </row>
    <row r="8833" spans="1:17" x14ac:dyDescent="0.2">
      <c r="A8833" s="121">
        <v>42155</v>
      </c>
      <c r="B8833" t="s">
        <v>406</v>
      </c>
      <c r="C8833" t="s">
        <v>456</v>
      </c>
      <c r="D8833" t="s">
        <v>457</v>
      </c>
      <c r="E8833" t="s">
        <v>458</v>
      </c>
      <c r="F8833" t="s">
        <v>413</v>
      </c>
      <c r="G8833">
        <v>4696</v>
      </c>
      <c r="H8833">
        <v>4696</v>
      </c>
      <c r="I8833">
        <v>4374</v>
      </c>
      <c r="J8833">
        <v>4374</v>
      </c>
      <c r="K8833">
        <v>1210</v>
      </c>
      <c r="L8833">
        <v>12</v>
      </c>
      <c r="M8833">
        <v>3003</v>
      </c>
      <c r="N8833">
        <v>40</v>
      </c>
      <c r="O8833">
        <v>431</v>
      </c>
      <c r="P8833">
        <v>17</v>
      </c>
      <c r="Q8833">
        <v>0</v>
      </c>
    </row>
    <row r="8834" spans="1:17" x14ac:dyDescent="0.2">
      <c r="A8834" s="121">
        <v>42155</v>
      </c>
      <c r="B8834" t="s">
        <v>406</v>
      </c>
      <c r="C8834" t="s">
        <v>456</v>
      </c>
      <c r="D8834" t="s">
        <v>459</v>
      </c>
      <c r="E8834" t="s">
        <v>460</v>
      </c>
      <c r="F8834" t="s">
        <v>413</v>
      </c>
      <c r="G8834">
        <v>1633</v>
      </c>
      <c r="H8834">
        <v>1633</v>
      </c>
      <c r="I8834">
        <v>1609</v>
      </c>
      <c r="J8834">
        <v>1609</v>
      </c>
      <c r="K8834">
        <v>317</v>
      </c>
      <c r="L8834">
        <v>0</v>
      </c>
      <c r="M8834">
        <v>1304</v>
      </c>
      <c r="N8834">
        <v>0</v>
      </c>
      <c r="O8834">
        <v>12</v>
      </c>
      <c r="P8834">
        <v>0</v>
      </c>
      <c r="Q8834">
        <v>0</v>
      </c>
    </row>
    <row r="8835" spans="1:17" x14ac:dyDescent="0.2">
      <c r="A8835" s="121">
        <v>42155</v>
      </c>
      <c r="B8835" t="s">
        <v>406</v>
      </c>
      <c r="C8835" t="s">
        <v>456</v>
      </c>
      <c r="D8835" t="s">
        <v>461</v>
      </c>
      <c r="E8835" t="s">
        <v>462</v>
      </c>
      <c r="F8835" t="s">
        <v>410</v>
      </c>
      <c r="G8835">
        <v>100</v>
      </c>
      <c r="I8835">
        <v>100</v>
      </c>
    </row>
    <row r="8836" spans="1:17" x14ac:dyDescent="0.2">
      <c r="A8836" s="121">
        <v>42155</v>
      </c>
      <c r="B8836" t="s">
        <v>406</v>
      </c>
      <c r="C8836" t="s">
        <v>456</v>
      </c>
      <c r="D8836" t="s">
        <v>463</v>
      </c>
      <c r="E8836" t="s">
        <v>464</v>
      </c>
      <c r="F8836" t="s">
        <v>410</v>
      </c>
      <c r="G8836">
        <v>13</v>
      </c>
      <c r="I8836">
        <v>13</v>
      </c>
    </row>
    <row r="8837" spans="1:17" x14ac:dyDescent="0.2">
      <c r="A8837" s="121">
        <v>42155</v>
      </c>
      <c r="B8837" t="s">
        <v>406</v>
      </c>
      <c r="C8837" t="s">
        <v>456</v>
      </c>
      <c r="D8837" t="s">
        <v>465</v>
      </c>
      <c r="E8837" t="s">
        <v>466</v>
      </c>
      <c r="F8837" t="s">
        <v>410</v>
      </c>
      <c r="G8837">
        <v>38</v>
      </c>
      <c r="I8837">
        <v>38</v>
      </c>
    </row>
    <row r="8838" spans="1:17" x14ac:dyDescent="0.2">
      <c r="A8838" s="121">
        <v>42155</v>
      </c>
      <c r="B8838" t="s">
        <v>406</v>
      </c>
      <c r="C8838" t="s">
        <v>456</v>
      </c>
      <c r="D8838" t="s">
        <v>467</v>
      </c>
      <c r="E8838" t="s">
        <v>468</v>
      </c>
      <c r="F8838" t="s">
        <v>410</v>
      </c>
      <c r="G8838">
        <v>1362</v>
      </c>
      <c r="I8838">
        <v>1359</v>
      </c>
    </row>
    <row r="8839" spans="1:17" x14ac:dyDescent="0.2">
      <c r="A8839" s="121">
        <v>42155</v>
      </c>
      <c r="B8839" t="s">
        <v>406</v>
      </c>
      <c r="C8839" t="s">
        <v>456</v>
      </c>
      <c r="D8839" t="s">
        <v>469</v>
      </c>
      <c r="E8839" t="s">
        <v>470</v>
      </c>
      <c r="F8839" t="s">
        <v>410</v>
      </c>
      <c r="G8839">
        <v>705</v>
      </c>
      <c r="I8839">
        <v>704</v>
      </c>
    </row>
    <row r="8840" spans="1:17" x14ac:dyDescent="0.2">
      <c r="A8840" s="121">
        <v>42155</v>
      </c>
      <c r="B8840" t="s">
        <v>406</v>
      </c>
      <c r="C8840" t="s">
        <v>456</v>
      </c>
      <c r="D8840" t="s">
        <v>471</v>
      </c>
      <c r="E8840" t="s">
        <v>472</v>
      </c>
      <c r="F8840" t="s">
        <v>410</v>
      </c>
      <c r="G8840">
        <v>272</v>
      </c>
      <c r="I8840">
        <v>269</v>
      </c>
    </row>
    <row r="8841" spans="1:17" x14ac:dyDescent="0.2">
      <c r="A8841" s="121">
        <v>42155</v>
      </c>
      <c r="B8841" t="s">
        <v>406</v>
      </c>
      <c r="C8841" t="s">
        <v>456</v>
      </c>
      <c r="D8841" t="s">
        <v>473</v>
      </c>
      <c r="E8841" t="s">
        <v>474</v>
      </c>
      <c r="F8841" t="s">
        <v>410</v>
      </c>
      <c r="G8841">
        <v>211</v>
      </c>
      <c r="I8841">
        <v>211</v>
      </c>
    </row>
    <row r="8842" spans="1:17" x14ac:dyDescent="0.2">
      <c r="A8842" s="121">
        <v>42155</v>
      </c>
      <c r="B8842" t="s">
        <v>406</v>
      </c>
      <c r="C8842" t="s">
        <v>456</v>
      </c>
      <c r="D8842" t="s">
        <v>475</v>
      </c>
      <c r="E8842" t="s">
        <v>476</v>
      </c>
      <c r="F8842" t="s">
        <v>410</v>
      </c>
      <c r="G8842">
        <v>269</v>
      </c>
      <c r="I8842">
        <v>262</v>
      </c>
    </row>
    <row r="8843" spans="1:17" x14ac:dyDescent="0.2">
      <c r="A8843" s="121">
        <v>42155</v>
      </c>
      <c r="B8843" t="s">
        <v>406</v>
      </c>
      <c r="C8843" t="s">
        <v>456</v>
      </c>
      <c r="D8843" t="s">
        <v>477</v>
      </c>
      <c r="E8843" t="s">
        <v>478</v>
      </c>
      <c r="F8843" t="s">
        <v>413</v>
      </c>
      <c r="G8843">
        <v>2058</v>
      </c>
      <c r="H8843">
        <v>2058</v>
      </c>
      <c r="I8843">
        <v>1987</v>
      </c>
      <c r="J8843">
        <v>1987</v>
      </c>
      <c r="K8843">
        <v>403</v>
      </c>
      <c r="L8843">
        <v>3</v>
      </c>
      <c r="M8843">
        <v>1608</v>
      </c>
      <c r="N8843">
        <v>13</v>
      </c>
      <c r="O8843">
        <v>31</v>
      </c>
      <c r="P8843">
        <v>1</v>
      </c>
      <c r="Q8843">
        <v>1</v>
      </c>
    </row>
    <row r="8844" spans="1:17" x14ac:dyDescent="0.2">
      <c r="A8844" s="121">
        <v>42155</v>
      </c>
      <c r="B8844" t="s">
        <v>406</v>
      </c>
      <c r="C8844" t="s">
        <v>456</v>
      </c>
      <c r="D8844" t="s">
        <v>479</v>
      </c>
      <c r="E8844" t="s">
        <v>480</v>
      </c>
      <c r="F8844" t="s">
        <v>410</v>
      </c>
      <c r="G8844">
        <v>54</v>
      </c>
      <c r="I8844">
        <v>54</v>
      </c>
    </row>
    <row r="8845" spans="1:17" x14ac:dyDescent="0.2">
      <c r="A8845" s="121">
        <v>42155</v>
      </c>
      <c r="B8845" t="s">
        <v>406</v>
      </c>
      <c r="C8845" t="s">
        <v>456</v>
      </c>
      <c r="D8845" t="s">
        <v>481</v>
      </c>
      <c r="E8845" t="s">
        <v>482</v>
      </c>
      <c r="F8845" t="s">
        <v>410</v>
      </c>
      <c r="G8845">
        <v>14</v>
      </c>
      <c r="I8845">
        <v>14</v>
      </c>
    </row>
    <row r="8846" spans="1:17" x14ac:dyDescent="0.2">
      <c r="A8846" s="121">
        <v>42155</v>
      </c>
      <c r="B8846" t="s">
        <v>406</v>
      </c>
      <c r="C8846" t="s">
        <v>456</v>
      </c>
      <c r="D8846" t="s">
        <v>483</v>
      </c>
      <c r="E8846" t="s">
        <v>484</v>
      </c>
      <c r="F8846" t="s">
        <v>410</v>
      </c>
      <c r="G8846">
        <v>109</v>
      </c>
      <c r="I8846">
        <v>109</v>
      </c>
    </row>
    <row r="8847" spans="1:17" x14ac:dyDescent="0.2">
      <c r="A8847" s="121">
        <v>42155</v>
      </c>
      <c r="B8847" t="s">
        <v>406</v>
      </c>
      <c r="C8847" t="s">
        <v>456</v>
      </c>
      <c r="D8847" t="s">
        <v>487</v>
      </c>
      <c r="E8847" t="s">
        <v>488</v>
      </c>
      <c r="F8847" t="s">
        <v>410</v>
      </c>
      <c r="G8847">
        <v>40</v>
      </c>
      <c r="I8847">
        <v>40</v>
      </c>
    </row>
    <row r="8848" spans="1:17" x14ac:dyDescent="0.2">
      <c r="A8848" s="121">
        <v>42155</v>
      </c>
      <c r="B8848" t="s">
        <v>406</v>
      </c>
      <c r="C8848" t="s">
        <v>456</v>
      </c>
      <c r="D8848" t="s">
        <v>489</v>
      </c>
      <c r="E8848" t="s">
        <v>490</v>
      </c>
      <c r="F8848" t="s">
        <v>410</v>
      </c>
      <c r="G8848">
        <v>137</v>
      </c>
      <c r="I8848">
        <v>137</v>
      </c>
    </row>
    <row r="8849" spans="1:17" x14ac:dyDescent="0.2">
      <c r="A8849" s="121">
        <v>42155</v>
      </c>
      <c r="B8849" t="s">
        <v>406</v>
      </c>
      <c r="C8849" t="s">
        <v>456</v>
      </c>
      <c r="D8849" t="s">
        <v>628</v>
      </c>
      <c r="E8849" t="s">
        <v>629</v>
      </c>
      <c r="F8849" t="s">
        <v>410</v>
      </c>
      <c r="G8849">
        <v>56</v>
      </c>
      <c r="I8849">
        <v>56</v>
      </c>
    </row>
    <row r="8850" spans="1:17" x14ac:dyDescent="0.2">
      <c r="A8850" s="121">
        <v>42155</v>
      </c>
      <c r="B8850" t="s">
        <v>406</v>
      </c>
      <c r="C8850" t="s">
        <v>491</v>
      </c>
      <c r="D8850" t="s">
        <v>492</v>
      </c>
      <c r="E8850" t="s">
        <v>493</v>
      </c>
      <c r="F8850" t="s">
        <v>410</v>
      </c>
      <c r="G8850">
        <v>1368</v>
      </c>
      <c r="H8850">
        <v>1368</v>
      </c>
      <c r="I8850">
        <v>1307</v>
      </c>
      <c r="J8850">
        <v>1307</v>
      </c>
      <c r="K8850">
        <v>214</v>
      </c>
      <c r="L8850">
        <v>1</v>
      </c>
      <c r="M8850">
        <v>1030</v>
      </c>
      <c r="N8850">
        <v>118</v>
      </c>
      <c r="O8850">
        <v>5</v>
      </c>
      <c r="P8850">
        <v>0</v>
      </c>
      <c r="Q8850">
        <v>0</v>
      </c>
    </row>
    <row r="8851" spans="1:17" x14ac:dyDescent="0.2">
      <c r="A8851" s="121">
        <v>42155</v>
      </c>
      <c r="B8851" t="s">
        <v>406</v>
      </c>
      <c r="C8851" t="s">
        <v>491</v>
      </c>
      <c r="D8851" t="s">
        <v>494</v>
      </c>
      <c r="E8851" t="s">
        <v>495</v>
      </c>
      <c r="F8851" t="s">
        <v>413</v>
      </c>
      <c r="G8851">
        <v>2683</v>
      </c>
      <c r="H8851">
        <v>2683</v>
      </c>
      <c r="I8851">
        <v>2548</v>
      </c>
      <c r="J8851">
        <v>2548</v>
      </c>
      <c r="K8851">
        <v>725</v>
      </c>
      <c r="L8851">
        <v>3</v>
      </c>
      <c r="M8851">
        <v>1736</v>
      </c>
      <c r="N8851">
        <v>51</v>
      </c>
      <c r="O8851">
        <v>168</v>
      </c>
      <c r="P8851">
        <v>5</v>
      </c>
      <c r="Q8851">
        <v>0</v>
      </c>
    </row>
    <row r="8852" spans="1:17" x14ac:dyDescent="0.2">
      <c r="A8852" s="121">
        <v>42155</v>
      </c>
      <c r="B8852" t="s">
        <v>406</v>
      </c>
      <c r="C8852" t="s">
        <v>491</v>
      </c>
      <c r="D8852" t="s">
        <v>496</v>
      </c>
      <c r="E8852" t="s">
        <v>497</v>
      </c>
      <c r="F8852" t="s">
        <v>413</v>
      </c>
      <c r="G8852">
        <v>5741</v>
      </c>
      <c r="H8852">
        <v>5741</v>
      </c>
      <c r="I8852">
        <v>4914</v>
      </c>
      <c r="J8852">
        <v>4914</v>
      </c>
      <c r="K8852">
        <v>1948</v>
      </c>
      <c r="L8852">
        <v>8</v>
      </c>
      <c r="M8852">
        <v>3501</v>
      </c>
      <c r="N8852">
        <v>113</v>
      </c>
      <c r="O8852">
        <v>171</v>
      </c>
      <c r="P8852">
        <v>112</v>
      </c>
      <c r="Q8852">
        <v>0</v>
      </c>
    </row>
    <row r="8853" spans="1:17" x14ac:dyDescent="0.2">
      <c r="A8853" s="121">
        <v>42155</v>
      </c>
      <c r="B8853" t="s">
        <v>406</v>
      </c>
      <c r="C8853" t="s">
        <v>491</v>
      </c>
      <c r="D8853" t="s">
        <v>498</v>
      </c>
      <c r="E8853" t="s">
        <v>499</v>
      </c>
      <c r="F8853" t="s">
        <v>413</v>
      </c>
      <c r="G8853">
        <v>7058</v>
      </c>
      <c r="H8853">
        <v>7058</v>
      </c>
      <c r="I8853">
        <v>6322</v>
      </c>
      <c r="J8853">
        <v>6322</v>
      </c>
      <c r="K8853">
        <v>2382</v>
      </c>
      <c r="L8853">
        <v>16</v>
      </c>
      <c r="M8853">
        <v>4272</v>
      </c>
      <c r="N8853">
        <v>119</v>
      </c>
      <c r="O8853">
        <v>269</v>
      </c>
      <c r="P8853">
        <v>14</v>
      </c>
      <c r="Q8853">
        <v>0</v>
      </c>
    </row>
    <row r="8854" spans="1:17" x14ac:dyDescent="0.2">
      <c r="A8854" s="121">
        <v>42155</v>
      </c>
      <c r="B8854" t="s">
        <v>406</v>
      </c>
      <c r="C8854" t="s">
        <v>491</v>
      </c>
      <c r="D8854" t="s">
        <v>500</v>
      </c>
      <c r="E8854" t="s">
        <v>620</v>
      </c>
      <c r="F8854" t="s">
        <v>410</v>
      </c>
      <c r="G8854">
        <v>1634</v>
      </c>
      <c r="H8854">
        <v>1634</v>
      </c>
      <c r="I8854">
        <v>1634</v>
      </c>
      <c r="J8854">
        <v>1634</v>
      </c>
      <c r="K8854">
        <v>0</v>
      </c>
      <c r="L8854">
        <v>0</v>
      </c>
      <c r="M8854">
        <v>1532</v>
      </c>
      <c r="N8854">
        <v>83</v>
      </c>
      <c r="O8854">
        <v>19</v>
      </c>
      <c r="P8854">
        <v>0</v>
      </c>
      <c r="Q8854">
        <v>0</v>
      </c>
    </row>
    <row r="8855" spans="1:17" x14ac:dyDescent="0.2">
      <c r="A8855" s="121">
        <v>42155</v>
      </c>
      <c r="B8855" t="s">
        <v>406</v>
      </c>
      <c r="C8855" t="s">
        <v>491</v>
      </c>
      <c r="D8855" t="s">
        <v>502</v>
      </c>
      <c r="E8855" t="s">
        <v>615</v>
      </c>
      <c r="F8855" t="s">
        <v>410</v>
      </c>
      <c r="G8855">
        <v>2327</v>
      </c>
      <c r="H8855">
        <v>2327</v>
      </c>
      <c r="I8855">
        <v>2327</v>
      </c>
      <c r="J8855">
        <v>2327</v>
      </c>
      <c r="K8855">
        <v>1</v>
      </c>
      <c r="L8855">
        <v>1</v>
      </c>
      <c r="M8855">
        <v>2186</v>
      </c>
      <c r="N8855">
        <v>127</v>
      </c>
      <c r="O8855">
        <v>12</v>
      </c>
      <c r="P8855">
        <v>0</v>
      </c>
      <c r="Q8855">
        <v>0</v>
      </c>
    </row>
    <row r="8856" spans="1:17" x14ac:dyDescent="0.2">
      <c r="A8856" s="121">
        <v>42155</v>
      </c>
      <c r="B8856" t="s">
        <v>406</v>
      </c>
      <c r="C8856" t="s">
        <v>491</v>
      </c>
      <c r="D8856" t="s">
        <v>502</v>
      </c>
      <c r="E8856" t="s">
        <v>503</v>
      </c>
      <c r="F8856" t="s">
        <v>413</v>
      </c>
      <c r="G8856">
        <v>2271</v>
      </c>
      <c r="H8856">
        <v>2271</v>
      </c>
      <c r="I8856">
        <v>1973</v>
      </c>
      <c r="J8856">
        <v>1973</v>
      </c>
      <c r="K8856">
        <v>774</v>
      </c>
      <c r="L8856">
        <v>4</v>
      </c>
      <c r="M8856">
        <v>1326</v>
      </c>
      <c r="N8856">
        <v>121</v>
      </c>
      <c r="O8856">
        <v>46</v>
      </c>
      <c r="P8856">
        <v>17</v>
      </c>
      <c r="Q8856">
        <v>0</v>
      </c>
    </row>
    <row r="8857" spans="1:17" x14ac:dyDescent="0.2">
      <c r="A8857" s="121">
        <v>42155</v>
      </c>
      <c r="B8857" t="s">
        <v>406</v>
      </c>
      <c r="C8857" t="s">
        <v>491</v>
      </c>
      <c r="D8857" t="s">
        <v>504</v>
      </c>
      <c r="E8857" t="s">
        <v>630</v>
      </c>
      <c r="F8857" t="s">
        <v>413</v>
      </c>
      <c r="G8857">
        <v>4990</v>
      </c>
      <c r="H8857">
        <v>4990</v>
      </c>
      <c r="I8857">
        <v>4267</v>
      </c>
      <c r="J8857">
        <v>4267</v>
      </c>
      <c r="K8857">
        <v>1425</v>
      </c>
      <c r="L8857">
        <v>12</v>
      </c>
      <c r="M8857">
        <v>3293</v>
      </c>
      <c r="N8857">
        <v>148</v>
      </c>
      <c r="O8857">
        <v>112</v>
      </c>
      <c r="P8857">
        <v>54</v>
      </c>
      <c r="Q8857">
        <v>2</v>
      </c>
    </row>
    <row r="8858" spans="1:17" x14ac:dyDescent="0.2">
      <c r="A8858" s="121">
        <v>42155</v>
      </c>
      <c r="B8858" t="s">
        <v>406</v>
      </c>
      <c r="C8858" t="s">
        <v>491</v>
      </c>
      <c r="D8858" t="s">
        <v>504</v>
      </c>
      <c r="E8858" t="s">
        <v>505</v>
      </c>
      <c r="F8858" t="s">
        <v>413</v>
      </c>
      <c r="G8858">
        <v>137</v>
      </c>
      <c r="H8858">
        <v>137</v>
      </c>
      <c r="I8858">
        <v>127</v>
      </c>
      <c r="J8858">
        <v>127</v>
      </c>
      <c r="K8858">
        <v>35</v>
      </c>
      <c r="L8858">
        <v>1</v>
      </c>
      <c r="M8858">
        <v>94</v>
      </c>
      <c r="N8858">
        <v>3</v>
      </c>
      <c r="O8858">
        <v>4</v>
      </c>
      <c r="P8858">
        <v>0</v>
      </c>
      <c r="Q8858">
        <v>0</v>
      </c>
    </row>
    <row r="8859" spans="1:17" x14ac:dyDescent="0.2">
      <c r="A8859" s="121">
        <v>42155</v>
      </c>
      <c r="B8859" t="s">
        <v>406</v>
      </c>
      <c r="C8859" t="s">
        <v>491</v>
      </c>
      <c r="D8859" t="s">
        <v>506</v>
      </c>
      <c r="E8859" t="s">
        <v>507</v>
      </c>
      <c r="F8859" t="s">
        <v>413</v>
      </c>
      <c r="G8859">
        <v>3906</v>
      </c>
      <c r="H8859">
        <v>3906</v>
      </c>
      <c r="I8859">
        <v>3879</v>
      </c>
      <c r="J8859">
        <v>3879</v>
      </c>
      <c r="K8859">
        <v>1103</v>
      </c>
      <c r="L8859">
        <v>1</v>
      </c>
      <c r="M8859">
        <v>2800</v>
      </c>
      <c r="N8859">
        <v>0</v>
      </c>
      <c r="O8859">
        <v>2</v>
      </c>
      <c r="P8859">
        <v>0</v>
      </c>
      <c r="Q8859">
        <v>0</v>
      </c>
    </row>
    <row r="8860" spans="1:17" x14ac:dyDescent="0.2">
      <c r="A8860" s="121">
        <v>42155</v>
      </c>
      <c r="B8860" t="s">
        <v>406</v>
      </c>
      <c r="C8860" t="s">
        <v>491</v>
      </c>
      <c r="D8860" t="s">
        <v>508</v>
      </c>
      <c r="E8860" t="s">
        <v>509</v>
      </c>
      <c r="F8860" t="s">
        <v>413</v>
      </c>
      <c r="G8860">
        <v>4207</v>
      </c>
      <c r="H8860">
        <v>4207</v>
      </c>
      <c r="I8860">
        <v>3593</v>
      </c>
      <c r="J8860">
        <v>3593</v>
      </c>
      <c r="K8860">
        <v>1323</v>
      </c>
      <c r="L8860">
        <v>3</v>
      </c>
      <c r="M8860">
        <v>2572</v>
      </c>
      <c r="N8860">
        <v>150</v>
      </c>
      <c r="O8860">
        <v>159</v>
      </c>
      <c r="P8860">
        <v>46</v>
      </c>
      <c r="Q8860">
        <v>0</v>
      </c>
    </row>
    <row r="8861" spans="1:17" x14ac:dyDescent="0.2">
      <c r="A8861" s="121">
        <v>42155</v>
      </c>
      <c r="B8861" t="s">
        <v>406</v>
      </c>
      <c r="C8861" t="s">
        <v>491</v>
      </c>
      <c r="D8861" t="s">
        <v>508</v>
      </c>
      <c r="E8861" t="s">
        <v>631</v>
      </c>
      <c r="F8861" t="s">
        <v>410</v>
      </c>
      <c r="G8861">
        <v>61</v>
      </c>
      <c r="H8861">
        <v>61</v>
      </c>
      <c r="I8861">
        <v>61</v>
      </c>
      <c r="J8861">
        <v>61</v>
      </c>
      <c r="K8861">
        <v>0</v>
      </c>
      <c r="L8861">
        <v>0</v>
      </c>
      <c r="M8861">
        <v>48</v>
      </c>
      <c r="N8861">
        <v>13</v>
      </c>
      <c r="O8861">
        <v>0</v>
      </c>
      <c r="P8861">
        <v>0</v>
      </c>
      <c r="Q8861">
        <v>0</v>
      </c>
    </row>
    <row r="8862" spans="1:17" x14ac:dyDescent="0.2">
      <c r="A8862" s="121">
        <v>42155</v>
      </c>
      <c r="B8862" t="s">
        <v>406</v>
      </c>
      <c r="C8862" t="s">
        <v>510</v>
      </c>
      <c r="D8862" t="s">
        <v>513</v>
      </c>
      <c r="E8862" t="s">
        <v>514</v>
      </c>
      <c r="F8862" t="s">
        <v>410</v>
      </c>
      <c r="G8862">
        <v>649</v>
      </c>
      <c r="I8862">
        <v>648</v>
      </c>
    </row>
    <row r="8863" spans="1:17" x14ac:dyDescent="0.2">
      <c r="A8863" s="121">
        <v>42155</v>
      </c>
      <c r="B8863" t="s">
        <v>406</v>
      </c>
      <c r="C8863" t="s">
        <v>510</v>
      </c>
      <c r="D8863" t="s">
        <v>515</v>
      </c>
      <c r="E8863" t="s">
        <v>516</v>
      </c>
      <c r="F8863" t="s">
        <v>410</v>
      </c>
      <c r="G8863">
        <v>136</v>
      </c>
      <c r="I8863">
        <v>136</v>
      </c>
    </row>
    <row r="8864" spans="1:17" x14ac:dyDescent="0.2">
      <c r="A8864" s="121">
        <v>42155</v>
      </c>
      <c r="B8864" t="s">
        <v>406</v>
      </c>
      <c r="C8864" t="s">
        <v>510</v>
      </c>
      <c r="D8864" t="s">
        <v>519</v>
      </c>
      <c r="E8864" t="s">
        <v>520</v>
      </c>
      <c r="F8864" t="s">
        <v>410</v>
      </c>
      <c r="G8864">
        <v>383</v>
      </c>
      <c r="I8864">
        <v>373</v>
      </c>
    </row>
    <row r="8865" spans="1:17" x14ac:dyDescent="0.2">
      <c r="A8865" s="121">
        <v>42155</v>
      </c>
      <c r="B8865" t="s">
        <v>406</v>
      </c>
      <c r="C8865" t="s">
        <v>510</v>
      </c>
      <c r="D8865" t="s">
        <v>523</v>
      </c>
      <c r="E8865" t="s">
        <v>524</v>
      </c>
      <c r="F8865" t="s">
        <v>413</v>
      </c>
      <c r="G8865">
        <v>648</v>
      </c>
      <c r="H8865">
        <v>648</v>
      </c>
      <c r="I8865">
        <v>634</v>
      </c>
      <c r="J8865">
        <v>634</v>
      </c>
      <c r="K8865">
        <v>146</v>
      </c>
      <c r="L8865">
        <v>0</v>
      </c>
      <c r="M8865">
        <v>486</v>
      </c>
      <c r="N8865">
        <v>16</v>
      </c>
      <c r="O8865">
        <v>0</v>
      </c>
      <c r="P8865">
        <v>0</v>
      </c>
      <c r="Q8865">
        <v>0</v>
      </c>
    </row>
    <row r="8866" spans="1:17" x14ac:dyDescent="0.2">
      <c r="A8866" s="121">
        <v>42155</v>
      </c>
      <c r="B8866" t="s">
        <v>406</v>
      </c>
      <c r="C8866" t="s">
        <v>510</v>
      </c>
      <c r="D8866" t="s">
        <v>525</v>
      </c>
      <c r="E8866" t="s">
        <v>526</v>
      </c>
      <c r="F8866" t="s">
        <v>410</v>
      </c>
      <c r="G8866">
        <v>403</v>
      </c>
      <c r="I8866">
        <v>395</v>
      </c>
    </row>
    <row r="8867" spans="1:17" x14ac:dyDescent="0.2">
      <c r="A8867" s="121">
        <v>42155</v>
      </c>
      <c r="B8867" t="s">
        <v>406</v>
      </c>
      <c r="C8867" t="s">
        <v>510</v>
      </c>
      <c r="D8867" t="s">
        <v>527</v>
      </c>
      <c r="E8867" t="s">
        <v>528</v>
      </c>
      <c r="F8867" t="s">
        <v>410</v>
      </c>
      <c r="G8867">
        <v>203</v>
      </c>
      <c r="I8867">
        <v>203</v>
      </c>
    </row>
    <row r="8868" spans="1:17" x14ac:dyDescent="0.2">
      <c r="A8868" s="121">
        <v>42155</v>
      </c>
      <c r="B8868" t="s">
        <v>406</v>
      </c>
      <c r="C8868" t="s">
        <v>510</v>
      </c>
      <c r="D8868" t="s">
        <v>529</v>
      </c>
      <c r="E8868" t="s">
        <v>530</v>
      </c>
      <c r="F8868" t="s">
        <v>413</v>
      </c>
      <c r="G8868">
        <v>554</v>
      </c>
      <c r="H8868">
        <v>554</v>
      </c>
      <c r="I8868">
        <v>523</v>
      </c>
      <c r="J8868">
        <v>523</v>
      </c>
      <c r="K8868">
        <v>158</v>
      </c>
      <c r="L8868">
        <v>1</v>
      </c>
      <c r="M8868">
        <v>394</v>
      </c>
      <c r="N8868">
        <v>1</v>
      </c>
      <c r="O8868">
        <v>0</v>
      </c>
      <c r="P8868">
        <v>3</v>
      </c>
      <c r="Q8868">
        <v>0</v>
      </c>
    </row>
    <row r="8869" spans="1:17" x14ac:dyDescent="0.2">
      <c r="A8869" s="121">
        <v>42155</v>
      </c>
      <c r="B8869" t="s">
        <v>406</v>
      </c>
      <c r="C8869" t="s">
        <v>510</v>
      </c>
      <c r="D8869" t="s">
        <v>531</v>
      </c>
      <c r="E8869" t="s">
        <v>532</v>
      </c>
      <c r="F8869" t="s">
        <v>410</v>
      </c>
      <c r="G8869">
        <v>17</v>
      </c>
      <c r="I8869">
        <v>17</v>
      </c>
    </row>
    <row r="8870" spans="1:17" x14ac:dyDescent="0.2">
      <c r="A8870" s="121">
        <v>42155</v>
      </c>
      <c r="B8870" t="s">
        <v>406</v>
      </c>
      <c r="C8870" t="s">
        <v>510</v>
      </c>
      <c r="D8870" t="s">
        <v>533</v>
      </c>
      <c r="E8870" t="s">
        <v>534</v>
      </c>
      <c r="F8870" t="s">
        <v>413</v>
      </c>
      <c r="G8870">
        <v>2845</v>
      </c>
      <c r="H8870">
        <v>2845</v>
      </c>
      <c r="I8870">
        <v>2637</v>
      </c>
      <c r="J8870">
        <v>2637</v>
      </c>
      <c r="K8870">
        <v>736</v>
      </c>
      <c r="L8870">
        <v>5</v>
      </c>
      <c r="M8870">
        <v>2087</v>
      </c>
      <c r="N8870">
        <v>17</v>
      </c>
      <c r="O8870">
        <v>0</v>
      </c>
      <c r="P8870">
        <v>15</v>
      </c>
      <c r="Q8870">
        <v>0</v>
      </c>
    </row>
    <row r="8871" spans="1:17" x14ac:dyDescent="0.2">
      <c r="A8871" s="121">
        <v>42155</v>
      </c>
      <c r="B8871" t="s">
        <v>406</v>
      </c>
      <c r="C8871" t="s">
        <v>510</v>
      </c>
      <c r="D8871" t="s">
        <v>535</v>
      </c>
      <c r="E8871" t="s">
        <v>536</v>
      </c>
      <c r="F8871" t="s">
        <v>410</v>
      </c>
      <c r="G8871">
        <v>424</v>
      </c>
      <c r="I8871">
        <v>424</v>
      </c>
    </row>
    <row r="8872" spans="1:17" x14ac:dyDescent="0.2">
      <c r="A8872" s="121">
        <v>42155</v>
      </c>
      <c r="B8872" t="s">
        <v>406</v>
      </c>
      <c r="C8872" t="s">
        <v>510</v>
      </c>
      <c r="D8872" t="s">
        <v>537</v>
      </c>
      <c r="E8872" t="s">
        <v>538</v>
      </c>
      <c r="F8872" t="s">
        <v>410</v>
      </c>
      <c r="G8872">
        <v>99</v>
      </c>
      <c r="I8872">
        <v>99</v>
      </c>
    </row>
    <row r="8873" spans="1:17" x14ac:dyDescent="0.2">
      <c r="A8873" s="121">
        <v>42155</v>
      </c>
      <c r="B8873" t="s">
        <v>406</v>
      </c>
      <c r="C8873" t="s">
        <v>510</v>
      </c>
      <c r="D8873" t="s">
        <v>539</v>
      </c>
      <c r="E8873" t="s">
        <v>540</v>
      </c>
      <c r="F8873" t="s">
        <v>413</v>
      </c>
      <c r="G8873">
        <v>898</v>
      </c>
      <c r="H8873">
        <v>898</v>
      </c>
      <c r="I8873">
        <v>871</v>
      </c>
      <c r="J8873">
        <v>871</v>
      </c>
      <c r="K8873">
        <v>141</v>
      </c>
      <c r="L8873">
        <v>0</v>
      </c>
      <c r="M8873">
        <v>753</v>
      </c>
      <c r="N8873">
        <v>4</v>
      </c>
      <c r="O8873">
        <v>0</v>
      </c>
      <c r="P8873">
        <v>2</v>
      </c>
      <c r="Q8873">
        <v>0</v>
      </c>
    </row>
    <row r="8874" spans="1:17" x14ac:dyDescent="0.2">
      <c r="A8874" s="121">
        <v>42155</v>
      </c>
      <c r="B8874" t="s">
        <v>406</v>
      </c>
      <c r="C8874" t="s">
        <v>510</v>
      </c>
      <c r="D8874" t="s">
        <v>541</v>
      </c>
      <c r="E8874" t="s">
        <v>542</v>
      </c>
      <c r="F8874" t="s">
        <v>410</v>
      </c>
      <c r="G8874">
        <v>433</v>
      </c>
      <c r="I8874">
        <v>433</v>
      </c>
    </row>
    <row r="8875" spans="1:17" x14ac:dyDescent="0.2">
      <c r="A8875" s="121">
        <v>42155</v>
      </c>
      <c r="B8875" t="s">
        <v>406</v>
      </c>
      <c r="C8875" t="s">
        <v>510</v>
      </c>
      <c r="D8875" t="s">
        <v>543</v>
      </c>
      <c r="E8875" t="s">
        <v>544</v>
      </c>
      <c r="F8875" t="s">
        <v>410</v>
      </c>
      <c r="G8875">
        <v>247</v>
      </c>
      <c r="I8875">
        <v>247</v>
      </c>
    </row>
    <row r="8876" spans="1:17" x14ac:dyDescent="0.2">
      <c r="A8876" s="121">
        <v>42155</v>
      </c>
      <c r="B8876" t="s">
        <v>406</v>
      </c>
      <c r="C8876" t="s">
        <v>510</v>
      </c>
      <c r="D8876" t="s">
        <v>545</v>
      </c>
      <c r="E8876" t="s">
        <v>546</v>
      </c>
      <c r="F8876" t="s">
        <v>410</v>
      </c>
      <c r="G8876">
        <v>142</v>
      </c>
      <c r="I8876">
        <v>142</v>
      </c>
    </row>
    <row r="8877" spans="1:17" x14ac:dyDescent="0.2">
      <c r="A8877" s="121">
        <v>42155</v>
      </c>
      <c r="B8877" t="s">
        <v>406</v>
      </c>
      <c r="C8877" t="s">
        <v>510</v>
      </c>
      <c r="D8877" t="s">
        <v>547</v>
      </c>
      <c r="E8877" t="s">
        <v>548</v>
      </c>
      <c r="F8877" t="s">
        <v>410</v>
      </c>
      <c r="G8877">
        <v>163</v>
      </c>
      <c r="I8877">
        <v>163</v>
      </c>
    </row>
    <row r="8878" spans="1:17" x14ac:dyDescent="0.2">
      <c r="A8878" s="121">
        <v>42155</v>
      </c>
      <c r="B8878" t="s">
        <v>406</v>
      </c>
      <c r="C8878" t="s">
        <v>510</v>
      </c>
      <c r="D8878" t="s">
        <v>616</v>
      </c>
      <c r="E8878" t="s">
        <v>617</v>
      </c>
      <c r="F8878" t="s">
        <v>410</v>
      </c>
      <c r="G8878">
        <v>364</v>
      </c>
      <c r="I8878">
        <v>353</v>
      </c>
    </row>
    <row r="8879" spans="1:17" x14ac:dyDescent="0.2">
      <c r="A8879" s="121">
        <v>42155</v>
      </c>
      <c r="B8879" t="s">
        <v>406</v>
      </c>
      <c r="C8879" t="s">
        <v>510</v>
      </c>
      <c r="D8879" t="s">
        <v>549</v>
      </c>
      <c r="E8879" t="s">
        <v>550</v>
      </c>
      <c r="F8879" t="s">
        <v>410</v>
      </c>
      <c r="G8879">
        <v>175</v>
      </c>
      <c r="I8879">
        <v>175</v>
      </c>
    </row>
    <row r="8880" spans="1:17" x14ac:dyDescent="0.2">
      <c r="A8880" s="121">
        <v>42155</v>
      </c>
      <c r="B8880" t="s">
        <v>406</v>
      </c>
      <c r="C8880" t="s">
        <v>510</v>
      </c>
      <c r="D8880" t="s">
        <v>625</v>
      </c>
      <c r="E8880" t="s">
        <v>626</v>
      </c>
      <c r="F8880" t="s">
        <v>410</v>
      </c>
      <c r="G8880">
        <v>87</v>
      </c>
      <c r="I8880">
        <v>87</v>
      </c>
    </row>
    <row r="8881" spans="1:17" x14ac:dyDescent="0.2">
      <c r="A8881" s="121">
        <v>42155</v>
      </c>
      <c r="B8881" t="s">
        <v>406</v>
      </c>
      <c r="C8881" t="s">
        <v>551</v>
      </c>
      <c r="D8881" t="s">
        <v>552</v>
      </c>
      <c r="E8881" t="s">
        <v>553</v>
      </c>
      <c r="F8881" t="s">
        <v>413</v>
      </c>
      <c r="G8881">
        <v>5643</v>
      </c>
      <c r="H8881">
        <v>5643</v>
      </c>
      <c r="I8881">
        <v>5430</v>
      </c>
      <c r="J8881">
        <v>5430</v>
      </c>
      <c r="K8881">
        <v>1832</v>
      </c>
      <c r="L8881">
        <v>5</v>
      </c>
      <c r="M8881">
        <v>3668</v>
      </c>
      <c r="N8881">
        <v>98</v>
      </c>
      <c r="O8881">
        <v>40</v>
      </c>
      <c r="P8881">
        <v>1</v>
      </c>
      <c r="Q8881">
        <v>0</v>
      </c>
    </row>
    <row r="8882" spans="1:17" x14ac:dyDescent="0.2">
      <c r="A8882" s="121">
        <v>42155</v>
      </c>
      <c r="B8882" t="s">
        <v>406</v>
      </c>
      <c r="C8882" t="s">
        <v>551</v>
      </c>
      <c r="D8882" t="s">
        <v>554</v>
      </c>
      <c r="E8882" t="s">
        <v>555</v>
      </c>
      <c r="F8882" t="s">
        <v>410</v>
      </c>
      <c r="G8882">
        <v>72</v>
      </c>
      <c r="I8882">
        <v>72</v>
      </c>
    </row>
    <row r="8883" spans="1:17" x14ac:dyDescent="0.2">
      <c r="A8883" s="121">
        <v>42155</v>
      </c>
      <c r="B8883" t="s">
        <v>406</v>
      </c>
      <c r="C8883" t="s">
        <v>551</v>
      </c>
      <c r="D8883" t="s">
        <v>556</v>
      </c>
      <c r="E8883" t="s">
        <v>557</v>
      </c>
      <c r="F8883" t="s">
        <v>410</v>
      </c>
      <c r="G8883">
        <v>87</v>
      </c>
      <c r="I8883">
        <v>87</v>
      </c>
    </row>
    <row r="8884" spans="1:17" x14ac:dyDescent="0.2">
      <c r="A8884" s="121">
        <v>42155</v>
      </c>
      <c r="B8884" t="s">
        <v>406</v>
      </c>
      <c r="C8884" t="s">
        <v>551</v>
      </c>
      <c r="D8884" t="s">
        <v>558</v>
      </c>
      <c r="E8884" t="s">
        <v>559</v>
      </c>
      <c r="F8884" t="s">
        <v>413</v>
      </c>
      <c r="G8884">
        <v>4988</v>
      </c>
      <c r="H8884">
        <v>4988</v>
      </c>
      <c r="I8884">
        <v>4444</v>
      </c>
      <c r="J8884">
        <v>4444</v>
      </c>
      <c r="K8884">
        <v>1399</v>
      </c>
      <c r="L8884">
        <v>3</v>
      </c>
      <c r="M8884">
        <v>3473</v>
      </c>
      <c r="N8884">
        <v>108</v>
      </c>
      <c r="O8884">
        <v>5</v>
      </c>
      <c r="P8884">
        <v>145</v>
      </c>
      <c r="Q8884">
        <v>72</v>
      </c>
    </row>
    <row r="8885" spans="1:17" x14ac:dyDescent="0.2">
      <c r="A8885" s="121">
        <v>42155</v>
      </c>
      <c r="B8885" t="s">
        <v>406</v>
      </c>
      <c r="C8885" t="s">
        <v>551</v>
      </c>
      <c r="D8885" t="s">
        <v>560</v>
      </c>
      <c r="E8885" t="s">
        <v>561</v>
      </c>
      <c r="F8885" t="s">
        <v>413</v>
      </c>
      <c r="G8885">
        <v>5295</v>
      </c>
      <c r="H8885">
        <v>5295</v>
      </c>
      <c r="I8885">
        <v>4668</v>
      </c>
      <c r="J8885">
        <v>4668</v>
      </c>
      <c r="K8885">
        <v>1063</v>
      </c>
      <c r="L8885">
        <v>2</v>
      </c>
      <c r="M8885">
        <v>3979</v>
      </c>
      <c r="N8885">
        <v>102</v>
      </c>
      <c r="O8885">
        <v>149</v>
      </c>
      <c r="P8885">
        <v>105</v>
      </c>
      <c r="Q8885">
        <v>34</v>
      </c>
    </row>
    <row r="8886" spans="1:17" x14ac:dyDescent="0.2">
      <c r="A8886" s="121">
        <v>42155</v>
      </c>
      <c r="B8886" t="s">
        <v>406</v>
      </c>
      <c r="C8886" t="s">
        <v>562</v>
      </c>
      <c r="D8886" t="s">
        <v>605</v>
      </c>
      <c r="E8886" t="s">
        <v>606</v>
      </c>
      <c r="F8886" t="s">
        <v>410</v>
      </c>
      <c r="G8886">
        <v>136</v>
      </c>
      <c r="I8886">
        <v>136</v>
      </c>
    </row>
    <row r="8887" spans="1:17" x14ac:dyDescent="0.2">
      <c r="A8887" s="121">
        <v>42155</v>
      </c>
      <c r="B8887" t="s">
        <v>406</v>
      </c>
      <c r="C8887" t="s">
        <v>562</v>
      </c>
      <c r="D8887" t="s">
        <v>563</v>
      </c>
      <c r="E8887" t="s">
        <v>564</v>
      </c>
      <c r="F8887" t="s">
        <v>410</v>
      </c>
      <c r="G8887">
        <v>3520</v>
      </c>
      <c r="H8887">
        <v>3520</v>
      </c>
      <c r="I8887">
        <v>3080</v>
      </c>
      <c r="J8887">
        <v>3080</v>
      </c>
      <c r="K8887">
        <v>1128</v>
      </c>
      <c r="L8887">
        <v>1</v>
      </c>
      <c r="M8887">
        <v>2360</v>
      </c>
      <c r="N8887">
        <v>31</v>
      </c>
      <c r="O8887">
        <v>0</v>
      </c>
      <c r="P8887">
        <v>121</v>
      </c>
      <c r="Q8887">
        <v>37</v>
      </c>
    </row>
    <row r="8888" spans="1:17" x14ac:dyDescent="0.2">
      <c r="A8888" s="121">
        <v>42155</v>
      </c>
      <c r="B8888" t="s">
        <v>406</v>
      </c>
      <c r="C8888" t="s">
        <v>562</v>
      </c>
      <c r="D8888" t="s">
        <v>565</v>
      </c>
      <c r="E8888" t="s">
        <v>566</v>
      </c>
      <c r="F8888" t="s">
        <v>413</v>
      </c>
      <c r="G8888">
        <v>4588</v>
      </c>
      <c r="H8888">
        <v>4588</v>
      </c>
      <c r="I8888">
        <v>4294</v>
      </c>
      <c r="J8888">
        <v>4294</v>
      </c>
      <c r="K8888">
        <v>1110</v>
      </c>
      <c r="L8888">
        <v>4</v>
      </c>
      <c r="M8888">
        <v>3388</v>
      </c>
      <c r="N8888">
        <v>86</v>
      </c>
      <c r="O8888">
        <v>0</v>
      </c>
      <c r="P8888">
        <v>13</v>
      </c>
      <c r="Q8888">
        <v>2</v>
      </c>
    </row>
    <row r="8889" spans="1:17" x14ac:dyDescent="0.2">
      <c r="A8889" s="121">
        <v>42155</v>
      </c>
      <c r="B8889" t="s">
        <v>406</v>
      </c>
      <c r="C8889" t="s">
        <v>562</v>
      </c>
      <c r="D8889" t="s">
        <v>567</v>
      </c>
      <c r="E8889" t="s">
        <v>568</v>
      </c>
      <c r="F8889" t="s">
        <v>413</v>
      </c>
      <c r="G8889">
        <v>9637</v>
      </c>
      <c r="H8889">
        <v>9637</v>
      </c>
      <c r="I8889">
        <v>9136</v>
      </c>
      <c r="J8889">
        <v>9136</v>
      </c>
      <c r="K8889">
        <v>2906</v>
      </c>
      <c r="L8889">
        <v>16</v>
      </c>
      <c r="M8889">
        <v>6510</v>
      </c>
      <c r="N8889">
        <v>205</v>
      </c>
      <c r="O8889">
        <v>0</v>
      </c>
      <c r="P8889">
        <v>37</v>
      </c>
      <c r="Q8889">
        <v>0</v>
      </c>
    </row>
    <row r="8890" spans="1:17" x14ac:dyDescent="0.2">
      <c r="A8890" s="121">
        <v>42155</v>
      </c>
      <c r="B8890" t="s">
        <v>406</v>
      </c>
      <c r="C8890" t="s">
        <v>562</v>
      </c>
      <c r="D8890" t="s">
        <v>569</v>
      </c>
      <c r="E8890" t="s">
        <v>570</v>
      </c>
      <c r="F8890" t="s">
        <v>413</v>
      </c>
      <c r="G8890">
        <v>3854</v>
      </c>
      <c r="H8890">
        <v>3854</v>
      </c>
      <c r="I8890">
        <v>3802</v>
      </c>
      <c r="J8890">
        <v>3802</v>
      </c>
      <c r="K8890">
        <v>493</v>
      </c>
      <c r="L8890">
        <v>1</v>
      </c>
      <c r="M8890">
        <v>3358</v>
      </c>
      <c r="N8890">
        <v>2</v>
      </c>
      <c r="O8890">
        <v>0</v>
      </c>
      <c r="P8890">
        <v>1</v>
      </c>
      <c r="Q8890">
        <v>0</v>
      </c>
    </row>
    <row r="8891" spans="1:17" x14ac:dyDescent="0.2">
      <c r="A8891" s="121">
        <v>42155</v>
      </c>
      <c r="B8891" t="s">
        <v>406</v>
      </c>
      <c r="C8891" t="s">
        <v>571</v>
      </c>
      <c r="D8891" t="s">
        <v>572</v>
      </c>
      <c r="E8891" t="s">
        <v>627</v>
      </c>
      <c r="F8891" t="s">
        <v>413</v>
      </c>
      <c r="G8891">
        <v>483</v>
      </c>
      <c r="H8891">
        <v>483</v>
      </c>
      <c r="I8891">
        <v>474</v>
      </c>
      <c r="J8891">
        <v>474</v>
      </c>
      <c r="K8891">
        <v>133</v>
      </c>
      <c r="L8891">
        <v>1</v>
      </c>
      <c r="M8891">
        <v>245</v>
      </c>
      <c r="N8891">
        <v>0</v>
      </c>
      <c r="O8891">
        <v>104</v>
      </c>
      <c r="P8891">
        <v>1</v>
      </c>
      <c r="Q8891">
        <v>0</v>
      </c>
    </row>
    <row r="8892" spans="1:17" x14ac:dyDescent="0.2">
      <c r="A8892" s="121">
        <v>42155</v>
      </c>
      <c r="B8892" t="s">
        <v>406</v>
      </c>
      <c r="C8892" t="s">
        <v>574</v>
      </c>
      <c r="D8892" t="s">
        <v>575</v>
      </c>
      <c r="E8892" t="s">
        <v>576</v>
      </c>
      <c r="F8892" t="s">
        <v>413</v>
      </c>
      <c r="G8892">
        <v>674</v>
      </c>
      <c r="H8892">
        <v>674</v>
      </c>
      <c r="I8892">
        <v>662</v>
      </c>
      <c r="J8892">
        <v>662</v>
      </c>
      <c r="K8892">
        <v>177</v>
      </c>
      <c r="L8892">
        <v>1</v>
      </c>
      <c r="M8892">
        <v>468</v>
      </c>
      <c r="N8892">
        <v>3</v>
      </c>
      <c r="O8892">
        <v>25</v>
      </c>
      <c r="P8892">
        <v>1</v>
      </c>
      <c r="Q8892">
        <v>1</v>
      </c>
    </row>
    <row r="8893" spans="1:17" x14ac:dyDescent="0.2">
      <c r="A8893" s="121">
        <v>42155</v>
      </c>
      <c r="B8893" t="s">
        <v>406</v>
      </c>
      <c r="C8893" t="s">
        <v>577</v>
      </c>
      <c r="D8893" t="s">
        <v>578</v>
      </c>
      <c r="E8893" t="s">
        <v>579</v>
      </c>
      <c r="F8893" t="s">
        <v>413</v>
      </c>
      <c r="G8893">
        <v>4010</v>
      </c>
      <c r="H8893">
        <v>4010</v>
      </c>
      <c r="I8893">
        <v>3966</v>
      </c>
      <c r="J8893">
        <v>3966</v>
      </c>
      <c r="K8893">
        <v>1076</v>
      </c>
      <c r="L8893">
        <v>11</v>
      </c>
      <c r="M8893">
        <v>2644</v>
      </c>
      <c r="N8893">
        <v>279</v>
      </c>
      <c r="O8893">
        <v>0</v>
      </c>
      <c r="P8893">
        <v>0</v>
      </c>
      <c r="Q8893">
        <v>0</v>
      </c>
    </row>
    <row r="8894" spans="1:17" x14ac:dyDescent="0.2">
      <c r="A8894" s="121">
        <v>42155</v>
      </c>
      <c r="B8894" t="s">
        <v>406</v>
      </c>
      <c r="C8894" t="s">
        <v>577</v>
      </c>
      <c r="D8894" t="s">
        <v>580</v>
      </c>
      <c r="E8894" t="s">
        <v>581</v>
      </c>
      <c r="F8894" t="s">
        <v>413</v>
      </c>
      <c r="G8894">
        <v>2161</v>
      </c>
      <c r="H8894">
        <v>2161</v>
      </c>
      <c r="I8894">
        <v>2132</v>
      </c>
      <c r="J8894">
        <v>2132</v>
      </c>
      <c r="K8894">
        <v>323</v>
      </c>
      <c r="L8894">
        <v>0</v>
      </c>
      <c r="M8894">
        <v>1556</v>
      </c>
      <c r="N8894">
        <v>258</v>
      </c>
      <c r="O8894">
        <v>24</v>
      </c>
      <c r="P8894">
        <v>0</v>
      </c>
      <c r="Q8894">
        <v>0</v>
      </c>
    </row>
    <row r="8895" spans="1:17" x14ac:dyDescent="0.2">
      <c r="A8895" s="121">
        <v>42155</v>
      </c>
      <c r="B8895" t="s">
        <v>406</v>
      </c>
      <c r="C8895" t="s">
        <v>577</v>
      </c>
      <c r="D8895" t="s">
        <v>609</v>
      </c>
      <c r="E8895" t="s">
        <v>610</v>
      </c>
      <c r="F8895" t="s">
        <v>410</v>
      </c>
      <c r="G8895">
        <v>34</v>
      </c>
      <c r="H8895">
        <v>34</v>
      </c>
      <c r="I8895">
        <v>34</v>
      </c>
      <c r="J8895">
        <v>34</v>
      </c>
      <c r="K8895">
        <v>0</v>
      </c>
      <c r="L8895">
        <v>0</v>
      </c>
      <c r="M8895">
        <v>28</v>
      </c>
      <c r="N8895">
        <v>5</v>
      </c>
      <c r="O8895">
        <v>1</v>
      </c>
      <c r="P8895">
        <v>0</v>
      </c>
      <c r="Q8895">
        <v>0</v>
      </c>
    </row>
    <row r="8896" spans="1:17" x14ac:dyDescent="0.2">
      <c r="A8896" s="121">
        <v>42155</v>
      </c>
      <c r="B8896" t="s">
        <v>406</v>
      </c>
      <c r="C8896" t="s">
        <v>577</v>
      </c>
      <c r="D8896" t="s">
        <v>611</v>
      </c>
      <c r="E8896" t="s">
        <v>612</v>
      </c>
      <c r="F8896" t="s">
        <v>410</v>
      </c>
      <c r="G8896">
        <v>11</v>
      </c>
      <c r="H8896">
        <v>11</v>
      </c>
      <c r="I8896">
        <v>11</v>
      </c>
      <c r="J8896">
        <v>11</v>
      </c>
      <c r="K8896">
        <v>0</v>
      </c>
      <c r="L8896">
        <v>0</v>
      </c>
      <c r="M8896">
        <v>9</v>
      </c>
      <c r="N8896">
        <v>2</v>
      </c>
      <c r="O8896">
        <v>0</v>
      </c>
      <c r="P8896">
        <v>0</v>
      </c>
      <c r="Q8896">
        <v>0</v>
      </c>
    </row>
    <row r="8897" spans="1:17" x14ac:dyDescent="0.2">
      <c r="A8897" s="121">
        <v>42155</v>
      </c>
      <c r="B8897" t="s">
        <v>406</v>
      </c>
      <c r="C8897" t="s">
        <v>577</v>
      </c>
      <c r="D8897" t="s">
        <v>584</v>
      </c>
      <c r="E8897" t="s">
        <v>585</v>
      </c>
      <c r="F8897" t="s">
        <v>410</v>
      </c>
      <c r="G8897">
        <v>311</v>
      </c>
      <c r="H8897">
        <v>311</v>
      </c>
      <c r="I8897">
        <v>310</v>
      </c>
      <c r="J8897">
        <v>310</v>
      </c>
      <c r="K8897">
        <v>2</v>
      </c>
      <c r="L8897">
        <v>0</v>
      </c>
      <c r="M8897">
        <v>295</v>
      </c>
      <c r="N8897">
        <v>13</v>
      </c>
      <c r="O8897">
        <v>1</v>
      </c>
      <c r="P8897">
        <v>0</v>
      </c>
      <c r="Q8897">
        <v>0</v>
      </c>
    </row>
    <row r="8898" spans="1:17" x14ac:dyDescent="0.2">
      <c r="A8898" s="121">
        <v>42155</v>
      </c>
      <c r="B8898" t="s">
        <v>406</v>
      </c>
      <c r="C8898" t="s">
        <v>577</v>
      </c>
      <c r="D8898" t="s">
        <v>586</v>
      </c>
      <c r="E8898" t="s">
        <v>587</v>
      </c>
      <c r="F8898" t="s">
        <v>410</v>
      </c>
      <c r="G8898">
        <v>1224</v>
      </c>
      <c r="H8898">
        <v>1224</v>
      </c>
      <c r="I8898">
        <v>1223</v>
      </c>
      <c r="J8898">
        <v>1223</v>
      </c>
      <c r="K8898">
        <v>0</v>
      </c>
      <c r="L8898">
        <v>0</v>
      </c>
      <c r="M8898">
        <v>1120</v>
      </c>
      <c r="N8898">
        <v>102</v>
      </c>
      <c r="O8898">
        <v>2</v>
      </c>
      <c r="P8898">
        <v>0</v>
      </c>
      <c r="Q8898">
        <v>0</v>
      </c>
    </row>
    <row r="8899" spans="1:17" x14ac:dyDescent="0.2">
      <c r="A8899" s="121">
        <v>42155</v>
      </c>
      <c r="B8899" t="s">
        <v>406</v>
      </c>
      <c r="C8899" t="s">
        <v>577</v>
      </c>
      <c r="D8899" t="s">
        <v>588</v>
      </c>
      <c r="E8899" t="s">
        <v>589</v>
      </c>
      <c r="F8899" t="s">
        <v>410</v>
      </c>
      <c r="G8899">
        <v>279</v>
      </c>
      <c r="H8899">
        <v>279</v>
      </c>
      <c r="I8899">
        <v>278</v>
      </c>
      <c r="J8899">
        <v>278</v>
      </c>
      <c r="K8899">
        <v>0</v>
      </c>
      <c r="L8899">
        <v>0</v>
      </c>
      <c r="M8899">
        <v>263</v>
      </c>
      <c r="N8899">
        <v>15</v>
      </c>
      <c r="O8899">
        <v>1</v>
      </c>
      <c r="P8899">
        <v>0</v>
      </c>
      <c r="Q8899">
        <v>0</v>
      </c>
    </row>
    <row r="8900" spans="1:17" x14ac:dyDescent="0.2">
      <c r="A8900" s="121">
        <v>42155</v>
      </c>
      <c r="B8900" t="s">
        <v>406</v>
      </c>
      <c r="C8900" t="s">
        <v>577</v>
      </c>
      <c r="D8900" t="s">
        <v>613</v>
      </c>
      <c r="E8900" t="s">
        <v>614</v>
      </c>
      <c r="F8900" t="s">
        <v>410</v>
      </c>
      <c r="G8900">
        <v>152</v>
      </c>
      <c r="H8900">
        <v>152</v>
      </c>
      <c r="I8900">
        <v>152</v>
      </c>
      <c r="J8900">
        <v>152</v>
      </c>
      <c r="K8900">
        <v>0</v>
      </c>
      <c r="L8900">
        <v>0</v>
      </c>
      <c r="M8900">
        <v>128</v>
      </c>
      <c r="N8900">
        <v>15</v>
      </c>
      <c r="O8900">
        <v>9</v>
      </c>
      <c r="P8900">
        <v>0</v>
      </c>
      <c r="Q8900">
        <v>0</v>
      </c>
    </row>
    <row r="8901" spans="1:17" x14ac:dyDescent="0.2">
      <c r="A8901" s="121">
        <v>42155</v>
      </c>
      <c r="B8901" t="s">
        <v>406</v>
      </c>
      <c r="C8901" t="s">
        <v>577</v>
      </c>
      <c r="D8901" t="s">
        <v>590</v>
      </c>
      <c r="E8901" t="s">
        <v>591</v>
      </c>
      <c r="F8901" t="s">
        <v>410</v>
      </c>
      <c r="G8901">
        <v>687</v>
      </c>
      <c r="H8901">
        <v>687</v>
      </c>
      <c r="I8901">
        <v>687</v>
      </c>
      <c r="J8901">
        <v>687</v>
      </c>
      <c r="K8901">
        <v>0</v>
      </c>
      <c r="L8901">
        <v>0</v>
      </c>
      <c r="M8901">
        <v>635</v>
      </c>
      <c r="N8901">
        <v>51</v>
      </c>
      <c r="O8901">
        <v>1</v>
      </c>
      <c r="P8901">
        <v>0</v>
      </c>
      <c r="Q8901">
        <v>0</v>
      </c>
    </row>
    <row r="8902" spans="1:17" x14ac:dyDescent="0.2">
      <c r="A8902" s="121">
        <v>42155</v>
      </c>
      <c r="B8902" t="s">
        <v>406</v>
      </c>
      <c r="C8902" t="s">
        <v>577</v>
      </c>
      <c r="D8902" t="s">
        <v>607</v>
      </c>
      <c r="E8902" t="s">
        <v>608</v>
      </c>
      <c r="F8902" t="s">
        <v>410</v>
      </c>
      <c r="G8902">
        <v>225</v>
      </c>
      <c r="H8902">
        <v>225</v>
      </c>
      <c r="I8902">
        <v>225</v>
      </c>
      <c r="J8902">
        <v>225</v>
      </c>
      <c r="K8902">
        <v>0</v>
      </c>
      <c r="L8902">
        <v>0</v>
      </c>
      <c r="M8902">
        <v>191</v>
      </c>
      <c r="N8902">
        <v>27</v>
      </c>
      <c r="O8902">
        <v>7</v>
      </c>
      <c r="P8902">
        <v>0</v>
      </c>
      <c r="Q8902">
        <v>0</v>
      </c>
    </row>
    <row r="8903" spans="1:17" x14ac:dyDescent="0.2">
      <c r="A8903" s="121">
        <v>42155</v>
      </c>
      <c r="B8903" t="s">
        <v>406</v>
      </c>
      <c r="C8903" t="s">
        <v>577</v>
      </c>
      <c r="D8903" t="s">
        <v>592</v>
      </c>
      <c r="E8903" t="s">
        <v>593</v>
      </c>
      <c r="F8903" t="s">
        <v>410</v>
      </c>
      <c r="G8903">
        <v>546</v>
      </c>
      <c r="H8903">
        <v>546</v>
      </c>
      <c r="I8903">
        <v>546</v>
      </c>
      <c r="J8903">
        <v>546</v>
      </c>
      <c r="K8903">
        <v>0</v>
      </c>
      <c r="L8903">
        <v>0</v>
      </c>
      <c r="M8903">
        <v>513</v>
      </c>
      <c r="N8903">
        <v>31</v>
      </c>
      <c r="O8903">
        <v>2</v>
      </c>
      <c r="P8903">
        <v>0</v>
      </c>
      <c r="Q8903">
        <v>0</v>
      </c>
    </row>
    <row r="8904" spans="1:17" x14ac:dyDescent="0.2">
      <c r="A8904" s="121">
        <v>42155</v>
      </c>
      <c r="B8904" t="s">
        <v>406</v>
      </c>
      <c r="C8904" t="s">
        <v>594</v>
      </c>
      <c r="D8904" t="s">
        <v>595</v>
      </c>
      <c r="E8904" t="s">
        <v>596</v>
      </c>
      <c r="F8904" t="s">
        <v>410</v>
      </c>
      <c r="G8904">
        <v>52</v>
      </c>
      <c r="I8904">
        <v>52</v>
      </c>
    </row>
    <row r="8905" spans="1:17" x14ac:dyDescent="0.2">
      <c r="A8905" s="121">
        <v>42155</v>
      </c>
      <c r="B8905" t="s">
        <v>406</v>
      </c>
      <c r="C8905" t="s">
        <v>594</v>
      </c>
      <c r="D8905" t="s">
        <v>597</v>
      </c>
      <c r="E8905" t="s">
        <v>598</v>
      </c>
      <c r="F8905" t="s">
        <v>413</v>
      </c>
      <c r="G8905">
        <v>540</v>
      </c>
      <c r="H8905">
        <v>540</v>
      </c>
      <c r="I8905">
        <v>534</v>
      </c>
      <c r="J8905">
        <v>534</v>
      </c>
      <c r="K8905">
        <v>115</v>
      </c>
      <c r="L8905">
        <v>0</v>
      </c>
      <c r="M8905">
        <v>412</v>
      </c>
      <c r="N8905">
        <v>7</v>
      </c>
      <c r="O8905">
        <v>6</v>
      </c>
      <c r="P8905">
        <v>0</v>
      </c>
      <c r="Q8905">
        <v>0</v>
      </c>
    </row>
    <row r="8906" spans="1:17" x14ac:dyDescent="0.2">
      <c r="A8906" s="121">
        <v>42155</v>
      </c>
      <c r="B8906" t="s">
        <v>406</v>
      </c>
      <c r="C8906" t="s">
        <v>594</v>
      </c>
      <c r="D8906" t="s">
        <v>599</v>
      </c>
      <c r="E8906" t="s">
        <v>600</v>
      </c>
      <c r="F8906" t="s">
        <v>410</v>
      </c>
      <c r="G8906">
        <v>138</v>
      </c>
      <c r="I8906">
        <v>138</v>
      </c>
    </row>
    <row r="8907" spans="1:17" x14ac:dyDescent="0.2">
      <c r="A8907" s="121">
        <v>42185</v>
      </c>
      <c r="B8907" t="s">
        <v>406</v>
      </c>
      <c r="C8907" t="s">
        <v>407</v>
      </c>
      <c r="D8907" t="s">
        <v>408</v>
      </c>
      <c r="E8907" t="s">
        <v>409</v>
      </c>
      <c r="F8907" t="s">
        <v>410</v>
      </c>
      <c r="G8907">
        <v>244</v>
      </c>
      <c r="I8907">
        <v>241</v>
      </c>
    </row>
    <row r="8908" spans="1:17" x14ac:dyDescent="0.2">
      <c r="A8908" s="121">
        <v>42185</v>
      </c>
      <c r="B8908" t="s">
        <v>406</v>
      </c>
      <c r="C8908" t="s">
        <v>407</v>
      </c>
      <c r="D8908" t="s">
        <v>601</v>
      </c>
      <c r="E8908" t="s">
        <v>602</v>
      </c>
      <c r="F8908" t="s">
        <v>410</v>
      </c>
      <c r="G8908">
        <v>77</v>
      </c>
      <c r="I8908">
        <v>77</v>
      </c>
    </row>
    <row r="8909" spans="1:17" x14ac:dyDescent="0.2">
      <c r="A8909" s="121">
        <v>42185</v>
      </c>
      <c r="B8909" t="s">
        <v>406</v>
      </c>
      <c r="C8909" t="s">
        <v>407</v>
      </c>
      <c r="D8909" t="s">
        <v>411</v>
      </c>
      <c r="E8909" t="s">
        <v>412</v>
      </c>
      <c r="F8909" t="s">
        <v>413</v>
      </c>
      <c r="G8909">
        <v>6206</v>
      </c>
      <c r="H8909">
        <v>6206</v>
      </c>
      <c r="I8909">
        <v>5695</v>
      </c>
      <c r="J8909">
        <v>5695</v>
      </c>
      <c r="K8909">
        <v>2493</v>
      </c>
      <c r="L8909">
        <v>12</v>
      </c>
      <c r="M8909">
        <v>3300</v>
      </c>
      <c r="N8909">
        <v>113</v>
      </c>
      <c r="O8909">
        <v>288</v>
      </c>
      <c r="P8909">
        <v>26</v>
      </c>
      <c r="Q8909">
        <v>3</v>
      </c>
    </row>
    <row r="8910" spans="1:17" x14ac:dyDescent="0.2">
      <c r="A8910" s="121">
        <v>42185</v>
      </c>
      <c r="B8910" t="s">
        <v>406</v>
      </c>
      <c r="C8910" t="s">
        <v>407</v>
      </c>
      <c r="D8910" t="s">
        <v>416</v>
      </c>
      <c r="E8910" t="s">
        <v>417</v>
      </c>
      <c r="F8910" t="s">
        <v>413</v>
      </c>
      <c r="G8910">
        <v>3779</v>
      </c>
      <c r="H8910">
        <v>3779</v>
      </c>
      <c r="I8910">
        <v>3459</v>
      </c>
      <c r="J8910">
        <v>3459</v>
      </c>
      <c r="K8910">
        <v>1392</v>
      </c>
      <c r="L8910">
        <v>8</v>
      </c>
      <c r="M8910">
        <v>2217</v>
      </c>
      <c r="N8910">
        <v>108</v>
      </c>
      <c r="O8910">
        <v>54</v>
      </c>
      <c r="P8910">
        <v>45</v>
      </c>
      <c r="Q8910">
        <v>8</v>
      </c>
    </row>
    <row r="8911" spans="1:17" x14ac:dyDescent="0.2">
      <c r="A8911" s="121">
        <v>42185</v>
      </c>
      <c r="B8911" t="s">
        <v>406</v>
      </c>
      <c r="C8911" t="s">
        <v>407</v>
      </c>
      <c r="D8911" t="s">
        <v>618</v>
      </c>
      <c r="E8911" t="s">
        <v>619</v>
      </c>
      <c r="F8911" t="s">
        <v>410</v>
      </c>
      <c r="G8911">
        <v>117</v>
      </c>
      <c r="I8911">
        <v>117</v>
      </c>
    </row>
    <row r="8912" spans="1:17" x14ac:dyDescent="0.2">
      <c r="A8912" s="121">
        <v>42185</v>
      </c>
      <c r="B8912" t="s">
        <v>406</v>
      </c>
      <c r="C8912" t="s">
        <v>418</v>
      </c>
      <c r="D8912" t="s">
        <v>419</v>
      </c>
      <c r="E8912" t="s">
        <v>420</v>
      </c>
      <c r="F8912" t="s">
        <v>410</v>
      </c>
      <c r="G8912">
        <v>13</v>
      </c>
      <c r="I8912">
        <v>13</v>
      </c>
    </row>
    <row r="8913" spans="1:17" x14ac:dyDescent="0.2">
      <c r="A8913" s="121">
        <v>42185</v>
      </c>
      <c r="B8913" t="s">
        <v>406</v>
      </c>
      <c r="C8913" t="s">
        <v>418</v>
      </c>
      <c r="D8913" t="s">
        <v>421</v>
      </c>
      <c r="E8913" t="s">
        <v>422</v>
      </c>
      <c r="F8913" t="s">
        <v>410</v>
      </c>
      <c r="G8913">
        <v>104</v>
      </c>
      <c r="I8913">
        <v>104</v>
      </c>
    </row>
    <row r="8914" spans="1:17" x14ac:dyDescent="0.2">
      <c r="A8914" s="121">
        <v>42185</v>
      </c>
      <c r="B8914" t="s">
        <v>406</v>
      </c>
      <c r="C8914" t="s">
        <v>418</v>
      </c>
      <c r="D8914" t="s">
        <v>423</v>
      </c>
      <c r="E8914" t="s">
        <v>424</v>
      </c>
      <c r="F8914" t="s">
        <v>410</v>
      </c>
      <c r="G8914">
        <v>6</v>
      </c>
      <c r="I8914">
        <v>6</v>
      </c>
    </row>
    <row r="8915" spans="1:17" x14ac:dyDescent="0.2">
      <c r="A8915" s="121">
        <v>42185</v>
      </c>
      <c r="B8915" t="s">
        <v>406</v>
      </c>
      <c r="C8915" t="s">
        <v>418</v>
      </c>
      <c r="D8915" t="s">
        <v>425</v>
      </c>
      <c r="E8915" t="s">
        <v>426</v>
      </c>
      <c r="F8915" t="s">
        <v>410</v>
      </c>
      <c r="G8915">
        <v>50</v>
      </c>
      <c r="I8915">
        <v>50</v>
      </c>
    </row>
    <row r="8916" spans="1:17" x14ac:dyDescent="0.2">
      <c r="A8916" s="121">
        <v>42185</v>
      </c>
      <c r="B8916" t="s">
        <v>406</v>
      </c>
      <c r="C8916" t="s">
        <v>418</v>
      </c>
      <c r="D8916" t="s">
        <v>427</v>
      </c>
      <c r="E8916" t="s">
        <v>428</v>
      </c>
      <c r="F8916" t="s">
        <v>413</v>
      </c>
      <c r="G8916">
        <v>2276</v>
      </c>
      <c r="H8916">
        <v>2276</v>
      </c>
      <c r="I8916">
        <v>2193</v>
      </c>
      <c r="J8916">
        <v>2193</v>
      </c>
      <c r="K8916">
        <v>790</v>
      </c>
      <c r="L8916">
        <v>6</v>
      </c>
      <c r="M8916">
        <v>1342</v>
      </c>
      <c r="N8916">
        <v>124</v>
      </c>
      <c r="O8916">
        <v>14</v>
      </c>
      <c r="P8916">
        <v>0</v>
      </c>
      <c r="Q8916">
        <v>0</v>
      </c>
    </row>
    <row r="8917" spans="1:17" x14ac:dyDescent="0.2">
      <c r="A8917" s="121">
        <v>42185</v>
      </c>
      <c r="B8917" t="s">
        <v>406</v>
      </c>
      <c r="C8917" t="s">
        <v>429</v>
      </c>
      <c r="D8917" t="s">
        <v>430</v>
      </c>
      <c r="E8917" t="s">
        <v>431</v>
      </c>
      <c r="F8917" t="s">
        <v>410</v>
      </c>
      <c r="G8917">
        <v>28</v>
      </c>
      <c r="I8917">
        <v>28</v>
      </c>
    </row>
    <row r="8918" spans="1:17" x14ac:dyDescent="0.2">
      <c r="A8918" s="121">
        <v>42185</v>
      </c>
      <c r="B8918" t="s">
        <v>406</v>
      </c>
      <c r="C8918" t="s">
        <v>429</v>
      </c>
      <c r="D8918" t="s">
        <v>432</v>
      </c>
      <c r="E8918" t="s">
        <v>433</v>
      </c>
      <c r="F8918" t="s">
        <v>410</v>
      </c>
      <c r="G8918">
        <v>42</v>
      </c>
      <c r="I8918">
        <v>42</v>
      </c>
    </row>
    <row r="8919" spans="1:17" x14ac:dyDescent="0.2">
      <c r="A8919" s="121">
        <v>42185</v>
      </c>
      <c r="B8919" t="s">
        <v>406</v>
      </c>
      <c r="C8919" t="s">
        <v>429</v>
      </c>
      <c r="D8919" t="s">
        <v>434</v>
      </c>
      <c r="E8919" t="s">
        <v>435</v>
      </c>
      <c r="F8919" t="s">
        <v>410</v>
      </c>
      <c r="G8919">
        <v>2</v>
      </c>
      <c r="I8919">
        <v>2</v>
      </c>
    </row>
    <row r="8920" spans="1:17" x14ac:dyDescent="0.2">
      <c r="A8920" s="121">
        <v>42185</v>
      </c>
      <c r="B8920" t="s">
        <v>406</v>
      </c>
      <c r="C8920" t="s">
        <v>429</v>
      </c>
      <c r="D8920" t="s">
        <v>436</v>
      </c>
      <c r="E8920" t="s">
        <v>437</v>
      </c>
      <c r="F8920" t="s">
        <v>410</v>
      </c>
      <c r="G8920">
        <v>8</v>
      </c>
      <c r="H8920">
        <v>8</v>
      </c>
      <c r="I8920">
        <v>8</v>
      </c>
      <c r="J8920">
        <v>8</v>
      </c>
      <c r="K8920">
        <v>0</v>
      </c>
      <c r="L8920">
        <v>0</v>
      </c>
      <c r="M8920">
        <v>6</v>
      </c>
      <c r="N8920">
        <v>2</v>
      </c>
      <c r="O8920">
        <v>0</v>
      </c>
      <c r="P8920">
        <v>0</v>
      </c>
      <c r="Q8920">
        <v>0</v>
      </c>
    </row>
    <row r="8921" spans="1:17" x14ac:dyDescent="0.2">
      <c r="A8921" s="121">
        <v>42185</v>
      </c>
      <c r="B8921" t="s">
        <v>406</v>
      </c>
      <c r="C8921" t="s">
        <v>429</v>
      </c>
      <c r="D8921" t="s">
        <v>438</v>
      </c>
      <c r="E8921" t="s">
        <v>439</v>
      </c>
      <c r="F8921" t="s">
        <v>413</v>
      </c>
      <c r="G8921">
        <v>990</v>
      </c>
      <c r="H8921">
        <v>990</v>
      </c>
      <c r="I8921">
        <v>964</v>
      </c>
      <c r="J8921">
        <v>964</v>
      </c>
      <c r="K8921">
        <v>67</v>
      </c>
      <c r="L8921">
        <v>1</v>
      </c>
      <c r="M8921">
        <v>869</v>
      </c>
      <c r="N8921">
        <v>37</v>
      </c>
      <c r="O8921">
        <v>16</v>
      </c>
      <c r="P8921">
        <v>0</v>
      </c>
      <c r="Q8921">
        <v>0</v>
      </c>
    </row>
    <row r="8922" spans="1:17" x14ac:dyDescent="0.2">
      <c r="A8922" s="121">
        <v>42185</v>
      </c>
      <c r="B8922" t="s">
        <v>406</v>
      </c>
      <c r="C8922" t="s">
        <v>429</v>
      </c>
      <c r="D8922" t="s">
        <v>440</v>
      </c>
      <c r="E8922" t="s">
        <v>441</v>
      </c>
      <c r="F8922" t="s">
        <v>413</v>
      </c>
      <c r="G8922">
        <v>2936</v>
      </c>
      <c r="H8922">
        <v>2936</v>
      </c>
      <c r="I8922">
        <v>2861</v>
      </c>
      <c r="J8922">
        <v>2861</v>
      </c>
      <c r="K8922">
        <v>974</v>
      </c>
      <c r="L8922">
        <v>2</v>
      </c>
      <c r="M8922">
        <v>1832</v>
      </c>
      <c r="N8922">
        <v>64</v>
      </c>
      <c r="O8922">
        <v>64</v>
      </c>
      <c r="P8922">
        <v>0</v>
      </c>
      <c r="Q8922">
        <v>0</v>
      </c>
    </row>
    <row r="8923" spans="1:17" x14ac:dyDescent="0.2">
      <c r="A8923" s="121">
        <v>42185</v>
      </c>
      <c r="B8923" t="s">
        <v>406</v>
      </c>
      <c r="C8923" t="s">
        <v>442</v>
      </c>
      <c r="D8923" t="s">
        <v>443</v>
      </c>
      <c r="E8923" t="s">
        <v>444</v>
      </c>
      <c r="F8923" t="s">
        <v>413</v>
      </c>
      <c r="G8923">
        <v>5491</v>
      </c>
      <c r="H8923">
        <v>5491</v>
      </c>
      <c r="I8923">
        <v>5264</v>
      </c>
      <c r="J8923">
        <v>5264</v>
      </c>
      <c r="K8923">
        <v>1281</v>
      </c>
      <c r="L8923">
        <v>10</v>
      </c>
      <c r="M8923">
        <v>3894</v>
      </c>
      <c r="N8923">
        <v>130</v>
      </c>
      <c r="O8923">
        <v>176</v>
      </c>
      <c r="P8923">
        <v>19</v>
      </c>
      <c r="Q8923">
        <v>0</v>
      </c>
    </row>
    <row r="8924" spans="1:17" x14ac:dyDescent="0.2">
      <c r="A8924" s="121">
        <v>42185</v>
      </c>
      <c r="B8924" t="s">
        <v>406</v>
      </c>
      <c r="C8924" t="s">
        <v>442</v>
      </c>
      <c r="D8924" t="s">
        <v>445</v>
      </c>
      <c r="E8924" t="s">
        <v>446</v>
      </c>
      <c r="F8924" t="s">
        <v>410</v>
      </c>
      <c r="G8924">
        <v>158</v>
      </c>
      <c r="I8924">
        <v>158</v>
      </c>
    </row>
    <row r="8925" spans="1:17" x14ac:dyDescent="0.2">
      <c r="A8925" s="121">
        <v>42185</v>
      </c>
      <c r="B8925" t="s">
        <v>406</v>
      </c>
      <c r="C8925" t="s">
        <v>442</v>
      </c>
      <c r="D8925" t="s">
        <v>447</v>
      </c>
      <c r="E8925" t="s">
        <v>448</v>
      </c>
      <c r="F8925" t="s">
        <v>410</v>
      </c>
      <c r="G8925">
        <v>382</v>
      </c>
      <c r="I8925">
        <v>382</v>
      </c>
    </row>
    <row r="8926" spans="1:17" x14ac:dyDescent="0.2">
      <c r="A8926" s="121">
        <v>42185</v>
      </c>
      <c r="B8926" t="s">
        <v>406</v>
      </c>
      <c r="C8926" t="s">
        <v>442</v>
      </c>
      <c r="D8926" t="s">
        <v>449</v>
      </c>
      <c r="E8926" t="s">
        <v>624</v>
      </c>
      <c r="F8926" t="s">
        <v>410</v>
      </c>
      <c r="G8926">
        <v>1978</v>
      </c>
      <c r="H8926">
        <v>1978</v>
      </c>
      <c r="I8926">
        <v>1977</v>
      </c>
      <c r="J8926">
        <v>1977</v>
      </c>
      <c r="K8926">
        <v>9</v>
      </c>
      <c r="L8926">
        <v>0</v>
      </c>
      <c r="M8926">
        <v>1835</v>
      </c>
      <c r="N8926">
        <v>112</v>
      </c>
      <c r="O8926">
        <v>22</v>
      </c>
      <c r="P8926">
        <v>1</v>
      </c>
      <c r="Q8926">
        <v>0</v>
      </c>
    </row>
    <row r="8927" spans="1:17" x14ac:dyDescent="0.2">
      <c r="A8927" s="121">
        <v>42185</v>
      </c>
      <c r="B8927" t="s">
        <v>406</v>
      </c>
      <c r="C8927" t="s">
        <v>451</v>
      </c>
      <c r="D8927" t="s">
        <v>454</v>
      </c>
      <c r="E8927" t="s">
        <v>621</v>
      </c>
      <c r="F8927" t="s">
        <v>410</v>
      </c>
      <c r="G8927">
        <v>1430</v>
      </c>
      <c r="H8927">
        <v>1430</v>
      </c>
      <c r="I8927">
        <v>1429</v>
      </c>
      <c r="J8927">
        <v>1429</v>
      </c>
      <c r="K8927">
        <v>2</v>
      </c>
      <c r="L8927">
        <v>0</v>
      </c>
      <c r="M8927">
        <v>1011</v>
      </c>
      <c r="N8927">
        <v>38</v>
      </c>
      <c r="O8927">
        <v>379</v>
      </c>
      <c r="P8927">
        <v>0</v>
      </c>
      <c r="Q8927">
        <v>0</v>
      </c>
    </row>
    <row r="8928" spans="1:17" x14ac:dyDescent="0.2">
      <c r="A8928" s="121">
        <v>42185</v>
      </c>
      <c r="B8928" t="s">
        <v>406</v>
      </c>
      <c r="C8928" t="s">
        <v>451</v>
      </c>
      <c r="D8928" t="s">
        <v>622</v>
      </c>
      <c r="E8928" t="s">
        <v>623</v>
      </c>
      <c r="F8928" t="s">
        <v>413</v>
      </c>
      <c r="G8928">
        <v>5408</v>
      </c>
      <c r="H8928">
        <v>5408</v>
      </c>
      <c r="I8928">
        <v>4952</v>
      </c>
      <c r="J8928">
        <v>4952</v>
      </c>
      <c r="K8928">
        <v>1400</v>
      </c>
      <c r="L8928">
        <v>6</v>
      </c>
      <c r="M8928">
        <v>3010</v>
      </c>
      <c r="N8928">
        <v>34</v>
      </c>
      <c r="O8928">
        <v>958</v>
      </c>
      <c r="P8928">
        <v>17</v>
      </c>
      <c r="Q8928">
        <v>0</v>
      </c>
    </row>
    <row r="8929" spans="1:17" x14ac:dyDescent="0.2">
      <c r="A8929" s="121">
        <v>42185</v>
      </c>
      <c r="B8929" t="s">
        <v>406</v>
      </c>
      <c r="C8929" t="s">
        <v>456</v>
      </c>
      <c r="D8929" t="s">
        <v>457</v>
      </c>
      <c r="E8929" t="s">
        <v>458</v>
      </c>
      <c r="F8929" t="s">
        <v>413</v>
      </c>
      <c r="G8929">
        <v>4898</v>
      </c>
      <c r="H8929">
        <v>4898</v>
      </c>
      <c r="I8929">
        <v>4461</v>
      </c>
      <c r="J8929">
        <v>4461</v>
      </c>
      <c r="K8929">
        <v>1281</v>
      </c>
      <c r="L8929">
        <v>7</v>
      </c>
      <c r="M8929">
        <v>3124</v>
      </c>
      <c r="N8929">
        <v>27</v>
      </c>
      <c r="O8929">
        <v>459</v>
      </c>
      <c r="P8929">
        <v>28</v>
      </c>
      <c r="Q8929">
        <v>0</v>
      </c>
    </row>
    <row r="8930" spans="1:17" x14ac:dyDescent="0.2">
      <c r="A8930" s="121">
        <v>42185</v>
      </c>
      <c r="B8930" t="s">
        <v>406</v>
      </c>
      <c r="C8930" t="s">
        <v>456</v>
      </c>
      <c r="D8930" t="s">
        <v>459</v>
      </c>
      <c r="E8930" t="s">
        <v>460</v>
      </c>
      <c r="F8930" t="s">
        <v>413</v>
      </c>
      <c r="G8930">
        <v>1650</v>
      </c>
      <c r="H8930">
        <v>1650</v>
      </c>
      <c r="I8930">
        <v>1625</v>
      </c>
      <c r="J8930">
        <v>1625</v>
      </c>
      <c r="K8930">
        <v>275</v>
      </c>
      <c r="L8930">
        <v>3</v>
      </c>
      <c r="M8930">
        <v>1312</v>
      </c>
      <c r="N8930">
        <v>0</v>
      </c>
      <c r="O8930">
        <v>60</v>
      </c>
      <c r="P8930">
        <v>0</v>
      </c>
      <c r="Q8930">
        <v>0</v>
      </c>
    </row>
    <row r="8931" spans="1:17" x14ac:dyDescent="0.2">
      <c r="A8931" s="121">
        <v>42185</v>
      </c>
      <c r="B8931" t="s">
        <v>406</v>
      </c>
      <c r="C8931" t="s">
        <v>456</v>
      </c>
      <c r="D8931" t="s">
        <v>461</v>
      </c>
      <c r="E8931" t="s">
        <v>462</v>
      </c>
      <c r="F8931" t="s">
        <v>410</v>
      </c>
      <c r="G8931">
        <v>139</v>
      </c>
      <c r="I8931">
        <v>139</v>
      </c>
    </row>
    <row r="8932" spans="1:17" x14ac:dyDescent="0.2">
      <c r="A8932" s="121">
        <v>42185</v>
      </c>
      <c r="B8932" t="s">
        <v>406</v>
      </c>
      <c r="C8932" t="s">
        <v>456</v>
      </c>
      <c r="D8932" t="s">
        <v>463</v>
      </c>
      <c r="E8932" t="s">
        <v>464</v>
      </c>
      <c r="F8932" t="s">
        <v>410</v>
      </c>
      <c r="G8932">
        <v>18</v>
      </c>
      <c r="I8932">
        <v>18</v>
      </c>
    </row>
    <row r="8933" spans="1:17" x14ac:dyDescent="0.2">
      <c r="A8933" s="121">
        <v>42185</v>
      </c>
      <c r="B8933" t="s">
        <v>406</v>
      </c>
      <c r="C8933" t="s">
        <v>456</v>
      </c>
      <c r="D8933" t="s">
        <v>465</v>
      </c>
      <c r="E8933" t="s">
        <v>466</v>
      </c>
      <c r="F8933" t="s">
        <v>410</v>
      </c>
      <c r="G8933">
        <v>28</v>
      </c>
      <c r="I8933">
        <v>28</v>
      </c>
    </row>
    <row r="8934" spans="1:17" x14ac:dyDescent="0.2">
      <c r="A8934" s="121">
        <v>42185</v>
      </c>
      <c r="B8934" t="s">
        <v>406</v>
      </c>
      <c r="C8934" t="s">
        <v>456</v>
      </c>
      <c r="D8934" t="s">
        <v>467</v>
      </c>
      <c r="E8934" t="s">
        <v>468</v>
      </c>
      <c r="F8934" t="s">
        <v>410</v>
      </c>
      <c r="G8934">
        <v>1408</v>
      </c>
      <c r="I8934">
        <v>1408</v>
      </c>
    </row>
    <row r="8935" spans="1:17" x14ac:dyDescent="0.2">
      <c r="A8935" s="121">
        <v>42185</v>
      </c>
      <c r="B8935" t="s">
        <v>406</v>
      </c>
      <c r="C8935" t="s">
        <v>456</v>
      </c>
      <c r="D8935" t="s">
        <v>469</v>
      </c>
      <c r="E8935" t="s">
        <v>470</v>
      </c>
      <c r="F8935" t="s">
        <v>410</v>
      </c>
      <c r="G8935">
        <v>710</v>
      </c>
      <c r="I8935">
        <v>706</v>
      </c>
    </row>
    <row r="8936" spans="1:17" x14ac:dyDescent="0.2">
      <c r="A8936" s="121">
        <v>42185</v>
      </c>
      <c r="B8936" t="s">
        <v>406</v>
      </c>
      <c r="C8936" t="s">
        <v>456</v>
      </c>
      <c r="D8936" t="s">
        <v>471</v>
      </c>
      <c r="E8936" t="s">
        <v>472</v>
      </c>
      <c r="F8936" t="s">
        <v>410</v>
      </c>
      <c r="G8936">
        <v>275</v>
      </c>
      <c r="I8936">
        <v>272</v>
      </c>
    </row>
    <row r="8937" spans="1:17" x14ac:dyDescent="0.2">
      <c r="A8937" s="121">
        <v>42185</v>
      </c>
      <c r="B8937" t="s">
        <v>406</v>
      </c>
      <c r="C8937" t="s">
        <v>456</v>
      </c>
      <c r="D8937" t="s">
        <v>473</v>
      </c>
      <c r="E8937" t="s">
        <v>474</v>
      </c>
      <c r="F8937" t="s">
        <v>410</v>
      </c>
      <c r="G8937">
        <v>210</v>
      </c>
      <c r="I8937">
        <v>210</v>
      </c>
    </row>
    <row r="8938" spans="1:17" x14ac:dyDescent="0.2">
      <c r="A8938" s="121">
        <v>42185</v>
      </c>
      <c r="B8938" t="s">
        <v>406</v>
      </c>
      <c r="C8938" t="s">
        <v>456</v>
      </c>
      <c r="D8938" t="s">
        <v>475</v>
      </c>
      <c r="E8938" t="s">
        <v>476</v>
      </c>
      <c r="F8938" t="s">
        <v>410</v>
      </c>
      <c r="G8938">
        <v>284</v>
      </c>
      <c r="I8938">
        <v>278</v>
      </c>
    </row>
    <row r="8939" spans="1:17" x14ac:dyDescent="0.2">
      <c r="A8939" s="121">
        <v>42185</v>
      </c>
      <c r="B8939" t="s">
        <v>406</v>
      </c>
      <c r="C8939" t="s">
        <v>456</v>
      </c>
      <c r="D8939" t="s">
        <v>477</v>
      </c>
      <c r="E8939" t="s">
        <v>478</v>
      </c>
      <c r="F8939" t="s">
        <v>413</v>
      </c>
      <c r="G8939">
        <v>2001</v>
      </c>
      <c r="H8939">
        <v>2001</v>
      </c>
      <c r="I8939">
        <v>1962</v>
      </c>
      <c r="J8939">
        <v>1962</v>
      </c>
      <c r="K8939">
        <v>374</v>
      </c>
      <c r="L8939">
        <v>2</v>
      </c>
      <c r="M8939">
        <v>1582</v>
      </c>
      <c r="N8939">
        <v>10</v>
      </c>
      <c r="O8939">
        <v>33</v>
      </c>
      <c r="P8939">
        <v>0</v>
      </c>
      <c r="Q8939">
        <v>0</v>
      </c>
    </row>
    <row r="8940" spans="1:17" x14ac:dyDescent="0.2">
      <c r="A8940" s="121">
        <v>42185</v>
      </c>
      <c r="B8940" t="s">
        <v>406</v>
      </c>
      <c r="C8940" t="s">
        <v>456</v>
      </c>
      <c r="D8940" t="s">
        <v>479</v>
      </c>
      <c r="E8940" t="s">
        <v>480</v>
      </c>
      <c r="F8940" t="s">
        <v>410</v>
      </c>
      <c r="G8940">
        <v>39</v>
      </c>
      <c r="I8940">
        <v>39</v>
      </c>
    </row>
    <row r="8941" spans="1:17" x14ac:dyDescent="0.2">
      <c r="A8941" s="121">
        <v>42185</v>
      </c>
      <c r="B8941" t="s">
        <v>406</v>
      </c>
      <c r="C8941" t="s">
        <v>456</v>
      </c>
      <c r="D8941" t="s">
        <v>481</v>
      </c>
      <c r="E8941" t="s">
        <v>482</v>
      </c>
      <c r="F8941" t="s">
        <v>410</v>
      </c>
      <c r="G8941">
        <v>33</v>
      </c>
      <c r="I8941">
        <v>33</v>
      </c>
    </row>
    <row r="8942" spans="1:17" x14ac:dyDescent="0.2">
      <c r="A8942" s="121">
        <v>42185</v>
      </c>
      <c r="B8942" t="s">
        <v>406</v>
      </c>
      <c r="C8942" t="s">
        <v>456</v>
      </c>
      <c r="D8942" t="s">
        <v>483</v>
      </c>
      <c r="E8942" t="s">
        <v>484</v>
      </c>
      <c r="F8942" t="s">
        <v>410</v>
      </c>
      <c r="G8942">
        <v>102</v>
      </c>
      <c r="I8942">
        <v>102</v>
      </c>
    </row>
    <row r="8943" spans="1:17" x14ac:dyDescent="0.2">
      <c r="A8943" s="121">
        <v>42185</v>
      </c>
      <c r="B8943" t="s">
        <v>406</v>
      </c>
      <c r="C8943" t="s">
        <v>456</v>
      </c>
      <c r="D8943" t="s">
        <v>487</v>
      </c>
      <c r="E8943" t="s">
        <v>488</v>
      </c>
      <c r="F8943" t="s">
        <v>410</v>
      </c>
      <c r="G8943">
        <v>35</v>
      </c>
      <c r="I8943">
        <v>35</v>
      </c>
    </row>
    <row r="8944" spans="1:17" x14ac:dyDescent="0.2">
      <c r="A8944" s="121">
        <v>42185</v>
      </c>
      <c r="B8944" t="s">
        <v>406</v>
      </c>
      <c r="C8944" t="s">
        <v>456</v>
      </c>
      <c r="D8944" t="s">
        <v>489</v>
      </c>
      <c r="E8944" t="s">
        <v>490</v>
      </c>
      <c r="F8944" t="s">
        <v>410</v>
      </c>
      <c r="G8944">
        <v>145</v>
      </c>
      <c r="I8944">
        <v>145</v>
      </c>
    </row>
    <row r="8945" spans="1:17" x14ac:dyDescent="0.2">
      <c r="A8945" s="121">
        <v>42185</v>
      </c>
      <c r="B8945" t="s">
        <v>406</v>
      </c>
      <c r="C8945" t="s">
        <v>456</v>
      </c>
      <c r="D8945" t="s">
        <v>628</v>
      </c>
      <c r="E8945" t="s">
        <v>629</v>
      </c>
      <c r="F8945" t="s">
        <v>410</v>
      </c>
      <c r="G8945">
        <v>88</v>
      </c>
      <c r="I8945">
        <v>88</v>
      </c>
    </row>
    <row r="8946" spans="1:17" x14ac:dyDescent="0.2">
      <c r="A8946" s="121">
        <v>42185</v>
      </c>
      <c r="B8946" t="s">
        <v>406</v>
      </c>
      <c r="C8946" t="s">
        <v>491</v>
      </c>
      <c r="D8946" t="s">
        <v>492</v>
      </c>
      <c r="E8946" t="s">
        <v>493</v>
      </c>
      <c r="F8946" t="s">
        <v>410</v>
      </c>
      <c r="G8946">
        <v>1402</v>
      </c>
      <c r="H8946">
        <v>1402</v>
      </c>
      <c r="I8946">
        <v>1361</v>
      </c>
      <c r="J8946">
        <v>1361</v>
      </c>
      <c r="K8946">
        <v>195</v>
      </c>
      <c r="L8946">
        <v>1</v>
      </c>
      <c r="M8946">
        <v>1080</v>
      </c>
      <c r="N8946">
        <v>109</v>
      </c>
      <c r="O8946">
        <v>17</v>
      </c>
      <c r="P8946">
        <v>0</v>
      </c>
      <c r="Q8946">
        <v>0</v>
      </c>
    </row>
    <row r="8947" spans="1:17" x14ac:dyDescent="0.2">
      <c r="A8947" s="121">
        <v>42185</v>
      </c>
      <c r="B8947" t="s">
        <v>406</v>
      </c>
      <c r="C8947" t="s">
        <v>491</v>
      </c>
      <c r="D8947" t="s">
        <v>494</v>
      </c>
      <c r="E8947" t="s">
        <v>495</v>
      </c>
      <c r="F8947" t="s">
        <v>413</v>
      </c>
      <c r="G8947">
        <v>2677</v>
      </c>
      <c r="H8947">
        <v>2677</v>
      </c>
      <c r="I8947">
        <v>2463</v>
      </c>
      <c r="J8947">
        <v>2463</v>
      </c>
      <c r="K8947">
        <v>679</v>
      </c>
      <c r="L8947">
        <v>6</v>
      </c>
      <c r="M8947">
        <v>1754</v>
      </c>
      <c r="N8947">
        <v>45</v>
      </c>
      <c r="O8947">
        <v>193</v>
      </c>
      <c r="P8947">
        <v>7</v>
      </c>
      <c r="Q8947">
        <v>0</v>
      </c>
    </row>
    <row r="8948" spans="1:17" x14ac:dyDescent="0.2">
      <c r="A8948" s="121">
        <v>42185</v>
      </c>
      <c r="B8948" t="s">
        <v>406</v>
      </c>
      <c r="C8948" t="s">
        <v>491</v>
      </c>
      <c r="D8948" t="s">
        <v>496</v>
      </c>
      <c r="E8948" t="s">
        <v>497</v>
      </c>
      <c r="F8948" t="s">
        <v>413</v>
      </c>
      <c r="G8948">
        <v>5810</v>
      </c>
      <c r="H8948">
        <v>5810</v>
      </c>
      <c r="I8948">
        <v>5315</v>
      </c>
      <c r="J8948">
        <v>5315</v>
      </c>
      <c r="K8948">
        <v>1853</v>
      </c>
      <c r="L8948">
        <v>16</v>
      </c>
      <c r="M8948">
        <v>3674</v>
      </c>
      <c r="N8948">
        <v>122</v>
      </c>
      <c r="O8948">
        <v>145</v>
      </c>
      <c r="P8948">
        <v>24</v>
      </c>
      <c r="Q8948">
        <v>0</v>
      </c>
    </row>
    <row r="8949" spans="1:17" x14ac:dyDescent="0.2">
      <c r="A8949" s="121">
        <v>42185</v>
      </c>
      <c r="B8949" t="s">
        <v>406</v>
      </c>
      <c r="C8949" t="s">
        <v>491</v>
      </c>
      <c r="D8949" t="s">
        <v>498</v>
      </c>
      <c r="E8949" t="s">
        <v>499</v>
      </c>
      <c r="F8949" t="s">
        <v>413</v>
      </c>
      <c r="G8949">
        <v>7558</v>
      </c>
      <c r="H8949">
        <v>7558</v>
      </c>
      <c r="I8949">
        <v>6724</v>
      </c>
      <c r="J8949">
        <v>6724</v>
      </c>
      <c r="K8949">
        <v>2477</v>
      </c>
      <c r="L8949">
        <v>20</v>
      </c>
      <c r="M8949">
        <v>4598</v>
      </c>
      <c r="N8949">
        <v>104</v>
      </c>
      <c r="O8949">
        <v>359</v>
      </c>
      <c r="P8949">
        <v>14</v>
      </c>
      <c r="Q8949">
        <v>0</v>
      </c>
    </row>
    <row r="8950" spans="1:17" x14ac:dyDescent="0.2">
      <c r="A8950" s="121">
        <v>42185</v>
      </c>
      <c r="B8950" t="s">
        <v>406</v>
      </c>
      <c r="C8950" t="s">
        <v>491</v>
      </c>
      <c r="D8950" t="s">
        <v>500</v>
      </c>
      <c r="E8950" t="s">
        <v>620</v>
      </c>
      <c r="F8950" t="s">
        <v>410</v>
      </c>
      <c r="G8950">
        <v>1628</v>
      </c>
      <c r="H8950">
        <v>1628</v>
      </c>
      <c r="I8950">
        <v>1628</v>
      </c>
      <c r="J8950">
        <v>1628</v>
      </c>
      <c r="K8950">
        <v>0</v>
      </c>
      <c r="L8950">
        <v>0</v>
      </c>
      <c r="M8950">
        <v>1532</v>
      </c>
      <c r="N8950">
        <v>71</v>
      </c>
      <c r="O8950">
        <v>25</v>
      </c>
      <c r="P8950">
        <v>0</v>
      </c>
      <c r="Q8950">
        <v>0</v>
      </c>
    </row>
    <row r="8951" spans="1:17" x14ac:dyDescent="0.2">
      <c r="A8951" s="121">
        <v>42185</v>
      </c>
      <c r="B8951" t="s">
        <v>406</v>
      </c>
      <c r="C8951" t="s">
        <v>491</v>
      </c>
      <c r="D8951" t="s">
        <v>502</v>
      </c>
      <c r="E8951" t="s">
        <v>615</v>
      </c>
      <c r="F8951" t="s">
        <v>410</v>
      </c>
      <c r="G8951">
        <v>2748</v>
      </c>
      <c r="H8951">
        <v>2748</v>
      </c>
      <c r="I8951">
        <v>2745</v>
      </c>
      <c r="J8951">
        <v>2745</v>
      </c>
      <c r="K8951">
        <v>0</v>
      </c>
      <c r="L8951">
        <v>2</v>
      </c>
      <c r="M8951">
        <v>2497</v>
      </c>
      <c r="N8951">
        <v>232</v>
      </c>
      <c r="O8951">
        <v>17</v>
      </c>
      <c r="P8951">
        <v>0</v>
      </c>
      <c r="Q8951">
        <v>0</v>
      </c>
    </row>
    <row r="8952" spans="1:17" x14ac:dyDescent="0.2">
      <c r="A8952" s="121">
        <v>42185</v>
      </c>
      <c r="B8952" t="s">
        <v>406</v>
      </c>
      <c r="C8952" t="s">
        <v>491</v>
      </c>
      <c r="D8952" t="s">
        <v>504</v>
      </c>
      <c r="E8952" t="s">
        <v>630</v>
      </c>
      <c r="F8952" t="s">
        <v>413</v>
      </c>
      <c r="G8952">
        <v>7073</v>
      </c>
      <c r="H8952">
        <v>7073</v>
      </c>
      <c r="I8952">
        <v>5960</v>
      </c>
      <c r="J8952">
        <v>5960</v>
      </c>
      <c r="K8952">
        <v>2178</v>
      </c>
      <c r="L8952">
        <v>27</v>
      </c>
      <c r="M8952">
        <v>4571</v>
      </c>
      <c r="N8952">
        <v>135</v>
      </c>
      <c r="O8952">
        <v>162</v>
      </c>
      <c r="P8952">
        <v>90</v>
      </c>
      <c r="Q8952">
        <v>8</v>
      </c>
    </row>
    <row r="8953" spans="1:17" x14ac:dyDescent="0.2">
      <c r="A8953" s="121">
        <v>42185</v>
      </c>
      <c r="B8953" t="s">
        <v>406</v>
      </c>
      <c r="C8953" t="s">
        <v>491</v>
      </c>
      <c r="D8953" t="s">
        <v>506</v>
      </c>
      <c r="E8953" t="s">
        <v>507</v>
      </c>
      <c r="F8953" t="s">
        <v>413</v>
      </c>
      <c r="G8953">
        <v>3766</v>
      </c>
      <c r="H8953">
        <v>3766</v>
      </c>
      <c r="I8953">
        <v>3717</v>
      </c>
      <c r="J8953">
        <v>3717</v>
      </c>
      <c r="K8953">
        <v>768</v>
      </c>
      <c r="L8953">
        <v>2</v>
      </c>
      <c r="M8953">
        <v>2993</v>
      </c>
      <c r="N8953">
        <v>1</v>
      </c>
      <c r="O8953">
        <v>2</v>
      </c>
      <c r="P8953">
        <v>2</v>
      </c>
      <c r="Q8953">
        <v>0</v>
      </c>
    </row>
    <row r="8954" spans="1:17" x14ac:dyDescent="0.2">
      <c r="A8954" s="121">
        <v>42185</v>
      </c>
      <c r="B8954" t="s">
        <v>406</v>
      </c>
      <c r="C8954" t="s">
        <v>491</v>
      </c>
      <c r="D8954" t="s">
        <v>508</v>
      </c>
      <c r="E8954" t="s">
        <v>631</v>
      </c>
      <c r="F8954" t="s">
        <v>410</v>
      </c>
      <c r="G8954">
        <v>993</v>
      </c>
      <c r="H8954">
        <v>993</v>
      </c>
      <c r="I8954">
        <v>991</v>
      </c>
      <c r="J8954">
        <v>991</v>
      </c>
      <c r="K8954">
        <v>0</v>
      </c>
      <c r="L8954">
        <v>0</v>
      </c>
      <c r="M8954">
        <v>878</v>
      </c>
      <c r="N8954">
        <v>111</v>
      </c>
      <c r="O8954">
        <v>4</v>
      </c>
      <c r="P8954">
        <v>0</v>
      </c>
      <c r="Q8954">
        <v>0</v>
      </c>
    </row>
    <row r="8955" spans="1:17" x14ac:dyDescent="0.2">
      <c r="A8955" s="121">
        <v>42185</v>
      </c>
      <c r="B8955" t="s">
        <v>406</v>
      </c>
      <c r="C8955" t="s">
        <v>510</v>
      </c>
      <c r="D8955" t="s">
        <v>513</v>
      </c>
      <c r="E8955" t="s">
        <v>514</v>
      </c>
      <c r="F8955" t="s">
        <v>410</v>
      </c>
      <c r="G8955">
        <v>585</v>
      </c>
      <c r="I8955">
        <v>585</v>
      </c>
    </row>
    <row r="8956" spans="1:17" x14ac:dyDescent="0.2">
      <c r="A8956" s="121">
        <v>42185</v>
      </c>
      <c r="B8956" t="s">
        <v>406</v>
      </c>
      <c r="C8956" t="s">
        <v>510</v>
      </c>
      <c r="D8956" t="s">
        <v>515</v>
      </c>
      <c r="E8956" t="s">
        <v>516</v>
      </c>
      <c r="F8956" t="s">
        <v>410</v>
      </c>
      <c r="G8956">
        <v>119</v>
      </c>
      <c r="I8956">
        <v>119</v>
      </c>
    </row>
    <row r="8957" spans="1:17" x14ac:dyDescent="0.2">
      <c r="A8957" s="121">
        <v>42185</v>
      </c>
      <c r="B8957" t="s">
        <v>406</v>
      </c>
      <c r="C8957" t="s">
        <v>510</v>
      </c>
      <c r="D8957" t="s">
        <v>519</v>
      </c>
      <c r="E8957" t="s">
        <v>520</v>
      </c>
      <c r="F8957" t="s">
        <v>410</v>
      </c>
      <c r="G8957">
        <v>329</v>
      </c>
      <c r="I8957">
        <v>324</v>
      </c>
    </row>
    <row r="8958" spans="1:17" x14ac:dyDescent="0.2">
      <c r="A8958" s="121">
        <v>42185</v>
      </c>
      <c r="B8958" t="s">
        <v>406</v>
      </c>
      <c r="C8958" t="s">
        <v>510</v>
      </c>
      <c r="D8958" t="s">
        <v>523</v>
      </c>
      <c r="E8958" t="s">
        <v>524</v>
      </c>
      <c r="F8958" t="s">
        <v>413</v>
      </c>
      <c r="G8958">
        <v>632</v>
      </c>
      <c r="H8958">
        <v>632</v>
      </c>
      <c r="I8958">
        <v>627</v>
      </c>
      <c r="J8958">
        <v>627</v>
      </c>
      <c r="K8958">
        <v>133</v>
      </c>
      <c r="L8958">
        <v>0</v>
      </c>
      <c r="M8958">
        <v>487</v>
      </c>
      <c r="N8958">
        <v>12</v>
      </c>
      <c r="O8958">
        <v>0</v>
      </c>
      <c r="P8958">
        <v>0</v>
      </c>
      <c r="Q8958">
        <v>0</v>
      </c>
    </row>
    <row r="8959" spans="1:17" x14ac:dyDescent="0.2">
      <c r="A8959" s="121">
        <v>42185</v>
      </c>
      <c r="B8959" t="s">
        <v>406</v>
      </c>
      <c r="C8959" t="s">
        <v>510</v>
      </c>
      <c r="D8959" t="s">
        <v>525</v>
      </c>
      <c r="E8959" t="s">
        <v>526</v>
      </c>
      <c r="F8959" t="s">
        <v>410</v>
      </c>
      <c r="G8959">
        <v>452</v>
      </c>
      <c r="I8959">
        <v>451</v>
      </c>
    </row>
    <row r="8960" spans="1:17" x14ac:dyDescent="0.2">
      <c r="A8960" s="121">
        <v>42185</v>
      </c>
      <c r="B8960" t="s">
        <v>406</v>
      </c>
      <c r="C8960" t="s">
        <v>510</v>
      </c>
      <c r="D8960" t="s">
        <v>527</v>
      </c>
      <c r="E8960" t="s">
        <v>528</v>
      </c>
      <c r="F8960" t="s">
        <v>410</v>
      </c>
      <c r="G8960">
        <v>224</v>
      </c>
      <c r="I8960">
        <v>223</v>
      </c>
    </row>
    <row r="8961" spans="1:17" x14ac:dyDescent="0.2">
      <c r="A8961" s="121">
        <v>42185</v>
      </c>
      <c r="B8961" t="s">
        <v>406</v>
      </c>
      <c r="C8961" t="s">
        <v>510</v>
      </c>
      <c r="D8961" t="s">
        <v>529</v>
      </c>
      <c r="E8961" t="s">
        <v>530</v>
      </c>
      <c r="F8961" t="s">
        <v>413</v>
      </c>
      <c r="G8961">
        <v>501</v>
      </c>
      <c r="H8961">
        <v>501</v>
      </c>
      <c r="I8961">
        <v>479</v>
      </c>
      <c r="J8961">
        <v>479</v>
      </c>
      <c r="K8961">
        <v>146</v>
      </c>
      <c r="L8961">
        <v>0</v>
      </c>
      <c r="M8961">
        <v>355</v>
      </c>
      <c r="N8961">
        <v>0</v>
      </c>
      <c r="O8961">
        <v>0</v>
      </c>
      <c r="P8961">
        <v>0</v>
      </c>
      <c r="Q8961">
        <v>0</v>
      </c>
    </row>
    <row r="8962" spans="1:17" x14ac:dyDescent="0.2">
      <c r="A8962" s="121">
        <v>42185</v>
      </c>
      <c r="B8962" t="s">
        <v>406</v>
      </c>
      <c r="C8962" t="s">
        <v>510</v>
      </c>
      <c r="D8962" t="s">
        <v>531</v>
      </c>
      <c r="E8962" t="s">
        <v>532</v>
      </c>
      <c r="F8962" t="s">
        <v>410</v>
      </c>
      <c r="G8962">
        <v>24</v>
      </c>
      <c r="I8962">
        <v>24</v>
      </c>
    </row>
    <row r="8963" spans="1:17" x14ac:dyDescent="0.2">
      <c r="A8963" s="121">
        <v>42185</v>
      </c>
      <c r="B8963" t="s">
        <v>406</v>
      </c>
      <c r="C8963" t="s">
        <v>510</v>
      </c>
      <c r="D8963" t="s">
        <v>533</v>
      </c>
      <c r="E8963" t="s">
        <v>534</v>
      </c>
      <c r="F8963" t="s">
        <v>413</v>
      </c>
      <c r="G8963">
        <v>2779</v>
      </c>
      <c r="H8963">
        <v>2779</v>
      </c>
      <c r="I8963">
        <v>2645</v>
      </c>
      <c r="J8963">
        <v>2645</v>
      </c>
      <c r="K8963">
        <v>646</v>
      </c>
      <c r="L8963">
        <v>2</v>
      </c>
      <c r="M8963">
        <v>2118</v>
      </c>
      <c r="N8963">
        <v>13</v>
      </c>
      <c r="O8963">
        <v>0</v>
      </c>
      <c r="P8963">
        <v>5</v>
      </c>
      <c r="Q8963">
        <v>0</v>
      </c>
    </row>
    <row r="8964" spans="1:17" x14ac:dyDescent="0.2">
      <c r="A8964" s="121">
        <v>42185</v>
      </c>
      <c r="B8964" t="s">
        <v>406</v>
      </c>
      <c r="C8964" t="s">
        <v>510</v>
      </c>
      <c r="D8964" t="s">
        <v>535</v>
      </c>
      <c r="E8964" t="s">
        <v>536</v>
      </c>
      <c r="F8964" t="s">
        <v>410</v>
      </c>
      <c r="G8964">
        <v>425</v>
      </c>
      <c r="I8964">
        <v>425</v>
      </c>
    </row>
    <row r="8965" spans="1:17" x14ac:dyDescent="0.2">
      <c r="A8965" s="121">
        <v>42185</v>
      </c>
      <c r="B8965" t="s">
        <v>406</v>
      </c>
      <c r="C8965" t="s">
        <v>510</v>
      </c>
      <c r="D8965" t="s">
        <v>537</v>
      </c>
      <c r="E8965" t="s">
        <v>538</v>
      </c>
      <c r="F8965" t="s">
        <v>410</v>
      </c>
      <c r="G8965">
        <v>87</v>
      </c>
      <c r="I8965">
        <v>87</v>
      </c>
    </row>
    <row r="8966" spans="1:17" x14ac:dyDescent="0.2">
      <c r="A8966" s="121">
        <v>42185</v>
      </c>
      <c r="B8966" t="s">
        <v>406</v>
      </c>
      <c r="C8966" t="s">
        <v>510</v>
      </c>
      <c r="D8966" t="s">
        <v>539</v>
      </c>
      <c r="E8966" t="s">
        <v>540</v>
      </c>
      <c r="F8966" t="s">
        <v>413</v>
      </c>
      <c r="G8966">
        <v>824</v>
      </c>
      <c r="H8966">
        <v>824</v>
      </c>
      <c r="I8966">
        <v>803</v>
      </c>
      <c r="J8966">
        <v>803</v>
      </c>
      <c r="K8966">
        <v>120</v>
      </c>
      <c r="L8966">
        <v>0</v>
      </c>
      <c r="M8966">
        <v>699</v>
      </c>
      <c r="N8966">
        <v>5</v>
      </c>
      <c r="O8966">
        <v>0</v>
      </c>
      <c r="P8966">
        <v>1</v>
      </c>
      <c r="Q8966">
        <v>0</v>
      </c>
    </row>
    <row r="8967" spans="1:17" x14ac:dyDescent="0.2">
      <c r="A8967" s="121">
        <v>42185</v>
      </c>
      <c r="B8967" t="s">
        <v>406</v>
      </c>
      <c r="C8967" t="s">
        <v>510</v>
      </c>
      <c r="D8967" t="s">
        <v>541</v>
      </c>
      <c r="E8967" t="s">
        <v>542</v>
      </c>
      <c r="F8967" t="s">
        <v>410</v>
      </c>
      <c r="G8967">
        <v>436</v>
      </c>
      <c r="I8967">
        <v>436</v>
      </c>
    </row>
    <row r="8968" spans="1:17" x14ac:dyDescent="0.2">
      <c r="A8968" s="121">
        <v>42185</v>
      </c>
      <c r="B8968" t="s">
        <v>406</v>
      </c>
      <c r="C8968" t="s">
        <v>510</v>
      </c>
      <c r="D8968" t="s">
        <v>543</v>
      </c>
      <c r="E8968" t="s">
        <v>544</v>
      </c>
      <c r="F8968" t="s">
        <v>410</v>
      </c>
      <c r="G8968">
        <v>268</v>
      </c>
      <c r="I8968">
        <v>268</v>
      </c>
    </row>
    <row r="8969" spans="1:17" x14ac:dyDescent="0.2">
      <c r="A8969" s="121">
        <v>42185</v>
      </c>
      <c r="B8969" t="s">
        <v>406</v>
      </c>
      <c r="C8969" t="s">
        <v>510</v>
      </c>
      <c r="D8969" t="s">
        <v>545</v>
      </c>
      <c r="E8969" t="s">
        <v>546</v>
      </c>
      <c r="F8969" t="s">
        <v>410</v>
      </c>
      <c r="G8969">
        <v>160</v>
      </c>
      <c r="I8969">
        <v>160</v>
      </c>
    </row>
    <row r="8970" spans="1:17" x14ac:dyDescent="0.2">
      <c r="A8970" s="121">
        <v>42185</v>
      </c>
      <c r="B8970" t="s">
        <v>406</v>
      </c>
      <c r="C8970" t="s">
        <v>510</v>
      </c>
      <c r="D8970" t="s">
        <v>547</v>
      </c>
      <c r="E8970" t="s">
        <v>548</v>
      </c>
      <c r="F8970" t="s">
        <v>410</v>
      </c>
      <c r="G8970">
        <v>180</v>
      </c>
      <c r="I8970">
        <v>180</v>
      </c>
    </row>
    <row r="8971" spans="1:17" x14ac:dyDescent="0.2">
      <c r="A8971" s="121">
        <v>42185</v>
      </c>
      <c r="B8971" t="s">
        <v>406</v>
      </c>
      <c r="C8971" t="s">
        <v>510</v>
      </c>
      <c r="D8971" t="s">
        <v>616</v>
      </c>
      <c r="E8971" t="s">
        <v>617</v>
      </c>
      <c r="F8971" t="s">
        <v>410</v>
      </c>
      <c r="G8971">
        <v>339</v>
      </c>
      <c r="I8971">
        <v>334</v>
      </c>
    </row>
    <row r="8972" spans="1:17" x14ac:dyDescent="0.2">
      <c r="A8972" s="121">
        <v>42185</v>
      </c>
      <c r="B8972" t="s">
        <v>406</v>
      </c>
      <c r="C8972" t="s">
        <v>510</v>
      </c>
      <c r="D8972" t="s">
        <v>549</v>
      </c>
      <c r="E8972" t="s">
        <v>550</v>
      </c>
      <c r="F8972" t="s">
        <v>410</v>
      </c>
      <c r="G8972">
        <v>148</v>
      </c>
      <c r="I8972">
        <v>148</v>
      </c>
    </row>
    <row r="8973" spans="1:17" x14ac:dyDescent="0.2">
      <c r="A8973" s="121">
        <v>42185</v>
      </c>
      <c r="B8973" t="s">
        <v>406</v>
      </c>
      <c r="C8973" t="s">
        <v>510</v>
      </c>
      <c r="D8973" t="s">
        <v>625</v>
      </c>
      <c r="E8973" t="s">
        <v>626</v>
      </c>
      <c r="F8973" t="s">
        <v>410</v>
      </c>
      <c r="G8973">
        <v>95</v>
      </c>
      <c r="I8973">
        <v>95</v>
      </c>
    </row>
    <row r="8974" spans="1:17" x14ac:dyDescent="0.2">
      <c r="A8974" s="121">
        <v>42185</v>
      </c>
      <c r="B8974" t="s">
        <v>406</v>
      </c>
      <c r="C8974" t="s">
        <v>551</v>
      </c>
      <c r="D8974" t="s">
        <v>552</v>
      </c>
      <c r="E8974" t="s">
        <v>553</v>
      </c>
      <c r="F8974" t="s">
        <v>413</v>
      </c>
      <c r="G8974">
        <v>5656</v>
      </c>
      <c r="H8974">
        <v>5656</v>
      </c>
      <c r="I8974">
        <v>5456</v>
      </c>
      <c r="J8974">
        <v>5456</v>
      </c>
      <c r="K8974">
        <v>1837</v>
      </c>
      <c r="L8974">
        <v>7</v>
      </c>
      <c r="M8974">
        <v>3637</v>
      </c>
      <c r="N8974">
        <v>97</v>
      </c>
      <c r="O8974">
        <v>78</v>
      </c>
      <c r="P8974">
        <v>9</v>
      </c>
      <c r="Q8974">
        <v>1</v>
      </c>
    </row>
    <row r="8975" spans="1:17" x14ac:dyDescent="0.2">
      <c r="A8975" s="121">
        <v>42185</v>
      </c>
      <c r="B8975" t="s">
        <v>406</v>
      </c>
      <c r="C8975" t="s">
        <v>551</v>
      </c>
      <c r="D8975" t="s">
        <v>554</v>
      </c>
      <c r="E8975" t="s">
        <v>555</v>
      </c>
      <c r="F8975" t="s">
        <v>410</v>
      </c>
      <c r="G8975">
        <v>67</v>
      </c>
      <c r="I8975">
        <v>67</v>
      </c>
    </row>
    <row r="8976" spans="1:17" x14ac:dyDescent="0.2">
      <c r="A8976" s="121">
        <v>42185</v>
      </c>
      <c r="B8976" t="s">
        <v>406</v>
      </c>
      <c r="C8976" t="s">
        <v>551</v>
      </c>
      <c r="D8976" t="s">
        <v>556</v>
      </c>
      <c r="E8976" t="s">
        <v>557</v>
      </c>
      <c r="F8976" t="s">
        <v>410</v>
      </c>
      <c r="G8976">
        <v>98</v>
      </c>
      <c r="I8976">
        <v>98</v>
      </c>
    </row>
    <row r="8977" spans="1:17" x14ac:dyDescent="0.2">
      <c r="A8977" s="121">
        <v>42185</v>
      </c>
      <c r="B8977" t="s">
        <v>406</v>
      </c>
      <c r="C8977" t="s">
        <v>551</v>
      </c>
      <c r="D8977" t="s">
        <v>558</v>
      </c>
      <c r="E8977" t="s">
        <v>559</v>
      </c>
      <c r="F8977" t="s">
        <v>413</v>
      </c>
      <c r="G8977">
        <v>4963</v>
      </c>
      <c r="H8977">
        <v>4963</v>
      </c>
      <c r="I8977">
        <v>4627</v>
      </c>
      <c r="J8977">
        <v>4627</v>
      </c>
      <c r="K8977">
        <v>1391</v>
      </c>
      <c r="L8977">
        <v>4</v>
      </c>
      <c r="M8977">
        <v>3452</v>
      </c>
      <c r="N8977">
        <v>104</v>
      </c>
      <c r="O8977">
        <v>12</v>
      </c>
      <c r="P8977">
        <v>70</v>
      </c>
      <c r="Q8977">
        <v>13</v>
      </c>
    </row>
    <row r="8978" spans="1:17" x14ac:dyDescent="0.2">
      <c r="A8978" s="121">
        <v>42185</v>
      </c>
      <c r="B8978" t="s">
        <v>406</v>
      </c>
      <c r="C8978" t="s">
        <v>551</v>
      </c>
      <c r="D8978" t="s">
        <v>560</v>
      </c>
      <c r="E8978" t="s">
        <v>561</v>
      </c>
      <c r="F8978" t="s">
        <v>413</v>
      </c>
      <c r="G8978">
        <v>5251</v>
      </c>
      <c r="H8978">
        <v>5251</v>
      </c>
      <c r="I8978">
        <v>4610</v>
      </c>
      <c r="J8978">
        <v>4610</v>
      </c>
      <c r="K8978">
        <v>1150</v>
      </c>
      <c r="L8978">
        <v>8</v>
      </c>
      <c r="M8978">
        <v>3910</v>
      </c>
      <c r="N8978">
        <v>92</v>
      </c>
      <c r="O8978">
        <v>91</v>
      </c>
      <c r="P8978">
        <v>83</v>
      </c>
      <c r="Q8978">
        <v>17</v>
      </c>
    </row>
    <row r="8979" spans="1:17" x14ac:dyDescent="0.2">
      <c r="A8979" s="121">
        <v>42185</v>
      </c>
      <c r="B8979" t="s">
        <v>406</v>
      </c>
      <c r="C8979" t="s">
        <v>562</v>
      </c>
      <c r="D8979" t="s">
        <v>605</v>
      </c>
      <c r="E8979" t="s">
        <v>606</v>
      </c>
      <c r="F8979" t="s">
        <v>410</v>
      </c>
      <c r="G8979">
        <v>147</v>
      </c>
      <c r="I8979">
        <v>147</v>
      </c>
    </row>
    <row r="8980" spans="1:17" x14ac:dyDescent="0.2">
      <c r="A8980" s="121">
        <v>42185</v>
      </c>
      <c r="B8980" t="s">
        <v>406</v>
      </c>
      <c r="C8980" t="s">
        <v>562</v>
      </c>
      <c r="D8980" t="s">
        <v>563</v>
      </c>
      <c r="E8980" t="s">
        <v>564</v>
      </c>
      <c r="F8980" t="s">
        <v>410</v>
      </c>
      <c r="G8980">
        <v>3539</v>
      </c>
      <c r="H8980">
        <v>3539</v>
      </c>
      <c r="I8980">
        <v>3207</v>
      </c>
      <c r="J8980">
        <v>3207</v>
      </c>
      <c r="K8980">
        <v>1084</v>
      </c>
      <c r="L8980">
        <v>0</v>
      </c>
      <c r="M8980">
        <v>2422</v>
      </c>
      <c r="N8980">
        <v>33</v>
      </c>
      <c r="O8980">
        <v>0</v>
      </c>
      <c r="P8980">
        <v>67</v>
      </c>
      <c r="Q8980">
        <v>21</v>
      </c>
    </row>
    <row r="8981" spans="1:17" x14ac:dyDescent="0.2">
      <c r="A8981" s="121">
        <v>42185</v>
      </c>
      <c r="B8981" t="s">
        <v>406</v>
      </c>
      <c r="C8981" t="s">
        <v>562</v>
      </c>
      <c r="D8981" t="s">
        <v>565</v>
      </c>
      <c r="E8981" t="s">
        <v>566</v>
      </c>
      <c r="F8981" t="s">
        <v>413</v>
      </c>
      <c r="G8981">
        <v>4613</v>
      </c>
      <c r="H8981">
        <v>4613</v>
      </c>
      <c r="I8981">
        <v>4368</v>
      </c>
      <c r="J8981">
        <v>4368</v>
      </c>
      <c r="K8981">
        <v>1043</v>
      </c>
      <c r="L8981">
        <v>3</v>
      </c>
      <c r="M8981">
        <v>3508</v>
      </c>
      <c r="N8981">
        <v>59</v>
      </c>
      <c r="O8981">
        <v>0</v>
      </c>
      <c r="P8981">
        <v>10</v>
      </c>
      <c r="Q8981">
        <v>0</v>
      </c>
    </row>
    <row r="8982" spans="1:17" x14ac:dyDescent="0.2">
      <c r="A8982" s="121">
        <v>42185</v>
      </c>
      <c r="B8982" t="s">
        <v>406</v>
      </c>
      <c r="C8982" t="s">
        <v>562</v>
      </c>
      <c r="D8982" t="s">
        <v>567</v>
      </c>
      <c r="E8982" t="s">
        <v>568</v>
      </c>
      <c r="F8982" t="s">
        <v>413</v>
      </c>
      <c r="G8982">
        <v>9446</v>
      </c>
      <c r="H8982">
        <v>9446</v>
      </c>
      <c r="I8982">
        <v>8918</v>
      </c>
      <c r="J8982">
        <v>8918</v>
      </c>
      <c r="K8982">
        <v>2765</v>
      </c>
      <c r="L8982">
        <v>15</v>
      </c>
      <c r="M8982">
        <v>6471</v>
      </c>
      <c r="N8982">
        <v>195</v>
      </c>
      <c r="O8982">
        <v>0</v>
      </c>
      <c r="P8982">
        <v>57</v>
      </c>
      <c r="Q8982">
        <v>10</v>
      </c>
    </row>
    <row r="8983" spans="1:17" x14ac:dyDescent="0.2">
      <c r="A8983" s="121">
        <v>42185</v>
      </c>
      <c r="B8983" t="s">
        <v>406</v>
      </c>
      <c r="C8983" t="s">
        <v>562</v>
      </c>
      <c r="D8983" t="s">
        <v>569</v>
      </c>
      <c r="E8983" t="s">
        <v>570</v>
      </c>
      <c r="F8983" t="s">
        <v>413</v>
      </c>
      <c r="G8983">
        <v>3803</v>
      </c>
      <c r="H8983">
        <v>3803</v>
      </c>
      <c r="I8983">
        <v>3768</v>
      </c>
      <c r="J8983">
        <v>3768</v>
      </c>
      <c r="K8983">
        <v>453</v>
      </c>
      <c r="L8983">
        <v>0</v>
      </c>
      <c r="M8983">
        <v>3350</v>
      </c>
      <c r="N8983">
        <v>0</v>
      </c>
      <c r="O8983">
        <v>0</v>
      </c>
      <c r="P8983">
        <v>1</v>
      </c>
      <c r="Q8983">
        <v>0</v>
      </c>
    </row>
    <row r="8984" spans="1:17" x14ac:dyDescent="0.2">
      <c r="A8984" s="121">
        <v>42185</v>
      </c>
      <c r="B8984" t="s">
        <v>406</v>
      </c>
      <c r="C8984" t="s">
        <v>571</v>
      </c>
      <c r="D8984" t="s">
        <v>572</v>
      </c>
      <c r="E8984" t="s">
        <v>627</v>
      </c>
      <c r="F8984" t="s">
        <v>413</v>
      </c>
      <c r="G8984">
        <v>498</v>
      </c>
      <c r="H8984">
        <v>498</v>
      </c>
      <c r="I8984">
        <v>494</v>
      </c>
      <c r="J8984">
        <v>494</v>
      </c>
      <c r="K8984">
        <v>157</v>
      </c>
      <c r="L8984">
        <v>0</v>
      </c>
      <c r="M8984">
        <v>336</v>
      </c>
      <c r="N8984">
        <v>0</v>
      </c>
      <c r="O8984">
        <v>5</v>
      </c>
      <c r="P8984">
        <v>1</v>
      </c>
      <c r="Q8984">
        <v>0</v>
      </c>
    </row>
    <row r="8985" spans="1:17" x14ac:dyDescent="0.2">
      <c r="A8985" s="121">
        <v>42185</v>
      </c>
      <c r="B8985" t="s">
        <v>406</v>
      </c>
      <c r="C8985" t="s">
        <v>574</v>
      </c>
      <c r="D8985" t="s">
        <v>575</v>
      </c>
      <c r="E8985" t="s">
        <v>576</v>
      </c>
      <c r="F8985" t="s">
        <v>413</v>
      </c>
      <c r="G8985">
        <v>639</v>
      </c>
      <c r="H8985">
        <v>639</v>
      </c>
      <c r="I8985">
        <v>613</v>
      </c>
      <c r="J8985">
        <v>613</v>
      </c>
      <c r="K8985">
        <v>162</v>
      </c>
      <c r="L8985">
        <v>0</v>
      </c>
      <c r="M8985">
        <v>458</v>
      </c>
      <c r="N8985">
        <v>2</v>
      </c>
      <c r="O8985">
        <v>17</v>
      </c>
      <c r="P8985">
        <v>2</v>
      </c>
      <c r="Q8985">
        <v>0</v>
      </c>
    </row>
    <row r="8986" spans="1:17" x14ac:dyDescent="0.2">
      <c r="A8986" s="121">
        <v>42185</v>
      </c>
      <c r="B8986" t="s">
        <v>406</v>
      </c>
      <c r="C8986" t="s">
        <v>577</v>
      </c>
      <c r="D8986" t="s">
        <v>578</v>
      </c>
      <c r="E8986" t="s">
        <v>579</v>
      </c>
      <c r="F8986" t="s">
        <v>413</v>
      </c>
      <c r="G8986">
        <v>3834</v>
      </c>
      <c r="H8986">
        <v>3834</v>
      </c>
      <c r="I8986">
        <v>3746</v>
      </c>
      <c r="J8986">
        <v>3746</v>
      </c>
      <c r="K8986">
        <v>1048</v>
      </c>
      <c r="L8986">
        <v>6</v>
      </c>
      <c r="M8986">
        <v>2544</v>
      </c>
      <c r="N8986">
        <v>225</v>
      </c>
      <c r="O8986">
        <v>11</v>
      </c>
      <c r="P8986">
        <v>0</v>
      </c>
      <c r="Q8986">
        <v>0</v>
      </c>
    </row>
    <row r="8987" spans="1:17" x14ac:dyDescent="0.2">
      <c r="A8987" s="121">
        <v>42185</v>
      </c>
      <c r="B8987" t="s">
        <v>406</v>
      </c>
      <c r="C8987" t="s">
        <v>577</v>
      </c>
      <c r="D8987" t="s">
        <v>580</v>
      </c>
      <c r="E8987" t="s">
        <v>581</v>
      </c>
      <c r="F8987" t="s">
        <v>413</v>
      </c>
      <c r="G8987">
        <v>2226</v>
      </c>
      <c r="H8987">
        <v>2226</v>
      </c>
      <c r="I8987">
        <v>2195</v>
      </c>
      <c r="J8987">
        <v>2195</v>
      </c>
      <c r="K8987">
        <v>331</v>
      </c>
      <c r="L8987">
        <v>5</v>
      </c>
      <c r="M8987">
        <v>1607</v>
      </c>
      <c r="N8987">
        <v>255</v>
      </c>
      <c r="O8987">
        <v>28</v>
      </c>
      <c r="P8987">
        <v>0</v>
      </c>
      <c r="Q8987">
        <v>0</v>
      </c>
    </row>
    <row r="8988" spans="1:17" x14ac:dyDescent="0.2">
      <c r="A8988" s="121">
        <v>42185</v>
      </c>
      <c r="B8988" t="s">
        <v>406</v>
      </c>
      <c r="C8988" t="s">
        <v>577</v>
      </c>
      <c r="D8988" t="s">
        <v>609</v>
      </c>
      <c r="E8988" t="s">
        <v>610</v>
      </c>
      <c r="F8988" t="s">
        <v>410</v>
      </c>
      <c r="G8988">
        <v>40</v>
      </c>
      <c r="H8988">
        <v>40</v>
      </c>
      <c r="I8988">
        <v>40</v>
      </c>
      <c r="J8988">
        <v>40</v>
      </c>
      <c r="K8988">
        <v>0</v>
      </c>
      <c r="L8988">
        <v>0</v>
      </c>
      <c r="M8988">
        <v>32</v>
      </c>
      <c r="N8988">
        <v>5</v>
      </c>
      <c r="O8988">
        <v>3</v>
      </c>
      <c r="P8988">
        <v>0</v>
      </c>
      <c r="Q8988">
        <v>0</v>
      </c>
    </row>
    <row r="8989" spans="1:17" x14ac:dyDescent="0.2">
      <c r="A8989" s="121">
        <v>42185</v>
      </c>
      <c r="B8989" t="s">
        <v>406</v>
      </c>
      <c r="C8989" t="s">
        <v>577</v>
      </c>
      <c r="D8989" t="s">
        <v>611</v>
      </c>
      <c r="E8989" t="s">
        <v>612</v>
      </c>
      <c r="F8989" t="s">
        <v>410</v>
      </c>
      <c r="G8989">
        <v>9</v>
      </c>
      <c r="H8989">
        <v>9</v>
      </c>
      <c r="I8989">
        <v>9</v>
      </c>
      <c r="J8989">
        <v>9</v>
      </c>
      <c r="K8989">
        <v>0</v>
      </c>
      <c r="L8989">
        <v>0</v>
      </c>
      <c r="M8989">
        <v>8</v>
      </c>
      <c r="N8989">
        <v>0</v>
      </c>
      <c r="O8989">
        <v>1</v>
      </c>
      <c r="P8989">
        <v>0</v>
      </c>
      <c r="Q8989">
        <v>0</v>
      </c>
    </row>
    <row r="8990" spans="1:17" x14ac:dyDescent="0.2">
      <c r="A8990" s="121">
        <v>42185</v>
      </c>
      <c r="B8990" t="s">
        <v>406</v>
      </c>
      <c r="C8990" t="s">
        <v>577</v>
      </c>
      <c r="D8990" t="s">
        <v>584</v>
      </c>
      <c r="E8990" t="s">
        <v>585</v>
      </c>
      <c r="F8990" t="s">
        <v>410</v>
      </c>
      <c r="G8990">
        <v>290</v>
      </c>
      <c r="H8990">
        <v>290</v>
      </c>
      <c r="I8990">
        <v>290</v>
      </c>
      <c r="J8990">
        <v>290</v>
      </c>
      <c r="K8990">
        <v>1</v>
      </c>
      <c r="L8990">
        <v>0</v>
      </c>
      <c r="M8990">
        <v>262</v>
      </c>
      <c r="N8990">
        <v>26</v>
      </c>
      <c r="O8990">
        <v>1</v>
      </c>
      <c r="P8990">
        <v>0</v>
      </c>
      <c r="Q8990">
        <v>0</v>
      </c>
    </row>
    <row r="8991" spans="1:17" x14ac:dyDescent="0.2">
      <c r="A8991" s="121">
        <v>42185</v>
      </c>
      <c r="B8991" t="s">
        <v>406</v>
      </c>
      <c r="C8991" t="s">
        <v>577</v>
      </c>
      <c r="D8991" t="s">
        <v>586</v>
      </c>
      <c r="E8991" t="s">
        <v>587</v>
      </c>
      <c r="F8991" t="s">
        <v>410</v>
      </c>
      <c r="G8991">
        <v>1175</v>
      </c>
      <c r="H8991">
        <v>1175</v>
      </c>
      <c r="I8991">
        <v>1174</v>
      </c>
      <c r="J8991">
        <v>1174</v>
      </c>
      <c r="K8991">
        <v>0</v>
      </c>
      <c r="L8991">
        <v>0</v>
      </c>
      <c r="M8991">
        <v>1083</v>
      </c>
      <c r="N8991">
        <v>88</v>
      </c>
      <c r="O8991">
        <v>4</v>
      </c>
      <c r="P8991">
        <v>0</v>
      </c>
      <c r="Q8991">
        <v>0</v>
      </c>
    </row>
    <row r="8992" spans="1:17" x14ac:dyDescent="0.2">
      <c r="A8992" s="121">
        <v>42185</v>
      </c>
      <c r="B8992" t="s">
        <v>406</v>
      </c>
      <c r="C8992" t="s">
        <v>577</v>
      </c>
      <c r="D8992" t="s">
        <v>588</v>
      </c>
      <c r="E8992" t="s">
        <v>589</v>
      </c>
      <c r="F8992" t="s">
        <v>410</v>
      </c>
      <c r="G8992">
        <v>269</v>
      </c>
      <c r="H8992">
        <v>269</v>
      </c>
      <c r="I8992">
        <v>269</v>
      </c>
      <c r="J8992">
        <v>269</v>
      </c>
      <c r="K8992">
        <v>0</v>
      </c>
      <c r="L8992">
        <v>0</v>
      </c>
      <c r="M8992">
        <v>249</v>
      </c>
      <c r="N8992">
        <v>19</v>
      </c>
      <c r="O8992">
        <v>1</v>
      </c>
      <c r="P8992">
        <v>0</v>
      </c>
      <c r="Q8992">
        <v>0</v>
      </c>
    </row>
    <row r="8993" spans="1:17" x14ac:dyDescent="0.2">
      <c r="A8993" s="121">
        <v>42185</v>
      </c>
      <c r="B8993" t="s">
        <v>406</v>
      </c>
      <c r="C8993" t="s">
        <v>577</v>
      </c>
      <c r="D8993" t="s">
        <v>613</v>
      </c>
      <c r="E8993" t="s">
        <v>614</v>
      </c>
      <c r="F8993" t="s">
        <v>410</v>
      </c>
      <c r="G8993">
        <v>55</v>
      </c>
      <c r="H8993">
        <v>55</v>
      </c>
      <c r="I8993">
        <v>55</v>
      </c>
      <c r="J8993">
        <v>55</v>
      </c>
      <c r="K8993">
        <v>0</v>
      </c>
      <c r="L8993">
        <v>0</v>
      </c>
      <c r="M8993">
        <v>52</v>
      </c>
      <c r="N8993">
        <v>2</v>
      </c>
      <c r="O8993">
        <v>1</v>
      </c>
      <c r="P8993">
        <v>0</v>
      </c>
      <c r="Q8993">
        <v>0</v>
      </c>
    </row>
    <row r="8994" spans="1:17" x14ac:dyDescent="0.2">
      <c r="A8994" s="121">
        <v>42185</v>
      </c>
      <c r="B8994" t="s">
        <v>406</v>
      </c>
      <c r="C8994" t="s">
        <v>577</v>
      </c>
      <c r="D8994" t="s">
        <v>590</v>
      </c>
      <c r="E8994" t="s">
        <v>591</v>
      </c>
      <c r="F8994" t="s">
        <v>410</v>
      </c>
      <c r="G8994">
        <v>601</v>
      </c>
      <c r="H8994">
        <v>601</v>
      </c>
      <c r="I8994">
        <v>601</v>
      </c>
      <c r="J8994">
        <v>601</v>
      </c>
      <c r="K8994">
        <v>0</v>
      </c>
      <c r="L8994">
        <v>0</v>
      </c>
      <c r="M8994">
        <v>550</v>
      </c>
      <c r="N8994">
        <v>51</v>
      </c>
      <c r="O8994">
        <v>0</v>
      </c>
      <c r="P8994">
        <v>0</v>
      </c>
      <c r="Q8994">
        <v>0</v>
      </c>
    </row>
    <row r="8995" spans="1:17" x14ac:dyDescent="0.2">
      <c r="A8995" s="121">
        <v>42185</v>
      </c>
      <c r="B8995" t="s">
        <v>406</v>
      </c>
      <c r="C8995" t="s">
        <v>577</v>
      </c>
      <c r="D8995" t="s">
        <v>607</v>
      </c>
      <c r="E8995" t="s">
        <v>608</v>
      </c>
      <c r="F8995" t="s">
        <v>410</v>
      </c>
      <c r="G8995">
        <v>203</v>
      </c>
      <c r="H8995">
        <v>203</v>
      </c>
      <c r="I8995">
        <v>203</v>
      </c>
      <c r="J8995">
        <v>203</v>
      </c>
      <c r="K8995">
        <v>0</v>
      </c>
      <c r="L8995">
        <v>0</v>
      </c>
      <c r="M8995">
        <v>191</v>
      </c>
      <c r="N8995">
        <v>10</v>
      </c>
      <c r="O8995">
        <v>2</v>
      </c>
      <c r="P8995">
        <v>0</v>
      </c>
      <c r="Q8995">
        <v>0</v>
      </c>
    </row>
    <row r="8996" spans="1:17" x14ac:dyDescent="0.2">
      <c r="A8996" s="121">
        <v>42185</v>
      </c>
      <c r="B8996" t="s">
        <v>406</v>
      </c>
      <c r="C8996" t="s">
        <v>577</v>
      </c>
      <c r="D8996" t="s">
        <v>592</v>
      </c>
      <c r="E8996" t="s">
        <v>593</v>
      </c>
      <c r="F8996" t="s">
        <v>410</v>
      </c>
      <c r="G8996">
        <v>551</v>
      </c>
      <c r="H8996">
        <v>551</v>
      </c>
      <c r="I8996">
        <v>551</v>
      </c>
      <c r="J8996">
        <v>551</v>
      </c>
      <c r="K8996">
        <v>0</v>
      </c>
      <c r="L8996">
        <v>0</v>
      </c>
      <c r="M8996">
        <v>514</v>
      </c>
      <c r="N8996">
        <v>35</v>
      </c>
      <c r="O8996">
        <v>2</v>
      </c>
      <c r="P8996">
        <v>0</v>
      </c>
      <c r="Q8996">
        <v>0</v>
      </c>
    </row>
    <row r="8997" spans="1:17" x14ac:dyDescent="0.2">
      <c r="A8997" s="121">
        <v>42185</v>
      </c>
      <c r="B8997" t="s">
        <v>406</v>
      </c>
      <c r="C8997" t="s">
        <v>594</v>
      </c>
      <c r="D8997" t="s">
        <v>595</v>
      </c>
      <c r="E8997" t="s">
        <v>596</v>
      </c>
      <c r="F8997" t="s">
        <v>410</v>
      </c>
      <c r="G8997">
        <v>50</v>
      </c>
      <c r="I8997">
        <v>49</v>
      </c>
    </row>
    <row r="8998" spans="1:17" x14ac:dyDescent="0.2">
      <c r="A8998" s="121">
        <v>42185</v>
      </c>
      <c r="B8998" t="s">
        <v>406</v>
      </c>
      <c r="C8998" t="s">
        <v>594</v>
      </c>
      <c r="D8998" t="s">
        <v>597</v>
      </c>
      <c r="E8998" t="s">
        <v>598</v>
      </c>
      <c r="F8998" t="s">
        <v>413</v>
      </c>
      <c r="G8998">
        <v>556</v>
      </c>
      <c r="H8998">
        <v>556</v>
      </c>
      <c r="I8998">
        <v>547</v>
      </c>
      <c r="J8998">
        <v>547</v>
      </c>
      <c r="K8998">
        <v>110</v>
      </c>
      <c r="L8998">
        <v>0</v>
      </c>
      <c r="M8998">
        <v>425</v>
      </c>
      <c r="N8998">
        <v>10</v>
      </c>
      <c r="O8998">
        <v>11</v>
      </c>
      <c r="P8998">
        <v>0</v>
      </c>
      <c r="Q8998">
        <v>0</v>
      </c>
    </row>
    <row r="8999" spans="1:17" x14ac:dyDescent="0.2">
      <c r="A8999" s="121">
        <v>42185</v>
      </c>
      <c r="B8999" t="s">
        <v>406</v>
      </c>
      <c r="C8999" t="s">
        <v>594</v>
      </c>
      <c r="D8999" t="s">
        <v>599</v>
      </c>
      <c r="E8999" t="s">
        <v>600</v>
      </c>
      <c r="F8999" t="s">
        <v>410</v>
      </c>
      <c r="G8999">
        <v>113</v>
      </c>
      <c r="I8999">
        <v>113</v>
      </c>
    </row>
    <row r="9000" spans="1:17" x14ac:dyDescent="0.2">
      <c r="A9000" s="121">
        <v>42216</v>
      </c>
      <c r="B9000" t="s">
        <v>406</v>
      </c>
      <c r="C9000" t="s">
        <v>407</v>
      </c>
      <c r="D9000" t="s">
        <v>408</v>
      </c>
      <c r="E9000" t="s">
        <v>409</v>
      </c>
      <c r="F9000" t="s">
        <v>410</v>
      </c>
      <c r="G9000">
        <v>280</v>
      </c>
      <c r="I9000">
        <v>276</v>
      </c>
    </row>
    <row r="9001" spans="1:17" x14ac:dyDescent="0.2">
      <c r="A9001" s="121">
        <v>42216</v>
      </c>
      <c r="B9001" t="s">
        <v>406</v>
      </c>
      <c r="C9001" t="s">
        <v>407</v>
      </c>
      <c r="D9001" t="s">
        <v>601</v>
      </c>
      <c r="E9001" t="s">
        <v>602</v>
      </c>
      <c r="F9001" t="s">
        <v>410</v>
      </c>
      <c r="G9001">
        <v>93</v>
      </c>
      <c r="I9001">
        <v>93</v>
      </c>
    </row>
    <row r="9002" spans="1:17" x14ac:dyDescent="0.2">
      <c r="A9002" s="121">
        <v>42216</v>
      </c>
      <c r="B9002" t="s">
        <v>406</v>
      </c>
      <c r="C9002" t="s">
        <v>407</v>
      </c>
      <c r="D9002" t="s">
        <v>411</v>
      </c>
      <c r="E9002" t="s">
        <v>412</v>
      </c>
      <c r="F9002" t="s">
        <v>413</v>
      </c>
      <c r="G9002">
        <v>5872</v>
      </c>
      <c r="H9002">
        <v>5872</v>
      </c>
      <c r="I9002">
        <v>5569</v>
      </c>
      <c r="J9002">
        <v>5569</v>
      </c>
      <c r="K9002">
        <v>2348</v>
      </c>
      <c r="L9002">
        <v>2</v>
      </c>
      <c r="M9002">
        <v>3090</v>
      </c>
      <c r="N9002">
        <v>135</v>
      </c>
      <c r="O9002">
        <v>297</v>
      </c>
      <c r="P9002">
        <v>24</v>
      </c>
      <c r="Q9002">
        <v>7</v>
      </c>
    </row>
    <row r="9003" spans="1:17" x14ac:dyDescent="0.2">
      <c r="A9003" s="121">
        <v>42216</v>
      </c>
      <c r="B9003" t="s">
        <v>406</v>
      </c>
      <c r="C9003" t="s">
        <v>407</v>
      </c>
      <c r="D9003" t="s">
        <v>416</v>
      </c>
      <c r="E9003" t="s">
        <v>417</v>
      </c>
      <c r="F9003" t="s">
        <v>413</v>
      </c>
      <c r="G9003">
        <v>3928</v>
      </c>
      <c r="H9003">
        <v>3928</v>
      </c>
      <c r="I9003">
        <v>3776</v>
      </c>
      <c r="J9003">
        <v>3776</v>
      </c>
      <c r="K9003">
        <v>1453</v>
      </c>
      <c r="L9003">
        <v>6</v>
      </c>
      <c r="M9003">
        <v>2281</v>
      </c>
      <c r="N9003">
        <v>126</v>
      </c>
      <c r="O9003">
        <v>62</v>
      </c>
      <c r="P9003">
        <v>8</v>
      </c>
      <c r="Q9003">
        <v>0</v>
      </c>
    </row>
    <row r="9004" spans="1:17" x14ac:dyDescent="0.2">
      <c r="A9004" s="121">
        <v>42216</v>
      </c>
      <c r="B9004" t="s">
        <v>406</v>
      </c>
      <c r="C9004" t="s">
        <v>407</v>
      </c>
      <c r="D9004" t="s">
        <v>618</v>
      </c>
      <c r="E9004" t="s">
        <v>619</v>
      </c>
      <c r="F9004" t="s">
        <v>410</v>
      </c>
      <c r="G9004">
        <v>110</v>
      </c>
      <c r="I9004">
        <v>110</v>
      </c>
    </row>
    <row r="9005" spans="1:17" x14ac:dyDescent="0.2">
      <c r="A9005" s="121">
        <v>42216</v>
      </c>
      <c r="B9005" t="s">
        <v>406</v>
      </c>
      <c r="C9005" t="s">
        <v>418</v>
      </c>
      <c r="D9005" t="s">
        <v>419</v>
      </c>
      <c r="E9005" t="s">
        <v>420</v>
      </c>
      <c r="F9005" t="s">
        <v>410</v>
      </c>
      <c r="G9005">
        <v>15</v>
      </c>
      <c r="I9005">
        <v>15</v>
      </c>
    </row>
    <row r="9006" spans="1:17" x14ac:dyDescent="0.2">
      <c r="A9006" s="121">
        <v>42216</v>
      </c>
      <c r="B9006" t="s">
        <v>406</v>
      </c>
      <c r="C9006" t="s">
        <v>418</v>
      </c>
      <c r="D9006" t="s">
        <v>421</v>
      </c>
      <c r="E9006" t="s">
        <v>422</v>
      </c>
      <c r="F9006" t="s">
        <v>410</v>
      </c>
      <c r="G9006">
        <v>69</v>
      </c>
      <c r="I9006">
        <v>69</v>
      </c>
    </row>
    <row r="9007" spans="1:17" x14ac:dyDescent="0.2">
      <c r="A9007" s="121">
        <v>42216</v>
      </c>
      <c r="B9007" t="s">
        <v>406</v>
      </c>
      <c r="C9007" t="s">
        <v>418</v>
      </c>
      <c r="D9007" t="s">
        <v>423</v>
      </c>
      <c r="E9007" t="s">
        <v>424</v>
      </c>
      <c r="F9007" t="s">
        <v>410</v>
      </c>
      <c r="G9007">
        <v>10</v>
      </c>
      <c r="I9007">
        <v>10</v>
      </c>
    </row>
    <row r="9008" spans="1:17" x14ac:dyDescent="0.2">
      <c r="A9008" s="121">
        <v>42216</v>
      </c>
      <c r="B9008" t="s">
        <v>406</v>
      </c>
      <c r="C9008" t="s">
        <v>418</v>
      </c>
      <c r="D9008" t="s">
        <v>425</v>
      </c>
      <c r="E9008" t="s">
        <v>426</v>
      </c>
      <c r="F9008" t="s">
        <v>410</v>
      </c>
      <c r="G9008">
        <v>23</v>
      </c>
      <c r="I9008">
        <v>23</v>
      </c>
    </row>
    <row r="9009" spans="1:17" x14ac:dyDescent="0.2">
      <c r="A9009" s="121">
        <v>42216</v>
      </c>
      <c r="B9009" t="s">
        <v>406</v>
      </c>
      <c r="C9009" t="s">
        <v>418</v>
      </c>
      <c r="D9009" t="s">
        <v>427</v>
      </c>
      <c r="E9009" t="s">
        <v>428</v>
      </c>
      <c r="F9009" t="s">
        <v>413</v>
      </c>
      <c r="G9009">
        <v>2115</v>
      </c>
      <c r="H9009">
        <v>2115</v>
      </c>
      <c r="I9009">
        <v>2054</v>
      </c>
      <c r="J9009">
        <v>2054</v>
      </c>
      <c r="K9009">
        <v>659</v>
      </c>
      <c r="L9009">
        <v>3</v>
      </c>
      <c r="M9009">
        <v>1309</v>
      </c>
      <c r="N9009">
        <v>130</v>
      </c>
      <c r="O9009">
        <v>14</v>
      </c>
      <c r="P9009">
        <v>1</v>
      </c>
      <c r="Q9009">
        <v>0</v>
      </c>
    </row>
    <row r="9010" spans="1:17" x14ac:dyDescent="0.2">
      <c r="A9010" s="121">
        <v>42216</v>
      </c>
      <c r="B9010" t="s">
        <v>406</v>
      </c>
      <c r="C9010" t="s">
        <v>429</v>
      </c>
      <c r="D9010" t="s">
        <v>430</v>
      </c>
      <c r="E9010" t="s">
        <v>431</v>
      </c>
      <c r="F9010" t="s">
        <v>410</v>
      </c>
      <c r="G9010">
        <v>31</v>
      </c>
      <c r="I9010">
        <v>31</v>
      </c>
    </row>
    <row r="9011" spans="1:17" x14ac:dyDescent="0.2">
      <c r="A9011" s="121">
        <v>42216</v>
      </c>
      <c r="B9011" t="s">
        <v>406</v>
      </c>
      <c r="C9011" t="s">
        <v>429</v>
      </c>
      <c r="D9011" t="s">
        <v>432</v>
      </c>
      <c r="E9011" t="s">
        <v>433</v>
      </c>
      <c r="F9011" t="s">
        <v>410</v>
      </c>
      <c r="G9011">
        <v>57</v>
      </c>
      <c r="I9011">
        <v>57</v>
      </c>
    </row>
    <row r="9012" spans="1:17" x14ac:dyDescent="0.2">
      <c r="A9012" s="121">
        <v>42216</v>
      </c>
      <c r="B9012" t="s">
        <v>406</v>
      </c>
      <c r="C9012" t="s">
        <v>429</v>
      </c>
      <c r="D9012" t="s">
        <v>434</v>
      </c>
      <c r="E9012" t="s">
        <v>435</v>
      </c>
      <c r="F9012" t="s">
        <v>410</v>
      </c>
      <c r="G9012">
        <v>1</v>
      </c>
      <c r="I9012">
        <v>1</v>
      </c>
    </row>
    <row r="9013" spans="1:17" x14ac:dyDescent="0.2">
      <c r="A9013" s="121">
        <v>42216</v>
      </c>
      <c r="B9013" t="s">
        <v>406</v>
      </c>
      <c r="C9013" t="s">
        <v>429</v>
      </c>
      <c r="D9013" t="s">
        <v>436</v>
      </c>
      <c r="E9013" t="s">
        <v>437</v>
      </c>
      <c r="F9013" t="s">
        <v>410</v>
      </c>
      <c r="G9013">
        <v>24</v>
      </c>
      <c r="H9013">
        <v>24</v>
      </c>
      <c r="I9013">
        <v>24</v>
      </c>
      <c r="J9013">
        <v>24</v>
      </c>
      <c r="K9013">
        <v>0</v>
      </c>
      <c r="L9013">
        <v>0</v>
      </c>
      <c r="M9013">
        <v>18</v>
      </c>
      <c r="N9013">
        <v>6</v>
      </c>
      <c r="O9013">
        <v>0</v>
      </c>
      <c r="P9013">
        <v>0</v>
      </c>
      <c r="Q9013">
        <v>0</v>
      </c>
    </row>
    <row r="9014" spans="1:17" x14ac:dyDescent="0.2">
      <c r="A9014" s="121">
        <v>42216</v>
      </c>
      <c r="B9014" t="s">
        <v>406</v>
      </c>
      <c r="C9014" t="s">
        <v>429</v>
      </c>
      <c r="D9014" t="s">
        <v>438</v>
      </c>
      <c r="E9014" t="s">
        <v>439</v>
      </c>
      <c r="F9014" t="s">
        <v>413</v>
      </c>
      <c r="G9014">
        <v>1046</v>
      </c>
      <c r="H9014">
        <v>1046</v>
      </c>
      <c r="I9014">
        <v>1029</v>
      </c>
      <c r="J9014">
        <v>1029</v>
      </c>
      <c r="K9014">
        <v>76</v>
      </c>
      <c r="L9014">
        <v>1</v>
      </c>
      <c r="M9014">
        <v>912</v>
      </c>
      <c r="N9014">
        <v>33</v>
      </c>
      <c r="O9014">
        <v>24</v>
      </c>
      <c r="P9014">
        <v>0</v>
      </c>
      <c r="Q9014">
        <v>0</v>
      </c>
    </row>
    <row r="9015" spans="1:17" x14ac:dyDescent="0.2">
      <c r="A9015" s="121">
        <v>42216</v>
      </c>
      <c r="B9015" t="s">
        <v>406</v>
      </c>
      <c r="C9015" t="s">
        <v>429</v>
      </c>
      <c r="D9015" t="s">
        <v>440</v>
      </c>
      <c r="E9015" t="s">
        <v>441</v>
      </c>
      <c r="F9015" t="s">
        <v>413</v>
      </c>
      <c r="G9015">
        <v>2977</v>
      </c>
      <c r="H9015">
        <v>2977</v>
      </c>
      <c r="I9015">
        <v>2891</v>
      </c>
      <c r="J9015">
        <v>2891</v>
      </c>
      <c r="K9015">
        <v>1029</v>
      </c>
      <c r="L9015">
        <v>1</v>
      </c>
      <c r="M9015">
        <v>1826</v>
      </c>
      <c r="N9015">
        <v>67</v>
      </c>
      <c r="O9015">
        <v>54</v>
      </c>
      <c r="P9015">
        <v>0</v>
      </c>
      <c r="Q9015">
        <v>0</v>
      </c>
    </row>
    <row r="9016" spans="1:17" x14ac:dyDescent="0.2">
      <c r="A9016" s="121">
        <v>42216</v>
      </c>
      <c r="B9016" t="s">
        <v>406</v>
      </c>
      <c r="C9016" t="s">
        <v>442</v>
      </c>
      <c r="D9016" t="s">
        <v>443</v>
      </c>
      <c r="E9016" t="s">
        <v>444</v>
      </c>
      <c r="F9016" t="s">
        <v>413</v>
      </c>
      <c r="G9016">
        <v>5256</v>
      </c>
      <c r="H9016">
        <v>5256</v>
      </c>
      <c r="I9016">
        <v>5140</v>
      </c>
      <c r="J9016">
        <v>5140</v>
      </c>
      <c r="K9016">
        <v>1327</v>
      </c>
      <c r="L9016">
        <v>7</v>
      </c>
      <c r="M9016">
        <v>3621</v>
      </c>
      <c r="N9016">
        <v>151</v>
      </c>
      <c r="O9016">
        <v>150</v>
      </c>
      <c r="P9016">
        <v>2</v>
      </c>
      <c r="Q9016">
        <v>0</v>
      </c>
    </row>
    <row r="9017" spans="1:17" x14ac:dyDescent="0.2">
      <c r="A9017" s="121">
        <v>42216</v>
      </c>
      <c r="B9017" t="s">
        <v>406</v>
      </c>
      <c r="C9017" t="s">
        <v>442</v>
      </c>
      <c r="D9017" t="s">
        <v>445</v>
      </c>
      <c r="E9017" t="s">
        <v>446</v>
      </c>
      <c r="F9017" t="s">
        <v>410</v>
      </c>
      <c r="G9017">
        <v>153</v>
      </c>
      <c r="I9017">
        <v>153</v>
      </c>
    </row>
    <row r="9018" spans="1:17" x14ac:dyDescent="0.2">
      <c r="A9018" s="121">
        <v>42216</v>
      </c>
      <c r="B9018" t="s">
        <v>406</v>
      </c>
      <c r="C9018" t="s">
        <v>442</v>
      </c>
      <c r="D9018" t="s">
        <v>447</v>
      </c>
      <c r="E9018" t="s">
        <v>448</v>
      </c>
      <c r="F9018" t="s">
        <v>410</v>
      </c>
      <c r="G9018">
        <v>434</v>
      </c>
      <c r="I9018">
        <v>434</v>
      </c>
    </row>
    <row r="9019" spans="1:17" x14ac:dyDescent="0.2">
      <c r="A9019" s="121">
        <v>42216</v>
      </c>
      <c r="B9019" t="s">
        <v>406</v>
      </c>
      <c r="C9019" t="s">
        <v>442</v>
      </c>
      <c r="D9019" t="s">
        <v>449</v>
      </c>
      <c r="E9019" t="s">
        <v>624</v>
      </c>
      <c r="F9019" t="s">
        <v>410</v>
      </c>
      <c r="G9019">
        <v>1686</v>
      </c>
      <c r="H9019">
        <v>1686</v>
      </c>
      <c r="I9019">
        <v>1685</v>
      </c>
      <c r="J9019">
        <v>1685</v>
      </c>
      <c r="K9019">
        <v>15</v>
      </c>
      <c r="L9019">
        <v>0</v>
      </c>
      <c r="M9019">
        <v>1519</v>
      </c>
      <c r="N9019">
        <v>142</v>
      </c>
      <c r="O9019">
        <v>10</v>
      </c>
      <c r="P9019">
        <v>0</v>
      </c>
      <c r="Q9019">
        <v>0</v>
      </c>
    </row>
    <row r="9020" spans="1:17" x14ac:dyDescent="0.2">
      <c r="A9020" s="121">
        <v>42216</v>
      </c>
      <c r="B9020" t="s">
        <v>406</v>
      </c>
      <c r="C9020" t="s">
        <v>451</v>
      </c>
      <c r="D9020" t="s">
        <v>454</v>
      </c>
      <c r="E9020" t="s">
        <v>621</v>
      </c>
      <c r="F9020" t="s">
        <v>410</v>
      </c>
      <c r="G9020">
        <v>1356</v>
      </c>
      <c r="H9020">
        <v>1356</v>
      </c>
      <c r="I9020">
        <v>1355</v>
      </c>
      <c r="J9020">
        <v>1355</v>
      </c>
      <c r="K9020">
        <v>4</v>
      </c>
      <c r="L9020">
        <v>0</v>
      </c>
      <c r="M9020">
        <v>946</v>
      </c>
      <c r="N9020">
        <v>57</v>
      </c>
      <c r="O9020">
        <v>349</v>
      </c>
      <c r="P9020">
        <v>0</v>
      </c>
      <c r="Q9020">
        <v>0</v>
      </c>
    </row>
    <row r="9021" spans="1:17" x14ac:dyDescent="0.2">
      <c r="A9021" s="121">
        <v>42216</v>
      </c>
      <c r="B9021" t="s">
        <v>406</v>
      </c>
      <c r="C9021" t="s">
        <v>451</v>
      </c>
      <c r="D9021" t="s">
        <v>622</v>
      </c>
      <c r="E9021" t="s">
        <v>623</v>
      </c>
      <c r="F9021" t="s">
        <v>413</v>
      </c>
      <c r="G9021">
        <v>5084</v>
      </c>
      <c r="H9021">
        <v>5084</v>
      </c>
      <c r="I9021">
        <v>4680</v>
      </c>
      <c r="J9021">
        <v>4680</v>
      </c>
      <c r="K9021">
        <v>1370</v>
      </c>
      <c r="L9021">
        <v>8</v>
      </c>
      <c r="M9021">
        <v>2936</v>
      </c>
      <c r="N9021">
        <v>30</v>
      </c>
      <c r="O9021">
        <v>740</v>
      </c>
      <c r="P9021">
        <v>25</v>
      </c>
      <c r="Q9021">
        <v>0</v>
      </c>
    </row>
    <row r="9022" spans="1:17" x14ac:dyDescent="0.2">
      <c r="A9022" s="121">
        <v>42216</v>
      </c>
      <c r="B9022" t="s">
        <v>406</v>
      </c>
      <c r="C9022" t="s">
        <v>456</v>
      </c>
      <c r="D9022" t="s">
        <v>457</v>
      </c>
      <c r="E9022" t="s">
        <v>458</v>
      </c>
      <c r="F9022" t="s">
        <v>413</v>
      </c>
      <c r="G9022">
        <v>4851</v>
      </c>
      <c r="H9022">
        <v>4851</v>
      </c>
      <c r="I9022">
        <v>4568</v>
      </c>
      <c r="J9022">
        <v>4568</v>
      </c>
      <c r="K9022">
        <v>1313</v>
      </c>
      <c r="L9022">
        <v>8</v>
      </c>
      <c r="M9022">
        <v>3066</v>
      </c>
      <c r="N9022">
        <v>20</v>
      </c>
      <c r="O9022">
        <v>444</v>
      </c>
      <c r="P9022">
        <v>6</v>
      </c>
      <c r="Q9022">
        <v>0</v>
      </c>
    </row>
    <row r="9023" spans="1:17" x14ac:dyDescent="0.2">
      <c r="A9023" s="121">
        <v>42216</v>
      </c>
      <c r="B9023" t="s">
        <v>406</v>
      </c>
      <c r="C9023" t="s">
        <v>456</v>
      </c>
      <c r="D9023" t="s">
        <v>459</v>
      </c>
      <c r="E9023" t="s">
        <v>460</v>
      </c>
      <c r="F9023" t="s">
        <v>413</v>
      </c>
      <c r="G9023">
        <v>1253</v>
      </c>
      <c r="H9023">
        <v>1253</v>
      </c>
      <c r="I9023">
        <v>1234</v>
      </c>
      <c r="J9023">
        <v>1234</v>
      </c>
      <c r="K9023">
        <v>282</v>
      </c>
      <c r="L9023">
        <v>0</v>
      </c>
      <c r="M9023">
        <v>932</v>
      </c>
      <c r="N9023">
        <v>0</v>
      </c>
      <c r="O9023">
        <v>39</v>
      </c>
      <c r="P9023">
        <v>0</v>
      </c>
      <c r="Q9023">
        <v>0</v>
      </c>
    </row>
    <row r="9024" spans="1:17" x14ac:dyDescent="0.2">
      <c r="A9024" s="121">
        <v>42216</v>
      </c>
      <c r="B9024" t="s">
        <v>406</v>
      </c>
      <c r="C9024" t="s">
        <v>456</v>
      </c>
      <c r="D9024" t="s">
        <v>461</v>
      </c>
      <c r="E9024" t="s">
        <v>462</v>
      </c>
      <c r="F9024" t="s">
        <v>410</v>
      </c>
      <c r="G9024">
        <v>105</v>
      </c>
      <c r="I9024">
        <v>105</v>
      </c>
    </row>
    <row r="9025" spans="1:17" x14ac:dyDescent="0.2">
      <c r="A9025" s="121">
        <v>42216</v>
      </c>
      <c r="B9025" t="s">
        <v>406</v>
      </c>
      <c r="C9025" t="s">
        <v>456</v>
      </c>
      <c r="D9025" t="s">
        <v>463</v>
      </c>
      <c r="E9025" t="s">
        <v>464</v>
      </c>
      <c r="F9025" t="s">
        <v>410</v>
      </c>
      <c r="G9025">
        <v>6</v>
      </c>
      <c r="I9025">
        <v>6</v>
      </c>
    </row>
    <row r="9026" spans="1:17" x14ac:dyDescent="0.2">
      <c r="A9026" s="121">
        <v>42216</v>
      </c>
      <c r="B9026" t="s">
        <v>406</v>
      </c>
      <c r="C9026" t="s">
        <v>456</v>
      </c>
      <c r="D9026" t="s">
        <v>465</v>
      </c>
      <c r="E9026" t="s">
        <v>466</v>
      </c>
      <c r="F9026" t="s">
        <v>410</v>
      </c>
      <c r="G9026">
        <v>24</v>
      </c>
      <c r="I9026">
        <v>24</v>
      </c>
    </row>
    <row r="9027" spans="1:17" x14ac:dyDescent="0.2">
      <c r="A9027" s="121">
        <v>42216</v>
      </c>
      <c r="B9027" t="s">
        <v>406</v>
      </c>
      <c r="C9027" t="s">
        <v>456</v>
      </c>
      <c r="D9027" t="s">
        <v>467</v>
      </c>
      <c r="E9027" t="s">
        <v>468</v>
      </c>
      <c r="F9027" t="s">
        <v>410</v>
      </c>
      <c r="G9027">
        <v>1336</v>
      </c>
      <c r="I9027">
        <v>1334</v>
      </c>
    </row>
    <row r="9028" spans="1:17" x14ac:dyDescent="0.2">
      <c r="A9028" s="121">
        <v>42216</v>
      </c>
      <c r="B9028" t="s">
        <v>406</v>
      </c>
      <c r="C9028" t="s">
        <v>456</v>
      </c>
      <c r="D9028" t="s">
        <v>469</v>
      </c>
      <c r="E9028" t="s">
        <v>470</v>
      </c>
      <c r="F9028" t="s">
        <v>410</v>
      </c>
      <c r="G9028">
        <v>611</v>
      </c>
      <c r="I9028">
        <v>607</v>
      </c>
    </row>
    <row r="9029" spans="1:17" x14ac:dyDescent="0.2">
      <c r="A9029" s="121">
        <v>42216</v>
      </c>
      <c r="B9029" t="s">
        <v>406</v>
      </c>
      <c r="C9029" t="s">
        <v>456</v>
      </c>
      <c r="D9029" t="s">
        <v>471</v>
      </c>
      <c r="E9029" t="s">
        <v>472</v>
      </c>
      <c r="F9029" t="s">
        <v>410</v>
      </c>
      <c r="G9029">
        <v>304</v>
      </c>
      <c r="I9029">
        <v>303</v>
      </c>
    </row>
    <row r="9030" spans="1:17" x14ac:dyDescent="0.2">
      <c r="A9030" s="121">
        <v>42216</v>
      </c>
      <c r="B9030" t="s">
        <v>406</v>
      </c>
      <c r="C9030" t="s">
        <v>456</v>
      </c>
      <c r="D9030" t="s">
        <v>473</v>
      </c>
      <c r="E9030" t="s">
        <v>474</v>
      </c>
      <c r="F9030" t="s">
        <v>410</v>
      </c>
      <c r="G9030">
        <v>165</v>
      </c>
      <c r="I9030">
        <v>165</v>
      </c>
    </row>
    <row r="9031" spans="1:17" x14ac:dyDescent="0.2">
      <c r="A9031" s="121">
        <v>42216</v>
      </c>
      <c r="B9031" t="s">
        <v>406</v>
      </c>
      <c r="C9031" t="s">
        <v>456</v>
      </c>
      <c r="D9031" t="s">
        <v>475</v>
      </c>
      <c r="E9031" t="s">
        <v>476</v>
      </c>
      <c r="F9031" t="s">
        <v>410</v>
      </c>
      <c r="G9031">
        <v>331</v>
      </c>
      <c r="I9031">
        <v>325</v>
      </c>
    </row>
    <row r="9032" spans="1:17" x14ac:dyDescent="0.2">
      <c r="A9032" s="121">
        <v>42216</v>
      </c>
      <c r="B9032" t="s">
        <v>406</v>
      </c>
      <c r="C9032" t="s">
        <v>456</v>
      </c>
      <c r="D9032" t="s">
        <v>477</v>
      </c>
      <c r="E9032" t="s">
        <v>478</v>
      </c>
      <c r="F9032" t="s">
        <v>413</v>
      </c>
      <c r="G9032">
        <v>2186</v>
      </c>
      <c r="H9032">
        <v>2186</v>
      </c>
      <c r="I9032">
        <v>2160</v>
      </c>
      <c r="J9032">
        <v>2160</v>
      </c>
      <c r="K9032">
        <v>327</v>
      </c>
      <c r="L9032">
        <v>2</v>
      </c>
      <c r="M9032">
        <v>1800</v>
      </c>
      <c r="N9032">
        <v>17</v>
      </c>
      <c r="O9032">
        <v>40</v>
      </c>
      <c r="P9032">
        <v>0</v>
      </c>
      <c r="Q9032">
        <v>0</v>
      </c>
    </row>
    <row r="9033" spans="1:17" x14ac:dyDescent="0.2">
      <c r="A9033" s="121">
        <v>42216</v>
      </c>
      <c r="B9033" t="s">
        <v>406</v>
      </c>
      <c r="C9033" t="s">
        <v>456</v>
      </c>
      <c r="D9033" t="s">
        <v>479</v>
      </c>
      <c r="E9033" t="s">
        <v>480</v>
      </c>
      <c r="F9033" t="s">
        <v>410</v>
      </c>
      <c r="G9033">
        <v>44</v>
      </c>
      <c r="I9033">
        <v>44</v>
      </c>
    </row>
    <row r="9034" spans="1:17" x14ac:dyDescent="0.2">
      <c r="A9034" s="121">
        <v>42216</v>
      </c>
      <c r="B9034" t="s">
        <v>406</v>
      </c>
      <c r="C9034" t="s">
        <v>456</v>
      </c>
      <c r="D9034" t="s">
        <v>481</v>
      </c>
      <c r="E9034" t="s">
        <v>482</v>
      </c>
      <c r="F9034" t="s">
        <v>410</v>
      </c>
      <c r="G9034">
        <v>41</v>
      </c>
      <c r="I9034">
        <v>41</v>
      </c>
    </row>
    <row r="9035" spans="1:17" x14ac:dyDescent="0.2">
      <c r="A9035" s="121">
        <v>42216</v>
      </c>
      <c r="B9035" t="s">
        <v>406</v>
      </c>
      <c r="C9035" t="s">
        <v>456</v>
      </c>
      <c r="D9035" t="s">
        <v>483</v>
      </c>
      <c r="E9035" t="s">
        <v>484</v>
      </c>
      <c r="F9035" t="s">
        <v>410</v>
      </c>
      <c r="G9035">
        <v>91</v>
      </c>
      <c r="I9035">
        <v>91</v>
      </c>
    </row>
    <row r="9036" spans="1:17" x14ac:dyDescent="0.2">
      <c r="A9036" s="121">
        <v>42216</v>
      </c>
      <c r="B9036" t="s">
        <v>406</v>
      </c>
      <c r="C9036" t="s">
        <v>456</v>
      </c>
      <c r="D9036" t="s">
        <v>487</v>
      </c>
      <c r="E9036" t="s">
        <v>488</v>
      </c>
      <c r="F9036" t="s">
        <v>410</v>
      </c>
      <c r="G9036">
        <v>35</v>
      </c>
      <c r="I9036">
        <v>35</v>
      </c>
    </row>
    <row r="9037" spans="1:17" x14ac:dyDescent="0.2">
      <c r="A9037" s="121">
        <v>42216</v>
      </c>
      <c r="B9037" t="s">
        <v>406</v>
      </c>
      <c r="C9037" t="s">
        <v>456</v>
      </c>
      <c r="D9037" t="s">
        <v>489</v>
      </c>
      <c r="E9037" t="s">
        <v>490</v>
      </c>
      <c r="F9037" t="s">
        <v>410</v>
      </c>
      <c r="G9037">
        <v>132</v>
      </c>
      <c r="I9037">
        <v>132</v>
      </c>
    </row>
    <row r="9038" spans="1:17" x14ac:dyDescent="0.2">
      <c r="A9038" s="121">
        <v>42216</v>
      </c>
      <c r="B9038" t="s">
        <v>406</v>
      </c>
      <c r="C9038" t="s">
        <v>456</v>
      </c>
      <c r="D9038" t="s">
        <v>628</v>
      </c>
      <c r="E9038" t="s">
        <v>629</v>
      </c>
      <c r="F9038" t="s">
        <v>410</v>
      </c>
      <c r="G9038">
        <v>70</v>
      </c>
      <c r="I9038">
        <v>70</v>
      </c>
    </row>
    <row r="9039" spans="1:17" x14ac:dyDescent="0.2">
      <c r="A9039" s="121">
        <v>42216</v>
      </c>
      <c r="B9039" t="s">
        <v>406</v>
      </c>
      <c r="C9039" t="s">
        <v>491</v>
      </c>
      <c r="D9039" t="s">
        <v>492</v>
      </c>
      <c r="E9039" t="s">
        <v>493</v>
      </c>
      <c r="F9039" t="s">
        <v>410</v>
      </c>
      <c r="G9039">
        <v>1236</v>
      </c>
      <c r="H9039">
        <v>1236</v>
      </c>
      <c r="I9039">
        <v>1220</v>
      </c>
      <c r="J9039">
        <v>1220</v>
      </c>
      <c r="K9039">
        <v>174</v>
      </c>
      <c r="L9039">
        <v>0</v>
      </c>
      <c r="M9039">
        <v>967</v>
      </c>
      <c r="N9039">
        <v>86</v>
      </c>
      <c r="O9039">
        <v>9</v>
      </c>
      <c r="P9039">
        <v>0</v>
      </c>
      <c r="Q9039">
        <v>0</v>
      </c>
    </row>
    <row r="9040" spans="1:17" x14ac:dyDescent="0.2">
      <c r="A9040" s="121">
        <v>42216</v>
      </c>
      <c r="B9040" t="s">
        <v>406</v>
      </c>
      <c r="C9040" t="s">
        <v>491</v>
      </c>
      <c r="D9040" t="s">
        <v>494</v>
      </c>
      <c r="E9040" t="s">
        <v>495</v>
      </c>
      <c r="F9040" t="s">
        <v>413</v>
      </c>
      <c r="G9040">
        <v>2679</v>
      </c>
      <c r="H9040">
        <v>2679</v>
      </c>
      <c r="I9040">
        <v>2521</v>
      </c>
      <c r="J9040">
        <v>2521</v>
      </c>
      <c r="K9040">
        <v>723</v>
      </c>
      <c r="L9040">
        <v>3</v>
      </c>
      <c r="M9040">
        <v>1654</v>
      </c>
      <c r="N9040">
        <v>46</v>
      </c>
      <c r="O9040">
        <v>253</v>
      </c>
      <c r="P9040">
        <v>1</v>
      </c>
      <c r="Q9040">
        <v>0</v>
      </c>
    </row>
    <row r="9041" spans="1:17" x14ac:dyDescent="0.2">
      <c r="A9041" s="121">
        <v>42216</v>
      </c>
      <c r="B9041" t="s">
        <v>406</v>
      </c>
      <c r="C9041" t="s">
        <v>491</v>
      </c>
      <c r="D9041" t="s">
        <v>496</v>
      </c>
      <c r="E9041" t="s">
        <v>497</v>
      </c>
      <c r="F9041" t="s">
        <v>413</v>
      </c>
      <c r="G9041">
        <v>5599</v>
      </c>
      <c r="H9041">
        <v>5599</v>
      </c>
      <c r="I9041">
        <v>5179</v>
      </c>
      <c r="J9041">
        <v>5179</v>
      </c>
      <c r="K9041">
        <v>1916</v>
      </c>
      <c r="L9041">
        <v>17</v>
      </c>
      <c r="M9041">
        <v>3409</v>
      </c>
      <c r="N9041">
        <v>113</v>
      </c>
      <c r="O9041">
        <v>144</v>
      </c>
      <c r="P9041">
        <v>9</v>
      </c>
      <c r="Q9041">
        <v>0</v>
      </c>
    </row>
    <row r="9042" spans="1:17" x14ac:dyDescent="0.2">
      <c r="A9042" s="121">
        <v>42216</v>
      </c>
      <c r="B9042" t="s">
        <v>406</v>
      </c>
      <c r="C9042" t="s">
        <v>491</v>
      </c>
      <c r="D9042" t="s">
        <v>498</v>
      </c>
      <c r="E9042" t="s">
        <v>499</v>
      </c>
      <c r="F9042" t="s">
        <v>413</v>
      </c>
      <c r="G9042">
        <v>7728</v>
      </c>
      <c r="H9042">
        <v>7728</v>
      </c>
      <c r="I9042">
        <v>7311</v>
      </c>
      <c r="J9042">
        <v>7311</v>
      </c>
      <c r="K9042">
        <v>2530</v>
      </c>
      <c r="L9042">
        <v>17</v>
      </c>
      <c r="M9042">
        <v>4739</v>
      </c>
      <c r="N9042">
        <v>119</v>
      </c>
      <c r="O9042">
        <v>323</v>
      </c>
      <c r="P9042">
        <v>1</v>
      </c>
      <c r="Q9042">
        <v>0</v>
      </c>
    </row>
    <row r="9043" spans="1:17" x14ac:dyDescent="0.2">
      <c r="A9043" s="121">
        <v>42216</v>
      </c>
      <c r="B9043" t="s">
        <v>406</v>
      </c>
      <c r="C9043" t="s">
        <v>491</v>
      </c>
      <c r="D9043" t="s">
        <v>500</v>
      </c>
      <c r="E9043" t="s">
        <v>620</v>
      </c>
      <c r="F9043" t="s">
        <v>410</v>
      </c>
      <c r="G9043">
        <v>1503</v>
      </c>
      <c r="H9043">
        <v>1503</v>
      </c>
      <c r="I9043">
        <v>1503</v>
      </c>
      <c r="J9043">
        <v>1503</v>
      </c>
      <c r="K9043">
        <v>0</v>
      </c>
      <c r="L9043">
        <v>0</v>
      </c>
      <c r="M9043">
        <v>1405</v>
      </c>
      <c r="N9043">
        <v>81</v>
      </c>
      <c r="O9043">
        <v>17</v>
      </c>
      <c r="P9043">
        <v>0</v>
      </c>
      <c r="Q9043">
        <v>0</v>
      </c>
    </row>
    <row r="9044" spans="1:17" x14ac:dyDescent="0.2">
      <c r="A9044" s="121">
        <v>42216</v>
      </c>
      <c r="B9044" t="s">
        <v>406</v>
      </c>
      <c r="C9044" t="s">
        <v>491</v>
      </c>
      <c r="D9044" t="s">
        <v>502</v>
      </c>
      <c r="E9044" t="s">
        <v>615</v>
      </c>
      <c r="F9044" t="s">
        <v>410</v>
      </c>
      <c r="G9044">
        <v>2454</v>
      </c>
      <c r="H9044">
        <v>2454</v>
      </c>
      <c r="I9044">
        <v>2453</v>
      </c>
      <c r="J9044">
        <v>2453</v>
      </c>
      <c r="K9044">
        <v>0</v>
      </c>
      <c r="L9044">
        <v>1</v>
      </c>
      <c r="M9044">
        <v>2225</v>
      </c>
      <c r="N9044">
        <v>207</v>
      </c>
      <c r="O9044">
        <v>21</v>
      </c>
      <c r="P9044">
        <v>0</v>
      </c>
      <c r="Q9044">
        <v>0</v>
      </c>
    </row>
    <row r="9045" spans="1:17" x14ac:dyDescent="0.2">
      <c r="A9045" s="121">
        <v>42216</v>
      </c>
      <c r="B9045" t="s">
        <v>406</v>
      </c>
      <c r="C9045" t="s">
        <v>491</v>
      </c>
      <c r="D9045" t="s">
        <v>504</v>
      </c>
      <c r="E9045" t="s">
        <v>630</v>
      </c>
      <c r="F9045" t="s">
        <v>413</v>
      </c>
      <c r="G9045">
        <v>7147</v>
      </c>
      <c r="H9045">
        <v>7147</v>
      </c>
      <c r="I9045">
        <v>6601</v>
      </c>
      <c r="J9045">
        <v>6601</v>
      </c>
      <c r="K9045">
        <v>2334</v>
      </c>
      <c r="L9045">
        <v>21</v>
      </c>
      <c r="M9045">
        <v>4476</v>
      </c>
      <c r="N9045">
        <v>149</v>
      </c>
      <c r="O9045">
        <v>167</v>
      </c>
      <c r="P9045">
        <v>16</v>
      </c>
      <c r="Q9045">
        <v>0</v>
      </c>
    </row>
    <row r="9046" spans="1:17" x14ac:dyDescent="0.2">
      <c r="A9046" s="121">
        <v>42216</v>
      </c>
      <c r="B9046" t="s">
        <v>406</v>
      </c>
      <c r="C9046" t="s">
        <v>491</v>
      </c>
      <c r="D9046" t="s">
        <v>506</v>
      </c>
      <c r="E9046" t="s">
        <v>507</v>
      </c>
      <c r="F9046" t="s">
        <v>413</v>
      </c>
      <c r="G9046">
        <v>3488</v>
      </c>
      <c r="H9046">
        <v>3488</v>
      </c>
      <c r="I9046">
        <v>3470</v>
      </c>
      <c r="J9046">
        <v>3470</v>
      </c>
      <c r="K9046">
        <v>618</v>
      </c>
      <c r="L9046">
        <v>1</v>
      </c>
      <c r="M9046">
        <v>2865</v>
      </c>
      <c r="N9046">
        <v>2</v>
      </c>
      <c r="O9046">
        <v>2</v>
      </c>
      <c r="P9046">
        <v>0</v>
      </c>
      <c r="Q9046">
        <v>0</v>
      </c>
    </row>
    <row r="9047" spans="1:17" x14ac:dyDescent="0.2">
      <c r="A9047" s="121">
        <v>42216</v>
      </c>
      <c r="B9047" t="s">
        <v>406</v>
      </c>
      <c r="C9047" t="s">
        <v>491</v>
      </c>
      <c r="D9047" t="s">
        <v>508</v>
      </c>
      <c r="E9047" t="s">
        <v>631</v>
      </c>
      <c r="F9047" t="s">
        <v>410</v>
      </c>
      <c r="G9047">
        <v>1018</v>
      </c>
      <c r="H9047">
        <v>1018</v>
      </c>
      <c r="I9047">
        <v>1017</v>
      </c>
      <c r="J9047">
        <v>1017</v>
      </c>
      <c r="K9047">
        <v>0</v>
      </c>
      <c r="L9047">
        <v>0</v>
      </c>
      <c r="M9047">
        <v>912</v>
      </c>
      <c r="N9047">
        <v>104</v>
      </c>
      <c r="O9047">
        <v>2</v>
      </c>
      <c r="P9047">
        <v>0</v>
      </c>
      <c r="Q9047">
        <v>0</v>
      </c>
    </row>
    <row r="9048" spans="1:17" x14ac:dyDescent="0.2">
      <c r="A9048" s="121">
        <v>42216</v>
      </c>
      <c r="B9048" t="s">
        <v>406</v>
      </c>
      <c r="C9048" t="s">
        <v>510</v>
      </c>
      <c r="D9048" t="s">
        <v>513</v>
      </c>
      <c r="E9048" t="s">
        <v>514</v>
      </c>
      <c r="F9048" t="s">
        <v>410</v>
      </c>
      <c r="G9048">
        <v>640</v>
      </c>
      <c r="I9048">
        <v>640</v>
      </c>
    </row>
    <row r="9049" spans="1:17" x14ac:dyDescent="0.2">
      <c r="A9049" s="121">
        <v>42216</v>
      </c>
      <c r="B9049" t="s">
        <v>406</v>
      </c>
      <c r="C9049" t="s">
        <v>510</v>
      </c>
      <c r="D9049" t="s">
        <v>515</v>
      </c>
      <c r="E9049" t="s">
        <v>516</v>
      </c>
      <c r="F9049" t="s">
        <v>410</v>
      </c>
      <c r="G9049">
        <v>114</v>
      </c>
      <c r="I9049">
        <v>113</v>
      </c>
    </row>
    <row r="9050" spans="1:17" x14ac:dyDescent="0.2">
      <c r="A9050" s="121">
        <v>42216</v>
      </c>
      <c r="B9050" t="s">
        <v>406</v>
      </c>
      <c r="C9050" t="s">
        <v>510</v>
      </c>
      <c r="D9050" t="s">
        <v>519</v>
      </c>
      <c r="E9050" t="s">
        <v>520</v>
      </c>
      <c r="F9050" t="s">
        <v>410</v>
      </c>
      <c r="G9050">
        <v>385</v>
      </c>
      <c r="I9050">
        <v>383</v>
      </c>
    </row>
    <row r="9051" spans="1:17" x14ac:dyDescent="0.2">
      <c r="A9051" s="121">
        <v>42216</v>
      </c>
      <c r="B9051" t="s">
        <v>406</v>
      </c>
      <c r="C9051" t="s">
        <v>510</v>
      </c>
      <c r="D9051" t="s">
        <v>523</v>
      </c>
      <c r="E9051" t="s">
        <v>524</v>
      </c>
      <c r="F9051" t="s">
        <v>413</v>
      </c>
      <c r="G9051">
        <v>692</v>
      </c>
      <c r="H9051">
        <v>692</v>
      </c>
      <c r="I9051">
        <v>679</v>
      </c>
      <c r="J9051">
        <v>679</v>
      </c>
      <c r="K9051">
        <v>132</v>
      </c>
      <c r="L9051">
        <v>0</v>
      </c>
      <c r="M9051">
        <v>539</v>
      </c>
      <c r="N9051">
        <v>21</v>
      </c>
      <c r="O9051">
        <v>0</v>
      </c>
      <c r="P9051">
        <v>0</v>
      </c>
      <c r="Q9051">
        <v>0</v>
      </c>
    </row>
    <row r="9052" spans="1:17" x14ac:dyDescent="0.2">
      <c r="A9052" s="121">
        <v>42216</v>
      </c>
      <c r="B9052" t="s">
        <v>406</v>
      </c>
      <c r="C9052" t="s">
        <v>510</v>
      </c>
      <c r="D9052" t="s">
        <v>525</v>
      </c>
      <c r="E9052" t="s">
        <v>526</v>
      </c>
      <c r="F9052" t="s">
        <v>410</v>
      </c>
      <c r="G9052">
        <v>483</v>
      </c>
      <c r="I9052">
        <v>477</v>
      </c>
    </row>
    <row r="9053" spans="1:17" x14ac:dyDescent="0.2">
      <c r="A9053" s="121">
        <v>42216</v>
      </c>
      <c r="B9053" t="s">
        <v>406</v>
      </c>
      <c r="C9053" t="s">
        <v>510</v>
      </c>
      <c r="D9053" t="s">
        <v>527</v>
      </c>
      <c r="E9053" t="s">
        <v>528</v>
      </c>
      <c r="F9053" t="s">
        <v>410</v>
      </c>
      <c r="G9053">
        <v>225</v>
      </c>
      <c r="I9053">
        <v>223</v>
      </c>
    </row>
    <row r="9054" spans="1:17" x14ac:dyDescent="0.2">
      <c r="A9054" s="121">
        <v>42216</v>
      </c>
      <c r="B9054" t="s">
        <v>406</v>
      </c>
      <c r="C9054" t="s">
        <v>510</v>
      </c>
      <c r="D9054" t="s">
        <v>529</v>
      </c>
      <c r="E9054" t="s">
        <v>530</v>
      </c>
      <c r="F9054" t="s">
        <v>413</v>
      </c>
      <c r="G9054">
        <v>514</v>
      </c>
      <c r="H9054">
        <v>514</v>
      </c>
      <c r="I9054">
        <v>488</v>
      </c>
      <c r="J9054">
        <v>488</v>
      </c>
      <c r="K9054">
        <v>143</v>
      </c>
      <c r="L9054">
        <v>2</v>
      </c>
      <c r="M9054">
        <v>367</v>
      </c>
      <c r="N9054">
        <v>2</v>
      </c>
      <c r="O9054">
        <v>0</v>
      </c>
      <c r="P9054">
        <v>1</v>
      </c>
      <c r="Q9054">
        <v>0</v>
      </c>
    </row>
    <row r="9055" spans="1:17" x14ac:dyDescent="0.2">
      <c r="A9055" s="121">
        <v>42216</v>
      </c>
      <c r="B9055" t="s">
        <v>406</v>
      </c>
      <c r="C9055" t="s">
        <v>510</v>
      </c>
      <c r="D9055" t="s">
        <v>531</v>
      </c>
      <c r="E9055" t="s">
        <v>532</v>
      </c>
      <c r="F9055" t="s">
        <v>410</v>
      </c>
      <c r="G9055">
        <v>37</v>
      </c>
      <c r="I9055">
        <v>37</v>
      </c>
    </row>
    <row r="9056" spans="1:17" x14ac:dyDescent="0.2">
      <c r="A9056" s="121">
        <v>42216</v>
      </c>
      <c r="B9056" t="s">
        <v>406</v>
      </c>
      <c r="C9056" t="s">
        <v>510</v>
      </c>
      <c r="D9056" t="s">
        <v>533</v>
      </c>
      <c r="E9056" t="s">
        <v>534</v>
      </c>
      <c r="F9056" t="s">
        <v>413</v>
      </c>
      <c r="G9056">
        <v>2938</v>
      </c>
      <c r="H9056">
        <v>2938</v>
      </c>
      <c r="I9056">
        <v>2833</v>
      </c>
      <c r="J9056">
        <v>2833</v>
      </c>
      <c r="K9056">
        <v>743</v>
      </c>
      <c r="L9056">
        <v>2</v>
      </c>
      <c r="M9056">
        <v>2181</v>
      </c>
      <c r="N9056">
        <v>12</v>
      </c>
      <c r="O9056">
        <v>0</v>
      </c>
      <c r="P9056">
        <v>2</v>
      </c>
      <c r="Q9056">
        <v>0</v>
      </c>
    </row>
    <row r="9057" spans="1:17" x14ac:dyDescent="0.2">
      <c r="A9057" s="121">
        <v>42216</v>
      </c>
      <c r="B9057" t="s">
        <v>406</v>
      </c>
      <c r="C9057" t="s">
        <v>510</v>
      </c>
      <c r="D9057" t="s">
        <v>535</v>
      </c>
      <c r="E9057" t="s">
        <v>536</v>
      </c>
      <c r="F9057" t="s">
        <v>410</v>
      </c>
      <c r="G9057">
        <v>450</v>
      </c>
      <c r="I9057">
        <v>450</v>
      </c>
    </row>
    <row r="9058" spans="1:17" x14ac:dyDescent="0.2">
      <c r="A9058" s="121">
        <v>42216</v>
      </c>
      <c r="B9058" t="s">
        <v>406</v>
      </c>
      <c r="C9058" t="s">
        <v>510</v>
      </c>
      <c r="D9058" t="s">
        <v>537</v>
      </c>
      <c r="E9058" t="s">
        <v>538</v>
      </c>
      <c r="F9058" t="s">
        <v>410</v>
      </c>
      <c r="G9058">
        <v>113</v>
      </c>
      <c r="I9058">
        <v>113</v>
      </c>
    </row>
    <row r="9059" spans="1:17" x14ac:dyDescent="0.2">
      <c r="A9059" s="121">
        <v>42216</v>
      </c>
      <c r="B9059" t="s">
        <v>406</v>
      </c>
      <c r="C9059" t="s">
        <v>510</v>
      </c>
      <c r="D9059" t="s">
        <v>539</v>
      </c>
      <c r="E9059" t="s">
        <v>540</v>
      </c>
      <c r="F9059" t="s">
        <v>413</v>
      </c>
      <c r="G9059">
        <v>963</v>
      </c>
      <c r="H9059">
        <v>963</v>
      </c>
      <c r="I9059">
        <v>934</v>
      </c>
      <c r="J9059">
        <v>934</v>
      </c>
      <c r="K9059">
        <v>138</v>
      </c>
      <c r="L9059">
        <v>1</v>
      </c>
      <c r="M9059">
        <v>818</v>
      </c>
      <c r="N9059">
        <v>6</v>
      </c>
      <c r="O9059">
        <v>0</v>
      </c>
      <c r="P9059">
        <v>1</v>
      </c>
      <c r="Q9059">
        <v>0</v>
      </c>
    </row>
    <row r="9060" spans="1:17" x14ac:dyDescent="0.2">
      <c r="A9060" s="121">
        <v>42216</v>
      </c>
      <c r="B9060" t="s">
        <v>406</v>
      </c>
      <c r="C9060" t="s">
        <v>510</v>
      </c>
      <c r="D9060" t="s">
        <v>541</v>
      </c>
      <c r="E9060" t="s">
        <v>542</v>
      </c>
      <c r="F9060" t="s">
        <v>410</v>
      </c>
      <c r="G9060">
        <v>456</v>
      </c>
      <c r="I9060">
        <v>456</v>
      </c>
    </row>
    <row r="9061" spans="1:17" x14ac:dyDescent="0.2">
      <c r="A9061" s="121">
        <v>42216</v>
      </c>
      <c r="B9061" t="s">
        <v>406</v>
      </c>
      <c r="C9061" t="s">
        <v>510</v>
      </c>
      <c r="D9061" t="s">
        <v>543</v>
      </c>
      <c r="E9061" t="s">
        <v>544</v>
      </c>
      <c r="F9061" t="s">
        <v>410</v>
      </c>
      <c r="G9061">
        <v>240</v>
      </c>
      <c r="I9061">
        <v>240</v>
      </c>
    </row>
    <row r="9062" spans="1:17" x14ac:dyDescent="0.2">
      <c r="A9062" s="121">
        <v>42216</v>
      </c>
      <c r="B9062" t="s">
        <v>406</v>
      </c>
      <c r="C9062" t="s">
        <v>510</v>
      </c>
      <c r="D9062" t="s">
        <v>545</v>
      </c>
      <c r="E9062" t="s">
        <v>546</v>
      </c>
      <c r="F9062" t="s">
        <v>410</v>
      </c>
      <c r="G9062">
        <v>166</v>
      </c>
      <c r="I9062">
        <v>166</v>
      </c>
    </row>
    <row r="9063" spans="1:17" x14ac:dyDescent="0.2">
      <c r="A9063" s="121">
        <v>42216</v>
      </c>
      <c r="B9063" t="s">
        <v>406</v>
      </c>
      <c r="C9063" t="s">
        <v>510</v>
      </c>
      <c r="D9063" t="s">
        <v>547</v>
      </c>
      <c r="E9063" t="s">
        <v>548</v>
      </c>
      <c r="F9063" t="s">
        <v>410</v>
      </c>
      <c r="G9063">
        <v>170</v>
      </c>
      <c r="I9063">
        <v>170</v>
      </c>
    </row>
    <row r="9064" spans="1:17" x14ac:dyDescent="0.2">
      <c r="A9064" s="121">
        <v>42216</v>
      </c>
      <c r="B9064" t="s">
        <v>406</v>
      </c>
      <c r="C9064" t="s">
        <v>510</v>
      </c>
      <c r="D9064" t="s">
        <v>616</v>
      </c>
      <c r="E9064" t="s">
        <v>617</v>
      </c>
      <c r="F9064" t="s">
        <v>410</v>
      </c>
      <c r="G9064">
        <v>408</v>
      </c>
      <c r="I9064">
        <v>392</v>
      </c>
    </row>
    <row r="9065" spans="1:17" x14ac:dyDescent="0.2">
      <c r="A9065" s="121">
        <v>42216</v>
      </c>
      <c r="B9065" t="s">
        <v>406</v>
      </c>
      <c r="C9065" t="s">
        <v>510</v>
      </c>
      <c r="D9065" t="s">
        <v>549</v>
      </c>
      <c r="E9065" t="s">
        <v>550</v>
      </c>
      <c r="F9065" t="s">
        <v>410</v>
      </c>
      <c r="G9065">
        <v>209</v>
      </c>
      <c r="I9065">
        <v>209</v>
      </c>
    </row>
    <row r="9066" spans="1:17" x14ac:dyDescent="0.2">
      <c r="A9066" s="121">
        <v>42216</v>
      </c>
      <c r="B9066" t="s">
        <v>406</v>
      </c>
      <c r="C9066" t="s">
        <v>510</v>
      </c>
      <c r="D9066" t="s">
        <v>625</v>
      </c>
      <c r="E9066" t="s">
        <v>626</v>
      </c>
      <c r="F9066" t="s">
        <v>410</v>
      </c>
      <c r="G9066">
        <v>107</v>
      </c>
      <c r="I9066">
        <v>105</v>
      </c>
    </row>
    <row r="9067" spans="1:17" x14ac:dyDescent="0.2">
      <c r="A9067" s="121">
        <v>42216</v>
      </c>
      <c r="B9067" t="s">
        <v>406</v>
      </c>
      <c r="C9067" t="s">
        <v>551</v>
      </c>
      <c r="D9067" t="s">
        <v>552</v>
      </c>
      <c r="E9067" t="s">
        <v>553</v>
      </c>
      <c r="F9067" t="s">
        <v>413</v>
      </c>
      <c r="G9067">
        <v>5449</v>
      </c>
      <c r="H9067">
        <v>5449</v>
      </c>
      <c r="I9067">
        <v>5326</v>
      </c>
      <c r="J9067">
        <v>5326</v>
      </c>
      <c r="K9067">
        <v>1909</v>
      </c>
      <c r="L9067">
        <v>7</v>
      </c>
      <c r="M9067">
        <v>3408</v>
      </c>
      <c r="N9067">
        <v>53</v>
      </c>
      <c r="O9067">
        <v>72</v>
      </c>
      <c r="P9067">
        <v>0</v>
      </c>
      <c r="Q9067">
        <v>0</v>
      </c>
    </row>
    <row r="9068" spans="1:17" x14ac:dyDescent="0.2">
      <c r="A9068" s="121">
        <v>42216</v>
      </c>
      <c r="B9068" t="s">
        <v>406</v>
      </c>
      <c r="C9068" t="s">
        <v>551</v>
      </c>
      <c r="D9068" t="s">
        <v>554</v>
      </c>
      <c r="E9068" t="s">
        <v>555</v>
      </c>
      <c r="F9068" t="s">
        <v>410</v>
      </c>
      <c r="G9068">
        <v>48</v>
      </c>
      <c r="I9068">
        <v>48</v>
      </c>
    </row>
    <row r="9069" spans="1:17" x14ac:dyDescent="0.2">
      <c r="A9069" s="121">
        <v>42216</v>
      </c>
      <c r="B9069" t="s">
        <v>406</v>
      </c>
      <c r="C9069" t="s">
        <v>551</v>
      </c>
      <c r="D9069" t="s">
        <v>556</v>
      </c>
      <c r="E9069" t="s">
        <v>557</v>
      </c>
      <c r="F9069" t="s">
        <v>410</v>
      </c>
      <c r="G9069">
        <v>109</v>
      </c>
      <c r="I9069">
        <v>109</v>
      </c>
    </row>
    <row r="9070" spans="1:17" x14ac:dyDescent="0.2">
      <c r="A9070" s="121">
        <v>42216</v>
      </c>
      <c r="B9070" t="s">
        <v>406</v>
      </c>
      <c r="C9070" t="s">
        <v>551</v>
      </c>
      <c r="D9070" t="s">
        <v>558</v>
      </c>
      <c r="E9070" t="s">
        <v>559</v>
      </c>
      <c r="F9070" t="s">
        <v>413</v>
      </c>
      <c r="G9070">
        <v>4847</v>
      </c>
      <c r="H9070">
        <v>4847</v>
      </c>
      <c r="I9070">
        <v>4609</v>
      </c>
      <c r="J9070">
        <v>4609</v>
      </c>
      <c r="K9070">
        <v>1455</v>
      </c>
      <c r="L9070">
        <v>3</v>
      </c>
      <c r="M9070">
        <v>3318</v>
      </c>
      <c r="N9070">
        <v>65</v>
      </c>
      <c r="O9070">
        <v>6</v>
      </c>
      <c r="P9070">
        <v>41</v>
      </c>
      <c r="Q9070">
        <v>7</v>
      </c>
    </row>
    <row r="9071" spans="1:17" x14ac:dyDescent="0.2">
      <c r="A9071" s="121">
        <v>42216</v>
      </c>
      <c r="B9071" t="s">
        <v>406</v>
      </c>
      <c r="C9071" t="s">
        <v>551</v>
      </c>
      <c r="D9071" t="s">
        <v>560</v>
      </c>
      <c r="E9071" t="s">
        <v>561</v>
      </c>
      <c r="F9071" t="s">
        <v>413</v>
      </c>
      <c r="G9071">
        <v>5213</v>
      </c>
      <c r="H9071">
        <v>5213</v>
      </c>
      <c r="I9071">
        <v>4730</v>
      </c>
      <c r="J9071">
        <v>4730</v>
      </c>
      <c r="K9071">
        <v>1083</v>
      </c>
      <c r="L9071">
        <v>6</v>
      </c>
      <c r="M9071">
        <v>3978</v>
      </c>
      <c r="N9071">
        <v>56</v>
      </c>
      <c r="O9071">
        <v>90</v>
      </c>
      <c r="P9071">
        <v>34</v>
      </c>
      <c r="Q9071">
        <v>0</v>
      </c>
    </row>
    <row r="9072" spans="1:17" x14ac:dyDescent="0.2">
      <c r="A9072" s="121">
        <v>42216</v>
      </c>
      <c r="B9072" t="s">
        <v>406</v>
      </c>
      <c r="C9072" t="s">
        <v>562</v>
      </c>
      <c r="D9072" t="s">
        <v>605</v>
      </c>
      <c r="E9072" t="s">
        <v>606</v>
      </c>
      <c r="F9072" t="s">
        <v>410</v>
      </c>
      <c r="G9072">
        <v>197</v>
      </c>
      <c r="I9072">
        <v>197</v>
      </c>
    </row>
    <row r="9073" spans="1:17" x14ac:dyDescent="0.2">
      <c r="A9073" s="121">
        <v>42216</v>
      </c>
      <c r="B9073" t="s">
        <v>406</v>
      </c>
      <c r="C9073" t="s">
        <v>562</v>
      </c>
      <c r="D9073" t="s">
        <v>563</v>
      </c>
      <c r="E9073" t="s">
        <v>564</v>
      </c>
      <c r="F9073" t="s">
        <v>410</v>
      </c>
      <c r="G9073">
        <v>3529</v>
      </c>
      <c r="H9073">
        <v>3529</v>
      </c>
      <c r="I9073">
        <v>3109</v>
      </c>
      <c r="J9073">
        <v>3109</v>
      </c>
      <c r="K9073">
        <v>1156</v>
      </c>
      <c r="L9073">
        <v>0</v>
      </c>
      <c r="M9073">
        <v>2358</v>
      </c>
      <c r="N9073">
        <v>15</v>
      </c>
      <c r="O9073">
        <v>0</v>
      </c>
      <c r="P9073">
        <v>135</v>
      </c>
      <c r="Q9073">
        <v>59</v>
      </c>
    </row>
    <row r="9074" spans="1:17" x14ac:dyDescent="0.2">
      <c r="A9074" s="121">
        <v>42216</v>
      </c>
      <c r="B9074" t="s">
        <v>406</v>
      </c>
      <c r="C9074" t="s">
        <v>562</v>
      </c>
      <c r="D9074" t="s">
        <v>565</v>
      </c>
      <c r="E9074" t="s">
        <v>566</v>
      </c>
      <c r="F9074" t="s">
        <v>413</v>
      </c>
      <c r="G9074">
        <v>4163</v>
      </c>
      <c r="H9074">
        <v>4163</v>
      </c>
      <c r="I9074">
        <v>3931</v>
      </c>
      <c r="J9074">
        <v>3931</v>
      </c>
      <c r="K9074">
        <v>907</v>
      </c>
      <c r="L9074">
        <v>4</v>
      </c>
      <c r="M9074">
        <v>3195</v>
      </c>
      <c r="N9074">
        <v>57</v>
      </c>
      <c r="O9074">
        <v>0</v>
      </c>
      <c r="P9074">
        <v>7</v>
      </c>
      <c r="Q9074">
        <v>1</v>
      </c>
    </row>
    <row r="9075" spans="1:17" x14ac:dyDescent="0.2">
      <c r="A9075" s="121">
        <v>42216</v>
      </c>
      <c r="B9075" t="s">
        <v>406</v>
      </c>
      <c r="C9075" t="s">
        <v>562</v>
      </c>
      <c r="D9075" t="s">
        <v>567</v>
      </c>
      <c r="E9075" t="s">
        <v>568</v>
      </c>
      <c r="F9075" t="s">
        <v>413</v>
      </c>
      <c r="G9075">
        <v>9624</v>
      </c>
      <c r="H9075">
        <v>9624</v>
      </c>
      <c r="I9075">
        <v>9062</v>
      </c>
      <c r="J9075">
        <v>9062</v>
      </c>
      <c r="K9075">
        <v>2834</v>
      </c>
      <c r="L9075">
        <v>20</v>
      </c>
      <c r="M9075">
        <v>6585</v>
      </c>
      <c r="N9075">
        <v>185</v>
      </c>
      <c r="O9075">
        <v>0</v>
      </c>
      <c r="P9075">
        <v>85</v>
      </c>
      <c r="Q9075">
        <v>0</v>
      </c>
    </row>
    <row r="9076" spans="1:17" x14ac:dyDescent="0.2">
      <c r="A9076" s="121">
        <v>42216</v>
      </c>
      <c r="B9076" t="s">
        <v>406</v>
      </c>
      <c r="C9076" t="s">
        <v>562</v>
      </c>
      <c r="D9076" t="s">
        <v>569</v>
      </c>
      <c r="E9076" t="s">
        <v>570</v>
      </c>
      <c r="F9076" t="s">
        <v>413</v>
      </c>
      <c r="G9076">
        <v>3127</v>
      </c>
      <c r="H9076">
        <v>3127</v>
      </c>
      <c r="I9076">
        <v>3085</v>
      </c>
      <c r="J9076">
        <v>3085</v>
      </c>
      <c r="K9076">
        <v>437</v>
      </c>
      <c r="L9076">
        <v>0</v>
      </c>
      <c r="M9076">
        <v>2690</v>
      </c>
      <c r="N9076">
        <v>0</v>
      </c>
      <c r="O9076">
        <v>0</v>
      </c>
      <c r="P9076">
        <v>0</v>
      </c>
      <c r="Q9076">
        <v>0</v>
      </c>
    </row>
    <row r="9077" spans="1:17" x14ac:dyDescent="0.2">
      <c r="A9077" s="121">
        <v>42216</v>
      </c>
      <c r="B9077" t="s">
        <v>406</v>
      </c>
      <c r="C9077" t="s">
        <v>571</v>
      </c>
      <c r="D9077" t="s">
        <v>572</v>
      </c>
      <c r="E9077" t="s">
        <v>627</v>
      </c>
      <c r="F9077" t="s">
        <v>413</v>
      </c>
      <c r="G9077">
        <v>537</v>
      </c>
      <c r="H9077">
        <v>537</v>
      </c>
      <c r="I9077">
        <v>521</v>
      </c>
      <c r="J9077">
        <v>521</v>
      </c>
      <c r="K9077">
        <v>156</v>
      </c>
      <c r="L9077">
        <v>0</v>
      </c>
      <c r="M9077">
        <v>377</v>
      </c>
      <c r="N9077">
        <v>0</v>
      </c>
      <c r="O9077">
        <v>4</v>
      </c>
      <c r="P9077">
        <v>1</v>
      </c>
      <c r="Q9077">
        <v>0</v>
      </c>
    </row>
    <row r="9078" spans="1:17" x14ac:dyDescent="0.2">
      <c r="A9078" s="121">
        <v>42216</v>
      </c>
      <c r="B9078" t="s">
        <v>406</v>
      </c>
      <c r="C9078" t="s">
        <v>574</v>
      </c>
      <c r="D9078" t="s">
        <v>575</v>
      </c>
      <c r="E9078" t="s">
        <v>576</v>
      </c>
      <c r="F9078" t="s">
        <v>413</v>
      </c>
      <c r="G9078">
        <v>665</v>
      </c>
      <c r="H9078">
        <v>665</v>
      </c>
      <c r="I9078">
        <v>639</v>
      </c>
      <c r="J9078">
        <v>639</v>
      </c>
      <c r="K9078">
        <v>164</v>
      </c>
      <c r="L9078">
        <v>0</v>
      </c>
      <c r="M9078">
        <v>471</v>
      </c>
      <c r="N9078">
        <v>4</v>
      </c>
      <c r="O9078">
        <v>26</v>
      </c>
      <c r="P9078">
        <v>0</v>
      </c>
      <c r="Q9078">
        <v>0</v>
      </c>
    </row>
    <row r="9079" spans="1:17" x14ac:dyDescent="0.2">
      <c r="A9079" s="121">
        <v>42216</v>
      </c>
      <c r="B9079" t="s">
        <v>406</v>
      </c>
      <c r="C9079" t="s">
        <v>577</v>
      </c>
      <c r="D9079" t="s">
        <v>578</v>
      </c>
      <c r="E9079" t="s">
        <v>579</v>
      </c>
      <c r="F9079" t="s">
        <v>413</v>
      </c>
      <c r="G9079">
        <v>3804</v>
      </c>
      <c r="H9079">
        <v>3804</v>
      </c>
      <c r="I9079">
        <v>3762</v>
      </c>
      <c r="J9079">
        <v>3762</v>
      </c>
      <c r="K9079">
        <v>1067</v>
      </c>
      <c r="L9079">
        <v>6</v>
      </c>
      <c r="M9079">
        <v>2509</v>
      </c>
      <c r="N9079">
        <v>222</v>
      </c>
      <c r="O9079">
        <v>0</v>
      </c>
      <c r="P9079">
        <v>1</v>
      </c>
      <c r="Q9079">
        <v>0</v>
      </c>
    </row>
    <row r="9080" spans="1:17" x14ac:dyDescent="0.2">
      <c r="A9080" s="121">
        <v>42216</v>
      </c>
      <c r="B9080" t="s">
        <v>406</v>
      </c>
      <c r="C9080" t="s">
        <v>577</v>
      </c>
      <c r="D9080" t="s">
        <v>580</v>
      </c>
      <c r="E9080" t="s">
        <v>581</v>
      </c>
      <c r="F9080" t="s">
        <v>413</v>
      </c>
      <c r="G9080">
        <v>2112</v>
      </c>
      <c r="H9080">
        <v>2112</v>
      </c>
      <c r="I9080">
        <v>2080</v>
      </c>
      <c r="J9080">
        <v>2080</v>
      </c>
      <c r="K9080">
        <v>345</v>
      </c>
      <c r="L9080">
        <v>3</v>
      </c>
      <c r="M9080">
        <v>1515</v>
      </c>
      <c r="N9080">
        <v>247</v>
      </c>
      <c r="O9080">
        <v>2</v>
      </c>
      <c r="P9080">
        <v>1</v>
      </c>
      <c r="Q9080">
        <v>0</v>
      </c>
    </row>
    <row r="9081" spans="1:17" x14ac:dyDescent="0.2">
      <c r="A9081" s="121">
        <v>42216</v>
      </c>
      <c r="B9081" t="s">
        <v>406</v>
      </c>
      <c r="C9081" t="s">
        <v>577</v>
      </c>
      <c r="D9081" t="s">
        <v>609</v>
      </c>
      <c r="E9081" t="s">
        <v>610</v>
      </c>
      <c r="F9081" t="s">
        <v>410</v>
      </c>
      <c r="G9081">
        <v>28</v>
      </c>
      <c r="H9081">
        <v>28</v>
      </c>
      <c r="I9081">
        <v>28</v>
      </c>
      <c r="J9081">
        <v>28</v>
      </c>
      <c r="K9081">
        <v>0</v>
      </c>
      <c r="L9081">
        <v>0</v>
      </c>
      <c r="M9081">
        <v>27</v>
      </c>
      <c r="N9081">
        <v>1</v>
      </c>
      <c r="O9081">
        <v>0</v>
      </c>
      <c r="P9081">
        <v>0</v>
      </c>
      <c r="Q9081">
        <v>0</v>
      </c>
    </row>
    <row r="9082" spans="1:17" x14ac:dyDescent="0.2">
      <c r="A9082" s="121">
        <v>42216</v>
      </c>
      <c r="B9082" t="s">
        <v>406</v>
      </c>
      <c r="C9082" t="s">
        <v>577</v>
      </c>
      <c r="D9082" t="s">
        <v>611</v>
      </c>
      <c r="E9082" t="s">
        <v>612</v>
      </c>
      <c r="F9082" t="s">
        <v>410</v>
      </c>
      <c r="G9082">
        <v>7</v>
      </c>
      <c r="H9082">
        <v>7</v>
      </c>
      <c r="I9082">
        <v>7</v>
      </c>
      <c r="J9082">
        <v>7</v>
      </c>
      <c r="K9082">
        <v>0</v>
      </c>
      <c r="L9082">
        <v>0</v>
      </c>
      <c r="M9082">
        <v>5</v>
      </c>
      <c r="N9082">
        <v>1</v>
      </c>
      <c r="O9082">
        <v>1</v>
      </c>
      <c r="P9082">
        <v>0</v>
      </c>
      <c r="Q9082">
        <v>0</v>
      </c>
    </row>
    <row r="9083" spans="1:17" x14ac:dyDescent="0.2">
      <c r="A9083" s="121">
        <v>42216</v>
      </c>
      <c r="B9083" t="s">
        <v>406</v>
      </c>
      <c r="C9083" t="s">
        <v>577</v>
      </c>
      <c r="D9083" t="s">
        <v>584</v>
      </c>
      <c r="E9083" t="s">
        <v>585</v>
      </c>
      <c r="F9083" t="s">
        <v>410</v>
      </c>
      <c r="G9083">
        <v>313</v>
      </c>
      <c r="H9083">
        <v>313</v>
      </c>
      <c r="I9083">
        <v>313</v>
      </c>
      <c r="J9083">
        <v>313</v>
      </c>
      <c r="K9083">
        <v>0</v>
      </c>
      <c r="L9083">
        <v>0</v>
      </c>
      <c r="M9083">
        <v>299</v>
      </c>
      <c r="N9083">
        <v>12</v>
      </c>
      <c r="O9083">
        <v>2</v>
      </c>
      <c r="P9083">
        <v>0</v>
      </c>
      <c r="Q9083">
        <v>0</v>
      </c>
    </row>
    <row r="9084" spans="1:17" x14ac:dyDescent="0.2">
      <c r="A9084" s="121">
        <v>42216</v>
      </c>
      <c r="B9084" t="s">
        <v>406</v>
      </c>
      <c r="C9084" t="s">
        <v>577</v>
      </c>
      <c r="D9084" t="s">
        <v>586</v>
      </c>
      <c r="E9084" t="s">
        <v>587</v>
      </c>
      <c r="F9084" t="s">
        <v>410</v>
      </c>
      <c r="G9084">
        <v>1198</v>
      </c>
      <c r="H9084">
        <v>1198</v>
      </c>
      <c r="I9084">
        <v>1198</v>
      </c>
      <c r="J9084">
        <v>1198</v>
      </c>
      <c r="K9084">
        <v>0</v>
      </c>
      <c r="L9084">
        <v>0</v>
      </c>
      <c r="M9084">
        <v>1093</v>
      </c>
      <c r="N9084">
        <v>100</v>
      </c>
      <c r="O9084">
        <v>5</v>
      </c>
      <c r="P9084">
        <v>0</v>
      </c>
      <c r="Q9084">
        <v>0</v>
      </c>
    </row>
    <row r="9085" spans="1:17" x14ac:dyDescent="0.2">
      <c r="A9085" s="121">
        <v>42216</v>
      </c>
      <c r="B9085" t="s">
        <v>406</v>
      </c>
      <c r="C9085" t="s">
        <v>577</v>
      </c>
      <c r="D9085" t="s">
        <v>588</v>
      </c>
      <c r="E9085" t="s">
        <v>589</v>
      </c>
      <c r="F9085" t="s">
        <v>410</v>
      </c>
      <c r="G9085">
        <v>234</v>
      </c>
      <c r="H9085">
        <v>234</v>
      </c>
      <c r="I9085">
        <v>234</v>
      </c>
      <c r="J9085">
        <v>234</v>
      </c>
      <c r="K9085">
        <v>0</v>
      </c>
      <c r="L9085">
        <v>0</v>
      </c>
      <c r="M9085">
        <v>212</v>
      </c>
      <c r="N9085">
        <v>22</v>
      </c>
      <c r="O9085">
        <v>0</v>
      </c>
      <c r="P9085">
        <v>0</v>
      </c>
      <c r="Q9085">
        <v>0</v>
      </c>
    </row>
    <row r="9086" spans="1:17" x14ac:dyDescent="0.2">
      <c r="A9086" s="121">
        <v>42216</v>
      </c>
      <c r="B9086" t="s">
        <v>406</v>
      </c>
      <c r="C9086" t="s">
        <v>577</v>
      </c>
      <c r="D9086" t="s">
        <v>613</v>
      </c>
      <c r="E9086" t="s">
        <v>614</v>
      </c>
      <c r="F9086" t="s">
        <v>410</v>
      </c>
      <c r="G9086">
        <v>68</v>
      </c>
      <c r="H9086">
        <v>68</v>
      </c>
      <c r="I9086">
        <v>68</v>
      </c>
      <c r="J9086">
        <v>68</v>
      </c>
      <c r="K9086">
        <v>0</v>
      </c>
      <c r="L9086">
        <v>0</v>
      </c>
      <c r="M9086">
        <v>64</v>
      </c>
      <c r="N9086">
        <v>4</v>
      </c>
      <c r="O9086">
        <v>0</v>
      </c>
      <c r="P9086">
        <v>0</v>
      </c>
      <c r="Q9086">
        <v>0</v>
      </c>
    </row>
    <row r="9087" spans="1:17" x14ac:dyDescent="0.2">
      <c r="A9087" s="121">
        <v>42216</v>
      </c>
      <c r="B9087" t="s">
        <v>406</v>
      </c>
      <c r="C9087" t="s">
        <v>577</v>
      </c>
      <c r="D9087" t="s">
        <v>590</v>
      </c>
      <c r="E9087" t="s">
        <v>591</v>
      </c>
      <c r="F9087" t="s">
        <v>410</v>
      </c>
      <c r="G9087">
        <v>617</v>
      </c>
      <c r="H9087">
        <v>617</v>
      </c>
      <c r="I9087">
        <v>617</v>
      </c>
      <c r="J9087">
        <v>617</v>
      </c>
      <c r="K9087">
        <v>0</v>
      </c>
      <c r="L9087">
        <v>0</v>
      </c>
      <c r="M9087">
        <v>576</v>
      </c>
      <c r="N9087">
        <v>40</v>
      </c>
      <c r="O9087">
        <v>1</v>
      </c>
      <c r="P9087">
        <v>0</v>
      </c>
      <c r="Q9087">
        <v>0</v>
      </c>
    </row>
    <row r="9088" spans="1:17" x14ac:dyDescent="0.2">
      <c r="A9088" s="121">
        <v>42216</v>
      </c>
      <c r="B9088" t="s">
        <v>406</v>
      </c>
      <c r="C9088" t="s">
        <v>577</v>
      </c>
      <c r="D9088" t="s">
        <v>607</v>
      </c>
      <c r="E9088" t="s">
        <v>608</v>
      </c>
      <c r="F9088" t="s">
        <v>410</v>
      </c>
      <c r="G9088">
        <v>245</v>
      </c>
      <c r="H9088">
        <v>245</v>
      </c>
      <c r="I9088">
        <v>245</v>
      </c>
      <c r="J9088">
        <v>245</v>
      </c>
      <c r="K9088">
        <v>0</v>
      </c>
      <c r="L9088">
        <v>0</v>
      </c>
      <c r="M9088">
        <v>222</v>
      </c>
      <c r="N9088">
        <v>17</v>
      </c>
      <c r="O9088">
        <v>6</v>
      </c>
      <c r="P9088">
        <v>0</v>
      </c>
      <c r="Q9088">
        <v>0</v>
      </c>
    </row>
    <row r="9089" spans="1:17" x14ac:dyDescent="0.2">
      <c r="A9089" s="121">
        <v>42216</v>
      </c>
      <c r="B9089" t="s">
        <v>406</v>
      </c>
      <c r="C9089" t="s">
        <v>577</v>
      </c>
      <c r="D9089" t="s">
        <v>592</v>
      </c>
      <c r="E9089" t="s">
        <v>593</v>
      </c>
      <c r="F9089" t="s">
        <v>410</v>
      </c>
      <c r="G9089">
        <v>618</v>
      </c>
      <c r="H9089">
        <v>618</v>
      </c>
      <c r="I9089">
        <v>618</v>
      </c>
      <c r="J9089">
        <v>618</v>
      </c>
      <c r="K9089">
        <v>0</v>
      </c>
      <c r="L9089">
        <v>0</v>
      </c>
      <c r="M9089">
        <v>581</v>
      </c>
      <c r="N9089">
        <v>31</v>
      </c>
      <c r="O9089">
        <v>6</v>
      </c>
      <c r="P9089">
        <v>0</v>
      </c>
      <c r="Q9089">
        <v>0</v>
      </c>
    </row>
    <row r="9090" spans="1:17" x14ac:dyDescent="0.2">
      <c r="A9090" s="121">
        <v>42216</v>
      </c>
      <c r="B9090" t="s">
        <v>406</v>
      </c>
      <c r="C9090" t="s">
        <v>594</v>
      </c>
      <c r="D9090" t="s">
        <v>595</v>
      </c>
      <c r="E9090" t="s">
        <v>596</v>
      </c>
      <c r="F9090" t="s">
        <v>410</v>
      </c>
      <c r="G9090">
        <v>86</v>
      </c>
      <c r="I9090">
        <v>86</v>
      </c>
    </row>
    <row r="9091" spans="1:17" x14ac:dyDescent="0.2">
      <c r="A9091" s="121">
        <v>42216</v>
      </c>
      <c r="B9091" t="s">
        <v>406</v>
      </c>
      <c r="C9091" t="s">
        <v>594</v>
      </c>
      <c r="D9091" t="s">
        <v>597</v>
      </c>
      <c r="E9091" t="s">
        <v>598</v>
      </c>
      <c r="F9091" t="s">
        <v>413</v>
      </c>
      <c r="G9091">
        <v>615</v>
      </c>
      <c r="H9091">
        <v>615</v>
      </c>
      <c r="I9091">
        <v>606</v>
      </c>
      <c r="J9091">
        <v>606</v>
      </c>
      <c r="K9091">
        <v>116</v>
      </c>
      <c r="L9091">
        <v>1</v>
      </c>
      <c r="M9091">
        <v>482</v>
      </c>
      <c r="N9091">
        <v>4</v>
      </c>
      <c r="O9091">
        <v>12</v>
      </c>
      <c r="P9091">
        <v>0</v>
      </c>
      <c r="Q9091">
        <v>0</v>
      </c>
    </row>
    <row r="9092" spans="1:17" x14ac:dyDescent="0.2">
      <c r="A9092" s="121">
        <v>42216</v>
      </c>
      <c r="B9092" t="s">
        <v>406</v>
      </c>
      <c r="C9092" t="s">
        <v>594</v>
      </c>
      <c r="D9092" t="s">
        <v>599</v>
      </c>
      <c r="E9092" t="s">
        <v>600</v>
      </c>
      <c r="F9092" t="s">
        <v>410</v>
      </c>
      <c r="G9092">
        <v>102</v>
      </c>
      <c r="I9092">
        <v>102</v>
      </c>
    </row>
    <row r="9093" spans="1:17" x14ac:dyDescent="0.2">
      <c r="A9093" s="121">
        <v>42247</v>
      </c>
      <c r="B9093" t="s">
        <v>406</v>
      </c>
      <c r="C9093" t="s">
        <v>407</v>
      </c>
      <c r="D9093" t="s">
        <v>408</v>
      </c>
      <c r="E9093" t="s">
        <v>409</v>
      </c>
      <c r="F9093" t="s">
        <v>410</v>
      </c>
      <c r="G9093">
        <v>260</v>
      </c>
      <c r="I9093">
        <v>257</v>
      </c>
    </row>
    <row r="9094" spans="1:17" x14ac:dyDescent="0.2">
      <c r="A9094" s="121">
        <v>42247</v>
      </c>
      <c r="B9094" t="s">
        <v>406</v>
      </c>
      <c r="C9094" t="s">
        <v>407</v>
      </c>
      <c r="D9094" t="s">
        <v>601</v>
      </c>
      <c r="E9094" t="s">
        <v>602</v>
      </c>
      <c r="F9094" t="s">
        <v>410</v>
      </c>
      <c r="G9094">
        <v>61</v>
      </c>
      <c r="I9094">
        <v>61</v>
      </c>
    </row>
    <row r="9095" spans="1:17" x14ac:dyDescent="0.2">
      <c r="A9095" s="121">
        <v>42247</v>
      </c>
      <c r="B9095" t="s">
        <v>406</v>
      </c>
      <c r="C9095" t="s">
        <v>407</v>
      </c>
      <c r="D9095" t="s">
        <v>411</v>
      </c>
      <c r="E9095" t="s">
        <v>412</v>
      </c>
      <c r="F9095" t="s">
        <v>413</v>
      </c>
      <c r="G9095">
        <v>6312</v>
      </c>
      <c r="H9095">
        <v>6312</v>
      </c>
      <c r="I9095">
        <v>6051</v>
      </c>
      <c r="J9095">
        <v>6051</v>
      </c>
      <c r="K9095">
        <v>2476</v>
      </c>
      <c r="L9095">
        <v>5</v>
      </c>
      <c r="M9095">
        <v>3488</v>
      </c>
      <c r="N9095">
        <v>119</v>
      </c>
      <c r="O9095">
        <v>224</v>
      </c>
      <c r="P9095">
        <v>5</v>
      </c>
      <c r="Q9095">
        <v>0</v>
      </c>
    </row>
    <row r="9096" spans="1:17" x14ac:dyDescent="0.2">
      <c r="A9096" s="121">
        <v>42247</v>
      </c>
      <c r="B9096" t="s">
        <v>406</v>
      </c>
      <c r="C9096" t="s">
        <v>407</v>
      </c>
      <c r="D9096" t="s">
        <v>416</v>
      </c>
      <c r="E9096" t="s">
        <v>417</v>
      </c>
      <c r="F9096" t="s">
        <v>413</v>
      </c>
      <c r="G9096">
        <v>3897</v>
      </c>
      <c r="H9096">
        <v>3897</v>
      </c>
      <c r="I9096">
        <v>3650</v>
      </c>
      <c r="J9096">
        <v>3650</v>
      </c>
      <c r="K9096">
        <v>1448</v>
      </c>
      <c r="L9096">
        <v>4</v>
      </c>
      <c r="M9096">
        <v>2292</v>
      </c>
      <c r="N9096">
        <v>114</v>
      </c>
      <c r="O9096">
        <v>39</v>
      </c>
      <c r="P9096">
        <v>20</v>
      </c>
      <c r="Q9096">
        <v>2</v>
      </c>
    </row>
    <row r="9097" spans="1:17" x14ac:dyDescent="0.2">
      <c r="A9097" s="121">
        <v>42247</v>
      </c>
      <c r="B9097" t="s">
        <v>406</v>
      </c>
      <c r="C9097" t="s">
        <v>407</v>
      </c>
      <c r="D9097" t="s">
        <v>618</v>
      </c>
      <c r="E9097" t="s">
        <v>619</v>
      </c>
      <c r="F9097" t="s">
        <v>410</v>
      </c>
      <c r="G9097">
        <v>87</v>
      </c>
      <c r="I9097">
        <v>87</v>
      </c>
    </row>
    <row r="9098" spans="1:17" x14ac:dyDescent="0.2">
      <c r="A9098" s="121">
        <v>42247</v>
      </c>
      <c r="B9098" t="s">
        <v>406</v>
      </c>
      <c r="C9098" t="s">
        <v>418</v>
      </c>
      <c r="D9098" t="s">
        <v>419</v>
      </c>
      <c r="E9098" t="s">
        <v>420</v>
      </c>
      <c r="F9098" t="s">
        <v>410</v>
      </c>
      <c r="G9098">
        <v>11</v>
      </c>
      <c r="I9098">
        <v>11</v>
      </c>
    </row>
    <row r="9099" spans="1:17" x14ac:dyDescent="0.2">
      <c r="A9099" s="121">
        <v>42247</v>
      </c>
      <c r="B9099" t="s">
        <v>406</v>
      </c>
      <c r="C9099" t="s">
        <v>418</v>
      </c>
      <c r="D9099" t="s">
        <v>421</v>
      </c>
      <c r="E9099" t="s">
        <v>422</v>
      </c>
      <c r="F9099" t="s">
        <v>410</v>
      </c>
      <c r="G9099">
        <v>108</v>
      </c>
      <c r="I9099">
        <v>108</v>
      </c>
    </row>
    <row r="9100" spans="1:17" x14ac:dyDescent="0.2">
      <c r="A9100" s="121">
        <v>42247</v>
      </c>
      <c r="B9100" t="s">
        <v>406</v>
      </c>
      <c r="C9100" t="s">
        <v>418</v>
      </c>
      <c r="D9100" t="s">
        <v>423</v>
      </c>
      <c r="E9100" t="s">
        <v>424</v>
      </c>
      <c r="F9100" t="s">
        <v>410</v>
      </c>
      <c r="G9100">
        <v>8</v>
      </c>
      <c r="I9100">
        <v>8</v>
      </c>
    </row>
    <row r="9101" spans="1:17" x14ac:dyDescent="0.2">
      <c r="A9101" s="121">
        <v>42247</v>
      </c>
      <c r="B9101" t="s">
        <v>406</v>
      </c>
      <c r="C9101" t="s">
        <v>418</v>
      </c>
      <c r="D9101" t="s">
        <v>425</v>
      </c>
      <c r="E9101" t="s">
        <v>426</v>
      </c>
      <c r="F9101" t="s">
        <v>410</v>
      </c>
      <c r="G9101">
        <v>42</v>
      </c>
      <c r="I9101">
        <v>42</v>
      </c>
    </row>
    <row r="9102" spans="1:17" x14ac:dyDescent="0.2">
      <c r="A9102" s="121">
        <v>42247</v>
      </c>
      <c r="B9102" t="s">
        <v>406</v>
      </c>
      <c r="C9102" t="s">
        <v>418</v>
      </c>
      <c r="D9102" t="s">
        <v>427</v>
      </c>
      <c r="E9102" t="s">
        <v>428</v>
      </c>
      <c r="F9102" t="s">
        <v>413</v>
      </c>
      <c r="G9102">
        <v>2310</v>
      </c>
      <c r="H9102">
        <v>2310</v>
      </c>
      <c r="I9102">
        <v>2230</v>
      </c>
      <c r="J9102">
        <v>2230</v>
      </c>
      <c r="K9102">
        <v>764</v>
      </c>
      <c r="L9102">
        <v>5</v>
      </c>
      <c r="M9102">
        <v>1317</v>
      </c>
      <c r="N9102">
        <v>199</v>
      </c>
      <c r="O9102">
        <v>25</v>
      </c>
      <c r="P9102">
        <v>1</v>
      </c>
      <c r="Q9102">
        <v>0</v>
      </c>
    </row>
    <row r="9103" spans="1:17" x14ac:dyDescent="0.2">
      <c r="A9103" s="121">
        <v>42247</v>
      </c>
      <c r="B9103" t="s">
        <v>406</v>
      </c>
      <c r="C9103" t="s">
        <v>429</v>
      </c>
      <c r="D9103" t="s">
        <v>430</v>
      </c>
      <c r="E9103" t="s">
        <v>431</v>
      </c>
      <c r="F9103" t="s">
        <v>410</v>
      </c>
      <c r="G9103">
        <v>42</v>
      </c>
      <c r="I9103">
        <v>42</v>
      </c>
    </row>
    <row r="9104" spans="1:17" x14ac:dyDescent="0.2">
      <c r="A9104" s="121">
        <v>42247</v>
      </c>
      <c r="B9104" t="s">
        <v>406</v>
      </c>
      <c r="C9104" t="s">
        <v>429</v>
      </c>
      <c r="D9104" t="s">
        <v>432</v>
      </c>
      <c r="E9104" t="s">
        <v>433</v>
      </c>
      <c r="F9104" t="s">
        <v>410</v>
      </c>
      <c r="G9104">
        <v>54</v>
      </c>
      <c r="I9104">
        <v>54</v>
      </c>
    </row>
    <row r="9105" spans="1:17" x14ac:dyDescent="0.2">
      <c r="A9105" s="121">
        <v>42247</v>
      </c>
      <c r="B9105" t="s">
        <v>406</v>
      </c>
      <c r="C9105" t="s">
        <v>429</v>
      </c>
      <c r="D9105" t="s">
        <v>434</v>
      </c>
      <c r="E9105" t="s">
        <v>435</v>
      </c>
      <c r="F9105" t="s">
        <v>410</v>
      </c>
      <c r="G9105">
        <v>8</v>
      </c>
      <c r="I9105">
        <v>8</v>
      </c>
    </row>
    <row r="9106" spans="1:17" x14ac:dyDescent="0.2">
      <c r="A9106" s="121">
        <v>42247</v>
      </c>
      <c r="B9106" t="s">
        <v>406</v>
      </c>
      <c r="C9106" t="s">
        <v>429</v>
      </c>
      <c r="D9106" t="s">
        <v>436</v>
      </c>
      <c r="E9106" t="s">
        <v>437</v>
      </c>
      <c r="F9106" t="s">
        <v>410</v>
      </c>
      <c r="G9106">
        <v>30</v>
      </c>
      <c r="H9106">
        <v>30</v>
      </c>
      <c r="I9106">
        <v>30</v>
      </c>
      <c r="J9106">
        <v>30</v>
      </c>
      <c r="K9106">
        <v>0</v>
      </c>
      <c r="L9106">
        <v>0</v>
      </c>
      <c r="M9106">
        <v>25</v>
      </c>
      <c r="N9106">
        <v>4</v>
      </c>
      <c r="O9106">
        <v>1</v>
      </c>
      <c r="P9106">
        <v>0</v>
      </c>
      <c r="Q9106">
        <v>0</v>
      </c>
    </row>
    <row r="9107" spans="1:17" x14ac:dyDescent="0.2">
      <c r="A9107" s="121">
        <v>42247</v>
      </c>
      <c r="B9107" t="s">
        <v>406</v>
      </c>
      <c r="C9107" t="s">
        <v>429</v>
      </c>
      <c r="D9107" t="s">
        <v>438</v>
      </c>
      <c r="E9107" t="s">
        <v>439</v>
      </c>
      <c r="F9107" t="s">
        <v>413</v>
      </c>
      <c r="G9107">
        <v>1085</v>
      </c>
      <c r="H9107">
        <v>1085</v>
      </c>
      <c r="I9107">
        <v>1067</v>
      </c>
      <c r="J9107">
        <v>1067</v>
      </c>
      <c r="K9107">
        <v>78</v>
      </c>
      <c r="L9107">
        <v>0</v>
      </c>
      <c r="M9107">
        <v>941</v>
      </c>
      <c r="N9107">
        <v>34</v>
      </c>
      <c r="O9107">
        <v>32</v>
      </c>
      <c r="P9107">
        <v>1</v>
      </c>
      <c r="Q9107">
        <v>0</v>
      </c>
    </row>
    <row r="9108" spans="1:17" x14ac:dyDescent="0.2">
      <c r="A9108" s="121">
        <v>42247</v>
      </c>
      <c r="B9108" t="s">
        <v>406</v>
      </c>
      <c r="C9108" t="s">
        <v>429</v>
      </c>
      <c r="D9108" t="s">
        <v>440</v>
      </c>
      <c r="E9108" t="s">
        <v>441</v>
      </c>
      <c r="F9108" t="s">
        <v>413</v>
      </c>
      <c r="G9108">
        <v>3035</v>
      </c>
      <c r="H9108">
        <v>3035</v>
      </c>
      <c r="I9108">
        <v>2966</v>
      </c>
      <c r="J9108">
        <v>2966</v>
      </c>
      <c r="K9108">
        <v>958</v>
      </c>
      <c r="L9108">
        <v>4</v>
      </c>
      <c r="M9108">
        <v>1928</v>
      </c>
      <c r="N9108">
        <v>86</v>
      </c>
      <c r="O9108">
        <v>59</v>
      </c>
      <c r="P9108">
        <v>1</v>
      </c>
      <c r="Q9108">
        <v>0</v>
      </c>
    </row>
    <row r="9109" spans="1:17" x14ac:dyDescent="0.2">
      <c r="A9109" s="121">
        <v>42247</v>
      </c>
      <c r="B9109" t="s">
        <v>406</v>
      </c>
      <c r="C9109" t="s">
        <v>442</v>
      </c>
      <c r="D9109" t="s">
        <v>443</v>
      </c>
      <c r="E9109" t="s">
        <v>444</v>
      </c>
      <c r="F9109" t="s">
        <v>413</v>
      </c>
      <c r="G9109">
        <v>5533</v>
      </c>
      <c r="H9109">
        <v>5533</v>
      </c>
      <c r="I9109">
        <v>5318</v>
      </c>
      <c r="J9109">
        <v>5318</v>
      </c>
      <c r="K9109">
        <v>1389</v>
      </c>
      <c r="L9109">
        <v>14</v>
      </c>
      <c r="M9109">
        <v>3839</v>
      </c>
      <c r="N9109">
        <v>127</v>
      </c>
      <c r="O9109">
        <v>164</v>
      </c>
      <c r="P9109">
        <v>11</v>
      </c>
      <c r="Q9109">
        <v>0</v>
      </c>
    </row>
    <row r="9110" spans="1:17" x14ac:dyDescent="0.2">
      <c r="A9110" s="121">
        <v>42247</v>
      </c>
      <c r="B9110" t="s">
        <v>406</v>
      </c>
      <c r="C9110" t="s">
        <v>442</v>
      </c>
      <c r="D9110" t="s">
        <v>445</v>
      </c>
      <c r="E9110" t="s">
        <v>446</v>
      </c>
      <c r="F9110" t="s">
        <v>410</v>
      </c>
      <c r="G9110">
        <v>160</v>
      </c>
      <c r="I9110">
        <v>160</v>
      </c>
    </row>
    <row r="9111" spans="1:17" x14ac:dyDescent="0.2">
      <c r="A9111" s="121">
        <v>42247</v>
      </c>
      <c r="B9111" t="s">
        <v>406</v>
      </c>
      <c r="C9111" t="s">
        <v>442</v>
      </c>
      <c r="D9111" t="s">
        <v>447</v>
      </c>
      <c r="E9111" t="s">
        <v>448</v>
      </c>
      <c r="F9111" t="s">
        <v>410</v>
      </c>
      <c r="G9111">
        <v>415</v>
      </c>
      <c r="I9111">
        <v>415</v>
      </c>
    </row>
    <row r="9112" spans="1:17" x14ac:dyDescent="0.2">
      <c r="A9112" s="121">
        <v>42247</v>
      </c>
      <c r="B9112" t="s">
        <v>406</v>
      </c>
      <c r="C9112" t="s">
        <v>442</v>
      </c>
      <c r="D9112" t="s">
        <v>449</v>
      </c>
      <c r="E9112" t="s">
        <v>624</v>
      </c>
      <c r="F9112" t="s">
        <v>410</v>
      </c>
      <c r="G9112">
        <v>1984</v>
      </c>
      <c r="H9112">
        <v>1984</v>
      </c>
      <c r="I9112">
        <v>1980</v>
      </c>
      <c r="J9112">
        <v>1980</v>
      </c>
      <c r="K9112">
        <v>8</v>
      </c>
      <c r="L9112">
        <v>0</v>
      </c>
      <c r="M9112">
        <v>1823</v>
      </c>
      <c r="N9112">
        <v>133</v>
      </c>
      <c r="O9112">
        <v>20</v>
      </c>
      <c r="P9112">
        <v>0</v>
      </c>
      <c r="Q9112">
        <v>0</v>
      </c>
    </row>
    <row r="9113" spans="1:17" x14ac:dyDescent="0.2">
      <c r="A9113" s="121">
        <v>42247</v>
      </c>
      <c r="B9113" t="s">
        <v>406</v>
      </c>
      <c r="C9113" t="s">
        <v>451</v>
      </c>
      <c r="D9113" t="s">
        <v>454</v>
      </c>
      <c r="E9113" t="s">
        <v>621</v>
      </c>
      <c r="F9113" t="s">
        <v>410</v>
      </c>
      <c r="G9113">
        <v>1402</v>
      </c>
      <c r="H9113">
        <v>1402</v>
      </c>
      <c r="I9113">
        <v>1402</v>
      </c>
      <c r="J9113">
        <v>1402</v>
      </c>
      <c r="K9113">
        <v>3</v>
      </c>
      <c r="L9113">
        <v>0</v>
      </c>
      <c r="M9113">
        <v>989</v>
      </c>
      <c r="N9113">
        <v>56</v>
      </c>
      <c r="O9113">
        <v>354</v>
      </c>
      <c r="P9113">
        <v>0</v>
      </c>
      <c r="Q9113">
        <v>0</v>
      </c>
    </row>
    <row r="9114" spans="1:17" x14ac:dyDescent="0.2">
      <c r="A9114" s="121">
        <v>42247</v>
      </c>
      <c r="B9114" t="s">
        <v>406</v>
      </c>
      <c r="C9114" t="s">
        <v>451</v>
      </c>
      <c r="D9114" t="s">
        <v>622</v>
      </c>
      <c r="E9114" t="s">
        <v>623</v>
      </c>
      <c r="F9114" t="s">
        <v>413</v>
      </c>
      <c r="G9114">
        <v>5494</v>
      </c>
      <c r="H9114">
        <v>5494</v>
      </c>
      <c r="I9114">
        <v>5237</v>
      </c>
      <c r="J9114">
        <v>5237</v>
      </c>
      <c r="K9114">
        <v>1413</v>
      </c>
      <c r="L9114">
        <v>9</v>
      </c>
      <c r="M9114">
        <v>3187</v>
      </c>
      <c r="N9114">
        <v>60</v>
      </c>
      <c r="O9114">
        <v>825</v>
      </c>
      <c r="P9114">
        <v>4</v>
      </c>
      <c r="Q9114">
        <v>0</v>
      </c>
    </row>
    <row r="9115" spans="1:17" x14ac:dyDescent="0.2">
      <c r="A9115" s="121">
        <v>42247</v>
      </c>
      <c r="B9115" t="s">
        <v>406</v>
      </c>
      <c r="C9115" t="s">
        <v>456</v>
      </c>
      <c r="D9115" t="s">
        <v>457</v>
      </c>
      <c r="E9115" t="s">
        <v>458</v>
      </c>
      <c r="F9115" t="s">
        <v>413</v>
      </c>
      <c r="G9115">
        <v>5233</v>
      </c>
      <c r="H9115">
        <v>5233</v>
      </c>
      <c r="I9115">
        <v>4798</v>
      </c>
      <c r="J9115">
        <v>4798</v>
      </c>
      <c r="K9115">
        <v>1357</v>
      </c>
      <c r="L9115">
        <v>7</v>
      </c>
      <c r="M9115">
        <v>3361</v>
      </c>
      <c r="N9115">
        <v>25</v>
      </c>
      <c r="O9115">
        <v>483</v>
      </c>
      <c r="P9115">
        <v>11</v>
      </c>
      <c r="Q9115">
        <v>0</v>
      </c>
    </row>
    <row r="9116" spans="1:17" x14ac:dyDescent="0.2">
      <c r="A9116" s="121">
        <v>42247</v>
      </c>
      <c r="B9116" t="s">
        <v>406</v>
      </c>
      <c r="C9116" t="s">
        <v>456</v>
      </c>
      <c r="D9116" t="s">
        <v>459</v>
      </c>
      <c r="E9116" t="s">
        <v>460</v>
      </c>
      <c r="F9116" t="s">
        <v>413</v>
      </c>
      <c r="G9116">
        <v>1507</v>
      </c>
      <c r="H9116">
        <v>1507</v>
      </c>
      <c r="I9116">
        <v>1490</v>
      </c>
      <c r="J9116">
        <v>1490</v>
      </c>
      <c r="K9116">
        <v>314</v>
      </c>
      <c r="L9116">
        <v>0</v>
      </c>
      <c r="M9116">
        <v>1151</v>
      </c>
      <c r="N9116">
        <v>0</v>
      </c>
      <c r="O9116">
        <v>42</v>
      </c>
      <c r="P9116">
        <v>1</v>
      </c>
      <c r="Q9116">
        <v>0</v>
      </c>
    </row>
    <row r="9117" spans="1:17" x14ac:dyDescent="0.2">
      <c r="A9117" s="121">
        <v>42247</v>
      </c>
      <c r="B9117" t="s">
        <v>406</v>
      </c>
      <c r="C9117" t="s">
        <v>456</v>
      </c>
      <c r="D9117" t="s">
        <v>461</v>
      </c>
      <c r="E9117" t="s">
        <v>462</v>
      </c>
      <c r="F9117" t="s">
        <v>410</v>
      </c>
      <c r="G9117">
        <v>103</v>
      </c>
      <c r="I9117">
        <v>103</v>
      </c>
    </row>
    <row r="9118" spans="1:17" x14ac:dyDescent="0.2">
      <c r="A9118" s="121">
        <v>42247</v>
      </c>
      <c r="B9118" t="s">
        <v>406</v>
      </c>
      <c r="C9118" t="s">
        <v>456</v>
      </c>
      <c r="D9118" t="s">
        <v>463</v>
      </c>
      <c r="E9118" t="s">
        <v>464</v>
      </c>
      <c r="F9118" t="s">
        <v>410</v>
      </c>
      <c r="G9118">
        <v>9</v>
      </c>
      <c r="I9118">
        <v>9</v>
      </c>
    </row>
    <row r="9119" spans="1:17" x14ac:dyDescent="0.2">
      <c r="A9119" s="121">
        <v>42247</v>
      </c>
      <c r="B9119" t="s">
        <v>406</v>
      </c>
      <c r="C9119" t="s">
        <v>456</v>
      </c>
      <c r="D9119" t="s">
        <v>465</v>
      </c>
      <c r="E9119" t="s">
        <v>466</v>
      </c>
      <c r="F9119" t="s">
        <v>410</v>
      </c>
      <c r="G9119">
        <v>36</v>
      </c>
      <c r="I9119">
        <v>36</v>
      </c>
    </row>
    <row r="9120" spans="1:17" x14ac:dyDescent="0.2">
      <c r="A9120" s="121">
        <v>42247</v>
      </c>
      <c r="B9120" t="s">
        <v>406</v>
      </c>
      <c r="C9120" t="s">
        <v>456</v>
      </c>
      <c r="D9120" t="s">
        <v>467</v>
      </c>
      <c r="E9120" t="s">
        <v>468</v>
      </c>
      <c r="F9120" t="s">
        <v>410</v>
      </c>
      <c r="G9120">
        <v>1428</v>
      </c>
      <c r="I9120">
        <v>1425</v>
      </c>
    </row>
    <row r="9121" spans="1:17" x14ac:dyDescent="0.2">
      <c r="A9121" s="121">
        <v>42247</v>
      </c>
      <c r="B9121" t="s">
        <v>406</v>
      </c>
      <c r="C9121" t="s">
        <v>456</v>
      </c>
      <c r="D9121" t="s">
        <v>469</v>
      </c>
      <c r="E9121" t="s">
        <v>470</v>
      </c>
      <c r="F9121" t="s">
        <v>410</v>
      </c>
      <c r="G9121">
        <v>785</v>
      </c>
      <c r="I9121">
        <v>779</v>
      </c>
    </row>
    <row r="9122" spans="1:17" x14ac:dyDescent="0.2">
      <c r="A9122" s="121">
        <v>42247</v>
      </c>
      <c r="B9122" t="s">
        <v>406</v>
      </c>
      <c r="C9122" t="s">
        <v>456</v>
      </c>
      <c r="D9122" t="s">
        <v>471</v>
      </c>
      <c r="E9122" t="s">
        <v>472</v>
      </c>
      <c r="F9122" t="s">
        <v>410</v>
      </c>
      <c r="G9122">
        <v>314</v>
      </c>
      <c r="I9122">
        <v>308</v>
      </c>
    </row>
    <row r="9123" spans="1:17" x14ac:dyDescent="0.2">
      <c r="A9123" s="121">
        <v>42247</v>
      </c>
      <c r="B9123" t="s">
        <v>406</v>
      </c>
      <c r="C9123" t="s">
        <v>456</v>
      </c>
      <c r="D9123" t="s">
        <v>473</v>
      </c>
      <c r="E9123" t="s">
        <v>474</v>
      </c>
      <c r="F9123" t="s">
        <v>410</v>
      </c>
      <c r="G9123">
        <v>220</v>
      </c>
      <c r="I9123">
        <v>220</v>
      </c>
    </row>
    <row r="9124" spans="1:17" x14ac:dyDescent="0.2">
      <c r="A9124" s="121">
        <v>42247</v>
      </c>
      <c r="B9124" t="s">
        <v>406</v>
      </c>
      <c r="C9124" t="s">
        <v>456</v>
      </c>
      <c r="D9124" t="s">
        <v>475</v>
      </c>
      <c r="E9124" t="s">
        <v>476</v>
      </c>
      <c r="F9124" t="s">
        <v>410</v>
      </c>
      <c r="G9124">
        <v>336</v>
      </c>
      <c r="I9124">
        <v>329</v>
      </c>
    </row>
    <row r="9125" spans="1:17" x14ac:dyDescent="0.2">
      <c r="A9125" s="121">
        <v>42247</v>
      </c>
      <c r="B9125" t="s">
        <v>406</v>
      </c>
      <c r="C9125" t="s">
        <v>456</v>
      </c>
      <c r="D9125" t="s">
        <v>477</v>
      </c>
      <c r="E9125" t="s">
        <v>478</v>
      </c>
      <c r="F9125" t="s">
        <v>413</v>
      </c>
      <c r="G9125">
        <v>2274</v>
      </c>
      <c r="H9125">
        <v>2274</v>
      </c>
      <c r="I9125">
        <v>2226</v>
      </c>
      <c r="J9125">
        <v>2226</v>
      </c>
      <c r="K9125">
        <v>400</v>
      </c>
      <c r="L9125">
        <v>1</v>
      </c>
      <c r="M9125">
        <v>1819</v>
      </c>
      <c r="N9125">
        <v>9</v>
      </c>
      <c r="O9125">
        <v>45</v>
      </c>
      <c r="P9125">
        <v>2</v>
      </c>
      <c r="Q9125">
        <v>0</v>
      </c>
    </row>
    <row r="9126" spans="1:17" x14ac:dyDescent="0.2">
      <c r="A9126" s="121">
        <v>42247</v>
      </c>
      <c r="B9126" t="s">
        <v>406</v>
      </c>
      <c r="C9126" t="s">
        <v>456</v>
      </c>
      <c r="D9126" t="s">
        <v>479</v>
      </c>
      <c r="E9126" t="s">
        <v>480</v>
      </c>
      <c r="F9126" t="s">
        <v>410</v>
      </c>
      <c r="G9126">
        <v>44</v>
      </c>
      <c r="I9126">
        <v>44</v>
      </c>
    </row>
    <row r="9127" spans="1:17" x14ac:dyDescent="0.2">
      <c r="A9127" s="121">
        <v>42247</v>
      </c>
      <c r="B9127" t="s">
        <v>406</v>
      </c>
      <c r="C9127" t="s">
        <v>456</v>
      </c>
      <c r="D9127" t="s">
        <v>481</v>
      </c>
      <c r="E9127" t="s">
        <v>482</v>
      </c>
      <c r="F9127" t="s">
        <v>410</v>
      </c>
      <c r="G9127">
        <v>39</v>
      </c>
      <c r="I9127">
        <v>39</v>
      </c>
    </row>
    <row r="9128" spans="1:17" x14ac:dyDescent="0.2">
      <c r="A9128" s="121">
        <v>42247</v>
      </c>
      <c r="B9128" t="s">
        <v>406</v>
      </c>
      <c r="C9128" t="s">
        <v>456</v>
      </c>
      <c r="D9128" t="s">
        <v>483</v>
      </c>
      <c r="E9128" t="s">
        <v>484</v>
      </c>
      <c r="F9128" t="s">
        <v>410</v>
      </c>
      <c r="G9128">
        <v>96</v>
      </c>
      <c r="I9128">
        <v>96</v>
      </c>
    </row>
    <row r="9129" spans="1:17" x14ac:dyDescent="0.2">
      <c r="A9129" s="121">
        <v>42247</v>
      </c>
      <c r="B9129" t="s">
        <v>406</v>
      </c>
      <c r="C9129" t="s">
        <v>456</v>
      </c>
      <c r="D9129" t="s">
        <v>487</v>
      </c>
      <c r="E9129" t="s">
        <v>488</v>
      </c>
      <c r="F9129" t="s">
        <v>410</v>
      </c>
      <c r="G9129">
        <v>40</v>
      </c>
      <c r="I9129">
        <v>40</v>
      </c>
    </row>
    <row r="9130" spans="1:17" x14ac:dyDescent="0.2">
      <c r="A9130" s="121">
        <v>42247</v>
      </c>
      <c r="B9130" t="s">
        <v>406</v>
      </c>
      <c r="C9130" t="s">
        <v>456</v>
      </c>
      <c r="D9130" t="s">
        <v>489</v>
      </c>
      <c r="E9130" t="s">
        <v>490</v>
      </c>
      <c r="F9130" t="s">
        <v>410</v>
      </c>
      <c r="G9130">
        <v>136</v>
      </c>
      <c r="I9130">
        <v>136</v>
      </c>
    </row>
    <row r="9131" spans="1:17" x14ac:dyDescent="0.2">
      <c r="A9131" s="121">
        <v>42247</v>
      </c>
      <c r="B9131" t="s">
        <v>406</v>
      </c>
      <c r="C9131" t="s">
        <v>456</v>
      </c>
      <c r="D9131" t="s">
        <v>628</v>
      </c>
      <c r="E9131" t="s">
        <v>629</v>
      </c>
      <c r="F9131" t="s">
        <v>410</v>
      </c>
      <c r="G9131">
        <v>95</v>
      </c>
      <c r="I9131">
        <v>95</v>
      </c>
    </row>
    <row r="9132" spans="1:17" x14ac:dyDescent="0.2">
      <c r="A9132" s="121">
        <v>42247</v>
      </c>
      <c r="B9132" t="s">
        <v>406</v>
      </c>
      <c r="C9132" t="s">
        <v>491</v>
      </c>
      <c r="D9132" t="s">
        <v>492</v>
      </c>
      <c r="E9132" t="s">
        <v>493</v>
      </c>
      <c r="F9132" t="s">
        <v>410</v>
      </c>
      <c r="G9132">
        <v>1378</v>
      </c>
      <c r="H9132">
        <v>1378</v>
      </c>
      <c r="I9132">
        <v>1354</v>
      </c>
      <c r="J9132">
        <v>1354</v>
      </c>
      <c r="K9132">
        <v>190</v>
      </c>
      <c r="L9132">
        <v>0</v>
      </c>
      <c r="M9132">
        <v>1082</v>
      </c>
      <c r="N9132">
        <v>99</v>
      </c>
      <c r="O9132">
        <v>7</v>
      </c>
      <c r="P9132">
        <v>1</v>
      </c>
      <c r="Q9132">
        <v>0</v>
      </c>
    </row>
    <row r="9133" spans="1:17" x14ac:dyDescent="0.2">
      <c r="A9133" s="121">
        <v>42247</v>
      </c>
      <c r="B9133" t="s">
        <v>406</v>
      </c>
      <c r="C9133" t="s">
        <v>491</v>
      </c>
      <c r="D9133" t="s">
        <v>494</v>
      </c>
      <c r="E9133" t="s">
        <v>495</v>
      </c>
      <c r="F9133" t="s">
        <v>413</v>
      </c>
      <c r="G9133">
        <v>2750</v>
      </c>
      <c r="H9133">
        <v>2750</v>
      </c>
      <c r="I9133">
        <v>2590</v>
      </c>
      <c r="J9133">
        <v>2590</v>
      </c>
      <c r="K9133">
        <v>758</v>
      </c>
      <c r="L9133">
        <v>8</v>
      </c>
      <c r="M9133">
        <v>1732</v>
      </c>
      <c r="N9133">
        <v>39</v>
      </c>
      <c r="O9133">
        <v>213</v>
      </c>
      <c r="P9133">
        <v>2</v>
      </c>
      <c r="Q9133">
        <v>0</v>
      </c>
    </row>
    <row r="9134" spans="1:17" x14ac:dyDescent="0.2">
      <c r="A9134" s="121">
        <v>42247</v>
      </c>
      <c r="B9134" t="s">
        <v>406</v>
      </c>
      <c r="C9134" t="s">
        <v>491</v>
      </c>
      <c r="D9134" t="s">
        <v>496</v>
      </c>
      <c r="E9134" t="s">
        <v>497</v>
      </c>
      <c r="F9134" t="s">
        <v>413</v>
      </c>
      <c r="G9134">
        <v>6075</v>
      </c>
      <c r="H9134">
        <v>6075</v>
      </c>
      <c r="I9134">
        <v>5456</v>
      </c>
      <c r="J9134">
        <v>5456</v>
      </c>
      <c r="K9134">
        <v>1951</v>
      </c>
      <c r="L9134">
        <v>29</v>
      </c>
      <c r="M9134">
        <v>3798</v>
      </c>
      <c r="N9134">
        <v>128</v>
      </c>
      <c r="O9134">
        <v>169</v>
      </c>
      <c r="P9134">
        <v>20</v>
      </c>
      <c r="Q9134">
        <v>0</v>
      </c>
    </row>
    <row r="9135" spans="1:17" x14ac:dyDescent="0.2">
      <c r="A9135" s="121">
        <v>42247</v>
      </c>
      <c r="B9135" t="s">
        <v>406</v>
      </c>
      <c r="C9135" t="s">
        <v>491</v>
      </c>
      <c r="D9135" t="s">
        <v>498</v>
      </c>
      <c r="E9135" t="s">
        <v>499</v>
      </c>
      <c r="F9135" t="s">
        <v>413</v>
      </c>
      <c r="G9135">
        <v>8071</v>
      </c>
      <c r="H9135">
        <v>8071</v>
      </c>
      <c r="I9135">
        <v>7358</v>
      </c>
      <c r="J9135">
        <v>7358</v>
      </c>
      <c r="K9135">
        <v>2647</v>
      </c>
      <c r="L9135">
        <v>16</v>
      </c>
      <c r="M9135">
        <v>4885</v>
      </c>
      <c r="N9135">
        <v>139</v>
      </c>
      <c r="O9135">
        <v>384</v>
      </c>
      <c r="P9135">
        <v>10</v>
      </c>
      <c r="Q9135">
        <v>0</v>
      </c>
    </row>
    <row r="9136" spans="1:17" x14ac:dyDescent="0.2">
      <c r="A9136" s="121">
        <v>42247</v>
      </c>
      <c r="B9136" t="s">
        <v>406</v>
      </c>
      <c r="C9136" t="s">
        <v>491</v>
      </c>
      <c r="D9136" t="s">
        <v>500</v>
      </c>
      <c r="E9136" t="s">
        <v>620</v>
      </c>
      <c r="F9136" t="s">
        <v>410</v>
      </c>
      <c r="G9136">
        <v>1762</v>
      </c>
      <c r="H9136">
        <v>1762</v>
      </c>
      <c r="I9136">
        <v>1761</v>
      </c>
      <c r="J9136">
        <v>1761</v>
      </c>
      <c r="K9136">
        <v>0</v>
      </c>
      <c r="L9136">
        <v>0</v>
      </c>
      <c r="M9136">
        <v>1603</v>
      </c>
      <c r="N9136">
        <v>135</v>
      </c>
      <c r="O9136">
        <v>24</v>
      </c>
      <c r="P9136">
        <v>0</v>
      </c>
      <c r="Q9136">
        <v>0</v>
      </c>
    </row>
    <row r="9137" spans="1:17" x14ac:dyDescent="0.2">
      <c r="A9137" s="121">
        <v>42247</v>
      </c>
      <c r="B9137" t="s">
        <v>406</v>
      </c>
      <c r="C9137" t="s">
        <v>491</v>
      </c>
      <c r="D9137" t="s">
        <v>502</v>
      </c>
      <c r="E9137" t="s">
        <v>615</v>
      </c>
      <c r="F9137" t="s">
        <v>410</v>
      </c>
      <c r="G9137">
        <v>2893</v>
      </c>
      <c r="H9137">
        <v>2893</v>
      </c>
      <c r="I9137">
        <v>2892</v>
      </c>
      <c r="J9137">
        <v>2892</v>
      </c>
      <c r="K9137">
        <v>4</v>
      </c>
      <c r="L9137">
        <v>1</v>
      </c>
      <c r="M9137">
        <v>2663</v>
      </c>
      <c r="N9137">
        <v>207</v>
      </c>
      <c r="O9137">
        <v>18</v>
      </c>
      <c r="P9137">
        <v>0</v>
      </c>
      <c r="Q9137">
        <v>0</v>
      </c>
    </row>
    <row r="9138" spans="1:17" x14ac:dyDescent="0.2">
      <c r="A9138" s="121">
        <v>42247</v>
      </c>
      <c r="B9138" t="s">
        <v>406</v>
      </c>
      <c r="C9138" t="s">
        <v>491</v>
      </c>
      <c r="D9138" t="s">
        <v>504</v>
      </c>
      <c r="E9138" t="s">
        <v>630</v>
      </c>
      <c r="F9138" t="s">
        <v>413</v>
      </c>
      <c r="G9138">
        <v>7649</v>
      </c>
      <c r="H9138">
        <v>7649</v>
      </c>
      <c r="I9138">
        <v>7067</v>
      </c>
      <c r="J9138">
        <v>7067</v>
      </c>
      <c r="K9138">
        <v>2454</v>
      </c>
      <c r="L9138">
        <v>27</v>
      </c>
      <c r="M9138">
        <v>4869</v>
      </c>
      <c r="N9138">
        <v>150</v>
      </c>
      <c r="O9138">
        <v>149</v>
      </c>
      <c r="P9138">
        <v>14</v>
      </c>
      <c r="Q9138">
        <v>1</v>
      </c>
    </row>
    <row r="9139" spans="1:17" x14ac:dyDescent="0.2">
      <c r="A9139" s="121">
        <v>42247</v>
      </c>
      <c r="B9139" t="s">
        <v>406</v>
      </c>
      <c r="C9139" t="s">
        <v>491</v>
      </c>
      <c r="D9139" t="s">
        <v>506</v>
      </c>
      <c r="E9139" t="s">
        <v>507</v>
      </c>
      <c r="F9139" t="s">
        <v>413</v>
      </c>
      <c r="G9139">
        <v>4198</v>
      </c>
      <c r="H9139">
        <v>4198</v>
      </c>
      <c r="I9139">
        <v>4173</v>
      </c>
      <c r="J9139">
        <v>4173</v>
      </c>
      <c r="K9139">
        <v>801</v>
      </c>
      <c r="L9139">
        <v>1</v>
      </c>
      <c r="M9139">
        <v>3387</v>
      </c>
      <c r="N9139">
        <v>2</v>
      </c>
      <c r="O9139">
        <v>7</v>
      </c>
      <c r="P9139">
        <v>0</v>
      </c>
      <c r="Q9139">
        <v>0</v>
      </c>
    </row>
    <row r="9140" spans="1:17" x14ac:dyDescent="0.2">
      <c r="A9140" s="121">
        <v>42247</v>
      </c>
      <c r="B9140" t="s">
        <v>406</v>
      </c>
      <c r="C9140" t="s">
        <v>491</v>
      </c>
      <c r="D9140" t="s">
        <v>508</v>
      </c>
      <c r="E9140" t="s">
        <v>631</v>
      </c>
      <c r="F9140" t="s">
        <v>410</v>
      </c>
      <c r="G9140">
        <v>1167</v>
      </c>
      <c r="H9140">
        <v>1167</v>
      </c>
      <c r="I9140">
        <v>1165</v>
      </c>
      <c r="J9140">
        <v>1165</v>
      </c>
      <c r="K9140">
        <v>0</v>
      </c>
      <c r="L9140">
        <v>0</v>
      </c>
      <c r="M9140">
        <v>1025</v>
      </c>
      <c r="N9140">
        <v>137</v>
      </c>
      <c r="O9140">
        <v>5</v>
      </c>
      <c r="P9140">
        <v>0</v>
      </c>
      <c r="Q9140">
        <v>0</v>
      </c>
    </row>
    <row r="9141" spans="1:17" x14ac:dyDescent="0.2">
      <c r="A9141" s="121">
        <v>42247</v>
      </c>
      <c r="B9141" t="s">
        <v>406</v>
      </c>
      <c r="C9141" t="s">
        <v>510</v>
      </c>
      <c r="D9141" t="s">
        <v>513</v>
      </c>
      <c r="E9141" t="s">
        <v>514</v>
      </c>
      <c r="F9141" t="s">
        <v>410</v>
      </c>
      <c r="G9141">
        <v>659</v>
      </c>
      <c r="I9141">
        <v>658</v>
      </c>
    </row>
    <row r="9142" spans="1:17" x14ac:dyDescent="0.2">
      <c r="A9142" s="121">
        <v>42247</v>
      </c>
      <c r="B9142" t="s">
        <v>406</v>
      </c>
      <c r="C9142" t="s">
        <v>510</v>
      </c>
      <c r="D9142" t="s">
        <v>515</v>
      </c>
      <c r="E9142" t="s">
        <v>516</v>
      </c>
      <c r="F9142" t="s">
        <v>410</v>
      </c>
      <c r="G9142">
        <v>119</v>
      </c>
      <c r="I9142">
        <v>119</v>
      </c>
    </row>
    <row r="9143" spans="1:17" x14ac:dyDescent="0.2">
      <c r="A9143" s="121">
        <v>42247</v>
      </c>
      <c r="B9143" t="s">
        <v>406</v>
      </c>
      <c r="C9143" t="s">
        <v>510</v>
      </c>
      <c r="D9143" t="s">
        <v>519</v>
      </c>
      <c r="E9143" t="s">
        <v>520</v>
      </c>
      <c r="F9143" t="s">
        <v>410</v>
      </c>
      <c r="G9143">
        <v>433</v>
      </c>
      <c r="I9143">
        <v>430</v>
      </c>
    </row>
    <row r="9144" spans="1:17" x14ac:dyDescent="0.2">
      <c r="A9144" s="121">
        <v>42247</v>
      </c>
      <c r="B9144" t="s">
        <v>406</v>
      </c>
      <c r="C9144" t="s">
        <v>510</v>
      </c>
      <c r="D9144" t="s">
        <v>523</v>
      </c>
      <c r="E9144" t="s">
        <v>524</v>
      </c>
      <c r="F9144" t="s">
        <v>413</v>
      </c>
      <c r="G9144">
        <v>658</v>
      </c>
      <c r="H9144">
        <v>658</v>
      </c>
      <c r="I9144">
        <v>651</v>
      </c>
      <c r="J9144">
        <v>651</v>
      </c>
      <c r="K9144">
        <v>141</v>
      </c>
      <c r="L9144">
        <v>0</v>
      </c>
      <c r="M9144">
        <v>504</v>
      </c>
      <c r="N9144">
        <v>13</v>
      </c>
      <c r="O9144">
        <v>0</v>
      </c>
      <c r="P9144">
        <v>0</v>
      </c>
      <c r="Q9144">
        <v>0</v>
      </c>
    </row>
    <row r="9145" spans="1:17" x14ac:dyDescent="0.2">
      <c r="A9145" s="121">
        <v>42247</v>
      </c>
      <c r="B9145" t="s">
        <v>406</v>
      </c>
      <c r="C9145" t="s">
        <v>510</v>
      </c>
      <c r="D9145" t="s">
        <v>525</v>
      </c>
      <c r="E9145" t="s">
        <v>526</v>
      </c>
      <c r="F9145" t="s">
        <v>410</v>
      </c>
      <c r="G9145">
        <v>499</v>
      </c>
      <c r="I9145">
        <v>492</v>
      </c>
    </row>
    <row r="9146" spans="1:17" x14ac:dyDescent="0.2">
      <c r="A9146" s="121">
        <v>42247</v>
      </c>
      <c r="B9146" t="s">
        <v>406</v>
      </c>
      <c r="C9146" t="s">
        <v>510</v>
      </c>
      <c r="D9146" t="s">
        <v>527</v>
      </c>
      <c r="E9146" t="s">
        <v>528</v>
      </c>
      <c r="F9146" t="s">
        <v>410</v>
      </c>
      <c r="G9146">
        <v>241</v>
      </c>
      <c r="I9146">
        <v>241</v>
      </c>
    </row>
    <row r="9147" spans="1:17" x14ac:dyDescent="0.2">
      <c r="A9147" s="121">
        <v>42247</v>
      </c>
      <c r="B9147" t="s">
        <v>406</v>
      </c>
      <c r="C9147" t="s">
        <v>510</v>
      </c>
      <c r="D9147" t="s">
        <v>529</v>
      </c>
      <c r="E9147" t="s">
        <v>530</v>
      </c>
      <c r="F9147" t="s">
        <v>413</v>
      </c>
      <c r="G9147">
        <v>510</v>
      </c>
      <c r="H9147">
        <v>510</v>
      </c>
      <c r="I9147">
        <v>490</v>
      </c>
      <c r="J9147">
        <v>490</v>
      </c>
      <c r="K9147">
        <v>171</v>
      </c>
      <c r="L9147">
        <v>1</v>
      </c>
      <c r="M9147">
        <v>338</v>
      </c>
      <c r="N9147">
        <v>0</v>
      </c>
      <c r="O9147">
        <v>0</v>
      </c>
      <c r="P9147">
        <v>2</v>
      </c>
      <c r="Q9147">
        <v>0</v>
      </c>
    </row>
    <row r="9148" spans="1:17" x14ac:dyDescent="0.2">
      <c r="A9148" s="121">
        <v>42247</v>
      </c>
      <c r="B9148" t="s">
        <v>406</v>
      </c>
      <c r="C9148" t="s">
        <v>510</v>
      </c>
      <c r="D9148" t="s">
        <v>531</v>
      </c>
      <c r="E9148" t="s">
        <v>532</v>
      </c>
      <c r="F9148" t="s">
        <v>410</v>
      </c>
      <c r="G9148">
        <v>27</v>
      </c>
      <c r="I9148">
        <v>27</v>
      </c>
    </row>
    <row r="9149" spans="1:17" x14ac:dyDescent="0.2">
      <c r="A9149" s="121">
        <v>42247</v>
      </c>
      <c r="B9149" t="s">
        <v>406</v>
      </c>
      <c r="C9149" t="s">
        <v>510</v>
      </c>
      <c r="D9149" t="s">
        <v>533</v>
      </c>
      <c r="E9149" t="s">
        <v>534</v>
      </c>
      <c r="F9149" t="s">
        <v>413</v>
      </c>
      <c r="G9149">
        <v>3181</v>
      </c>
      <c r="H9149">
        <v>3181</v>
      </c>
      <c r="I9149">
        <v>2994</v>
      </c>
      <c r="J9149">
        <v>2994</v>
      </c>
      <c r="K9149">
        <v>802</v>
      </c>
      <c r="L9149">
        <v>3</v>
      </c>
      <c r="M9149">
        <v>2364</v>
      </c>
      <c r="N9149">
        <v>12</v>
      </c>
      <c r="O9149">
        <v>0</v>
      </c>
      <c r="P9149">
        <v>10</v>
      </c>
      <c r="Q9149">
        <v>2</v>
      </c>
    </row>
    <row r="9150" spans="1:17" x14ac:dyDescent="0.2">
      <c r="A9150" s="121">
        <v>42247</v>
      </c>
      <c r="B9150" t="s">
        <v>406</v>
      </c>
      <c r="C9150" t="s">
        <v>510</v>
      </c>
      <c r="D9150" t="s">
        <v>535</v>
      </c>
      <c r="E9150" t="s">
        <v>536</v>
      </c>
      <c r="F9150" t="s">
        <v>410</v>
      </c>
      <c r="G9150">
        <v>477</v>
      </c>
      <c r="I9150">
        <v>477</v>
      </c>
    </row>
    <row r="9151" spans="1:17" x14ac:dyDescent="0.2">
      <c r="A9151" s="121">
        <v>42247</v>
      </c>
      <c r="B9151" t="s">
        <v>406</v>
      </c>
      <c r="C9151" t="s">
        <v>510</v>
      </c>
      <c r="D9151" t="s">
        <v>537</v>
      </c>
      <c r="E9151" t="s">
        <v>538</v>
      </c>
      <c r="F9151" t="s">
        <v>410</v>
      </c>
      <c r="G9151">
        <v>111</v>
      </c>
      <c r="I9151">
        <v>111</v>
      </c>
    </row>
    <row r="9152" spans="1:17" x14ac:dyDescent="0.2">
      <c r="A9152" s="121">
        <v>42247</v>
      </c>
      <c r="B9152" t="s">
        <v>406</v>
      </c>
      <c r="C9152" t="s">
        <v>510</v>
      </c>
      <c r="D9152" t="s">
        <v>539</v>
      </c>
      <c r="E9152" t="s">
        <v>540</v>
      </c>
      <c r="F9152" t="s">
        <v>413</v>
      </c>
      <c r="G9152">
        <v>927</v>
      </c>
      <c r="H9152">
        <v>927</v>
      </c>
      <c r="I9152">
        <v>894</v>
      </c>
      <c r="J9152">
        <v>894</v>
      </c>
      <c r="K9152">
        <v>116</v>
      </c>
      <c r="L9152">
        <v>0</v>
      </c>
      <c r="M9152">
        <v>803</v>
      </c>
      <c r="N9152">
        <v>8</v>
      </c>
      <c r="O9152">
        <v>0</v>
      </c>
      <c r="P9152">
        <v>1</v>
      </c>
      <c r="Q9152">
        <v>0</v>
      </c>
    </row>
    <row r="9153" spans="1:17" x14ac:dyDescent="0.2">
      <c r="A9153" s="121">
        <v>42247</v>
      </c>
      <c r="B9153" t="s">
        <v>406</v>
      </c>
      <c r="C9153" t="s">
        <v>510</v>
      </c>
      <c r="D9153" t="s">
        <v>541</v>
      </c>
      <c r="E9153" t="s">
        <v>542</v>
      </c>
      <c r="F9153" t="s">
        <v>410</v>
      </c>
      <c r="G9153">
        <v>492</v>
      </c>
      <c r="I9153">
        <v>492</v>
      </c>
    </row>
    <row r="9154" spans="1:17" x14ac:dyDescent="0.2">
      <c r="A9154" s="121">
        <v>42247</v>
      </c>
      <c r="B9154" t="s">
        <v>406</v>
      </c>
      <c r="C9154" t="s">
        <v>510</v>
      </c>
      <c r="D9154" t="s">
        <v>543</v>
      </c>
      <c r="E9154" t="s">
        <v>544</v>
      </c>
      <c r="F9154" t="s">
        <v>410</v>
      </c>
      <c r="G9154">
        <v>273</v>
      </c>
      <c r="I9154">
        <v>273</v>
      </c>
    </row>
    <row r="9155" spans="1:17" x14ac:dyDescent="0.2">
      <c r="A9155" s="121">
        <v>42247</v>
      </c>
      <c r="B9155" t="s">
        <v>406</v>
      </c>
      <c r="C9155" t="s">
        <v>510</v>
      </c>
      <c r="D9155" t="s">
        <v>545</v>
      </c>
      <c r="E9155" t="s">
        <v>546</v>
      </c>
      <c r="F9155" t="s">
        <v>410</v>
      </c>
      <c r="G9155">
        <v>181</v>
      </c>
      <c r="I9155">
        <v>181</v>
      </c>
    </row>
    <row r="9156" spans="1:17" x14ac:dyDescent="0.2">
      <c r="A9156" s="121">
        <v>42247</v>
      </c>
      <c r="B9156" t="s">
        <v>406</v>
      </c>
      <c r="C9156" t="s">
        <v>510</v>
      </c>
      <c r="D9156" t="s">
        <v>547</v>
      </c>
      <c r="E9156" t="s">
        <v>548</v>
      </c>
      <c r="F9156" t="s">
        <v>410</v>
      </c>
      <c r="G9156">
        <v>159</v>
      </c>
      <c r="I9156">
        <v>159</v>
      </c>
    </row>
    <row r="9157" spans="1:17" x14ac:dyDescent="0.2">
      <c r="A9157" s="121">
        <v>42247</v>
      </c>
      <c r="B9157" t="s">
        <v>406</v>
      </c>
      <c r="C9157" t="s">
        <v>510</v>
      </c>
      <c r="D9157" t="s">
        <v>616</v>
      </c>
      <c r="E9157" t="s">
        <v>617</v>
      </c>
      <c r="F9157" t="s">
        <v>410</v>
      </c>
      <c r="G9157">
        <v>413</v>
      </c>
      <c r="I9157">
        <v>398</v>
      </c>
    </row>
    <row r="9158" spans="1:17" x14ac:dyDescent="0.2">
      <c r="A9158" s="121">
        <v>42247</v>
      </c>
      <c r="B9158" t="s">
        <v>406</v>
      </c>
      <c r="C9158" t="s">
        <v>510</v>
      </c>
      <c r="D9158" t="s">
        <v>549</v>
      </c>
      <c r="E9158" t="s">
        <v>550</v>
      </c>
      <c r="F9158" t="s">
        <v>410</v>
      </c>
      <c r="G9158">
        <v>204</v>
      </c>
      <c r="I9158">
        <v>204</v>
      </c>
    </row>
    <row r="9159" spans="1:17" x14ac:dyDescent="0.2">
      <c r="A9159" s="121">
        <v>42247</v>
      </c>
      <c r="B9159" t="s">
        <v>406</v>
      </c>
      <c r="C9159" t="s">
        <v>510</v>
      </c>
      <c r="D9159" t="s">
        <v>625</v>
      </c>
      <c r="E9159" t="s">
        <v>626</v>
      </c>
      <c r="F9159" t="s">
        <v>410</v>
      </c>
      <c r="G9159">
        <v>124</v>
      </c>
      <c r="I9159">
        <v>121</v>
      </c>
    </row>
    <row r="9160" spans="1:17" x14ac:dyDescent="0.2">
      <c r="A9160" s="121">
        <v>42247</v>
      </c>
      <c r="B9160" t="s">
        <v>406</v>
      </c>
      <c r="C9160" t="s">
        <v>551</v>
      </c>
      <c r="D9160" t="s">
        <v>552</v>
      </c>
      <c r="E9160" t="s">
        <v>553</v>
      </c>
      <c r="F9160" t="s">
        <v>413</v>
      </c>
      <c r="G9160">
        <v>5877</v>
      </c>
      <c r="H9160">
        <v>5877</v>
      </c>
      <c r="I9160">
        <v>5567</v>
      </c>
      <c r="J9160">
        <v>5567</v>
      </c>
      <c r="K9160">
        <v>2009</v>
      </c>
      <c r="L9160">
        <v>9</v>
      </c>
      <c r="M9160">
        <v>3700</v>
      </c>
      <c r="N9160">
        <v>74</v>
      </c>
      <c r="O9160">
        <v>85</v>
      </c>
      <c r="P9160">
        <v>13</v>
      </c>
      <c r="Q9160">
        <v>1</v>
      </c>
    </row>
    <row r="9161" spans="1:17" x14ac:dyDescent="0.2">
      <c r="A9161" s="121">
        <v>42247</v>
      </c>
      <c r="B9161" t="s">
        <v>406</v>
      </c>
      <c r="C9161" t="s">
        <v>551</v>
      </c>
      <c r="D9161" t="s">
        <v>554</v>
      </c>
      <c r="E9161" t="s">
        <v>555</v>
      </c>
      <c r="F9161" t="s">
        <v>410</v>
      </c>
      <c r="G9161">
        <v>62</v>
      </c>
      <c r="I9161">
        <v>62</v>
      </c>
    </row>
    <row r="9162" spans="1:17" x14ac:dyDescent="0.2">
      <c r="A9162" s="121">
        <v>42247</v>
      </c>
      <c r="B9162" t="s">
        <v>406</v>
      </c>
      <c r="C9162" t="s">
        <v>551</v>
      </c>
      <c r="D9162" t="s">
        <v>556</v>
      </c>
      <c r="E9162" t="s">
        <v>557</v>
      </c>
      <c r="F9162" t="s">
        <v>410</v>
      </c>
      <c r="G9162">
        <v>91</v>
      </c>
      <c r="I9162">
        <v>91</v>
      </c>
    </row>
    <row r="9163" spans="1:17" x14ac:dyDescent="0.2">
      <c r="A9163" s="121">
        <v>42247</v>
      </c>
      <c r="B9163" t="s">
        <v>406</v>
      </c>
      <c r="C9163" t="s">
        <v>551</v>
      </c>
      <c r="D9163" t="s">
        <v>558</v>
      </c>
      <c r="E9163" t="s">
        <v>559</v>
      </c>
      <c r="F9163" t="s">
        <v>413</v>
      </c>
      <c r="G9163">
        <v>5382</v>
      </c>
      <c r="H9163">
        <v>5382</v>
      </c>
      <c r="I9163">
        <v>4985</v>
      </c>
      <c r="J9163">
        <v>4985</v>
      </c>
      <c r="K9163">
        <v>1510</v>
      </c>
      <c r="L9163">
        <v>5</v>
      </c>
      <c r="M9163">
        <v>3779</v>
      </c>
      <c r="N9163">
        <v>73</v>
      </c>
      <c r="O9163">
        <v>15</v>
      </c>
      <c r="P9163">
        <v>51</v>
      </c>
      <c r="Q9163">
        <v>5</v>
      </c>
    </row>
    <row r="9164" spans="1:17" x14ac:dyDescent="0.2">
      <c r="A9164" s="121">
        <v>42247</v>
      </c>
      <c r="B9164" t="s">
        <v>406</v>
      </c>
      <c r="C9164" t="s">
        <v>551</v>
      </c>
      <c r="D9164" t="s">
        <v>560</v>
      </c>
      <c r="E9164" t="s">
        <v>561</v>
      </c>
      <c r="F9164" t="s">
        <v>413</v>
      </c>
      <c r="G9164">
        <v>5570</v>
      </c>
      <c r="H9164">
        <v>5570</v>
      </c>
      <c r="I9164">
        <v>4955</v>
      </c>
      <c r="J9164">
        <v>4955</v>
      </c>
      <c r="K9164">
        <v>1172</v>
      </c>
      <c r="L9164">
        <v>4</v>
      </c>
      <c r="M9164">
        <v>4217</v>
      </c>
      <c r="N9164">
        <v>62</v>
      </c>
      <c r="O9164">
        <v>115</v>
      </c>
      <c r="P9164">
        <v>83</v>
      </c>
      <c r="Q9164">
        <v>3</v>
      </c>
    </row>
    <row r="9165" spans="1:17" x14ac:dyDescent="0.2">
      <c r="A9165" s="121">
        <v>42247</v>
      </c>
      <c r="B9165" t="s">
        <v>406</v>
      </c>
      <c r="C9165" t="s">
        <v>562</v>
      </c>
      <c r="D9165" t="s">
        <v>605</v>
      </c>
      <c r="E9165" t="s">
        <v>606</v>
      </c>
      <c r="F9165" t="s">
        <v>410</v>
      </c>
      <c r="G9165">
        <v>175</v>
      </c>
      <c r="I9165">
        <v>175</v>
      </c>
    </row>
    <row r="9166" spans="1:17" x14ac:dyDescent="0.2">
      <c r="A9166" s="121">
        <v>42247</v>
      </c>
      <c r="B9166" t="s">
        <v>406</v>
      </c>
      <c r="C9166" t="s">
        <v>562</v>
      </c>
      <c r="D9166" t="s">
        <v>563</v>
      </c>
      <c r="E9166" t="s">
        <v>564</v>
      </c>
      <c r="F9166" t="s">
        <v>410</v>
      </c>
      <c r="G9166">
        <v>3790</v>
      </c>
      <c r="H9166">
        <v>3790</v>
      </c>
      <c r="I9166">
        <v>3434</v>
      </c>
      <c r="J9166">
        <v>3434</v>
      </c>
      <c r="K9166">
        <v>1139</v>
      </c>
      <c r="L9166">
        <v>0</v>
      </c>
      <c r="M9166">
        <v>2621</v>
      </c>
      <c r="N9166">
        <v>30</v>
      </c>
      <c r="O9166">
        <v>0</v>
      </c>
      <c r="P9166">
        <v>66</v>
      </c>
      <c r="Q9166">
        <v>16</v>
      </c>
    </row>
    <row r="9167" spans="1:17" x14ac:dyDescent="0.2">
      <c r="A9167" s="121">
        <v>42247</v>
      </c>
      <c r="B9167" t="s">
        <v>406</v>
      </c>
      <c r="C9167" t="s">
        <v>562</v>
      </c>
      <c r="D9167" t="s">
        <v>565</v>
      </c>
      <c r="E9167" t="s">
        <v>566</v>
      </c>
      <c r="F9167" t="s">
        <v>413</v>
      </c>
      <c r="G9167">
        <v>4555</v>
      </c>
      <c r="H9167">
        <v>4555</v>
      </c>
      <c r="I9167">
        <v>4340</v>
      </c>
      <c r="J9167">
        <v>4340</v>
      </c>
      <c r="K9167">
        <v>946</v>
      </c>
      <c r="L9167">
        <v>1</v>
      </c>
      <c r="M9167">
        <v>3554</v>
      </c>
      <c r="N9167">
        <v>54</v>
      </c>
      <c r="O9167">
        <v>0</v>
      </c>
      <c r="P9167">
        <v>6</v>
      </c>
      <c r="Q9167">
        <v>1</v>
      </c>
    </row>
    <row r="9168" spans="1:17" x14ac:dyDescent="0.2">
      <c r="A9168" s="121">
        <v>42247</v>
      </c>
      <c r="B9168" t="s">
        <v>406</v>
      </c>
      <c r="C9168" t="s">
        <v>562</v>
      </c>
      <c r="D9168" t="s">
        <v>567</v>
      </c>
      <c r="E9168" t="s">
        <v>568</v>
      </c>
      <c r="F9168" t="s">
        <v>413</v>
      </c>
      <c r="G9168">
        <v>10644</v>
      </c>
      <c r="H9168">
        <v>10644</v>
      </c>
      <c r="I9168">
        <v>10001</v>
      </c>
      <c r="J9168">
        <v>10001</v>
      </c>
      <c r="K9168">
        <v>3027</v>
      </c>
      <c r="L9168">
        <v>21</v>
      </c>
      <c r="M9168">
        <v>7394</v>
      </c>
      <c r="N9168">
        <v>202</v>
      </c>
      <c r="O9168">
        <v>0</v>
      </c>
      <c r="P9168">
        <v>62</v>
      </c>
      <c r="Q9168">
        <v>1</v>
      </c>
    </row>
    <row r="9169" spans="1:17" x14ac:dyDescent="0.2">
      <c r="A9169" s="121">
        <v>42247</v>
      </c>
      <c r="B9169" t="s">
        <v>406</v>
      </c>
      <c r="C9169" t="s">
        <v>562</v>
      </c>
      <c r="D9169" t="s">
        <v>569</v>
      </c>
      <c r="E9169" t="s">
        <v>570</v>
      </c>
      <c r="F9169" t="s">
        <v>413</v>
      </c>
      <c r="G9169">
        <v>3542</v>
      </c>
      <c r="H9169">
        <v>3542</v>
      </c>
      <c r="I9169">
        <v>3507</v>
      </c>
      <c r="J9169">
        <v>3507</v>
      </c>
      <c r="K9169">
        <v>460</v>
      </c>
      <c r="L9169">
        <v>0</v>
      </c>
      <c r="M9169">
        <v>3080</v>
      </c>
      <c r="N9169">
        <v>2</v>
      </c>
      <c r="O9169">
        <v>0</v>
      </c>
      <c r="P9169">
        <v>0</v>
      </c>
      <c r="Q9169">
        <v>0</v>
      </c>
    </row>
    <row r="9170" spans="1:17" x14ac:dyDescent="0.2">
      <c r="A9170" s="121">
        <v>42247</v>
      </c>
      <c r="B9170" t="s">
        <v>406</v>
      </c>
      <c r="C9170" t="s">
        <v>571</v>
      </c>
      <c r="D9170" t="s">
        <v>572</v>
      </c>
      <c r="E9170" t="s">
        <v>627</v>
      </c>
      <c r="F9170" t="s">
        <v>413</v>
      </c>
      <c r="G9170">
        <v>499</v>
      </c>
      <c r="H9170">
        <v>499</v>
      </c>
      <c r="I9170">
        <v>492</v>
      </c>
      <c r="J9170">
        <v>492</v>
      </c>
      <c r="K9170">
        <v>134</v>
      </c>
      <c r="L9170">
        <v>1</v>
      </c>
      <c r="M9170">
        <v>356</v>
      </c>
      <c r="N9170">
        <v>1</v>
      </c>
      <c r="O9170">
        <v>7</v>
      </c>
      <c r="P9170">
        <v>0</v>
      </c>
      <c r="Q9170">
        <v>0</v>
      </c>
    </row>
    <row r="9171" spans="1:17" x14ac:dyDescent="0.2">
      <c r="A9171" s="121">
        <v>42247</v>
      </c>
      <c r="B9171" t="s">
        <v>406</v>
      </c>
      <c r="C9171" t="s">
        <v>574</v>
      </c>
      <c r="D9171" t="s">
        <v>575</v>
      </c>
      <c r="E9171" t="s">
        <v>576</v>
      </c>
      <c r="F9171" t="s">
        <v>413</v>
      </c>
      <c r="G9171">
        <v>680</v>
      </c>
      <c r="H9171">
        <v>680</v>
      </c>
      <c r="I9171">
        <v>638</v>
      </c>
      <c r="J9171">
        <v>638</v>
      </c>
      <c r="K9171">
        <v>158</v>
      </c>
      <c r="L9171">
        <v>3</v>
      </c>
      <c r="M9171">
        <v>487</v>
      </c>
      <c r="N9171">
        <v>5</v>
      </c>
      <c r="O9171">
        <v>27</v>
      </c>
      <c r="P9171">
        <v>3</v>
      </c>
      <c r="Q9171">
        <v>0</v>
      </c>
    </row>
    <row r="9172" spans="1:17" x14ac:dyDescent="0.2">
      <c r="A9172" s="121">
        <v>42247</v>
      </c>
      <c r="B9172" t="s">
        <v>406</v>
      </c>
      <c r="C9172" t="s">
        <v>577</v>
      </c>
      <c r="D9172" t="s">
        <v>578</v>
      </c>
      <c r="E9172" t="s">
        <v>579</v>
      </c>
      <c r="F9172" t="s">
        <v>413</v>
      </c>
      <c r="G9172">
        <v>4178</v>
      </c>
      <c r="H9172">
        <v>4178</v>
      </c>
      <c r="I9172">
        <v>4141</v>
      </c>
      <c r="J9172">
        <v>4141</v>
      </c>
      <c r="K9172">
        <v>1161</v>
      </c>
      <c r="L9172">
        <v>3</v>
      </c>
      <c r="M9172">
        <v>2738</v>
      </c>
      <c r="N9172">
        <v>255</v>
      </c>
      <c r="O9172">
        <v>21</v>
      </c>
      <c r="P9172">
        <v>0</v>
      </c>
      <c r="Q9172">
        <v>0</v>
      </c>
    </row>
    <row r="9173" spans="1:17" x14ac:dyDescent="0.2">
      <c r="A9173" s="121">
        <v>42247</v>
      </c>
      <c r="B9173" t="s">
        <v>406</v>
      </c>
      <c r="C9173" t="s">
        <v>577</v>
      </c>
      <c r="D9173" t="s">
        <v>580</v>
      </c>
      <c r="E9173" t="s">
        <v>581</v>
      </c>
      <c r="F9173" t="s">
        <v>413</v>
      </c>
      <c r="G9173">
        <v>2254</v>
      </c>
      <c r="H9173">
        <v>2254</v>
      </c>
      <c r="I9173">
        <v>2215</v>
      </c>
      <c r="J9173">
        <v>2215</v>
      </c>
      <c r="K9173">
        <v>364</v>
      </c>
      <c r="L9173">
        <v>2</v>
      </c>
      <c r="M9173">
        <v>1609</v>
      </c>
      <c r="N9173">
        <v>273</v>
      </c>
      <c r="O9173">
        <v>6</v>
      </c>
      <c r="P9173">
        <v>0</v>
      </c>
      <c r="Q9173">
        <v>0</v>
      </c>
    </row>
    <row r="9174" spans="1:17" x14ac:dyDescent="0.2">
      <c r="A9174" s="121">
        <v>42247</v>
      </c>
      <c r="B9174" t="s">
        <v>406</v>
      </c>
      <c r="C9174" t="s">
        <v>577</v>
      </c>
      <c r="D9174" t="s">
        <v>609</v>
      </c>
      <c r="E9174" t="s">
        <v>610</v>
      </c>
      <c r="F9174" t="s">
        <v>410</v>
      </c>
      <c r="G9174">
        <v>28</v>
      </c>
      <c r="H9174">
        <v>28</v>
      </c>
      <c r="I9174">
        <v>28</v>
      </c>
      <c r="J9174">
        <v>28</v>
      </c>
      <c r="K9174">
        <v>0</v>
      </c>
      <c r="L9174">
        <v>0</v>
      </c>
      <c r="M9174">
        <v>27</v>
      </c>
      <c r="N9174">
        <v>1</v>
      </c>
      <c r="O9174">
        <v>0</v>
      </c>
      <c r="P9174">
        <v>0</v>
      </c>
      <c r="Q9174">
        <v>0</v>
      </c>
    </row>
    <row r="9175" spans="1:17" x14ac:dyDescent="0.2">
      <c r="A9175" s="121">
        <v>42247</v>
      </c>
      <c r="B9175" t="s">
        <v>406</v>
      </c>
      <c r="C9175" t="s">
        <v>577</v>
      </c>
      <c r="D9175" t="s">
        <v>611</v>
      </c>
      <c r="E9175" t="s">
        <v>612</v>
      </c>
      <c r="F9175" t="s">
        <v>410</v>
      </c>
      <c r="G9175">
        <v>5</v>
      </c>
      <c r="H9175">
        <v>5</v>
      </c>
      <c r="I9175">
        <v>5</v>
      </c>
      <c r="J9175">
        <v>5</v>
      </c>
      <c r="K9175">
        <v>0</v>
      </c>
      <c r="L9175">
        <v>0</v>
      </c>
      <c r="M9175">
        <v>4</v>
      </c>
      <c r="N9175">
        <v>0</v>
      </c>
      <c r="O9175">
        <v>1</v>
      </c>
      <c r="P9175">
        <v>0</v>
      </c>
      <c r="Q9175">
        <v>0</v>
      </c>
    </row>
    <row r="9176" spans="1:17" x14ac:dyDescent="0.2">
      <c r="A9176" s="121">
        <v>42247</v>
      </c>
      <c r="B9176" t="s">
        <v>406</v>
      </c>
      <c r="C9176" t="s">
        <v>577</v>
      </c>
      <c r="D9176" t="s">
        <v>584</v>
      </c>
      <c r="E9176" t="s">
        <v>585</v>
      </c>
      <c r="F9176" t="s">
        <v>410</v>
      </c>
      <c r="G9176">
        <v>307</v>
      </c>
      <c r="H9176">
        <v>307</v>
      </c>
      <c r="I9176">
        <v>307</v>
      </c>
      <c r="J9176">
        <v>307</v>
      </c>
      <c r="K9176">
        <v>0</v>
      </c>
      <c r="L9176">
        <v>0</v>
      </c>
      <c r="M9176">
        <v>288</v>
      </c>
      <c r="N9176">
        <v>18</v>
      </c>
      <c r="O9176">
        <v>1</v>
      </c>
      <c r="P9176">
        <v>0</v>
      </c>
      <c r="Q9176">
        <v>0</v>
      </c>
    </row>
    <row r="9177" spans="1:17" x14ac:dyDescent="0.2">
      <c r="A9177" s="121">
        <v>42247</v>
      </c>
      <c r="B9177" t="s">
        <v>406</v>
      </c>
      <c r="C9177" t="s">
        <v>577</v>
      </c>
      <c r="D9177" t="s">
        <v>586</v>
      </c>
      <c r="E9177" t="s">
        <v>587</v>
      </c>
      <c r="F9177" t="s">
        <v>410</v>
      </c>
      <c r="G9177">
        <v>1120</v>
      </c>
      <c r="H9177">
        <v>1120</v>
      </c>
      <c r="I9177">
        <v>1119</v>
      </c>
      <c r="J9177">
        <v>1119</v>
      </c>
      <c r="K9177">
        <v>0</v>
      </c>
      <c r="L9177">
        <v>0</v>
      </c>
      <c r="M9177">
        <v>1033</v>
      </c>
      <c r="N9177">
        <v>83</v>
      </c>
      <c r="O9177">
        <v>4</v>
      </c>
      <c r="P9177">
        <v>0</v>
      </c>
      <c r="Q9177">
        <v>0</v>
      </c>
    </row>
    <row r="9178" spans="1:17" x14ac:dyDescent="0.2">
      <c r="A9178" s="121">
        <v>42247</v>
      </c>
      <c r="B9178" t="s">
        <v>406</v>
      </c>
      <c r="C9178" t="s">
        <v>577</v>
      </c>
      <c r="D9178" t="s">
        <v>588</v>
      </c>
      <c r="E9178" t="s">
        <v>589</v>
      </c>
      <c r="F9178" t="s">
        <v>410</v>
      </c>
      <c r="G9178">
        <v>259</v>
      </c>
      <c r="H9178">
        <v>259</v>
      </c>
      <c r="I9178">
        <v>259</v>
      </c>
      <c r="J9178">
        <v>259</v>
      </c>
      <c r="K9178">
        <v>0</v>
      </c>
      <c r="L9178">
        <v>0</v>
      </c>
      <c r="M9178">
        <v>246</v>
      </c>
      <c r="N9178">
        <v>13</v>
      </c>
      <c r="O9178">
        <v>0</v>
      </c>
      <c r="P9178">
        <v>0</v>
      </c>
      <c r="Q9178">
        <v>0</v>
      </c>
    </row>
    <row r="9179" spans="1:17" x14ac:dyDescent="0.2">
      <c r="A9179" s="121">
        <v>42247</v>
      </c>
      <c r="B9179" t="s">
        <v>406</v>
      </c>
      <c r="C9179" t="s">
        <v>577</v>
      </c>
      <c r="D9179" t="s">
        <v>613</v>
      </c>
      <c r="E9179" t="s">
        <v>614</v>
      </c>
      <c r="F9179" t="s">
        <v>410</v>
      </c>
      <c r="G9179">
        <v>73</v>
      </c>
      <c r="H9179">
        <v>73</v>
      </c>
      <c r="I9179">
        <v>73</v>
      </c>
      <c r="J9179">
        <v>73</v>
      </c>
      <c r="K9179">
        <v>0</v>
      </c>
      <c r="L9179">
        <v>0</v>
      </c>
      <c r="M9179">
        <v>67</v>
      </c>
      <c r="N9179">
        <v>5</v>
      </c>
      <c r="O9179">
        <v>1</v>
      </c>
      <c r="P9179">
        <v>0</v>
      </c>
      <c r="Q9179">
        <v>0</v>
      </c>
    </row>
    <row r="9180" spans="1:17" x14ac:dyDescent="0.2">
      <c r="A9180" s="121">
        <v>42247</v>
      </c>
      <c r="B9180" t="s">
        <v>406</v>
      </c>
      <c r="C9180" t="s">
        <v>577</v>
      </c>
      <c r="D9180" t="s">
        <v>590</v>
      </c>
      <c r="E9180" t="s">
        <v>591</v>
      </c>
      <c r="F9180" t="s">
        <v>410</v>
      </c>
      <c r="G9180">
        <v>647</v>
      </c>
      <c r="H9180">
        <v>647</v>
      </c>
      <c r="I9180">
        <v>647</v>
      </c>
      <c r="J9180">
        <v>647</v>
      </c>
      <c r="K9180">
        <v>0</v>
      </c>
      <c r="L9180">
        <v>0</v>
      </c>
      <c r="M9180">
        <v>605</v>
      </c>
      <c r="N9180">
        <v>40</v>
      </c>
      <c r="O9180">
        <v>2</v>
      </c>
      <c r="P9180">
        <v>0</v>
      </c>
      <c r="Q9180">
        <v>0</v>
      </c>
    </row>
    <row r="9181" spans="1:17" x14ac:dyDescent="0.2">
      <c r="A9181" s="121">
        <v>42247</v>
      </c>
      <c r="B9181" t="s">
        <v>406</v>
      </c>
      <c r="C9181" t="s">
        <v>577</v>
      </c>
      <c r="D9181" t="s">
        <v>607</v>
      </c>
      <c r="E9181" t="s">
        <v>608</v>
      </c>
      <c r="F9181" t="s">
        <v>410</v>
      </c>
      <c r="G9181">
        <v>276</v>
      </c>
      <c r="H9181">
        <v>276</v>
      </c>
      <c r="I9181">
        <v>276</v>
      </c>
      <c r="J9181">
        <v>276</v>
      </c>
      <c r="K9181">
        <v>0</v>
      </c>
      <c r="L9181">
        <v>0</v>
      </c>
      <c r="M9181">
        <v>259</v>
      </c>
      <c r="N9181">
        <v>14</v>
      </c>
      <c r="O9181">
        <v>3</v>
      </c>
      <c r="P9181">
        <v>0</v>
      </c>
      <c r="Q9181">
        <v>0</v>
      </c>
    </row>
    <row r="9182" spans="1:17" x14ac:dyDescent="0.2">
      <c r="A9182" s="121">
        <v>42247</v>
      </c>
      <c r="B9182" t="s">
        <v>406</v>
      </c>
      <c r="C9182" t="s">
        <v>577</v>
      </c>
      <c r="D9182" t="s">
        <v>592</v>
      </c>
      <c r="E9182" t="s">
        <v>593</v>
      </c>
      <c r="F9182" t="s">
        <v>410</v>
      </c>
      <c r="G9182">
        <v>563</v>
      </c>
      <c r="H9182">
        <v>563</v>
      </c>
      <c r="I9182">
        <v>563</v>
      </c>
      <c r="J9182">
        <v>563</v>
      </c>
      <c r="K9182">
        <v>0</v>
      </c>
      <c r="L9182">
        <v>0</v>
      </c>
      <c r="M9182">
        <v>515</v>
      </c>
      <c r="N9182">
        <v>47</v>
      </c>
      <c r="O9182">
        <v>1</v>
      </c>
      <c r="P9182">
        <v>0</v>
      </c>
      <c r="Q9182">
        <v>0</v>
      </c>
    </row>
    <row r="9183" spans="1:17" x14ac:dyDescent="0.2">
      <c r="A9183" s="121">
        <v>42247</v>
      </c>
      <c r="B9183" t="s">
        <v>406</v>
      </c>
      <c r="C9183" t="s">
        <v>594</v>
      </c>
      <c r="D9183" t="s">
        <v>595</v>
      </c>
      <c r="E9183" t="s">
        <v>596</v>
      </c>
      <c r="F9183" t="s">
        <v>410</v>
      </c>
      <c r="G9183">
        <v>64</v>
      </c>
      <c r="I9183">
        <v>64</v>
      </c>
    </row>
    <row r="9184" spans="1:17" x14ac:dyDescent="0.2">
      <c r="A9184" s="121">
        <v>42247</v>
      </c>
      <c r="B9184" t="s">
        <v>406</v>
      </c>
      <c r="C9184" t="s">
        <v>594</v>
      </c>
      <c r="D9184" t="s">
        <v>597</v>
      </c>
      <c r="E9184" t="s">
        <v>598</v>
      </c>
      <c r="F9184" t="s">
        <v>413</v>
      </c>
      <c r="G9184">
        <v>611</v>
      </c>
      <c r="H9184">
        <v>611</v>
      </c>
      <c r="I9184">
        <v>603</v>
      </c>
      <c r="J9184">
        <v>603</v>
      </c>
      <c r="K9184">
        <v>126</v>
      </c>
      <c r="L9184">
        <v>1</v>
      </c>
      <c r="M9184">
        <v>468</v>
      </c>
      <c r="N9184">
        <v>6</v>
      </c>
      <c r="O9184">
        <v>10</v>
      </c>
      <c r="P9184">
        <v>0</v>
      </c>
      <c r="Q9184">
        <v>0</v>
      </c>
    </row>
    <row r="9185" spans="1:17" x14ac:dyDescent="0.2">
      <c r="A9185" s="121">
        <v>42247</v>
      </c>
      <c r="B9185" t="s">
        <v>406</v>
      </c>
      <c r="C9185" t="s">
        <v>594</v>
      </c>
      <c r="D9185" t="s">
        <v>599</v>
      </c>
      <c r="E9185" t="s">
        <v>600</v>
      </c>
      <c r="F9185" t="s">
        <v>410</v>
      </c>
      <c r="G9185">
        <v>159</v>
      </c>
      <c r="I9185">
        <v>159</v>
      </c>
    </row>
    <row r="9186" spans="1:17" x14ac:dyDescent="0.2">
      <c r="A9186" s="121">
        <v>42277</v>
      </c>
      <c r="B9186" t="s">
        <v>406</v>
      </c>
      <c r="C9186" t="s">
        <v>407</v>
      </c>
      <c r="D9186" t="s">
        <v>408</v>
      </c>
      <c r="E9186" t="s">
        <v>409</v>
      </c>
      <c r="F9186" t="s">
        <v>410</v>
      </c>
      <c r="G9186">
        <v>219</v>
      </c>
      <c r="I9186">
        <v>218</v>
      </c>
    </row>
    <row r="9187" spans="1:17" x14ac:dyDescent="0.2">
      <c r="A9187" s="121">
        <v>42277</v>
      </c>
      <c r="B9187" t="s">
        <v>406</v>
      </c>
      <c r="C9187" t="s">
        <v>407</v>
      </c>
      <c r="D9187" t="s">
        <v>601</v>
      </c>
      <c r="E9187" t="s">
        <v>602</v>
      </c>
      <c r="F9187" t="s">
        <v>410</v>
      </c>
      <c r="G9187">
        <v>58</v>
      </c>
      <c r="I9187">
        <v>58</v>
      </c>
    </row>
    <row r="9188" spans="1:17" x14ac:dyDescent="0.2">
      <c r="A9188" s="121">
        <v>42277</v>
      </c>
      <c r="B9188" t="s">
        <v>406</v>
      </c>
      <c r="C9188" t="s">
        <v>407</v>
      </c>
      <c r="D9188" t="s">
        <v>411</v>
      </c>
      <c r="E9188" t="s">
        <v>412</v>
      </c>
      <c r="F9188" t="s">
        <v>413</v>
      </c>
      <c r="G9188">
        <v>6233</v>
      </c>
      <c r="H9188">
        <v>6233</v>
      </c>
      <c r="I9188">
        <v>5876</v>
      </c>
      <c r="J9188">
        <v>5876</v>
      </c>
      <c r="K9188">
        <v>2556</v>
      </c>
      <c r="L9188">
        <v>9</v>
      </c>
      <c r="M9188">
        <v>3266</v>
      </c>
      <c r="N9188">
        <v>108</v>
      </c>
      <c r="O9188">
        <v>294</v>
      </c>
      <c r="P9188">
        <v>34</v>
      </c>
      <c r="Q9188">
        <v>5</v>
      </c>
    </row>
    <row r="9189" spans="1:17" x14ac:dyDescent="0.2">
      <c r="A9189" s="121">
        <v>42277</v>
      </c>
      <c r="B9189" t="s">
        <v>406</v>
      </c>
      <c r="C9189" t="s">
        <v>407</v>
      </c>
      <c r="D9189" t="s">
        <v>416</v>
      </c>
      <c r="E9189" t="s">
        <v>417</v>
      </c>
      <c r="F9189" t="s">
        <v>413</v>
      </c>
      <c r="G9189">
        <v>3902</v>
      </c>
      <c r="H9189">
        <v>3902</v>
      </c>
      <c r="I9189">
        <v>3471</v>
      </c>
      <c r="J9189">
        <v>3471</v>
      </c>
      <c r="K9189">
        <v>1473</v>
      </c>
      <c r="L9189">
        <v>6</v>
      </c>
      <c r="M9189">
        <v>2281</v>
      </c>
      <c r="N9189">
        <v>92</v>
      </c>
      <c r="O9189">
        <v>50</v>
      </c>
      <c r="P9189">
        <v>40</v>
      </c>
      <c r="Q9189">
        <v>2</v>
      </c>
    </row>
    <row r="9190" spans="1:17" x14ac:dyDescent="0.2">
      <c r="A9190" s="121">
        <v>42277</v>
      </c>
      <c r="B9190" t="s">
        <v>406</v>
      </c>
      <c r="C9190" t="s">
        <v>407</v>
      </c>
      <c r="D9190" t="s">
        <v>618</v>
      </c>
      <c r="E9190" t="s">
        <v>619</v>
      </c>
      <c r="F9190" t="s">
        <v>410</v>
      </c>
      <c r="G9190">
        <v>86</v>
      </c>
      <c r="I9190">
        <v>86</v>
      </c>
    </row>
    <row r="9191" spans="1:17" x14ac:dyDescent="0.2">
      <c r="A9191" s="121">
        <v>42277</v>
      </c>
      <c r="B9191" t="s">
        <v>406</v>
      </c>
      <c r="C9191" t="s">
        <v>418</v>
      </c>
      <c r="D9191" t="s">
        <v>419</v>
      </c>
      <c r="E9191" t="s">
        <v>420</v>
      </c>
      <c r="F9191" t="s">
        <v>410</v>
      </c>
      <c r="G9191">
        <v>9</v>
      </c>
      <c r="I9191">
        <v>9</v>
      </c>
    </row>
    <row r="9192" spans="1:17" x14ac:dyDescent="0.2">
      <c r="A9192" s="121">
        <v>42277</v>
      </c>
      <c r="B9192" t="s">
        <v>406</v>
      </c>
      <c r="C9192" t="s">
        <v>418</v>
      </c>
      <c r="D9192" t="s">
        <v>421</v>
      </c>
      <c r="E9192" t="s">
        <v>422</v>
      </c>
      <c r="F9192" t="s">
        <v>410</v>
      </c>
      <c r="G9192">
        <v>74</v>
      </c>
      <c r="I9192">
        <v>74</v>
      </c>
    </row>
    <row r="9193" spans="1:17" x14ac:dyDescent="0.2">
      <c r="A9193" s="121">
        <v>42277</v>
      </c>
      <c r="B9193" t="s">
        <v>406</v>
      </c>
      <c r="C9193" t="s">
        <v>418</v>
      </c>
      <c r="D9193" t="s">
        <v>423</v>
      </c>
      <c r="E9193" t="s">
        <v>424</v>
      </c>
      <c r="F9193" t="s">
        <v>410</v>
      </c>
      <c r="G9193">
        <v>7</v>
      </c>
      <c r="I9193">
        <v>7</v>
      </c>
    </row>
    <row r="9194" spans="1:17" x14ac:dyDescent="0.2">
      <c r="A9194" s="121">
        <v>42277</v>
      </c>
      <c r="B9194" t="s">
        <v>406</v>
      </c>
      <c r="C9194" t="s">
        <v>418</v>
      </c>
      <c r="D9194" t="s">
        <v>425</v>
      </c>
      <c r="E9194" t="s">
        <v>426</v>
      </c>
      <c r="F9194" t="s">
        <v>410</v>
      </c>
      <c r="G9194">
        <v>50</v>
      </c>
      <c r="I9194">
        <v>50</v>
      </c>
    </row>
    <row r="9195" spans="1:17" x14ac:dyDescent="0.2">
      <c r="A9195" s="121">
        <v>42277</v>
      </c>
      <c r="B9195" t="s">
        <v>406</v>
      </c>
      <c r="C9195" t="s">
        <v>418</v>
      </c>
      <c r="D9195" t="s">
        <v>427</v>
      </c>
      <c r="E9195" t="s">
        <v>428</v>
      </c>
      <c r="F9195" t="s">
        <v>413</v>
      </c>
      <c r="G9195">
        <v>2272</v>
      </c>
      <c r="H9195">
        <v>2272</v>
      </c>
      <c r="I9195">
        <v>2195</v>
      </c>
      <c r="J9195">
        <v>2195</v>
      </c>
      <c r="K9195">
        <v>742</v>
      </c>
      <c r="L9195">
        <v>4</v>
      </c>
      <c r="M9195">
        <v>1341</v>
      </c>
      <c r="N9195">
        <v>162</v>
      </c>
      <c r="O9195">
        <v>23</v>
      </c>
      <c r="P9195">
        <v>1</v>
      </c>
      <c r="Q9195">
        <v>0</v>
      </c>
    </row>
    <row r="9196" spans="1:17" x14ac:dyDescent="0.2">
      <c r="A9196" s="121">
        <v>42277</v>
      </c>
      <c r="B9196" t="s">
        <v>406</v>
      </c>
      <c r="C9196" t="s">
        <v>429</v>
      </c>
      <c r="D9196" t="s">
        <v>430</v>
      </c>
      <c r="E9196" t="s">
        <v>431</v>
      </c>
      <c r="F9196" t="s">
        <v>410</v>
      </c>
      <c r="G9196">
        <v>32</v>
      </c>
      <c r="I9196">
        <v>32</v>
      </c>
    </row>
    <row r="9197" spans="1:17" x14ac:dyDescent="0.2">
      <c r="A9197" s="121">
        <v>42277</v>
      </c>
      <c r="B9197" t="s">
        <v>406</v>
      </c>
      <c r="C9197" t="s">
        <v>429</v>
      </c>
      <c r="D9197" t="s">
        <v>432</v>
      </c>
      <c r="E9197" t="s">
        <v>433</v>
      </c>
      <c r="F9197" t="s">
        <v>410</v>
      </c>
      <c r="G9197">
        <v>41</v>
      </c>
      <c r="I9197">
        <v>41</v>
      </c>
    </row>
    <row r="9198" spans="1:17" x14ac:dyDescent="0.2">
      <c r="A9198" s="121">
        <v>42277</v>
      </c>
      <c r="B9198" t="s">
        <v>406</v>
      </c>
      <c r="C9198" t="s">
        <v>429</v>
      </c>
      <c r="D9198" t="s">
        <v>434</v>
      </c>
      <c r="E9198" t="s">
        <v>435</v>
      </c>
      <c r="F9198" t="s">
        <v>410</v>
      </c>
      <c r="G9198">
        <v>6</v>
      </c>
      <c r="I9198">
        <v>6</v>
      </c>
    </row>
    <row r="9199" spans="1:17" x14ac:dyDescent="0.2">
      <c r="A9199" s="121">
        <v>42277</v>
      </c>
      <c r="B9199" t="s">
        <v>406</v>
      </c>
      <c r="C9199" t="s">
        <v>429</v>
      </c>
      <c r="D9199" t="s">
        <v>436</v>
      </c>
      <c r="E9199" t="s">
        <v>437</v>
      </c>
      <c r="F9199" t="s">
        <v>410</v>
      </c>
      <c r="G9199">
        <v>18</v>
      </c>
      <c r="H9199">
        <v>18</v>
      </c>
      <c r="I9199">
        <v>18</v>
      </c>
      <c r="J9199">
        <v>18</v>
      </c>
      <c r="K9199">
        <v>0</v>
      </c>
      <c r="L9199">
        <v>0</v>
      </c>
      <c r="M9199">
        <v>16</v>
      </c>
      <c r="N9199">
        <v>2</v>
      </c>
      <c r="O9199">
        <v>0</v>
      </c>
      <c r="P9199">
        <v>0</v>
      </c>
      <c r="Q9199">
        <v>0</v>
      </c>
    </row>
    <row r="9200" spans="1:17" x14ac:dyDescent="0.2">
      <c r="A9200" s="121">
        <v>42277</v>
      </c>
      <c r="B9200" t="s">
        <v>406</v>
      </c>
      <c r="C9200" t="s">
        <v>429</v>
      </c>
      <c r="D9200" t="s">
        <v>438</v>
      </c>
      <c r="E9200" t="s">
        <v>439</v>
      </c>
      <c r="F9200" t="s">
        <v>413</v>
      </c>
      <c r="G9200">
        <v>1013</v>
      </c>
      <c r="H9200">
        <v>1013</v>
      </c>
      <c r="I9200">
        <v>995</v>
      </c>
      <c r="J9200">
        <v>995</v>
      </c>
      <c r="K9200">
        <v>82</v>
      </c>
      <c r="L9200">
        <v>4</v>
      </c>
      <c r="M9200">
        <v>843</v>
      </c>
      <c r="N9200">
        <v>45</v>
      </c>
      <c r="O9200">
        <v>39</v>
      </c>
      <c r="P9200">
        <v>0</v>
      </c>
      <c r="Q9200">
        <v>0</v>
      </c>
    </row>
    <row r="9201" spans="1:17" x14ac:dyDescent="0.2">
      <c r="A9201" s="121">
        <v>42277</v>
      </c>
      <c r="B9201" t="s">
        <v>406</v>
      </c>
      <c r="C9201" t="s">
        <v>429</v>
      </c>
      <c r="D9201" t="s">
        <v>440</v>
      </c>
      <c r="E9201" t="s">
        <v>441</v>
      </c>
      <c r="F9201" t="s">
        <v>413</v>
      </c>
      <c r="G9201">
        <v>2899</v>
      </c>
      <c r="H9201">
        <v>2899</v>
      </c>
      <c r="I9201">
        <v>2820</v>
      </c>
      <c r="J9201">
        <v>2820</v>
      </c>
      <c r="K9201">
        <v>925</v>
      </c>
      <c r="L9201">
        <v>7</v>
      </c>
      <c r="M9201">
        <v>1845</v>
      </c>
      <c r="N9201">
        <v>81</v>
      </c>
      <c r="O9201">
        <v>41</v>
      </c>
      <c r="P9201">
        <v>0</v>
      </c>
      <c r="Q9201">
        <v>0</v>
      </c>
    </row>
    <row r="9202" spans="1:17" x14ac:dyDescent="0.2">
      <c r="A9202" s="121">
        <v>42277</v>
      </c>
      <c r="B9202" t="s">
        <v>406</v>
      </c>
      <c r="C9202" t="s">
        <v>442</v>
      </c>
      <c r="D9202" t="s">
        <v>443</v>
      </c>
      <c r="E9202" t="s">
        <v>444</v>
      </c>
      <c r="F9202" t="s">
        <v>413</v>
      </c>
      <c r="G9202">
        <v>5324</v>
      </c>
      <c r="H9202">
        <v>5324</v>
      </c>
      <c r="I9202">
        <v>5111</v>
      </c>
      <c r="J9202">
        <v>5111</v>
      </c>
      <c r="K9202">
        <v>1357</v>
      </c>
      <c r="L9202">
        <v>5</v>
      </c>
      <c r="M9202">
        <v>3687</v>
      </c>
      <c r="N9202">
        <v>134</v>
      </c>
      <c r="O9202">
        <v>141</v>
      </c>
      <c r="P9202">
        <v>9</v>
      </c>
      <c r="Q9202">
        <v>0</v>
      </c>
    </row>
    <row r="9203" spans="1:17" x14ac:dyDescent="0.2">
      <c r="A9203" s="121">
        <v>42277</v>
      </c>
      <c r="B9203" t="s">
        <v>406</v>
      </c>
      <c r="C9203" t="s">
        <v>442</v>
      </c>
      <c r="D9203" t="s">
        <v>445</v>
      </c>
      <c r="E9203" t="s">
        <v>446</v>
      </c>
      <c r="F9203" t="s">
        <v>410</v>
      </c>
      <c r="G9203">
        <v>201</v>
      </c>
      <c r="I9203">
        <v>201</v>
      </c>
    </row>
    <row r="9204" spans="1:17" x14ac:dyDescent="0.2">
      <c r="A9204" s="121">
        <v>42277</v>
      </c>
      <c r="B9204" t="s">
        <v>406</v>
      </c>
      <c r="C9204" t="s">
        <v>442</v>
      </c>
      <c r="D9204" t="s">
        <v>447</v>
      </c>
      <c r="E9204" t="s">
        <v>448</v>
      </c>
      <c r="F9204" t="s">
        <v>410</v>
      </c>
      <c r="G9204">
        <v>329</v>
      </c>
      <c r="I9204">
        <v>329</v>
      </c>
    </row>
    <row r="9205" spans="1:17" x14ac:dyDescent="0.2">
      <c r="A9205" s="121">
        <v>42277</v>
      </c>
      <c r="B9205" t="s">
        <v>406</v>
      </c>
      <c r="C9205" t="s">
        <v>442</v>
      </c>
      <c r="D9205" t="s">
        <v>449</v>
      </c>
      <c r="E9205" t="s">
        <v>624</v>
      </c>
      <c r="F9205" t="s">
        <v>410</v>
      </c>
      <c r="G9205">
        <v>1914</v>
      </c>
      <c r="H9205">
        <v>1914</v>
      </c>
      <c r="I9205">
        <v>1913</v>
      </c>
      <c r="J9205">
        <v>1913</v>
      </c>
      <c r="K9205">
        <v>15</v>
      </c>
      <c r="L9205">
        <v>0</v>
      </c>
      <c r="M9205">
        <v>1738</v>
      </c>
      <c r="N9205">
        <v>138</v>
      </c>
      <c r="O9205">
        <v>23</v>
      </c>
      <c r="P9205">
        <v>0</v>
      </c>
      <c r="Q9205">
        <v>0</v>
      </c>
    </row>
    <row r="9206" spans="1:17" x14ac:dyDescent="0.2">
      <c r="A9206" s="121">
        <v>42277</v>
      </c>
      <c r="B9206" t="s">
        <v>406</v>
      </c>
      <c r="C9206" t="s">
        <v>451</v>
      </c>
      <c r="D9206" t="s">
        <v>454</v>
      </c>
      <c r="E9206" t="s">
        <v>621</v>
      </c>
      <c r="F9206" t="s">
        <v>410</v>
      </c>
      <c r="G9206">
        <v>1428</v>
      </c>
      <c r="H9206">
        <v>1428</v>
      </c>
      <c r="I9206">
        <v>1428</v>
      </c>
      <c r="J9206">
        <v>1428</v>
      </c>
      <c r="K9206">
        <v>0</v>
      </c>
      <c r="L9206">
        <v>0</v>
      </c>
      <c r="M9206">
        <v>1003</v>
      </c>
      <c r="N9206">
        <v>55</v>
      </c>
      <c r="O9206">
        <v>370</v>
      </c>
      <c r="P9206">
        <v>0</v>
      </c>
      <c r="Q9206">
        <v>0</v>
      </c>
    </row>
    <row r="9207" spans="1:17" x14ac:dyDescent="0.2">
      <c r="A9207" s="121">
        <v>42277</v>
      </c>
      <c r="B9207" t="s">
        <v>406</v>
      </c>
      <c r="C9207" t="s">
        <v>451</v>
      </c>
      <c r="D9207" t="s">
        <v>622</v>
      </c>
      <c r="E9207" t="s">
        <v>623</v>
      </c>
      <c r="F9207" t="s">
        <v>413</v>
      </c>
      <c r="G9207">
        <v>5474</v>
      </c>
      <c r="H9207">
        <v>5474</v>
      </c>
      <c r="I9207">
        <v>5128</v>
      </c>
      <c r="J9207">
        <v>5128</v>
      </c>
      <c r="K9207">
        <v>1332</v>
      </c>
      <c r="L9207">
        <v>8</v>
      </c>
      <c r="M9207">
        <v>3216</v>
      </c>
      <c r="N9207">
        <v>56</v>
      </c>
      <c r="O9207">
        <v>862</v>
      </c>
      <c r="P9207">
        <v>11</v>
      </c>
      <c r="Q9207">
        <v>0</v>
      </c>
    </row>
    <row r="9208" spans="1:17" x14ac:dyDescent="0.2">
      <c r="A9208" s="121">
        <v>42277</v>
      </c>
      <c r="B9208" t="s">
        <v>406</v>
      </c>
      <c r="C9208" t="s">
        <v>456</v>
      </c>
      <c r="D9208" t="s">
        <v>457</v>
      </c>
      <c r="E9208" t="s">
        <v>458</v>
      </c>
      <c r="F9208" t="s">
        <v>413</v>
      </c>
      <c r="G9208">
        <v>4976</v>
      </c>
      <c r="H9208">
        <v>4976</v>
      </c>
      <c r="I9208">
        <v>4732</v>
      </c>
      <c r="J9208">
        <v>4732</v>
      </c>
      <c r="K9208">
        <v>1167</v>
      </c>
      <c r="L9208">
        <v>9</v>
      </c>
      <c r="M9208">
        <v>3253</v>
      </c>
      <c r="N9208">
        <v>23</v>
      </c>
      <c r="O9208">
        <v>524</v>
      </c>
      <c r="P9208">
        <v>7</v>
      </c>
      <c r="Q9208">
        <v>0</v>
      </c>
    </row>
    <row r="9209" spans="1:17" x14ac:dyDescent="0.2">
      <c r="A9209" s="121">
        <v>42277</v>
      </c>
      <c r="B9209" t="s">
        <v>406</v>
      </c>
      <c r="C9209" t="s">
        <v>456</v>
      </c>
      <c r="D9209" t="s">
        <v>459</v>
      </c>
      <c r="E9209" t="s">
        <v>460</v>
      </c>
      <c r="F9209" t="s">
        <v>413</v>
      </c>
      <c r="G9209">
        <v>1705</v>
      </c>
      <c r="H9209">
        <v>1705</v>
      </c>
      <c r="I9209">
        <v>1686</v>
      </c>
      <c r="J9209">
        <v>1686</v>
      </c>
      <c r="K9209">
        <v>354</v>
      </c>
      <c r="L9209">
        <v>0</v>
      </c>
      <c r="M9209">
        <v>1286</v>
      </c>
      <c r="N9209">
        <v>0</v>
      </c>
      <c r="O9209">
        <v>65</v>
      </c>
      <c r="P9209">
        <v>0</v>
      </c>
      <c r="Q9209">
        <v>0</v>
      </c>
    </row>
    <row r="9210" spans="1:17" x14ac:dyDescent="0.2">
      <c r="A9210" s="121">
        <v>42277</v>
      </c>
      <c r="B9210" t="s">
        <v>406</v>
      </c>
      <c r="C9210" t="s">
        <v>456</v>
      </c>
      <c r="D9210" t="s">
        <v>461</v>
      </c>
      <c r="E9210" t="s">
        <v>462</v>
      </c>
      <c r="F9210" t="s">
        <v>410</v>
      </c>
      <c r="G9210">
        <v>92</v>
      </c>
      <c r="I9210">
        <v>92</v>
      </c>
    </row>
    <row r="9211" spans="1:17" x14ac:dyDescent="0.2">
      <c r="A9211" s="121">
        <v>42277</v>
      </c>
      <c r="B9211" t="s">
        <v>406</v>
      </c>
      <c r="C9211" t="s">
        <v>456</v>
      </c>
      <c r="D9211" t="s">
        <v>463</v>
      </c>
      <c r="E9211" t="s">
        <v>464</v>
      </c>
      <c r="F9211" t="s">
        <v>410</v>
      </c>
      <c r="G9211">
        <v>11</v>
      </c>
      <c r="I9211">
        <v>11</v>
      </c>
    </row>
    <row r="9212" spans="1:17" x14ac:dyDescent="0.2">
      <c r="A9212" s="121">
        <v>42277</v>
      </c>
      <c r="B9212" t="s">
        <v>406</v>
      </c>
      <c r="C9212" t="s">
        <v>456</v>
      </c>
      <c r="D9212" t="s">
        <v>465</v>
      </c>
      <c r="E9212" t="s">
        <v>466</v>
      </c>
      <c r="F9212" t="s">
        <v>410</v>
      </c>
      <c r="G9212">
        <v>29</v>
      </c>
      <c r="I9212">
        <v>29</v>
      </c>
    </row>
    <row r="9213" spans="1:17" x14ac:dyDescent="0.2">
      <c r="A9213" s="121">
        <v>42277</v>
      </c>
      <c r="B9213" t="s">
        <v>406</v>
      </c>
      <c r="C9213" t="s">
        <v>456</v>
      </c>
      <c r="D9213" t="s">
        <v>467</v>
      </c>
      <c r="E9213" t="s">
        <v>468</v>
      </c>
      <c r="F9213" t="s">
        <v>410</v>
      </c>
      <c r="G9213">
        <v>1277</v>
      </c>
      <c r="I9213">
        <v>1274</v>
      </c>
    </row>
    <row r="9214" spans="1:17" x14ac:dyDescent="0.2">
      <c r="A9214" s="121">
        <v>42277</v>
      </c>
      <c r="B9214" t="s">
        <v>406</v>
      </c>
      <c r="C9214" t="s">
        <v>456</v>
      </c>
      <c r="D9214" t="s">
        <v>469</v>
      </c>
      <c r="E9214" t="s">
        <v>470</v>
      </c>
      <c r="F9214" t="s">
        <v>410</v>
      </c>
      <c r="G9214">
        <v>703</v>
      </c>
      <c r="I9214">
        <v>698</v>
      </c>
    </row>
    <row r="9215" spans="1:17" x14ac:dyDescent="0.2">
      <c r="A9215" s="121">
        <v>42277</v>
      </c>
      <c r="B9215" t="s">
        <v>406</v>
      </c>
      <c r="C9215" t="s">
        <v>456</v>
      </c>
      <c r="D9215" t="s">
        <v>471</v>
      </c>
      <c r="E9215" t="s">
        <v>472</v>
      </c>
      <c r="F9215" t="s">
        <v>410</v>
      </c>
      <c r="G9215">
        <v>290</v>
      </c>
      <c r="I9215">
        <v>288</v>
      </c>
    </row>
    <row r="9216" spans="1:17" x14ac:dyDescent="0.2">
      <c r="A9216" s="121">
        <v>42277</v>
      </c>
      <c r="B9216" t="s">
        <v>406</v>
      </c>
      <c r="C9216" t="s">
        <v>456</v>
      </c>
      <c r="D9216" t="s">
        <v>473</v>
      </c>
      <c r="E9216" t="s">
        <v>474</v>
      </c>
      <c r="F9216" t="s">
        <v>410</v>
      </c>
      <c r="G9216">
        <v>226</v>
      </c>
      <c r="I9216">
        <v>226</v>
      </c>
    </row>
    <row r="9217" spans="1:17" x14ac:dyDescent="0.2">
      <c r="A9217" s="121">
        <v>42277</v>
      </c>
      <c r="B9217" t="s">
        <v>406</v>
      </c>
      <c r="C9217" t="s">
        <v>456</v>
      </c>
      <c r="D9217" t="s">
        <v>475</v>
      </c>
      <c r="E9217" t="s">
        <v>476</v>
      </c>
      <c r="F9217" t="s">
        <v>410</v>
      </c>
      <c r="G9217">
        <v>307</v>
      </c>
      <c r="I9217">
        <v>301</v>
      </c>
    </row>
    <row r="9218" spans="1:17" x14ac:dyDescent="0.2">
      <c r="A9218" s="121">
        <v>42277</v>
      </c>
      <c r="B9218" t="s">
        <v>406</v>
      </c>
      <c r="C9218" t="s">
        <v>456</v>
      </c>
      <c r="D9218" t="s">
        <v>477</v>
      </c>
      <c r="E9218" t="s">
        <v>478</v>
      </c>
      <c r="F9218" t="s">
        <v>413</v>
      </c>
      <c r="G9218">
        <v>2023</v>
      </c>
      <c r="H9218">
        <v>2023</v>
      </c>
      <c r="I9218">
        <v>1988</v>
      </c>
      <c r="J9218">
        <v>1988</v>
      </c>
      <c r="K9218">
        <v>355</v>
      </c>
      <c r="L9218">
        <v>2</v>
      </c>
      <c r="M9218">
        <v>1610</v>
      </c>
      <c r="N9218">
        <v>13</v>
      </c>
      <c r="O9218">
        <v>43</v>
      </c>
      <c r="P9218">
        <v>1</v>
      </c>
      <c r="Q9218">
        <v>0</v>
      </c>
    </row>
    <row r="9219" spans="1:17" x14ac:dyDescent="0.2">
      <c r="A9219" s="121">
        <v>42277</v>
      </c>
      <c r="B9219" t="s">
        <v>406</v>
      </c>
      <c r="C9219" t="s">
        <v>456</v>
      </c>
      <c r="D9219" t="s">
        <v>479</v>
      </c>
      <c r="E9219" t="s">
        <v>480</v>
      </c>
      <c r="F9219" t="s">
        <v>410</v>
      </c>
      <c r="G9219">
        <v>38</v>
      </c>
      <c r="I9219">
        <v>38</v>
      </c>
    </row>
    <row r="9220" spans="1:17" x14ac:dyDescent="0.2">
      <c r="A9220" s="121">
        <v>42277</v>
      </c>
      <c r="B9220" t="s">
        <v>406</v>
      </c>
      <c r="C9220" t="s">
        <v>456</v>
      </c>
      <c r="D9220" t="s">
        <v>481</v>
      </c>
      <c r="E9220" t="s">
        <v>482</v>
      </c>
      <c r="F9220" t="s">
        <v>410</v>
      </c>
      <c r="G9220">
        <v>30</v>
      </c>
      <c r="I9220">
        <v>30</v>
      </c>
    </row>
    <row r="9221" spans="1:17" x14ac:dyDescent="0.2">
      <c r="A9221" s="121">
        <v>42277</v>
      </c>
      <c r="B9221" t="s">
        <v>406</v>
      </c>
      <c r="C9221" t="s">
        <v>456</v>
      </c>
      <c r="D9221" t="s">
        <v>483</v>
      </c>
      <c r="E9221" t="s">
        <v>484</v>
      </c>
      <c r="F9221" t="s">
        <v>410</v>
      </c>
      <c r="G9221">
        <v>103</v>
      </c>
      <c r="I9221">
        <v>103</v>
      </c>
    </row>
    <row r="9222" spans="1:17" x14ac:dyDescent="0.2">
      <c r="A9222" s="121">
        <v>42277</v>
      </c>
      <c r="B9222" t="s">
        <v>406</v>
      </c>
      <c r="C9222" t="s">
        <v>456</v>
      </c>
      <c r="D9222" t="s">
        <v>487</v>
      </c>
      <c r="E9222" t="s">
        <v>488</v>
      </c>
      <c r="F9222" t="s">
        <v>410</v>
      </c>
      <c r="G9222">
        <v>34</v>
      </c>
      <c r="I9222">
        <v>34</v>
      </c>
    </row>
    <row r="9223" spans="1:17" x14ac:dyDescent="0.2">
      <c r="A9223" s="121">
        <v>42277</v>
      </c>
      <c r="B9223" t="s">
        <v>406</v>
      </c>
      <c r="C9223" t="s">
        <v>456</v>
      </c>
      <c r="D9223" t="s">
        <v>489</v>
      </c>
      <c r="E9223" t="s">
        <v>490</v>
      </c>
      <c r="F9223" t="s">
        <v>410</v>
      </c>
      <c r="G9223">
        <v>123</v>
      </c>
      <c r="I9223">
        <v>123</v>
      </c>
    </row>
    <row r="9224" spans="1:17" x14ac:dyDescent="0.2">
      <c r="A9224" s="121">
        <v>42277</v>
      </c>
      <c r="B9224" t="s">
        <v>406</v>
      </c>
      <c r="C9224" t="s">
        <v>456</v>
      </c>
      <c r="D9224" t="s">
        <v>628</v>
      </c>
      <c r="E9224" t="s">
        <v>629</v>
      </c>
      <c r="F9224" t="s">
        <v>410</v>
      </c>
      <c r="G9224">
        <v>77</v>
      </c>
      <c r="I9224">
        <v>77</v>
      </c>
    </row>
    <row r="9225" spans="1:17" x14ac:dyDescent="0.2">
      <c r="A9225" s="121">
        <v>42277</v>
      </c>
      <c r="B9225" t="s">
        <v>406</v>
      </c>
      <c r="C9225" t="s">
        <v>491</v>
      </c>
      <c r="D9225" t="s">
        <v>492</v>
      </c>
      <c r="E9225" t="s">
        <v>493</v>
      </c>
      <c r="F9225" t="s">
        <v>410</v>
      </c>
      <c r="G9225">
        <v>1385</v>
      </c>
      <c r="H9225">
        <v>1385</v>
      </c>
      <c r="I9225">
        <v>1371</v>
      </c>
      <c r="J9225">
        <v>1371</v>
      </c>
      <c r="K9225">
        <v>204</v>
      </c>
      <c r="L9225">
        <v>1</v>
      </c>
      <c r="M9225">
        <v>1067</v>
      </c>
      <c r="N9225">
        <v>108</v>
      </c>
      <c r="O9225">
        <v>5</v>
      </c>
      <c r="P9225">
        <v>1</v>
      </c>
      <c r="Q9225">
        <v>0</v>
      </c>
    </row>
    <row r="9226" spans="1:17" x14ac:dyDescent="0.2">
      <c r="A9226" s="121">
        <v>42277</v>
      </c>
      <c r="B9226" t="s">
        <v>406</v>
      </c>
      <c r="C9226" t="s">
        <v>491</v>
      </c>
      <c r="D9226" t="s">
        <v>494</v>
      </c>
      <c r="E9226" t="s">
        <v>495</v>
      </c>
      <c r="F9226" t="s">
        <v>413</v>
      </c>
      <c r="G9226">
        <v>2637</v>
      </c>
      <c r="H9226">
        <v>2637</v>
      </c>
      <c r="I9226">
        <v>2532</v>
      </c>
      <c r="J9226">
        <v>2532</v>
      </c>
      <c r="K9226">
        <v>675</v>
      </c>
      <c r="L9226">
        <v>14</v>
      </c>
      <c r="M9226">
        <v>1728</v>
      </c>
      <c r="N9226">
        <v>44</v>
      </c>
      <c r="O9226">
        <v>176</v>
      </c>
      <c r="P9226">
        <v>2</v>
      </c>
      <c r="Q9226">
        <v>0</v>
      </c>
    </row>
    <row r="9227" spans="1:17" x14ac:dyDescent="0.2">
      <c r="A9227" s="121">
        <v>42277</v>
      </c>
      <c r="B9227" t="s">
        <v>406</v>
      </c>
      <c r="C9227" t="s">
        <v>491</v>
      </c>
      <c r="D9227" t="s">
        <v>496</v>
      </c>
      <c r="E9227" t="s">
        <v>497</v>
      </c>
      <c r="F9227" t="s">
        <v>413</v>
      </c>
      <c r="G9227">
        <v>5689</v>
      </c>
      <c r="H9227">
        <v>5689</v>
      </c>
      <c r="I9227">
        <v>5230</v>
      </c>
      <c r="J9227">
        <v>5230</v>
      </c>
      <c r="K9227">
        <v>1863</v>
      </c>
      <c r="L9227">
        <v>16</v>
      </c>
      <c r="M9227">
        <v>3539</v>
      </c>
      <c r="N9227">
        <v>120</v>
      </c>
      <c r="O9227">
        <v>151</v>
      </c>
      <c r="P9227">
        <v>13</v>
      </c>
      <c r="Q9227">
        <v>0</v>
      </c>
    </row>
    <row r="9228" spans="1:17" x14ac:dyDescent="0.2">
      <c r="A9228" s="121">
        <v>42277</v>
      </c>
      <c r="B9228" t="s">
        <v>406</v>
      </c>
      <c r="C9228" t="s">
        <v>491</v>
      </c>
      <c r="D9228" t="s">
        <v>498</v>
      </c>
      <c r="E9228" t="s">
        <v>499</v>
      </c>
      <c r="F9228" t="s">
        <v>413</v>
      </c>
      <c r="G9228">
        <v>7686</v>
      </c>
      <c r="H9228">
        <v>7686</v>
      </c>
      <c r="I9228">
        <v>7082</v>
      </c>
      <c r="J9228">
        <v>7082</v>
      </c>
      <c r="K9228">
        <v>2548</v>
      </c>
      <c r="L9228">
        <v>14</v>
      </c>
      <c r="M9228">
        <v>4665</v>
      </c>
      <c r="N9228">
        <v>128</v>
      </c>
      <c r="O9228">
        <v>331</v>
      </c>
      <c r="P9228">
        <v>14</v>
      </c>
      <c r="Q9228">
        <v>0</v>
      </c>
    </row>
    <row r="9229" spans="1:17" x14ac:dyDescent="0.2">
      <c r="A9229" s="121">
        <v>42277</v>
      </c>
      <c r="B9229" t="s">
        <v>406</v>
      </c>
      <c r="C9229" t="s">
        <v>491</v>
      </c>
      <c r="D9229" t="s">
        <v>500</v>
      </c>
      <c r="E9229" t="s">
        <v>620</v>
      </c>
      <c r="F9229" t="s">
        <v>410</v>
      </c>
      <c r="G9229">
        <v>1655</v>
      </c>
      <c r="H9229">
        <v>1655</v>
      </c>
      <c r="I9229">
        <v>1655</v>
      </c>
      <c r="J9229">
        <v>1655</v>
      </c>
      <c r="K9229">
        <v>0</v>
      </c>
      <c r="L9229">
        <v>0</v>
      </c>
      <c r="M9229">
        <v>1506</v>
      </c>
      <c r="N9229">
        <v>117</v>
      </c>
      <c r="O9229">
        <v>32</v>
      </c>
      <c r="P9229">
        <v>0</v>
      </c>
      <c r="Q9229">
        <v>0</v>
      </c>
    </row>
    <row r="9230" spans="1:17" x14ac:dyDescent="0.2">
      <c r="A9230" s="121">
        <v>42277</v>
      </c>
      <c r="B9230" t="s">
        <v>406</v>
      </c>
      <c r="C9230" t="s">
        <v>491</v>
      </c>
      <c r="D9230" t="s">
        <v>502</v>
      </c>
      <c r="E9230" t="s">
        <v>615</v>
      </c>
      <c r="F9230" t="s">
        <v>410</v>
      </c>
      <c r="G9230">
        <v>2819</v>
      </c>
      <c r="H9230">
        <v>2819</v>
      </c>
      <c r="I9230">
        <v>2818</v>
      </c>
      <c r="J9230">
        <v>2818</v>
      </c>
      <c r="K9230">
        <v>3</v>
      </c>
      <c r="L9230">
        <v>0</v>
      </c>
      <c r="M9230">
        <v>2580</v>
      </c>
      <c r="N9230">
        <v>221</v>
      </c>
      <c r="O9230">
        <v>15</v>
      </c>
      <c r="P9230">
        <v>0</v>
      </c>
      <c r="Q9230">
        <v>0</v>
      </c>
    </row>
    <row r="9231" spans="1:17" x14ac:dyDescent="0.2">
      <c r="A9231" s="121">
        <v>42277</v>
      </c>
      <c r="B9231" t="s">
        <v>406</v>
      </c>
      <c r="C9231" t="s">
        <v>491</v>
      </c>
      <c r="D9231" t="s">
        <v>504</v>
      </c>
      <c r="E9231" t="s">
        <v>630</v>
      </c>
      <c r="F9231" t="s">
        <v>413</v>
      </c>
      <c r="G9231">
        <v>7196</v>
      </c>
      <c r="H9231">
        <v>7196</v>
      </c>
      <c r="I9231">
        <v>6540</v>
      </c>
      <c r="J9231">
        <v>6540</v>
      </c>
      <c r="K9231">
        <v>2346</v>
      </c>
      <c r="L9231">
        <v>24</v>
      </c>
      <c r="M9231">
        <v>4501</v>
      </c>
      <c r="N9231">
        <v>170</v>
      </c>
      <c r="O9231">
        <v>155</v>
      </c>
      <c r="P9231">
        <v>36</v>
      </c>
      <c r="Q9231">
        <v>0</v>
      </c>
    </row>
    <row r="9232" spans="1:17" x14ac:dyDescent="0.2">
      <c r="A9232" s="121">
        <v>42277</v>
      </c>
      <c r="B9232" t="s">
        <v>406</v>
      </c>
      <c r="C9232" t="s">
        <v>491</v>
      </c>
      <c r="D9232" t="s">
        <v>506</v>
      </c>
      <c r="E9232" t="s">
        <v>507</v>
      </c>
      <c r="F9232" t="s">
        <v>413</v>
      </c>
      <c r="G9232">
        <v>4611</v>
      </c>
      <c r="H9232">
        <v>4611</v>
      </c>
      <c r="I9232">
        <v>4581</v>
      </c>
      <c r="J9232">
        <v>4581</v>
      </c>
      <c r="K9232">
        <v>861</v>
      </c>
      <c r="L9232">
        <v>2</v>
      </c>
      <c r="M9232">
        <v>3739</v>
      </c>
      <c r="N9232">
        <v>0</v>
      </c>
      <c r="O9232">
        <v>9</v>
      </c>
      <c r="P9232">
        <v>1</v>
      </c>
      <c r="Q9232">
        <v>0</v>
      </c>
    </row>
    <row r="9233" spans="1:17" x14ac:dyDescent="0.2">
      <c r="A9233" s="121">
        <v>42277</v>
      </c>
      <c r="B9233" t="s">
        <v>406</v>
      </c>
      <c r="C9233" t="s">
        <v>491</v>
      </c>
      <c r="D9233" t="s">
        <v>508</v>
      </c>
      <c r="E9233" t="s">
        <v>631</v>
      </c>
      <c r="F9233" t="s">
        <v>410</v>
      </c>
      <c r="G9233">
        <v>1287</v>
      </c>
      <c r="H9233">
        <v>1287</v>
      </c>
      <c r="I9233">
        <v>1285</v>
      </c>
      <c r="J9233">
        <v>1285</v>
      </c>
      <c r="K9233">
        <v>2</v>
      </c>
      <c r="L9233">
        <v>1</v>
      </c>
      <c r="M9233">
        <v>1171</v>
      </c>
      <c r="N9233">
        <v>110</v>
      </c>
      <c r="O9233">
        <v>3</v>
      </c>
      <c r="P9233">
        <v>0</v>
      </c>
      <c r="Q9233">
        <v>0</v>
      </c>
    </row>
    <row r="9234" spans="1:17" x14ac:dyDescent="0.2">
      <c r="A9234" s="121">
        <v>42277</v>
      </c>
      <c r="B9234" t="s">
        <v>406</v>
      </c>
      <c r="C9234" t="s">
        <v>510</v>
      </c>
      <c r="D9234" t="s">
        <v>513</v>
      </c>
      <c r="E9234" t="s">
        <v>514</v>
      </c>
      <c r="F9234" t="s">
        <v>410</v>
      </c>
      <c r="G9234">
        <v>606</v>
      </c>
      <c r="I9234">
        <v>606</v>
      </c>
    </row>
    <row r="9235" spans="1:17" x14ac:dyDescent="0.2">
      <c r="A9235" s="121">
        <v>42277</v>
      </c>
      <c r="B9235" t="s">
        <v>406</v>
      </c>
      <c r="C9235" t="s">
        <v>510</v>
      </c>
      <c r="D9235" t="s">
        <v>515</v>
      </c>
      <c r="E9235" t="s">
        <v>516</v>
      </c>
      <c r="F9235" t="s">
        <v>410</v>
      </c>
      <c r="G9235">
        <v>106</v>
      </c>
      <c r="I9235">
        <v>106</v>
      </c>
    </row>
    <row r="9236" spans="1:17" x14ac:dyDescent="0.2">
      <c r="A9236" s="121">
        <v>42277</v>
      </c>
      <c r="B9236" t="s">
        <v>406</v>
      </c>
      <c r="C9236" t="s">
        <v>510</v>
      </c>
      <c r="D9236" t="s">
        <v>519</v>
      </c>
      <c r="E9236" t="s">
        <v>520</v>
      </c>
      <c r="F9236" t="s">
        <v>410</v>
      </c>
      <c r="G9236">
        <v>376</v>
      </c>
      <c r="I9236">
        <v>368</v>
      </c>
    </row>
    <row r="9237" spans="1:17" x14ac:dyDescent="0.2">
      <c r="A9237" s="121">
        <v>42277</v>
      </c>
      <c r="B9237" t="s">
        <v>406</v>
      </c>
      <c r="C9237" t="s">
        <v>510</v>
      </c>
      <c r="D9237" t="s">
        <v>523</v>
      </c>
      <c r="E9237" t="s">
        <v>524</v>
      </c>
      <c r="F9237" t="s">
        <v>413</v>
      </c>
      <c r="G9237">
        <v>651</v>
      </c>
      <c r="H9237">
        <v>651</v>
      </c>
      <c r="I9237">
        <v>647</v>
      </c>
      <c r="J9237">
        <v>647</v>
      </c>
      <c r="K9237">
        <v>142</v>
      </c>
      <c r="L9237">
        <v>0</v>
      </c>
      <c r="M9237">
        <v>496</v>
      </c>
      <c r="N9237">
        <v>13</v>
      </c>
      <c r="O9237">
        <v>0</v>
      </c>
      <c r="P9237">
        <v>0</v>
      </c>
      <c r="Q9237">
        <v>0</v>
      </c>
    </row>
    <row r="9238" spans="1:17" x14ac:dyDescent="0.2">
      <c r="A9238" s="121">
        <v>42277</v>
      </c>
      <c r="B9238" t="s">
        <v>406</v>
      </c>
      <c r="C9238" t="s">
        <v>510</v>
      </c>
      <c r="D9238" t="s">
        <v>525</v>
      </c>
      <c r="E9238" t="s">
        <v>526</v>
      </c>
      <c r="F9238" t="s">
        <v>410</v>
      </c>
      <c r="G9238">
        <v>433</v>
      </c>
      <c r="I9238">
        <v>429</v>
      </c>
    </row>
    <row r="9239" spans="1:17" x14ac:dyDescent="0.2">
      <c r="A9239" s="121">
        <v>42277</v>
      </c>
      <c r="B9239" t="s">
        <v>406</v>
      </c>
      <c r="C9239" t="s">
        <v>510</v>
      </c>
      <c r="D9239" t="s">
        <v>527</v>
      </c>
      <c r="E9239" t="s">
        <v>528</v>
      </c>
      <c r="F9239" t="s">
        <v>410</v>
      </c>
      <c r="G9239">
        <v>270</v>
      </c>
      <c r="I9239">
        <v>270</v>
      </c>
    </row>
    <row r="9240" spans="1:17" x14ac:dyDescent="0.2">
      <c r="A9240" s="121">
        <v>42277</v>
      </c>
      <c r="B9240" t="s">
        <v>406</v>
      </c>
      <c r="C9240" t="s">
        <v>510</v>
      </c>
      <c r="D9240" t="s">
        <v>529</v>
      </c>
      <c r="E9240" t="s">
        <v>530</v>
      </c>
      <c r="F9240" t="s">
        <v>413</v>
      </c>
      <c r="G9240">
        <v>497</v>
      </c>
      <c r="H9240">
        <v>497</v>
      </c>
      <c r="I9240">
        <v>482</v>
      </c>
      <c r="J9240">
        <v>482</v>
      </c>
      <c r="K9240">
        <v>149</v>
      </c>
      <c r="L9240">
        <v>1</v>
      </c>
      <c r="M9240">
        <v>345</v>
      </c>
      <c r="N9240">
        <v>2</v>
      </c>
      <c r="O9240">
        <v>0</v>
      </c>
      <c r="P9240">
        <v>1</v>
      </c>
      <c r="Q9240">
        <v>0</v>
      </c>
    </row>
    <row r="9241" spans="1:17" x14ac:dyDescent="0.2">
      <c r="A9241" s="121">
        <v>42277</v>
      </c>
      <c r="B9241" t="s">
        <v>406</v>
      </c>
      <c r="C9241" t="s">
        <v>510</v>
      </c>
      <c r="D9241" t="s">
        <v>531</v>
      </c>
      <c r="E9241" t="s">
        <v>532</v>
      </c>
      <c r="F9241" t="s">
        <v>410</v>
      </c>
      <c r="G9241">
        <v>19</v>
      </c>
      <c r="I9241">
        <v>19</v>
      </c>
    </row>
    <row r="9242" spans="1:17" x14ac:dyDescent="0.2">
      <c r="A9242" s="121">
        <v>42277</v>
      </c>
      <c r="B9242" t="s">
        <v>406</v>
      </c>
      <c r="C9242" t="s">
        <v>510</v>
      </c>
      <c r="D9242" t="s">
        <v>533</v>
      </c>
      <c r="E9242" t="s">
        <v>534</v>
      </c>
      <c r="F9242" t="s">
        <v>413</v>
      </c>
      <c r="G9242">
        <v>2796</v>
      </c>
      <c r="H9242">
        <v>2796</v>
      </c>
      <c r="I9242">
        <v>2698</v>
      </c>
      <c r="J9242">
        <v>2698</v>
      </c>
      <c r="K9242">
        <v>652</v>
      </c>
      <c r="L9242">
        <v>0</v>
      </c>
      <c r="M9242">
        <v>2132</v>
      </c>
      <c r="N9242">
        <v>12</v>
      </c>
      <c r="O9242">
        <v>0</v>
      </c>
      <c r="P9242">
        <v>4</v>
      </c>
      <c r="Q9242">
        <v>0</v>
      </c>
    </row>
    <row r="9243" spans="1:17" x14ac:dyDescent="0.2">
      <c r="A9243" s="121">
        <v>42277</v>
      </c>
      <c r="B9243" t="s">
        <v>406</v>
      </c>
      <c r="C9243" t="s">
        <v>510</v>
      </c>
      <c r="D9243" t="s">
        <v>535</v>
      </c>
      <c r="E9243" t="s">
        <v>536</v>
      </c>
      <c r="F9243" t="s">
        <v>410</v>
      </c>
      <c r="G9243">
        <v>487</v>
      </c>
      <c r="I9243">
        <v>486</v>
      </c>
    </row>
    <row r="9244" spans="1:17" x14ac:dyDescent="0.2">
      <c r="A9244" s="121">
        <v>42277</v>
      </c>
      <c r="B9244" t="s">
        <v>406</v>
      </c>
      <c r="C9244" t="s">
        <v>510</v>
      </c>
      <c r="D9244" t="s">
        <v>537</v>
      </c>
      <c r="E9244" t="s">
        <v>538</v>
      </c>
      <c r="F9244" t="s">
        <v>410</v>
      </c>
      <c r="G9244">
        <v>103</v>
      </c>
      <c r="I9244">
        <v>103</v>
      </c>
    </row>
    <row r="9245" spans="1:17" x14ac:dyDescent="0.2">
      <c r="A9245" s="121">
        <v>42277</v>
      </c>
      <c r="B9245" t="s">
        <v>406</v>
      </c>
      <c r="C9245" t="s">
        <v>510</v>
      </c>
      <c r="D9245" t="s">
        <v>539</v>
      </c>
      <c r="E9245" t="s">
        <v>540</v>
      </c>
      <c r="F9245" t="s">
        <v>413</v>
      </c>
      <c r="G9245">
        <v>811</v>
      </c>
      <c r="H9245">
        <v>811</v>
      </c>
      <c r="I9245">
        <v>776</v>
      </c>
      <c r="J9245">
        <v>776</v>
      </c>
      <c r="K9245">
        <v>123</v>
      </c>
      <c r="L9245">
        <v>2</v>
      </c>
      <c r="M9245">
        <v>679</v>
      </c>
      <c r="N9245">
        <v>7</v>
      </c>
      <c r="O9245">
        <v>0</v>
      </c>
      <c r="P9245">
        <v>2</v>
      </c>
      <c r="Q9245">
        <v>0</v>
      </c>
    </row>
    <row r="9246" spans="1:17" x14ac:dyDescent="0.2">
      <c r="A9246" s="121">
        <v>42277</v>
      </c>
      <c r="B9246" t="s">
        <v>406</v>
      </c>
      <c r="C9246" t="s">
        <v>510</v>
      </c>
      <c r="D9246" t="s">
        <v>541</v>
      </c>
      <c r="E9246" t="s">
        <v>542</v>
      </c>
      <c r="F9246" t="s">
        <v>410</v>
      </c>
      <c r="G9246">
        <v>372</v>
      </c>
      <c r="I9246">
        <v>372</v>
      </c>
    </row>
    <row r="9247" spans="1:17" x14ac:dyDescent="0.2">
      <c r="A9247" s="121">
        <v>42277</v>
      </c>
      <c r="B9247" t="s">
        <v>406</v>
      </c>
      <c r="C9247" t="s">
        <v>510</v>
      </c>
      <c r="D9247" t="s">
        <v>543</v>
      </c>
      <c r="E9247" t="s">
        <v>544</v>
      </c>
      <c r="F9247" t="s">
        <v>410</v>
      </c>
      <c r="G9247">
        <v>210</v>
      </c>
      <c r="I9247">
        <v>210</v>
      </c>
    </row>
    <row r="9248" spans="1:17" x14ac:dyDescent="0.2">
      <c r="A9248" s="121">
        <v>42277</v>
      </c>
      <c r="B9248" t="s">
        <v>406</v>
      </c>
      <c r="C9248" t="s">
        <v>510</v>
      </c>
      <c r="D9248" t="s">
        <v>545</v>
      </c>
      <c r="E9248" t="s">
        <v>546</v>
      </c>
      <c r="F9248" t="s">
        <v>410</v>
      </c>
      <c r="G9248">
        <v>153</v>
      </c>
      <c r="I9248">
        <v>153</v>
      </c>
    </row>
    <row r="9249" spans="1:17" x14ac:dyDescent="0.2">
      <c r="A9249" s="121">
        <v>42277</v>
      </c>
      <c r="B9249" t="s">
        <v>406</v>
      </c>
      <c r="C9249" t="s">
        <v>510</v>
      </c>
      <c r="D9249" t="s">
        <v>547</v>
      </c>
      <c r="E9249" t="s">
        <v>548</v>
      </c>
      <c r="F9249" t="s">
        <v>410</v>
      </c>
      <c r="G9249">
        <v>210</v>
      </c>
      <c r="I9249">
        <v>210</v>
      </c>
    </row>
    <row r="9250" spans="1:17" x14ac:dyDescent="0.2">
      <c r="A9250" s="121">
        <v>42277</v>
      </c>
      <c r="B9250" t="s">
        <v>406</v>
      </c>
      <c r="C9250" t="s">
        <v>510</v>
      </c>
      <c r="D9250" t="s">
        <v>616</v>
      </c>
      <c r="E9250" t="s">
        <v>617</v>
      </c>
      <c r="F9250" t="s">
        <v>410</v>
      </c>
      <c r="G9250">
        <v>349</v>
      </c>
      <c r="I9250">
        <v>337</v>
      </c>
    </row>
    <row r="9251" spans="1:17" x14ac:dyDescent="0.2">
      <c r="A9251" s="121">
        <v>42277</v>
      </c>
      <c r="B9251" t="s">
        <v>406</v>
      </c>
      <c r="C9251" t="s">
        <v>510</v>
      </c>
      <c r="D9251" t="s">
        <v>549</v>
      </c>
      <c r="E9251" t="s">
        <v>550</v>
      </c>
      <c r="F9251" t="s">
        <v>410</v>
      </c>
      <c r="G9251">
        <v>160</v>
      </c>
      <c r="I9251">
        <v>160</v>
      </c>
    </row>
    <row r="9252" spans="1:17" x14ac:dyDescent="0.2">
      <c r="A9252" s="121">
        <v>42277</v>
      </c>
      <c r="B9252" t="s">
        <v>406</v>
      </c>
      <c r="C9252" t="s">
        <v>510</v>
      </c>
      <c r="D9252" t="s">
        <v>625</v>
      </c>
      <c r="E9252" t="s">
        <v>626</v>
      </c>
      <c r="F9252" t="s">
        <v>410</v>
      </c>
      <c r="G9252">
        <v>81</v>
      </c>
      <c r="I9252">
        <v>80</v>
      </c>
    </row>
    <row r="9253" spans="1:17" x14ac:dyDescent="0.2">
      <c r="A9253" s="121">
        <v>42277</v>
      </c>
      <c r="B9253" t="s">
        <v>406</v>
      </c>
      <c r="C9253" t="s">
        <v>551</v>
      </c>
      <c r="D9253" t="s">
        <v>552</v>
      </c>
      <c r="E9253" t="s">
        <v>553</v>
      </c>
      <c r="F9253" t="s">
        <v>413</v>
      </c>
      <c r="G9253">
        <v>5722</v>
      </c>
      <c r="H9253">
        <v>5722</v>
      </c>
      <c r="I9253">
        <v>5580</v>
      </c>
      <c r="J9253">
        <v>5580</v>
      </c>
      <c r="K9253">
        <v>1894</v>
      </c>
      <c r="L9253">
        <v>8</v>
      </c>
      <c r="M9253">
        <v>3683</v>
      </c>
      <c r="N9253">
        <v>62</v>
      </c>
      <c r="O9253">
        <v>75</v>
      </c>
      <c r="P9253">
        <v>2</v>
      </c>
      <c r="Q9253">
        <v>0</v>
      </c>
    </row>
    <row r="9254" spans="1:17" x14ac:dyDescent="0.2">
      <c r="A9254" s="121">
        <v>42277</v>
      </c>
      <c r="B9254" t="s">
        <v>406</v>
      </c>
      <c r="C9254" t="s">
        <v>551</v>
      </c>
      <c r="D9254" t="s">
        <v>554</v>
      </c>
      <c r="E9254" t="s">
        <v>555</v>
      </c>
      <c r="F9254" t="s">
        <v>410</v>
      </c>
      <c r="G9254">
        <v>52</v>
      </c>
      <c r="I9254">
        <v>52</v>
      </c>
    </row>
    <row r="9255" spans="1:17" x14ac:dyDescent="0.2">
      <c r="A9255" s="121">
        <v>42277</v>
      </c>
      <c r="B9255" t="s">
        <v>406</v>
      </c>
      <c r="C9255" t="s">
        <v>551</v>
      </c>
      <c r="D9255" t="s">
        <v>556</v>
      </c>
      <c r="E9255" t="s">
        <v>557</v>
      </c>
      <c r="F9255" t="s">
        <v>410</v>
      </c>
      <c r="G9255">
        <v>89</v>
      </c>
      <c r="I9255">
        <v>89</v>
      </c>
    </row>
    <row r="9256" spans="1:17" x14ac:dyDescent="0.2">
      <c r="A9256" s="121">
        <v>42277</v>
      </c>
      <c r="B9256" t="s">
        <v>406</v>
      </c>
      <c r="C9256" t="s">
        <v>551</v>
      </c>
      <c r="D9256" t="s">
        <v>558</v>
      </c>
      <c r="E9256" t="s">
        <v>559</v>
      </c>
      <c r="F9256" t="s">
        <v>413</v>
      </c>
      <c r="G9256">
        <v>5053</v>
      </c>
      <c r="H9256">
        <v>5053</v>
      </c>
      <c r="I9256">
        <v>4766</v>
      </c>
      <c r="J9256">
        <v>4766</v>
      </c>
      <c r="K9256">
        <v>1462</v>
      </c>
      <c r="L9256">
        <v>2</v>
      </c>
      <c r="M9256">
        <v>3475</v>
      </c>
      <c r="N9256">
        <v>107</v>
      </c>
      <c r="O9256">
        <v>7</v>
      </c>
      <c r="P9256">
        <v>28</v>
      </c>
      <c r="Q9256">
        <v>0</v>
      </c>
    </row>
    <row r="9257" spans="1:17" x14ac:dyDescent="0.2">
      <c r="A9257" s="121">
        <v>42277</v>
      </c>
      <c r="B9257" t="s">
        <v>406</v>
      </c>
      <c r="C9257" t="s">
        <v>551</v>
      </c>
      <c r="D9257" t="s">
        <v>560</v>
      </c>
      <c r="E9257" t="s">
        <v>561</v>
      </c>
      <c r="F9257" t="s">
        <v>413</v>
      </c>
      <c r="G9257">
        <v>5360</v>
      </c>
      <c r="H9257">
        <v>5360</v>
      </c>
      <c r="I9257">
        <v>4930</v>
      </c>
      <c r="J9257">
        <v>4930</v>
      </c>
      <c r="K9257">
        <v>1062</v>
      </c>
      <c r="L9257">
        <v>7</v>
      </c>
      <c r="M9257">
        <v>4116</v>
      </c>
      <c r="N9257">
        <v>61</v>
      </c>
      <c r="O9257">
        <v>114</v>
      </c>
      <c r="P9257">
        <v>41</v>
      </c>
      <c r="Q9257">
        <v>0</v>
      </c>
    </row>
    <row r="9258" spans="1:17" x14ac:dyDescent="0.2">
      <c r="A9258" s="121">
        <v>42277</v>
      </c>
      <c r="B9258" t="s">
        <v>406</v>
      </c>
      <c r="C9258" t="s">
        <v>562</v>
      </c>
      <c r="D9258" t="s">
        <v>605</v>
      </c>
      <c r="E9258" t="s">
        <v>606</v>
      </c>
      <c r="F9258" t="s">
        <v>410</v>
      </c>
      <c r="G9258">
        <v>166</v>
      </c>
      <c r="I9258">
        <v>166</v>
      </c>
    </row>
    <row r="9259" spans="1:17" x14ac:dyDescent="0.2">
      <c r="A9259" s="121">
        <v>42277</v>
      </c>
      <c r="B9259" t="s">
        <v>406</v>
      </c>
      <c r="C9259" t="s">
        <v>562</v>
      </c>
      <c r="D9259" t="s">
        <v>563</v>
      </c>
      <c r="E9259" t="s">
        <v>564</v>
      </c>
      <c r="F9259" t="s">
        <v>410</v>
      </c>
      <c r="G9259">
        <v>3794</v>
      </c>
      <c r="H9259">
        <v>3794</v>
      </c>
      <c r="I9259">
        <v>3173</v>
      </c>
      <c r="J9259">
        <v>3173</v>
      </c>
      <c r="K9259">
        <v>1153</v>
      </c>
      <c r="L9259">
        <v>0</v>
      </c>
      <c r="M9259">
        <v>2606</v>
      </c>
      <c r="N9259">
        <v>35</v>
      </c>
      <c r="O9259">
        <v>0</v>
      </c>
      <c r="P9259">
        <v>198</v>
      </c>
      <c r="Q9259">
        <v>92</v>
      </c>
    </row>
    <row r="9260" spans="1:17" x14ac:dyDescent="0.2">
      <c r="A9260" s="121">
        <v>42277</v>
      </c>
      <c r="B9260" t="s">
        <v>406</v>
      </c>
      <c r="C9260" t="s">
        <v>562</v>
      </c>
      <c r="D9260" t="s">
        <v>565</v>
      </c>
      <c r="E9260" t="s">
        <v>566</v>
      </c>
      <c r="F9260" t="s">
        <v>413</v>
      </c>
      <c r="G9260">
        <v>4423</v>
      </c>
      <c r="H9260">
        <v>4423</v>
      </c>
      <c r="I9260">
        <v>4271</v>
      </c>
      <c r="J9260">
        <v>4271</v>
      </c>
      <c r="K9260">
        <v>1034</v>
      </c>
      <c r="L9260">
        <v>3</v>
      </c>
      <c r="M9260">
        <v>3312</v>
      </c>
      <c r="N9260">
        <v>74</v>
      </c>
      <c r="O9260">
        <v>0</v>
      </c>
      <c r="P9260">
        <v>7</v>
      </c>
      <c r="Q9260">
        <v>0</v>
      </c>
    </row>
    <row r="9261" spans="1:17" x14ac:dyDescent="0.2">
      <c r="A9261" s="121">
        <v>42277</v>
      </c>
      <c r="B9261" t="s">
        <v>406</v>
      </c>
      <c r="C9261" t="s">
        <v>562</v>
      </c>
      <c r="D9261" t="s">
        <v>567</v>
      </c>
      <c r="E9261" t="s">
        <v>568</v>
      </c>
      <c r="F9261" t="s">
        <v>413</v>
      </c>
      <c r="G9261">
        <v>9990</v>
      </c>
      <c r="H9261">
        <v>9990</v>
      </c>
      <c r="I9261">
        <v>9462</v>
      </c>
      <c r="J9261">
        <v>9462</v>
      </c>
      <c r="K9261">
        <v>2790</v>
      </c>
      <c r="L9261">
        <v>18</v>
      </c>
      <c r="M9261">
        <v>6989</v>
      </c>
      <c r="N9261">
        <v>193</v>
      </c>
      <c r="O9261">
        <v>0</v>
      </c>
      <c r="P9261">
        <v>53</v>
      </c>
      <c r="Q9261">
        <v>0</v>
      </c>
    </row>
    <row r="9262" spans="1:17" x14ac:dyDescent="0.2">
      <c r="A9262" s="121">
        <v>42277</v>
      </c>
      <c r="B9262" t="s">
        <v>406</v>
      </c>
      <c r="C9262" t="s">
        <v>562</v>
      </c>
      <c r="D9262" t="s">
        <v>569</v>
      </c>
      <c r="E9262" t="s">
        <v>570</v>
      </c>
      <c r="F9262" t="s">
        <v>413</v>
      </c>
      <c r="G9262">
        <v>4083</v>
      </c>
      <c r="H9262">
        <v>4083</v>
      </c>
      <c r="I9262">
        <v>4037</v>
      </c>
      <c r="J9262">
        <v>4037</v>
      </c>
      <c r="K9262">
        <v>516</v>
      </c>
      <c r="L9262">
        <v>0</v>
      </c>
      <c r="M9262">
        <v>3565</v>
      </c>
      <c r="N9262">
        <v>2</v>
      </c>
      <c r="O9262">
        <v>0</v>
      </c>
      <c r="P9262">
        <v>0</v>
      </c>
      <c r="Q9262">
        <v>0</v>
      </c>
    </row>
    <row r="9263" spans="1:17" x14ac:dyDescent="0.2">
      <c r="A9263" s="121">
        <v>42277</v>
      </c>
      <c r="B9263" t="s">
        <v>406</v>
      </c>
      <c r="C9263" t="s">
        <v>571</v>
      </c>
      <c r="D9263" t="s">
        <v>572</v>
      </c>
      <c r="E9263" t="s">
        <v>627</v>
      </c>
      <c r="F9263" t="s">
        <v>413</v>
      </c>
      <c r="G9263">
        <v>471</v>
      </c>
      <c r="H9263">
        <v>471</v>
      </c>
      <c r="I9263">
        <v>458</v>
      </c>
      <c r="J9263">
        <v>458</v>
      </c>
      <c r="K9263">
        <v>149</v>
      </c>
      <c r="L9263">
        <v>1</v>
      </c>
      <c r="M9263">
        <v>314</v>
      </c>
      <c r="N9263">
        <v>0</v>
      </c>
      <c r="O9263">
        <v>7</v>
      </c>
      <c r="P9263">
        <v>1</v>
      </c>
      <c r="Q9263">
        <v>0</v>
      </c>
    </row>
    <row r="9264" spans="1:17" x14ac:dyDescent="0.2">
      <c r="A9264" s="121">
        <v>42277</v>
      </c>
      <c r="B9264" t="s">
        <v>406</v>
      </c>
      <c r="C9264" t="s">
        <v>574</v>
      </c>
      <c r="D9264" t="s">
        <v>575</v>
      </c>
      <c r="E9264" t="s">
        <v>576</v>
      </c>
      <c r="F9264" t="s">
        <v>413</v>
      </c>
      <c r="G9264">
        <v>601</v>
      </c>
      <c r="H9264">
        <v>601</v>
      </c>
      <c r="I9264">
        <v>588</v>
      </c>
      <c r="J9264">
        <v>588</v>
      </c>
      <c r="K9264">
        <v>167</v>
      </c>
      <c r="L9264">
        <v>0</v>
      </c>
      <c r="M9264">
        <v>405</v>
      </c>
      <c r="N9264">
        <v>3</v>
      </c>
      <c r="O9264">
        <v>26</v>
      </c>
      <c r="P9264">
        <v>0</v>
      </c>
      <c r="Q9264">
        <v>0</v>
      </c>
    </row>
    <row r="9265" spans="1:17" x14ac:dyDescent="0.2">
      <c r="A9265" s="121">
        <v>42277</v>
      </c>
      <c r="B9265" t="s">
        <v>406</v>
      </c>
      <c r="C9265" t="s">
        <v>577</v>
      </c>
      <c r="D9265" t="s">
        <v>578</v>
      </c>
      <c r="E9265" t="s">
        <v>579</v>
      </c>
      <c r="F9265" t="s">
        <v>413</v>
      </c>
      <c r="G9265">
        <v>4089</v>
      </c>
      <c r="H9265">
        <v>4089</v>
      </c>
      <c r="I9265">
        <v>3994</v>
      </c>
      <c r="J9265">
        <v>3994</v>
      </c>
      <c r="K9265">
        <v>1117</v>
      </c>
      <c r="L9265">
        <v>8</v>
      </c>
      <c r="M9265">
        <v>2720</v>
      </c>
      <c r="N9265">
        <v>239</v>
      </c>
      <c r="O9265">
        <v>5</v>
      </c>
      <c r="P9265">
        <v>0</v>
      </c>
      <c r="Q9265">
        <v>0</v>
      </c>
    </row>
    <row r="9266" spans="1:17" x14ac:dyDescent="0.2">
      <c r="A9266" s="121">
        <v>42277</v>
      </c>
      <c r="B9266" t="s">
        <v>406</v>
      </c>
      <c r="C9266" t="s">
        <v>577</v>
      </c>
      <c r="D9266" t="s">
        <v>580</v>
      </c>
      <c r="E9266" t="s">
        <v>581</v>
      </c>
      <c r="F9266" t="s">
        <v>413</v>
      </c>
      <c r="G9266">
        <v>2179</v>
      </c>
      <c r="H9266">
        <v>2179</v>
      </c>
      <c r="I9266">
        <v>2114</v>
      </c>
      <c r="J9266">
        <v>2114</v>
      </c>
      <c r="K9266">
        <v>378</v>
      </c>
      <c r="L9266">
        <v>3</v>
      </c>
      <c r="M9266">
        <v>1526</v>
      </c>
      <c r="N9266">
        <v>272</v>
      </c>
      <c r="O9266">
        <v>0</v>
      </c>
      <c r="P9266">
        <v>0</v>
      </c>
      <c r="Q9266">
        <v>0</v>
      </c>
    </row>
    <row r="9267" spans="1:17" x14ac:dyDescent="0.2">
      <c r="A9267" s="121">
        <v>42277</v>
      </c>
      <c r="B9267" t="s">
        <v>406</v>
      </c>
      <c r="C9267" t="s">
        <v>577</v>
      </c>
      <c r="D9267" t="s">
        <v>609</v>
      </c>
      <c r="E9267" t="s">
        <v>610</v>
      </c>
      <c r="F9267" t="s">
        <v>410</v>
      </c>
      <c r="G9267">
        <v>35</v>
      </c>
      <c r="H9267">
        <v>35</v>
      </c>
      <c r="I9267">
        <v>35</v>
      </c>
      <c r="J9267">
        <v>35</v>
      </c>
      <c r="K9267">
        <v>0</v>
      </c>
      <c r="L9267">
        <v>0</v>
      </c>
      <c r="M9267">
        <v>31</v>
      </c>
      <c r="N9267">
        <v>3</v>
      </c>
      <c r="O9267">
        <v>1</v>
      </c>
      <c r="P9267">
        <v>0</v>
      </c>
      <c r="Q9267">
        <v>0</v>
      </c>
    </row>
    <row r="9268" spans="1:17" x14ac:dyDescent="0.2">
      <c r="A9268" s="121">
        <v>42277</v>
      </c>
      <c r="B9268" t="s">
        <v>406</v>
      </c>
      <c r="C9268" t="s">
        <v>577</v>
      </c>
      <c r="D9268" t="s">
        <v>611</v>
      </c>
      <c r="E9268" t="s">
        <v>612</v>
      </c>
      <c r="F9268" t="s">
        <v>410</v>
      </c>
      <c r="G9268">
        <v>6</v>
      </c>
      <c r="H9268">
        <v>6</v>
      </c>
      <c r="I9268">
        <v>6</v>
      </c>
      <c r="J9268">
        <v>6</v>
      </c>
      <c r="K9268">
        <v>0</v>
      </c>
      <c r="L9268">
        <v>0</v>
      </c>
      <c r="M9268">
        <v>6</v>
      </c>
      <c r="N9268">
        <v>0</v>
      </c>
      <c r="O9268">
        <v>0</v>
      </c>
      <c r="P9268">
        <v>0</v>
      </c>
      <c r="Q9268">
        <v>0</v>
      </c>
    </row>
    <row r="9269" spans="1:17" x14ac:dyDescent="0.2">
      <c r="A9269" s="121">
        <v>42277</v>
      </c>
      <c r="B9269" t="s">
        <v>406</v>
      </c>
      <c r="C9269" t="s">
        <v>577</v>
      </c>
      <c r="D9269" t="s">
        <v>584</v>
      </c>
      <c r="E9269" t="s">
        <v>585</v>
      </c>
      <c r="F9269" t="s">
        <v>410</v>
      </c>
      <c r="G9269">
        <v>243</v>
      </c>
      <c r="H9269">
        <v>243</v>
      </c>
      <c r="I9269">
        <v>243</v>
      </c>
      <c r="J9269">
        <v>243</v>
      </c>
      <c r="K9269">
        <v>0</v>
      </c>
      <c r="L9269">
        <v>0</v>
      </c>
      <c r="M9269">
        <v>227</v>
      </c>
      <c r="N9269">
        <v>15</v>
      </c>
      <c r="O9269">
        <v>1</v>
      </c>
      <c r="P9269">
        <v>0</v>
      </c>
      <c r="Q9269">
        <v>0</v>
      </c>
    </row>
    <row r="9270" spans="1:17" x14ac:dyDescent="0.2">
      <c r="A9270" s="121">
        <v>42277</v>
      </c>
      <c r="B9270" t="s">
        <v>406</v>
      </c>
      <c r="C9270" t="s">
        <v>577</v>
      </c>
      <c r="D9270" t="s">
        <v>586</v>
      </c>
      <c r="E9270" t="s">
        <v>587</v>
      </c>
      <c r="F9270" t="s">
        <v>410</v>
      </c>
      <c r="G9270">
        <v>990</v>
      </c>
      <c r="H9270">
        <v>990</v>
      </c>
      <c r="I9270">
        <v>990</v>
      </c>
      <c r="J9270">
        <v>990</v>
      </c>
      <c r="K9270">
        <v>0</v>
      </c>
      <c r="L9270">
        <v>0</v>
      </c>
      <c r="M9270">
        <v>906</v>
      </c>
      <c r="N9270">
        <v>82</v>
      </c>
      <c r="O9270">
        <v>2</v>
      </c>
      <c r="P9270">
        <v>0</v>
      </c>
      <c r="Q9270">
        <v>0</v>
      </c>
    </row>
    <row r="9271" spans="1:17" x14ac:dyDescent="0.2">
      <c r="A9271" s="121">
        <v>42277</v>
      </c>
      <c r="B9271" t="s">
        <v>406</v>
      </c>
      <c r="C9271" t="s">
        <v>577</v>
      </c>
      <c r="D9271" t="s">
        <v>588</v>
      </c>
      <c r="E9271" t="s">
        <v>589</v>
      </c>
      <c r="F9271" t="s">
        <v>410</v>
      </c>
      <c r="G9271">
        <v>149</v>
      </c>
      <c r="H9271">
        <v>149</v>
      </c>
      <c r="I9271">
        <v>149</v>
      </c>
      <c r="J9271">
        <v>149</v>
      </c>
      <c r="K9271">
        <v>0</v>
      </c>
      <c r="L9271">
        <v>0</v>
      </c>
      <c r="M9271">
        <v>141</v>
      </c>
      <c r="N9271">
        <v>8</v>
      </c>
      <c r="O9271">
        <v>0</v>
      </c>
      <c r="P9271">
        <v>0</v>
      </c>
      <c r="Q9271">
        <v>0</v>
      </c>
    </row>
    <row r="9272" spans="1:17" x14ac:dyDescent="0.2">
      <c r="A9272" s="121">
        <v>42277</v>
      </c>
      <c r="B9272" t="s">
        <v>406</v>
      </c>
      <c r="C9272" t="s">
        <v>577</v>
      </c>
      <c r="D9272" t="s">
        <v>613</v>
      </c>
      <c r="E9272" t="s">
        <v>614</v>
      </c>
      <c r="F9272" t="s">
        <v>410</v>
      </c>
      <c r="G9272">
        <v>94</v>
      </c>
      <c r="H9272">
        <v>94</v>
      </c>
      <c r="I9272">
        <v>93</v>
      </c>
      <c r="J9272">
        <v>93</v>
      </c>
      <c r="K9272">
        <v>0</v>
      </c>
      <c r="L9272">
        <v>0</v>
      </c>
      <c r="M9272">
        <v>83</v>
      </c>
      <c r="N9272">
        <v>10</v>
      </c>
      <c r="O9272">
        <v>1</v>
      </c>
      <c r="P9272">
        <v>0</v>
      </c>
      <c r="Q9272">
        <v>0</v>
      </c>
    </row>
    <row r="9273" spans="1:17" x14ac:dyDescent="0.2">
      <c r="A9273" s="121">
        <v>42277</v>
      </c>
      <c r="B9273" t="s">
        <v>406</v>
      </c>
      <c r="C9273" t="s">
        <v>577</v>
      </c>
      <c r="D9273" t="s">
        <v>590</v>
      </c>
      <c r="E9273" t="s">
        <v>591</v>
      </c>
      <c r="F9273" t="s">
        <v>410</v>
      </c>
      <c r="G9273">
        <v>673</v>
      </c>
      <c r="H9273">
        <v>673</v>
      </c>
      <c r="I9273">
        <v>673</v>
      </c>
      <c r="J9273">
        <v>673</v>
      </c>
      <c r="K9273">
        <v>0</v>
      </c>
      <c r="L9273">
        <v>1</v>
      </c>
      <c r="M9273">
        <v>652</v>
      </c>
      <c r="N9273">
        <v>20</v>
      </c>
      <c r="O9273">
        <v>0</v>
      </c>
      <c r="P9273">
        <v>0</v>
      </c>
      <c r="Q9273">
        <v>0</v>
      </c>
    </row>
    <row r="9274" spans="1:17" x14ac:dyDescent="0.2">
      <c r="A9274" s="121">
        <v>42277</v>
      </c>
      <c r="B9274" t="s">
        <v>406</v>
      </c>
      <c r="C9274" t="s">
        <v>577</v>
      </c>
      <c r="D9274" t="s">
        <v>607</v>
      </c>
      <c r="E9274" t="s">
        <v>608</v>
      </c>
      <c r="F9274" t="s">
        <v>410</v>
      </c>
      <c r="G9274">
        <v>225</v>
      </c>
      <c r="H9274">
        <v>225</v>
      </c>
      <c r="I9274">
        <v>225</v>
      </c>
      <c r="J9274">
        <v>225</v>
      </c>
      <c r="K9274">
        <v>0</v>
      </c>
      <c r="L9274">
        <v>0</v>
      </c>
      <c r="M9274">
        <v>210</v>
      </c>
      <c r="N9274">
        <v>11</v>
      </c>
      <c r="O9274">
        <v>4</v>
      </c>
      <c r="P9274">
        <v>0</v>
      </c>
      <c r="Q9274">
        <v>0</v>
      </c>
    </row>
    <row r="9275" spans="1:17" x14ac:dyDescent="0.2">
      <c r="A9275" s="121">
        <v>42277</v>
      </c>
      <c r="B9275" t="s">
        <v>406</v>
      </c>
      <c r="C9275" t="s">
        <v>577</v>
      </c>
      <c r="D9275" t="s">
        <v>592</v>
      </c>
      <c r="E9275" t="s">
        <v>593</v>
      </c>
      <c r="F9275" t="s">
        <v>410</v>
      </c>
      <c r="G9275">
        <v>544</v>
      </c>
      <c r="H9275">
        <v>544</v>
      </c>
      <c r="I9275">
        <v>543</v>
      </c>
      <c r="J9275">
        <v>543</v>
      </c>
      <c r="K9275">
        <v>0</v>
      </c>
      <c r="L9275">
        <v>0</v>
      </c>
      <c r="M9275">
        <v>501</v>
      </c>
      <c r="N9275">
        <v>41</v>
      </c>
      <c r="O9275">
        <v>2</v>
      </c>
      <c r="P9275">
        <v>0</v>
      </c>
      <c r="Q9275">
        <v>0</v>
      </c>
    </row>
    <row r="9276" spans="1:17" x14ac:dyDescent="0.2">
      <c r="A9276" s="121">
        <v>42277</v>
      </c>
      <c r="B9276" t="s">
        <v>406</v>
      </c>
      <c r="C9276" t="s">
        <v>594</v>
      </c>
      <c r="D9276" t="s">
        <v>595</v>
      </c>
      <c r="E9276" t="s">
        <v>596</v>
      </c>
      <c r="F9276" t="s">
        <v>410</v>
      </c>
      <c r="G9276">
        <v>37</v>
      </c>
      <c r="I9276">
        <v>37</v>
      </c>
    </row>
    <row r="9277" spans="1:17" x14ac:dyDescent="0.2">
      <c r="A9277" s="121">
        <v>42277</v>
      </c>
      <c r="B9277" t="s">
        <v>406</v>
      </c>
      <c r="C9277" t="s">
        <v>594</v>
      </c>
      <c r="D9277" t="s">
        <v>597</v>
      </c>
      <c r="E9277" t="s">
        <v>598</v>
      </c>
      <c r="F9277" t="s">
        <v>413</v>
      </c>
      <c r="G9277">
        <v>564</v>
      </c>
      <c r="H9277">
        <v>564</v>
      </c>
      <c r="I9277">
        <v>561</v>
      </c>
      <c r="J9277">
        <v>561</v>
      </c>
      <c r="K9277">
        <v>119</v>
      </c>
      <c r="L9277">
        <v>0</v>
      </c>
      <c r="M9277">
        <v>424</v>
      </c>
      <c r="N9277">
        <v>5</v>
      </c>
      <c r="O9277">
        <v>16</v>
      </c>
      <c r="P9277">
        <v>0</v>
      </c>
      <c r="Q9277">
        <v>0</v>
      </c>
    </row>
    <row r="9278" spans="1:17" x14ac:dyDescent="0.2">
      <c r="A9278" s="121">
        <v>42277</v>
      </c>
      <c r="B9278" t="s">
        <v>406</v>
      </c>
      <c r="C9278" t="s">
        <v>594</v>
      </c>
      <c r="D9278" t="s">
        <v>599</v>
      </c>
      <c r="E9278" t="s">
        <v>600</v>
      </c>
      <c r="F9278" t="s">
        <v>410</v>
      </c>
      <c r="G9278">
        <v>147</v>
      </c>
      <c r="I9278">
        <v>147</v>
      </c>
    </row>
    <row r="9279" spans="1:17" x14ac:dyDescent="0.2">
      <c r="A9279" s="121">
        <v>42308</v>
      </c>
      <c r="B9279" t="s">
        <v>406</v>
      </c>
      <c r="C9279" t="s">
        <v>407</v>
      </c>
      <c r="D9279" t="s">
        <v>408</v>
      </c>
      <c r="E9279" t="s">
        <v>409</v>
      </c>
      <c r="F9279" t="s">
        <v>410</v>
      </c>
      <c r="G9279">
        <v>179</v>
      </c>
      <c r="I9279">
        <v>176</v>
      </c>
    </row>
    <row r="9280" spans="1:17" x14ac:dyDescent="0.2">
      <c r="A9280" s="121">
        <v>42308</v>
      </c>
      <c r="B9280" t="s">
        <v>406</v>
      </c>
      <c r="C9280" t="s">
        <v>407</v>
      </c>
      <c r="D9280" t="s">
        <v>601</v>
      </c>
      <c r="E9280" t="s">
        <v>602</v>
      </c>
      <c r="F9280" t="s">
        <v>410</v>
      </c>
      <c r="G9280">
        <v>56</v>
      </c>
      <c r="I9280">
        <v>56</v>
      </c>
    </row>
    <row r="9281" spans="1:17" x14ac:dyDescent="0.2">
      <c r="A9281" s="121">
        <v>42308</v>
      </c>
      <c r="B9281" t="s">
        <v>406</v>
      </c>
      <c r="C9281" t="s">
        <v>407</v>
      </c>
      <c r="D9281" t="s">
        <v>411</v>
      </c>
      <c r="E9281" t="s">
        <v>412</v>
      </c>
      <c r="F9281" t="s">
        <v>413</v>
      </c>
      <c r="G9281">
        <v>6271</v>
      </c>
      <c r="H9281">
        <v>6271</v>
      </c>
      <c r="I9281">
        <v>5604</v>
      </c>
      <c r="J9281">
        <v>5604</v>
      </c>
      <c r="K9281">
        <v>2583</v>
      </c>
      <c r="L9281">
        <v>6</v>
      </c>
      <c r="M9281">
        <v>3306</v>
      </c>
      <c r="N9281">
        <v>115</v>
      </c>
      <c r="O9281">
        <v>261</v>
      </c>
      <c r="P9281">
        <v>80</v>
      </c>
      <c r="Q9281">
        <v>13</v>
      </c>
    </row>
    <row r="9282" spans="1:17" x14ac:dyDescent="0.2">
      <c r="A9282" s="121">
        <v>42308</v>
      </c>
      <c r="B9282" t="s">
        <v>406</v>
      </c>
      <c r="C9282" t="s">
        <v>407</v>
      </c>
      <c r="D9282" t="s">
        <v>416</v>
      </c>
      <c r="E9282" t="s">
        <v>417</v>
      </c>
      <c r="F9282" t="s">
        <v>413</v>
      </c>
      <c r="G9282">
        <v>3633</v>
      </c>
      <c r="H9282">
        <v>3633</v>
      </c>
      <c r="I9282">
        <v>3252</v>
      </c>
      <c r="J9282">
        <v>3252</v>
      </c>
      <c r="K9282">
        <v>1448</v>
      </c>
      <c r="L9282">
        <v>4</v>
      </c>
      <c r="M9282">
        <v>2043</v>
      </c>
      <c r="N9282">
        <v>101</v>
      </c>
      <c r="O9282">
        <v>37</v>
      </c>
      <c r="P9282">
        <v>41</v>
      </c>
      <c r="Q9282">
        <v>6</v>
      </c>
    </row>
    <row r="9283" spans="1:17" x14ac:dyDescent="0.2">
      <c r="A9283" s="121">
        <v>42308</v>
      </c>
      <c r="B9283" t="s">
        <v>406</v>
      </c>
      <c r="C9283" t="s">
        <v>407</v>
      </c>
      <c r="D9283" t="s">
        <v>618</v>
      </c>
      <c r="E9283" t="s">
        <v>619</v>
      </c>
      <c r="F9283" t="s">
        <v>410</v>
      </c>
      <c r="G9283">
        <v>88</v>
      </c>
      <c r="I9283">
        <v>88</v>
      </c>
    </row>
    <row r="9284" spans="1:17" x14ac:dyDescent="0.2">
      <c r="A9284" s="121">
        <v>42308</v>
      </c>
      <c r="B9284" t="s">
        <v>406</v>
      </c>
      <c r="C9284" t="s">
        <v>418</v>
      </c>
      <c r="D9284" t="s">
        <v>419</v>
      </c>
      <c r="E9284" t="s">
        <v>420</v>
      </c>
      <c r="F9284" t="s">
        <v>410</v>
      </c>
      <c r="G9284">
        <v>14</v>
      </c>
      <c r="I9284">
        <v>14</v>
      </c>
    </row>
    <row r="9285" spans="1:17" x14ac:dyDescent="0.2">
      <c r="A9285" s="121">
        <v>42308</v>
      </c>
      <c r="B9285" t="s">
        <v>406</v>
      </c>
      <c r="C9285" t="s">
        <v>418</v>
      </c>
      <c r="D9285" t="s">
        <v>421</v>
      </c>
      <c r="E9285" t="s">
        <v>422</v>
      </c>
      <c r="F9285" t="s">
        <v>410</v>
      </c>
      <c r="G9285">
        <v>64</v>
      </c>
      <c r="I9285">
        <v>64</v>
      </c>
    </row>
    <row r="9286" spans="1:17" x14ac:dyDescent="0.2">
      <c r="A9286" s="121">
        <v>42308</v>
      </c>
      <c r="B9286" t="s">
        <v>406</v>
      </c>
      <c r="C9286" t="s">
        <v>418</v>
      </c>
      <c r="D9286" t="s">
        <v>423</v>
      </c>
      <c r="E9286" t="s">
        <v>424</v>
      </c>
      <c r="F9286" t="s">
        <v>410</v>
      </c>
      <c r="G9286">
        <v>10</v>
      </c>
      <c r="I9286">
        <v>10</v>
      </c>
    </row>
    <row r="9287" spans="1:17" x14ac:dyDescent="0.2">
      <c r="A9287" s="121">
        <v>42308</v>
      </c>
      <c r="B9287" t="s">
        <v>406</v>
      </c>
      <c r="C9287" t="s">
        <v>418</v>
      </c>
      <c r="D9287" t="s">
        <v>425</v>
      </c>
      <c r="E9287" t="s">
        <v>426</v>
      </c>
      <c r="F9287" t="s">
        <v>410</v>
      </c>
      <c r="G9287">
        <v>45</v>
      </c>
      <c r="I9287">
        <v>45</v>
      </c>
    </row>
    <row r="9288" spans="1:17" x14ac:dyDescent="0.2">
      <c r="A9288" s="121">
        <v>42308</v>
      </c>
      <c r="B9288" t="s">
        <v>406</v>
      </c>
      <c r="C9288" t="s">
        <v>418</v>
      </c>
      <c r="D9288" t="s">
        <v>427</v>
      </c>
      <c r="E9288" t="s">
        <v>428</v>
      </c>
      <c r="F9288" t="s">
        <v>413</v>
      </c>
      <c r="G9288">
        <v>2361</v>
      </c>
      <c r="H9288">
        <v>2361</v>
      </c>
      <c r="I9288">
        <v>2265</v>
      </c>
      <c r="J9288">
        <v>2265</v>
      </c>
      <c r="K9288">
        <v>841</v>
      </c>
      <c r="L9288">
        <v>4</v>
      </c>
      <c r="M9288">
        <v>1354</v>
      </c>
      <c r="N9288">
        <v>146</v>
      </c>
      <c r="O9288">
        <v>16</v>
      </c>
      <c r="P9288">
        <v>2</v>
      </c>
      <c r="Q9288">
        <v>0</v>
      </c>
    </row>
    <row r="9289" spans="1:17" x14ac:dyDescent="0.2">
      <c r="A9289" s="121">
        <v>42308</v>
      </c>
      <c r="B9289" t="s">
        <v>406</v>
      </c>
      <c r="C9289" t="s">
        <v>429</v>
      </c>
      <c r="D9289" t="s">
        <v>430</v>
      </c>
      <c r="E9289" t="s">
        <v>431</v>
      </c>
      <c r="F9289" t="s">
        <v>410</v>
      </c>
      <c r="G9289">
        <v>23</v>
      </c>
      <c r="I9289">
        <v>23</v>
      </c>
    </row>
    <row r="9290" spans="1:17" x14ac:dyDescent="0.2">
      <c r="A9290" s="121">
        <v>42308</v>
      </c>
      <c r="B9290" t="s">
        <v>406</v>
      </c>
      <c r="C9290" t="s">
        <v>429</v>
      </c>
      <c r="D9290" t="s">
        <v>432</v>
      </c>
      <c r="E9290" t="s">
        <v>433</v>
      </c>
      <c r="F9290" t="s">
        <v>410</v>
      </c>
      <c r="G9290">
        <v>33</v>
      </c>
      <c r="I9290">
        <v>33</v>
      </c>
    </row>
    <row r="9291" spans="1:17" x14ac:dyDescent="0.2">
      <c r="A9291" s="121">
        <v>42308</v>
      </c>
      <c r="B9291" t="s">
        <v>406</v>
      </c>
      <c r="C9291" t="s">
        <v>429</v>
      </c>
      <c r="D9291" t="s">
        <v>434</v>
      </c>
      <c r="E9291" t="s">
        <v>435</v>
      </c>
      <c r="F9291" t="s">
        <v>410</v>
      </c>
      <c r="G9291">
        <v>8</v>
      </c>
      <c r="I9291">
        <v>8</v>
      </c>
    </row>
    <row r="9292" spans="1:17" x14ac:dyDescent="0.2">
      <c r="A9292" s="121">
        <v>42308</v>
      </c>
      <c r="B9292" t="s">
        <v>406</v>
      </c>
      <c r="C9292" t="s">
        <v>429</v>
      </c>
      <c r="D9292" t="s">
        <v>436</v>
      </c>
      <c r="E9292" t="s">
        <v>437</v>
      </c>
      <c r="F9292" t="s">
        <v>410</v>
      </c>
      <c r="G9292">
        <v>17</v>
      </c>
      <c r="H9292">
        <v>17</v>
      </c>
      <c r="I9292">
        <v>17</v>
      </c>
      <c r="J9292">
        <v>17</v>
      </c>
      <c r="K9292">
        <v>0</v>
      </c>
      <c r="L9292">
        <v>0</v>
      </c>
      <c r="M9292">
        <v>16</v>
      </c>
      <c r="N9292">
        <v>1</v>
      </c>
      <c r="O9292">
        <v>0</v>
      </c>
      <c r="P9292">
        <v>0</v>
      </c>
      <c r="Q9292">
        <v>0</v>
      </c>
    </row>
    <row r="9293" spans="1:17" x14ac:dyDescent="0.2">
      <c r="A9293" s="121">
        <v>42308</v>
      </c>
      <c r="B9293" t="s">
        <v>406</v>
      </c>
      <c r="C9293" t="s">
        <v>429</v>
      </c>
      <c r="D9293" t="s">
        <v>438</v>
      </c>
      <c r="E9293" t="s">
        <v>439</v>
      </c>
      <c r="F9293" t="s">
        <v>413</v>
      </c>
      <c r="G9293">
        <v>1011</v>
      </c>
      <c r="H9293">
        <v>1011</v>
      </c>
      <c r="I9293">
        <v>996</v>
      </c>
      <c r="J9293">
        <v>996</v>
      </c>
      <c r="K9293">
        <v>72</v>
      </c>
      <c r="L9293">
        <v>0</v>
      </c>
      <c r="M9293">
        <v>858</v>
      </c>
      <c r="N9293">
        <v>53</v>
      </c>
      <c r="O9293">
        <v>28</v>
      </c>
      <c r="P9293">
        <v>0</v>
      </c>
      <c r="Q9293">
        <v>0</v>
      </c>
    </row>
    <row r="9294" spans="1:17" x14ac:dyDescent="0.2">
      <c r="A9294" s="121">
        <v>42308</v>
      </c>
      <c r="B9294" t="s">
        <v>406</v>
      </c>
      <c r="C9294" t="s">
        <v>429</v>
      </c>
      <c r="D9294" t="s">
        <v>440</v>
      </c>
      <c r="E9294" t="s">
        <v>441</v>
      </c>
      <c r="F9294" t="s">
        <v>413</v>
      </c>
      <c r="G9294">
        <v>2807</v>
      </c>
      <c r="H9294">
        <v>2807</v>
      </c>
      <c r="I9294">
        <v>2725</v>
      </c>
      <c r="J9294">
        <v>2725</v>
      </c>
      <c r="K9294">
        <v>963</v>
      </c>
      <c r="L9294">
        <v>4</v>
      </c>
      <c r="M9294">
        <v>1718</v>
      </c>
      <c r="N9294">
        <v>77</v>
      </c>
      <c r="O9294">
        <v>45</v>
      </c>
      <c r="P9294">
        <v>0</v>
      </c>
      <c r="Q9294">
        <v>0</v>
      </c>
    </row>
    <row r="9295" spans="1:17" x14ac:dyDescent="0.2">
      <c r="A9295" s="121">
        <v>42308</v>
      </c>
      <c r="B9295" t="s">
        <v>406</v>
      </c>
      <c r="C9295" t="s">
        <v>442</v>
      </c>
      <c r="D9295" t="s">
        <v>443</v>
      </c>
      <c r="E9295" t="s">
        <v>444</v>
      </c>
      <c r="F9295" t="s">
        <v>413</v>
      </c>
      <c r="G9295">
        <v>5231</v>
      </c>
      <c r="H9295">
        <v>5231</v>
      </c>
      <c r="I9295">
        <v>5028</v>
      </c>
      <c r="J9295">
        <v>5028</v>
      </c>
      <c r="K9295">
        <v>1378</v>
      </c>
      <c r="L9295">
        <v>4</v>
      </c>
      <c r="M9295">
        <v>3535</v>
      </c>
      <c r="N9295">
        <v>130</v>
      </c>
      <c r="O9295">
        <v>184</v>
      </c>
      <c r="P9295">
        <v>8</v>
      </c>
      <c r="Q9295">
        <v>0</v>
      </c>
    </row>
    <row r="9296" spans="1:17" x14ac:dyDescent="0.2">
      <c r="A9296" s="121">
        <v>42308</v>
      </c>
      <c r="B9296" t="s">
        <v>406</v>
      </c>
      <c r="C9296" t="s">
        <v>442</v>
      </c>
      <c r="D9296" t="s">
        <v>445</v>
      </c>
      <c r="E9296" t="s">
        <v>446</v>
      </c>
      <c r="F9296" t="s">
        <v>410</v>
      </c>
      <c r="G9296">
        <v>125</v>
      </c>
      <c r="I9296">
        <v>125</v>
      </c>
    </row>
    <row r="9297" spans="1:17" x14ac:dyDescent="0.2">
      <c r="A9297" s="121">
        <v>42308</v>
      </c>
      <c r="B9297" t="s">
        <v>406</v>
      </c>
      <c r="C9297" t="s">
        <v>442</v>
      </c>
      <c r="D9297" t="s">
        <v>447</v>
      </c>
      <c r="E9297" t="s">
        <v>448</v>
      </c>
      <c r="F9297" t="s">
        <v>410</v>
      </c>
      <c r="G9297">
        <v>337</v>
      </c>
      <c r="I9297">
        <v>337</v>
      </c>
    </row>
    <row r="9298" spans="1:17" x14ac:dyDescent="0.2">
      <c r="A9298" s="121">
        <v>42308</v>
      </c>
      <c r="B9298" t="s">
        <v>406</v>
      </c>
      <c r="C9298" t="s">
        <v>442</v>
      </c>
      <c r="D9298" t="s">
        <v>449</v>
      </c>
      <c r="E9298" t="s">
        <v>624</v>
      </c>
      <c r="F9298" t="s">
        <v>410</v>
      </c>
      <c r="G9298">
        <v>1785</v>
      </c>
      <c r="H9298">
        <v>1785</v>
      </c>
      <c r="I9298">
        <v>1785</v>
      </c>
      <c r="J9298">
        <v>1785</v>
      </c>
      <c r="K9298">
        <v>8</v>
      </c>
      <c r="L9298">
        <v>0</v>
      </c>
      <c r="M9298">
        <v>1613</v>
      </c>
      <c r="N9298">
        <v>151</v>
      </c>
      <c r="O9298">
        <v>13</v>
      </c>
      <c r="P9298">
        <v>0</v>
      </c>
      <c r="Q9298">
        <v>0</v>
      </c>
    </row>
    <row r="9299" spans="1:17" x14ac:dyDescent="0.2">
      <c r="A9299" s="121">
        <v>42308</v>
      </c>
      <c r="B9299" t="s">
        <v>406</v>
      </c>
      <c r="C9299" t="s">
        <v>451</v>
      </c>
      <c r="D9299" t="s">
        <v>454</v>
      </c>
      <c r="E9299" t="s">
        <v>621</v>
      </c>
      <c r="F9299" t="s">
        <v>410</v>
      </c>
      <c r="G9299">
        <v>1361</v>
      </c>
      <c r="H9299">
        <v>1361</v>
      </c>
      <c r="I9299">
        <v>1361</v>
      </c>
      <c r="J9299">
        <v>1361</v>
      </c>
      <c r="K9299">
        <v>1</v>
      </c>
      <c r="L9299">
        <v>0</v>
      </c>
      <c r="M9299">
        <v>917</v>
      </c>
      <c r="N9299">
        <v>54</v>
      </c>
      <c r="O9299">
        <v>389</v>
      </c>
      <c r="P9299">
        <v>0</v>
      </c>
      <c r="Q9299">
        <v>0</v>
      </c>
    </row>
    <row r="9300" spans="1:17" x14ac:dyDescent="0.2">
      <c r="A9300" s="121">
        <v>42308</v>
      </c>
      <c r="B9300" t="s">
        <v>406</v>
      </c>
      <c r="C9300" t="s">
        <v>451</v>
      </c>
      <c r="D9300" t="s">
        <v>622</v>
      </c>
      <c r="E9300" t="s">
        <v>623</v>
      </c>
      <c r="F9300" t="s">
        <v>413</v>
      </c>
      <c r="G9300">
        <v>5111</v>
      </c>
      <c r="H9300">
        <v>5111</v>
      </c>
      <c r="I9300">
        <v>4829</v>
      </c>
      <c r="J9300">
        <v>4829</v>
      </c>
      <c r="K9300">
        <v>1388</v>
      </c>
      <c r="L9300">
        <v>20</v>
      </c>
      <c r="M9300">
        <v>2997</v>
      </c>
      <c r="N9300">
        <v>36</v>
      </c>
      <c r="O9300">
        <v>670</v>
      </c>
      <c r="P9300">
        <v>17</v>
      </c>
      <c r="Q9300">
        <v>0</v>
      </c>
    </row>
    <row r="9301" spans="1:17" x14ac:dyDescent="0.2">
      <c r="A9301" s="121">
        <v>42308</v>
      </c>
      <c r="B9301" t="s">
        <v>406</v>
      </c>
      <c r="C9301" t="s">
        <v>456</v>
      </c>
      <c r="D9301" t="s">
        <v>457</v>
      </c>
      <c r="E9301" t="s">
        <v>458</v>
      </c>
      <c r="F9301" t="s">
        <v>413</v>
      </c>
      <c r="G9301">
        <v>4804</v>
      </c>
      <c r="H9301">
        <v>4804</v>
      </c>
      <c r="I9301">
        <v>4508</v>
      </c>
      <c r="J9301">
        <v>4508</v>
      </c>
      <c r="K9301">
        <v>1264</v>
      </c>
      <c r="L9301">
        <v>12</v>
      </c>
      <c r="M9301">
        <v>3070</v>
      </c>
      <c r="N9301">
        <v>33</v>
      </c>
      <c r="O9301">
        <v>425</v>
      </c>
      <c r="P9301">
        <v>7</v>
      </c>
      <c r="Q9301">
        <v>0</v>
      </c>
    </row>
    <row r="9302" spans="1:17" x14ac:dyDescent="0.2">
      <c r="A9302" s="121">
        <v>42308</v>
      </c>
      <c r="B9302" t="s">
        <v>406</v>
      </c>
      <c r="C9302" t="s">
        <v>456</v>
      </c>
      <c r="D9302" t="s">
        <v>459</v>
      </c>
      <c r="E9302" t="s">
        <v>460</v>
      </c>
      <c r="F9302" t="s">
        <v>413</v>
      </c>
      <c r="G9302">
        <v>1383</v>
      </c>
      <c r="H9302">
        <v>1383</v>
      </c>
      <c r="I9302">
        <v>1377</v>
      </c>
      <c r="J9302">
        <v>1377</v>
      </c>
      <c r="K9302">
        <v>342</v>
      </c>
      <c r="L9302">
        <v>0</v>
      </c>
      <c r="M9302">
        <v>1000</v>
      </c>
      <c r="N9302">
        <v>0</v>
      </c>
      <c r="O9302">
        <v>41</v>
      </c>
      <c r="P9302">
        <v>0</v>
      </c>
      <c r="Q9302">
        <v>0</v>
      </c>
    </row>
    <row r="9303" spans="1:17" x14ac:dyDescent="0.2">
      <c r="A9303" s="121">
        <v>42308</v>
      </c>
      <c r="B9303" t="s">
        <v>406</v>
      </c>
      <c r="C9303" t="s">
        <v>456</v>
      </c>
      <c r="D9303" t="s">
        <v>461</v>
      </c>
      <c r="E9303" t="s">
        <v>462</v>
      </c>
      <c r="F9303" t="s">
        <v>410</v>
      </c>
      <c r="G9303">
        <v>92</v>
      </c>
      <c r="I9303">
        <v>92</v>
      </c>
    </row>
    <row r="9304" spans="1:17" x14ac:dyDescent="0.2">
      <c r="A9304" s="121">
        <v>42308</v>
      </c>
      <c r="B9304" t="s">
        <v>406</v>
      </c>
      <c r="C9304" t="s">
        <v>456</v>
      </c>
      <c r="D9304" t="s">
        <v>463</v>
      </c>
      <c r="E9304" t="s">
        <v>464</v>
      </c>
      <c r="F9304" t="s">
        <v>410</v>
      </c>
      <c r="G9304">
        <v>15</v>
      </c>
      <c r="I9304">
        <v>15</v>
      </c>
    </row>
    <row r="9305" spans="1:17" x14ac:dyDescent="0.2">
      <c r="A9305" s="121">
        <v>42308</v>
      </c>
      <c r="B9305" t="s">
        <v>406</v>
      </c>
      <c r="C9305" t="s">
        <v>456</v>
      </c>
      <c r="D9305" t="s">
        <v>465</v>
      </c>
      <c r="E9305" t="s">
        <v>466</v>
      </c>
      <c r="F9305" t="s">
        <v>410</v>
      </c>
      <c r="G9305">
        <v>32</v>
      </c>
      <c r="I9305">
        <v>32</v>
      </c>
    </row>
    <row r="9306" spans="1:17" x14ac:dyDescent="0.2">
      <c r="A9306" s="121">
        <v>42308</v>
      </c>
      <c r="B9306" t="s">
        <v>406</v>
      </c>
      <c r="C9306" t="s">
        <v>456</v>
      </c>
      <c r="D9306" t="s">
        <v>467</v>
      </c>
      <c r="E9306" t="s">
        <v>468</v>
      </c>
      <c r="F9306" t="s">
        <v>410</v>
      </c>
      <c r="G9306">
        <v>1363</v>
      </c>
      <c r="I9306">
        <v>1362</v>
      </c>
    </row>
    <row r="9307" spans="1:17" x14ac:dyDescent="0.2">
      <c r="A9307" s="121">
        <v>42308</v>
      </c>
      <c r="B9307" t="s">
        <v>406</v>
      </c>
      <c r="C9307" t="s">
        <v>456</v>
      </c>
      <c r="D9307" t="s">
        <v>469</v>
      </c>
      <c r="E9307" t="s">
        <v>470</v>
      </c>
      <c r="F9307" t="s">
        <v>410</v>
      </c>
      <c r="G9307">
        <v>638</v>
      </c>
      <c r="I9307">
        <v>637</v>
      </c>
    </row>
    <row r="9308" spans="1:17" x14ac:dyDescent="0.2">
      <c r="A9308" s="121">
        <v>42308</v>
      </c>
      <c r="B9308" t="s">
        <v>406</v>
      </c>
      <c r="C9308" t="s">
        <v>456</v>
      </c>
      <c r="D9308" t="s">
        <v>471</v>
      </c>
      <c r="E9308" t="s">
        <v>472</v>
      </c>
      <c r="F9308" t="s">
        <v>410</v>
      </c>
      <c r="G9308">
        <v>253</v>
      </c>
      <c r="I9308">
        <v>251</v>
      </c>
    </row>
    <row r="9309" spans="1:17" x14ac:dyDescent="0.2">
      <c r="A9309" s="121">
        <v>42308</v>
      </c>
      <c r="B9309" t="s">
        <v>406</v>
      </c>
      <c r="C9309" t="s">
        <v>456</v>
      </c>
      <c r="D9309" t="s">
        <v>473</v>
      </c>
      <c r="E9309" t="s">
        <v>474</v>
      </c>
      <c r="F9309" t="s">
        <v>410</v>
      </c>
      <c r="G9309">
        <v>178</v>
      </c>
      <c r="I9309">
        <v>178</v>
      </c>
    </row>
    <row r="9310" spans="1:17" x14ac:dyDescent="0.2">
      <c r="A9310" s="121">
        <v>42308</v>
      </c>
      <c r="B9310" t="s">
        <v>406</v>
      </c>
      <c r="C9310" t="s">
        <v>456</v>
      </c>
      <c r="D9310" t="s">
        <v>475</v>
      </c>
      <c r="E9310" t="s">
        <v>476</v>
      </c>
      <c r="F9310" t="s">
        <v>410</v>
      </c>
      <c r="G9310">
        <v>229</v>
      </c>
      <c r="I9310">
        <v>220</v>
      </c>
    </row>
    <row r="9311" spans="1:17" x14ac:dyDescent="0.2">
      <c r="A9311" s="121">
        <v>42308</v>
      </c>
      <c r="B9311" t="s">
        <v>406</v>
      </c>
      <c r="C9311" t="s">
        <v>456</v>
      </c>
      <c r="D9311" t="s">
        <v>477</v>
      </c>
      <c r="E9311" t="s">
        <v>478</v>
      </c>
      <c r="F9311" t="s">
        <v>413</v>
      </c>
      <c r="G9311">
        <v>1861</v>
      </c>
      <c r="H9311">
        <v>1861</v>
      </c>
      <c r="I9311">
        <v>1841</v>
      </c>
      <c r="J9311">
        <v>1841</v>
      </c>
      <c r="K9311">
        <v>310</v>
      </c>
      <c r="L9311">
        <v>2</v>
      </c>
      <c r="M9311">
        <v>1496</v>
      </c>
      <c r="N9311">
        <v>8</v>
      </c>
      <c r="O9311">
        <v>45</v>
      </c>
      <c r="P9311">
        <v>1</v>
      </c>
      <c r="Q9311">
        <v>0</v>
      </c>
    </row>
    <row r="9312" spans="1:17" x14ac:dyDescent="0.2">
      <c r="A9312" s="121">
        <v>42308</v>
      </c>
      <c r="B9312" t="s">
        <v>406</v>
      </c>
      <c r="C9312" t="s">
        <v>456</v>
      </c>
      <c r="D9312" t="s">
        <v>479</v>
      </c>
      <c r="E9312" t="s">
        <v>480</v>
      </c>
      <c r="F9312" t="s">
        <v>410</v>
      </c>
      <c r="G9312">
        <v>28</v>
      </c>
      <c r="I9312">
        <v>28</v>
      </c>
    </row>
    <row r="9313" spans="1:17" x14ac:dyDescent="0.2">
      <c r="A9313" s="121">
        <v>42308</v>
      </c>
      <c r="B9313" t="s">
        <v>406</v>
      </c>
      <c r="C9313" t="s">
        <v>456</v>
      </c>
      <c r="D9313" t="s">
        <v>481</v>
      </c>
      <c r="E9313" t="s">
        <v>482</v>
      </c>
      <c r="F9313" t="s">
        <v>410</v>
      </c>
      <c r="G9313">
        <v>32</v>
      </c>
      <c r="I9313">
        <v>32</v>
      </c>
    </row>
    <row r="9314" spans="1:17" x14ac:dyDescent="0.2">
      <c r="A9314" s="121">
        <v>42308</v>
      </c>
      <c r="B9314" t="s">
        <v>406</v>
      </c>
      <c r="C9314" t="s">
        <v>456</v>
      </c>
      <c r="D9314" t="s">
        <v>483</v>
      </c>
      <c r="E9314" t="s">
        <v>484</v>
      </c>
      <c r="F9314" t="s">
        <v>410</v>
      </c>
      <c r="G9314">
        <v>77</v>
      </c>
      <c r="I9314">
        <v>77</v>
      </c>
    </row>
    <row r="9315" spans="1:17" x14ac:dyDescent="0.2">
      <c r="A9315" s="121">
        <v>42308</v>
      </c>
      <c r="B9315" t="s">
        <v>406</v>
      </c>
      <c r="C9315" t="s">
        <v>456</v>
      </c>
      <c r="D9315" t="s">
        <v>487</v>
      </c>
      <c r="E9315" t="s">
        <v>488</v>
      </c>
      <c r="F9315" t="s">
        <v>410</v>
      </c>
      <c r="G9315">
        <v>17</v>
      </c>
      <c r="I9315">
        <v>17</v>
      </c>
    </row>
    <row r="9316" spans="1:17" x14ac:dyDescent="0.2">
      <c r="A9316" s="121">
        <v>42308</v>
      </c>
      <c r="B9316" t="s">
        <v>406</v>
      </c>
      <c r="C9316" t="s">
        <v>456</v>
      </c>
      <c r="D9316" t="s">
        <v>489</v>
      </c>
      <c r="E9316" t="s">
        <v>490</v>
      </c>
      <c r="F9316" t="s">
        <v>410</v>
      </c>
      <c r="G9316">
        <v>98</v>
      </c>
      <c r="I9316">
        <v>98</v>
      </c>
    </row>
    <row r="9317" spans="1:17" x14ac:dyDescent="0.2">
      <c r="A9317" s="121">
        <v>42308</v>
      </c>
      <c r="B9317" t="s">
        <v>406</v>
      </c>
      <c r="C9317" t="s">
        <v>456</v>
      </c>
      <c r="D9317" t="s">
        <v>628</v>
      </c>
      <c r="E9317" t="s">
        <v>629</v>
      </c>
      <c r="F9317" t="s">
        <v>410</v>
      </c>
      <c r="G9317">
        <v>52</v>
      </c>
      <c r="I9317">
        <v>52</v>
      </c>
    </row>
    <row r="9318" spans="1:17" x14ac:dyDescent="0.2">
      <c r="A9318" s="121">
        <v>42308</v>
      </c>
      <c r="B9318" t="s">
        <v>406</v>
      </c>
      <c r="C9318" t="s">
        <v>491</v>
      </c>
      <c r="D9318" t="s">
        <v>492</v>
      </c>
      <c r="E9318" t="s">
        <v>493</v>
      </c>
      <c r="F9318" t="s">
        <v>410</v>
      </c>
      <c r="G9318">
        <v>1235</v>
      </c>
      <c r="H9318">
        <v>1235</v>
      </c>
      <c r="I9318">
        <v>1223</v>
      </c>
      <c r="J9318">
        <v>1223</v>
      </c>
      <c r="K9318">
        <v>171</v>
      </c>
      <c r="L9318">
        <v>0</v>
      </c>
      <c r="M9318">
        <v>977</v>
      </c>
      <c r="N9318">
        <v>80</v>
      </c>
      <c r="O9318">
        <v>7</v>
      </c>
      <c r="P9318">
        <v>0</v>
      </c>
      <c r="Q9318">
        <v>0</v>
      </c>
    </row>
    <row r="9319" spans="1:17" x14ac:dyDescent="0.2">
      <c r="A9319" s="121">
        <v>42308</v>
      </c>
      <c r="B9319" t="s">
        <v>406</v>
      </c>
      <c r="C9319" t="s">
        <v>491</v>
      </c>
      <c r="D9319" t="s">
        <v>494</v>
      </c>
      <c r="E9319" t="s">
        <v>495</v>
      </c>
      <c r="F9319" t="s">
        <v>413</v>
      </c>
      <c r="G9319">
        <v>2634</v>
      </c>
      <c r="H9319">
        <v>2634</v>
      </c>
      <c r="I9319">
        <v>2513</v>
      </c>
      <c r="J9319">
        <v>2513</v>
      </c>
      <c r="K9319">
        <v>691</v>
      </c>
      <c r="L9319">
        <v>11</v>
      </c>
      <c r="M9319">
        <v>1723</v>
      </c>
      <c r="N9319">
        <v>39</v>
      </c>
      <c r="O9319">
        <v>170</v>
      </c>
      <c r="P9319">
        <v>1</v>
      </c>
      <c r="Q9319">
        <v>0</v>
      </c>
    </row>
    <row r="9320" spans="1:17" x14ac:dyDescent="0.2">
      <c r="A9320" s="121">
        <v>42308</v>
      </c>
      <c r="B9320" t="s">
        <v>406</v>
      </c>
      <c r="C9320" t="s">
        <v>491</v>
      </c>
      <c r="D9320" t="s">
        <v>496</v>
      </c>
      <c r="E9320" t="s">
        <v>497</v>
      </c>
      <c r="F9320" t="s">
        <v>413</v>
      </c>
      <c r="G9320">
        <v>5650</v>
      </c>
      <c r="H9320">
        <v>5650</v>
      </c>
      <c r="I9320">
        <v>5192</v>
      </c>
      <c r="J9320">
        <v>5192</v>
      </c>
      <c r="K9320">
        <v>1940</v>
      </c>
      <c r="L9320">
        <v>22</v>
      </c>
      <c r="M9320">
        <v>3437</v>
      </c>
      <c r="N9320">
        <v>126</v>
      </c>
      <c r="O9320">
        <v>125</v>
      </c>
      <c r="P9320">
        <v>26</v>
      </c>
      <c r="Q9320">
        <v>0</v>
      </c>
    </row>
    <row r="9321" spans="1:17" x14ac:dyDescent="0.2">
      <c r="A9321" s="121">
        <v>42308</v>
      </c>
      <c r="B9321" t="s">
        <v>406</v>
      </c>
      <c r="C9321" t="s">
        <v>491</v>
      </c>
      <c r="D9321" t="s">
        <v>498</v>
      </c>
      <c r="E9321" t="s">
        <v>499</v>
      </c>
      <c r="F9321" t="s">
        <v>413</v>
      </c>
      <c r="G9321">
        <v>7940</v>
      </c>
      <c r="H9321">
        <v>7940</v>
      </c>
      <c r="I9321">
        <v>7098</v>
      </c>
      <c r="J9321">
        <v>7098</v>
      </c>
      <c r="K9321">
        <v>2539</v>
      </c>
      <c r="L9321">
        <v>17</v>
      </c>
      <c r="M9321">
        <v>4924</v>
      </c>
      <c r="N9321">
        <v>115</v>
      </c>
      <c r="O9321">
        <v>345</v>
      </c>
      <c r="P9321">
        <v>12</v>
      </c>
      <c r="Q9321">
        <v>0</v>
      </c>
    </row>
    <row r="9322" spans="1:17" x14ac:dyDescent="0.2">
      <c r="A9322" s="121">
        <v>42308</v>
      </c>
      <c r="B9322" t="s">
        <v>406</v>
      </c>
      <c r="C9322" t="s">
        <v>491</v>
      </c>
      <c r="D9322" t="s">
        <v>500</v>
      </c>
      <c r="E9322" t="s">
        <v>620</v>
      </c>
      <c r="F9322" t="s">
        <v>410</v>
      </c>
      <c r="G9322">
        <v>1529</v>
      </c>
      <c r="H9322">
        <v>1529</v>
      </c>
      <c r="I9322">
        <v>1527</v>
      </c>
      <c r="J9322">
        <v>1527</v>
      </c>
      <c r="K9322">
        <v>0</v>
      </c>
      <c r="L9322">
        <v>1</v>
      </c>
      <c r="M9322">
        <v>1403</v>
      </c>
      <c r="N9322">
        <v>100</v>
      </c>
      <c r="O9322">
        <v>25</v>
      </c>
      <c r="P9322">
        <v>1</v>
      </c>
      <c r="Q9322">
        <v>0</v>
      </c>
    </row>
    <row r="9323" spans="1:17" x14ac:dyDescent="0.2">
      <c r="A9323" s="121">
        <v>42308</v>
      </c>
      <c r="B9323" t="s">
        <v>406</v>
      </c>
      <c r="C9323" t="s">
        <v>491</v>
      </c>
      <c r="D9323" t="s">
        <v>502</v>
      </c>
      <c r="E9323" t="s">
        <v>615</v>
      </c>
      <c r="F9323" t="s">
        <v>410</v>
      </c>
      <c r="G9323">
        <v>2580</v>
      </c>
      <c r="H9323">
        <v>2580</v>
      </c>
      <c r="I9323">
        <v>2580</v>
      </c>
      <c r="J9323">
        <v>2580</v>
      </c>
      <c r="K9323">
        <v>3</v>
      </c>
      <c r="L9323">
        <v>0</v>
      </c>
      <c r="M9323">
        <v>2330</v>
      </c>
      <c r="N9323">
        <v>239</v>
      </c>
      <c r="O9323">
        <v>8</v>
      </c>
      <c r="P9323">
        <v>0</v>
      </c>
      <c r="Q9323">
        <v>0</v>
      </c>
    </row>
    <row r="9324" spans="1:17" x14ac:dyDescent="0.2">
      <c r="A9324" s="121">
        <v>42308</v>
      </c>
      <c r="B9324" t="s">
        <v>406</v>
      </c>
      <c r="C9324" t="s">
        <v>491</v>
      </c>
      <c r="D9324" t="s">
        <v>504</v>
      </c>
      <c r="E9324" t="s">
        <v>630</v>
      </c>
      <c r="F9324" t="s">
        <v>413</v>
      </c>
      <c r="G9324">
        <v>7318</v>
      </c>
      <c r="H9324">
        <v>7318</v>
      </c>
      <c r="I9324">
        <v>6166</v>
      </c>
      <c r="J9324">
        <v>6166</v>
      </c>
      <c r="K9324">
        <v>2317</v>
      </c>
      <c r="L9324">
        <v>26</v>
      </c>
      <c r="M9324">
        <v>4658</v>
      </c>
      <c r="N9324">
        <v>159</v>
      </c>
      <c r="O9324">
        <v>158</v>
      </c>
      <c r="P9324">
        <v>61</v>
      </c>
      <c r="Q9324">
        <v>0</v>
      </c>
    </row>
    <row r="9325" spans="1:17" x14ac:dyDescent="0.2">
      <c r="A9325" s="121">
        <v>42308</v>
      </c>
      <c r="B9325" t="s">
        <v>406</v>
      </c>
      <c r="C9325" t="s">
        <v>491</v>
      </c>
      <c r="D9325" t="s">
        <v>506</v>
      </c>
      <c r="E9325" t="s">
        <v>507</v>
      </c>
      <c r="F9325" t="s">
        <v>413</v>
      </c>
      <c r="G9325">
        <v>4604</v>
      </c>
      <c r="H9325">
        <v>4604</v>
      </c>
      <c r="I9325">
        <v>4571</v>
      </c>
      <c r="J9325">
        <v>4571</v>
      </c>
      <c r="K9325">
        <v>940</v>
      </c>
      <c r="L9325">
        <v>1</v>
      </c>
      <c r="M9325">
        <v>3655</v>
      </c>
      <c r="N9325">
        <v>4</v>
      </c>
      <c r="O9325">
        <v>4</v>
      </c>
      <c r="P9325">
        <v>0</v>
      </c>
      <c r="Q9325">
        <v>0</v>
      </c>
    </row>
    <row r="9326" spans="1:17" x14ac:dyDescent="0.2">
      <c r="A9326" s="121">
        <v>42308</v>
      </c>
      <c r="B9326" t="s">
        <v>406</v>
      </c>
      <c r="C9326" t="s">
        <v>491</v>
      </c>
      <c r="D9326" t="s">
        <v>508</v>
      </c>
      <c r="E9326" t="s">
        <v>631</v>
      </c>
      <c r="F9326" t="s">
        <v>410</v>
      </c>
      <c r="G9326">
        <v>1210</v>
      </c>
      <c r="H9326">
        <v>1210</v>
      </c>
      <c r="I9326">
        <v>1209</v>
      </c>
      <c r="J9326">
        <v>1209</v>
      </c>
      <c r="K9326">
        <v>2</v>
      </c>
      <c r="L9326">
        <v>1</v>
      </c>
      <c r="M9326">
        <v>1079</v>
      </c>
      <c r="N9326">
        <v>123</v>
      </c>
      <c r="O9326">
        <v>5</v>
      </c>
      <c r="P9326">
        <v>0</v>
      </c>
      <c r="Q9326">
        <v>0</v>
      </c>
    </row>
    <row r="9327" spans="1:17" x14ac:dyDescent="0.2">
      <c r="A9327" s="121">
        <v>42308</v>
      </c>
      <c r="B9327" t="s">
        <v>406</v>
      </c>
      <c r="C9327" t="s">
        <v>510</v>
      </c>
      <c r="D9327" t="s">
        <v>513</v>
      </c>
      <c r="E9327" t="s">
        <v>514</v>
      </c>
      <c r="F9327" t="s">
        <v>410</v>
      </c>
      <c r="G9327">
        <v>666</v>
      </c>
      <c r="I9327">
        <v>666</v>
      </c>
    </row>
    <row r="9328" spans="1:17" x14ac:dyDescent="0.2">
      <c r="A9328" s="121">
        <v>42308</v>
      </c>
      <c r="B9328" t="s">
        <v>406</v>
      </c>
      <c r="C9328" t="s">
        <v>510</v>
      </c>
      <c r="D9328" t="s">
        <v>515</v>
      </c>
      <c r="E9328" t="s">
        <v>516</v>
      </c>
      <c r="F9328" t="s">
        <v>410</v>
      </c>
      <c r="G9328">
        <v>94</v>
      </c>
      <c r="I9328">
        <v>94</v>
      </c>
    </row>
    <row r="9329" spans="1:17" x14ac:dyDescent="0.2">
      <c r="A9329" s="121">
        <v>42308</v>
      </c>
      <c r="B9329" t="s">
        <v>406</v>
      </c>
      <c r="C9329" t="s">
        <v>510</v>
      </c>
      <c r="D9329" t="s">
        <v>519</v>
      </c>
      <c r="E9329" t="s">
        <v>520</v>
      </c>
      <c r="F9329" t="s">
        <v>410</v>
      </c>
      <c r="G9329">
        <v>293</v>
      </c>
      <c r="I9329">
        <v>289</v>
      </c>
    </row>
    <row r="9330" spans="1:17" x14ac:dyDescent="0.2">
      <c r="A9330" s="121">
        <v>42308</v>
      </c>
      <c r="B9330" t="s">
        <v>406</v>
      </c>
      <c r="C9330" t="s">
        <v>510</v>
      </c>
      <c r="D9330" t="s">
        <v>523</v>
      </c>
      <c r="E9330" t="s">
        <v>524</v>
      </c>
      <c r="F9330" t="s">
        <v>413</v>
      </c>
      <c r="G9330">
        <v>621</v>
      </c>
      <c r="H9330">
        <v>621</v>
      </c>
      <c r="I9330">
        <v>610</v>
      </c>
      <c r="J9330">
        <v>610</v>
      </c>
      <c r="K9330">
        <v>159</v>
      </c>
      <c r="L9330">
        <v>1</v>
      </c>
      <c r="M9330">
        <v>447</v>
      </c>
      <c r="N9330">
        <v>14</v>
      </c>
      <c r="O9330">
        <v>0</v>
      </c>
      <c r="P9330">
        <v>0</v>
      </c>
      <c r="Q9330">
        <v>0</v>
      </c>
    </row>
    <row r="9331" spans="1:17" x14ac:dyDescent="0.2">
      <c r="A9331" s="121">
        <v>42308</v>
      </c>
      <c r="B9331" t="s">
        <v>406</v>
      </c>
      <c r="C9331" t="s">
        <v>510</v>
      </c>
      <c r="D9331" t="s">
        <v>525</v>
      </c>
      <c r="E9331" t="s">
        <v>526</v>
      </c>
      <c r="F9331" t="s">
        <v>410</v>
      </c>
      <c r="G9331">
        <v>356</v>
      </c>
      <c r="I9331">
        <v>352</v>
      </c>
    </row>
    <row r="9332" spans="1:17" x14ac:dyDescent="0.2">
      <c r="A9332" s="121">
        <v>42308</v>
      </c>
      <c r="B9332" t="s">
        <v>406</v>
      </c>
      <c r="C9332" t="s">
        <v>510</v>
      </c>
      <c r="D9332" t="s">
        <v>527</v>
      </c>
      <c r="E9332" t="s">
        <v>528</v>
      </c>
      <c r="F9332" t="s">
        <v>410</v>
      </c>
      <c r="G9332">
        <v>216</v>
      </c>
      <c r="I9332">
        <v>215</v>
      </c>
    </row>
    <row r="9333" spans="1:17" x14ac:dyDescent="0.2">
      <c r="A9333" s="121">
        <v>42308</v>
      </c>
      <c r="B9333" t="s">
        <v>406</v>
      </c>
      <c r="C9333" t="s">
        <v>510</v>
      </c>
      <c r="D9333" t="s">
        <v>529</v>
      </c>
      <c r="E9333" t="s">
        <v>530</v>
      </c>
      <c r="F9333" t="s">
        <v>413</v>
      </c>
      <c r="G9333">
        <v>503</v>
      </c>
      <c r="H9333">
        <v>503</v>
      </c>
      <c r="I9333">
        <v>495</v>
      </c>
      <c r="J9333">
        <v>495</v>
      </c>
      <c r="K9333">
        <v>188</v>
      </c>
      <c r="L9333">
        <v>0</v>
      </c>
      <c r="M9333">
        <v>314</v>
      </c>
      <c r="N9333">
        <v>1</v>
      </c>
      <c r="O9333">
        <v>0</v>
      </c>
      <c r="P9333">
        <v>0</v>
      </c>
      <c r="Q9333">
        <v>0</v>
      </c>
    </row>
    <row r="9334" spans="1:17" x14ac:dyDescent="0.2">
      <c r="A9334" s="121">
        <v>42308</v>
      </c>
      <c r="B9334" t="s">
        <v>406</v>
      </c>
      <c r="C9334" t="s">
        <v>510</v>
      </c>
      <c r="D9334" t="s">
        <v>531</v>
      </c>
      <c r="E9334" t="s">
        <v>532</v>
      </c>
      <c r="F9334" t="s">
        <v>410</v>
      </c>
      <c r="G9334">
        <v>29</v>
      </c>
      <c r="I9334">
        <v>29</v>
      </c>
    </row>
    <row r="9335" spans="1:17" x14ac:dyDescent="0.2">
      <c r="A9335" s="121">
        <v>42308</v>
      </c>
      <c r="B9335" t="s">
        <v>406</v>
      </c>
      <c r="C9335" t="s">
        <v>510</v>
      </c>
      <c r="D9335" t="s">
        <v>533</v>
      </c>
      <c r="E9335" t="s">
        <v>534</v>
      </c>
      <c r="F9335" t="s">
        <v>413</v>
      </c>
      <c r="G9335">
        <v>2735</v>
      </c>
      <c r="H9335">
        <v>2735</v>
      </c>
      <c r="I9335">
        <v>2635</v>
      </c>
      <c r="J9335">
        <v>2635</v>
      </c>
      <c r="K9335">
        <v>730</v>
      </c>
      <c r="L9335">
        <v>5</v>
      </c>
      <c r="M9335">
        <v>1991</v>
      </c>
      <c r="N9335">
        <v>9</v>
      </c>
      <c r="O9335">
        <v>0</v>
      </c>
      <c r="P9335">
        <v>1</v>
      </c>
      <c r="Q9335">
        <v>0</v>
      </c>
    </row>
    <row r="9336" spans="1:17" x14ac:dyDescent="0.2">
      <c r="A9336" s="121">
        <v>42308</v>
      </c>
      <c r="B9336" t="s">
        <v>406</v>
      </c>
      <c r="C9336" t="s">
        <v>510</v>
      </c>
      <c r="D9336" t="s">
        <v>535</v>
      </c>
      <c r="E9336" t="s">
        <v>536</v>
      </c>
      <c r="F9336" t="s">
        <v>410</v>
      </c>
      <c r="G9336">
        <v>430</v>
      </c>
      <c r="I9336">
        <v>430</v>
      </c>
    </row>
    <row r="9337" spans="1:17" x14ac:dyDescent="0.2">
      <c r="A9337" s="121">
        <v>42308</v>
      </c>
      <c r="B9337" t="s">
        <v>406</v>
      </c>
      <c r="C9337" t="s">
        <v>510</v>
      </c>
      <c r="D9337" t="s">
        <v>537</v>
      </c>
      <c r="E9337" t="s">
        <v>538</v>
      </c>
      <c r="F9337" t="s">
        <v>410</v>
      </c>
      <c r="G9337">
        <v>87</v>
      </c>
      <c r="I9337">
        <v>87</v>
      </c>
    </row>
    <row r="9338" spans="1:17" x14ac:dyDescent="0.2">
      <c r="A9338" s="121">
        <v>42308</v>
      </c>
      <c r="B9338" t="s">
        <v>406</v>
      </c>
      <c r="C9338" t="s">
        <v>510</v>
      </c>
      <c r="D9338" t="s">
        <v>539</v>
      </c>
      <c r="E9338" t="s">
        <v>540</v>
      </c>
      <c r="F9338" t="s">
        <v>413</v>
      </c>
      <c r="G9338">
        <v>708</v>
      </c>
      <c r="H9338">
        <v>708</v>
      </c>
      <c r="I9338">
        <v>694</v>
      </c>
      <c r="J9338">
        <v>694</v>
      </c>
      <c r="K9338">
        <v>122</v>
      </c>
      <c r="L9338">
        <v>0</v>
      </c>
      <c r="M9338">
        <v>584</v>
      </c>
      <c r="N9338">
        <v>2</v>
      </c>
      <c r="O9338">
        <v>0</v>
      </c>
      <c r="P9338">
        <v>0</v>
      </c>
      <c r="Q9338">
        <v>0</v>
      </c>
    </row>
    <row r="9339" spans="1:17" x14ac:dyDescent="0.2">
      <c r="A9339" s="121">
        <v>42308</v>
      </c>
      <c r="B9339" t="s">
        <v>406</v>
      </c>
      <c r="C9339" t="s">
        <v>510</v>
      </c>
      <c r="D9339" t="s">
        <v>541</v>
      </c>
      <c r="E9339" t="s">
        <v>542</v>
      </c>
      <c r="F9339" t="s">
        <v>410</v>
      </c>
      <c r="G9339">
        <v>320</v>
      </c>
      <c r="I9339">
        <v>320</v>
      </c>
    </row>
    <row r="9340" spans="1:17" x14ac:dyDescent="0.2">
      <c r="A9340" s="121">
        <v>42308</v>
      </c>
      <c r="B9340" t="s">
        <v>406</v>
      </c>
      <c r="C9340" t="s">
        <v>510</v>
      </c>
      <c r="D9340" t="s">
        <v>543</v>
      </c>
      <c r="E9340" t="s">
        <v>544</v>
      </c>
      <c r="F9340" t="s">
        <v>410</v>
      </c>
      <c r="G9340">
        <v>203</v>
      </c>
      <c r="I9340">
        <v>203</v>
      </c>
    </row>
    <row r="9341" spans="1:17" x14ac:dyDescent="0.2">
      <c r="A9341" s="121">
        <v>42308</v>
      </c>
      <c r="B9341" t="s">
        <v>406</v>
      </c>
      <c r="C9341" t="s">
        <v>510</v>
      </c>
      <c r="D9341" t="s">
        <v>545</v>
      </c>
      <c r="E9341" t="s">
        <v>546</v>
      </c>
      <c r="F9341" t="s">
        <v>410</v>
      </c>
      <c r="G9341">
        <v>123</v>
      </c>
      <c r="I9341">
        <v>123</v>
      </c>
    </row>
    <row r="9342" spans="1:17" x14ac:dyDescent="0.2">
      <c r="A9342" s="121">
        <v>42308</v>
      </c>
      <c r="B9342" t="s">
        <v>406</v>
      </c>
      <c r="C9342" t="s">
        <v>510</v>
      </c>
      <c r="D9342" t="s">
        <v>547</v>
      </c>
      <c r="E9342" t="s">
        <v>548</v>
      </c>
      <c r="F9342" t="s">
        <v>410</v>
      </c>
      <c r="G9342">
        <v>162</v>
      </c>
      <c r="I9342">
        <v>162</v>
      </c>
    </row>
    <row r="9343" spans="1:17" x14ac:dyDescent="0.2">
      <c r="A9343" s="121">
        <v>42308</v>
      </c>
      <c r="B9343" t="s">
        <v>406</v>
      </c>
      <c r="C9343" t="s">
        <v>510</v>
      </c>
      <c r="D9343" t="s">
        <v>616</v>
      </c>
      <c r="E9343" t="s">
        <v>617</v>
      </c>
      <c r="F9343" t="s">
        <v>410</v>
      </c>
      <c r="G9343">
        <v>277</v>
      </c>
      <c r="I9343">
        <v>269</v>
      </c>
    </row>
    <row r="9344" spans="1:17" x14ac:dyDescent="0.2">
      <c r="A9344" s="121">
        <v>42308</v>
      </c>
      <c r="B9344" t="s">
        <v>406</v>
      </c>
      <c r="C9344" t="s">
        <v>510</v>
      </c>
      <c r="D9344" t="s">
        <v>549</v>
      </c>
      <c r="E9344" t="s">
        <v>550</v>
      </c>
      <c r="F9344" t="s">
        <v>410</v>
      </c>
      <c r="G9344">
        <v>159</v>
      </c>
      <c r="I9344">
        <v>159</v>
      </c>
    </row>
    <row r="9345" spans="1:17" x14ac:dyDescent="0.2">
      <c r="A9345" s="121">
        <v>42308</v>
      </c>
      <c r="B9345" t="s">
        <v>406</v>
      </c>
      <c r="C9345" t="s">
        <v>510</v>
      </c>
      <c r="D9345" t="s">
        <v>625</v>
      </c>
      <c r="E9345" t="s">
        <v>626</v>
      </c>
      <c r="F9345" t="s">
        <v>410</v>
      </c>
      <c r="G9345">
        <v>68</v>
      </c>
      <c r="I9345">
        <v>67</v>
      </c>
    </row>
    <row r="9346" spans="1:17" x14ac:dyDescent="0.2">
      <c r="A9346" s="121">
        <v>42308</v>
      </c>
      <c r="B9346" t="s">
        <v>406</v>
      </c>
      <c r="C9346" t="s">
        <v>551</v>
      </c>
      <c r="D9346" t="s">
        <v>552</v>
      </c>
      <c r="E9346" t="s">
        <v>553</v>
      </c>
      <c r="F9346" t="s">
        <v>413</v>
      </c>
      <c r="G9346">
        <v>5506</v>
      </c>
      <c r="H9346">
        <v>5506</v>
      </c>
      <c r="I9346">
        <v>5298</v>
      </c>
      <c r="J9346">
        <v>5298</v>
      </c>
      <c r="K9346">
        <v>1864</v>
      </c>
      <c r="L9346">
        <v>3</v>
      </c>
      <c r="M9346">
        <v>3499</v>
      </c>
      <c r="N9346">
        <v>74</v>
      </c>
      <c r="O9346">
        <v>66</v>
      </c>
      <c r="P9346">
        <v>7</v>
      </c>
      <c r="Q9346">
        <v>0</v>
      </c>
    </row>
    <row r="9347" spans="1:17" x14ac:dyDescent="0.2">
      <c r="A9347" s="121">
        <v>42308</v>
      </c>
      <c r="B9347" t="s">
        <v>406</v>
      </c>
      <c r="C9347" t="s">
        <v>551</v>
      </c>
      <c r="D9347" t="s">
        <v>554</v>
      </c>
      <c r="E9347" t="s">
        <v>555</v>
      </c>
      <c r="F9347" t="s">
        <v>410</v>
      </c>
      <c r="G9347">
        <v>50</v>
      </c>
      <c r="I9347">
        <v>50</v>
      </c>
    </row>
    <row r="9348" spans="1:17" x14ac:dyDescent="0.2">
      <c r="A9348" s="121">
        <v>42308</v>
      </c>
      <c r="B9348" t="s">
        <v>406</v>
      </c>
      <c r="C9348" t="s">
        <v>551</v>
      </c>
      <c r="D9348" t="s">
        <v>556</v>
      </c>
      <c r="E9348" t="s">
        <v>557</v>
      </c>
      <c r="F9348" t="s">
        <v>410</v>
      </c>
      <c r="G9348">
        <v>93</v>
      </c>
      <c r="I9348">
        <v>93</v>
      </c>
    </row>
    <row r="9349" spans="1:17" x14ac:dyDescent="0.2">
      <c r="A9349" s="121">
        <v>42308</v>
      </c>
      <c r="B9349" t="s">
        <v>406</v>
      </c>
      <c r="C9349" t="s">
        <v>551</v>
      </c>
      <c r="D9349" t="s">
        <v>558</v>
      </c>
      <c r="E9349" t="s">
        <v>559</v>
      </c>
      <c r="F9349" t="s">
        <v>413</v>
      </c>
      <c r="G9349">
        <v>5070</v>
      </c>
      <c r="H9349">
        <v>5070</v>
      </c>
      <c r="I9349">
        <v>4922</v>
      </c>
      <c r="J9349">
        <v>4922</v>
      </c>
      <c r="K9349">
        <v>1437</v>
      </c>
      <c r="L9349">
        <v>4</v>
      </c>
      <c r="M9349">
        <v>3522</v>
      </c>
      <c r="N9349">
        <v>97</v>
      </c>
      <c r="O9349">
        <v>10</v>
      </c>
      <c r="P9349">
        <v>2</v>
      </c>
      <c r="Q9349">
        <v>0</v>
      </c>
    </row>
    <row r="9350" spans="1:17" x14ac:dyDescent="0.2">
      <c r="A9350" s="121">
        <v>42308</v>
      </c>
      <c r="B9350" t="s">
        <v>406</v>
      </c>
      <c r="C9350" t="s">
        <v>551</v>
      </c>
      <c r="D9350" t="s">
        <v>560</v>
      </c>
      <c r="E9350" t="s">
        <v>561</v>
      </c>
      <c r="F9350" t="s">
        <v>413</v>
      </c>
      <c r="G9350">
        <v>5141</v>
      </c>
      <c r="H9350">
        <v>5141</v>
      </c>
      <c r="I9350">
        <v>4555</v>
      </c>
      <c r="J9350">
        <v>4555</v>
      </c>
      <c r="K9350">
        <v>1107</v>
      </c>
      <c r="L9350">
        <v>5</v>
      </c>
      <c r="M9350">
        <v>3817</v>
      </c>
      <c r="N9350">
        <v>53</v>
      </c>
      <c r="O9350">
        <v>159</v>
      </c>
      <c r="P9350">
        <v>102</v>
      </c>
      <c r="Q9350">
        <v>16</v>
      </c>
    </row>
    <row r="9351" spans="1:17" x14ac:dyDescent="0.2">
      <c r="A9351" s="121">
        <v>42308</v>
      </c>
      <c r="B9351" t="s">
        <v>406</v>
      </c>
      <c r="C9351" t="s">
        <v>562</v>
      </c>
      <c r="D9351" t="s">
        <v>605</v>
      </c>
      <c r="E9351" t="s">
        <v>606</v>
      </c>
      <c r="F9351" t="s">
        <v>410</v>
      </c>
      <c r="G9351">
        <v>113</v>
      </c>
      <c r="I9351">
        <v>113</v>
      </c>
    </row>
    <row r="9352" spans="1:17" x14ac:dyDescent="0.2">
      <c r="A9352" s="121">
        <v>42308</v>
      </c>
      <c r="B9352" t="s">
        <v>406</v>
      </c>
      <c r="C9352" t="s">
        <v>562</v>
      </c>
      <c r="D9352" t="s">
        <v>563</v>
      </c>
      <c r="E9352" t="s">
        <v>564</v>
      </c>
      <c r="F9352" t="s">
        <v>410</v>
      </c>
      <c r="G9352">
        <v>3618</v>
      </c>
      <c r="H9352">
        <v>3618</v>
      </c>
      <c r="I9352">
        <v>3128</v>
      </c>
      <c r="J9352">
        <v>3128</v>
      </c>
      <c r="K9352">
        <v>1163</v>
      </c>
      <c r="L9352">
        <v>1</v>
      </c>
      <c r="M9352">
        <v>2429</v>
      </c>
      <c r="N9352">
        <v>25</v>
      </c>
      <c r="O9352">
        <v>0</v>
      </c>
      <c r="P9352">
        <v>103</v>
      </c>
      <c r="Q9352">
        <v>38</v>
      </c>
    </row>
    <row r="9353" spans="1:17" x14ac:dyDescent="0.2">
      <c r="A9353" s="121">
        <v>42308</v>
      </c>
      <c r="B9353" t="s">
        <v>406</v>
      </c>
      <c r="C9353" t="s">
        <v>562</v>
      </c>
      <c r="D9353" t="s">
        <v>565</v>
      </c>
      <c r="E9353" t="s">
        <v>566</v>
      </c>
      <c r="F9353" t="s">
        <v>413</v>
      </c>
      <c r="G9353">
        <v>4406</v>
      </c>
      <c r="H9353">
        <v>4406</v>
      </c>
      <c r="I9353">
        <v>4171</v>
      </c>
      <c r="J9353">
        <v>4171</v>
      </c>
      <c r="K9353">
        <v>1117</v>
      </c>
      <c r="L9353">
        <v>5</v>
      </c>
      <c r="M9353">
        <v>3195</v>
      </c>
      <c r="N9353">
        <v>89</v>
      </c>
      <c r="O9353">
        <v>0</v>
      </c>
      <c r="P9353">
        <v>9</v>
      </c>
      <c r="Q9353">
        <v>1</v>
      </c>
    </row>
    <row r="9354" spans="1:17" x14ac:dyDescent="0.2">
      <c r="A9354" s="121">
        <v>42308</v>
      </c>
      <c r="B9354" t="s">
        <v>406</v>
      </c>
      <c r="C9354" t="s">
        <v>562</v>
      </c>
      <c r="D9354" t="s">
        <v>567</v>
      </c>
      <c r="E9354" t="s">
        <v>568</v>
      </c>
      <c r="F9354" t="s">
        <v>413</v>
      </c>
      <c r="G9354">
        <v>10040</v>
      </c>
      <c r="H9354">
        <v>10040</v>
      </c>
      <c r="I9354">
        <v>9586</v>
      </c>
      <c r="J9354">
        <v>9586</v>
      </c>
      <c r="K9354">
        <v>2901</v>
      </c>
      <c r="L9354">
        <v>19</v>
      </c>
      <c r="M9354">
        <v>6924</v>
      </c>
      <c r="N9354">
        <v>196</v>
      </c>
      <c r="O9354">
        <v>0</v>
      </c>
      <c r="P9354">
        <v>45</v>
      </c>
      <c r="Q9354">
        <v>2</v>
      </c>
    </row>
    <row r="9355" spans="1:17" x14ac:dyDescent="0.2">
      <c r="A9355" s="121">
        <v>42308</v>
      </c>
      <c r="B9355" t="s">
        <v>406</v>
      </c>
      <c r="C9355" t="s">
        <v>562</v>
      </c>
      <c r="D9355" t="s">
        <v>569</v>
      </c>
      <c r="E9355" t="s">
        <v>570</v>
      </c>
      <c r="F9355" t="s">
        <v>413</v>
      </c>
      <c r="G9355">
        <v>3877</v>
      </c>
      <c r="H9355">
        <v>3877</v>
      </c>
      <c r="I9355">
        <v>3822</v>
      </c>
      <c r="J9355">
        <v>3822</v>
      </c>
      <c r="K9355">
        <v>499</v>
      </c>
      <c r="L9355">
        <v>0</v>
      </c>
      <c r="M9355">
        <v>3378</v>
      </c>
      <c r="N9355">
        <v>0</v>
      </c>
      <c r="O9355">
        <v>0</v>
      </c>
      <c r="P9355">
        <v>1</v>
      </c>
      <c r="Q9355">
        <v>0</v>
      </c>
    </row>
    <row r="9356" spans="1:17" x14ac:dyDescent="0.2">
      <c r="A9356" s="121">
        <v>42308</v>
      </c>
      <c r="B9356" t="s">
        <v>406</v>
      </c>
      <c r="C9356" t="s">
        <v>571</v>
      </c>
      <c r="D9356" t="s">
        <v>572</v>
      </c>
      <c r="E9356" t="s">
        <v>627</v>
      </c>
      <c r="F9356" t="s">
        <v>413</v>
      </c>
      <c r="G9356">
        <v>445</v>
      </c>
      <c r="H9356">
        <v>445</v>
      </c>
      <c r="I9356">
        <v>437</v>
      </c>
      <c r="J9356">
        <v>437</v>
      </c>
      <c r="K9356">
        <v>143</v>
      </c>
      <c r="L9356">
        <v>0</v>
      </c>
      <c r="M9356">
        <v>300</v>
      </c>
      <c r="N9356">
        <v>0</v>
      </c>
      <c r="O9356">
        <v>2</v>
      </c>
      <c r="P9356">
        <v>0</v>
      </c>
      <c r="Q9356">
        <v>0</v>
      </c>
    </row>
    <row r="9357" spans="1:17" x14ac:dyDescent="0.2">
      <c r="A9357" s="121">
        <v>42308</v>
      </c>
      <c r="B9357" t="s">
        <v>406</v>
      </c>
      <c r="C9357" t="s">
        <v>574</v>
      </c>
      <c r="D9357" t="s">
        <v>575</v>
      </c>
      <c r="E9357" t="s">
        <v>576</v>
      </c>
      <c r="F9357" t="s">
        <v>413</v>
      </c>
      <c r="G9357">
        <v>619</v>
      </c>
      <c r="H9357">
        <v>619</v>
      </c>
      <c r="I9357">
        <v>608</v>
      </c>
      <c r="J9357">
        <v>608</v>
      </c>
      <c r="K9357">
        <v>185</v>
      </c>
      <c r="L9357">
        <v>1</v>
      </c>
      <c r="M9357">
        <v>419</v>
      </c>
      <c r="N9357">
        <v>0</v>
      </c>
      <c r="O9357">
        <v>14</v>
      </c>
      <c r="P9357">
        <v>0</v>
      </c>
      <c r="Q9357">
        <v>0</v>
      </c>
    </row>
    <row r="9358" spans="1:17" x14ac:dyDescent="0.2">
      <c r="A9358" s="121">
        <v>42308</v>
      </c>
      <c r="B9358" t="s">
        <v>406</v>
      </c>
      <c r="C9358" t="s">
        <v>577</v>
      </c>
      <c r="D9358" t="s">
        <v>578</v>
      </c>
      <c r="E9358" t="s">
        <v>579</v>
      </c>
      <c r="F9358" t="s">
        <v>413</v>
      </c>
      <c r="G9358">
        <v>3914</v>
      </c>
      <c r="H9358">
        <v>3914</v>
      </c>
      <c r="I9358">
        <v>3860</v>
      </c>
      <c r="J9358">
        <v>3860</v>
      </c>
      <c r="K9358">
        <v>1081</v>
      </c>
      <c r="L9358">
        <v>10</v>
      </c>
      <c r="M9358">
        <v>2526</v>
      </c>
      <c r="N9358">
        <v>287</v>
      </c>
      <c r="O9358">
        <v>10</v>
      </c>
      <c r="P9358">
        <v>0</v>
      </c>
      <c r="Q9358">
        <v>0</v>
      </c>
    </row>
    <row r="9359" spans="1:17" x14ac:dyDescent="0.2">
      <c r="A9359" s="121">
        <v>42308</v>
      </c>
      <c r="B9359" t="s">
        <v>406</v>
      </c>
      <c r="C9359" t="s">
        <v>577</v>
      </c>
      <c r="D9359" t="s">
        <v>580</v>
      </c>
      <c r="E9359" t="s">
        <v>581</v>
      </c>
      <c r="F9359" t="s">
        <v>413</v>
      </c>
      <c r="G9359">
        <v>2009</v>
      </c>
      <c r="H9359">
        <v>2009</v>
      </c>
      <c r="I9359">
        <v>1992</v>
      </c>
      <c r="J9359">
        <v>1992</v>
      </c>
      <c r="K9359">
        <v>360</v>
      </c>
      <c r="L9359">
        <v>2</v>
      </c>
      <c r="M9359">
        <v>1351</v>
      </c>
      <c r="N9359">
        <v>296</v>
      </c>
      <c r="O9359">
        <v>0</v>
      </c>
      <c r="P9359">
        <v>0</v>
      </c>
      <c r="Q9359">
        <v>0</v>
      </c>
    </row>
    <row r="9360" spans="1:17" x14ac:dyDescent="0.2">
      <c r="A9360" s="121">
        <v>42308</v>
      </c>
      <c r="B9360" t="s">
        <v>406</v>
      </c>
      <c r="C9360" t="s">
        <v>577</v>
      </c>
      <c r="D9360" t="s">
        <v>609</v>
      </c>
      <c r="E9360" t="s">
        <v>610</v>
      </c>
      <c r="F9360" t="s">
        <v>410</v>
      </c>
      <c r="G9360">
        <v>32</v>
      </c>
      <c r="H9360">
        <v>32</v>
      </c>
      <c r="I9360">
        <v>32</v>
      </c>
      <c r="J9360">
        <v>32</v>
      </c>
      <c r="K9360">
        <v>0</v>
      </c>
      <c r="L9360">
        <v>0</v>
      </c>
      <c r="M9360">
        <v>27</v>
      </c>
      <c r="N9360">
        <v>5</v>
      </c>
      <c r="O9360">
        <v>0</v>
      </c>
      <c r="P9360">
        <v>0</v>
      </c>
      <c r="Q9360">
        <v>0</v>
      </c>
    </row>
    <row r="9361" spans="1:17" x14ac:dyDescent="0.2">
      <c r="A9361" s="121">
        <v>42308</v>
      </c>
      <c r="B9361" t="s">
        <v>406</v>
      </c>
      <c r="C9361" t="s">
        <v>577</v>
      </c>
      <c r="D9361" t="s">
        <v>611</v>
      </c>
      <c r="E9361" t="s">
        <v>612</v>
      </c>
      <c r="F9361" t="s">
        <v>410</v>
      </c>
      <c r="G9361">
        <v>14</v>
      </c>
      <c r="H9361">
        <v>14</v>
      </c>
      <c r="I9361">
        <v>14</v>
      </c>
      <c r="J9361">
        <v>14</v>
      </c>
      <c r="K9361">
        <v>0</v>
      </c>
      <c r="L9361">
        <v>0</v>
      </c>
      <c r="M9361">
        <v>12</v>
      </c>
      <c r="N9361">
        <v>1</v>
      </c>
      <c r="O9361">
        <v>1</v>
      </c>
      <c r="P9361">
        <v>0</v>
      </c>
      <c r="Q9361">
        <v>0</v>
      </c>
    </row>
    <row r="9362" spans="1:17" x14ac:dyDescent="0.2">
      <c r="A9362" s="121">
        <v>42308</v>
      </c>
      <c r="B9362" t="s">
        <v>406</v>
      </c>
      <c r="C9362" t="s">
        <v>577</v>
      </c>
      <c r="D9362" t="s">
        <v>584</v>
      </c>
      <c r="E9362" t="s">
        <v>585</v>
      </c>
      <c r="F9362" t="s">
        <v>410</v>
      </c>
      <c r="G9362">
        <v>300</v>
      </c>
      <c r="H9362">
        <v>300</v>
      </c>
      <c r="I9362">
        <v>300</v>
      </c>
      <c r="J9362">
        <v>300</v>
      </c>
      <c r="K9362">
        <v>0</v>
      </c>
      <c r="L9362">
        <v>0</v>
      </c>
      <c r="M9362">
        <v>283</v>
      </c>
      <c r="N9362">
        <v>16</v>
      </c>
      <c r="O9362">
        <v>1</v>
      </c>
      <c r="P9362">
        <v>0</v>
      </c>
      <c r="Q9362">
        <v>0</v>
      </c>
    </row>
    <row r="9363" spans="1:17" x14ac:dyDescent="0.2">
      <c r="A9363" s="121">
        <v>42308</v>
      </c>
      <c r="B9363" t="s">
        <v>406</v>
      </c>
      <c r="C9363" t="s">
        <v>577</v>
      </c>
      <c r="D9363" t="s">
        <v>586</v>
      </c>
      <c r="E9363" t="s">
        <v>587</v>
      </c>
      <c r="F9363" t="s">
        <v>410</v>
      </c>
      <c r="G9363">
        <v>1046</v>
      </c>
      <c r="H9363">
        <v>1046</v>
      </c>
      <c r="I9363">
        <v>1046</v>
      </c>
      <c r="J9363">
        <v>1046</v>
      </c>
      <c r="K9363">
        <v>0</v>
      </c>
      <c r="L9363">
        <v>0</v>
      </c>
      <c r="M9363">
        <v>961</v>
      </c>
      <c r="N9363">
        <v>79</v>
      </c>
      <c r="O9363">
        <v>6</v>
      </c>
      <c r="P9363">
        <v>0</v>
      </c>
      <c r="Q9363">
        <v>0</v>
      </c>
    </row>
    <row r="9364" spans="1:17" x14ac:dyDescent="0.2">
      <c r="A9364" s="121">
        <v>42308</v>
      </c>
      <c r="B9364" t="s">
        <v>406</v>
      </c>
      <c r="C9364" t="s">
        <v>577</v>
      </c>
      <c r="D9364" t="s">
        <v>588</v>
      </c>
      <c r="E9364" t="s">
        <v>589</v>
      </c>
      <c r="F9364" t="s">
        <v>410</v>
      </c>
      <c r="G9364">
        <v>165</v>
      </c>
      <c r="H9364">
        <v>165</v>
      </c>
      <c r="I9364">
        <v>165</v>
      </c>
      <c r="J9364">
        <v>165</v>
      </c>
      <c r="K9364">
        <v>0</v>
      </c>
      <c r="L9364">
        <v>0</v>
      </c>
      <c r="M9364">
        <v>160</v>
      </c>
      <c r="N9364">
        <v>5</v>
      </c>
      <c r="O9364">
        <v>0</v>
      </c>
      <c r="P9364">
        <v>0</v>
      </c>
      <c r="Q9364">
        <v>0</v>
      </c>
    </row>
    <row r="9365" spans="1:17" x14ac:dyDescent="0.2">
      <c r="A9365" s="121">
        <v>42308</v>
      </c>
      <c r="B9365" t="s">
        <v>406</v>
      </c>
      <c r="C9365" t="s">
        <v>577</v>
      </c>
      <c r="D9365" t="s">
        <v>613</v>
      </c>
      <c r="E9365" t="s">
        <v>614</v>
      </c>
      <c r="F9365" t="s">
        <v>410</v>
      </c>
      <c r="G9365">
        <v>116</v>
      </c>
      <c r="H9365">
        <v>116</v>
      </c>
      <c r="I9365">
        <v>116</v>
      </c>
      <c r="J9365">
        <v>116</v>
      </c>
      <c r="K9365">
        <v>1</v>
      </c>
      <c r="L9365">
        <v>0</v>
      </c>
      <c r="M9365">
        <v>93</v>
      </c>
      <c r="N9365">
        <v>18</v>
      </c>
      <c r="O9365">
        <v>4</v>
      </c>
      <c r="P9365">
        <v>0</v>
      </c>
      <c r="Q9365">
        <v>0</v>
      </c>
    </row>
    <row r="9366" spans="1:17" x14ac:dyDescent="0.2">
      <c r="A9366" s="121">
        <v>42308</v>
      </c>
      <c r="B9366" t="s">
        <v>406</v>
      </c>
      <c r="C9366" t="s">
        <v>577</v>
      </c>
      <c r="D9366" t="s">
        <v>590</v>
      </c>
      <c r="E9366" t="s">
        <v>591</v>
      </c>
      <c r="F9366" t="s">
        <v>410</v>
      </c>
      <c r="G9366">
        <v>590</v>
      </c>
      <c r="H9366">
        <v>590</v>
      </c>
      <c r="I9366">
        <v>590</v>
      </c>
      <c r="J9366">
        <v>590</v>
      </c>
      <c r="K9366">
        <v>0</v>
      </c>
      <c r="L9366">
        <v>0</v>
      </c>
      <c r="M9366">
        <v>560</v>
      </c>
      <c r="N9366">
        <v>28</v>
      </c>
      <c r="O9366">
        <v>2</v>
      </c>
      <c r="P9366">
        <v>0</v>
      </c>
      <c r="Q9366">
        <v>0</v>
      </c>
    </row>
    <row r="9367" spans="1:17" x14ac:dyDescent="0.2">
      <c r="A9367" s="121">
        <v>42308</v>
      </c>
      <c r="B9367" t="s">
        <v>406</v>
      </c>
      <c r="C9367" t="s">
        <v>577</v>
      </c>
      <c r="D9367" t="s">
        <v>607</v>
      </c>
      <c r="E9367" t="s">
        <v>608</v>
      </c>
      <c r="F9367" t="s">
        <v>410</v>
      </c>
      <c r="G9367">
        <v>233</v>
      </c>
      <c r="H9367">
        <v>233</v>
      </c>
      <c r="I9367">
        <v>233</v>
      </c>
      <c r="J9367">
        <v>233</v>
      </c>
      <c r="K9367">
        <v>0</v>
      </c>
      <c r="L9367">
        <v>0</v>
      </c>
      <c r="M9367">
        <v>213</v>
      </c>
      <c r="N9367">
        <v>17</v>
      </c>
      <c r="O9367">
        <v>3</v>
      </c>
      <c r="P9367">
        <v>0</v>
      </c>
      <c r="Q9367">
        <v>0</v>
      </c>
    </row>
    <row r="9368" spans="1:17" x14ac:dyDescent="0.2">
      <c r="A9368" s="121">
        <v>42308</v>
      </c>
      <c r="B9368" t="s">
        <v>406</v>
      </c>
      <c r="C9368" t="s">
        <v>577</v>
      </c>
      <c r="D9368" t="s">
        <v>592</v>
      </c>
      <c r="E9368" t="s">
        <v>593</v>
      </c>
      <c r="F9368" t="s">
        <v>410</v>
      </c>
      <c r="G9368">
        <v>498</v>
      </c>
      <c r="H9368">
        <v>498</v>
      </c>
      <c r="I9368">
        <v>498</v>
      </c>
      <c r="J9368">
        <v>498</v>
      </c>
      <c r="K9368">
        <v>0</v>
      </c>
      <c r="L9368">
        <v>1</v>
      </c>
      <c r="M9368">
        <v>450</v>
      </c>
      <c r="N9368">
        <v>44</v>
      </c>
      <c r="O9368">
        <v>3</v>
      </c>
      <c r="P9368">
        <v>0</v>
      </c>
      <c r="Q9368">
        <v>0</v>
      </c>
    </row>
    <row r="9369" spans="1:17" x14ac:dyDescent="0.2">
      <c r="A9369" s="121">
        <v>42308</v>
      </c>
      <c r="B9369" t="s">
        <v>406</v>
      </c>
      <c r="C9369" t="s">
        <v>594</v>
      </c>
      <c r="D9369" t="s">
        <v>595</v>
      </c>
      <c r="E9369" t="s">
        <v>596</v>
      </c>
      <c r="F9369" t="s">
        <v>410</v>
      </c>
      <c r="G9369">
        <v>43</v>
      </c>
      <c r="I9369">
        <v>43</v>
      </c>
    </row>
    <row r="9370" spans="1:17" x14ac:dyDescent="0.2">
      <c r="A9370" s="121">
        <v>42308</v>
      </c>
      <c r="B9370" t="s">
        <v>406</v>
      </c>
      <c r="C9370" t="s">
        <v>594</v>
      </c>
      <c r="D9370" t="s">
        <v>597</v>
      </c>
      <c r="E9370" t="s">
        <v>598</v>
      </c>
      <c r="F9370" t="s">
        <v>413</v>
      </c>
      <c r="G9370">
        <v>485</v>
      </c>
      <c r="H9370">
        <v>485</v>
      </c>
      <c r="I9370">
        <v>482</v>
      </c>
      <c r="J9370">
        <v>482</v>
      </c>
      <c r="K9370">
        <v>111</v>
      </c>
      <c r="L9370">
        <v>2</v>
      </c>
      <c r="M9370">
        <v>362</v>
      </c>
      <c r="N9370">
        <v>3</v>
      </c>
      <c r="O9370">
        <v>7</v>
      </c>
      <c r="P9370">
        <v>0</v>
      </c>
      <c r="Q9370">
        <v>0</v>
      </c>
    </row>
    <row r="9371" spans="1:17" x14ac:dyDescent="0.2">
      <c r="A9371" s="121">
        <v>42308</v>
      </c>
      <c r="B9371" t="s">
        <v>406</v>
      </c>
      <c r="C9371" t="s">
        <v>594</v>
      </c>
      <c r="D9371" t="s">
        <v>599</v>
      </c>
      <c r="E9371" t="s">
        <v>600</v>
      </c>
      <c r="F9371" t="s">
        <v>410</v>
      </c>
      <c r="G9371">
        <v>120</v>
      </c>
      <c r="I9371">
        <v>120</v>
      </c>
    </row>
    <row r="9372" spans="1:17" x14ac:dyDescent="0.2">
      <c r="A9372" s="121">
        <v>42338</v>
      </c>
      <c r="B9372" t="s">
        <v>406</v>
      </c>
      <c r="C9372" t="s">
        <v>407</v>
      </c>
      <c r="D9372" t="s">
        <v>408</v>
      </c>
      <c r="E9372" t="s">
        <v>409</v>
      </c>
      <c r="F9372" t="s">
        <v>410</v>
      </c>
      <c r="G9372">
        <v>170</v>
      </c>
      <c r="I9372">
        <v>170</v>
      </c>
    </row>
    <row r="9373" spans="1:17" x14ac:dyDescent="0.2">
      <c r="A9373" s="121">
        <v>42338</v>
      </c>
      <c r="B9373" t="s">
        <v>406</v>
      </c>
      <c r="C9373" t="s">
        <v>407</v>
      </c>
      <c r="D9373" t="s">
        <v>601</v>
      </c>
      <c r="E9373" t="s">
        <v>602</v>
      </c>
      <c r="F9373" t="s">
        <v>410</v>
      </c>
      <c r="G9373">
        <v>19</v>
      </c>
      <c r="I9373">
        <v>19</v>
      </c>
    </row>
    <row r="9374" spans="1:17" x14ac:dyDescent="0.2">
      <c r="A9374" s="121">
        <v>42338</v>
      </c>
      <c r="B9374" t="s">
        <v>406</v>
      </c>
      <c r="C9374" t="s">
        <v>407</v>
      </c>
      <c r="D9374" t="s">
        <v>411</v>
      </c>
      <c r="E9374" t="s">
        <v>412</v>
      </c>
      <c r="F9374" t="s">
        <v>413</v>
      </c>
      <c r="G9374">
        <v>5996</v>
      </c>
      <c r="H9374">
        <v>5996</v>
      </c>
      <c r="I9374">
        <v>5532</v>
      </c>
      <c r="J9374">
        <v>5532</v>
      </c>
      <c r="K9374">
        <v>2629</v>
      </c>
      <c r="L9374">
        <v>7</v>
      </c>
      <c r="M9374">
        <v>2999</v>
      </c>
      <c r="N9374">
        <v>104</v>
      </c>
      <c r="O9374">
        <v>257</v>
      </c>
      <c r="P9374">
        <v>66</v>
      </c>
      <c r="Q9374">
        <v>19</v>
      </c>
    </row>
    <row r="9375" spans="1:17" x14ac:dyDescent="0.2">
      <c r="A9375" s="121">
        <v>42338</v>
      </c>
      <c r="B9375" t="s">
        <v>406</v>
      </c>
      <c r="C9375" t="s">
        <v>407</v>
      </c>
      <c r="D9375" t="s">
        <v>416</v>
      </c>
      <c r="E9375" t="s">
        <v>417</v>
      </c>
      <c r="F9375" t="s">
        <v>413</v>
      </c>
      <c r="G9375">
        <v>3493</v>
      </c>
      <c r="H9375">
        <v>3493</v>
      </c>
      <c r="I9375">
        <v>3167</v>
      </c>
      <c r="J9375">
        <v>3167</v>
      </c>
      <c r="K9375">
        <v>1429</v>
      </c>
      <c r="L9375">
        <v>10</v>
      </c>
      <c r="M9375">
        <v>1927</v>
      </c>
      <c r="N9375">
        <v>88</v>
      </c>
      <c r="O9375">
        <v>39</v>
      </c>
      <c r="P9375">
        <v>40</v>
      </c>
      <c r="Q9375">
        <v>11</v>
      </c>
    </row>
    <row r="9376" spans="1:17" x14ac:dyDescent="0.2">
      <c r="A9376" s="121">
        <v>42338</v>
      </c>
      <c r="B9376" t="s">
        <v>406</v>
      </c>
      <c r="C9376" t="s">
        <v>407</v>
      </c>
      <c r="D9376" t="s">
        <v>618</v>
      </c>
      <c r="E9376" t="s">
        <v>619</v>
      </c>
      <c r="F9376" t="s">
        <v>410</v>
      </c>
      <c r="G9376">
        <v>88</v>
      </c>
      <c r="I9376">
        <v>88</v>
      </c>
    </row>
    <row r="9377" spans="1:17" x14ac:dyDescent="0.2">
      <c r="A9377" s="121">
        <v>42338</v>
      </c>
      <c r="B9377" t="s">
        <v>406</v>
      </c>
      <c r="C9377" t="s">
        <v>418</v>
      </c>
      <c r="D9377" t="s">
        <v>419</v>
      </c>
      <c r="E9377" t="s">
        <v>420</v>
      </c>
      <c r="F9377" t="s">
        <v>410</v>
      </c>
      <c r="G9377">
        <v>12</v>
      </c>
      <c r="I9377">
        <v>12</v>
      </c>
    </row>
    <row r="9378" spans="1:17" x14ac:dyDescent="0.2">
      <c r="A9378" s="121">
        <v>42338</v>
      </c>
      <c r="B9378" t="s">
        <v>406</v>
      </c>
      <c r="C9378" t="s">
        <v>418</v>
      </c>
      <c r="D9378" t="s">
        <v>421</v>
      </c>
      <c r="E9378" t="s">
        <v>422</v>
      </c>
      <c r="F9378" t="s">
        <v>410</v>
      </c>
      <c r="G9378">
        <v>53</v>
      </c>
      <c r="I9378">
        <v>53</v>
      </c>
    </row>
    <row r="9379" spans="1:17" x14ac:dyDescent="0.2">
      <c r="A9379" s="121">
        <v>42338</v>
      </c>
      <c r="B9379" t="s">
        <v>406</v>
      </c>
      <c r="C9379" t="s">
        <v>418</v>
      </c>
      <c r="D9379" t="s">
        <v>423</v>
      </c>
      <c r="E9379" t="s">
        <v>424</v>
      </c>
      <c r="F9379" t="s">
        <v>410</v>
      </c>
      <c r="G9379">
        <v>10</v>
      </c>
      <c r="I9379">
        <v>10</v>
      </c>
    </row>
    <row r="9380" spans="1:17" x14ac:dyDescent="0.2">
      <c r="A9380" s="121">
        <v>42338</v>
      </c>
      <c r="B9380" t="s">
        <v>406</v>
      </c>
      <c r="C9380" t="s">
        <v>418</v>
      </c>
      <c r="D9380" t="s">
        <v>425</v>
      </c>
      <c r="E9380" t="s">
        <v>426</v>
      </c>
      <c r="F9380" t="s">
        <v>410</v>
      </c>
      <c r="G9380">
        <v>34</v>
      </c>
      <c r="I9380">
        <v>34</v>
      </c>
    </row>
    <row r="9381" spans="1:17" x14ac:dyDescent="0.2">
      <c r="A9381" s="121">
        <v>42338</v>
      </c>
      <c r="B9381" t="s">
        <v>406</v>
      </c>
      <c r="C9381" t="s">
        <v>418</v>
      </c>
      <c r="D9381" t="s">
        <v>427</v>
      </c>
      <c r="E9381" t="s">
        <v>428</v>
      </c>
      <c r="F9381" t="s">
        <v>413</v>
      </c>
      <c r="G9381">
        <v>2090</v>
      </c>
      <c r="H9381">
        <v>2090</v>
      </c>
      <c r="I9381">
        <v>2032</v>
      </c>
      <c r="J9381">
        <v>2032</v>
      </c>
      <c r="K9381">
        <v>766</v>
      </c>
      <c r="L9381">
        <v>3</v>
      </c>
      <c r="M9381">
        <v>1148</v>
      </c>
      <c r="N9381">
        <v>158</v>
      </c>
      <c r="O9381">
        <v>15</v>
      </c>
      <c r="P9381">
        <v>2</v>
      </c>
      <c r="Q9381">
        <v>0</v>
      </c>
    </row>
    <row r="9382" spans="1:17" x14ac:dyDescent="0.2">
      <c r="A9382" s="121">
        <v>42338</v>
      </c>
      <c r="B9382" t="s">
        <v>406</v>
      </c>
      <c r="C9382" t="s">
        <v>429</v>
      </c>
      <c r="D9382" t="s">
        <v>430</v>
      </c>
      <c r="E9382" t="s">
        <v>431</v>
      </c>
      <c r="F9382" t="s">
        <v>410</v>
      </c>
      <c r="G9382">
        <v>14</v>
      </c>
      <c r="I9382">
        <v>14</v>
      </c>
    </row>
    <row r="9383" spans="1:17" x14ac:dyDescent="0.2">
      <c r="A9383" s="121">
        <v>42338</v>
      </c>
      <c r="B9383" t="s">
        <v>406</v>
      </c>
      <c r="C9383" t="s">
        <v>429</v>
      </c>
      <c r="D9383" t="s">
        <v>432</v>
      </c>
      <c r="E9383" t="s">
        <v>433</v>
      </c>
      <c r="F9383" t="s">
        <v>410</v>
      </c>
      <c r="G9383">
        <v>24</v>
      </c>
      <c r="I9383">
        <v>24</v>
      </c>
    </row>
    <row r="9384" spans="1:17" x14ac:dyDescent="0.2">
      <c r="A9384" s="121">
        <v>42338</v>
      </c>
      <c r="B9384" t="s">
        <v>406</v>
      </c>
      <c r="C9384" t="s">
        <v>429</v>
      </c>
      <c r="D9384" t="s">
        <v>434</v>
      </c>
      <c r="E9384" t="s">
        <v>435</v>
      </c>
      <c r="F9384" t="s">
        <v>410</v>
      </c>
      <c r="G9384">
        <v>3</v>
      </c>
      <c r="I9384">
        <v>3</v>
      </c>
    </row>
    <row r="9385" spans="1:17" x14ac:dyDescent="0.2">
      <c r="A9385" s="121">
        <v>42338</v>
      </c>
      <c r="B9385" t="s">
        <v>406</v>
      </c>
      <c r="C9385" t="s">
        <v>429</v>
      </c>
      <c r="D9385" t="s">
        <v>436</v>
      </c>
      <c r="E9385" t="s">
        <v>437</v>
      </c>
      <c r="F9385" t="s">
        <v>410</v>
      </c>
      <c r="G9385">
        <v>16</v>
      </c>
      <c r="H9385">
        <v>16</v>
      </c>
      <c r="I9385">
        <v>15</v>
      </c>
      <c r="J9385">
        <v>15</v>
      </c>
      <c r="K9385">
        <v>0</v>
      </c>
      <c r="L9385">
        <v>0</v>
      </c>
      <c r="M9385">
        <v>14</v>
      </c>
      <c r="N9385">
        <v>2</v>
      </c>
      <c r="O9385">
        <v>0</v>
      </c>
      <c r="P9385">
        <v>0</v>
      </c>
      <c r="Q9385">
        <v>0</v>
      </c>
    </row>
    <row r="9386" spans="1:17" x14ac:dyDescent="0.2">
      <c r="A9386" s="121">
        <v>42338</v>
      </c>
      <c r="B9386" t="s">
        <v>406</v>
      </c>
      <c r="C9386" t="s">
        <v>429</v>
      </c>
      <c r="D9386" t="s">
        <v>438</v>
      </c>
      <c r="E9386" t="s">
        <v>439</v>
      </c>
      <c r="F9386" t="s">
        <v>413</v>
      </c>
      <c r="G9386">
        <v>900</v>
      </c>
      <c r="H9386">
        <v>900</v>
      </c>
      <c r="I9386">
        <v>874</v>
      </c>
      <c r="J9386">
        <v>874</v>
      </c>
      <c r="K9386">
        <v>60</v>
      </c>
      <c r="L9386">
        <v>1</v>
      </c>
      <c r="M9386">
        <v>769</v>
      </c>
      <c r="N9386">
        <v>50</v>
      </c>
      <c r="O9386">
        <v>20</v>
      </c>
      <c r="P9386">
        <v>0</v>
      </c>
      <c r="Q9386">
        <v>0</v>
      </c>
    </row>
    <row r="9387" spans="1:17" x14ac:dyDescent="0.2">
      <c r="A9387" s="121">
        <v>42338</v>
      </c>
      <c r="B9387" t="s">
        <v>406</v>
      </c>
      <c r="C9387" t="s">
        <v>429</v>
      </c>
      <c r="D9387" t="s">
        <v>440</v>
      </c>
      <c r="E9387" t="s">
        <v>441</v>
      </c>
      <c r="F9387" t="s">
        <v>413</v>
      </c>
      <c r="G9387">
        <v>2629</v>
      </c>
      <c r="H9387">
        <v>2629</v>
      </c>
      <c r="I9387">
        <v>2563</v>
      </c>
      <c r="J9387">
        <v>2563</v>
      </c>
      <c r="K9387">
        <v>924</v>
      </c>
      <c r="L9387">
        <v>3</v>
      </c>
      <c r="M9387">
        <v>1593</v>
      </c>
      <c r="N9387">
        <v>70</v>
      </c>
      <c r="O9387">
        <v>39</v>
      </c>
      <c r="P9387">
        <v>0</v>
      </c>
      <c r="Q9387">
        <v>0</v>
      </c>
    </row>
    <row r="9388" spans="1:17" x14ac:dyDescent="0.2">
      <c r="A9388" s="121">
        <v>42338</v>
      </c>
      <c r="B9388" t="s">
        <v>406</v>
      </c>
      <c r="C9388" t="s">
        <v>442</v>
      </c>
      <c r="D9388" t="s">
        <v>443</v>
      </c>
      <c r="E9388" t="s">
        <v>444</v>
      </c>
      <c r="F9388" t="s">
        <v>413</v>
      </c>
      <c r="G9388">
        <v>4959</v>
      </c>
      <c r="H9388">
        <v>4959</v>
      </c>
      <c r="I9388">
        <v>4680</v>
      </c>
      <c r="J9388">
        <v>4680</v>
      </c>
      <c r="K9388">
        <v>1323</v>
      </c>
      <c r="L9388">
        <v>8</v>
      </c>
      <c r="M9388">
        <v>3363</v>
      </c>
      <c r="N9388">
        <v>109</v>
      </c>
      <c r="O9388">
        <v>156</v>
      </c>
      <c r="P9388">
        <v>26</v>
      </c>
      <c r="Q9388">
        <v>2</v>
      </c>
    </row>
    <row r="9389" spans="1:17" x14ac:dyDescent="0.2">
      <c r="A9389" s="121">
        <v>42338</v>
      </c>
      <c r="B9389" t="s">
        <v>406</v>
      </c>
      <c r="C9389" t="s">
        <v>442</v>
      </c>
      <c r="D9389" t="s">
        <v>445</v>
      </c>
      <c r="E9389" t="s">
        <v>446</v>
      </c>
      <c r="F9389" t="s">
        <v>410</v>
      </c>
      <c r="G9389">
        <v>145</v>
      </c>
      <c r="I9389">
        <v>145</v>
      </c>
    </row>
    <row r="9390" spans="1:17" x14ac:dyDescent="0.2">
      <c r="A9390" s="121">
        <v>42338</v>
      </c>
      <c r="B9390" t="s">
        <v>406</v>
      </c>
      <c r="C9390" t="s">
        <v>442</v>
      </c>
      <c r="D9390" t="s">
        <v>447</v>
      </c>
      <c r="E9390" t="s">
        <v>448</v>
      </c>
      <c r="F9390" t="s">
        <v>410</v>
      </c>
      <c r="G9390">
        <v>329</v>
      </c>
      <c r="I9390">
        <v>329</v>
      </c>
    </row>
    <row r="9391" spans="1:17" x14ac:dyDescent="0.2">
      <c r="A9391" s="121">
        <v>42338</v>
      </c>
      <c r="B9391" t="s">
        <v>406</v>
      </c>
      <c r="C9391" t="s">
        <v>442</v>
      </c>
      <c r="D9391" t="s">
        <v>449</v>
      </c>
      <c r="E9391" t="s">
        <v>624</v>
      </c>
      <c r="F9391" t="s">
        <v>410</v>
      </c>
      <c r="G9391">
        <v>1635</v>
      </c>
      <c r="H9391">
        <v>1635</v>
      </c>
      <c r="I9391">
        <v>1633</v>
      </c>
      <c r="J9391">
        <v>1633</v>
      </c>
      <c r="K9391">
        <v>16</v>
      </c>
      <c r="L9391">
        <v>0</v>
      </c>
      <c r="M9391">
        <v>1467</v>
      </c>
      <c r="N9391">
        <v>149</v>
      </c>
      <c r="O9391">
        <v>3</v>
      </c>
      <c r="P9391">
        <v>0</v>
      </c>
      <c r="Q9391">
        <v>0</v>
      </c>
    </row>
    <row r="9392" spans="1:17" x14ac:dyDescent="0.2">
      <c r="A9392" s="121">
        <v>42338</v>
      </c>
      <c r="B9392" t="s">
        <v>406</v>
      </c>
      <c r="C9392" t="s">
        <v>451</v>
      </c>
      <c r="D9392" t="s">
        <v>454</v>
      </c>
      <c r="E9392" t="s">
        <v>621</v>
      </c>
      <c r="F9392" t="s">
        <v>410</v>
      </c>
      <c r="G9392">
        <v>1185</v>
      </c>
      <c r="H9392">
        <v>1185</v>
      </c>
      <c r="I9392">
        <v>1184</v>
      </c>
      <c r="J9392">
        <v>1184</v>
      </c>
      <c r="K9392">
        <v>1</v>
      </c>
      <c r="L9392">
        <v>0</v>
      </c>
      <c r="M9392">
        <v>872</v>
      </c>
      <c r="N9392">
        <v>56</v>
      </c>
      <c r="O9392">
        <v>256</v>
      </c>
      <c r="P9392">
        <v>0</v>
      </c>
      <c r="Q9392">
        <v>0</v>
      </c>
    </row>
    <row r="9393" spans="1:17" x14ac:dyDescent="0.2">
      <c r="A9393" s="121">
        <v>42338</v>
      </c>
      <c r="B9393" t="s">
        <v>406</v>
      </c>
      <c r="C9393" t="s">
        <v>451</v>
      </c>
      <c r="D9393" t="s">
        <v>622</v>
      </c>
      <c r="E9393" t="s">
        <v>623</v>
      </c>
      <c r="F9393" t="s">
        <v>413</v>
      </c>
      <c r="G9393">
        <v>5100</v>
      </c>
      <c r="H9393">
        <v>5100</v>
      </c>
      <c r="I9393">
        <v>4833</v>
      </c>
      <c r="J9393">
        <v>4833</v>
      </c>
      <c r="K9393">
        <v>1341</v>
      </c>
      <c r="L9393">
        <v>12</v>
      </c>
      <c r="M9393">
        <v>2970</v>
      </c>
      <c r="N9393">
        <v>41</v>
      </c>
      <c r="O9393">
        <v>736</v>
      </c>
      <c r="P9393">
        <v>2</v>
      </c>
      <c r="Q9393">
        <v>0</v>
      </c>
    </row>
    <row r="9394" spans="1:17" x14ac:dyDescent="0.2">
      <c r="A9394" s="121">
        <v>42338</v>
      </c>
      <c r="B9394" t="s">
        <v>406</v>
      </c>
      <c r="C9394" t="s">
        <v>456</v>
      </c>
      <c r="D9394" t="s">
        <v>457</v>
      </c>
      <c r="E9394" t="s">
        <v>458</v>
      </c>
      <c r="F9394" t="s">
        <v>413</v>
      </c>
      <c r="G9394">
        <v>4682</v>
      </c>
      <c r="H9394">
        <v>4682</v>
      </c>
      <c r="I9394">
        <v>4434</v>
      </c>
      <c r="J9394">
        <v>4434</v>
      </c>
      <c r="K9394">
        <v>1275</v>
      </c>
      <c r="L9394">
        <v>13</v>
      </c>
      <c r="M9394">
        <v>2876</v>
      </c>
      <c r="N9394">
        <v>23</v>
      </c>
      <c r="O9394">
        <v>495</v>
      </c>
      <c r="P9394">
        <v>7</v>
      </c>
      <c r="Q9394">
        <v>0</v>
      </c>
    </row>
    <row r="9395" spans="1:17" x14ac:dyDescent="0.2">
      <c r="A9395" s="121">
        <v>42338</v>
      </c>
      <c r="B9395" t="s">
        <v>406</v>
      </c>
      <c r="C9395" t="s">
        <v>456</v>
      </c>
      <c r="D9395" t="s">
        <v>459</v>
      </c>
      <c r="E9395" t="s">
        <v>460</v>
      </c>
      <c r="F9395" t="s">
        <v>413</v>
      </c>
      <c r="G9395">
        <v>1447</v>
      </c>
      <c r="H9395">
        <v>1447</v>
      </c>
      <c r="I9395">
        <v>1438</v>
      </c>
      <c r="J9395">
        <v>1438</v>
      </c>
      <c r="K9395">
        <v>317</v>
      </c>
      <c r="L9395">
        <v>0</v>
      </c>
      <c r="M9395">
        <v>1081</v>
      </c>
      <c r="N9395">
        <v>0</v>
      </c>
      <c r="O9395">
        <v>49</v>
      </c>
      <c r="P9395">
        <v>0</v>
      </c>
      <c r="Q9395">
        <v>0</v>
      </c>
    </row>
    <row r="9396" spans="1:17" x14ac:dyDescent="0.2">
      <c r="A9396" s="121">
        <v>42338</v>
      </c>
      <c r="B9396" t="s">
        <v>406</v>
      </c>
      <c r="C9396" t="s">
        <v>456</v>
      </c>
      <c r="D9396" t="s">
        <v>461</v>
      </c>
      <c r="E9396" t="s">
        <v>462</v>
      </c>
      <c r="F9396" t="s">
        <v>410</v>
      </c>
      <c r="G9396">
        <v>75</v>
      </c>
      <c r="I9396">
        <v>75</v>
      </c>
    </row>
    <row r="9397" spans="1:17" x14ac:dyDescent="0.2">
      <c r="A9397" s="121">
        <v>42338</v>
      </c>
      <c r="B9397" t="s">
        <v>406</v>
      </c>
      <c r="C9397" t="s">
        <v>456</v>
      </c>
      <c r="D9397" t="s">
        <v>463</v>
      </c>
      <c r="E9397" t="s">
        <v>464</v>
      </c>
      <c r="F9397" t="s">
        <v>410</v>
      </c>
      <c r="G9397">
        <v>12</v>
      </c>
      <c r="I9397">
        <v>12</v>
      </c>
    </row>
    <row r="9398" spans="1:17" x14ac:dyDescent="0.2">
      <c r="A9398" s="121">
        <v>42338</v>
      </c>
      <c r="B9398" t="s">
        <v>406</v>
      </c>
      <c r="C9398" t="s">
        <v>456</v>
      </c>
      <c r="D9398" t="s">
        <v>465</v>
      </c>
      <c r="E9398" t="s">
        <v>466</v>
      </c>
      <c r="F9398" t="s">
        <v>410</v>
      </c>
      <c r="G9398">
        <v>17</v>
      </c>
      <c r="I9398">
        <v>17</v>
      </c>
    </row>
    <row r="9399" spans="1:17" x14ac:dyDescent="0.2">
      <c r="A9399" s="121">
        <v>42338</v>
      </c>
      <c r="B9399" t="s">
        <v>406</v>
      </c>
      <c r="C9399" t="s">
        <v>456</v>
      </c>
      <c r="D9399" t="s">
        <v>467</v>
      </c>
      <c r="E9399" t="s">
        <v>468</v>
      </c>
      <c r="F9399" t="s">
        <v>410</v>
      </c>
      <c r="G9399">
        <v>1311</v>
      </c>
      <c r="I9399">
        <v>1306</v>
      </c>
    </row>
    <row r="9400" spans="1:17" x14ac:dyDescent="0.2">
      <c r="A9400" s="121">
        <v>42338</v>
      </c>
      <c r="B9400" t="s">
        <v>406</v>
      </c>
      <c r="C9400" t="s">
        <v>456</v>
      </c>
      <c r="D9400" t="s">
        <v>469</v>
      </c>
      <c r="E9400" t="s">
        <v>470</v>
      </c>
      <c r="F9400" t="s">
        <v>410</v>
      </c>
      <c r="G9400">
        <v>652</v>
      </c>
      <c r="I9400">
        <v>648</v>
      </c>
    </row>
    <row r="9401" spans="1:17" x14ac:dyDescent="0.2">
      <c r="A9401" s="121">
        <v>42338</v>
      </c>
      <c r="B9401" t="s">
        <v>406</v>
      </c>
      <c r="C9401" t="s">
        <v>456</v>
      </c>
      <c r="D9401" t="s">
        <v>471</v>
      </c>
      <c r="E9401" t="s">
        <v>472</v>
      </c>
      <c r="F9401" t="s">
        <v>410</v>
      </c>
      <c r="G9401">
        <v>303</v>
      </c>
      <c r="I9401">
        <v>299</v>
      </c>
    </row>
    <row r="9402" spans="1:17" x14ac:dyDescent="0.2">
      <c r="A9402" s="121">
        <v>42338</v>
      </c>
      <c r="B9402" t="s">
        <v>406</v>
      </c>
      <c r="C9402" t="s">
        <v>456</v>
      </c>
      <c r="D9402" t="s">
        <v>473</v>
      </c>
      <c r="E9402" t="s">
        <v>474</v>
      </c>
      <c r="F9402" t="s">
        <v>410</v>
      </c>
      <c r="G9402">
        <v>185</v>
      </c>
      <c r="I9402">
        <v>185</v>
      </c>
    </row>
    <row r="9403" spans="1:17" x14ac:dyDescent="0.2">
      <c r="A9403" s="121">
        <v>42338</v>
      </c>
      <c r="B9403" t="s">
        <v>406</v>
      </c>
      <c r="C9403" t="s">
        <v>456</v>
      </c>
      <c r="D9403" t="s">
        <v>475</v>
      </c>
      <c r="E9403" t="s">
        <v>476</v>
      </c>
      <c r="F9403" t="s">
        <v>410</v>
      </c>
      <c r="G9403">
        <v>270</v>
      </c>
      <c r="I9403">
        <v>256</v>
      </c>
    </row>
    <row r="9404" spans="1:17" x14ac:dyDescent="0.2">
      <c r="A9404" s="121">
        <v>42338</v>
      </c>
      <c r="B9404" t="s">
        <v>406</v>
      </c>
      <c r="C9404" t="s">
        <v>456</v>
      </c>
      <c r="D9404" t="s">
        <v>477</v>
      </c>
      <c r="E9404" t="s">
        <v>478</v>
      </c>
      <c r="F9404" t="s">
        <v>413</v>
      </c>
      <c r="G9404">
        <v>1901</v>
      </c>
      <c r="H9404">
        <v>1901</v>
      </c>
      <c r="I9404">
        <v>1852</v>
      </c>
      <c r="J9404">
        <v>1852</v>
      </c>
      <c r="K9404">
        <v>346</v>
      </c>
      <c r="L9404">
        <v>2</v>
      </c>
      <c r="M9404">
        <v>1466</v>
      </c>
      <c r="N9404">
        <v>12</v>
      </c>
      <c r="O9404">
        <v>75</v>
      </c>
      <c r="P9404">
        <v>0</v>
      </c>
      <c r="Q9404">
        <v>0</v>
      </c>
    </row>
    <row r="9405" spans="1:17" x14ac:dyDescent="0.2">
      <c r="A9405" s="121">
        <v>42338</v>
      </c>
      <c r="B9405" t="s">
        <v>406</v>
      </c>
      <c r="C9405" t="s">
        <v>456</v>
      </c>
      <c r="D9405" t="s">
        <v>479</v>
      </c>
      <c r="E9405" t="s">
        <v>480</v>
      </c>
      <c r="F9405" t="s">
        <v>410</v>
      </c>
      <c r="G9405">
        <v>26</v>
      </c>
      <c r="I9405">
        <v>26</v>
      </c>
    </row>
    <row r="9406" spans="1:17" x14ac:dyDescent="0.2">
      <c r="A9406" s="121">
        <v>42338</v>
      </c>
      <c r="B9406" t="s">
        <v>406</v>
      </c>
      <c r="C9406" t="s">
        <v>456</v>
      </c>
      <c r="D9406" t="s">
        <v>481</v>
      </c>
      <c r="E9406" t="s">
        <v>482</v>
      </c>
      <c r="F9406" t="s">
        <v>410</v>
      </c>
      <c r="G9406">
        <v>14</v>
      </c>
      <c r="I9406">
        <v>14</v>
      </c>
    </row>
    <row r="9407" spans="1:17" x14ac:dyDescent="0.2">
      <c r="A9407" s="121">
        <v>42338</v>
      </c>
      <c r="B9407" t="s">
        <v>406</v>
      </c>
      <c r="C9407" t="s">
        <v>456</v>
      </c>
      <c r="D9407" t="s">
        <v>483</v>
      </c>
      <c r="E9407" t="s">
        <v>484</v>
      </c>
      <c r="F9407" t="s">
        <v>410</v>
      </c>
      <c r="G9407">
        <v>78</v>
      </c>
      <c r="I9407">
        <v>78</v>
      </c>
    </row>
    <row r="9408" spans="1:17" x14ac:dyDescent="0.2">
      <c r="A9408" s="121">
        <v>42338</v>
      </c>
      <c r="B9408" t="s">
        <v>406</v>
      </c>
      <c r="C9408" t="s">
        <v>456</v>
      </c>
      <c r="D9408" t="s">
        <v>487</v>
      </c>
      <c r="E9408" t="s">
        <v>488</v>
      </c>
      <c r="F9408" t="s">
        <v>410</v>
      </c>
      <c r="G9408">
        <v>20</v>
      </c>
      <c r="I9408">
        <v>20</v>
      </c>
    </row>
    <row r="9409" spans="1:17" x14ac:dyDescent="0.2">
      <c r="A9409" s="121">
        <v>42338</v>
      </c>
      <c r="B9409" t="s">
        <v>406</v>
      </c>
      <c r="C9409" t="s">
        <v>456</v>
      </c>
      <c r="D9409" t="s">
        <v>489</v>
      </c>
      <c r="E9409" t="s">
        <v>490</v>
      </c>
      <c r="F9409" t="s">
        <v>410</v>
      </c>
      <c r="G9409">
        <v>103</v>
      </c>
      <c r="I9409">
        <v>103</v>
      </c>
    </row>
    <row r="9410" spans="1:17" x14ac:dyDescent="0.2">
      <c r="A9410" s="121">
        <v>42338</v>
      </c>
      <c r="B9410" t="s">
        <v>406</v>
      </c>
      <c r="C9410" t="s">
        <v>456</v>
      </c>
      <c r="D9410" t="s">
        <v>628</v>
      </c>
      <c r="E9410" t="s">
        <v>629</v>
      </c>
      <c r="F9410" t="s">
        <v>410</v>
      </c>
      <c r="G9410">
        <v>53</v>
      </c>
      <c r="I9410">
        <v>53</v>
      </c>
    </row>
    <row r="9411" spans="1:17" x14ac:dyDescent="0.2">
      <c r="A9411" s="121">
        <v>42338</v>
      </c>
      <c r="B9411" t="s">
        <v>406</v>
      </c>
      <c r="C9411" t="s">
        <v>491</v>
      </c>
      <c r="D9411" t="s">
        <v>492</v>
      </c>
      <c r="E9411" t="s">
        <v>493</v>
      </c>
      <c r="F9411" t="s">
        <v>410</v>
      </c>
      <c r="G9411">
        <v>1221</v>
      </c>
      <c r="H9411">
        <v>1221</v>
      </c>
      <c r="I9411">
        <v>1208</v>
      </c>
      <c r="J9411">
        <v>1208</v>
      </c>
      <c r="K9411">
        <v>203</v>
      </c>
      <c r="L9411">
        <v>0</v>
      </c>
      <c r="M9411">
        <v>910</v>
      </c>
      <c r="N9411">
        <v>98</v>
      </c>
      <c r="O9411">
        <v>10</v>
      </c>
      <c r="P9411">
        <v>0</v>
      </c>
      <c r="Q9411">
        <v>0</v>
      </c>
    </row>
    <row r="9412" spans="1:17" x14ac:dyDescent="0.2">
      <c r="A9412" s="121">
        <v>42338</v>
      </c>
      <c r="B9412" t="s">
        <v>406</v>
      </c>
      <c r="C9412" t="s">
        <v>491</v>
      </c>
      <c r="D9412" t="s">
        <v>494</v>
      </c>
      <c r="E9412" t="s">
        <v>495</v>
      </c>
      <c r="F9412" t="s">
        <v>413</v>
      </c>
      <c r="G9412">
        <v>2425</v>
      </c>
      <c r="H9412">
        <v>2425</v>
      </c>
      <c r="I9412">
        <v>2286</v>
      </c>
      <c r="J9412">
        <v>2286</v>
      </c>
      <c r="K9412">
        <v>696</v>
      </c>
      <c r="L9412">
        <v>7</v>
      </c>
      <c r="M9412">
        <v>1473</v>
      </c>
      <c r="N9412">
        <v>47</v>
      </c>
      <c r="O9412">
        <v>202</v>
      </c>
      <c r="P9412">
        <v>2</v>
      </c>
      <c r="Q9412">
        <v>0</v>
      </c>
    </row>
    <row r="9413" spans="1:17" x14ac:dyDescent="0.2">
      <c r="A9413" s="121">
        <v>42338</v>
      </c>
      <c r="B9413" t="s">
        <v>406</v>
      </c>
      <c r="C9413" t="s">
        <v>491</v>
      </c>
      <c r="D9413" t="s">
        <v>496</v>
      </c>
      <c r="E9413" t="s">
        <v>497</v>
      </c>
      <c r="F9413" t="s">
        <v>413</v>
      </c>
      <c r="G9413">
        <v>5241</v>
      </c>
      <c r="H9413">
        <v>5241</v>
      </c>
      <c r="I9413">
        <v>4804</v>
      </c>
      <c r="J9413">
        <v>4804</v>
      </c>
      <c r="K9413">
        <v>1855</v>
      </c>
      <c r="L9413">
        <v>16</v>
      </c>
      <c r="M9413">
        <v>3127</v>
      </c>
      <c r="N9413">
        <v>121</v>
      </c>
      <c r="O9413">
        <v>122</v>
      </c>
      <c r="P9413">
        <v>15</v>
      </c>
      <c r="Q9413">
        <v>0</v>
      </c>
    </row>
    <row r="9414" spans="1:17" x14ac:dyDescent="0.2">
      <c r="A9414" s="121">
        <v>42338</v>
      </c>
      <c r="B9414" t="s">
        <v>406</v>
      </c>
      <c r="C9414" t="s">
        <v>491</v>
      </c>
      <c r="D9414" t="s">
        <v>498</v>
      </c>
      <c r="E9414" t="s">
        <v>499</v>
      </c>
      <c r="F9414" t="s">
        <v>413</v>
      </c>
      <c r="G9414">
        <v>7310</v>
      </c>
      <c r="H9414">
        <v>7310</v>
      </c>
      <c r="I9414">
        <v>6557</v>
      </c>
      <c r="J9414">
        <v>6557</v>
      </c>
      <c r="K9414">
        <v>2341</v>
      </c>
      <c r="L9414">
        <v>17</v>
      </c>
      <c r="M9414">
        <v>4518</v>
      </c>
      <c r="N9414">
        <v>137</v>
      </c>
      <c r="O9414">
        <v>297</v>
      </c>
      <c r="P9414">
        <v>11</v>
      </c>
      <c r="Q9414">
        <v>0</v>
      </c>
    </row>
    <row r="9415" spans="1:17" x14ac:dyDescent="0.2">
      <c r="A9415" s="121">
        <v>42338</v>
      </c>
      <c r="B9415" t="s">
        <v>406</v>
      </c>
      <c r="C9415" t="s">
        <v>491</v>
      </c>
      <c r="D9415" t="s">
        <v>500</v>
      </c>
      <c r="E9415" t="s">
        <v>620</v>
      </c>
      <c r="F9415" t="s">
        <v>410</v>
      </c>
      <c r="G9415">
        <v>1369</v>
      </c>
      <c r="H9415">
        <v>1369</v>
      </c>
      <c r="I9415">
        <v>1369</v>
      </c>
      <c r="J9415">
        <v>1369</v>
      </c>
      <c r="K9415">
        <v>0</v>
      </c>
      <c r="L9415">
        <v>0</v>
      </c>
      <c r="M9415">
        <v>1232</v>
      </c>
      <c r="N9415">
        <v>117</v>
      </c>
      <c r="O9415">
        <v>20</v>
      </c>
      <c r="P9415">
        <v>0</v>
      </c>
      <c r="Q9415">
        <v>0</v>
      </c>
    </row>
    <row r="9416" spans="1:17" x14ac:dyDescent="0.2">
      <c r="A9416" s="121">
        <v>42338</v>
      </c>
      <c r="B9416" t="s">
        <v>406</v>
      </c>
      <c r="C9416" t="s">
        <v>491</v>
      </c>
      <c r="D9416" t="s">
        <v>502</v>
      </c>
      <c r="E9416" t="s">
        <v>615</v>
      </c>
      <c r="F9416" t="s">
        <v>410</v>
      </c>
      <c r="G9416">
        <v>2329</v>
      </c>
      <c r="H9416">
        <v>2329</v>
      </c>
      <c r="I9416">
        <v>2329</v>
      </c>
      <c r="J9416">
        <v>2329</v>
      </c>
      <c r="K9416">
        <v>0</v>
      </c>
      <c r="L9416">
        <v>0</v>
      </c>
      <c r="M9416">
        <v>2125</v>
      </c>
      <c r="N9416">
        <v>194</v>
      </c>
      <c r="O9416">
        <v>10</v>
      </c>
      <c r="P9416">
        <v>0</v>
      </c>
      <c r="Q9416">
        <v>0</v>
      </c>
    </row>
    <row r="9417" spans="1:17" x14ac:dyDescent="0.2">
      <c r="A9417" s="121">
        <v>42338</v>
      </c>
      <c r="B9417" t="s">
        <v>406</v>
      </c>
      <c r="C9417" t="s">
        <v>491</v>
      </c>
      <c r="D9417" t="s">
        <v>504</v>
      </c>
      <c r="E9417" t="s">
        <v>630</v>
      </c>
      <c r="F9417" t="s">
        <v>413</v>
      </c>
      <c r="G9417">
        <v>7046</v>
      </c>
      <c r="H9417">
        <v>7046</v>
      </c>
      <c r="I9417">
        <v>6553</v>
      </c>
      <c r="J9417">
        <v>6553</v>
      </c>
      <c r="K9417">
        <v>2225</v>
      </c>
      <c r="L9417">
        <v>18</v>
      </c>
      <c r="M9417">
        <v>4514</v>
      </c>
      <c r="N9417">
        <v>150</v>
      </c>
      <c r="O9417">
        <v>139</v>
      </c>
      <c r="P9417">
        <v>26</v>
      </c>
      <c r="Q9417">
        <v>2</v>
      </c>
    </row>
    <row r="9418" spans="1:17" x14ac:dyDescent="0.2">
      <c r="A9418" s="121">
        <v>42338</v>
      </c>
      <c r="B9418" t="s">
        <v>406</v>
      </c>
      <c r="C9418" t="s">
        <v>491</v>
      </c>
      <c r="D9418" t="s">
        <v>506</v>
      </c>
      <c r="E9418" t="s">
        <v>507</v>
      </c>
      <c r="F9418" t="s">
        <v>413</v>
      </c>
      <c r="G9418">
        <v>5189</v>
      </c>
      <c r="H9418">
        <v>5189</v>
      </c>
      <c r="I9418">
        <v>5121</v>
      </c>
      <c r="J9418">
        <v>5121</v>
      </c>
      <c r="K9418">
        <v>1127</v>
      </c>
      <c r="L9418">
        <v>0</v>
      </c>
      <c r="M9418">
        <v>4047</v>
      </c>
      <c r="N9418">
        <v>1</v>
      </c>
      <c r="O9418">
        <v>14</v>
      </c>
      <c r="P9418">
        <v>0</v>
      </c>
      <c r="Q9418">
        <v>0</v>
      </c>
    </row>
    <row r="9419" spans="1:17" x14ac:dyDescent="0.2">
      <c r="A9419" s="121">
        <v>42338</v>
      </c>
      <c r="B9419" t="s">
        <v>406</v>
      </c>
      <c r="C9419" t="s">
        <v>491</v>
      </c>
      <c r="D9419" t="s">
        <v>508</v>
      </c>
      <c r="E9419" t="s">
        <v>631</v>
      </c>
      <c r="F9419" t="s">
        <v>410</v>
      </c>
      <c r="G9419">
        <v>1029</v>
      </c>
      <c r="H9419">
        <v>1029</v>
      </c>
      <c r="I9419">
        <v>1029</v>
      </c>
      <c r="J9419">
        <v>1029</v>
      </c>
      <c r="K9419">
        <v>1</v>
      </c>
      <c r="L9419">
        <v>0</v>
      </c>
      <c r="M9419">
        <v>952</v>
      </c>
      <c r="N9419">
        <v>70</v>
      </c>
      <c r="O9419">
        <v>6</v>
      </c>
      <c r="P9419">
        <v>0</v>
      </c>
      <c r="Q9419">
        <v>0</v>
      </c>
    </row>
    <row r="9420" spans="1:17" x14ac:dyDescent="0.2">
      <c r="A9420" s="121">
        <v>42338</v>
      </c>
      <c r="B9420" t="s">
        <v>406</v>
      </c>
      <c r="C9420" t="s">
        <v>510</v>
      </c>
      <c r="D9420" t="s">
        <v>513</v>
      </c>
      <c r="E9420" t="s">
        <v>514</v>
      </c>
      <c r="F9420" t="s">
        <v>410</v>
      </c>
      <c r="G9420">
        <v>524</v>
      </c>
      <c r="I9420">
        <v>524</v>
      </c>
    </row>
    <row r="9421" spans="1:17" x14ac:dyDescent="0.2">
      <c r="A9421" s="121">
        <v>42338</v>
      </c>
      <c r="B9421" t="s">
        <v>406</v>
      </c>
      <c r="C9421" t="s">
        <v>510</v>
      </c>
      <c r="D9421" t="s">
        <v>515</v>
      </c>
      <c r="E9421" t="s">
        <v>516</v>
      </c>
      <c r="F9421" t="s">
        <v>410</v>
      </c>
      <c r="G9421">
        <v>89</v>
      </c>
      <c r="I9421">
        <v>89</v>
      </c>
    </row>
    <row r="9422" spans="1:17" x14ac:dyDescent="0.2">
      <c r="A9422" s="121">
        <v>42338</v>
      </c>
      <c r="B9422" t="s">
        <v>406</v>
      </c>
      <c r="C9422" t="s">
        <v>510</v>
      </c>
      <c r="D9422" t="s">
        <v>519</v>
      </c>
      <c r="E9422" t="s">
        <v>520</v>
      </c>
      <c r="F9422" t="s">
        <v>410</v>
      </c>
      <c r="G9422">
        <v>332</v>
      </c>
      <c r="I9422">
        <v>323</v>
      </c>
    </row>
    <row r="9423" spans="1:17" x14ac:dyDescent="0.2">
      <c r="A9423" s="121">
        <v>42338</v>
      </c>
      <c r="B9423" t="s">
        <v>406</v>
      </c>
      <c r="C9423" t="s">
        <v>510</v>
      </c>
      <c r="D9423" t="s">
        <v>523</v>
      </c>
      <c r="E9423" t="s">
        <v>524</v>
      </c>
      <c r="F9423" t="s">
        <v>413</v>
      </c>
      <c r="G9423">
        <v>522</v>
      </c>
      <c r="H9423">
        <v>522</v>
      </c>
      <c r="I9423">
        <v>517</v>
      </c>
      <c r="J9423">
        <v>517</v>
      </c>
      <c r="K9423">
        <v>123</v>
      </c>
      <c r="L9423">
        <v>2</v>
      </c>
      <c r="M9423">
        <v>387</v>
      </c>
      <c r="N9423">
        <v>10</v>
      </c>
      <c r="O9423">
        <v>0</v>
      </c>
      <c r="P9423">
        <v>1</v>
      </c>
      <c r="Q9423">
        <v>0</v>
      </c>
    </row>
    <row r="9424" spans="1:17" x14ac:dyDescent="0.2">
      <c r="A9424" s="121">
        <v>42338</v>
      </c>
      <c r="B9424" t="s">
        <v>406</v>
      </c>
      <c r="C9424" t="s">
        <v>510</v>
      </c>
      <c r="D9424" t="s">
        <v>525</v>
      </c>
      <c r="E9424" t="s">
        <v>526</v>
      </c>
      <c r="F9424" t="s">
        <v>410</v>
      </c>
      <c r="G9424">
        <v>382</v>
      </c>
      <c r="I9424">
        <v>376</v>
      </c>
    </row>
    <row r="9425" spans="1:17" x14ac:dyDescent="0.2">
      <c r="A9425" s="121">
        <v>42338</v>
      </c>
      <c r="B9425" t="s">
        <v>406</v>
      </c>
      <c r="C9425" t="s">
        <v>510</v>
      </c>
      <c r="D9425" t="s">
        <v>527</v>
      </c>
      <c r="E9425" t="s">
        <v>528</v>
      </c>
      <c r="F9425" t="s">
        <v>410</v>
      </c>
      <c r="G9425">
        <v>170</v>
      </c>
      <c r="I9425">
        <v>169</v>
      </c>
    </row>
    <row r="9426" spans="1:17" x14ac:dyDescent="0.2">
      <c r="A9426" s="121">
        <v>42338</v>
      </c>
      <c r="B9426" t="s">
        <v>406</v>
      </c>
      <c r="C9426" t="s">
        <v>510</v>
      </c>
      <c r="D9426" t="s">
        <v>529</v>
      </c>
      <c r="E9426" t="s">
        <v>530</v>
      </c>
      <c r="F9426" t="s">
        <v>413</v>
      </c>
      <c r="G9426">
        <v>514</v>
      </c>
      <c r="H9426">
        <v>514</v>
      </c>
      <c r="I9426">
        <v>488</v>
      </c>
      <c r="J9426">
        <v>488</v>
      </c>
      <c r="K9426">
        <v>161</v>
      </c>
      <c r="L9426">
        <v>2</v>
      </c>
      <c r="M9426">
        <v>350</v>
      </c>
      <c r="N9426">
        <v>1</v>
      </c>
      <c r="O9426">
        <v>0</v>
      </c>
      <c r="P9426">
        <v>3</v>
      </c>
      <c r="Q9426">
        <v>0</v>
      </c>
    </row>
    <row r="9427" spans="1:17" x14ac:dyDescent="0.2">
      <c r="A9427" s="121">
        <v>42338</v>
      </c>
      <c r="B9427" t="s">
        <v>406</v>
      </c>
      <c r="C9427" t="s">
        <v>510</v>
      </c>
      <c r="D9427" t="s">
        <v>531</v>
      </c>
      <c r="E9427" t="s">
        <v>532</v>
      </c>
      <c r="F9427" t="s">
        <v>410</v>
      </c>
      <c r="G9427">
        <v>14</v>
      </c>
      <c r="I9427">
        <v>14</v>
      </c>
    </row>
    <row r="9428" spans="1:17" x14ac:dyDescent="0.2">
      <c r="A9428" s="121">
        <v>42338</v>
      </c>
      <c r="B9428" t="s">
        <v>406</v>
      </c>
      <c r="C9428" t="s">
        <v>510</v>
      </c>
      <c r="D9428" t="s">
        <v>533</v>
      </c>
      <c r="E9428" t="s">
        <v>534</v>
      </c>
      <c r="F9428" t="s">
        <v>413</v>
      </c>
      <c r="G9428">
        <v>2719</v>
      </c>
      <c r="H9428">
        <v>2719</v>
      </c>
      <c r="I9428">
        <v>2515</v>
      </c>
      <c r="J9428">
        <v>2515</v>
      </c>
      <c r="K9428">
        <v>818</v>
      </c>
      <c r="L9428">
        <v>5</v>
      </c>
      <c r="M9428">
        <v>1881</v>
      </c>
      <c r="N9428">
        <v>15</v>
      </c>
      <c r="O9428">
        <v>0</v>
      </c>
      <c r="P9428">
        <v>2</v>
      </c>
      <c r="Q9428">
        <v>0</v>
      </c>
    </row>
    <row r="9429" spans="1:17" x14ac:dyDescent="0.2">
      <c r="A9429" s="121">
        <v>42338</v>
      </c>
      <c r="B9429" t="s">
        <v>406</v>
      </c>
      <c r="C9429" t="s">
        <v>510</v>
      </c>
      <c r="D9429" t="s">
        <v>535</v>
      </c>
      <c r="E9429" t="s">
        <v>536</v>
      </c>
      <c r="F9429" t="s">
        <v>410</v>
      </c>
      <c r="G9429">
        <v>357</v>
      </c>
      <c r="I9429">
        <v>355</v>
      </c>
    </row>
    <row r="9430" spans="1:17" x14ac:dyDescent="0.2">
      <c r="A9430" s="121">
        <v>42338</v>
      </c>
      <c r="B9430" t="s">
        <v>406</v>
      </c>
      <c r="C9430" t="s">
        <v>510</v>
      </c>
      <c r="D9430" t="s">
        <v>537</v>
      </c>
      <c r="E9430" t="s">
        <v>538</v>
      </c>
      <c r="F9430" t="s">
        <v>410</v>
      </c>
      <c r="G9430">
        <v>65</v>
      </c>
      <c r="I9430">
        <v>65</v>
      </c>
    </row>
    <row r="9431" spans="1:17" x14ac:dyDescent="0.2">
      <c r="A9431" s="121">
        <v>42338</v>
      </c>
      <c r="B9431" t="s">
        <v>406</v>
      </c>
      <c r="C9431" t="s">
        <v>510</v>
      </c>
      <c r="D9431" t="s">
        <v>539</v>
      </c>
      <c r="E9431" t="s">
        <v>540</v>
      </c>
      <c r="F9431" t="s">
        <v>413</v>
      </c>
      <c r="G9431">
        <v>608</v>
      </c>
      <c r="H9431">
        <v>608</v>
      </c>
      <c r="I9431">
        <v>592</v>
      </c>
      <c r="J9431">
        <v>592</v>
      </c>
      <c r="K9431">
        <v>108</v>
      </c>
      <c r="L9431">
        <v>0</v>
      </c>
      <c r="M9431">
        <v>495</v>
      </c>
      <c r="N9431">
        <v>5</v>
      </c>
      <c r="O9431">
        <v>0</v>
      </c>
      <c r="P9431">
        <v>1</v>
      </c>
      <c r="Q9431">
        <v>0</v>
      </c>
    </row>
    <row r="9432" spans="1:17" x14ac:dyDescent="0.2">
      <c r="A9432" s="121">
        <v>42338</v>
      </c>
      <c r="B9432" t="s">
        <v>406</v>
      </c>
      <c r="C9432" t="s">
        <v>510</v>
      </c>
      <c r="D9432" t="s">
        <v>541</v>
      </c>
      <c r="E9432" t="s">
        <v>542</v>
      </c>
      <c r="F9432" t="s">
        <v>410</v>
      </c>
      <c r="G9432">
        <v>307</v>
      </c>
      <c r="I9432">
        <v>307</v>
      </c>
    </row>
    <row r="9433" spans="1:17" x14ac:dyDescent="0.2">
      <c r="A9433" s="121">
        <v>42338</v>
      </c>
      <c r="B9433" t="s">
        <v>406</v>
      </c>
      <c r="C9433" t="s">
        <v>510</v>
      </c>
      <c r="D9433" t="s">
        <v>543</v>
      </c>
      <c r="E9433" t="s">
        <v>544</v>
      </c>
      <c r="F9433" t="s">
        <v>410</v>
      </c>
      <c r="G9433">
        <v>163</v>
      </c>
      <c r="I9433">
        <v>163</v>
      </c>
    </row>
    <row r="9434" spans="1:17" x14ac:dyDescent="0.2">
      <c r="A9434" s="121">
        <v>42338</v>
      </c>
      <c r="B9434" t="s">
        <v>406</v>
      </c>
      <c r="C9434" t="s">
        <v>510</v>
      </c>
      <c r="D9434" t="s">
        <v>545</v>
      </c>
      <c r="E9434" t="s">
        <v>546</v>
      </c>
      <c r="F9434" t="s">
        <v>410</v>
      </c>
      <c r="G9434">
        <v>96</v>
      </c>
      <c r="I9434">
        <v>96</v>
      </c>
    </row>
    <row r="9435" spans="1:17" x14ac:dyDescent="0.2">
      <c r="A9435" s="121">
        <v>42338</v>
      </c>
      <c r="B9435" t="s">
        <v>406</v>
      </c>
      <c r="C9435" t="s">
        <v>510</v>
      </c>
      <c r="D9435" t="s">
        <v>547</v>
      </c>
      <c r="E9435" t="s">
        <v>548</v>
      </c>
      <c r="F9435" t="s">
        <v>410</v>
      </c>
      <c r="G9435">
        <v>140</v>
      </c>
      <c r="I9435">
        <v>140</v>
      </c>
    </row>
    <row r="9436" spans="1:17" x14ac:dyDescent="0.2">
      <c r="A9436" s="121">
        <v>42338</v>
      </c>
      <c r="B9436" t="s">
        <v>406</v>
      </c>
      <c r="C9436" t="s">
        <v>510</v>
      </c>
      <c r="D9436" t="s">
        <v>616</v>
      </c>
      <c r="E9436" t="s">
        <v>617</v>
      </c>
      <c r="F9436" t="s">
        <v>410</v>
      </c>
      <c r="G9436">
        <v>310</v>
      </c>
      <c r="I9436">
        <v>306</v>
      </c>
    </row>
    <row r="9437" spans="1:17" x14ac:dyDescent="0.2">
      <c r="A9437" s="121">
        <v>42338</v>
      </c>
      <c r="B9437" t="s">
        <v>406</v>
      </c>
      <c r="C9437" t="s">
        <v>510</v>
      </c>
      <c r="D9437" t="s">
        <v>549</v>
      </c>
      <c r="E9437" t="s">
        <v>550</v>
      </c>
      <c r="F9437" t="s">
        <v>410</v>
      </c>
      <c r="G9437">
        <v>92</v>
      </c>
      <c r="I9437">
        <v>92</v>
      </c>
    </row>
    <row r="9438" spans="1:17" x14ac:dyDescent="0.2">
      <c r="A9438" s="121">
        <v>42338</v>
      </c>
      <c r="B9438" t="s">
        <v>406</v>
      </c>
      <c r="C9438" t="s">
        <v>510</v>
      </c>
      <c r="D9438" t="s">
        <v>625</v>
      </c>
      <c r="E9438" t="s">
        <v>626</v>
      </c>
      <c r="F9438" t="s">
        <v>410</v>
      </c>
      <c r="G9438">
        <v>31</v>
      </c>
      <c r="I9438">
        <v>31</v>
      </c>
    </row>
    <row r="9439" spans="1:17" x14ac:dyDescent="0.2">
      <c r="A9439" s="121">
        <v>42338</v>
      </c>
      <c r="B9439" t="s">
        <v>406</v>
      </c>
      <c r="C9439" t="s">
        <v>551</v>
      </c>
      <c r="D9439" t="s">
        <v>552</v>
      </c>
      <c r="E9439" t="s">
        <v>553</v>
      </c>
      <c r="F9439" t="s">
        <v>413</v>
      </c>
      <c r="G9439">
        <v>5318</v>
      </c>
      <c r="H9439">
        <v>5318</v>
      </c>
      <c r="I9439">
        <v>5111</v>
      </c>
      <c r="J9439">
        <v>5111</v>
      </c>
      <c r="K9439">
        <v>1814</v>
      </c>
      <c r="L9439">
        <v>4</v>
      </c>
      <c r="M9439">
        <v>3369</v>
      </c>
      <c r="N9439">
        <v>83</v>
      </c>
      <c r="O9439">
        <v>48</v>
      </c>
      <c r="P9439">
        <v>6</v>
      </c>
      <c r="Q9439">
        <v>0</v>
      </c>
    </row>
    <row r="9440" spans="1:17" x14ac:dyDescent="0.2">
      <c r="A9440" s="121">
        <v>42338</v>
      </c>
      <c r="B9440" t="s">
        <v>406</v>
      </c>
      <c r="C9440" t="s">
        <v>551</v>
      </c>
      <c r="D9440" t="s">
        <v>554</v>
      </c>
      <c r="E9440" t="s">
        <v>555</v>
      </c>
      <c r="F9440" t="s">
        <v>410</v>
      </c>
      <c r="G9440">
        <v>55</v>
      </c>
      <c r="I9440">
        <v>55</v>
      </c>
    </row>
    <row r="9441" spans="1:17" x14ac:dyDescent="0.2">
      <c r="A9441" s="121">
        <v>42338</v>
      </c>
      <c r="B9441" t="s">
        <v>406</v>
      </c>
      <c r="C9441" t="s">
        <v>551</v>
      </c>
      <c r="D9441" t="s">
        <v>556</v>
      </c>
      <c r="E9441" t="s">
        <v>557</v>
      </c>
      <c r="F9441" t="s">
        <v>410</v>
      </c>
      <c r="G9441">
        <v>75</v>
      </c>
      <c r="I9441">
        <v>75</v>
      </c>
    </row>
    <row r="9442" spans="1:17" x14ac:dyDescent="0.2">
      <c r="A9442" s="121">
        <v>42338</v>
      </c>
      <c r="B9442" t="s">
        <v>406</v>
      </c>
      <c r="C9442" t="s">
        <v>551</v>
      </c>
      <c r="D9442" t="s">
        <v>558</v>
      </c>
      <c r="E9442" t="s">
        <v>559</v>
      </c>
      <c r="F9442" t="s">
        <v>413</v>
      </c>
      <c r="G9442">
        <v>4816</v>
      </c>
      <c r="H9442">
        <v>4816</v>
      </c>
      <c r="I9442">
        <v>4541</v>
      </c>
      <c r="J9442">
        <v>4541</v>
      </c>
      <c r="K9442">
        <v>1524</v>
      </c>
      <c r="L9442">
        <v>10</v>
      </c>
      <c r="M9442">
        <v>3188</v>
      </c>
      <c r="N9442">
        <v>75</v>
      </c>
      <c r="O9442">
        <v>19</v>
      </c>
      <c r="P9442">
        <v>13</v>
      </c>
      <c r="Q9442">
        <v>0</v>
      </c>
    </row>
    <row r="9443" spans="1:17" x14ac:dyDescent="0.2">
      <c r="A9443" s="121">
        <v>42338</v>
      </c>
      <c r="B9443" t="s">
        <v>406</v>
      </c>
      <c r="C9443" t="s">
        <v>551</v>
      </c>
      <c r="D9443" t="s">
        <v>560</v>
      </c>
      <c r="E9443" t="s">
        <v>561</v>
      </c>
      <c r="F9443" t="s">
        <v>413</v>
      </c>
      <c r="G9443">
        <v>4984</v>
      </c>
      <c r="H9443">
        <v>4984</v>
      </c>
      <c r="I9443">
        <v>4494</v>
      </c>
      <c r="J9443">
        <v>4494</v>
      </c>
      <c r="K9443">
        <v>1109</v>
      </c>
      <c r="L9443">
        <v>5</v>
      </c>
      <c r="M9443">
        <v>3716</v>
      </c>
      <c r="N9443">
        <v>52</v>
      </c>
      <c r="O9443">
        <v>102</v>
      </c>
      <c r="P9443">
        <v>79</v>
      </c>
      <c r="Q9443">
        <v>13</v>
      </c>
    </row>
    <row r="9444" spans="1:17" x14ac:dyDescent="0.2">
      <c r="A9444" s="121">
        <v>42338</v>
      </c>
      <c r="B9444" t="s">
        <v>406</v>
      </c>
      <c r="C9444" t="s">
        <v>562</v>
      </c>
      <c r="D9444" t="s">
        <v>605</v>
      </c>
      <c r="E9444" t="s">
        <v>606</v>
      </c>
      <c r="F9444" t="s">
        <v>410</v>
      </c>
      <c r="G9444">
        <v>129</v>
      </c>
      <c r="I9444">
        <v>129</v>
      </c>
    </row>
    <row r="9445" spans="1:17" x14ac:dyDescent="0.2">
      <c r="A9445" s="121">
        <v>42338</v>
      </c>
      <c r="B9445" t="s">
        <v>406</v>
      </c>
      <c r="C9445" t="s">
        <v>562</v>
      </c>
      <c r="D9445" t="s">
        <v>563</v>
      </c>
      <c r="E9445" t="s">
        <v>564</v>
      </c>
      <c r="F9445" t="s">
        <v>410</v>
      </c>
      <c r="G9445">
        <v>3448</v>
      </c>
      <c r="H9445">
        <v>3448</v>
      </c>
      <c r="I9445">
        <v>2926</v>
      </c>
      <c r="J9445">
        <v>2926</v>
      </c>
      <c r="K9445">
        <v>1130</v>
      </c>
      <c r="L9445">
        <v>0</v>
      </c>
      <c r="M9445">
        <v>2302</v>
      </c>
      <c r="N9445">
        <v>16</v>
      </c>
      <c r="O9445">
        <v>0</v>
      </c>
      <c r="P9445">
        <v>195</v>
      </c>
      <c r="Q9445">
        <v>121</v>
      </c>
    </row>
    <row r="9446" spans="1:17" x14ac:dyDescent="0.2">
      <c r="A9446" s="121">
        <v>42338</v>
      </c>
      <c r="B9446" t="s">
        <v>406</v>
      </c>
      <c r="C9446" t="s">
        <v>562</v>
      </c>
      <c r="D9446" t="s">
        <v>565</v>
      </c>
      <c r="E9446" t="s">
        <v>566</v>
      </c>
      <c r="F9446" t="s">
        <v>413</v>
      </c>
      <c r="G9446">
        <v>4246</v>
      </c>
      <c r="H9446">
        <v>4246</v>
      </c>
      <c r="I9446">
        <v>4040</v>
      </c>
      <c r="J9446">
        <v>4040</v>
      </c>
      <c r="K9446">
        <v>1070</v>
      </c>
      <c r="L9446">
        <v>6</v>
      </c>
      <c r="M9446">
        <v>3078</v>
      </c>
      <c r="N9446">
        <v>92</v>
      </c>
      <c r="O9446">
        <v>0</v>
      </c>
      <c r="P9446">
        <v>8</v>
      </c>
      <c r="Q9446">
        <v>0</v>
      </c>
    </row>
    <row r="9447" spans="1:17" x14ac:dyDescent="0.2">
      <c r="A9447" s="121">
        <v>42338</v>
      </c>
      <c r="B9447" t="s">
        <v>406</v>
      </c>
      <c r="C9447" t="s">
        <v>562</v>
      </c>
      <c r="D9447" t="s">
        <v>567</v>
      </c>
      <c r="E9447" t="s">
        <v>568</v>
      </c>
      <c r="F9447" t="s">
        <v>413</v>
      </c>
      <c r="G9447">
        <v>9650</v>
      </c>
      <c r="H9447">
        <v>9650</v>
      </c>
      <c r="I9447">
        <v>9072</v>
      </c>
      <c r="J9447">
        <v>9072</v>
      </c>
      <c r="K9447">
        <v>2789</v>
      </c>
      <c r="L9447">
        <v>22</v>
      </c>
      <c r="M9447">
        <v>6653</v>
      </c>
      <c r="N9447">
        <v>186</v>
      </c>
      <c r="O9447">
        <v>0</v>
      </c>
      <c r="P9447">
        <v>69</v>
      </c>
      <c r="Q9447">
        <v>5</v>
      </c>
    </row>
    <row r="9448" spans="1:17" x14ac:dyDescent="0.2">
      <c r="A9448" s="121">
        <v>42338</v>
      </c>
      <c r="B9448" t="s">
        <v>406</v>
      </c>
      <c r="C9448" t="s">
        <v>562</v>
      </c>
      <c r="D9448" t="s">
        <v>569</v>
      </c>
      <c r="E9448" t="s">
        <v>570</v>
      </c>
      <c r="F9448" t="s">
        <v>413</v>
      </c>
      <c r="G9448">
        <v>4268</v>
      </c>
      <c r="H9448">
        <v>4268</v>
      </c>
      <c r="I9448">
        <v>4158</v>
      </c>
      <c r="J9448">
        <v>4158</v>
      </c>
      <c r="K9448">
        <v>599</v>
      </c>
      <c r="L9448">
        <v>1</v>
      </c>
      <c r="M9448">
        <v>3665</v>
      </c>
      <c r="N9448">
        <v>3</v>
      </c>
      <c r="O9448">
        <v>0</v>
      </c>
      <c r="P9448">
        <v>1</v>
      </c>
      <c r="Q9448">
        <v>0</v>
      </c>
    </row>
    <row r="9449" spans="1:17" x14ac:dyDescent="0.2">
      <c r="A9449" s="121">
        <v>42338</v>
      </c>
      <c r="B9449" t="s">
        <v>406</v>
      </c>
      <c r="C9449" t="s">
        <v>571</v>
      </c>
      <c r="D9449" t="s">
        <v>572</v>
      </c>
      <c r="E9449" t="s">
        <v>627</v>
      </c>
      <c r="F9449" t="s">
        <v>413</v>
      </c>
      <c r="G9449">
        <v>402</v>
      </c>
      <c r="H9449">
        <v>402</v>
      </c>
      <c r="I9449">
        <v>393</v>
      </c>
      <c r="J9449">
        <v>393</v>
      </c>
      <c r="K9449">
        <v>118</v>
      </c>
      <c r="L9449">
        <v>0</v>
      </c>
      <c r="M9449">
        <v>283</v>
      </c>
      <c r="N9449">
        <v>0</v>
      </c>
      <c r="O9449">
        <v>1</v>
      </c>
      <c r="P9449">
        <v>1</v>
      </c>
      <c r="Q9449">
        <v>1</v>
      </c>
    </row>
    <row r="9450" spans="1:17" x14ac:dyDescent="0.2">
      <c r="A9450" s="121">
        <v>42338</v>
      </c>
      <c r="B9450" t="s">
        <v>406</v>
      </c>
      <c r="C9450" t="s">
        <v>574</v>
      </c>
      <c r="D9450" t="s">
        <v>575</v>
      </c>
      <c r="E9450" t="s">
        <v>576</v>
      </c>
      <c r="F9450" t="s">
        <v>413</v>
      </c>
      <c r="G9450">
        <v>563</v>
      </c>
      <c r="H9450">
        <v>563</v>
      </c>
      <c r="I9450">
        <v>557</v>
      </c>
      <c r="J9450">
        <v>557</v>
      </c>
      <c r="K9450">
        <v>166</v>
      </c>
      <c r="L9450">
        <v>0</v>
      </c>
      <c r="M9450">
        <v>377</v>
      </c>
      <c r="N9450">
        <v>2</v>
      </c>
      <c r="O9450">
        <v>18</v>
      </c>
      <c r="P9450">
        <v>0</v>
      </c>
      <c r="Q9450">
        <v>0</v>
      </c>
    </row>
    <row r="9451" spans="1:17" x14ac:dyDescent="0.2">
      <c r="A9451" s="121">
        <v>42338</v>
      </c>
      <c r="B9451" t="s">
        <v>406</v>
      </c>
      <c r="C9451" t="s">
        <v>577</v>
      </c>
      <c r="D9451" t="s">
        <v>578</v>
      </c>
      <c r="E9451" t="s">
        <v>579</v>
      </c>
      <c r="F9451" t="s">
        <v>413</v>
      </c>
      <c r="G9451">
        <v>3793</v>
      </c>
      <c r="H9451">
        <v>3793</v>
      </c>
      <c r="I9451">
        <v>3722</v>
      </c>
      <c r="J9451">
        <v>3722</v>
      </c>
      <c r="K9451">
        <v>1189</v>
      </c>
      <c r="L9451">
        <v>4</v>
      </c>
      <c r="M9451">
        <v>2376</v>
      </c>
      <c r="N9451">
        <v>213</v>
      </c>
      <c r="O9451">
        <v>11</v>
      </c>
      <c r="P9451">
        <v>0</v>
      </c>
      <c r="Q9451">
        <v>0</v>
      </c>
    </row>
    <row r="9452" spans="1:17" x14ac:dyDescent="0.2">
      <c r="A9452" s="121">
        <v>42338</v>
      </c>
      <c r="B9452" t="s">
        <v>406</v>
      </c>
      <c r="C9452" t="s">
        <v>577</v>
      </c>
      <c r="D9452" t="s">
        <v>580</v>
      </c>
      <c r="E9452" t="s">
        <v>581</v>
      </c>
      <c r="F9452" t="s">
        <v>413</v>
      </c>
      <c r="G9452">
        <v>1944</v>
      </c>
      <c r="H9452">
        <v>1944</v>
      </c>
      <c r="I9452">
        <v>1908</v>
      </c>
      <c r="J9452">
        <v>1908</v>
      </c>
      <c r="K9452">
        <v>352</v>
      </c>
      <c r="L9452">
        <v>4</v>
      </c>
      <c r="M9452">
        <v>1320</v>
      </c>
      <c r="N9452">
        <v>268</v>
      </c>
      <c r="O9452">
        <v>0</v>
      </c>
      <c r="P9452">
        <v>1</v>
      </c>
      <c r="Q9452">
        <v>0</v>
      </c>
    </row>
    <row r="9453" spans="1:17" x14ac:dyDescent="0.2">
      <c r="A9453" s="121">
        <v>42338</v>
      </c>
      <c r="B9453" t="s">
        <v>406</v>
      </c>
      <c r="C9453" t="s">
        <v>577</v>
      </c>
      <c r="D9453" t="s">
        <v>609</v>
      </c>
      <c r="E9453" t="s">
        <v>610</v>
      </c>
      <c r="F9453" t="s">
        <v>410</v>
      </c>
      <c r="G9453">
        <v>34</v>
      </c>
      <c r="H9453">
        <v>34</v>
      </c>
      <c r="I9453">
        <v>34</v>
      </c>
      <c r="J9453">
        <v>34</v>
      </c>
      <c r="K9453">
        <v>0</v>
      </c>
      <c r="L9453">
        <v>0</v>
      </c>
      <c r="M9453">
        <v>30</v>
      </c>
      <c r="N9453">
        <v>4</v>
      </c>
      <c r="O9453">
        <v>0</v>
      </c>
      <c r="P9453">
        <v>0</v>
      </c>
      <c r="Q9453">
        <v>0</v>
      </c>
    </row>
    <row r="9454" spans="1:17" x14ac:dyDescent="0.2">
      <c r="A9454" s="121">
        <v>42338</v>
      </c>
      <c r="B9454" t="s">
        <v>406</v>
      </c>
      <c r="C9454" t="s">
        <v>577</v>
      </c>
      <c r="D9454" t="s">
        <v>611</v>
      </c>
      <c r="E9454" t="s">
        <v>612</v>
      </c>
      <c r="F9454" t="s">
        <v>410</v>
      </c>
      <c r="G9454">
        <v>3</v>
      </c>
      <c r="H9454">
        <v>3</v>
      </c>
      <c r="I9454">
        <v>3</v>
      </c>
      <c r="J9454">
        <v>3</v>
      </c>
      <c r="K9454">
        <v>0</v>
      </c>
      <c r="L9454">
        <v>0</v>
      </c>
      <c r="M9454">
        <v>2</v>
      </c>
      <c r="N9454">
        <v>0</v>
      </c>
      <c r="O9454">
        <v>1</v>
      </c>
      <c r="P9454">
        <v>0</v>
      </c>
      <c r="Q9454">
        <v>0</v>
      </c>
    </row>
    <row r="9455" spans="1:17" x14ac:dyDescent="0.2">
      <c r="A9455" s="121">
        <v>42338</v>
      </c>
      <c r="B9455" t="s">
        <v>406</v>
      </c>
      <c r="C9455" t="s">
        <v>577</v>
      </c>
      <c r="D9455" t="s">
        <v>584</v>
      </c>
      <c r="E9455" t="s">
        <v>585</v>
      </c>
      <c r="F9455" t="s">
        <v>410</v>
      </c>
      <c r="G9455">
        <v>221</v>
      </c>
      <c r="H9455">
        <v>221</v>
      </c>
      <c r="I9455">
        <v>221</v>
      </c>
      <c r="J9455">
        <v>221</v>
      </c>
      <c r="K9455">
        <v>0</v>
      </c>
      <c r="L9455">
        <v>0</v>
      </c>
      <c r="M9455">
        <v>212</v>
      </c>
      <c r="N9455">
        <v>7</v>
      </c>
      <c r="O9455">
        <v>2</v>
      </c>
      <c r="P9455">
        <v>0</v>
      </c>
      <c r="Q9455">
        <v>0</v>
      </c>
    </row>
    <row r="9456" spans="1:17" x14ac:dyDescent="0.2">
      <c r="A9456" s="121">
        <v>42338</v>
      </c>
      <c r="B9456" t="s">
        <v>406</v>
      </c>
      <c r="C9456" t="s">
        <v>577</v>
      </c>
      <c r="D9456" t="s">
        <v>586</v>
      </c>
      <c r="E9456" t="s">
        <v>587</v>
      </c>
      <c r="F9456" t="s">
        <v>410</v>
      </c>
      <c r="G9456">
        <v>944</v>
      </c>
      <c r="H9456">
        <v>944</v>
      </c>
      <c r="I9456">
        <v>943</v>
      </c>
      <c r="J9456">
        <v>943</v>
      </c>
      <c r="K9456">
        <v>0</v>
      </c>
      <c r="L9456">
        <v>0</v>
      </c>
      <c r="M9456">
        <v>871</v>
      </c>
      <c r="N9456">
        <v>72</v>
      </c>
      <c r="O9456">
        <v>1</v>
      </c>
      <c r="P9456">
        <v>0</v>
      </c>
      <c r="Q9456">
        <v>0</v>
      </c>
    </row>
    <row r="9457" spans="1:17" x14ac:dyDescent="0.2">
      <c r="A9457" s="121">
        <v>42338</v>
      </c>
      <c r="B9457" t="s">
        <v>406</v>
      </c>
      <c r="C9457" t="s">
        <v>577</v>
      </c>
      <c r="D9457" t="s">
        <v>588</v>
      </c>
      <c r="E9457" t="s">
        <v>589</v>
      </c>
      <c r="F9457" t="s">
        <v>410</v>
      </c>
      <c r="G9457">
        <v>116</v>
      </c>
      <c r="H9457">
        <v>116</v>
      </c>
      <c r="I9457">
        <v>116</v>
      </c>
      <c r="J9457">
        <v>116</v>
      </c>
      <c r="K9457">
        <v>0</v>
      </c>
      <c r="L9457">
        <v>0</v>
      </c>
      <c r="M9457">
        <v>112</v>
      </c>
      <c r="N9457">
        <v>4</v>
      </c>
      <c r="O9457">
        <v>0</v>
      </c>
      <c r="P9457">
        <v>0</v>
      </c>
      <c r="Q9457">
        <v>0</v>
      </c>
    </row>
    <row r="9458" spans="1:17" x14ac:dyDescent="0.2">
      <c r="A9458" s="121">
        <v>42338</v>
      </c>
      <c r="B9458" t="s">
        <v>406</v>
      </c>
      <c r="C9458" t="s">
        <v>577</v>
      </c>
      <c r="D9458" t="s">
        <v>613</v>
      </c>
      <c r="E9458" t="s">
        <v>614</v>
      </c>
      <c r="F9458" t="s">
        <v>410</v>
      </c>
      <c r="G9458">
        <v>97</v>
      </c>
      <c r="H9458">
        <v>97</v>
      </c>
      <c r="I9458">
        <v>97</v>
      </c>
      <c r="J9458">
        <v>97</v>
      </c>
      <c r="K9458">
        <v>0</v>
      </c>
      <c r="L9458">
        <v>0</v>
      </c>
      <c r="M9458">
        <v>89</v>
      </c>
      <c r="N9458">
        <v>7</v>
      </c>
      <c r="O9458">
        <v>1</v>
      </c>
      <c r="P9458">
        <v>0</v>
      </c>
      <c r="Q9458">
        <v>0</v>
      </c>
    </row>
    <row r="9459" spans="1:17" x14ac:dyDescent="0.2">
      <c r="A9459" s="121">
        <v>42338</v>
      </c>
      <c r="B9459" t="s">
        <v>406</v>
      </c>
      <c r="C9459" t="s">
        <v>577</v>
      </c>
      <c r="D9459" t="s">
        <v>590</v>
      </c>
      <c r="E9459" t="s">
        <v>591</v>
      </c>
      <c r="F9459" t="s">
        <v>410</v>
      </c>
      <c r="G9459">
        <v>547</v>
      </c>
      <c r="H9459">
        <v>547</v>
      </c>
      <c r="I9459">
        <v>546</v>
      </c>
      <c r="J9459">
        <v>546</v>
      </c>
      <c r="K9459">
        <v>0</v>
      </c>
      <c r="L9459">
        <v>0</v>
      </c>
      <c r="M9459">
        <v>509</v>
      </c>
      <c r="N9459">
        <v>38</v>
      </c>
      <c r="O9459">
        <v>0</v>
      </c>
      <c r="P9459">
        <v>0</v>
      </c>
      <c r="Q9459">
        <v>0</v>
      </c>
    </row>
    <row r="9460" spans="1:17" x14ac:dyDescent="0.2">
      <c r="A9460" s="121">
        <v>42338</v>
      </c>
      <c r="B9460" t="s">
        <v>406</v>
      </c>
      <c r="C9460" t="s">
        <v>577</v>
      </c>
      <c r="D9460" t="s">
        <v>607</v>
      </c>
      <c r="E9460" t="s">
        <v>608</v>
      </c>
      <c r="F9460" t="s">
        <v>410</v>
      </c>
      <c r="G9460">
        <v>141</v>
      </c>
      <c r="H9460">
        <v>141</v>
      </c>
      <c r="I9460">
        <v>141</v>
      </c>
      <c r="J9460">
        <v>141</v>
      </c>
      <c r="K9460">
        <v>0</v>
      </c>
      <c r="L9460">
        <v>0</v>
      </c>
      <c r="M9460">
        <v>126</v>
      </c>
      <c r="N9460">
        <v>11</v>
      </c>
      <c r="O9460">
        <v>4</v>
      </c>
      <c r="P9460">
        <v>0</v>
      </c>
      <c r="Q9460">
        <v>0</v>
      </c>
    </row>
    <row r="9461" spans="1:17" x14ac:dyDescent="0.2">
      <c r="A9461" s="121">
        <v>42338</v>
      </c>
      <c r="B9461" t="s">
        <v>406</v>
      </c>
      <c r="C9461" t="s">
        <v>577</v>
      </c>
      <c r="D9461" t="s">
        <v>592</v>
      </c>
      <c r="E9461" t="s">
        <v>593</v>
      </c>
      <c r="F9461" t="s">
        <v>410</v>
      </c>
      <c r="G9461">
        <v>491</v>
      </c>
      <c r="H9461">
        <v>491</v>
      </c>
      <c r="I9461">
        <v>491</v>
      </c>
      <c r="J9461">
        <v>491</v>
      </c>
      <c r="K9461">
        <v>0</v>
      </c>
      <c r="L9461">
        <v>0</v>
      </c>
      <c r="M9461">
        <v>449</v>
      </c>
      <c r="N9461">
        <v>40</v>
      </c>
      <c r="O9461">
        <v>2</v>
      </c>
      <c r="P9461">
        <v>0</v>
      </c>
      <c r="Q9461">
        <v>0</v>
      </c>
    </row>
    <row r="9462" spans="1:17" x14ac:dyDescent="0.2">
      <c r="A9462" s="121">
        <v>42338</v>
      </c>
      <c r="B9462" t="s">
        <v>406</v>
      </c>
      <c r="C9462" t="s">
        <v>594</v>
      </c>
      <c r="D9462" t="s">
        <v>595</v>
      </c>
      <c r="E9462" t="s">
        <v>596</v>
      </c>
      <c r="F9462" t="s">
        <v>410</v>
      </c>
      <c r="G9462">
        <v>39</v>
      </c>
      <c r="I9462">
        <v>39</v>
      </c>
    </row>
    <row r="9463" spans="1:17" x14ac:dyDescent="0.2">
      <c r="A9463" s="121">
        <v>42338</v>
      </c>
      <c r="B9463" t="s">
        <v>406</v>
      </c>
      <c r="C9463" t="s">
        <v>594</v>
      </c>
      <c r="D9463" t="s">
        <v>597</v>
      </c>
      <c r="E9463" t="s">
        <v>598</v>
      </c>
      <c r="F9463" t="s">
        <v>413</v>
      </c>
      <c r="G9463">
        <v>477</v>
      </c>
      <c r="H9463">
        <v>477</v>
      </c>
      <c r="I9463">
        <v>473</v>
      </c>
      <c r="J9463">
        <v>473</v>
      </c>
      <c r="K9463">
        <v>119</v>
      </c>
      <c r="L9463">
        <v>0</v>
      </c>
      <c r="M9463">
        <v>343</v>
      </c>
      <c r="N9463">
        <v>9</v>
      </c>
      <c r="O9463">
        <v>6</v>
      </c>
      <c r="P9463">
        <v>0</v>
      </c>
      <c r="Q9463">
        <v>0</v>
      </c>
    </row>
    <row r="9464" spans="1:17" x14ac:dyDescent="0.2">
      <c r="A9464" s="121">
        <v>42338</v>
      </c>
      <c r="B9464" t="s">
        <v>406</v>
      </c>
      <c r="C9464" t="s">
        <v>594</v>
      </c>
      <c r="D9464" t="s">
        <v>599</v>
      </c>
      <c r="E9464" t="s">
        <v>600</v>
      </c>
      <c r="F9464" t="s">
        <v>410</v>
      </c>
      <c r="G9464">
        <v>75</v>
      </c>
      <c r="I9464">
        <v>75</v>
      </c>
    </row>
    <row r="9465" spans="1:17" x14ac:dyDescent="0.2">
      <c r="A9465" s="121">
        <v>42369</v>
      </c>
      <c r="B9465" t="s">
        <v>406</v>
      </c>
      <c r="C9465" t="s">
        <v>407</v>
      </c>
      <c r="D9465" t="s">
        <v>408</v>
      </c>
      <c r="E9465" t="s">
        <v>409</v>
      </c>
      <c r="F9465" t="s">
        <v>410</v>
      </c>
      <c r="G9465">
        <v>159</v>
      </c>
      <c r="I9465">
        <v>159</v>
      </c>
    </row>
    <row r="9466" spans="1:17" x14ac:dyDescent="0.2">
      <c r="A9466" s="121">
        <v>42369</v>
      </c>
      <c r="B9466" t="s">
        <v>406</v>
      </c>
      <c r="C9466" t="s">
        <v>407</v>
      </c>
      <c r="D9466" t="s">
        <v>601</v>
      </c>
      <c r="E9466" t="s">
        <v>602</v>
      </c>
      <c r="F9466" t="s">
        <v>410</v>
      </c>
      <c r="G9466">
        <v>39</v>
      </c>
      <c r="I9466">
        <v>39</v>
      </c>
    </row>
    <row r="9467" spans="1:17" x14ac:dyDescent="0.2">
      <c r="A9467" s="121">
        <v>42369</v>
      </c>
      <c r="B9467" t="s">
        <v>406</v>
      </c>
      <c r="C9467" t="s">
        <v>407</v>
      </c>
      <c r="D9467" t="s">
        <v>411</v>
      </c>
      <c r="E9467" t="s">
        <v>412</v>
      </c>
      <c r="F9467" t="s">
        <v>413</v>
      </c>
      <c r="G9467">
        <v>6074</v>
      </c>
      <c r="H9467">
        <v>6074</v>
      </c>
      <c r="I9467">
        <v>5920</v>
      </c>
      <c r="J9467">
        <v>5920</v>
      </c>
      <c r="K9467">
        <v>2792</v>
      </c>
      <c r="L9467">
        <v>6</v>
      </c>
      <c r="M9467">
        <v>3004</v>
      </c>
      <c r="N9467">
        <v>93</v>
      </c>
      <c r="O9467">
        <v>179</v>
      </c>
      <c r="P9467">
        <v>2</v>
      </c>
      <c r="Q9467">
        <v>1</v>
      </c>
    </row>
    <row r="9468" spans="1:17" x14ac:dyDescent="0.2">
      <c r="A9468" s="121">
        <v>42369</v>
      </c>
      <c r="B9468" t="s">
        <v>406</v>
      </c>
      <c r="C9468" t="s">
        <v>407</v>
      </c>
      <c r="D9468" t="s">
        <v>416</v>
      </c>
      <c r="E9468" t="s">
        <v>417</v>
      </c>
      <c r="F9468" t="s">
        <v>413</v>
      </c>
      <c r="G9468">
        <v>3584</v>
      </c>
      <c r="H9468">
        <v>3584</v>
      </c>
      <c r="I9468">
        <v>3480</v>
      </c>
      <c r="J9468">
        <v>3480</v>
      </c>
      <c r="K9468">
        <v>1516</v>
      </c>
      <c r="L9468">
        <v>4</v>
      </c>
      <c r="M9468">
        <v>1895</v>
      </c>
      <c r="N9468">
        <v>91</v>
      </c>
      <c r="O9468">
        <v>78</v>
      </c>
      <c r="P9468">
        <v>13</v>
      </c>
      <c r="Q9468">
        <v>0</v>
      </c>
    </row>
    <row r="9469" spans="1:17" x14ac:dyDescent="0.2">
      <c r="A9469" s="121">
        <v>42369</v>
      </c>
      <c r="B9469" t="s">
        <v>406</v>
      </c>
      <c r="C9469" t="s">
        <v>407</v>
      </c>
      <c r="D9469" t="s">
        <v>618</v>
      </c>
      <c r="E9469" t="s">
        <v>619</v>
      </c>
      <c r="F9469" t="s">
        <v>410</v>
      </c>
      <c r="G9469">
        <v>78</v>
      </c>
      <c r="I9469">
        <v>78</v>
      </c>
    </row>
    <row r="9470" spans="1:17" x14ac:dyDescent="0.2">
      <c r="A9470" s="121">
        <v>42369</v>
      </c>
      <c r="B9470" t="s">
        <v>406</v>
      </c>
      <c r="C9470" t="s">
        <v>418</v>
      </c>
      <c r="D9470" t="s">
        <v>419</v>
      </c>
      <c r="E9470" t="s">
        <v>420</v>
      </c>
      <c r="F9470" t="s">
        <v>410</v>
      </c>
      <c r="G9470">
        <v>12</v>
      </c>
      <c r="I9470">
        <v>12</v>
      </c>
    </row>
    <row r="9471" spans="1:17" x14ac:dyDescent="0.2">
      <c r="A9471" s="121">
        <v>42369</v>
      </c>
      <c r="B9471" t="s">
        <v>406</v>
      </c>
      <c r="C9471" t="s">
        <v>418</v>
      </c>
      <c r="D9471" t="s">
        <v>421</v>
      </c>
      <c r="E9471" t="s">
        <v>422</v>
      </c>
      <c r="F9471" t="s">
        <v>410</v>
      </c>
      <c r="G9471">
        <v>54</v>
      </c>
      <c r="I9471">
        <v>54</v>
      </c>
    </row>
    <row r="9472" spans="1:17" x14ac:dyDescent="0.2">
      <c r="A9472" s="121">
        <v>42369</v>
      </c>
      <c r="B9472" t="s">
        <v>406</v>
      </c>
      <c r="C9472" t="s">
        <v>418</v>
      </c>
      <c r="D9472" t="s">
        <v>423</v>
      </c>
      <c r="E9472" t="s">
        <v>424</v>
      </c>
      <c r="F9472" t="s">
        <v>410</v>
      </c>
      <c r="G9472">
        <v>6</v>
      </c>
      <c r="I9472">
        <v>6</v>
      </c>
    </row>
    <row r="9473" spans="1:17" x14ac:dyDescent="0.2">
      <c r="A9473" s="121">
        <v>42369</v>
      </c>
      <c r="B9473" t="s">
        <v>406</v>
      </c>
      <c r="C9473" t="s">
        <v>418</v>
      </c>
      <c r="D9473" t="s">
        <v>425</v>
      </c>
      <c r="E9473" t="s">
        <v>426</v>
      </c>
      <c r="F9473" t="s">
        <v>410</v>
      </c>
      <c r="G9473">
        <v>30</v>
      </c>
      <c r="I9473">
        <v>30</v>
      </c>
    </row>
    <row r="9474" spans="1:17" x14ac:dyDescent="0.2">
      <c r="A9474" s="121">
        <v>42369</v>
      </c>
      <c r="B9474" t="s">
        <v>406</v>
      </c>
      <c r="C9474" t="s">
        <v>418</v>
      </c>
      <c r="D9474" t="s">
        <v>427</v>
      </c>
      <c r="E9474" t="s">
        <v>428</v>
      </c>
      <c r="F9474" t="s">
        <v>413</v>
      </c>
      <c r="G9474">
        <v>1878</v>
      </c>
      <c r="H9474">
        <v>1878</v>
      </c>
      <c r="I9474">
        <v>1820</v>
      </c>
      <c r="J9474">
        <v>1820</v>
      </c>
      <c r="K9474">
        <v>606</v>
      </c>
      <c r="L9474">
        <v>6</v>
      </c>
      <c r="M9474">
        <v>1080</v>
      </c>
      <c r="N9474">
        <v>175</v>
      </c>
      <c r="O9474">
        <v>11</v>
      </c>
      <c r="P9474">
        <v>1</v>
      </c>
      <c r="Q9474">
        <v>0</v>
      </c>
    </row>
    <row r="9475" spans="1:17" x14ac:dyDescent="0.2">
      <c r="A9475" s="121">
        <v>42369</v>
      </c>
      <c r="B9475" t="s">
        <v>406</v>
      </c>
      <c r="C9475" t="s">
        <v>429</v>
      </c>
      <c r="D9475" t="s">
        <v>430</v>
      </c>
      <c r="E9475" t="s">
        <v>431</v>
      </c>
      <c r="F9475" t="s">
        <v>410</v>
      </c>
      <c r="G9475">
        <v>8</v>
      </c>
      <c r="I9475">
        <v>8</v>
      </c>
    </row>
    <row r="9476" spans="1:17" x14ac:dyDescent="0.2">
      <c r="A9476" s="121">
        <v>42369</v>
      </c>
      <c r="B9476" t="s">
        <v>406</v>
      </c>
      <c r="C9476" t="s">
        <v>429</v>
      </c>
      <c r="D9476" t="s">
        <v>432</v>
      </c>
      <c r="E9476" t="s">
        <v>433</v>
      </c>
      <c r="F9476" t="s">
        <v>410</v>
      </c>
      <c r="G9476">
        <v>31</v>
      </c>
      <c r="I9476">
        <v>31</v>
      </c>
    </row>
    <row r="9477" spans="1:17" x14ac:dyDescent="0.2">
      <c r="A9477" s="121">
        <v>42369</v>
      </c>
      <c r="B9477" t="s">
        <v>406</v>
      </c>
      <c r="C9477" t="s">
        <v>429</v>
      </c>
      <c r="D9477" t="s">
        <v>434</v>
      </c>
      <c r="E9477" t="s">
        <v>435</v>
      </c>
      <c r="F9477" t="s">
        <v>410</v>
      </c>
      <c r="G9477">
        <v>1</v>
      </c>
      <c r="I9477">
        <v>1</v>
      </c>
    </row>
    <row r="9478" spans="1:17" x14ac:dyDescent="0.2">
      <c r="A9478" s="121">
        <v>42369</v>
      </c>
      <c r="B9478" t="s">
        <v>406</v>
      </c>
      <c r="C9478" t="s">
        <v>429</v>
      </c>
      <c r="D9478" t="s">
        <v>436</v>
      </c>
      <c r="E9478" t="s">
        <v>437</v>
      </c>
      <c r="F9478" t="s">
        <v>410</v>
      </c>
      <c r="G9478">
        <v>17</v>
      </c>
      <c r="H9478">
        <v>17</v>
      </c>
      <c r="I9478">
        <v>17</v>
      </c>
      <c r="J9478">
        <v>17</v>
      </c>
      <c r="K9478">
        <v>0</v>
      </c>
      <c r="L9478">
        <v>0</v>
      </c>
      <c r="M9478">
        <v>13</v>
      </c>
      <c r="N9478">
        <v>4</v>
      </c>
      <c r="O9478">
        <v>0</v>
      </c>
      <c r="P9478">
        <v>0</v>
      </c>
      <c r="Q9478">
        <v>0</v>
      </c>
    </row>
    <row r="9479" spans="1:17" x14ac:dyDescent="0.2">
      <c r="A9479" s="121">
        <v>42369</v>
      </c>
      <c r="B9479" t="s">
        <v>406</v>
      </c>
      <c r="C9479" t="s">
        <v>429</v>
      </c>
      <c r="D9479" t="s">
        <v>438</v>
      </c>
      <c r="E9479" t="s">
        <v>439</v>
      </c>
      <c r="F9479" t="s">
        <v>413</v>
      </c>
      <c r="G9479">
        <v>928</v>
      </c>
      <c r="H9479">
        <v>928</v>
      </c>
      <c r="I9479">
        <v>905</v>
      </c>
      <c r="J9479">
        <v>905</v>
      </c>
      <c r="K9479">
        <v>95</v>
      </c>
      <c r="L9479">
        <v>2</v>
      </c>
      <c r="M9479">
        <v>743</v>
      </c>
      <c r="N9479">
        <v>69</v>
      </c>
      <c r="O9479">
        <v>19</v>
      </c>
      <c r="P9479">
        <v>0</v>
      </c>
      <c r="Q9479">
        <v>0</v>
      </c>
    </row>
    <row r="9480" spans="1:17" x14ac:dyDescent="0.2">
      <c r="A9480" s="121">
        <v>42369</v>
      </c>
      <c r="B9480" t="s">
        <v>406</v>
      </c>
      <c r="C9480" t="s">
        <v>429</v>
      </c>
      <c r="D9480" t="s">
        <v>440</v>
      </c>
      <c r="E9480" t="s">
        <v>441</v>
      </c>
      <c r="F9480" t="s">
        <v>413</v>
      </c>
      <c r="G9480">
        <v>2836</v>
      </c>
      <c r="H9480">
        <v>2836</v>
      </c>
      <c r="I9480">
        <v>2712</v>
      </c>
      <c r="J9480">
        <v>2712</v>
      </c>
      <c r="K9480">
        <v>1087</v>
      </c>
      <c r="L9480">
        <v>2</v>
      </c>
      <c r="M9480">
        <v>1610</v>
      </c>
      <c r="N9480">
        <v>85</v>
      </c>
      <c r="O9480">
        <v>52</v>
      </c>
      <c r="P9480">
        <v>0</v>
      </c>
      <c r="Q9480">
        <v>0</v>
      </c>
    </row>
    <row r="9481" spans="1:17" x14ac:dyDescent="0.2">
      <c r="A9481" s="121">
        <v>42369</v>
      </c>
      <c r="B9481" t="s">
        <v>406</v>
      </c>
      <c r="C9481" t="s">
        <v>442</v>
      </c>
      <c r="D9481" t="s">
        <v>443</v>
      </c>
      <c r="E9481" t="s">
        <v>444</v>
      </c>
      <c r="F9481" t="s">
        <v>413</v>
      </c>
      <c r="G9481">
        <v>4895</v>
      </c>
      <c r="H9481">
        <v>4895</v>
      </c>
      <c r="I9481">
        <v>4684</v>
      </c>
      <c r="J9481">
        <v>4684</v>
      </c>
      <c r="K9481">
        <v>1465</v>
      </c>
      <c r="L9481">
        <v>5</v>
      </c>
      <c r="M9481">
        <v>3136</v>
      </c>
      <c r="N9481">
        <v>134</v>
      </c>
      <c r="O9481">
        <v>155</v>
      </c>
      <c r="P9481">
        <v>5</v>
      </c>
      <c r="Q9481">
        <v>0</v>
      </c>
    </row>
    <row r="9482" spans="1:17" x14ac:dyDescent="0.2">
      <c r="A9482" s="121">
        <v>42369</v>
      </c>
      <c r="B9482" t="s">
        <v>406</v>
      </c>
      <c r="C9482" t="s">
        <v>442</v>
      </c>
      <c r="D9482" t="s">
        <v>445</v>
      </c>
      <c r="E9482" t="s">
        <v>446</v>
      </c>
      <c r="F9482" t="s">
        <v>410</v>
      </c>
      <c r="G9482">
        <v>116</v>
      </c>
      <c r="I9482">
        <v>116</v>
      </c>
    </row>
    <row r="9483" spans="1:17" x14ac:dyDescent="0.2">
      <c r="A9483" s="121">
        <v>42369</v>
      </c>
      <c r="B9483" t="s">
        <v>406</v>
      </c>
      <c r="C9483" t="s">
        <v>442</v>
      </c>
      <c r="D9483" t="s">
        <v>447</v>
      </c>
      <c r="E9483" t="s">
        <v>448</v>
      </c>
      <c r="F9483" t="s">
        <v>410</v>
      </c>
      <c r="G9483">
        <v>250</v>
      </c>
      <c r="I9483">
        <v>249</v>
      </c>
    </row>
    <row r="9484" spans="1:17" x14ac:dyDescent="0.2">
      <c r="A9484" s="121">
        <v>42369</v>
      </c>
      <c r="B9484" t="s">
        <v>406</v>
      </c>
      <c r="C9484" t="s">
        <v>442</v>
      </c>
      <c r="D9484" t="s">
        <v>449</v>
      </c>
      <c r="E9484" t="s">
        <v>624</v>
      </c>
      <c r="F9484" t="s">
        <v>410</v>
      </c>
      <c r="G9484">
        <v>1499</v>
      </c>
      <c r="H9484">
        <v>1499</v>
      </c>
      <c r="I9484">
        <v>1498</v>
      </c>
      <c r="J9484">
        <v>1498</v>
      </c>
      <c r="K9484">
        <v>10</v>
      </c>
      <c r="L9484">
        <v>0</v>
      </c>
      <c r="M9484">
        <v>1345</v>
      </c>
      <c r="N9484">
        <v>137</v>
      </c>
      <c r="O9484">
        <v>7</v>
      </c>
      <c r="P9484">
        <v>0</v>
      </c>
      <c r="Q9484">
        <v>0</v>
      </c>
    </row>
    <row r="9485" spans="1:17" x14ac:dyDescent="0.2">
      <c r="A9485" s="121">
        <v>42369</v>
      </c>
      <c r="B9485" t="s">
        <v>406</v>
      </c>
      <c r="C9485" t="s">
        <v>451</v>
      </c>
      <c r="D9485" t="s">
        <v>454</v>
      </c>
      <c r="E9485" t="s">
        <v>621</v>
      </c>
      <c r="F9485" t="s">
        <v>410</v>
      </c>
      <c r="G9485">
        <v>1043</v>
      </c>
      <c r="H9485">
        <v>1043</v>
      </c>
      <c r="I9485">
        <v>1042</v>
      </c>
      <c r="J9485">
        <v>1042</v>
      </c>
      <c r="K9485">
        <v>2</v>
      </c>
      <c r="L9485">
        <v>0</v>
      </c>
      <c r="M9485">
        <v>770</v>
      </c>
      <c r="N9485">
        <v>32</v>
      </c>
      <c r="O9485">
        <v>239</v>
      </c>
      <c r="P9485">
        <v>0</v>
      </c>
      <c r="Q9485">
        <v>0</v>
      </c>
    </row>
    <row r="9486" spans="1:17" x14ac:dyDescent="0.2">
      <c r="A9486" s="121">
        <v>42369</v>
      </c>
      <c r="B9486" t="s">
        <v>406</v>
      </c>
      <c r="C9486" t="s">
        <v>451</v>
      </c>
      <c r="D9486" t="s">
        <v>622</v>
      </c>
      <c r="E9486" t="s">
        <v>623</v>
      </c>
      <c r="F9486" t="s">
        <v>413</v>
      </c>
      <c r="G9486">
        <v>5089</v>
      </c>
      <c r="H9486">
        <v>5089</v>
      </c>
      <c r="I9486">
        <v>4957</v>
      </c>
      <c r="J9486">
        <v>4957</v>
      </c>
      <c r="K9486">
        <v>1404</v>
      </c>
      <c r="L9486">
        <v>11</v>
      </c>
      <c r="M9486">
        <v>2927</v>
      </c>
      <c r="N9486">
        <v>54</v>
      </c>
      <c r="O9486">
        <v>693</v>
      </c>
      <c r="P9486">
        <v>3</v>
      </c>
      <c r="Q9486">
        <v>0</v>
      </c>
    </row>
    <row r="9487" spans="1:17" x14ac:dyDescent="0.2">
      <c r="A9487" s="121">
        <v>42369</v>
      </c>
      <c r="B9487" t="s">
        <v>406</v>
      </c>
      <c r="C9487" t="s">
        <v>456</v>
      </c>
      <c r="D9487" t="s">
        <v>457</v>
      </c>
      <c r="E9487" t="s">
        <v>458</v>
      </c>
      <c r="F9487" t="s">
        <v>413</v>
      </c>
      <c r="G9487">
        <v>4612</v>
      </c>
      <c r="H9487">
        <v>4612</v>
      </c>
      <c r="I9487">
        <v>4343</v>
      </c>
      <c r="J9487">
        <v>4343</v>
      </c>
      <c r="K9487">
        <v>1297</v>
      </c>
      <c r="L9487">
        <v>18</v>
      </c>
      <c r="M9487">
        <v>2929</v>
      </c>
      <c r="N9487">
        <v>29</v>
      </c>
      <c r="O9487">
        <v>339</v>
      </c>
      <c r="P9487">
        <v>5</v>
      </c>
      <c r="Q9487">
        <v>0</v>
      </c>
    </row>
    <row r="9488" spans="1:17" x14ac:dyDescent="0.2">
      <c r="A9488" s="121">
        <v>42369</v>
      </c>
      <c r="B9488" t="s">
        <v>406</v>
      </c>
      <c r="C9488" t="s">
        <v>456</v>
      </c>
      <c r="D9488" t="s">
        <v>459</v>
      </c>
      <c r="E9488" t="s">
        <v>460</v>
      </c>
      <c r="F9488" t="s">
        <v>413</v>
      </c>
      <c r="G9488">
        <v>1044</v>
      </c>
      <c r="H9488">
        <v>1044</v>
      </c>
      <c r="I9488">
        <v>1032</v>
      </c>
      <c r="J9488">
        <v>1032</v>
      </c>
      <c r="K9488">
        <v>135</v>
      </c>
      <c r="L9488">
        <v>0</v>
      </c>
      <c r="M9488">
        <v>850</v>
      </c>
      <c r="N9488">
        <v>0</v>
      </c>
      <c r="O9488">
        <v>59</v>
      </c>
      <c r="P9488">
        <v>0</v>
      </c>
      <c r="Q9488">
        <v>0</v>
      </c>
    </row>
    <row r="9489" spans="1:17" x14ac:dyDescent="0.2">
      <c r="A9489" s="121">
        <v>42369</v>
      </c>
      <c r="B9489" t="s">
        <v>406</v>
      </c>
      <c r="C9489" t="s">
        <v>456</v>
      </c>
      <c r="D9489" t="s">
        <v>461</v>
      </c>
      <c r="E9489" t="s">
        <v>462</v>
      </c>
      <c r="F9489" t="s">
        <v>410</v>
      </c>
      <c r="G9489">
        <v>79</v>
      </c>
      <c r="I9489">
        <v>79</v>
      </c>
    </row>
    <row r="9490" spans="1:17" x14ac:dyDescent="0.2">
      <c r="A9490" s="121">
        <v>42369</v>
      </c>
      <c r="B9490" t="s">
        <v>406</v>
      </c>
      <c r="C9490" t="s">
        <v>456</v>
      </c>
      <c r="D9490" t="s">
        <v>463</v>
      </c>
      <c r="E9490" t="s">
        <v>464</v>
      </c>
      <c r="F9490" t="s">
        <v>410</v>
      </c>
      <c r="G9490">
        <v>13</v>
      </c>
      <c r="I9490">
        <v>13</v>
      </c>
    </row>
    <row r="9491" spans="1:17" x14ac:dyDescent="0.2">
      <c r="A9491" s="121">
        <v>42369</v>
      </c>
      <c r="B9491" t="s">
        <v>406</v>
      </c>
      <c r="C9491" t="s">
        <v>456</v>
      </c>
      <c r="D9491" t="s">
        <v>465</v>
      </c>
      <c r="E9491" t="s">
        <v>466</v>
      </c>
      <c r="F9491" t="s">
        <v>410</v>
      </c>
      <c r="G9491">
        <v>23</v>
      </c>
      <c r="I9491">
        <v>23</v>
      </c>
    </row>
    <row r="9492" spans="1:17" x14ac:dyDescent="0.2">
      <c r="A9492" s="121">
        <v>42369</v>
      </c>
      <c r="B9492" t="s">
        <v>406</v>
      </c>
      <c r="C9492" t="s">
        <v>456</v>
      </c>
      <c r="D9492" t="s">
        <v>467</v>
      </c>
      <c r="E9492" t="s">
        <v>468</v>
      </c>
      <c r="F9492" t="s">
        <v>410</v>
      </c>
      <c r="G9492">
        <v>1439</v>
      </c>
      <c r="I9492">
        <v>1439</v>
      </c>
    </row>
    <row r="9493" spans="1:17" x14ac:dyDescent="0.2">
      <c r="A9493" s="121">
        <v>42369</v>
      </c>
      <c r="B9493" t="s">
        <v>406</v>
      </c>
      <c r="C9493" t="s">
        <v>456</v>
      </c>
      <c r="D9493" t="s">
        <v>469</v>
      </c>
      <c r="E9493" t="s">
        <v>470</v>
      </c>
      <c r="F9493" t="s">
        <v>410</v>
      </c>
      <c r="G9493">
        <v>706</v>
      </c>
      <c r="I9493">
        <v>701</v>
      </c>
    </row>
    <row r="9494" spans="1:17" x14ac:dyDescent="0.2">
      <c r="A9494" s="121">
        <v>42369</v>
      </c>
      <c r="B9494" t="s">
        <v>406</v>
      </c>
      <c r="C9494" t="s">
        <v>456</v>
      </c>
      <c r="D9494" t="s">
        <v>471</v>
      </c>
      <c r="E9494" t="s">
        <v>472</v>
      </c>
      <c r="F9494" t="s">
        <v>410</v>
      </c>
      <c r="G9494">
        <v>251</v>
      </c>
      <c r="I9494">
        <v>249</v>
      </c>
    </row>
    <row r="9495" spans="1:17" x14ac:dyDescent="0.2">
      <c r="A9495" s="121">
        <v>42369</v>
      </c>
      <c r="B9495" t="s">
        <v>406</v>
      </c>
      <c r="C9495" t="s">
        <v>456</v>
      </c>
      <c r="D9495" t="s">
        <v>473</v>
      </c>
      <c r="E9495" t="s">
        <v>474</v>
      </c>
      <c r="F9495" t="s">
        <v>410</v>
      </c>
      <c r="G9495">
        <v>151</v>
      </c>
      <c r="I9495">
        <v>151</v>
      </c>
    </row>
    <row r="9496" spans="1:17" x14ac:dyDescent="0.2">
      <c r="A9496" s="121">
        <v>42369</v>
      </c>
      <c r="B9496" t="s">
        <v>406</v>
      </c>
      <c r="C9496" t="s">
        <v>456</v>
      </c>
      <c r="D9496" t="s">
        <v>475</v>
      </c>
      <c r="E9496" t="s">
        <v>476</v>
      </c>
      <c r="F9496" t="s">
        <v>410</v>
      </c>
      <c r="G9496">
        <v>293</v>
      </c>
      <c r="I9496">
        <v>287</v>
      </c>
    </row>
    <row r="9497" spans="1:17" x14ac:dyDescent="0.2">
      <c r="A9497" s="121">
        <v>42369</v>
      </c>
      <c r="B9497" t="s">
        <v>406</v>
      </c>
      <c r="C9497" t="s">
        <v>456</v>
      </c>
      <c r="D9497" t="s">
        <v>477</v>
      </c>
      <c r="E9497" t="s">
        <v>478</v>
      </c>
      <c r="F9497" t="s">
        <v>413</v>
      </c>
      <c r="G9497">
        <v>1868</v>
      </c>
      <c r="H9497">
        <v>1868</v>
      </c>
      <c r="I9497">
        <v>1803</v>
      </c>
      <c r="J9497">
        <v>1803</v>
      </c>
      <c r="K9497">
        <v>391</v>
      </c>
      <c r="L9497">
        <v>5</v>
      </c>
      <c r="M9497">
        <v>1404</v>
      </c>
      <c r="N9497">
        <v>10</v>
      </c>
      <c r="O9497">
        <v>58</v>
      </c>
      <c r="P9497">
        <v>4</v>
      </c>
      <c r="Q9497">
        <v>0</v>
      </c>
    </row>
    <row r="9498" spans="1:17" x14ac:dyDescent="0.2">
      <c r="A9498" s="121">
        <v>42369</v>
      </c>
      <c r="B9498" t="s">
        <v>406</v>
      </c>
      <c r="C9498" t="s">
        <v>456</v>
      </c>
      <c r="D9498" t="s">
        <v>479</v>
      </c>
      <c r="E9498" t="s">
        <v>480</v>
      </c>
      <c r="F9498" t="s">
        <v>410</v>
      </c>
      <c r="G9498">
        <v>24</v>
      </c>
      <c r="I9498">
        <v>24</v>
      </c>
    </row>
    <row r="9499" spans="1:17" x14ac:dyDescent="0.2">
      <c r="A9499" s="121">
        <v>42369</v>
      </c>
      <c r="B9499" t="s">
        <v>406</v>
      </c>
      <c r="C9499" t="s">
        <v>456</v>
      </c>
      <c r="D9499" t="s">
        <v>481</v>
      </c>
      <c r="E9499" t="s">
        <v>482</v>
      </c>
      <c r="F9499" t="s">
        <v>410</v>
      </c>
      <c r="G9499">
        <v>24</v>
      </c>
      <c r="I9499">
        <v>24</v>
      </c>
    </row>
    <row r="9500" spans="1:17" x14ac:dyDescent="0.2">
      <c r="A9500" s="121">
        <v>42369</v>
      </c>
      <c r="B9500" t="s">
        <v>406</v>
      </c>
      <c r="C9500" t="s">
        <v>456</v>
      </c>
      <c r="D9500" t="s">
        <v>483</v>
      </c>
      <c r="E9500" t="s">
        <v>484</v>
      </c>
      <c r="F9500" t="s">
        <v>410</v>
      </c>
      <c r="G9500">
        <v>74</v>
      </c>
      <c r="I9500">
        <v>74</v>
      </c>
    </row>
    <row r="9501" spans="1:17" x14ac:dyDescent="0.2">
      <c r="A9501" s="121">
        <v>42369</v>
      </c>
      <c r="B9501" t="s">
        <v>406</v>
      </c>
      <c r="C9501" t="s">
        <v>456</v>
      </c>
      <c r="D9501" t="s">
        <v>487</v>
      </c>
      <c r="E9501" t="s">
        <v>488</v>
      </c>
      <c r="F9501" t="s">
        <v>410</v>
      </c>
      <c r="G9501">
        <v>15</v>
      </c>
      <c r="I9501">
        <v>15</v>
      </c>
    </row>
    <row r="9502" spans="1:17" x14ac:dyDescent="0.2">
      <c r="A9502" s="121">
        <v>42369</v>
      </c>
      <c r="B9502" t="s">
        <v>406</v>
      </c>
      <c r="C9502" t="s">
        <v>456</v>
      </c>
      <c r="D9502" t="s">
        <v>489</v>
      </c>
      <c r="E9502" t="s">
        <v>490</v>
      </c>
      <c r="F9502" t="s">
        <v>410</v>
      </c>
      <c r="G9502">
        <v>89</v>
      </c>
      <c r="I9502">
        <v>89</v>
      </c>
    </row>
    <row r="9503" spans="1:17" x14ac:dyDescent="0.2">
      <c r="A9503" s="121">
        <v>42369</v>
      </c>
      <c r="B9503" t="s">
        <v>406</v>
      </c>
      <c r="C9503" t="s">
        <v>456</v>
      </c>
      <c r="D9503" t="s">
        <v>628</v>
      </c>
      <c r="E9503" t="s">
        <v>629</v>
      </c>
      <c r="F9503" t="s">
        <v>410</v>
      </c>
      <c r="G9503">
        <v>44</v>
      </c>
      <c r="I9503">
        <v>44</v>
      </c>
    </row>
    <row r="9504" spans="1:17" x14ac:dyDescent="0.2">
      <c r="A9504" s="121">
        <v>42369</v>
      </c>
      <c r="B9504" t="s">
        <v>406</v>
      </c>
      <c r="C9504" t="s">
        <v>491</v>
      </c>
      <c r="D9504" t="s">
        <v>492</v>
      </c>
      <c r="E9504" t="s">
        <v>493</v>
      </c>
      <c r="F9504" t="s">
        <v>410</v>
      </c>
      <c r="G9504">
        <v>1118</v>
      </c>
      <c r="H9504">
        <v>1118</v>
      </c>
      <c r="I9504">
        <v>1076</v>
      </c>
      <c r="J9504">
        <v>1076</v>
      </c>
      <c r="K9504">
        <v>217</v>
      </c>
      <c r="L9504">
        <v>0</v>
      </c>
      <c r="M9504">
        <v>816</v>
      </c>
      <c r="N9504">
        <v>78</v>
      </c>
      <c r="O9504">
        <v>7</v>
      </c>
      <c r="P9504">
        <v>0</v>
      </c>
      <c r="Q9504">
        <v>0</v>
      </c>
    </row>
    <row r="9505" spans="1:17" x14ac:dyDescent="0.2">
      <c r="A9505" s="121">
        <v>42369</v>
      </c>
      <c r="B9505" t="s">
        <v>406</v>
      </c>
      <c r="C9505" t="s">
        <v>491</v>
      </c>
      <c r="D9505" t="s">
        <v>494</v>
      </c>
      <c r="E9505" t="s">
        <v>495</v>
      </c>
      <c r="F9505" t="s">
        <v>413</v>
      </c>
      <c r="G9505">
        <v>2515</v>
      </c>
      <c r="H9505">
        <v>2515</v>
      </c>
      <c r="I9505">
        <v>2298</v>
      </c>
      <c r="J9505">
        <v>2298</v>
      </c>
      <c r="K9505">
        <v>730</v>
      </c>
      <c r="L9505">
        <v>12</v>
      </c>
      <c r="M9505">
        <v>1541</v>
      </c>
      <c r="N9505">
        <v>50</v>
      </c>
      <c r="O9505">
        <v>182</v>
      </c>
      <c r="P9505">
        <v>3</v>
      </c>
      <c r="Q9505">
        <v>0</v>
      </c>
    </row>
    <row r="9506" spans="1:17" x14ac:dyDescent="0.2">
      <c r="A9506" s="121">
        <v>42369</v>
      </c>
      <c r="B9506" t="s">
        <v>406</v>
      </c>
      <c r="C9506" t="s">
        <v>491</v>
      </c>
      <c r="D9506" t="s">
        <v>496</v>
      </c>
      <c r="E9506" t="s">
        <v>497</v>
      </c>
      <c r="F9506" t="s">
        <v>413</v>
      </c>
      <c r="G9506">
        <v>5377</v>
      </c>
      <c r="H9506">
        <v>5377</v>
      </c>
      <c r="I9506">
        <v>4890</v>
      </c>
      <c r="J9506">
        <v>4890</v>
      </c>
      <c r="K9506">
        <v>1963</v>
      </c>
      <c r="L9506">
        <v>12</v>
      </c>
      <c r="M9506">
        <v>3172</v>
      </c>
      <c r="N9506">
        <v>141</v>
      </c>
      <c r="O9506">
        <v>89</v>
      </c>
      <c r="P9506">
        <v>15</v>
      </c>
      <c r="Q9506">
        <v>0</v>
      </c>
    </row>
    <row r="9507" spans="1:17" x14ac:dyDescent="0.2">
      <c r="A9507" s="121">
        <v>42369</v>
      </c>
      <c r="B9507" t="s">
        <v>406</v>
      </c>
      <c r="C9507" t="s">
        <v>491</v>
      </c>
      <c r="D9507" t="s">
        <v>498</v>
      </c>
      <c r="E9507" t="s">
        <v>499</v>
      </c>
      <c r="F9507" t="s">
        <v>413</v>
      </c>
      <c r="G9507">
        <v>7247</v>
      </c>
      <c r="H9507">
        <v>7247</v>
      </c>
      <c r="I9507">
        <v>6609</v>
      </c>
      <c r="J9507">
        <v>6609</v>
      </c>
      <c r="K9507">
        <v>2376</v>
      </c>
      <c r="L9507">
        <v>27</v>
      </c>
      <c r="M9507">
        <v>4436</v>
      </c>
      <c r="N9507">
        <v>128</v>
      </c>
      <c r="O9507">
        <v>280</v>
      </c>
      <c r="P9507">
        <v>11</v>
      </c>
      <c r="Q9507">
        <v>0</v>
      </c>
    </row>
    <row r="9508" spans="1:17" x14ac:dyDescent="0.2">
      <c r="A9508" s="121">
        <v>42369</v>
      </c>
      <c r="B9508" t="s">
        <v>406</v>
      </c>
      <c r="C9508" t="s">
        <v>491</v>
      </c>
      <c r="D9508" t="s">
        <v>500</v>
      </c>
      <c r="E9508" t="s">
        <v>620</v>
      </c>
      <c r="F9508" t="s">
        <v>410</v>
      </c>
      <c r="G9508">
        <v>1300</v>
      </c>
      <c r="H9508">
        <v>1300</v>
      </c>
      <c r="I9508">
        <v>1297</v>
      </c>
      <c r="J9508">
        <v>1297</v>
      </c>
      <c r="K9508">
        <v>0</v>
      </c>
      <c r="L9508">
        <v>0</v>
      </c>
      <c r="M9508">
        <v>1202</v>
      </c>
      <c r="N9508">
        <v>84</v>
      </c>
      <c r="O9508">
        <v>14</v>
      </c>
      <c r="P9508">
        <v>0</v>
      </c>
      <c r="Q9508">
        <v>0</v>
      </c>
    </row>
    <row r="9509" spans="1:17" x14ac:dyDescent="0.2">
      <c r="A9509" s="121">
        <v>42369</v>
      </c>
      <c r="B9509" t="s">
        <v>406</v>
      </c>
      <c r="C9509" t="s">
        <v>491</v>
      </c>
      <c r="D9509" t="s">
        <v>502</v>
      </c>
      <c r="E9509" t="s">
        <v>615</v>
      </c>
      <c r="F9509" t="s">
        <v>410</v>
      </c>
      <c r="G9509">
        <v>2068</v>
      </c>
      <c r="H9509">
        <v>2068</v>
      </c>
      <c r="I9509">
        <v>2068</v>
      </c>
      <c r="J9509">
        <v>2068</v>
      </c>
      <c r="K9509">
        <v>1</v>
      </c>
      <c r="L9509">
        <v>0</v>
      </c>
      <c r="M9509">
        <v>1827</v>
      </c>
      <c r="N9509">
        <v>228</v>
      </c>
      <c r="O9509">
        <v>12</v>
      </c>
      <c r="P9509">
        <v>0</v>
      </c>
      <c r="Q9509">
        <v>0</v>
      </c>
    </row>
    <row r="9510" spans="1:17" x14ac:dyDescent="0.2">
      <c r="A9510" s="121">
        <v>42369</v>
      </c>
      <c r="B9510" t="s">
        <v>406</v>
      </c>
      <c r="C9510" t="s">
        <v>491</v>
      </c>
      <c r="D9510" t="s">
        <v>504</v>
      </c>
      <c r="E9510" t="s">
        <v>630</v>
      </c>
      <c r="F9510" t="s">
        <v>413</v>
      </c>
      <c r="G9510">
        <v>7404</v>
      </c>
      <c r="H9510">
        <v>7404</v>
      </c>
      <c r="I9510">
        <v>6855</v>
      </c>
      <c r="J9510">
        <v>6855</v>
      </c>
      <c r="K9510">
        <v>2390</v>
      </c>
      <c r="L9510">
        <v>28</v>
      </c>
      <c r="M9510">
        <v>4629</v>
      </c>
      <c r="N9510">
        <v>192</v>
      </c>
      <c r="O9510">
        <v>165</v>
      </c>
      <c r="P9510">
        <v>12</v>
      </c>
      <c r="Q9510">
        <v>0</v>
      </c>
    </row>
    <row r="9511" spans="1:17" x14ac:dyDescent="0.2">
      <c r="A9511" s="121">
        <v>42369</v>
      </c>
      <c r="B9511" t="s">
        <v>406</v>
      </c>
      <c r="C9511" t="s">
        <v>491</v>
      </c>
      <c r="D9511" t="s">
        <v>506</v>
      </c>
      <c r="E9511" t="s">
        <v>507</v>
      </c>
      <c r="F9511" t="s">
        <v>413</v>
      </c>
      <c r="G9511">
        <v>4656</v>
      </c>
      <c r="H9511">
        <v>4656</v>
      </c>
      <c r="I9511">
        <v>4636</v>
      </c>
      <c r="J9511">
        <v>4636</v>
      </c>
      <c r="K9511">
        <v>957</v>
      </c>
      <c r="L9511">
        <v>0</v>
      </c>
      <c r="M9511">
        <v>3694</v>
      </c>
      <c r="N9511">
        <v>1</v>
      </c>
      <c r="O9511">
        <v>4</v>
      </c>
      <c r="P9511">
        <v>0</v>
      </c>
      <c r="Q9511">
        <v>0</v>
      </c>
    </row>
    <row r="9512" spans="1:17" x14ac:dyDescent="0.2">
      <c r="A9512" s="121">
        <v>42369</v>
      </c>
      <c r="B9512" t="s">
        <v>406</v>
      </c>
      <c r="C9512" t="s">
        <v>491</v>
      </c>
      <c r="D9512" t="s">
        <v>508</v>
      </c>
      <c r="E9512" t="s">
        <v>631</v>
      </c>
      <c r="F9512" t="s">
        <v>410</v>
      </c>
      <c r="G9512">
        <v>748</v>
      </c>
      <c r="H9512">
        <v>748</v>
      </c>
      <c r="I9512">
        <v>748</v>
      </c>
      <c r="J9512">
        <v>748</v>
      </c>
      <c r="K9512">
        <v>1</v>
      </c>
      <c r="L9512">
        <v>0</v>
      </c>
      <c r="M9512">
        <v>676</v>
      </c>
      <c r="N9512">
        <v>69</v>
      </c>
      <c r="O9512">
        <v>2</v>
      </c>
      <c r="P9512">
        <v>0</v>
      </c>
      <c r="Q9512">
        <v>0</v>
      </c>
    </row>
    <row r="9513" spans="1:17" x14ac:dyDescent="0.2">
      <c r="A9513" s="121">
        <v>42369</v>
      </c>
      <c r="B9513" t="s">
        <v>406</v>
      </c>
      <c r="C9513" t="s">
        <v>510</v>
      </c>
      <c r="D9513" t="s">
        <v>513</v>
      </c>
      <c r="E9513" t="s">
        <v>514</v>
      </c>
      <c r="F9513" t="s">
        <v>410</v>
      </c>
      <c r="G9513">
        <v>568</v>
      </c>
      <c r="I9513">
        <v>568</v>
      </c>
    </row>
    <row r="9514" spans="1:17" x14ac:dyDescent="0.2">
      <c r="A9514" s="121">
        <v>42369</v>
      </c>
      <c r="B9514" t="s">
        <v>406</v>
      </c>
      <c r="C9514" t="s">
        <v>510</v>
      </c>
      <c r="D9514" t="s">
        <v>515</v>
      </c>
      <c r="E9514" t="s">
        <v>516</v>
      </c>
      <c r="F9514" t="s">
        <v>410</v>
      </c>
      <c r="G9514">
        <v>96</v>
      </c>
      <c r="I9514">
        <v>96</v>
      </c>
    </row>
    <row r="9515" spans="1:17" x14ac:dyDescent="0.2">
      <c r="A9515" s="121">
        <v>42369</v>
      </c>
      <c r="B9515" t="s">
        <v>406</v>
      </c>
      <c r="C9515" t="s">
        <v>510</v>
      </c>
      <c r="D9515" t="s">
        <v>519</v>
      </c>
      <c r="E9515" t="s">
        <v>520</v>
      </c>
      <c r="F9515" t="s">
        <v>410</v>
      </c>
      <c r="G9515">
        <v>346</v>
      </c>
      <c r="I9515">
        <v>339</v>
      </c>
    </row>
    <row r="9516" spans="1:17" x14ac:dyDescent="0.2">
      <c r="A9516" s="121">
        <v>42369</v>
      </c>
      <c r="B9516" t="s">
        <v>406</v>
      </c>
      <c r="C9516" t="s">
        <v>510</v>
      </c>
      <c r="D9516" t="s">
        <v>523</v>
      </c>
      <c r="E9516" t="s">
        <v>524</v>
      </c>
      <c r="F9516" t="s">
        <v>413</v>
      </c>
      <c r="G9516">
        <v>499</v>
      </c>
      <c r="H9516">
        <v>499</v>
      </c>
      <c r="I9516">
        <v>497</v>
      </c>
      <c r="J9516">
        <v>497</v>
      </c>
      <c r="K9516">
        <v>148</v>
      </c>
      <c r="L9516">
        <v>2</v>
      </c>
      <c r="M9516">
        <v>342</v>
      </c>
      <c r="N9516">
        <v>7</v>
      </c>
      <c r="O9516">
        <v>0</v>
      </c>
      <c r="P9516">
        <v>0</v>
      </c>
      <c r="Q9516">
        <v>0</v>
      </c>
    </row>
    <row r="9517" spans="1:17" x14ac:dyDescent="0.2">
      <c r="A9517" s="121">
        <v>42369</v>
      </c>
      <c r="B9517" t="s">
        <v>406</v>
      </c>
      <c r="C9517" t="s">
        <v>510</v>
      </c>
      <c r="D9517" t="s">
        <v>525</v>
      </c>
      <c r="E9517" t="s">
        <v>526</v>
      </c>
      <c r="F9517" t="s">
        <v>410</v>
      </c>
      <c r="G9517">
        <v>394</v>
      </c>
      <c r="I9517">
        <v>394</v>
      </c>
    </row>
    <row r="9518" spans="1:17" x14ac:dyDescent="0.2">
      <c r="A9518" s="121">
        <v>42369</v>
      </c>
      <c r="B9518" t="s">
        <v>406</v>
      </c>
      <c r="C9518" t="s">
        <v>510</v>
      </c>
      <c r="D9518" t="s">
        <v>527</v>
      </c>
      <c r="E9518" t="s">
        <v>528</v>
      </c>
      <c r="F9518" t="s">
        <v>410</v>
      </c>
      <c r="G9518">
        <v>175</v>
      </c>
      <c r="I9518">
        <v>175</v>
      </c>
    </row>
    <row r="9519" spans="1:17" x14ac:dyDescent="0.2">
      <c r="A9519" s="121">
        <v>42369</v>
      </c>
      <c r="B9519" t="s">
        <v>406</v>
      </c>
      <c r="C9519" t="s">
        <v>510</v>
      </c>
      <c r="D9519" t="s">
        <v>529</v>
      </c>
      <c r="E9519" t="s">
        <v>530</v>
      </c>
      <c r="F9519" t="s">
        <v>413</v>
      </c>
      <c r="G9519">
        <v>524</v>
      </c>
      <c r="H9519">
        <v>524</v>
      </c>
      <c r="I9519">
        <v>491</v>
      </c>
      <c r="J9519">
        <v>491</v>
      </c>
      <c r="K9519">
        <v>178</v>
      </c>
      <c r="L9519">
        <v>0</v>
      </c>
      <c r="M9519">
        <v>345</v>
      </c>
      <c r="N9519">
        <v>1</v>
      </c>
      <c r="O9519">
        <v>0</v>
      </c>
      <c r="P9519">
        <v>1</v>
      </c>
      <c r="Q9519">
        <v>0</v>
      </c>
    </row>
    <row r="9520" spans="1:17" x14ac:dyDescent="0.2">
      <c r="A9520" s="121">
        <v>42369</v>
      </c>
      <c r="B9520" t="s">
        <v>406</v>
      </c>
      <c r="C9520" t="s">
        <v>510</v>
      </c>
      <c r="D9520" t="s">
        <v>531</v>
      </c>
      <c r="E9520" t="s">
        <v>532</v>
      </c>
      <c r="F9520" t="s">
        <v>410</v>
      </c>
      <c r="G9520">
        <v>8</v>
      </c>
      <c r="I9520">
        <v>8</v>
      </c>
    </row>
    <row r="9521" spans="1:17" x14ac:dyDescent="0.2">
      <c r="A9521" s="121">
        <v>42369</v>
      </c>
      <c r="B9521" t="s">
        <v>406</v>
      </c>
      <c r="C9521" t="s">
        <v>510</v>
      </c>
      <c r="D9521" t="s">
        <v>533</v>
      </c>
      <c r="E9521" t="s">
        <v>534</v>
      </c>
      <c r="F9521" t="s">
        <v>413</v>
      </c>
      <c r="G9521">
        <v>2596</v>
      </c>
      <c r="H9521">
        <v>2596</v>
      </c>
      <c r="I9521">
        <v>2450</v>
      </c>
      <c r="J9521">
        <v>2450</v>
      </c>
      <c r="K9521">
        <v>728</v>
      </c>
      <c r="L9521">
        <v>8</v>
      </c>
      <c r="M9521">
        <v>1838</v>
      </c>
      <c r="N9521">
        <v>22</v>
      </c>
      <c r="O9521">
        <v>0</v>
      </c>
      <c r="P9521">
        <v>14</v>
      </c>
      <c r="Q9521">
        <v>4</v>
      </c>
    </row>
    <row r="9522" spans="1:17" x14ac:dyDescent="0.2">
      <c r="A9522" s="121">
        <v>42369</v>
      </c>
      <c r="B9522" t="s">
        <v>406</v>
      </c>
      <c r="C9522" t="s">
        <v>510</v>
      </c>
      <c r="D9522" t="s">
        <v>535</v>
      </c>
      <c r="E9522" t="s">
        <v>536</v>
      </c>
      <c r="F9522" t="s">
        <v>410</v>
      </c>
      <c r="G9522">
        <v>362</v>
      </c>
      <c r="I9522">
        <v>360</v>
      </c>
    </row>
    <row r="9523" spans="1:17" x14ac:dyDescent="0.2">
      <c r="A9523" s="121">
        <v>42369</v>
      </c>
      <c r="B9523" t="s">
        <v>406</v>
      </c>
      <c r="C9523" t="s">
        <v>510</v>
      </c>
      <c r="D9523" t="s">
        <v>537</v>
      </c>
      <c r="E9523" t="s">
        <v>538</v>
      </c>
      <c r="F9523" t="s">
        <v>410</v>
      </c>
      <c r="G9523">
        <v>45</v>
      </c>
      <c r="I9523">
        <v>45</v>
      </c>
    </row>
    <row r="9524" spans="1:17" x14ac:dyDescent="0.2">
      <c r="A9524" s="121">
        <v>42369</v>
      </c>
      <c r="B9524" t="s">
        <v>406</v>
      </c>
      <c r="C9524" t="s">
        <v>510</v>
      </c>
      <c r="D9524" t="s">
        <v>539</v>
      </c>
      <c r="E9524" t="s">
        <v>540</v>
      </c>
      <c r="F9524" t="s">
        <v>413</v>
      </c>
      <c r="G9524">
        <v>565</v>
      </c>
      <c r="H9524">
        <v>565</v>
      </c>
      <c r="I9524">
        <v>552</v>
      </c>
      <c r="J9524">
        <v>552</v>
      </c>
      <c r="K9524">
        <v>120</v>
      </c>
      <c r="L9524">
        <v>1</v>
      </c>
      <c r="M9524">
        <v>441</v>
      </c>
      <c r="N9524">
        <v>3</v>
      </c>
      <c r="O9524">
        <v>0</v>
      </c>
      <c r="P9524">
        <v>0</v>
      </c>
      <c r="Q9524">
        <v>0</v>
      </c>
    </row>
    <row r="9525" spans="1:17" x14ac:dyDescent="0.2">
      <c r="A9525" s="121">
        <v>42369</v>
      </c>
      <c r="B9525" t="s">
        <v>406</v>
      </c>
      <c r="C9525" t="s">
        <v>510</v>
      </c>
      <c r="D9525" t="s">
        <v>541</v>
      </c>
      <c r="E9525" t="s">
        <v>542</v>
      </c>
      <c r="F9525" t="s">
        <v>410</v>
      </c>
      <c r="G9525">
        <v>315</v>
      </c>
      <c r="I9525">
        <v>315</v>
      </c>
    </row>
    <row r="9526" spans="1:17" x14ac:dyDescent="0.2">
      <c r="A9526" s="121">
        <v>42369</v>
      </c>
      <c r="B9526" t="s">
        <v>406</v>
      </c>
      <c r="C9526" t="s">
        <v>510</v>
      </c>
      <c r="D9526" t="s">
        <v>543</v>
      </c>
      <c r="E9526" t="s">
        <v>544</v>
      </c>
      <c r="F9526" t="s">
        <v>410</v>
      </c>
      <c r="G9526">
        <v>182</v>
      </c>
      <c r="I9526">
        <v>182</v>
      </c>
    </row>
    <row r="9527" spans="1:17" x14ac:dyDescent="0.2">
      <c r="A9527" s="121">
        <v>42369</v>
      </c>
      <c r="B9527" t="s">
        <v>406</v>
      </c>
      <c r="C9527" t="s">
        <v>510</v>
      </c>
      <c r="D9527" t="s">
        <v>545</v>
      </c>
      <c r="E9527" t="s">
        <v>546</v>
      </c>
      <c r="F9527" t="s">
        <v>410</v>
      </c>
      <c r="G9527">
        <v>108</v>
      </c>
      <c r="I9527">
        <v>108</v>
      </c>
    </row>
    <row r="9528" spans="1:17" x14ac:dyDescent="0.2">
      <c r="A9528" s="121">
        <v>42369</v>
      </c>
      <c r="B9528" t="s">
        <v>406</v>
      </c>
      <c r="C9528" t="s">
        <v>510</v>
      </c>
      <c r="D9528" t="s">
        <v>547</v>
      </c>
      <c r="E9528" t="s">
        <v>548</v>
      </c>
      <c r="F9528" t="s">
        <v>410</v>
      </c>
      <c r="G9528">
        <v>142</v>
      </c>
      <c r="I9528">
        <v>142</v>
      </c>
    </row>
    <row r="9529" spans="1:17" x14ac:dyDescent="0.2">
      <c r="A9529" s="121">
        <v>42369</v>
      </c>
      <c r="B9529" t="s">
        <v>406</v>
      </c>
      <c r="C9529" t="s">
        <v>510</v>
      </c>
      <c r="D9529" t="s">
        <v>616</v>
      </c>
      <c r="E9529" t="s">
        <v>617</v>
      </c>
      <c r="F9529" t="s">
        <v>410</v>
      </c>
      <c r="G9529">
        <v>335</v>
      </c>
      <c r="I9529">
        <v>327</v>
      </c>
    </row>
    <row r="9530" spans="1:17" x14ac:dyDescent="0.2">
      <c r="A9530" s="121">
        <v>42369</v>
      </c>
      <c r="B9530" t="s">
        <v>406</v>
      </c>
      <c r="C9530" t="s">
        <v>510</v>
      </c>
      <c r="D9530" t="s">
        <v>549</v>
      </c>
      <c r="E9530" t="s">
        <v>550</v>
      </c>
      <c r="F9530" t="s">
        <v>410</v>
      </c>
      <c r="G9530">
        <v>139</v>
      </c>
      <c r="I9530">
        <v>139</v>
      </c>
    </row>
    <row r="9531" spans="1:17" x14ac:dyDescent="0.2">
      <c r="A9531" s="121">
        <v>42369</v>
      </c>
      <c r="B9531" t="s">
        <v>406</v>
      </c>
      <c r="C9531" t="s">
        <v>510</v>
      </c>
      <c r="D9531" t="s">
        <v>625</v>
      </c>
      <c r="E9531" t="s">
        <v>626</v>
      </c>
      <c r="F9531" t="s">
        <v>410</v>
      </c>
      <c r="G9531">
        <v>60</v>
      </c>
      <c r="I9531">
        <v>58</v>
      </c>
    </row>
    <row r="9532" spans="1:17" x14ac:dyDescent="0.2">
      <c r="A9532" s="121">
        <v>42369</v>
      </c>
      <c r="B9532" t="s">
        <v>406</v>
      </c>
      <c r="C9532" t="s">
        <v>551</v>
      </c>
      <c r="D9532" t="s">
        <v>552</v>
      </c>
      <c r="E9532" t="s">
        <v>553</v>
      </c>
      <c r="F9532" t="s">
        <v>413</v>
      </c>
      <c r="G9532">
        <v>5308</v>
      </c>
      <c r="H9532">
        <v>5308</v>
      </c>
      <c r="I9532">
        <v>5063</v>
      </c>
      <c r="J9532">
        <v>5063</v>
      </c>
      <c r="K9532">
        <v>1931</v>
      </c>
      <c r="L9532">
        <v>11</v>
      </c>
      <c r="M9532">
        <v>3218</v>
      </c>
      <c r="N9532">
        <v>89</v>
      </c>
      <c r="O9532">
        <v>59</v>
      </c>
      <c r="P9532">
        <v>1</v>
      </c>
      <c r="Q9532">
        <v>0</v>
      </c>
    </row>
    <row r="9533" spans="1:17" x14ac:dyDescent="0.2">
      <c r="A9533" s="121">
        <v>42369</v>
      </c>
      <c r="B9533" t="s">
        <v>406</v>
      </c>
      <c r="C9533" t="s">
        <v>551</v>
      </c>
      <c r="D9533" t="s">
        <v>554</v>
      </c>
      <c r="E9533" t="s">
        <v>555</v>
      </c>
      <c r="F9533" t="s">
        <v>410</v>
      </c>
      <c r="G9533">
        <v>51</v>
      </c>
      <c r="I9533">
        <v>51</v>
      </c>
    </row>
    <row r="9534" spans="1:17" x14ac:dyDescent="0.2">
      <c r="A9534" s="121">
        <v>42369</v>
      </c>
      <c r="B9534" t="s">
        <v>406</v>
      </c>
      <c r="C9534" t="s">
        <v>551</v>
      </c>
      <c r="D9534" t="s">
        <v>556</v>
      </c>
      <c r="E9534" t="s">
        <v>557</v>
      </c>
      <c r="F9534" t="s">
        <v>410</v>
      </c>
      <c r="G9534">
        <v>73</v>
      </c>
      <c r="I9534">
        <v>73</v>
      </c>
    </row>
    <row r="9535" spans="1:17" x14ac:dyDescent="0.2">
      <c r="A9535" s="121">
        <v>42369</v>
      </c>
      <c r="B9535" t="s">
        <v>406</v>
      </c>
      <c r="C9535" t="s">
        <v>551</v>
      </c>
      <c r="D9535" t="s">
        <v>558</v>
      </c>
      <c r="E9535" t="s">
        <v>559</v>
      </c>
      <c r="F9535" t="s">
        <v>413</v>
      </c>
      <c r="G9535">
        <v>4770</v>
      </c>
      <c r="H9535">
        <v>4770</v>
      </c>
      <c r="I9535">
        <v>4306</v>
      </c>
      <c r="J9535">
        <v>4306</v>
      </c>
      <c r="K9535">
        <v>1554</v>
      </c>
      <c r="L9535">
        <v>9</v>
      </c>
      <c r="M9535">
        <v>3105</v>
      </c>
      <c r="N9535">
        <v>92</v>
      </c>
      <c r="O9535">
        <v>10</v>
      </c>
      <c r="P9535">
        <v>97</v>
      </c>
      <c r="Q9535">
        <v>22</v>
      </c>
    </row>
    <row r="9536" spans="1:17" x14ac:dyDescent="0.2">
      <c r="A9536" s="121">
        <v>42369</v>
      </c>
      <c r="B9536" t="s">
        <v>406</v>
      </c>
      <c r="C9536" t="s">
        <v>551</v>
      </c>
      <c r="D9536" t="s">
        <v>560</v>
      </c>
      <c r="E9536" t="s">
        <v>561</v>
      </c>
      <c r="F9536" t="s">
        <v>413</v>
      </c>
      <c r="G9536">
        <v>4843</v>
      </c>
      <c r="H9536">
        <v>4843</v>
      </c>
      <c r="I9536">
        <v>4319</v>
      </c>
      <c r="J9536">
        <v>4319</v>
      </c>
      <c r="K9536">
        <v>1151</v>
      </c>
      <c r="L9536">
        <v>12</v>
      </c>
      <c r="M9536">
        <v>3534</v>
      </c>
      <c r="N9536">
        <v>46</v>
      </c>
      <c r="O9536">
        <v>100</v>
      </c>
      <c r="P9536">
        <v>87</v>
      </c>
      <c r="Q9536">
        <v>14</v>
      </c>
    </row>
    <row r="9537" spans="1:17" x14ac:dyDescent="0.2">
      <c r="A9537" s="121">
        <v>42369</v>
      </c>
      <c r="B9537" t="s">
        <v>406</v>
      </c>
      <c r="C9537" t="s">
        <v>562</v>
      </c>
      <c r="D9537" t="s">
        <v>605</v>
      </c>
      <c r="E9537" t="s">
        <v>606</v>
      </c>
      <c r="F9537" t="s">
        <v>410</v>
      </c>
      <c r="G9537">
        <v>129</v>
      </c>
      <c r="I9537">
        <v>129</v>
      </c>
    </row>
    <row r="9538" spans="1:17" x14ac:dyDescent="0.2">
      <c r="A9538" s="121">
        <v>42369</v>
      </c>
      <c r="B9538" t="s">
        <v>406</v>
      </c>
      <c r="C9538" t="s">
        <v>562</v>
      </c>
      <c r="D9538" t="s">
        <v>563</v>
      </c>
      <c r="E9538" t="s">
        <v>564</v>
      </c>
      <c r="F9538" t="s">
        <v>410</v>
      </c>
      <c r="G9538">
        <v>3270</v>
      </c>
      <c r="H9538">
        <v>3270</v>
      </c>
      <c r="I9538">
        <v>2733</v>
      </c>
      <c r="J9538">
        <v>2733</v>
      </c>
      <c r="K9538">
        <v>1132</v>
      </c>
      <c r="L9538">
        <v>1</v>
      </c>
      <c r="M9538">
        <v>2129</v>
      </c>
      <c r="N9538">
        <v>8</v>
      </c>
      <c r="O9538">
        <v>0</v>
      </c>
      <c r="P9538">
        <v>191</v>
      </c>
      <c r="Q9538">
        <v>96</v>
      </c>
    </row>
    <row r="9539" spans="1:17" x14ac:dyDescent="0.2">
      <c r="A9539" s="121">
        <v>42369</v>
      </c>
      <c r="B9539" t="s">
        <v>406</v>
      </c>
      <c r="C9539" t="s">
        <v>562</v>
      </c>
      <c r="D9539" t="s">
        <v>565</v>
      </c>
      <c r="E9539" t="s">
        <v>566</v>
      </c>
      <c r="F9539" t="s">
        <v>413</v>
      </c>
      <c r="G9539">
        <v>4388</v>
      </c>
      <c r="H9539">
        <v>4388</v>
      </c>
      <c r="I9539">
        <v>4143</v>
      </c>
      <c r="J9539">
        <v>4143</v>
      </c>
      <c r="K9539">
        <v>1162</v>
      </c>
      <c r="L9539">
        <v>6</v>
      </c>
      <c r="M9539">
        <v>3101</v>
      </c>
      <c r="N9539">
        <v>119</v>
      </c>
      <c r="O9539">
        <v>0</v>
      </c>
      <c r="P9539">
        <v>11</v>
      </c>
      <c r="Q9539">
        <v>1</v>
      </c>
    </row>
    <row r="9540" spans="1:17" x14ac:dyDescent="0.2">
      <c r="A9540" s="121">
        <v>42369</v>
      </c>
      <c r="B9540" t="s">
        <v>406</v>
      </c>
      <c r="C9540" t="s">
        <v>562</v>
      </c>
      <c r="D9540" t="s">
        <v>567</v>
      </c>
      <c r="E9540" t="s">
        <v>568</v>
      </c>
      <c r="F9540" t="s">
        <v>413</v>
      </c>
      <c r="G9540">
        <v>9323</v>
      </c>
      <c r="H9540">
        <v>9323</v>
      </c>
      <c r="I9540">
        <v>8530</v>
      </c>
      <c r="J9540">
        <v>8530</v>
      </c>
      <c r="K9540">
        <v>2805</v>
      </c>
      <c r="L9540">
        <v>21</v>
      </c>
      <c r="M9540">
        <v>6291</v>
      </c>
      <c r="N9540">
        <v>206</v>
      </c>
      <c r="O9540">
        <v>0</v>
      </c>
      <c r="P9540">
        <v>153</v>
      </c>
      <c r="Q9540">
        <v>3</v>
      </c>
    </row>
    <row r="9541" spans="1:17" x14ac:dyDescent="0.2">
      <c r="A9541" s="121">
        <v>42369</v>
      </c>
      <c r="B9541" t="s">
        <v>406</v>
      </c>
      <c r="C9541" t="s">
        <v>562</v>
      </c>
      <c r="D9541" t="s">
        <v>569</v>
      </c>
      <c r="E9541" t="s">
        <v>570</v>
      </c>
      <c r="F9541" t="s">
        <v>413</v>
      </c>
      <c r="G9541">
        <v>3748</v>
      </c>
      <c r="H9541">
        <v>3748</v>
      </c>
      <c r="I9541">
        <v>3686</v>
      </c>
      <c r="J9541">
        <v>3686</v>
      </c>
      <c r="K9541">
        <v>510</v>
      </c>
      <c r="L9541">
        <v>0</v>
      </c>
      <c r="M9541">
        <v>3237</v>
      </c>
      <c r="N9541">
        <v>1</v>
      </c>
      <c r="O9541">
        <v>0</v>
      </c>
      <c r="P9541">
        <v>0</v>
      </c>
      <c r="Q9541">
        <v>0</v>
      </c>
    </row>
    <row r="9542" spans="1:17" x14ac:dyDescent="0.2">
      <c r="A9542" s="121">
        <v>42369</v>
      </c>
      <c r="B9542" t="s">
        <v>406</v>
      </c>
      <c r="C9542" t="s">
        <v>571</v>
      </c>
      <c r="D9542" t="s">
        <v>572</v>
      </c>
      <c r="E9542" t="s">
        <v>627</v>
      </c>
      <c r="F9542" t="s">
        <v>413</v>
      </c>
      <c r="G9542">
        <v>439</v>
      </c>
      <c r="H9542">
        <v>439</v>
      </c>
      <c r="I9542">
        <v>434</v>
      </c>
      <c r="J9542">
        <v>434</v>
      </c>
      <c r="K9542">
        <v>134</v>
      </c>
      <c r="L9542">
        <v>0</v>
      </c>
      <c r="M9542">
        <v>300</v>
      </c>
      <c r="N9542">
        <v>2</v>
      </c>
      <c r="O9542">
        <v>3</v>
      </c>
      <c r="P9542">
        <v>1</v>
      </c>
      <c r="Q9542">
        <v>0</v>
      </c>
    </row>
    <row r="9543" spans="1:17" x14ac:dyDescent="0.2">
      <c r="A9543" s="121">
        <v>42369</v>
      </c>
      <c r="B9543" t="s">
        <v>406</v>
      </c>
      <c r="C9543" t="s">
        <v>574</v>
      </c>
      <c r="D9543" t="s">
        <v>575</v>
      </c>
      <c r="E9543" t="s">
        <v>576</v>
      </c>
      <c r="F9543" t="s">
        <v>413</v>
      </c>
      <c r="G9543">
        <v>622</v>
      </c>
      <c r="H9543">
        <v>622</v>
      </c>
      <c r="I9543">
        <v>590</v>
      </c>
      <c r="J9543">
        <v>590</v>
      </c>
      <c r="K9543">
        <v>192</v>
      </c>
      <c r="L9543">
        <v>2</v>
      </c>
      <c r="M9543">
        <v>410</v>
      </c>
      <c r="N9543">
        <v>2</v>
      </c>
      <c r="O9543">
        <v>16</v>
      </c>
      <c r="P9543">
        <v>0</v>
      </c>
      <c r="Q9543">
        <v>0</v>
      </c>
    </row>
    <row r="9544" spans="1:17" x14ac:dyDescent="0.2">
      <c r="A9544" s="121">
        <v>42369</v>
      </c>
      <c r="B9544" t="s">
        <v>406</v>
      </c>
      <c r="C9544" t="s">
        <v>577</v>
      </c>
      <c r="D9544" t="s">
        <v>578</v>
      </c>
      <c r="E9544" t="s">
        <v>579</v>
      </c>
      <c r="F9544" t="s">
        <v>413</v>
      </c>
      <c r="G9544">
        <v>3735</v>
      </c>
      <c r="H9544">
        <v>3735</v>
      </c>
      <c r="I9544">
        <v>3669</v>
      </c>
      <c r="J9544">
        <v>3669</v>
      </c>
      <c r="K9544">
        <v>1224</v>
      </c>
      <c r="L9544">
        <v>7</v>
      </c>
      <c r="M9544">
        <v>2281</v>
      </c>
      <c r="N9544">
        <v>223</v>
      </c>
      <c r="O9544">
        <v>0</v>
      </c>
      <c r="P9544">
        <v>0</v>
      </c>
      <c r="Q9544">
        <v>0</v>
      </c>
    </row>
    <row r="9545" spans="1:17" x14ac:dyDescent="0.2">
      <c r="A9545" s="121">
        <v>42369</v>
      </c>
      <c r="B9545" t="s">
        <v>406</v>
      </c>
      <c r="C9545" t="s">
        <v>577</v>
      </c>
      <c r="D9545" t="s">
        <v>580</v>
      </c>
      <c r="E9545" t="s">
        <v>581</v>
      </c>
      <c r="F9545" t="s">
        <v>413</v>
      </c>
      <c r="G9545">
        <v>1954</v>
      </c>
      <c r="H9545">
        <v>1954</v>
      </c>
      <c r="I9545">
        <v>1924</v>
      </c>
      <c r="J9545">
        <v>1924</v>
      </c>
      <c r="K9545">
        <v>332</v>
      </c>
      <c r="L9545">
        <v>3</v>
      </c>
      <c r="M9545">
        <v>1294</v>
      </c>
      <c r="N9545">
        <v>325</v>
      </c>
      <c r="O9545">
        <v>0</v>
      </c>
      <c r="P9545">
        <v>1</v>
      </c>
      <c r="Q9545">
        <v>0</v>
      </c>
    </row>
    <row r="9546" spans="1:17" x14ac:dyDescent="0.2">
      <c r="A9546" s="121">
        <v>42369</v>
      </c>
      <c r="B9546" t="s">
        <v>406</v>
      </c>
      <c r="C9546" t="s">
        <v>577</v>
      </c>
      <c r="D9546" t="s">
        <v>609</v>
      </c>
      <c r="E9546" t="s">
        <v>610</v>
      </c>
      <c r="F9546" t="s">
        <v>410</v>
      </c>
      <c r="G9546">
        <v>24</v>
      </c>
      <c r="H9546">
        <v>24</v>
      </c>
      <c r="I9546">
        <v>24</v>
      </c>
      <c r="J9546">
        <v>24</v>
      </c>
      <c r="K9546">
        <v>0</v>
      </c>
      <c r="L9546">
        <v>0</v>
      </c>
      <c r="M9546">
        <v>19</v>
      </c>
      <c r="N9546">
        <v>4</v>
      </c>
      <c r="O9546">
        <v>1</v>
      </c>
      <c r="P9546">
        <v>0</v>
      </c>
      <c r="Q9546">
        <v>0</v>
      </c>
    </row>
    <row r="9547" spans="1:17" x14ac:dyDescent="0.2">
      <c r="A9547" s="121">
        <v>42369</v>
      </c>
      <c r="B9547" t="s">
        <v>406</v>
      </c>
      <c r="C9547" t="s">
        <v>577</v>
      </c>
      <c r="D9547" t="s">
        <v>584</v>
      </c>
      <c r="E9547" t="s">
        <v>585</v>
      </c>
      <c r="F9547" t="s">
        <v>410</v>
      </c>
      <c r="G9547">
        <v>290</v>
      </c>
      <c r="H9547">
        <v>290</v>
      </c>
      <c r="I9547">
        <v>290</v>
      </c>
      <c r="J9547">
        <v>290</v>
      </c>
      <c r="K9547">
        <v>0</v>
      </c>
      <c r="L9547">
        <v>0</v>
      </c>
      <c r="M9547">
        <v>272</v>
      </c>
      <c r="N9547">
        <v>17</v>
      </c>
      <c r="O9547">
        <v>1</v>
      </c>
      <c r="P9547">
        <v>0</v>
      </c>
      <c r="Q9547">
        <v>0</v>
      </c>
    </row>
    <row r="9548" spans="1:17" x14ac:dyDescent="0.2">
      <c r="A9548" s="121">
        <v>42369</v>
      </c>
      <c r="B9548" t="s">
        <v>406</v>
      </c>
      <c r="C9548" t="s">
        <v>577</v>
      </c>
      <c r="D9548" t="s">
        <v>586</v>
      </c>
      <c r="E9548" t="s">
        <v>587</v>
      </c>
      <c r="F9548" t="s">
        <v>410</v>
      </c>
      <c r="G9548">
        <v>977</v>
      </c>
      <c r="H9548">
        <v>977</v>
      </c>
      <c r="I9548">
        <v>976</v>
      </c>
      <c r="J9548">
        <v>976</v>
      </c>
      <c r="K9548">
        <v>0</v>
      </c>
      <c r="L9548">
        <v>0</v>
      </c>
      <c r="M9548">
        <v>875</v>
      </c>
      <c r="N9548">
        <v>100</v>
      </c>
      <c r="O9548">
        <v>2</v>
      </c>
      <c r="P9548">
        <v>0</v>
      </c>
      <c r="Q9548">
        <v>0</v>
      </c>
    </row>
    <row r="9549" spans="1:17" x14ac:dyDescent="0.2">
      <c r="A9549" s="121">
        <v>42369</v>
      </c>
      <c r="B9549" t="s">
        <v>406</v>
      </c>
      <c r="C9549" t="s">
        <v>577</v>
      </c>
      <c r="D9549" t="s">
        <v>588</v>
      </c>
      <c r="E9549" t="s">
        <v>589</v>
      </c>
      <c r="F9549" t="s">
        <v>410</v>
      </c>
      <c r="G9549">
        <v>152</v>
      </c>
      <c r="H9549">
        <v>152</v>
      </c>
      <c r="I9549">
        <v>152</v>
      </c>
      <c r="J9549">
        <v>152</v>
      </c>
      <c r="K9549">
        <v>0</v>
      </c>
      <c r="L9549">
        <v>0</v>
      </c>
      <c r="M9549">
        <v>142</v>
      </c>
      <c r="N9549">
        <v>10</v>
      </c>
      <c r="O9549">
        <v>0</v>
      </c>
      <c r="P9549">
        <v>0</v>
      </c>
      <c r="Q9549">
        <v>0</v>
      </c>
    </row>
    <row r="9550" spans="1:17" x14ac:dyDescent="0.2">
      <c r="A9550" s="121">
        <v>42369</v>
      </c>
      <c r="B9550" t="s">
        <v>406</v>
      </c>
      <c r="C9550" t="s">
        <v>577</v>
      </c>
      <c r="D9550" t="s">
        <v>613</v>
      </c>
      <c r="E9550" t="s">
        <v>614</v>
      </c>
      <c r="F9550" t="s">
        <v>410</v>
      </c>
      <c r="G9550">
        <v>97</v>
      </c>
      <c r="H9550">
        <v>97</v>
      </c>
      <c r="I9550">
        <v>97</v>
      </c>
      <c r="J9550">
        <v>97</v>
      </c>
      <c r="K9550">
        <v>0</v>
      </c>
      <c r="L9550">
        <v>0</v>
      </c>
      <c r="M9550">
        <v>84</v>
      </c>
      <c r="N9550">
        <v>11</v>
      </c>
      <c r="O9550">
        <v>2</v>
      </c>
      <c r="P9550">
        <v>0</v>
      </c>
      <c r="Q9550">
        <v>0</v>
      </c>
    </row>
    <row r="9551" spans="1:17" x14ac:dyDescent="0.2">
      <c r="A9551" s="121">
        <v>42369</v>
      </c>
      <c r="B9551" t="s">
        <v>406</v>
      </c>
      <c r="C9551" t="s">
        <v>577</v>
      </c>
      <c r="D9551" t="s">
        <v>590</v>
      </c>
      <c r="E9551" t="s">
        <v>591</v>
      </c>
      <c r="F9551" t="s">
        <v>410</v>
      </c>
      <c r="G9551">
        <v>528</v>
      </c>
      <c r="H9551">
        <v>528</v>
      </c>
      <c r="I9551">
        <v>528</v>
      </c>
      <c r="J9551">
        <v>528</v>
      </c>
      <c r="K9551">
        <v>0</v>
      </c>
      <c r="L9551">
        <v>0</v>
      </c>
      <c r="M9551">
        <v>488</v>
      </c>
      <c r="N9551">
        <v>37</v>
      </c>
      <c r="O9551">
        <v>3</v>
      </c>
      <c r="P9551">
        <v>0</v>
      </c>
      <c r="Q9551">
        <v>0</v>
      </c>
    </row>
    <row r="9552" spans="1:17" x14ac:dyDescent="0.2">
      <c r="A9552" s="121">
        <v>42369</v>
      </c>
      <c r="B9552" t="s">
        <v>406</v>
      </c>
      <c r="C9552" t="s">
        <v>577</v>
      </c>
      <c r="D9552" t="s">
        <v>607</v>
      </c>
      <c r="E9552" t="s">
        <v>608</v>
      </c>
      <c r="F9552" t="s">
        <v>410</v>
      </c>
      <c r="G9552">
        <v>149</v>
      </c>
      <c r="H9552">
        <v>149</v>
      </c>
      <c r="I9552">
        <v>149</v>
      </c>
      <c r="J9552">
        <v>149</v>
      </c>
      <c r="K9552">
        <v>0</v>
      </c>
      <c r="L9552">
        <v>0</v>
      </c>
      <c r="M9552">
        <v>136</v>
      </c>
      <c r="N9552">
        <v>7</v>
      </c>
      <c r="O9552">
        <v>6</v>
      </c>
      <c r="P9552">
        <v>0</v>
      </c>
      <c r="Q9552">
        <v>0</v>
      </c>
    </row>
    <row r="9553" spans="1:17" x14ac:dyDescent="0.2">
      <c r="A9553" s="121">
        <v>42369</v>
      </c>
      <c r="B9553" t="s">
        <v>406</v>
      </c>
      <c r="C9553" t="s">
        <v>577</v>
      </c>
      <c r="D9553" t="s">
        <v>592</v>
      </c>
      <c r="E9553" t="s">
        <v>593</v>
      </c>
      <c r="F9553" t="s">
        <v>410</v>
      </c>
      <c r="G9553">
        <v>441</v>
      </c>
      <c r="H9553">
        <v>441</v>
      </c>
      <c r="I9553">
        <v>441</v>
      </c>
      <c r="J9553">
        <v>441</v>
      </c>
      <c r="K9553">
        <v>0</v>
      </c>
      <c r="L9553">
        <v>2</v>
      </c>
      <c r="M9553">
        <v>413</v>
      </c>
      <c r="N9553">
        <v>24</v>
      </c>
      <c r="O9553">
        <v>2</v>
      </c>
      <c r="P9553">
        <v>0</v>
      </c>
      <c r="Q9553">
        <v>0</v>
      </c>
    </row>
    <row r="9554" spans="1:17" x14ac:dyDescent="0.2">
      <c r="A9554" s="121">
        <v>42369</v>
      </c>
      <c r="B9554" t="s">
        <v>406</v>
      </c>
      <c r="C9554" t="s">
        <v>594</v>
      </c>
      <c r="D9554" t="s">
        <v>595</v>
      </c>
      <c r="E9554" t="s">
        <v>596</v>
      </c>
      <c r="F9554" t="s">
        <v>410</v>
      </c>
      <c r="G9554">
        <v>53</v>
      </c>
      <c r="I9554">
        <v>53</v>
      </c>
    </row>
    <row r="9555" spans="1:17" x14ac:dyDescent="0.2">
      <c r="A9555" s="121">
        <v>42369</v>
      </c>
      <c r="B9555" t="s">
        <v>406</v>
      </c>
      <c r="C9555" t="s">
        <v>594</v>
      </c>
      <c r="D9555" t="s">
        <v>597</v>
      </c>
      <c r="E9555" t="s">
        <v>598</v>
      </c>
      <c r="F9555" t="s">
        <v>413</v>
      </c>
      <c r="G9555">
        <v>497</v>
      </c>
      <c r="H9555">
        <v>497</v>
      </c>
      <c r="I9555">
        <v>487</v>
      </c>
      <c r="J9555">
        <v>487</v>
      </c>
      <c r="K9555">
        <v>127</v>
      </c>
      <c r="L9555">
        <v>0</v>
      </c>
      <c r="M9555">
        <v>358</v>
      </c>
      <c r="N9555">
        <v>6</v>
      </c>
      <c r="O9555">
        <v>6</v>
      </c>
      <c r="P9555">
        <v>0</v>
      </c>
      <c r="Q9555">
        <v>0</v>
      </c>
    </row>
    <row r="9556" spans="1:17" x14ac:dyDescent="0.2">
      <c r="A9556" s="121">
        <v>42369</v>
      </c>
      <c r="B9556" t="s">
        <v>406</v>
      </c>
      <c r="C9556" t="s">
        <v>594</v>
      </c>
      <c r="D9556" t="s">
        <v>599</v>
      </c>
      <c r="E9556" t="s">
        <v>600</v>
      </c>
      <c r="F9556" t="s">
        <v>410</v>
      </c>
      <c r="G9556">
        <v>67</v>
      </c>
      <c r="I9556">
        <v>67</v>
      </c>
    </row>
    <row r="9557" spans="1:17" x14ac:dyDescent="0.2">
      <c r="A9557" s="121">
        <v>42400</v>
      </c>
      <c r="B9557" t="s">
        <v>406</v>
      </c>
      <c r="C9557" t="s">
        <v>407</v>
      </c>
      <c r="D9557" t="s">
        <v>408</v>
      </c>
      <c r="E9557" t="s">
        <v>409</v>
      </c>
      <c r="F9557" t="s">
        <v>410</v>
      </c>
      <c r="G9557">
        <v>147</v>
      </c>
      <c r="I9557">
        <v>145</v>
      </c>
    </row>
    <row r="9558" spans="1:17" x14ac:dyDescent="0.2">
      <c r="A9558" s="121">
        <v>42400</v>
      </c>
      <c r="B9558" t="s">
        <v>406</v>
      </c>
      <c r="C9558" t="s">
        <v>407</v>
      </c>
      <c r="D9558" t="s">
        <v>601</v>
      </c>
      <c r="E9558" t="s">
        <v>602</v>
      </c>
      <c r="F9558" t="s">
        <v>410</v>
      </c>
      <c r="G9558">
        <v>56</v>
      </c>
      <c r="I9558">
        <v>56</v>
      </c>
    </row>
    <row r="9559" spans="1:17" x14ac:dyDescent="0.2">
      <c r="A9559" s="121">
        <v>42400</v>
      </c>
      <c r="B9559" t="s">
        <v>406</v>
      </c>
      <c r="C9559" t="s">
        <v>407</v>
      </c>
      <c r="D9559" t="s">
        <v>411</v>
      </c>
      <c r="E9559" t="s">
        <v>412</v>
      </c>
      <c r="F9559" t="s">
        <v>413</v>
      </c>
      <c r="G9559">
        <v>6135</v>
      </c>
      <c r="H9559">
        <v>6135</v>
      </c>
      <c r="I9559">
        <v>5616</v>
      </c>
      <c r="J9559">
        <v>5616</v>
      </c>
      <c r="K9559">
        <v>2753</v>
      </c>
      <c r="L9559">
        <v>12</v>
      </c>
      <c r="M9559">
        <v>3006</v>
      </c>
      <c r="N9559">
        <v>125</v>
      </c>
      <c r="O9559">
        <v>239</v>
      </c>
      <c r="P9559">
        <v>109</v>
      </c>
      <c r="Q9559">
        <v>23</v>
      </c>
    </row>
    <row r="9560" spans="1:17" x14ac:dyDescent="0.2">
      <c r="A9560" s="121">
        <v>42400</v>
      </c>
      <c r="B9560" t="s">
        <v>406</v>
      </c>
      <c r="C9560" t="s">
        <v>407</v>
      </c>
      <c r="D9560" t="s">
        <v>416</v>
      </c>
      <c r="E9560" t="s">
        <v>417</v>
      </c>
      <c r="F9560" t="s">
        <v>413</v>
      </c>
      <c r="G9560">
        <v>3484</v>
      </c>
      <c r="H9560">
        <v>3484</v>
      </c>
      <c r="I9560">
        <v>3107</v>
      </c>
      <c r="J9560">
        <v>3107</v>
      </c>
      <c r="K9560">
        <v>1410</v>
      </c>
      <c r="L9560">
        <v>5</v>
      </c>
      <c r="M9560">
        <v>1826</v>
      </c>
      <c r="N9560">
        <v>115</v>
      </c>
      <c r="O9560">
        <v>128</v>
      </c>
      <c r="P9560">
        <v>63</v>
      </c>
      <c r="Q9560">
        <v>17</v>
      </c>
    </row>
    <row r="9561" spans="1:17" x14ac:dyDescent="0.2">
      <c r="A9561" s="121">
        <v>42400</v>
      </c>
      <c r="B9561" t="s">
        <v>406</v>
      </c>
      <c r="C9561" t="s">
        <v>407</v>
      </c>
      <c r="D9561" t="s">
        <v>618</v>
      </c>
      <c r="E9561" t="s">
        <v>619</v>
      </c>
      <c r="F9561" t="s">
        <v>410</v>
      </c>
      <c r="G9561">
        <v>53</v>
      </c>
      <c r="I9561">
        <v>53</v>
      </c>
    </row>
    <row r="9562" spans="1:17" x14ac:dyDescent="0.2">
      <c r="A9562" s="121">
        <v>42400</v>
      </c>
      <c r="B9562" t="s">
        <v>406</v>
      </c>
      <c r="C9562" t="s">
        <v>418</v>
      </c>
      <c r="D9562" t="s">
        <v>419</v>
      </c>
      <c r="E9562" t="s">
        <v>420</v>
      </c>
      <c r="F9562" t="s">
        <v>410</v>
      </c>
      <c r="G9562">
        <v>12</v>
      </c>
      <c r="I9562">
        <v>12</v>
      </c>
    </row>
    <row r="9563" spans="1:17" x14ac:dyDescent="0.2">
      <c r="A9563" s="121">
        <v>42400</v>
      </c>
      <c r="B9563" t="s">
        <v>406</v>
      </c>
      <c r="C9563" t="s">
        <v>418</v>
      </c>
      <c r="D9563" t="s">
        <v>421</v>
      </c>
      <c r="E9563" t="s">
        <v>422</v>
      </c>
      <c r="F9563" t="s">
        <v>410</v>
      </c>
      <c r="G9563">
        <v>60</v>
      </c>
      <c r="I9563">
        <v>60</v>
      </c>
    </row>
    <row r="9564" spans="1:17" x14ac:dyDescent="0.2">
      <c r="A9564" s="121">
        <v>42400</v>
      </c>
      <c r="B9564" t="s">
        <v>406</v>
      </c>
      <c r="C9564" t="s">
        <v>418</v>
      </c>
      <c r="D9564" t="s">
        <v>423</v>
      </c>
      <c r="E9564" t="s">
        <v>424</v>
      </c>
      <c r="F9564" t="s">
        <v>410</v>
      </c>
      <c r="G9564">
        <v>4</v>
      </c>
      <c r="I9564">
        <v>4</v>
      </c>
    </row>
    <row r="9565" spans="1:17" x14ac:dyDescent="0.2">
      <c r="A9565" s="121">
        <v>42400</v>
      </c>
      <c r="B9565" t="s">
        <v>406</v>
      </c>
      <c r="C9565" t="s">
        <v>418</v>
      </c>
      <c r="D9565" t="s">
        <v>425</v>
      </c>
      <c r="E9565" t="s">
        <v>426</v>
      </c>
      <c r="F9565" t="s">
        <v>410</v>
      </c>
      <c r="G9565">
        <v>31</v>
      </c>
      <c r="I9565">
        <v>31</v>
      </c>
    </row>
    <row r="9566" spans="1:17" x14ac:dyDescent="0.2">
      <c r="A9566" s="121">
        <v>42400</v>
      </c>
      <c r="B9566" t="s">
        <v>406</v>
      </c>
      <c r="C9566" t="s">
        <v>418</v>
      </c>
      <c r="D9566" t="s">
        <v>427</v>
      </c>
      <c r="E9566" t="s">
        <v>428</v>
      </c>
      <c r="F9566" t="s">
        <v>413</v>
      </c>
      <c r="G9566">
        <v>1992</v>
      </c>
      <c r="H9566">
        <v>1992</v>
      </c>
      <c r="I9566">
        <v>1927</v>
      </c>
      <c r="J9566">
        <v>1927</v>
      </c>
      <c r="K9566">
        <v>640</v>
      </c>
      <c r="L9566">
        <v>4</v>
      </c>
      <c r="M9566">
        <v>1203</v>
      </c>
      <c r="N9566">
        <v>138</v>
      </c>
      <c r="O9566">
        <v>7</v>
      </c>
      <c r="P9566">
        <v>1</v>
      </c>
      <c r="Q9566">
        <v>0</v>
      </c>
    </row>
    <row r="9567" spans="1:17" x14ac:dyDescent="0.2">
      <c r="A9567" s="121">
        <v>42400</v>
      </c>
      <c r="B9567" t="s">
        <v>406</v>
      </c>
      <c r="C9567" t="s">
        <v>429</v>
      </c>
      <c r="D9567" t="s">
        <v>430</v>
      </c>
      <c r="E9567" t="s">
        <v>431</v>
      </c>
      <c r="F9567" t="s">
        <v>410</v>
      </c>
      <c r="G9567">
        <v>19</v>
      </c>
      <c r="I9567">
        <v>19</v>
      </c>
    </row>
    <row r="9568" spans="1:17" x14ac:dyDescent="0.2">
      <c r="A9568" s="121">
        <v>42400</v>
      </c>
      <c r="B9568" t="s">
        <v>406</v>
      </c>
      <c r="C9568" t="s">
        <v>429</v>
      </c>
      <c r="D9568" t="s">
        <v>432</v>
      </c>
      <c r="E9568" t="s">
        <v>433</v>
      </c>
      <c r="F9568" t="s">
        <v>410</v>
      </c>
      <c r="G9568">
        <v>30</v>
      </c>
      <c r="I9568">
        <v>30</v>
      </c>
    </row>
    <row r="9569" spans="1:17" x14ac:dyDescent="0.2">
      <c r="A9569" s="121">
        <v>42400</v>
      </c>
      <c r="B9569" t="s">
        <v>406</v>
      </c>
      <c r="C9569" t="s">
        <v>429</v>
      </c>
      <c r="D9569" t="s">
        <v>434</v>
      </c>
      <c r="E9569" t="s">
        <v>435</v>
      </c>
      <c r="F9569" t="s">
        <v>410</v>
      </c>
      <c r="G9569">
        <v>1</v>
      </c>
      <c r="I9569">
        <v>1</v>
      </c>
    </row>
    <row r="9570" spans="1:17" x14ac:dyDescent="0.2">
      <c r="A9570" s="121">
        <v>42400</v>
      </c>
      <c r="B9570" t="s">
        <v>406</v>
      </c>
      <c r="C9570" t="s">
        <v>429</v>
      </c>
      <c r="D9570" t="s">
        <v>436</v>
      </c>
      <c r="E9570" t="s">
        <v>437</v>
      </c>
      <c r="F9570" t="s">
        <v>410</v>
      </c>
      <c r="G9570">
        <v>12</v>
      </c>
      <c r="H9570">
        <v>12</v>
      </c>
      <c r="I9570">
        <v>12</v>
      </c>
      <c r="J9570">
        <v>12</v>
      </c>
      <c r="K9570">
        <v>0</v>
      </c>
      <c r="L9570">
        <v>0</v>
      </c>
      <c r="M9570">
        <v>11</v>
      </c>
      <c r="N9570">
        <v>1</v>
      </c>
      <c r="O9570">
        <v>0</v>
      </c>
      <c r="P9570">
        <v>0</v>
      </c>
      <c r="Q9570">
        <v>0</v>
      </c>
    </row>
    <row r="9571" spans="1:17" x14ac:dyDescent="0.2">
      <c r="A9571" s="121">
        <v>42400</v>
      </c>
      <c r="B9571" t="s">
        <v>406</v>
      </c>
      <c r="C9571" t="s">
        <v>429</v>
      </c>
      <c r="D9571" t="s">
        <v>438</v>
      </c>
      <c r="E9571" t="s">
        <v>439</v>
      </c>
      <c r="F9571" t="s">
        <v>413</v>
      </c>
      <c r="G9571">
        <v>962</v>
      </c>
      <c r="H9571">
        <v>962</v>
      </c>
      <c r="I9571">
        <v>929</v>
      </c>
      <c r="J9571">
        <v>929</v>
      </c>
      <c r="K9571">
        <v>82</v>
      </c>
      <c r="L9571">
        <v>3</v>
      </c>
      <c r="M9571">
        <v>811</v>
      </c>
      <c r="N9571">
        <v>51</v>
      </c>
      <c r="O9571">
        <v>15</v>
      </c>
      <c r="P9571">
        <v>2</v>
      </c>
      <c r="Q9571">
        <v>0</v>
      </c>
    </row>
    <row r="9572" spans="1:17" x14ac:dyDescent="0.2">
      <c r="A9572" s="121">
        <v>42400</v>
      </c>
      <c r="B9572" t="s">
        <v>406</v>
      </c>
      <c r="C9572" t="s">
        <v>429</v>
      </c>
      <c r="D9572" t="s">
        <v>440</v>
      </c>
      <c r="E9572" t="s">
        <v>441</v>
      </c>
      <c r="F9572" t="s">
        <v>413</v>
      </c>
      <c r="G9572">
        <v>2998</v>
      </c>
      <c r="H9572">
        <v>2998</v>
      </c>
      <c r="I9572">
        <v>2792</v>
      </c>
      <c r="J9572">
        <v>2792</v>
      </c>
      <c r="K9572">
        <v>1201</v>
      </c>
      <c r="L9572">
        <v>5</v>
      </c>
      <c r="M9572">
        <v>1663</v>
      </c>
      <c r="N9572">
        <v>77</v>
      </c>
      <c r="O9572">
        <v>52</v>
      </c>
      <c r="P9572">
        <v>3</v>
      </c>
      <c r="Q9572">
        <v>0</v>
      </c>
    </row>
    <row r="9573" spans="1:17" x14ac:dyDescent="0.2">
      <c r="A9573" s="121">
        <v>42400</v>
      </c>
      <c r="B9573" t="s">
        <v>406</v>
      </c>
      <c r="C9573" t="s">
        <v>442</v>
      </c>
      <c r="D9573" t="s">
        <v>443</v>
      </c>
      <c r="E9573" t="s">
        <v>444</v>
      </c>
      <c r="F9573" t="s">
        <v>413</v>
      </c>
      <c r="G9573">
        <v>5166</v>
      </c>
      <c r="H9573">
        <v>5166</v>
      </c>
      <c r="I9573">
        <v>4751</v>
      </c>
      <c r="J9573">
        <v>4751</v>
      </c>
      <c r="K9573">
        <v>1393</v>
      </c>
      <c r="L9573">
        <v>16</v>
      </c>
      <c r="M9573">
        <v>3482</v>
      </c>
      <c r="N9573">
        <v>116</v>
      </c>
      <c r="O9573">
        <v>159</v>
      </c>
      <c r="P9573">
        <v>61</v>
      </c>
      <c r="Q9573">
        <v>13</v>
      </c>
    </row>
    <row r="9574" spans="1:17" x14ac:dyDescent="0.2">
      <c r="A9574" s="121">
        <v>42400</v>
      </c>
      <c r="B9574" t="s">
        <v>406</v>
      </c>
      <c r="C9574" t="s">
        <v>442</v>
      </c>
      <c r="D9574" t="s">
        <v>445</v>
      </c>
      <c r="E9574" t="s">
        <v>446</v>
      </c>
      <c r="F9574" t="s">
        <v>410</v>
      </c>
      <c r="G9574">
        <v>113</v>
      </c>
      <c r="I9574">
        <v>113</v>
      </c>
    </row>
    <row r="9575" spans="1:17" x14ac:dyDescent="0.2">
      <c r="A9575" s="121">
        <v>42400</v>
      </c>
      <c r="B9575" t="s">
        <v>406</v>
      </c>
      <c r="C9575" t="s">
        <v>442</v>
      </c>
      <c r="D9575" t="s">
        <v>447</v>
      </c>
      <c r="E9575" t="s">
        <v>448</v>
      </c>
      <c r="F9575" t="s">
        <v>410</v>
      </c>
      <c r="G9575">
        <v>202</v>
      </c>
      <c r="I9575">
        <v>202</v>
      </c>
    </row>
    <row r="9576" spans="1:17" x14ac:dyDescent="0.2">
      <c r="A9576" s="121">
        <v>42400</v>
      </c>
      <c r="B9576" t="s">
        <v>406</v>
      </c>
      <c r="C9576" t="s">
        <v>442</v>
      </c>
      <c r="D9576" t="s">
        <v>449</v>
      </c>
      <c r="E9576" t="s">
        <v>624</v>
      </c>
      <c r="F9576" t="s">
        <v>410</v>
      </c>
      <c r="G9576">
        <v>1636</v>
      </c>
      <c r="H9576">
        <v>1636</v>
      </c>
      <c r="I9576">
        <v>1634</v>
      </c>
      <c r="J9576">
        <v>1634</v>
      </c>
      <c r="K9576">
        <v>15</v>
      </c>
      <c r="L9576">
        <v>0</v>
      </c>
      <c r="M9576">
        <v>1498</v>
      </c>
      <c r="N9576">
        <v>114</v>
      </c>
      <c r="O9576">
        <v>9</v>
      </c>
      <c r="P9576">
        <v>0</v>
      </c>
      <c r="Q9576">
        <v>0</v>
      </c>
    </row>
    <row r="9577" spans="1:17" x14ac:dyDescent="0.2">
      <c r="A9577" s="121">
        <v>42400</v>
      </c>
      <c r="B9577" t="s">
        <v>406</v>
      </c>
      <c r="C9577" t="s">
        <v>451</v>
      </c>
      <c r="D9577" t="s">
        <v>454</v>
      </c>
      <c r="E9577" t="s">
        <v>621</v>
      </c>
      <c r="F9577" t="s">
        <v>410</v>
      </c>
      <c r="G9577">
        <v>1173</v>
      </c>
      <c r="H9577">
        <v>1173</v>
      </c>
      <c r="I9577">
        <v>1172</v>
      </c>
      <c r="J9577">
        <v>1172</v>
      </c>
      <c r="K9577">
        <v>2</v>
      </c>
      <c r="L9577">
        <v>0</v>
      </c>
      <c r="M9577">
        <v>826</v>
      </c>
      <c r="N9577">
        <v>63</v>
      </c>
      <c r="O9577">
        <v>282</v>
      </c>
      <c r="P9577">
        <v>0</v>
      </c>
      <c r="Q9577">
        <v>0</v>
      </c>
    </row>
    <row r="9578" spans="1:17" x14ac:dyDescent="0.2">
      <c r="A9578" s="121">
        <v>42400</v>
      </c>
      <c r="B9578" t="s">
        <v>406</v>
      </c>
      <c r="C9578" t="s">
        <v>451</v>
      </c>
      <c r="D9578" t="s">
        <v>622</v>
      </c>
      <c r="E9578" t="s">
        <v>623</v>
      </c>
      <c r="F9578" t="s">
        <v>413</v>
      </c>
      <c r="G9578">
        <v>5206</v>
      </c>
      <c r="H9578">
        <v>5206</v>
      </c>
      <c r="I9578">
        <v>4784</v>
      </c>
      <c r="J9578">
        <v>4784</v>
      </c>
      <c r="K9578">
        <v>1540</v>
      </c>
      <c r="L9578">
        <v>7</v>
      </c>
      <c r="M9578">
        <v>2762</v>
      </c>
      <c r="N9578">
        <v>49</v>
      </c>
      <c r="O9578">
        <v>848</v>
      </c>
      <c r="P9578">
        <v>40</v>
      </c>
      <c r="Q9578">
        <v>0</v>
      </c>
    </row>
    <row r="9579" spans="1:17" x14ac:dyDescent="0.2">
      <c r="A9579" s="121">
        <v>42400</v>
      </c>
      <c r="B9579" t="s">
        <v>406</v>
      </c>
      <c r="C9579" t="s">
        <v>456</v>
      </c>
      <c r="D9579" t="s">
        <v>457</v>
      </c>
      <c r="E9579" t="s">
        <v>458</v>
      </c>
      <c r="F9579" t="s">
        <v>413</v>
      </c>
      <c r="G9579">
        <v>4559</v>
      </c>
      <c r="H9579">
        <v>4559</v>
      </c>
      <c r="I9579">
        <v>4282</v>
      </c>
      <c r="J9579">
        <v>4282</v>
      </c>
      <c r="K9579">
        <v>1410</v>
      </c>
      <c r="L9579">
        <v>12</v>
      </c>
      <c r="M9579">
        <v>2666</v>
      </c>
      <c r="N9579">
        <v>30</v>
      </c>
      <c r="O9579">
        <v>441</v>
      </c>
      <c r="P9579">
        <v>12</v>
      </c>
      <c r="Q9579">
        <v>0</v>
      </c>
    </row>
    <row r="9580" spans="1:17" x14ac:dyDescent="0.2">
      <c r="A9580" s="121">
        <v>42400</v>
      </c>
      <c r="B9580" t="s">
        <v>406</v>
      </c>
      <c r="C9580" t="s">
        <v>456</v>
      </c>
      <c r="D9580" t="s">
        <v>459</v>
      </c>
      <c r="E9580" t="s">
        <v>460</v>
      </c>
      <c r="F9580" t="s">
        <v>413</v>
      </c>
      <c r="G9580">
        <v>1057</v>
      </c>
      <c r="H9580">
        <v>1057</v>
      </c>
      <c r="I9580">
        <v>1038</v>
      </c>
      <c r="J9580">
        <v>1038</v>
      </c>
      <c r="K9580">
        <v>154</v>
      </c>
      <c r="L9580">
        <v>0</v>
      </c>
      <c r="M9580">
        <v>849</v>
      </c>
      <c r="N9580">
        <v>0</v>
      </c>
      <c r="O9580">
        <v>54</v>
      </c>
      <c r="P9580">
        <v>1</v>
      </c>
      <c r="Q9580">
        <v>0</v>
      </c>
    </row>
    <row r="9581" spans="1:17" x14ac:dyDescent="0.2">
      <c r="A9581" s="121">
        <v>42400</v>
      </c>
      <c r="B9581" t="s">
        <v>406</v>
      </c>
      <c r="C9581" t="s">
        <v>456</v>
      </c>
      <c r="D9581" t="s">
        <v>461</v>
      </c>
      <c r="E9581" t="s">
        <v>462</v>
      </c>
      <c r="F9581" t="s">
        <v>410</v>
      </c>
      <c r="G9581">
        <v>54</v>
      </c>
      <c r="I9581">
        <v>54</v>
      </c>
    </row>
    <row r="9582" spans="1:17" x14ac:dyDescent="0.2">
      <c r="A9582" s="121">
        <v>42400</v>
      </c>
      <c r="B9582" t="s">
        <v>406</v>
      </c>
      <c r="C9582" t="s">
        <v>456</v>
      </c>
      <c r="D9582" t="s">
        <v>463</v>
      </c>
      <c r="E9582" t="s">
        <v>464</v>
      </c>
      <c r="F9582" t="s">
        <v>410</v>
      </c>
      <c r="G9582">
        <v>5</v>
      </c>
      <c r="I9582">
        <v>5</v>
      </c>
    </row>
    <row r="9583" spans="1:17" x14ac:dyDescent="0.2">
      <c r="A9583" s="121">
        <v>42400</v>
      </c>
      <c r="B9583" t="s">
        <v>406</v>
      </c>
      <c r="C9583" t="s">
        <v>456</v>
      </c>
      <c r="D9583" t="s">
        <v>465</v>
      </c>
      <c r="E9583" t="s">
        <v>466</v>
      </c>
      <c r="F9583" t="s">
        <v>410</v>
      </c>
      <c r="G9583">
        <v>21</v>
      </c>
      <c r="I9583">
        <v>21</v>
      </c>
    </row>
    <row r="9584" spans="1:17" x14ac:dyDescent="0.2">
      <c r="A9584" s="121">
        <v>42400</v>
      </c>
      <c r="B9584" t="s">
        <v>406</v>
      </c>
      <c r="C9584" t="s">
        <v>456</v>
      </c>
      <c r="D9584" t="s">
        <v>467</v>
      </c>
      <c r="E9584" t="s">
        <v>468</v>
      </c>
      <c r="F9584" t="s">
        <v>410</v>
      </c>
      <c r="G9584">
        <v>1488</v>
      </c>
      <c r="I9584">
        <v>1485</v>
      </c>
    </row>
    <row r="9585" spans="1:17" x14ac:dyDescent="0.2">
      <c r="A9585" s="121">
        <v>42400</v>
      </c>
      <c r="B9585" t="s">
        <v>406</v>
      </c>
      <c r="C9585" t="s">
        <v>456</v>
      </c>
      <c r="D9585" t="s">
        <v>469</v>
      </c>
      <c r="E9585" t="s">
        <v>470</v>
      </c>
      <c r="F9585" t="s">
        <v>410</v>
      </c>
      <c r="G9585">
        <v>710</v>
      </c>
      <c r="I9585">
        <v>708</v>
      </c>
    </row>
    <row r="9586" spans="1:17" x14ac:dyDescent="0.2">
      <c r="A9586" s="121">
        <v>42400</v>
      </c>
      <c r="B9586" t="s">
        <v>406</v>
      </c>
      <c r="C9586" t="s">
        <v>456</v>
      </c>
      <c r="D9586" t="s">
        <v>471</v>
      </c>
      <c r="E9586" t="s">
        <v>472</v>
      </c>
      <c r="F9586" t="s">
        <v>410</v>
      </c>
      <c r="G9586">
        <v>215</v>
      </c>
      <c r="I9586">
        <v>212</v>
      </c>
    </row>
    <row r="9587" spans="1:17" x14ac:dyDescent="0.2">
      <c r="A9587" s="121">
        <v>42400</v>
      </c>
      <c r="B9587" t="s">
        <v>406</v>
      </c>
      <c r="C9587" t="s">
        <v>456</v>
      </c>
      <c r="D9587" t="s">
        <v>473</v>
      </c>
      <c r="E9587" t="s">
        <v>474</v>
      </c>
      <c r="F9587" t="s">
        <v>410</v>
      </c>
      <c r="G9587">
        <v>191</v>
      </c>
      <c r="I9587">
        <v>191</v>
      </c>
    </row>
    <row r="9588" spans="1:17" x14ac:dyDescent="0.2">
      <c r="A9588" s="121">
        <v>42400</v>
      </c>
      <c r="B9588" t="s">
        <v>406</v>
      </c>
      <c r="C9588" t="s">
        <v>456</v>
      </c>
      <c r="D9588" t="s">
        <v>475</v>
      </c>
      <c r="E9588" t="s">
        <v>476</v>
      </c>
      <c r="F9588" t="s">
        <v>410</v>
      </c>
      <c r="G9588">
        <v>304</v>
      </c>
      <c r="I9588">
        <v>289</v>
      </c>
    </row>
    <row r="9589" spans="1:17" x14ac:dyDescent="0.2">
      <c r="A9589" s="121">
        <v>42400</v>
      </c>
      <c r="B9589" t="s">
        <v>406</v>
      </c>
      <c r="C9589" t="s">
        <v>456</v>
      </c>
      <c r="D9589" t="s">
        <v>477</v>
      </c>
      <c r="E9589" t="s">
        <v>478</v>
      </c>
      <c r="F9589" t="s">
        <v>413</v>
      </c>
      <c r="G9589">
        <v>2039</v>
      </c>
      <c r="H9589">
        <v>2039</v>
      </c>
      <c r="I9589">
        <v>1954</v>
      </c>
      <c r="J9589">
        <v>1954</v>
      </c>
      <c r="K9589">
        <v>402</v>
      </c>
      <c r="L9589">
        <v>2</v>
      </c>
      <c r="M9589">
        <v>1538</v>
      </c>
      <c r="N9589">
        <v>11</v>
      </c>
      <c r="O9589">
        <v>86</v>
      </c>
      <c r="P9589">
        <v>3</v>
      </c>
      <c r="Q9589">
        <v>0</v>
      </c>
    </row>
    <row r="9590" spans="1:17" x14ac:dyDescent="0.2">
      <c r="A9590" s="121">
        <v>42400</v>
      </c>
      <c r="B9590" t="s">
        <v>406</v>
      </c>
      <c r="C9590" t="s">
        <v>456</v>
      </c>
      <c r="D9590" t="s">
        <v>479</v>
      </c>
      <c r="E9590" t="s">
        <v>480</v>
      </c>
      <c r="F9590" t="s">
        <v>410</v>
      </c>
      <c r="G9590">
        <v>22</v>
      </c>
      <c r="I9590">
        <v>22</v>
      </c>
    </row>
    <row r="9591" spans="1:17" x14ac:dyDescent="0.2">
      <c r="A9591" s="121">
        <v>42400</v>
      </c>
      <c r="B9591" t="s">
        <v>406</v>
      </c>
      <c r="C9591" t="s">
        <v>456</v>
      </c>
      <c r="D9591" t="s">
        <v>481</v>
      </c>
      <c r="E9591" t="s">
        <v>482</v>
      </c>
      <c r="F9591" t="s">
        <v>410</v>
      </c>
      <c r="G9591">
        <v>14</v>
      </c>
      <c r="I9591">
        <v>14</v>
      </c>
    </row>
    <row r="9592" spans="1:17" x14ac:dyDescent="0.2">
      <c r="A9592" s="121">
        <v>42400</v>
      </c>
      <c r="B9592" t="s">
        <v>406</v>
      </c>
      <c r="C9592" t="s">
        <v>456</v>
      </c>
      <c r="D9592" t="s">
        <v>483</v>
      </c>
      <c r="E9592" t="s">
        <v>484</v>
      </c>
      <c r="F9592" t="s">
        <v>410</v>
      </c>
      <c r="G9592">
        <v>73</v>
      </c>
      <c r="I9592">
        <v>73</v>
      </c>
    </row>
    <row r="9593" spans="1:17" x14ac:dyDescent="0.2">
      <c r="A9593" s="121">
        <v>42400</v>
      </c>
      <c r="B9593" t="s">
        <v>406</v>
      </c>
      <c r="C9593" t="s">
        <v>456</v>
      </c>
      <c r="D9593" t="s">
        <v>487</v>
      </c>
      <c r="E9593" t="s">
        <v>488</v>
      </c>
      <c r="F9593" t="s">
        <v>410</v>
      </c>
      <c r="G9593">
        <v>14</v>
      </c>
      <c r="I9593">
        <v>14</v>
      </c>
    </row>
    <row r="9594" spans="1:17" x14ac:dyDescent="0.2">
      <c r="A9594" s="121">
        <v>42400</v>
      </c>
      <c r="B9594" t="s">
        <v>406</v>
      </c>
      <c r="C9594" t="s">
        <v>456</v>
      </c>
      <c r="D9594" t="s">
        <v>489</v>
      </c>
      <c r="E9594" t="s">
        <v>490</v>
      </c>
      <c r="F9594" t="s">
        <v>410</v>
      </c>
      <c r="G9594">
        <v>92</v>
      </c>
      <c r="I9594">
        <v>92</v>
      </c>
    </row>
    <row r="9595" spans="1:17" x14ac:dyDescent="0.2">
      <c r="A9595" s="121">
        <v>42400</v>
      </c>
      <c r="B9595" t="s">
        <v>406</v>
      </c>
      <c r="C9595" t="s">
        <v>456</v>
      </c>
      <c r="D9595" t="s">
        <v>628</v>
      </c>
      <c r="E9595" t="s">
        <v>629</v>
      </c>
      <c r="F9595" t="s">
        <v>410</v>
      </c>
      <c r="G9595">
        <v>45</v>
      </c>
      <c r="I9595">
        <v>45</v>
      </c>
    </row>
    <row r="9596" spans="1:17" x14ac:dyDescent="0.2">
      <c r="A9596" s="121">
        <v>42400</v>
      </c>
      <c r="B9596" t="s">
        <v>406</v>
      </c>
      <c r="C9596" t="s">
        <v>491</v>
      </c>
      <c r="D9596" t="s">
        <v>492</v>
      </c>
      <c r="E9596" t="s">
        <v>493</v>
      </c>
      <c r="F9596" t="s">
        <v>410</v>
      </c>
      <c r="G9596">
        <v>1214</v>
      </c>
      <c r="H9596">
        <v>1214</v>
      </c>
      <c r="I9596">
        <v>1158</v>
      </c>
      <c r="J9596">
        <v>1158</v>
      </c>
      <c r="K9596">
        <v>212</v>
      </c>
      <c r="L9596">
        <v>1</v>
      </c>
      <c r="M9596">
        <v>918</v>
      </c>
      <c r="N9596">
        <v>73</v>
      </c>
      <c r="O9596">
        <v>10</v>
      </c>
      <c r="P9596">
        <v>1</v>
      </c>
      <c r="Q9596">
        <v>0</v>
      </c>
    </row>
    <row r="9597" spans="1:17" x14ac:dyDescent="0.2">
      <c r="A9597" s="121">
        <v>42400</v>
      </c>
      <c r="B9597" t="s">
        <v>406</v>
      </c>
      <c r="C9597" t="s">
        <v>491</v>
      </c>
      <c r="D9597" t="s">
        <v>494</v>
      </c>
      <c r="E9597" t="s">
        <v>495</v>
      </c>
      <c r="F9597" t="s">
        <v>413</v>
      </c>
      <c r="G9597">
        <v>2661</v>
      </c>
      <c r="H9597">
        <v>2661</v>
      </c>
      <c r="I9597">
        <v>2536</v>
      </c>
      <c r="J9597">
        <v>2536</v>
      </c>
      <c r="K9597">
        <v>748</v>
      </c>
      <c r="L9597">
        <v>10</v>
      </c>
      <c r="M9597">
        <v>1677</v>
      </c>
      <c r="N9597">
        <v>49</v>
      </c>
      <c r="O9597">
        <v>177</v>
      </c>
      <c r="P9597">
        <v>1</v>
      </c>
      <c r="Q9597">
        <v>0</v>
      </c>
    </row>
    <row r="9598" spans="1:17" x14ac:dyDescent="0.2">
      <c r="A9598" s="121">
        <v>42400</v>
      </c>
      <c r="B9598" t="s">
        <v>406</v>
      </c>
      <c r="C9598" t="s">
        <v>491</v>
      </c>
      <c r="D9598" t="s">
        <v>496</v>
      </c>
      <c r="E9598" t="s">
        <v>497</v>
      </c>
      <c r="F9598" t="s">
        <v>413</v>
      </c>
      <c r="G9598">
        <v>5599</v>
      </c>
      <c r="H9598">
        <v>5599</v>
      </c>
      <c r="I9598">
        <v>4711</v>
      </c>
      <c r="J9598">
        <v>4711</v>
      </c>
      <c r="K9598">
        <v>2020</v>
      </c>
      <c r="L9598">
        <v>18</v>
      </c>
      <c r="M9598">
        <v>3299</v>
      </c>
      <c r="N9598">
        <v>125</v>
      </c>
      <c r="O9598">
        <v>137</v>
      </c>
      <c r="P9598">
        <v>77</v>
      </c>
      <c r="Q9598">
        <v>0</v>
      </c>
    </row>
    <row r="9599" spans="1:17" x14ac:dyDescent="0.2">
      <c r="A9599" s="121">
        <v>42400</v>
      </c>
      <c r="B9599" t="s">
        <v>406</v>
      </c>
      <c r="C9599" t="s">
        <v>491</v>
      </c>
      <c r="D9599" t="s">
        <v>498</v>
      </c>
      <c r="E9599" t="s">
        <v>499</v>
      </c>
      <c r="F9599" t="s">
        <v>413</v>
      </c>
      <c r="G9599">
        <v>7245</v>
      </c>
      <c r="H9599">
        <v>7245</v>
      </c>
      <c r="I9599">
        <v>6006</v>
      </c>
      <c r="J9599">
        <v>6006</v>
      </c>
      <c r="K9599">
        <v>2355</v>
      </c>
      <c r="L9599">
        <v>29</v>
      </c>
      <c r="M9599">
        <v>4410</v>
      </c>
      <c r="N9599">
        <v>149</v>
      </c>
      <c r="O9599">
        <v>302</v>
      </c>
      <c r="P9599">
        <v>138</v>
      </c>
      <c r="Q9599">
        <v>12</v>
      </c>
    </row>
    <row r="9600" spans="1:17" x14ac:dyDescent="0.2">
      <c r="A9600" s="121">
        <v>42400</v>
      </c>
      <c r="B9600" t="s">
        <v>406</v>
      </c>
      <c r="C9600" t="s">
        <v>491</v>
      </c>
      <c r="D9600" t="s">
        <v>500</v>
      </c>
      <c r="E9600" t="s">
        <v>620</v>
      </c>
      <c r="F9600" t="s">
        <v>410</v>
      </c>
      <c r="G9600">
        <v>1609</v>
      </c>
      <c r="H9600">
        <v>1609</v>
      </c>
      <c r="I9600">
        <v>1609</v>
      </c>
      <c r="J9600">
        <v>1609</v>
      </c>
      <c r="K9600">
        <v>1</v>
      </c>
      <c r="L9600">
        <v>0</v>
      </c>
      <c r="M9600">
        <v>1464</v>
      </c>
      <c r="N9600">
        <v>108</v>
      </c>
      <c r="O9600">
        <v>36</v>
      </c>
      <c r="P9600">
        <v>0</v>
      </c>
      <c r="Q9600">
        <v>0</v>
      </c>
    </row>
    <row r="9601" spans="1:17" x14ac:dyDescent="0.2">
      <c r="A9601" s="121">
        <v>42400</v>
      </c>
      <c r="B9601" t="s">
        <v>406</v>
      </c>
      <c r="C9601" t="s">
        <v>491</v>
      </c>
      <c r="D9601" t="s">
        <v>502</v>
      </c>
      <c r="E9601" t="s">
        <v>615</v>
      </c>
      <c r="F9601" t="s">
        <v>410</v>
      </c>
      <c r="G9601">
        <v>2190</v>
      </c>
      <c r="H9601">
        <v>2190</v>
      </c>
      <c r="I9601">
        <v>2187</v>
      </c>
      <c r="J9601">
        <v>2187</v>
      </c>
      <c r="K9601">
        <v>1</v>
      </c>
      <c r="L9601">
        <v>1</v>
      </c>
      <c r="M9601">
        <v>1929</v>
      </c>
      <c r="N9601">
        <v>233</v>
      </c>
      <c r="O9601">
        <v>26</v>
      </c>
      <c r="P9601">
        <v>0</v>
      </c>
      <c r="Q9601">
        <v>0</v>
      </c>
    </row>
    <row r="9602" spans="1:17" x14ac:dyDescent="0.2">
      <c r="A9602" s="121">
        <v>42400</v>
      </c>
      <c r="B9602" t="s">
        <v>406</v>
      </c>
      <c r="C9602" t="s">
        <v>491</v>
      </c>
      <c r="D9602" t="s">
        <v>504</v>
      </c>
      <c r="E9602" t="s">
        <v>630</v>
      </c>
      <c r="F9602" t="s">
        <v>413</v>
      </c>
      <c r="G9602">
        <v>7665</v>
      </c>
      <c r="H9602">
        <v>7665</v>
      </c>
      <c r="I9602">
        <v>6594</v>
      </c>
      <c r="J9602">
        <v>6594</v>
      </c>
      <c r="K9602">
        <v>2347</v>
      </c>
      <c r="L9602">
        <v>29</v>
      </c>
      <c r="M9602">
        <v>4897</v>
      </c>
      <c r="N9602">
        <v>204</v>
      </c>
      <c r="O9602">
        <v>188</v>
      </c>
      <c r="P9602">
        <v>147</v>
      </c>
      <c r="Q9602">
        <v>10</v>
      </c>
    </row>
    <row r="9603" spans="1:17" x14ac:dyDescent="0.2">
      <c r="A9603" s="121">
        <v>42400</v>
      </c>
      <c r="B9603" t="s">
        <v>406</v>
      </c>
      <c r="C9603" t="s">
        <v>491</v>
      </c>
      <c r="D9603" t="s">
        <v>506</v>
      </c>
      <c r="E9603" t="s">
        <v>507</v>
      </c>
      <c r="F9603" t="s">
        <v>413</v>
      </c>
      <c r="G9603">
        <v>4408</v>
      </c>
      <c r="H9603">
        <v>4408</v>
      </c>
      <c r="I9603">
        <v>4392</v>
      </c>
      <c r="J9603">
        <v>4392</v>
      </c>
      <c r="K9603">
        <v>824</v>
      </c>
      <c r="L9603">
        <v>0</v>
      </c>
      <c r="M9603">
        <v>3573</v>
      </c>
      <c r="N9603">
        <v>3</v>
      </c>
      <c r="O9603">
        <v>8</v>
      </c>
      <c r="P9603">
        <v>0</v>
      </c>
      <c r="Q9603">
        <v>0</v>
      </c>
    </row>
    <row r="9604" spans="1:17" x14ac:dyDescent="0.2">
      <c r="A9604" s="121">
        <v>42400</v>
      </c>
      <c r="B9604" t="s">
        <v>406</v>
      </c>
      <c r="C9604" t="s">
        <v>491</v>
      </c>
      <c r="D9604" t="s">
        <v>508</v>
      </c>
      <c r="E9604" t="s">
        <v>631</v>
      </c>
      <c r="F9604" t="s">
        <v>410</v>
      </c>
      <c r="G9604">
        <v>821</v>
      </c>
      <c r="H9604">
        <v>821</v>
      </c>
      <c r="I9604">
        <v>821</v>
      </c>
      <c r="J9604">
        <v>821</v>
      </c>
      <c r="K9604">
        <v>1</v>
      </c>
      <c r="L9604">
        <v>0</v>
      </c>
      <c r="M9604">
        <v>746</v>
      </c>
      <c r="N9604">
        <v>72</v>
      </c>
      <c r="O9604">
        <v>2</v>
      </c>
      <c r="P9604">
        <v>0</v>
      </c>
      <c r="Q9604">
        <v>0</v>
      </c>
    </row>
    <row r="9605" spans="1:17" x14ac:dyDescent="0.2">
      <c r="A9605" s="121">
        <v>42400</v>
      </c>
      <c r="B9605" t="s">
        <v>406</v>
      </c>
      <c r="C9605" t="s">
        <v>510</v>
      </c>
      <c r="D9605" t="s">
        <v>513</v>
      </c>
      <c r="E9605" t="s">
        <v>514</v>
      </c>
      <c r="F9605" t="s">
        <v>410</v>
      </c>
      <c r="G9605">
        <v>609</v>
      </c>
      <c r="I9605">
        <v>609</v>
      </c>
    </row>
    <row r="9606" spans="1:17" x14ac:dyDescent="0.2">
      <c r="A9606" s="121">
        <v>42400</v>
      </c>
      <c r="B9606" t="s">
        <v>406</v>
      </c>
      <c r="C9606" t="s">
        <v>510</v>
      </c>
      <c r="D9606" t="s">
        <v>515</v>
      </c>
      <c r="E9606" t="s">
        <v>516</v>
      </c>
      <c r="F9606" t="s">
        <v>410</v>
      </c>
      <c r="G9606">
        <v>89</v>
      </c>
      <c r="I9606">
        <v>89</v>
      </c>
    </row>
    <row r="9607" spans="1:17" x14ac:dyDescent="0.2">
      <c r="A9607" s="121">
        <v>42400</v>
      </c>
      <c r="B9607" t="s">
        <v>406</v>
      </c>
      <c r="C9607" t="s">
        <v>510</v>
      </c>
      <c r="D9607" t="s">
        <v>519</v>
      </c>
      <c r="E9607" t="s">
        <v>520</v>
      </c>
      <c r="F9607" t="s">
        <v>410</v>
      </c>
      <c r="G9607">
        <v>382</v>
      </c>
      <c r="I9607">
        <v>378</v>
      </c>
    </row>
    <row r="9608" spans="1:17" x14ac:dyDescent="0.2">
      <c r="A9608" s="121">
        <v>42400</v>
      </c>
      <c r="B9608" t="s">
        <v>406</v>
      </c>
      <c r="C9608" t="s">
        <v>510</v>
      </c>
      <c r="D9608" t="s">
        <v>523</v>
      </c>
      <c r="E9608" t="s">
        <v>524</v>
      </c>
      <c r="F9608" t="s">
        <v>413</v>
      </c>
      <c r="G9608">
        <v>487</v>
      </c>
      <c r="H9608">
        <v>487</v>
      </c>
      <c r="I9608">
        <v>482</v>
      </c>
      <c r="J9608">
        <v>482</v>
      </c>
      <c r="K9608">
        <v>144</v>
      </c>
      <c r="L9608">
        <v>0</v>
      </c>
      <c r="M9608">
        <v>326</v>
      </c>
      <c r="N9608">
        <v>17</v>
      </c>
      <c r="O9608">
        <v>0</v>
      </c>
      <c r="P9608">
        <v>1</v>
      </c>
      <c r="Q9608">
        <v>0</v>
      </c>
    </row>
    <row r="9609" spans="1:17" x14ac:dyDescent="0.2">
      <c r="A9609" s="121">
        <v>42400</v>
      </c>
      <c r="B9609" t="s">
        <v>406</v>
      </c>
      <c r="C9609" t="s">
        <v>510</v>
      </c>
      <c r="D9609" t="s">
        <v>525</v>
      </c>
      <c r="E9609" t="s">
        <v>526</v>
      </c>
      <c r="F9609" t="s">
        <v>410</v>
      </c>
      <c r="G9609">
        <v>361</v>
      </c>
      <c r="I9609">
        <v>357</v>
      </c>
    </row>
    <row r="9610" spans="1:17" x14ac:dyDescent="0.2">
      <c r="A9610" s="121">
        <v>42400</v>
      </c>
      <c r="B9610" t="s">
        <v>406</v>
      </c>
      <c r="C9610" t="s">
        <v>510</v>
      </c>
      <c r="D9610" t="s">
        <v>527</v>
      </c>
      <c r="E9610" t="s">
        <v>528</v>
      </c>
      <c r="F9610" t="s">
        <v>410</v>
      </c>
      <c r="G9610">
        <v>205</v>
      </c>
      <c r="I9610">
        <v>205</v>
      </c>
    </row>
    <row r="9611" spans="1:17" x14ac:dyDescent="0.2">
      <c r="A9611" s="121">
        <v>42400</v>
      </c>
      <c r="B9611" t="s">
        <v>406</v>
      </c>
      <c r="C9611" t="s">
        <v>510</v>
      </c>
      <c r="D9611" t="s">
        <v>529</v>
      </c>
      <c r="E9611" t="s">
        <v>530</v>
      </c>
      <c r="F9611" t="s">
        <v>413</v>
      </c>
      <c r="G9611">
        <v>549</v>
      </c>
      <c r="H9611">
        <v>549</v>
      </c>
      <c r="I9611">
        <v>517</v>
      </c>
      <c r="J9611">
        <v>517</v>
      </c>
      <c r="K9611">
        <v>194</v>
      </c>
      <c r="L9611">
        <v>0</v>
      </c>
      <c r="M9611">
        <v>355</v>
      </c>
      <c r="N9611">
        <v>0</v>
      </c>
      <c r="O9611">
        <v>0</v>
      </c>
      <c r="P9611">
        <v>5</v>
      </c>
      <c r="Q9611">
        <v>0</v>
      </c>
    </row>
    <row r="9612" spans="1:17" x14ac:dyDescent="0.2">
      <c r="A9612" s="121">
        <v>42400</v>
      </c>
      <c r="B9612" t="s">
        <v>406</v>
      </c>
      <c r="C9612" t="s">
        <v>510</v>
      </c>
      <c r="D9612" t="s">
        <v>531</v>
      </c>
      <c r="E9612" t="s">
        <v>532</v>
      </c>
      <c r="F9612" t="s">
        <v>410</v>
      </c>
      <c r="G9612">
        <v>18</v>
      </c>
      <c r="I9612">
        <v>18</v>
      </c>
    </row>
    <row r="9613" spans="1:17" x14ac:dyDescent="0.2">
      <c r="A9613" s="121">
        <v>42400</v>
      </c>
      <c r="B9613" t="s">
        <v>406</v>
      </c>
      <c r="C9613" t="s">
        <v>510</v>
      </c>
      <c r="D9613" t="s">
        <v>533</v>
      </c>
      <c r="E9613" t="s">
        <v>534</v>
      </c>
      <c r="F9613" t="s">
        <v>413</v>
      </c>
      <c r="G9613">
        <v>2711</v>
      </c>
      <c r="H9613">
        <v>2711</v>
      </c>
      <c r="I9613">
        <v>2504</v>
      </c>
      <c r="J9613">
        <v>2504</v>
      </c>
      <c r="K9613">
        <v>786</v>
      </c>
      <c r="L9613">
        <v>5</v>
      </c>
      <c r="M9613">
        <v>1902</v>
      </c>
      <c r="N9613">
        <v>18</v>
      </c>
      <c r="O9613">
        <v>0</v>
      </c>
      <c r="P9613">
        <v>6</v>
      </c>
      <c r="Q9613">
        <v>0</v>
      </c>
    </row>
    <row r="9614" spans="1:17" x14ac:dyDescent="0.2">
      <c r="A9614" s="121">
        <v>42400</v>
      </c>
      <c r="B9614" t="s">
        <v>406</v>
      </c>
      <c r="C9614" t="s">
        <v>510</v>
      </c>
      <c r="D9614" t="s">
        <v>535</v>
      </c>
      <c r="E9614" t="s">
        <v>536</v>
      </c>
      <c r="F9614" t="s">
        <v>410</v>
      </c>
      <c r="G9614">
        <v>361</v>
      </c>
      <c r="I9614">
        <v>361</v>
      </c>
    </row>
    <row r="9615" spans="1:17" x14ac:dyDescent="0.2">
      <c r="A9615" s="121">
        <v>42400</v>
      </c>
      <c r="B9615" t="s">
        <v>406</v>
      </c>
      <c r="C9615" t="s">
        <v>510</v>
      </c>
      <c r="D9615" t="s">
        <v>537</v>
      </c>
      <c r="E9615" t="s">
        <v>538</v>
      </c>
      <c r="F9615" t="s">
        <v>410</v>
      </c>
      <c r="G9615">
        <v>60</v>
      </c>
      <c r="I9615">
        <v>60</v>
      </c>
    </row>
    <row r="9616" spans="1:17" x14ac:dyDescent="0.2">
      <c r="A9616" s="121">
        <v>42400</v>
      </c>
      <c r="B9616" t="s">
        <v>406</v>
      </c>
      <c r="C9616" t="s">
        <v>510</v>
      </c>
      <c r="D9616" t="s">
        <v>539</v>
      </c>
      <c r="E9616" t="s">
        <v>540</v>
      </c>
      <c r="F9616" t="s">
        <v>413</v>
      </c>
      <c r="G9616">
        <v>584</v>
      </c>
      <c r="H9616">
        <v>584</v>
      </c>
      <c r="I9616">
        <v>553</v>
      </c>
      <c r="J9616">
        <v>553</v>
      </c>
      <c r="K9616">
        <v>117</v>
      </c>
      <c r="L9616">
        <v>3</v>
      </c>
      <c r="M9616">
        <v>460</v>
      </c>
      <c r="N9616">
        <v>4</v>
      </c>
      <c r="O9616">
        <v>0</v>
      </c>
      <c r="P9616">
        <v>1</v>
      </c>
      <c r="Q9616">
        <v>0</v>
      </c>
    </row>
    <row r="9617" spans="1:17" x14ac:dyDescent="0.2">
      <c r="A9617" s="121">
        <v>42400</v>
      </c>
      <c r="B9617" t="s">
        <v>406</v>
      </c>
      <c r="C9617" t="s">
        <v>510</v>
      </c>
      <c r="D9617" t="s">
        <v>541</v>
      </c>
      <c r="E9617" t="s">
        <v>542</v>
      </c>
      <c r="F9617" t="s">
        <v>410</v>
      </c>
      <c r="G9617">
        <v>335</v>
      </c>
      <c r="I9617">
        <v>335</v>
      </c>
    </row>
    <row r="9618" spans="1:17" x14ac:dyDescent="0.2">
      <c r="A9618" s="121">
        <v>42400</v>
      </c>
      <c r="B9618" t="s">
        <v>406</v>
      </c>
      <c r="C9618" t="s">
        <v>510</v>
      </c>
      <c r="D9618" t="s">
        <v>543</v>
      </c>
      <c r="E9618" t="s">
        <v>544</v>
      </c>
      <c r="F9618" t="s">
        <v>410</v>
      </c>
      <c r="G9618">
        <v>179</v>
      </c>
      <c r="I9618">
        <v>179</v>
      </c>
    </row>
    <row r="9619" spans="1:17" x14ac:dyDescent="0.2">
      <c r="A9619" s="121">
        <v>42400</v>
      </c>
      <c r="B9619" t="s">
        <v>406</v>
      </c>
      <c r="C9619" t="s">
        <v>510</v>
      </c>
      <c r="D9619" t="s">
        <v>545</v>
      </c>
      <c r="E9619" t="s">
        <v>546</v>
      </c>
      <c r="F9619" t="s">
        <v>410</v>
      </c>
      <c r="G9619">
        <v>87</v>
      </c>
      <c r="I9619">
        <v>87</v>
      </c>
    </row>
    <row r="9620" spans="1:17" x14ac:dyDescent="0.2">
      <c r="A9620" s="121">
        <v>42400</v>
      </c>
      <c r="B9620" t="s">
        <v>406</v>
      </c>
      <c r="C9620" t="s">
        <v>510</v>
      </c>
      <c r="D9620" t="s">
        <v>547</v>
      </c>
      <c r="E9620" t="s">
        <v>548</v>
      </c>
      <c r="F9620" t="s">
        <v>410</v>
      </c>
      <c r="G9620">
        <v>124</v>
      </c>
      <c r="I9620">
        <v>124</v>
      </c>
    </row>
    <row r="9621" spans="1:17" x14ac:dyDescent="0.2">
      <c r="A9621" s="121">
        <v>42400</v>
      </c>
      <c r="B9621" t="s">
        <v>406</v>
      </c>
      <c r="C9621" t="s">
        <v>510</v>
      </c>
      <c r="D9621" t="s">
        <v>616</v>
      </c>
      <c r="E9621" t="s">
        <v>617</v>
      </c>
      <c r="F9621" t="s">
        <v>410</v>
      </c>
      <c r="G9621">
        <v>312</v>
      </c>
      <c r="I9621">
        <v>306</v>
      </c>
    </row>
    <row r="9622" spans="1:17" x14ac:dyDescent="0.2">
      <c r="A9622" s="121">
        <v>42400</v>
      </c>
      <c r="B9622" t="s">
        <v>406</v>
      </c>
      <c r="C9622" t="s">
        <v>510</v>
      </c>
      <c r="D9622" t="s">
        <v>549</v>
      </c>
      <c r="E9622" t="s">
        <v>550</v>
      </c>
      <c r="F9622" t="s">
        <v>410</v>
      </c>
      <c r="G9622">
        <v>134</v>
      </c>
      <c r="I9622">
        <v>134</v>
      </c>
    </row>
    <row r="9623" spans="1:17" x14ac:dyDescent="0.2">
      <c r="A9623" s="121">
        <v>42400</v>
      </c>
      <c r="B9623" t="s">
        <v>406</v>
      </c>
      <c r="C9623" t="s">
        <v>510</v>
      </c>
      <c r="D9623" t="s">
        <v>625</v>
      </c>
      <c r="E9623" t="s">
        <v>626</v>
      </c>
      <c r="F9623" t="s">
        <v>410</v>
      </c>
      <c r="G9623">
        <v>42</v>
      </c>
      <c r="I9623">
        <v>41</v>
      </c>
    </row>
    <row r="9624" spans="1:17" x14ac:dyDescent="0.2">
      <c r="A9624" s="121">
        <v>42400</v>
      </c>
      <c r="B9624" t="s">
        <v>406</v>
      </c>
      <c r="C9624" t="s">
        <v>551</v>
      </c>
      <c r="D9624" t="s">
        <v>552</v>
      </c>
      <c r="E9624" t="s">
        <v>553</v>
      </c>
      <c r="F9624" t="s">
        <v>413</v>
      </c>
      <c r="G9624">
        <v>5494</v>
      </c>
      <c r="H9624">
        <v>5494</v>
      </c>
      <c r="I9624">
        <v>5207</v>
      </c>
      <c r="J9624">
        <v>5207</v>
      </c>
      <c r="K9624">
        <v>1953</v>
      </c>
      <c r="L9624">
        <v>8</v>
      </c>
      <c r="M9624">
        <v>3394</v>
      </c>
      <c r="N9624">
        <v>81</v>
      </c>
      <c r="O9624">
        <v>58</v>
      </c>
      <c r="P9624">
        <v>7</v>
      </c>
      <c r="Q9624">
        <v>0</v>
      </c>
    </row>
    <row r="9625" spans="1:17" x14ac:dyDescent="0.2">
      <c r="A9625" s="121">
        <v>42400</v>
      </c>
      <c r="B9625" t="s">
        <v>406</v>
      </c>
      <c r="C9625" t="s">
        <v>551</v>
      </c>
      <c r="D9625" t="s">
        <v>554</v>
      </c>
      <c r="E9625" t="s">
        <v>555</v>
      </c>
      <c r="F9625" t="s">
        <v>410</v>
      </c>
      <c r="G9625">
        <v>54</v>
      </c>
      <c r="I9625">
        <v>54</v>
      </c>
    </row>
    <row r="9626" spans="1:17" x14ac:dyDescent="0.2">
      <c r="A9626" s="121">
        <v>42400</v>
      </c>
      <c r="B9626" t="s">
        <v>406</v>
      </c>
      <c r="C9626" t="s">
        <v>551</v>
      </c>
      <c r="D9626" t="s">
        <v>556</v>
      </c>
      <c r="E9626" t="s">
        <v>557</v>
      </c>
      <c r="F9626" t="s">
        <v>410</v>
      </c>
      <c r="G9626">
        <v>98</v>
      </c>
      <c r="I9626">
        <v>98</v>
      </c>
    </row>
    <row r="9627" spans="1:17" x14ac:dyDescent="0.2">
      <c r="A9627" s="121">
        <v>42400</v>
      </c>
      <c r="B9627" t="s">
        <v>406</v>
      </c>
      <c r="C9627" t="s">
        <v>551</v>
      </c>
      <c r="D9627" t="s">
        <v>558</v>
      </c>
      <c r="E9627" t="s">
        <v>559</v>
      </c>
      <c r="F9627" t="s">
        <v>413</v>
      </c>
      <c r="G9627">
        <v>5042</v>
      </c>
      <c r="H9627">
        <v>5042</v>
      </c>
      <c r="I9627">
        <v>4236</v>
      </c>
      <c r="J9627">
        <v>4236</v>
      </c>
      <c r="K9627">
        <v>1497</v>
      </c>
      <c r="L9627">
        <v>8</v>
      </c>
      <c r="M9627">
        <v>3440</v>
      </c>
      <c r="N9627">
        <v>88</v>
      </c>
      <c r="O9627">
        <v>9</v>
      </c>
      <c r="P9627">
        <v>220</v>
      </c>
      <c r="Q9627">
        <v>90</v>
      </c>
    </row>
    <row r="9628" spans="1:17" x14ac:dyDescent="0.2">
      <c r="A9628" s="121">
        <v>42400</v>
      </c>
      <c r="B9628" t="s">
        <v>406</v>
      </c>
      <c r="C9628" t="s">
        <v>551</v>
      </c>
      <c r="D9628" t="s">
        <v>560</v>
      </c>
      <c r="E9628" t="s">
        <v>561</v>
      </c>
      <c r="F9628" t="s">
        <v>413</v>
      </c>
      <c r="G9628">
        <v>5390</v>
      </c>
      <c r="H9628">
        <v>5390</v>
      </c>
      <c r="I9628">
        <v>4647</v>
      </c>
      <c r="J9628">
        <v>4647</v>
      </c>
      <c r="K9628">
        <v>1329</v>
      </c>
      <c r="L9628">
        <v>10</v>
      </c>
      <c r="M9628">
        <v>3844</v>
      </c>
      <c r="N9628">
        <v>66</v>
      </c>
      <c r="O9628">
        <v>141</v>
      </c>
      <c r="P9628">
        <v>109</v>
      </c>
      <c r="Q9628">
        <v>26</v>
      </c>
    </row>
    <row r="9629" spans="1:17" x14ac:dyDescent="0.2">
      <c r="A9629" s="121">
        <v>42400</v>
      </c>
      <c r="B9629" t="s">
        <v>406</v>
      </c>
      <c r="C9629" t="s">
        <v>562</v>
      </c>
      <c r="D9629" t="s">
        <v>605</v>
      </c>
      <c r="E9629" t="s">
        <v>606</v>
      </c>
      <c r="F9629" t="s">
        <v>410</v>
      </c>
      <c r="G9629">
        <v>105</v>
      </c>
      <c r="I9629">
        <v>105</v>
      </c>
    </row>
    <row r="9630" spans="1:17" x14ac:dyDescent="0.2">
      <c r="A9630" s="121">
        <v>42400</v>
      </c>
      <c r="B9630" t="s">
        <v>406</v>
      </c>
      <c r="C9630" t="s">
        <v>562</v>
      </c>
      <c r="D9630" t="s">
        <v>563</v>
      </c>
      <c r="E9630" t="s">
        <v>564</v>
      </c>
      <c r="F9630" t="s">
        <v>410</v>
      </c>
      <c r="G9630">
        <v>3562</v>
      </c>
      <c r="H9630">
        <v>3562</v>
      </c>
      <c r="I9630">
        <v>2854</v>
      </c>
      <c r="J9630">
        <v>2854</v>
      </c>
      <c r="K9630">
        <v>1185</v>
      </c>
      <c r="L9630">
        <v>0</v>
      </c>
      <c r="M9630">
        <v>2361</v>
      </c>
      <c r="N9630">
        <v>16</v>
      </c>
      <c r="O9630">
        <v>0</v>
      </c>
      <c r="P9630">
        <v>296</v>
      </c>
      <c r="Q9630">
        <v>190</v>
      </c>
    </row>
    <row r="9631" spans="1:17" x14ac:dyDescent="0.2">
      <c r="A9631" s="121">
        <v>42400</v>
      </c>
      <c r="B9631" t="s">
        <v>406</v>
      </c>
      <c r="C9631" t="s">
        <v>562</v>
      </c>
      <c r="D9631" t="s">
        <v>565</v>
      </c>
      <c r="E9631" t="s">
        <v>566</v>
      </c>
      <c r="F9631" t="s">
        <v>413</v>
      </c>
      <c r="G9631">
        <v>4591</v>
      </c>
      <c r="H9631">
        <v>4591</v>
      </c>
      <c r="I9631">
        <v>4170</v>
      </c>
      <c r="J9631">
        <v>4170</v>
      </c>
      <c r="K9631">
        <v>1121</v>
      </c>
      <c r="L9631">
        <v>10</v>
      </c>
      <c r="M9631">
        <v>3376</v>
      </c>
      <c r="N9631">
        <v>84</v>
      </c>
      <c r="O9631">
        <v>0</v>
      </c>
      <c r="P9631">
        <v>42</v>
      </c>
      <c r="Q9631">
        <v>3</v>
      </c>
    </row>
    <row r="9632" spans="1:17" x14ac:dyDescent="0.2">
      <c r="A9632" s="121">
        <v>42400</v>
      </c>
      <c r="B9632" t="s">
        <v>406</v>
      </c>
      <c r="C9632" t="s">
        <v>562</v>
      </c>
      <c r="D9632" t="s">
        <v>567</v>
      </c>
      <c r="E9632" t="s">
        <v>568</v>
      </c>
      <c r="F9632" t="s">
        <v>413</v>
      </c>
      <c r="G9632">
        <v>9872</v>
      </c>
      <c r="H9632">
        <v>9872</v>
      </c>
      <c r="I9632">
        <v>8561</v>
      </c>
      <c r="J9632">
        <v>8561</v>
      </c>
      <c r="K9632">
        <v>2810</v>
      </c>
      <c r="L9632">
        <v>22</v>
      </c>
      <c r="M9632">
        <v>6826</v>
      </c>
      <c r="N9632">
        <v>214</v>
      </c>
      <c r="O9632">
        <v>0</v>
      </c>
      <c r="P9632">
        <v>287</v>
      </c>
      <c r="Q9632">
        <v>38</v>
      </c>
    </row>
    <row r="9633" spans="1:17" x14ac:dyDescent="0.2">
      <c r="A9633" s="121">
        <v>42400</v>
      </c>
      <c r="B9633" t="s">
        <v>406</v>
      </c>
      <c r="C9633" t="s">
        <v>562</v>
      </c>
      <c r="D9633" t="s">
        <v>569</v>
      </c>
      <c r="E9633" t="s">
        <v>570</v>
      </c>
      <c r="F9633" t="s">
        <v>413</v>
      </c>
      <c r="G9633">
        <v>3764</v>
      </c>
      <c r="H9633">
        <v>3764</v>
      </c>
      <c r="I9633">
        <v>3688</v>
      </c>
      <c r="J9633">
        <v>3688</v>
      </c>
      <c r="K9633">
        <v>526</v>
      </c>
      <c r="L9633">
        <v>0</v>
      </c>
      <c r="M9633">
        <v>3237</v>
      </c>
      <c r="N9633">
        <v>1</v>
      </c>
      <c r="O9633">
        <v>0</v>
      </c>
      <c r="P9633">
        <v>1</v>
      </c>
      <c r="Q9633">
        <v>0</v>
      </c>
    </row>
    <row r="9634" spans="1:17" x14ac:dyDescent="0.2">
      <c r="A9634" s="121">
        <v>42400</v>
      </c>
      <c r="B9634" t="s">
        <v>406</v>
      </c>
      <c r="C9634" t="s">
        <v>571</v>
      </c>
      <c r="D9634" t="s">
        <v>572</v>
      </c>
      <c r="E9634" t="s">
        <v>627</v>
      </c>
      <c r="F9634" t="s">
        <v>413</v>
      </c>
      <c r="G9634">
        <v>457</v>
      </c>
      <c r="H9634">
        <v>457</v>
      </c>
      <c r="I9634">
        <v>449</v>
      </c>
      <c r="J9634">
        <v>449</v>
      </c>
      <c r="K9634">
        <v>155</v>
      </c>
      <c r="L9634">
        <v>0</v>
      </c>
      <c r="M9634">
        <v>295</v>
      </c>
      <c r="N9634">
        <v>1</v>
      </c>
      <c r="O9634">
        <v>6</v>
      </c>
      <c r="P9634">
        <v>0</v>
      </c>
      <c r="Q9634">
        <v>0</v>
      </c>
    </row>
    <row r="9635" spans="1:17" x14ac:dyDescent="0.2">
      <c r="A9635" s="121">
        <v>42400</v>
      </c>
      <c r="B9635" t="s">
        <v>406</v>
      </c>
      <c r="C9635" t="s">
        <v>574</v>
      </c>
      <c r="D9635" t="s">
        <v>575</v>
      </c>
      <c r="E9635" t="s">
        <v>576</v>
      </c>
      <c r="F9635" t="s">
        <v>413</v>
      </c>
      <c r="G9635">
        <v>607</v>
      </c>
      <c r="H9635">
        <v>607</v>
      </c>
      <c r="I9635">
        <v>581</v>
      </c>
      <c r="J9635">
        <v>581</v>
      </c>
      <c r="K9635">
        <v>162</v>
      </c>
      <c r="L9635">
        <v>0</v>
      </c>
      <c r="M9635">
        <v>426</v>
      </c>
      <c r="N9635">
        <v>2</v>
      </c>
      <c r="O9635">
        <v>17</v>
      </c>
      <c r="P9635">
        <v>1</v>
      </c>
      <c r="Q9635">
        <v>0</v>
      </c>
    </row>
    <row r="9636" spans="1:17" x14ac:dyDescent="0.2">
      <c r="A9636" s="121">
        <v>42400</v>
      </c>
      <c r="B9636" t="s">
        <v>406</v>
      </c>
      <c r="C9636" t="s">
        <v>577</v>
      </c>
      <c r="D9636" t="s">
        <v>578</v>
      </c>
      <c r="E9636" t="s">
        <v>579</v>
      </c>
      <c r="F9636" t="s">
        <v>413</v>
      </c>
      <c r="G9636">
        <v>3685</v>
      </c>
      <c r="H9636">
        <v>3685</v>
      </c>
      <c r="I9636">
        <v>3614</v>
      </c>
      <c r="J9636">
        <v>3614</v>
      </c>
      <c r="K9636">
        <v>1212</v>
      </c>
      <c r="L9636">
        <v>5</v>
      </c>
      <c r="M9636">
        <v>2202</v>
      </c>
      <c r="N9636">
        <v>262</v>
      </c>
      <c r="O9636">
        <v>4</v>
      </c>
      <c r="P9636">
        <v>0</v>
      </c>
      <c r="Q9636">
        <v>0</v>
      </c>
    </row>
    <row r="9637" spans="1:17" x14ac:dyDescent="0.2">
      <c r="A9637" s="121">
        <v>42400</v>
      </c>
      <c r="B9637" t="s">
        <v>406</v>
      </c>
      <c r="C9637" t="s">
        <v>577</v>
      </c>
      <c r="D9637" t="s">
        <v>580</v>
      </c>
      <c r="E9637" t="s">
        <v>581</v>
      </c>
      <c r="F9637" t="s">
        <v>413</v>
      </c>
      <c r="G9637">
        <v>2007</v>
      </c>
      <c r="H9637">
        <v>2007</v>
      </c>
      <c r="I9637">
        <v>1985</v>
      </c>
      <c r="J9637">
        <v>1985</v>
      </c>
      <c r="K9637">
        <v>354</v>
      </c>
      <c r="L9637">
        <v>4</v>
      </c>
      <c r="M9637">
        <v>1326</v>
      </c>
      <c r="N9637">
        <v>323</v>
      </c>
      <c r="O9637">
        <v>0</v>
      </c>
      <c r="P9637">
        <v>0</v>
      </c>
      <c r="Q9637">
        <v>0</v>
      </c>
    </row>
    <row r="9638" spans="1:17" x14ac:dyDescent="0.2">
      <c r="A9638" s="121">
        <v>42400</v>
      </c>
      <c r="B9638" t="s">
        <v>406</v>
      </c>
      <c r="C9638" t="s">
        <v>577</v>
      </c>
      <c r="D9638" t="s">
        <v>609</v>
      </c>
      <c r="E9638" t="s">
        <v>610</v>
      </c>
      <c r="F9638" t="s">
        <v>410</v>
      </c>
      <c r="G9638">
        <v>25</v>
      </c>
      <c r="H9638">
        <v>25</v>
      </c>
      <c r="I9638">
        <v>25</v>
      </c>
      <c r="J9638">
        <v>25</v>
      </c>
      <c r="K9638">
        <v>0</v>
      </c>
      <c r="L9638">
        <v>0</v>
      </c>
      <c r="M9638">
        <v>19</v>
      </c>
      <c r="N9638">
        <v>4</v>
      </c>
      <c r="O9638">
        <v>2</v>
      </c>
      <c r="P9638">
        <v>0</v>
      </c>
      <c r="Q9638">
        <v>0</v>
      </c>
    </row>
    <row r="9639" spans="1:17" x14ac:dyDescent="0.2">
      <c r="A9639" s="121">
        <v>42400</v>
      </c>
      <c r="B9639" t="s">
        <v>406</v>
      </c>
      <c r="C9639" t="s">
        <v>577</v>
      </c>
      <c r="D9639" t="s">
        <v>584</v>
      </c>
      <c r="E9639" t="s">
        <v>585</v>
      </c>
      <c r="F9639" t="s">
        <v>410</v>
      </c>
      <c r="G9639">
        <v>240</v>
      </c>
      <c r="H9639">
        <v>240</v>
      </c>
      <c r="I9639">
        <v>240</v>
      </c>
      <c r="J9639">
        <v>240</v>
      </c>
      <c r="K9639">
        <v>1</v>
      </c>
      <c r="L9639">
        <v>0</v>
      </c>
      <c r="M9639">
        <v>227</v>
      </c>
      <c r="N9639">
        <v>9</v>
      </c>
      <c r="O9639">
        <v>3</v>
      </c>
      <c r="P9639">
        <v>0</v>
      </c>
      <c r="Q9639">
        <v>0</v>
      </c>
    </row>
    <row r="9640" spans="1:17" x14ac:dyDescent="0.2">
      <c r="A9640" s="121">
        <v>42400</v>
      </c>
      <c r="B9640" t="s">
        <v>406</v>
      </c>
      <c r="C9640" t="s">
        <v>577</v>
      </c>
      <c r="D9640" t="s">
        <v>586</v>
      </c>
      <c r="E9640" t="s">
        <v>587</v>
      </c>
      <c r="F9640" t="s">
        <v>410</v>
      </c>
      <c r="G9640">
        <v>1043</v>
      </c>
      <c r="H9640">
        <v>1043</v>
      </c>
      <c r="I9640">
        <v>1041</v>
      </c>
      <c r="J9640">
        <v>1041</v>
      </c>
      <c r="K9640">
        <v>0</v>
      </c>
      <c r="L9640">
        <v>0</v>
      </c>
      <c r="M9640">
        <v>958</v>
      </c>
      <c r="N9640">
        <v>84</v>
      </c>
      <c r="O9640">
        <v>1</v>
      </c>
      <c r="P9640">
        <v>0</v>
      </c>
      <c r="Q9640">
        <v>0</v>
      </c>
    </row>
    <row r="9641" spans="1:17" x14ac:dyDescent="0.2">
      <c r="A9641" s="121">
        <v>42400</v>
      </c>
      <c r="B9641" t="s">
        <v>406</v>
      </c>
      <c r="C9641" t="s">
        <v>577</v>
      </c>
      <c r="D9641" t="s">
        <v>588</v>
      </c>
      <c r="E9641" t="s">
        <v>589</v>
      </c>
      <c r="F9641" t="s">
        <v>410</v>
      </c>
      <c r="G9641">
        <v>132</v>
      </c>
      <c r="H9641">
        <v>132</v>
      </c>
      <c r="I9641">
        <v>132</v>
      </c>
      <c r="J9641">
        <v>132</v>
      </c>
      <c r="K9641">
        <v>0</v>
      </c>
      <c r="L9641">
        <v>0</v>
      </c>
      <c r="M9641">
        <v>117</v>
      </c>
      <c r="N9641">
        <v>14</v>
      </c>
      <c r="O9641">
        <v>1</v>
      </c>
      <c r="P9641">
        <v>0</v>
      </c>
      <c r="Q9641">
        <v>0</v>
      </c>
    </row>
    <row r="9642" spans="1:17" x14ac:dyDescent="0.2">
      <c r="A9642" s="121">
        <v>42400</v>
      </c>
      <c r="B9642" t="s">
        <v>406</v>
      </c>
      <c r="C9642" t="s">
        <v>577</v>
      </c>
      <c r="D9642" t="s">
        <v>613</v>
      </c>
      <c r="E9642" t="s">
        <v>614</v>
      </c>
      <c r="F9642" t="s">
        <v>410</v>
      </c>
      <c r="G9642">
        <v>122</v>
      </c>
      <c r="H9642">
        <v>122</v>
      </c>
      <c r="I9642">
        <v>122</v>
      </c>
      <c r="J9642">
        <v>122</v>
      </c>
      <c r="K9642">
        <v>0</v>
      </c>
      <c r="L9642">
        <v>0</v>
      </c>
      <c r="M9642">
        <v>112</v>
      </c>
      <c r="N9642">
        <v>8</v>
      </c>
      <c r="O9642">
        <v>2</v>
      </c>
      <c r="P9642">
        <v>0</v>
      </c>
      <c r="Q9642">
        <v>0</v>
      </c>
    </row>
    <row r="9643" spans="1:17" x14ac:dyDescent="0.2">
      <c r="A9643" s="121">
        <v>42400</v>
      </c>
      <c r="B9643" t="s">
        <v>406</v>
      </c>
      <c r="C9643" t="s">
        <v>577</v>
      </c>
      <c r="D9643" t="s">
        <v>590</v>
      </c>
      <c r="E9643" t="s">
        <v>591</v>
      </c>
      <c r="F9643" t="s">
        <v>410</v>
      </c>
      <c r="G9643">
        <v>562</v>
      </c>
      <c r="H9643">
        <v>562</v>
      </c>
      <c r="I9643">
        <v>562</v>
      </c>
      <c r="J9643">
        <v>562</v>
      </c>
      <c r="K9643">
        <v>0</v>
      </c>
      <c r="L9643">
        <v>0</v>
      </c>
      <c r="M9643">
        <v>536</v>
      </c>
      <c r="N9643">
        <v>26</v>
      </c>
      <c r="O9643">
        <v>0</v>
      </c>
      <c r="P9643">
        <v>0</v>
      </c>
      <c r="Q9643">
        <v>0</v>
      </c>
    </row>
    <row r="9644" spans="1:17" x14ac:dyDescent="0.2">
      <c r="A9644" s="121">
        <v>42400</v>
      </c>
      <c r="B9644" t="s">
        <v>406</v>
      </c>
      <c r="C9644" t="s">
        <v>577</v>
      </c>
      <c r="D9644" t="s">
        <v>607</v>
      </c>
      <c r="E9644" t="s">
        <v>608</v>
      </c>
      <c r="F9644" t="s">
        <v>410</v>
      </c>
      <c r="G9644">
        <v>121</v>
      </c>
      <c r="H9644">
        <v>121</v>
      </c>
      <c r="I9644">
        <v>121</v>
      </c>
      <c r="J9644">
        <v>121</v>
      </c>
      <c r="K9644">
        <v>0</v>
      </c>
      <c r="L9644">
        <v>0</v>
      </c>
      <c r="M9644">
        <v>105</v>
      </c>
      <c r="N9644">
        <v>13</v>
      </c>
      <c r="O9644">
        <v>3</v>
      </c>
      <c r="P9644">
        <v>0</v>
      </c>
      <c r="Q9644">
        <v>0</v>
      </c>
    </row>
    <row r="9645" spans="1:17" x14ac:dyDescent="0.2">
      <c r="A9645" s="121">
        <v>42400</v>
      </c>
      <c r="B9645" t="s">
        <v>406</v>
      </c>
      <c r="C9645" t="s">
        <v>577</v>
      </c>
      <c r="D9645" t="s">
        <v>592</v>
      </c>
      <c r="E9645" t="s">
        <v>593</v>
      </c>
      <c r="F9645" t="s">
        <v>410</v>
      </c>
      <c r="G9645">
        <v>488</v>
      </c>
      <c r="H9645">
        <v>488</v>
      </c>
      <c r="I9645">
        <v>488</v>
      </c>
      <c r="J9645">
        <v>488</v>
      </c>
      <c r="K9645">
        <v>0</v>
      </c>
      <c r="L9645">
        <v>0</v>
      </c>
      <c r="M9645">
        <v>451</v>
      </c>
      <c r="N9645">
        <v>37</v>
      </c>
      <c r="O9645">
        <v>0</v>
      </c>
      <c r="P9645">
        <v>0</v>
      </c>
      <c r="Q9645">
        <v>0</v>
      </c>
    </row>
    <row r="9646" spans="1:17" x14ac:dyDescent="0.2">
      <c r="A9646" s="121">
        <v>42400</v>
      </c>
      <c r="B9646" t="s">
        <v>406</v>
      </c>
      <c r="C9646" t="s">
        <v>594</v>
      </c>
      <c r="D9646" t="s">
        <v>595</v>
      </c>
      <c r="E9646" t="s">
        <v>596</v>
      </c>
      <c r="F9646" t="s">
        <v>410</v>
      </c>
      <c r="G9646">
        <v>23</v>
      </c>
      <c r="I9646">
        <v>23</v>
      </c>
    </row>
    <row r="9647" spans="1:17" x14ac:dyDescent="0.2">
      <c r="A9647" s="121">
        <v>42400</v>
      </c>
      <c r="B9647" t="s">
        <v>406</v>
      </c>
      <c r="C9647" t="s">
        <v>594</v>
      </c>
      <c r="D9647" t="s">
        <v>597</v>
      </c>
      <c r="E9647" t="s">
        <v>598</v>
      </c>
      <c r="F9647" t="s">
        <v>413</v>
      </c>
      <c r="G9647">
        <v>480</v>
      </c>
      <c r="H9647">
        <v>480</v>
      </c>
      <c r="I9647">
        <v>475</v>
      </c>
      <c r="J9647">
        <v>475</v>
      </c>
      <c r="K9647">
        <v>138</v>
      </c>
      <c r="L9647">
        <v>0</v>
      </c>
      <c r="M9647">
        <v>337</v>
      </c>
      <c r="N9647">
        <v>2</v>
      </c>
      <c r="O9647">
        <v>3</v>
      </c>
      <c r="P9647">
        <v>0</v>
      </c>
      <c r="Q9647">
        <v>0</v>
      </c>
    </row>
    <row r="9648" spans="1:17" x14ac:dyDescent="0.2">
      <c r="A9648" s="121">
        <v>42400</v>
      </c>
      <c r="B9648" t="s">
        <v>406</v>
      </c>
      <c r="C9648" t="s">
        <v>594</v>
      </c>
      <c r="D9648" t="s">
        <v>599</v>
      </c>
      <c r="E9648" t="s">
        <v>600</v>
      </c>
      <c r="F9648" t="s">
        <v>410</v>
      </c>
      <c r="G9648">
        <v>120</v>
      </c>
      <c r="I9648">
        <v>120</v>
      </c>
    </row>
    <row r="9649" spans="1:17" x14ac:dyDescent="0.2">
      <c r="A9649" s="121">
        <v>42429</v>
      </c>
      <c r="B9649" t="s">
        <v>406</v>
      </c>
      <c r="C9649" t="s">
        <v>407</v>
      </c>
      <c r="D9649" t="s">
        <v>408</v>
      </c>
      <c r="E9649" t="s">
        <v>409</v>
      </c>
      <c r="F9649" t="s">
        <v>410</v>
      </c>
      <c r="G9649">
        <v>140</v>
      </c>
      <c r="I9649">
        <v>136</v>
      </c>
    </row>
    <row r="9650" spans="1:17" x14ac:dyDescent="0.2">
      <c r="A9650" s="121">
        <v>42429</v>
      </c>
      <c r="B9650" t="s">
        <v>406</v>
      </c>
      <c r="C9650" t="s">
        <v>407</v>
      </c>
      <c r="D9650" t="s">
        <v>601</v>
      </c>
      <c r="E9650" t="s">
        <v>602</v>
      </c>
      <c r="F9650" t="s">
        <v>410</v>
      </c>
      <c r="G9650">
        <v>46</v>
      </c>
      <c r="I9650">
        <v>46</v>
      </c>
    </row>
    <row r="9651" spans="1:17" x14ac:dyDescent="0.2">
      <c r="A9651" s="121">
        <v>42429</v>
      </c>
      <c r="B9651" t="s">
        <v>406</v>
      </c>
      <c r="C9651" t="s">
        <v>407</v>
      </c>
      <c r="D9651" t="s">
        <v>411</v>
      </c>
      <c r="E9651" t="s">
        <v>412</v>
      </c>
      <c r="F9651" t="s">
        <v>413</v>
      </c>
      <c r="G9651">
        <v>6148</v>
      </c>
      <c r="H9651">
        <v>6148</v>
      </c>
      <c r="I9651">
        <v>5606</v>
      </c>
      <c r="J9651">
        <v>5606</v>
      </c>
      <c r="K9651">
        <v>2716</v>
      </c>
      <c r="L9651">
        <v>8</v>
      </c>
      <c r="M9651">
        <v>3133</v>
      </c>
      <c r="N9651">
        <v>106</v>
      </c>
      <c r="O9651">
        <v>185</v>
      </c>
      <c r="P9651">
        <v>77</v>
      </c>
      <c r="Q9651">
        <v>18</v>
      </c>
    </row>
    <row r="9652" spans="1:17" x14ac:dyDescent="0.2">
      <c r="A9652" s="121">
        <v>42429</v>
      </c>
      <c r="B9652" t="s">
        <v>406</v>
      </c>
      <c r="C9652" t="s">
        <v>407</v>
      </c>
      <c r="D9652" t="s">
        <v>416</v>
      </c>
      <c r="E9652" t="s">
        <v>417</v>
      </c>
      <c r="F9652" t="s">
        <v>413</v>
      </c>
      <c r="G9652">
        <v>3422</v>
      </c>
      <c r="H9652">
        <v>3422</v>
      </c>
      <c r="I9652">
        <v>3020</v>
      </c>
      <c r="J9652">
        <v>3020</v>
      </c>
      <c r="K9652">
        <v>1348</v>
      </c>
      <c r="L9652">
        <v>8</v>
      </c>
      <c r="M9652">
        <v>1844</v>
      </c>
      <c r="N9652">
        <v>99</v>
      </c>
      <c r="O9652">
        <v>123</v>
      </c>
      <c r="P9652">
        <v>87</v>
      </c>
      <c r="Q9652">
        <v>21</v>
      </c>
    </row>
    <row r="9653" spans="1:17" x14ac:dyDescent="0.2">
      <c r="A9653" s="121">
        <v>42429</v>
      </c>
      <c r="B9653" t="s">
        <v>406</v>
      </c>
      <c r="C9653" t="s">
        <v>407</v>
      </c>
      <c r="D9653" t="s">
        <v>618</v>
      </c>
      <c r="E9653" t="s">
        <v>619</v>
      </c>
      <c r="F9653" t="s">
        <v>410</v>
      </c>
      <c r="G9653">
        <v>68</v>
      </c>
      <c r="I9653">
        <v>68</v>
      </c>
    </row>
    <row r="9654" spans="1:17" x14ac:dyDescent="0.2">
      <c r="A9654" s="121">
        <v>42429</v>
      </c>
      <c r="B9654" t="s">
        <v>406</v>
      </c>
      <c r="C9654" t="s">
        <v>418</v>
      </c>
      <c r="D9654" t="s">
        <v>419</v>
      </c>
      <c r="E9654" t="s">
        <v>420</v>
      </c>
      <c r="F9654" t="s">
        <v>410</v>
      </c>
      <c r="G9654">
        <v>9</v>
      </c>
      <c r="I9654">
        <v>9</v>
      </c>
    </row>
    <row r="9655" spans="1:17" x14ac:dyDescent="0.2">
      <c r="A9655" s="121">
        <v>42429</v>
      </c>
      <c r="B9655" t="s">
        <v>406</v>
      </c>
      <c r="C9655" t="s">
        <v>418</v>
      </c>
      <c r="D9655" t="s">
        <v>421</v>
      </c>
      <c r="E9655" t="s">
        <v>422</v>
      </c>
      <c r="F9655" t="s">
        <v>410</v>
      </c>
      <c r="G9655">
        <v>46</v>
      </c>
      <c r="I9655">
        <v>46</v>
      </c>
    </row>
    <row r="9656" spans="1:17" x14ac:dyDescent="0.2">
      <c r="A9656" s="121">
        <v>42429</v>
      </c>
      <c r="B9656" t="s">
        <v>406</v>
      </c>
      <c r="C9656" t="s">
        <v>418</v>
      </c>
      <c r="D9656" t="s">
        <v>423</v>
      </c>
      <c r="E9656" t="s">
        <v>424</v>
      </c>
      <c r="F9656" t="s">
        <v>410</v>
      </c>
      <c r="G9656">
        <v>5</v>
      </c>
      <c r="I9656">
        <v>5</v>
      </c>
    </row>
    <row r="9657" spans="1:17" x14ac:dyDescent="0.2">
      <c r="A9657" s="121">
        <v>42429</v>
      </c>
      <c r="B9657" t="s">
        <v>406</v>
      </c>
      <c r="C9657" t="s">
        <v>418</v>
      </c>
      <c r="D9657" t="s">
        <v>425</v>
      </c>
      <c r="E9657" t="s">
        <v>426</v>
      </c>
      <c r="F9657" t="s">
        <v>410</v>
      </c>
      <c r="G9657">
        <v>21</v>
      </c>
      <c r="I9657">
        <v>21</v>
      </c>
    </row>
    <row r="9658" spans="1:17" x14ac:dyDescent="0.2">
      <c r="A9658" s="121">
        <v>42429</v>
      </c>
      <c r="B9658" t="s">
        <v>406</v>
      </c>
      <c r="C9658" t="s">
        <v>418</v>
      </c>
      <c r="D9658" t="s">
        <v>427</v>
      </c>
      <c r="E9658" t="s">
        <v>428</v>
      </c>
      <c r="F9658" t="s">
        <v>413</v>
      </c>
      <c r="G9658">
        <v>1990</v>
      </c>
      <c r="H9658">
        <v>1990</v>
      </c>
      <c r="I9658">
        <v>1892</v>
      </c>
      <c r="J9658">
        <v>1892</v>
      </c>
      <c r="K9658">
        <v>700</v>
      </c>
      <c r="L9658">
        <v>4</v>
      </c>
      <c r="M9658">
        <v>1138</v>
      </c>
      <c r="N9658">
        <v>135</v>
      </c>
      <c r="O9658">
        <v>13</v>
      </c>
      <c r="P9658">
        <v>0</v>
      </c>
      <c r="Q9658">
        <v>0</v>
      </c>
    </row>
    <row r="9659" spans="1:17" x14ac:dyDescent="0.2">
      <c r="A9659" s="121">
        <v>42429</v>
      </c>
      <c r="B9659" t="s">
        <v>406</v>
      </c>
      <c r="C9659" t="s">
        <v>429</v>
      </c>
      <c r="D9659" t="s">
        <v>430</v>
      </c>
      <c r="E9659" t="s">
        <v>431</v>
      </c>
      <c r="F9659" t="s">
        <v>410</v>
      </c>
      <c r="G9659">
        <v>10</v>
      </c>
      <c r="I9659">
        <v>10</v>
      </c>
    </row>
    <row r="9660" spans="1:17" x14ac:dyDescent="0.2">
      <c r="A9660" s="121">
        <v>42429</v>
      </c>
      <c r="B9660" t="s">
        <v>406</v>
      </c>
      <c r="C9660" t="s">
        <v>429</v>
      </c>
      <c r="D9660" t="s">
        <v>432</v>
      </c>
      <c r="E9660" t="s">
        <v>433</v>
      </c>
      <c r="F9660" t="s">
        <v>410</v>
      </c>
      <c r="G9660">
        <v>27</v>
      </c>
      <c r="I9660">
        <v>27</v>
      </c>
    </row>
    <row r="9661" spans="1:17" x14ac:dyDescent="0.2">
      <c r="A9661" s="121">
        <v>42429</v>
      </c>
      <c r="B9661" t="s">
        <v>406</v>
      </c>
      <c r="C9661" t="s">
        <v>429</v>
      </c>
      <c r="D9661" t="s">
        <v>434</v>
      </c>
      <c r="E9661" t="s">
        <v>435</v>
      </c>
      <c r="F9661" t="s">
        <v>410</v>
      </c>
      <c r="G9661">
        <v>1</v>
      </c>
      <c r="I9661">
        <v>1</v>
      </c>
    </row>
    <row r="9662" spans="1:17" x14ac:dyDescent="0.2">
      <c r="A9662" s="121">
        <v>42429</v>
      </c>
      <c r="B9662" t="s">
        <v>406</v>
      </c>
      <c r="C9662" t="s">
        <v>429</v>
      </c>
      <c r="D9662" t="s">
        <v>436</v>
      </c>
      <c r="E9662" t="s">
        <v>437</v>
      </c>
      <c r="F9662" t="s">
        <v>410</v>
      </c>
      <c r="G9662">
        <v>7</v>
      </c>
      <c r="H9662">
        <v>7</v>
      </c>
      <c r="I9662">
        <v>7</v>
      </c>
      <c r="J9662">
        <v>7</v>
      </c>
      <c r="K9662">
        <v>0</v>
      </c>
      <c r="L9662">
        <v>0</v>
      </c>
      <c r="M9662">
        <v>5</v>
      </c>
      <c r="N9662">
        <v>0</v>
      </c>
      <c r="O9662">
        <v>2</v>
      </c>
      <c r="P9662">
        <v>0</v>
      </c>
      <c r="Q9662">
        <v>0</v>
      </c>
    </row>
    <row r="9663" spans="1:17" x14ac:dyDescent="0.2">
      <c r="A9663" s="121">
        <v>42429</v>
      </c>
      <c r="B9663" t="s">
        <v>406</v>
      </c>
      <c r="C9663" t="s">
        <v>429</v>
      </c>
      <c r="D9663" t="s">
        <v>438</v>
      </c>
      <c r="E9663" t="s">
        <v>439</v>
      </c>
      <c r="F9663" t="s">
        <v>413</v>
      </c>
      <c r="G9663">
        <v>865</v>
      </c>
      <c r="H9663">
        <v>865</v>
      </c>
      <c r="I9663">
        <v>836</v>
      </c>
      <c r="J9663">
        <v>836</v>
      </c>
      <c r="K9663">
        <v>79</v>
      </c>
      <c r="L9663">
        <v>0</v>
      </c>
      <c r="M9663">
        <v>696</v>
      </c>
      <c r="N9663">
        <v>70</v>
      </c>
      <c r="O9663">
        <v>20</v>
      </c>
      <c r="P9663">
        <v>3</v>
      </c>
      <c r="Q9663">
        <v>0</v>
      </c>
    </row>
    <row r="9664" spans="1:17" x14ac:dyDescent="0.2">
      <c r="A9664" s="121">
        <v>42429</v>
      </c>
      <c r="B9664" t="s">
        <v>406</v>
      </c>
      <c r="C9664" t="s">
        <v>429</v>
      </c>
      <c r="D9664" t="s">
        <v>440</v>
      </c>
      <c r="E9664" t="s">
        <v>441</v>
      </c>
      <c r="F9664" t="s">
        <v>413</v>
      </c>
      <c r="G9664">
        <v>2747</v>
      </c>
      <c r="H9664">
        <v>2747</v>
      </c>
      <c r="I9664">
        <v>2596</v>
      </c>
      <c r="J9664">
        <v>2596</v>
      </c>
      <c r="K9664">
        <v>1031</v>
      </c>
      <c r="L9664">
        <v>2</v>
      </c>
      <c r="M9664">
        <v>1610</v>
      </c>
      <c r="N9664">
        <v>62</v>
      </c>
      <c r="O9664">
        <v>42</v>
      </c>
      <c r="P9664">
        <v>3</v>
      </c>
      <c r="Q9664">
        <v>0</v>
      </c>
    </row>
    <row r="9665" spans="1:17" x14ac:dyDescent="0.2">
      <c r="A9665" s="121">
        <v>42429</v>
      </c>
      <c r="B9665" t="s">
        <v>406</v>
      </c>
      <c r="C9665" t="s">
        <v>442</v>
      </c>
      <c r="D9665" t="s">
        <v>443</v>
      </c>
      <c r="E9665" t="s">
        <v>444</v>
      </c>
      <c r="F9665" t="s">
        <v>413</v>
      </c>
      <c r="G9665">
        <v>5041</v>
      </c>
      <c r="H9665">
        <v>5041</v>
      </c>
      <c r="I9665">
        <v>4743</v>
      </c>
      <c r="J9665">
        <v>4743</v>
      </c>
      <c r="K9665">
        <v>1351</v>
      </c>
      <c r="L9665">
        <v>9</v>
      </c>
      <c r="M9665">
        <v>3432</v>
      </c>
      <c r="N9665">
        <v>99</v>
      </c>
      <c r="O9665">
        <v>150</v>
      </c>
      <c r="P9665">
        <v>35</v>
      </c>
      <c r="Q9665">
        <v>3</v>
      </c>
    </row>
    <row r="9666" spans="1:17" x14ac:dyDescent="0.2">
      <c r="A9666" s="121">
        <v>42429</v>
      </c>
      <c r="B9666" t="s">
        <v>406</v>
      </c>
      <c r="C9666" t="s">
        <v>442</v>
      </c>
      <c r="D9666" t="s">
        <v>445</v>
      </c>
      <c r="E9666" t="s">
        <v>446</v>
      </c>
      <c r="F9666" t="s">
        <v>410</v>
      </c>
      <c r="G9666">
        <v>145</v>
      </c>
      <c r="I9666">
        <v>145</v>
      </c>
    </row>
    <row r="9667" spans="1:17" x14ac:dyDescent="0.2">
      <c r="A9667" s="121">
        <v>42429</v>
      </c>
      <c r="B9667" t="s">
        <v>406</v>
      </c>
      <c r="C9667" t="s">
        <v>442</v>
      </c>
      <c r="D9667" t="s">
        <v>447</v>
      </c>
      <c r="E9667" t="s">
        <v>448</v>
      </c>
      <c r="F9667" t="s">
        <v>410</v>
      </c>
      <c r="G9667">
        <v>306</v>
      </c>
      <c r="I9667">
        <v>306</v>
      </c>
    </row>
    <row r="9668" spans="1:17" x14ac:dyDescent="0.2">
      <c r="A9668" s="121">
        <v>42429</v>
      </c>
      <c r="B9668" t="s">
        <v>406</v>
      </c>
      <c r="C9668" t="s">
        <v>442</v>
      </c>
      <c r="D9668" t="s">
        <v>449</v>
      </c>
      <c r="E9668" t="s">
        <v>624</v>
      </c>
      <c r="F9668" t="s">
        <v>410</v>
      </c>
      <c r="G9668">
        <v>1741</v>
      </c>
      <c r="H9668">
        <v>1741</v>
      </c>
      <c r="I9668">
        <v>1740</v>
      </c>
      <c r="J9668">
        <v>1740</v>
      </c>
      <c r="K9668">
        <v>12</v>
      </c>
      <c r="L9668">
        <v>0</v>
      </c>
      <c r="M9668">
        <v>1595</v>
      </c>
      <c r="N9668">
        <v>122</v>
      </c>
      <c r="O9668">
        <v>12</v>
      </c>
      <c r="P9668">
        <v>0</v>
      </c>
      <c r="Q9668">
        <v>0</v>
      </c>
    </row>
    <row r="9669" spans="1:17" x14ac:dyDescent="0.2">
      <c r="A9669" s="121">
        <v>42429</v>
      </c>
      <c r="B9669" t="s">
        <v>406</v>
      </c>
      <c r="C9669" t="s">
        <v>451</v>
      </c>
      <c r="D9669" t="s">
        <v>454</v>
      </c>
      <c r="E9669" t="s">
        <v>621</v>
      </c>
      <c r="F9669" t="s">
        <v>410</v>
      </c>
      <c r="G9669">
        <v>1236</v>
      </c>
      <c r="H9669">
        <v>1236</v>
      </c>
      <c r="I9669">
        <v>1235</v>
      </c>
      <c r="J9669">
        <v>1235</v>
      </c>
      <c r="K9669">
        <v>1</v>
      </c>
      <c r="L9669">
        <v>0</v>
      </c>
      <c r="M9669">
        <v>872</v>
      </c>
      <c r="N9669">
        <v>40</v>
      </c>
      <c r="O9669">
        <v>323</v>
      </c>
      <c r="P9669">
        <v>0</v>
      </c>
      <c r="Q9669">
        <v>0</v>
      </c>
    </row>
    <row r="9670" spans="1:17" x14ac:dyDescent="0.2">
      <c r="A9670" s="121">
        <v>42429</v>
      </c>
      <c r="B9670" t="s">
        <v>406</v>
      </c>
      <c r="C9670" t="s">
        <v>451</v>
      </c>
      <c r="D9670" t="s">
        <v>622</v>
      </c>
      <c r="E9670" t="s">
        <v>623</v>
      </c>
      <c r="F9670" t="s">
        <v>413</v>
      </c>
      <c r="G9670">
        <v>5057</v>
      </c>
      <c r="H9670">
        <v>5057</v>
      </c>
      <c r="I9670">
        <v>4684</v>
      </c>
      <c r="J9670">
        <v>4684</v>
      </c>
      <c r="K9670">
        <v>1334</v>
      </c>
      <c r="L9670">
        <v>6</v>
      </c>
      <c r="M9670">
        <v>2915</v>
      </c>
      <c r="N9670">
        <v>34</v>
      </c>
      <c r="O9670">
        <v>768</v>
      </c>
      <c r="P9670">
        <v>17</v>
      </c>
      <c r="Q9670">
        <v>0</v>
      </c>
    </row>
    <row r="9671" spans="1:17" x14ac:dyDescent="0.2">
      <c r="A9671" s="121">
        <v>42429</v>
      </c>
      <c r="B9671" t="s">
        <v>406</v>
      </c>
      <c r="C9671" t="s">
        <v>456</v>
      </c>
      <c r="D9671" t="s">
        <v>457</v>
      </c>
      <c r="E9671" t="s">
        <v>458</v>
      </c>
      <c r="F9671" t="s">
        <v>413</v>
      </c>
      <c r="G9671">
        <v>4737</v>
      </c>
      <c r="H9671">
        <v>4737</v>
      </c>
      <c r="I9671">
        <v>4468</v>
      </c>
      <c r="J9671">
        <v>4468</v>
      </c>
      <c r="K9671">
        <v>1298</v>
      </c>
      <c r="L9671">
        <v>8</v>
      </c>
      <c r="M9671">
        <v>3014</v>
      </c>
      <c r="N9671">
        <v>27</v>
      </c>
      <c r="O9671">
        <v>390</v>
      </c>
      <c r="P9671">
        <v>4</v>
      </c>
      <c r="Q9671">
        <v>0</v>
      </c>
    </row>
    <row r="9672" spans="1:17" x14ac:dyDescent="0.2">
      <c r="A9672" s="121">
        <v>42429</v>
      </c>
      <c r="B9672" t="s">
        <v>406</v>
      </c>
      <c r="C9672" t="s">
        <v>456</v>
      </c>
      <c r="D9672" t="s">
        <v>459</v>
      </c>
      <c r="E9672" t="s">
        <v>460</v>
      </c>
      <c r="F9672" t="s">
        <v>413</v>
      </c>
      <c r="G9672">
        <v>1252</v>
      </c>
      <c r="H9672">
        <v>1252</v>
      </c>
      <c r="I9672">
        <v>1237</v>
      </c>
      <c r="J9672">
        <v>1237</v>
      </c>
      <c r="K9672">
        <v>139</v>
      </c>
      <c r="L9672">
        <v>0</v>
      </c>
      <c r="M9672">
        <v>1049</v>
      </c>
      <c r="N9672">
        <v>0</v>
      </c>
      <c r="O9672">
        <v>64</v>
      </c>
      <c r="P9672">
        <v>0</v>
      </c>
      <c r="Q9672">
        <v>0</v>
      </c>
    </row>
    <row r="9673" spans="1:17" x14ac:dyDescent="0.2">
      <c r="A9673" s="121">
        <v>42429</v>
      </c>
      <c r="B9673" t="s">
        <v>406</v>
      </c>
      <c r="C9673" t="s">
        <v>456</v>
      </c>
      <c r="D9673" t="s">
        <v>461</v>
      </c>
      <c r="E9673" t="s">
        <v>462</v>
      </c>
      <c r="F9673" t="s">
        <v>410</v>
      </c>
      <c r="G9673">
        <v>63</v>
      </c>
      <c r="I9673">
        <v>63</v>
      </c>
    </row>
    <row r="9674" spans="1:17" x14ac:dyDescent="0.2">
      <c r="A9674" s="121">
        <v>42429</v>
      </c>
      <c r="B9674" t="s">
        <v>406</v>
      </c>
      <c r="C9674" t="s">
        <v>456</v>
      </c>
      <c r="D9674" t="s">
        <v>463</v>
      </c>
      <c r="E9674" t="s">
        <v>464</v>
      </c>
      <c r="F9674" t="s">
        <v>410</v>
      </c>
      <c r="G9674">
        <v>10</v>
      </c>
      <c r="I9674">
        <v>10</v>
      </c>
    </row>
    <row r="9675" spans="1:17" x14ac:dyDescent="0.2">
      <c r="A9675" s="121">
        <v>42429</v>
      </c>
      <c r="B9675" t="s">
        <v>406</v>
      </c>
      <c r="C9675" t="s">
        <v>456</v>
      </c>
      <c r="D9675" t="s">
        <v>465</v>
      </c>
      <c r="E9675" t="s">
        <v>466</v>
      </c>
      <c r="F9675" t="s">
        <v>410</v>
      </c>
      <c r="G9675">
        <v>17</v>
      </c>
      <c r="I9675">
        <v>17</v>
      </c>
    </row>
    <row r="9676" spans="1:17" x14ac:dyDescent="0.2">
      <c r="A9676" s="121">
        <v>42429</v>
      </c>
      <c r="B9676" t="s">
        <v>406</v>
      </c>
      <c r="C9676" t="s">
        <v>456</v>
      </c>
      <c r="D9676" t="s">
        <v>467</v>
      </c>
      <c r="E9676" t="s">
        <v>468</v>
      </c>
      <c r="F9676" t="s">
        <v>410</v>
      </c>
      <c r="G9676">
        <v>1333</v>
      </c>
      <c r="I9676">
        <v>1327</v>
      </c>
    </row>
    <row r="9677" spans="1:17" x14ac:dyDescent="0.2">
      <c r="A9677" s="121">
        <v>42429</v>
      </c>
      <c r="B9677" t="s">
        <v>406</v>
      </c>
      <c r="C9677" t="s">
        <v>456</v>
      </c>
      <c r="D9677" t="s">
        <v>469</v>
      </c>
      <c r="E9677" t="s">
        <v>470</v>
      </c>
      <c r="F9677" t="s">
        <v>410</v>
      </c>
      <c r="G9677">
        <v>669</v>
      </c>
      <c r="I9677">
        <v>666</v>
      </c>
    </row>
    <row r="9678" spans="1:17" x14ac:dyDescent="0.2">
      <c r="A9678" s="121">
        <v>42429</v>
      </c>
      <c r="B9678" t="s">
        <v>406</v>
      </c>
      <c r="C9678" t="s">
        <v>456</v>
      </c>
      <c r="D9678" t="s">
        <v>471</v>
      </c>
      <c r="E9678" t="s">
        <v>472</v>
      </c>
      <c r="F9678" t="s">
        <v>410</v>
      </c>
      <c r="G9678">
        <v>257</v>
      </c>
      <c r="I9678">
        <v>251</v>
      </c>
    </row>
    <row r="9679" spans="1:17" x14ac:dyDescent="0.2">
      <c r="A9679" s="121">
        <v>42429</v>
      </c>
      <c r="B9679" t="s">
        <v>406</v>
      </c>
      <c r="C9679" t="s">
        <v>456</v>
      </c>
      <c r="D9679" t="s">
        <v>473</v>
      </c>
      <c r="E9679" t="s">
        <v>474</v>
      </c>
      <c r="F9679" t="s">
        <v>410</v>
      </c>
      <c r="G9679">
        <v>197</v>
      </c>
      <c r="I9679">
        <v>197</v>
      </c>
    </row>
    <row r="9680" spans="1:17" x14ac:dyDescent="0.2">
      <c r="A9680" s="121">
        <v>42429</v>
      </c>
      <c r="B9680" t="s">
        <v>406</v>
      </c>
      <c r="C9680" t="s">
        <v>456</v>
      </c>
      <c r="D9680" t="s">
        <v>475</v>
      </c>
      <c r="E9680" t="s">
        <v>476</v>
      </c>
      <c r="F9680" t="s">
        <v>410</v>
      </c>
      <c r="G9680">
        <v>229</v>
      </c>
      <c r="I9680">
        <v>224</v>
      </c>
    </row>
    <row r="9681" spans="1:17" x14ac:dyDescent="0.2">
      <c r="A9681" s="121">
        <v>42429</v>
      </c>
      <c r="B9681" t="s">
        <v>406</v>
      </c>
      <c r="C9681" t="s">
        <v>456</v>
      </c>
      <c r="D9681" t="s">
        <v>477</v>
      </c>
      <c r="E9681" t="s">
        <v>478</v>
      </c>
      <c r="F9681" t="s">
        <v>413</v>
      </c>
      <c r="G9681">
        <v>1904</v>
      </c>
      <c r="H9681">
        <v>1904</v>
      </c>
      <c r="I9681">
        <v>1803</v>
      </c>
      <c r="J9681">
        <v>1803</v>
      </c>
      <c r="K9681">
        <v>398</v>
      </c>
      <c r="L9681">
        <v>1</v>
      </c>
      <c r="M9681">
        <v>1435</v>
      </c>
      <c r="N9681">
        <v>11</v>
      </c>
      <c r="O9681">
        <v>59</v>
      </c>
      <c r="P9681">
        <v>4</v>
      </c>
      <c r="Q9681">
        <v>0</v>
      </c>
    </row>
    <row r="9682" spans="1:17" x14ac:dyDescent="0.2">
      <c r="A9682" s="121">
        <v>42429</v>
      </c>
      <c r="B9682" t="s">
        <v>406</v>
      </c>
      <c r="C9682" t="s">
        <v>456</v>
      </c>
      <c r="D9682" t="s">
        <v>479</v>
      </c>
      <c r="E9682" t="s">
        <v>480</v>
      </c>
      <c r="F9682" t="s">
        <v>410</v>
      </c>
      <c r="G9682">
        <v>28</v>
      </c>
      <c r="I9682">
        <v>28</v>
      </c>
    </row>
    <row r="9683" spans="1:17" x14ac:dyDescent="0.2">
      <c r="A9683" s="121">
        <v>42429</v>
      </c>
      <c r="B9683" t="s">
        <v>406</v>
      </c>
      <c r="C9683" t="s">
        <v>456</v>
      </c>
      <c r="D9683" t="s">
        <v>481</v>
      </c>
      <c r="E9683" t="s">
        <v>482</v>
      </c>
      <c r="F9683" t="s">
        <v>410</v>
      </c>
      <c r="G9683">
        <v>31</v>
      </c>
      <c r="I9683">
        <v>31</v>
      </c>
    </row>
    <row r="9684" spans="1:17" x14ac:dyDescent="0.2">
      <c r="A9684" s="121">
        <v>42429</v>
      </c>
      <c r="B9684" t="s">
        <v>406</v>
      </c>
      <c r="C9684" t="s">
        <v>456</v>
      </c>
      <c r="D9684" t="s">
        <v>483</v>
      </c>
      <c r="E9684" t="s">
        <v>484</v>
      </c>
      <c r="F9684" t="s">
        <v>410</v>
      </c>
      <c r="G9684">
        <v>83</v>
      </c>
      <c r="I9684">
        <v>83</v>
      </c>
    </row>
    <row r="9685" spans="1:17" x14ac:dyDescent="0.2">
      <c r="A9685" s="121">
        <v>42429</v>
      </c>
      <c r="B9685" t="s">
        <v>406</v>
      </c>
      <c r="C9685" t="s">
        <v>456</v>
      </c>
      <c r="D9685" t="s">
        <v>487</v>
      </c>
      <c r="E9685" t="s">
        <v>488</v>
      </c>
      <c r="F9685" t="s">
        <v>410</v>
      </c>
      <c r="G9685">
        <v>25</v>
      </c>
      <c r="I9685">
        <v>25</v>
      </c>
    </row>
    <row r="9686" spans="1:17" x14ac:dyDescent="0.2">
      <c r="A9686" s="121">
        <v>42429</v>
      </c>
      <c r="B9686" t="s">
        <v>406</v>
      </c>
      <c r="C9686" t="s">
        <v>456</v>
      </c>
      <c r="D9686" t="s">
        <v>489</v>
      </c>
      <c r="E9686" t="s">
        <v>490</v>
      </c>
      <c r="F9686" t="s">
        <v>410</v>
      </c>
      <c r="G9686">
        <v>106</v>
      </c>
      <c r="I9686">
        <v>106</v>
      </c>
    </row>
    <row r="9687" spans="1:17" x14ac:dyDescent="0.2">
      <c r="A9687" s="121">
        <v>42429</v>
      </c>
      <c r="B9687" t="s">
        <v>406</v>
      </c>
      <c r="C9687" t="s">
        <v>456</v>
      </c>
      <c r="D9687" t="s">
        <v>628</v>
      </c>
      <c r="E9687" t="s">
        <v>629</v>
      </c>
      <c r="F9687" t="s">
        <v>410</v>
      </c>
      <c r="G9687">
        <v>47</v>
      </c>
      <c r="I9687">
        <v>47</v>
      </c>
    </row>
    <row r="9688" spans="1:17" x14ac:dyDescent="0.2">
      <c r="A9688" s="121">
        <v>42429</v>
      </c>
      <c r="B9688" t="s">
        <v>406</v>
      </c>
      <c r="C9688" t="s">
        <v>491</v>
      </c>
      <c r="D9688" t="s">
        <v>492</v>
      </c>
      <c r="E9688" t="s">
        <v>493</v>
      </c>
      <c r="F9688" t="s">
        <v>410</v>
      </c>
      <c r="G9688">
        <v>1225</v>
      </c>
      <c r="H9688">
        <v>1225</v>
      </c>
      <c r="I9688">
        <v>1183</v>
      </c>
      <c r="J9688">
        <v>1183</v>
      </c>
      <c r="K9688">
        <v>210</v>
      </c>
      <c r="L9688">
        <v>0</v>
      </c>
      <c r="M9688">
        <v>916</v>
      </c>
      <c r="N9688">
        <v>89</v>
      </c>
      <c r="O9688">
        <v>10</v>
      </c>
      <c r="P9688">
        <v>1</v>
      </c>
      <c r="Q9688">
        <v>0</v>
      </c>
    </row>
    <row r="9689" spans="1:17" x14ac:dyDescent="0.2">
      <c r="A9689" s="121">
        <v>42429</v>
      </c>
      <c r="B9689" t="s">
        <v>406</v>
      </c>
      <c r="C9689" t="s">
        <v>491</v>
      </c>
      <c r="D9689" t="s">
        <v>494</v>
      </c>
      <c r="E9689" t="s">
        <v>495</v>
      </c>
      <c r="F9689" t="s">
        <v>413</v>
      </c>
      <c r="G9689">
        <v>2613</v>
      </c>
      <c r="H9689">
        <v>2613</v>
      </c>
      <c r="I9689">
        <v>2502</v>
      </c>
      <c r="J9689">
        <v>2502</v>
      </c>
      <c r="K9689">
        <v>722</v>
      </c>
      <c r="L9689">
        <v>2</v>
      </c>
      <c r="M9689">
        <v>1654</v>
      </c>
      <c r="N9689">
        <v>65</v>
      </c>
      <c r="O9689">
        <v>170</v>
      </c>
      <c r="P9689">
        <v>2</v>
      </c>
      <c r="Q9689">
        <v>0</v>
      </c>
    </row>
    <row r="9690" spans="1:17" x14ac:dyDescent="0.2">
      <c r="A9690" s="121">
        <v>42429</v>
      </c>
      <c r="B9690" t="s">
        <v>406</v>
      </c>
      <c r="C9690" t="s">
        <v>491</v>
      </c>
      <c r="D9690" t="s">
        <v>496</v>
      </c>
      <c r="E9690" t="s">
        <v>497</v>
      </c>
      <c r="F9690" t="s">
        <v>413</v>
      </c>
      <c r="G9690">
        <v>5360</v>
      </c>
      <c r="H9690">
        <v>5360</v>
      </c>
      <c r="I9690">
        <v>4848</v>
      </c>
      <c r="J9690">
        <v>4848</v>
      </c>
      <c r="K9690">
        <v>1880</v>
      </c>
      <c r="L9690">
        <v>11</v>
      </c>
      <c r="M9690">
        <v>3244</v>
      </c>
      <c r="N9690">
        <v>107</v>
      </c>
      <c r="O9690">
        <v>118</v>
      </c>
      <c r="P9690">
        <v>30</v>
      </c>
      <c r="Q9690">
        <v>0</v>
      </c>
    </row>
    <row r="9691" spans="1:17" x14ac:dyDescent="0.2">
      <c r="A9691" s="121">
        <v>42429</v>
      </c>
      <c r="B9691" t="s">
        <v>406</v>
      </c>
      <c r="C9691" t="s">
        <v>491</v>
      </c>
      <c r="D9691" t="s">
        <v>498</v>
      </c>
      <c r="E9691" t="s">
        <v>499</v>
      </c>
      <c r="F9691" t="s">
        <v>413</v>
      </c>
      <c r="G9691">
        <v>7295</v>
      </c>
      <c r="H9691">
        <v>7295</v>
      </c>
      <c r="I9691">
        <v>6454</v>
      </c>
      <c r="J9691">
        <v>6454</v>
      </c>
      <c r="K9691">
        <v>2227</v>
      </c>
      <c r="L9691">
        <v>13</v>
      </c>
      <c r="M9691">
        <v>4651</v>
      </c>
      <c r="N9691">
        <v>128</v>
      </c>
      <c r="O9691">
        <v>276</v>
      </c>
      <c r="P9691">
        <v>17</v>
      </c>
      <c r="Q9691">
        <v>0</v>
      </c>
    </row>
    <row r="9692" spans="1:17" x14ac:dyDescent="0.2">
      <c r="A9692" s="121">
        <v>42429</v>
      </c>
      <c r="B9692" t="s">
        <v>406</v>
      </c>
      <c r="C9692" t="s">
        <v>491</v>
      </c>
      <c r="D9692" t="s">
        <v>500</v>
      </c>
      <c r="E9692" t="s">
        <v>620</v>
      </c>
      <c r="F9692" t="s">
        <v>410</v>
      </c>
      <c r="G9692">
        <v>1554</v>
      </c>
      <c r="H9692">
        <v>1554</v>
      </c>
      <c r="I9692">
        <v>1548</v>
      </c>
      <c r="J9692">
        <v>1548</v>
      </c>
      <c r="K9692">
        <v>0</v>
      </c>
      <c r="L9692">
        <v>0</v>
      </c>
      <c r="M9692">
        <v>1417</v>
      </c>
      <c r="N9692">
        <v>82</v>
      </c>
      <c r="O9692">
        <v>55</v>
      </c>
      <c r="P9692">
        <v>0</v>
      </c>
      <c r="Q9692">
        <v>0</v>
      </c>
    </row>
    <row r="9693" spans="1:17" x14ac:dyDescent="0.2">
      <c r="A9693" s="121">
        <v>42429</v>
      </c>
      <c r="B9693" t="s">
        <v>406</v>
      </c>
      <c r="C9693" t="s">
        <v>491</v>
      </c>
      <c r="D9693" t="s">
        <v>502</v>
      </c>
      <c r="E9693" t="s">
        <v>615</v>
      </c>
      <c r="F9693" t="s">
        <v>410</v>
      </c>
      <c r="G9693">
        <v>2347</v>
      </c>
      <c r="H9693">
        <v>2347</v>
      </c>
      <c r="I9693">
        <v>2346</v>
      </c>
      <c r="J9693">
        <v>2346</v>
      </c>
      <c r="K9693">
        <v>5</v>
      </c>
      <c r="L9693">
        <v>1</v>
      </c>
      <c r="M9693">
        <v>2058</v>
      </c>
      <c r="N9693">
        <v>267</v>
      </c>
      <c r="O9693">
        <v>16</v>
      </c>
      <c r="P9693">
        <v>0</v>
      </c>
      <c r="Q9693">
        <v>0</v>
      </c>
    </row>
    <row r="9694" spans="1:17" x14ac:dyDescent="0.2">
      <c r="A9694" s="121">
        <v>42429</v>
      </c>
      <c r="B9694" t="s">
        <v>406</v>
      </c>
      <c r="C9694" t="s">
        <v>491</v>
      </c>
      <c r="D9694" t="s">
        <v>504</v>
      </c>
      <c r="E9694" t="s">
        <v>630</v>
      </c>
      <c r="F9694" t="s">
        <v>413</v>
      </c>
      <c r="G9694">
        <v>7287</v>
      </c>
      <c r="H9694">
        <v>7287</v>
      </c>
      <c r="I9694">
        <v>6364</v>
      </c>
      <c r="J9694">
        <v>6364</v>
      </c>
      <c r="K9694">
        <v>2258</v>
      </c>
      <c r="L9694">
        <v>27</v>
      </c>
      <c r="M9694">
        <v>4716</v>
      </c>
      <c r="N9694">
        <v>153</v>
      </c>
      <c r="O9694">
        <v>133</v>
      </c>
      <c r="P9694">
        <v>90</v>
      </c>
      <c r="Q9694">
        <v>4</v>
      </c>
    </row>
    <row r="9695" spans="1:17" x14ac:dyDescent="0.2">
      <c r="A9695" s="121">
        <v>42429</v>
      </c>
      <c r="B9695" t="s">
        <v>406</v>
      </c>
      <c r="C9695" t="s">
        <v>491</v>
      </c>
      <c r="D9695" t="s">
        <v>506</v>
      </c>
      <c r="E9695" t="s">
        <v>507</v>
      </c>
      <c r="F9695" t="s">
        <v>413</v>
      </c>
      <c r="G9695">
        <v>4769</v>
      </c>
      <c r="H9695">
        <v>4769</v>
      </c>
      <c r="I9695">
        <v>4751</v>
      </c>
      <c r="J9695">
        <v>4751</v>
      </c>
      <c r="K9695">
        <v>876</v>
      </c>
      <c r="L9695">
        <v>1</v>
      </c>
      <c r="M9695">
        <v>3884</v>
      </c>
      <c r="N9695">
        <v>0</v>
      </c>
      <c r="O9695">
        <v>8</v>
      </c>
      <c r="P9695">
        <v>0</v>
      </c>
      <c r="Q9695">
        <v>0</v>
      </c>
    </row>
    <row r="9696" spans="1:17" x14ac:dyDescent="0.2">
      <c r="A9696" s="121">
        <v>42429</v>
      </c>
      <c r="B9696" t="s">
        <v>406</v>
      </c>
      <c r="C9696" t="s">
        <v>491</v>
      </c>
      <c r="D9696" t="s">
        <v>508</v>
      </c>
      <c r="E9696" t="s">
        <v>631</v>
      </c>
      <c r="F9696" t="s">
        <v>410</v>
      </c>
      <c r="G9696">
        <v>887</v>
      </c>
      <c r="H9696">
        <v>887</v>
      </c>
      <c r="I9696">
        <v>886</v>
      </c>
      <c r="J9696">
        <v>886</v>
      </c>
      <c r="K9696">
        <v>1</v>
      </c>
      <c r="L9696">
        <v>0</v>
      </c>
      <c r="M9696">
        <v>824</v>
      </c>
      <c r="N9696">
        <v>61</v>
      </c>
      <c r="O9696">
        <v>1</v>
      </c>
      <c r="P9696">
        <v>0</v>
      </c>
      <c r="Q9696">
        <v>0</v>
      </c>
    </row>
    <row r="9697" spans="1:17" x14ac:dyDescent="0.2">
      <c r="A9697" s="121">
        <v>42429</v>
      </c>
      <c r="B9697" t="s">
        <v>406</v>
      </c>
      <c r="C9697" t="s">
        <v>510</v>
      </c>
      <c r="D9697" t="s">
        <v>513</v>
      </c>
      <c r="E9697" t="s">
        <v>514</v>
      </c>
      <c r="F9697" t="s">
        <v>410</v>
      </c>
      <c r="G9697">
        <v>547</v>
      </c>
      <c r="I9697">
        <v>547</v>
      </c>
    </row>
    <row r="9698" spans="1:17" x14ac:dyDescent="0.2">
      <c r="A9698" s="121">
        <v>42429</v>
      </c>
      <c r="B9698" t="s">
        <v>406</v>
      </c>
      <c r="C9698" t="s">
        <v>510</v>
      </c>
      <c r="D9698" t="s">
        <v>515</v>
      </c>
      <c r="E9698" t="s">
        <v>516</v>
      </c>
      <c r="F9698" t="s">
        <v>410</v>
      </c>
      <c r="G9698">
        <v>75</v>
      </c>
      <c r="I9698">
        <v>73</v>
      </c>
    </row>
    <row r="9699" spans="1:17" x14ac:dyDescent="0.2">
      <c r="A9699" s="121">
        <v>42429</v>
      </c>
      <c r="B9699" t="s">
        <v>406</v>
      </c>
      <c r="C9699" t="s">
        <v>510</v>
      </c>
      <c r="D9699" t="s">
        <v>519</v>
      </c>
      <c r="E9699" t="s">
        <v>520</v>
      </c>
      <c r="F9699" t="s">
        <v>410</v>
      </c>
      <c r="G9699">
        <v>332</v>
      </c>
      <c r="I9699">
        <v>327</v>
      </c>
    </row>
    <row r="9700" spans="1:17" x14ac:dyDescent="0.2">
      <c r="A9700" s="121">
        <v>42429</v>
      </c>
      <c r="B9700" t="s">
        <v>406</v>
      </c>
      <c r="C9700" t="s">
        <v>510</v>
      </c>
      <c r="D9700" t="s">
        <v>523</v>
      </c>
      <c r="E9700" t="s">
        <v>524</v>
      </c>
      <c r="F9700" t="s">
        <v>413</v>
      </c>
      <c r="G9700">
        <v>539</v>
      </c>
      <c r="H9700">
        <v>539</v>
      </c>
      <c r="I9700">
        <v>536</v>
      </c>
      <c r="J9700">
        <v>536</v>
      </c>
      <c r="K9700">
        <v>142</v>
      </c>
      <c r="L9700">
        <v>0</v>
      </c>
      <c r="M9700">
        <v>378</v>
      </c>
      <c r="N9700">
        <v>19</v>
      </c>
      <c r="O9700">
        <v>0</v>
      </c>
      <c r="P9700">
        <v>0</v>
      </c>
      <c r="Q9700">
        <v>0</v>
      </c>
    </row>
    <row r="9701" spans="1:17" x14ac:dyDescent="0.2">
      <c r="A9701" s="121">
        <v>42429</v>
      </c>
      <c r="B9701" t="s">
        <v>406</v>
      </c>
      <c r="C9701" t="s">
        <v>510</v>
      </c>
      <c r="D9701" t="s">
        <v>525</v>
      </c>
      <c r="E9701" t="s">
        <v>526</v>
      </c>
      <c r="F9701" t="s">
        <v>410</v>
      </c>
      <c r="G9701">
        <v>374</v>
      </c>
      <c r="I9701">
        <v>370</v>
      </c>
    </row>
    <row r="9702" spans="1:17" x14ac:dyDescent="0.2">
      <c r="A9702" s="121">
        <v>42429</v>
      </c>
      <c r="B9702" t="s">
        <v>406</v>
      </c>
      <c r="C9702" t="s">
        <v>510</v>
      </c>
      <c r="D9702" t="s">
        <v>527</v>
      </c>
      <c r="E9702" t="s">
        <v>528</v>
      </c>
      <c r="F9702" t="s">
        <v>410</v>
      </c>
      <c r="G9702">
        <v>205</v>
      </c>
      <c r="I9702">
        <v>204</v>
      </c>
    </row>
    <row r="9703" spans="1:17" x14ac:dyDescent="0.2">
      <c r="A9703" s="121">
        <v>42429</v>
      </c>
      <c r="B9703" t="s">
        <v>406</v>
      </c>
      <c r="C9703" t="s">
        <v>510</v>
      </c>
      <c r="D9703" t="s">
        <v>529</v>
      </c>
      <c r="E9703" t="s">
        <v>530</v>
      </c>
      <c r="F9703" t="s">
        <v>413</v>
      </c>
      <c r="G9703">
        <v>552</v>
      </c>
      <c r="H9703">
        <v>552</v>
      </c>
      <c r="I9703">
        <v>520</v>
      </c>
      <c r="J9703">
        <v>520</v>
      </c>
      <c r="K9703">
        <v>182</v>
      </c>
      <c r="L9703">
        <v>0</v>
      </c>
      <c r="M9703">
        <v>367</v>
      </c>
      <c r="N9703">
        <v>3</v>
      </c>
      <c r="O9703">
        <v>0</v>
      </c>
      <c r="P9703">
        <v>1</v>
      </c>
      <c r="Q9703">
        <v>0</v>
      </c>
    </row>
    <row r="9704" spans="1:17" x14ac:dyDescent="0.2">
      <c r="A9704" s="121">
        <v>42429</v>
      </c>
      <c r="B9704" t="s">
        <v>406</v>
      </c>
      <c r="C9704" t="s">
        <v>510</v>
      </c>
      <c r="D9704" t="s">
        <v>531</v>
      </c>
      <c r="E9704" t="s">
        <v>532</v>
      </c>
      <c r="F9704" t="s">
        <v>410</v>
      </c>
      <c r="G9704">
        <v>12</v>
      </c>
      <c r="I9704">
        <v>12</v>
      </c>
    </row>
    <row r="9705" spans="1:17" x14ac:dyDescent="0.2">
      <c r="A9705" s="121">
        <v>42429</v>
      </c>
      <c r="B9705" t="s">
        <v>406</v>
      </c>
      <c r="C9705" t="s">
        <v>510</v>
      </c>
      <c r="D9705" t="s">
        <v>533</v>
      </c>
      <c r="E9705" t="s">
        <v>534</v>
      </c>
      <c r="F9705" t="s">
        <v>413</v>
      </c>
      <c r="G9705">
        <v>2595</v>
      </c>
      <c r="H9705">
        <v>2595</v>
      </c>
      <c r="I9705">
        <v>2329</v>
      </c>
      <c r="J9705">
        <v>2329</v>
      </c>
      <c r="K9705">
        <v>804</v>
      </c>
      <c r="L9705">
        <v>4</v>
      </c>
      <c r="M9705">
        <v>1772</v>
      </c>
      <c r="N9705">
        <v>15</v>
      </c>
      <c r="O9705">
        <v>0</v>
      </c>
      <c r="P9705">
        <v>21</v>
      </c>
      <c r="Q9705">
        <v>2</v>
      </c>
    </row>
    <row r="9706" spans="1:17" x14ac:dyDescent="0.2">
      <c r="A9706" s="121">
        <v>42429</v>
      </c>
      <c r="B9706" t="s">
        <v>406</v>
      </c>
      <c r="C9706" t="s">
        <v>510</v>
      </c>
      <c r="D9706" t="s">
        <v>535</v>
      </c>
      <c r="E9706" t="s">
        <v>536</v>
      </c>
      <c r="F9706" t="s">
        <v>410</v>
      </c>
      <c r="G9706">
        <v>381</v>
      </c>
      <c r="I9706">
        <v>381</v>
      </c>
    </row>
    <row r="9707" spans="1:17" x14ac:dyDescent="0.2">
      <c r="A9707" s="121">
        <v>42429</v>
      </c>
      <c r="B9707" t="s">
        <v>406</v>
      </c>
      <c r="C9707" t="s">
        <v>510</v>
      </c>
      <c r="D9707" t="s">
        <v>537</v>
      </c>
      <c r="E9707" t="s">
        <v>538</v>
      </c>
      <c r="F9707" t="s">
        <v>410</v>
      </c>
      <c r="G9707">
        <v>71</v>
      </c>
      <c r="I9707">
        <v>71</v>
      </c>
    </row>
    <row r="9708" spans="1:17" x14ac:dyDescent="0.2">
      <c r="A9708" s="121">
        <v>42429</v>
      </c>
      <c r="B9708" t="s">
        <v>406</v>
      </c>
      <c r="C9708" t="s">
        <v>510</v>
      </c>
      <c r="D9708" t="s">
        <v>539</v>
      </c>
      <c r="E9708" t="s">
        <v>540</v>
      </c>
      <c r="F9708" t="s">
        <v>413</v>
      </c>
      <c r="G9708">
        <v>632</v>
      </c>
      <c r="H9708">
        <v>632</v>
      </c>
      <c r="I9708">
        <v>615</v>
      </c>
      <c r="J9708">
        <v>615</v>
      </c>
      <c r="K9708">
        <v>122</v>
      </c>
      <c r="L9708">
        <v>1</v>
      </c>
      <c r="M9708">
        <v>504</v>
      </c>
      <c r="N9708">
        <v>5</v>
      </c>
      <c r="O9708">
        <v>0</v>
      </c>
      <c r="P9708">
        <v>2</v>
      </c>
      <c r="Q9708">
        <v>0</v>
      </c>
    </row>
    <row r="9709" spans="1:17" x14ac:dyDescent="0.2">
      <c r="A9709" s="121">
        <v>42429</v>
      </c>
      <c r="B9709" t="s">
        <v>406</v>
      </c>
      <c r="C9709" t="s">
        <v>510</v>
      </c>
      <c r="D9709" t="s">
        <v>541</v>
      </c>
      <c r="E9709" t="s">
        <v>542</v>
      </c>
      <c r="F9709" t="s">
        <v>410</v>
      </c>
      <c r="G9709">
        <v>299</v>
      </c>
      <c r="I9709">
        <v>299</v>
      </c>
    </row>
    <row r="9710" spans="1:17" x14ac:dyDescent="0.2">
      <c r="A9710" s="121">
        <v>42429</v>
      </c>
      <c r="B9710" t="s">
        <v>406</v>
      </c>
      <c r="C9710" t="s">
        <v>510</v>
      </c>
      <c r="D9710" t="s">
        <v>543</v>
      </c>
      <c r="E9710" t="s">
        <v>544</v>
      </c>
      <c r="F9710" t="s">
        <v>410</v>
      </c>
      <c r="G9710">
        <v>166</v>
      </c>
      <c r="I9710">
        <v>166</v>
      </c>
    </row>
    <row r="9711" spans="1:17" x14ac:dyDescent="0.2">
      <c r="A9711" s="121">
        <v>42429</v>
      </c>
      <c r="B9711" t="s">
        <v>406</v>
      </c>
      <c r="C9711" t="s">
        <v>510</v>
      </c>
      <c r="D9711" t="s">
        <v>545</v>
      </c>
      <c r="E9711" t="s">
        <v>546</v>
      </c>
      <c r="F9711" t="s">
        <v>410</v>
      </c>
      <c r="G9711">
        <v>104</v>
      </c>
      <c r="I9711">
        <v>104</v>
      </c>
    </row>
    <row r="9712" spans="1:17" x14ac:dyDescent="0.2">
      <c r="A9712" s="121">
        <v>42429</v>
      </c>
      <c r="B9712" t="s">
        <v>406</v>
      </c>
      <c r="C9712" t="s">
        <v>510</v>
      </c>
      <c r="D9712" t="s">
        <v>547</v>
      </c>
      <c r="E9712" t="s">
        <v>548</v>
      </c>
      <c r="F9712" t="s">
        <v>410</v>
      </c>
      <c r="G9712">
        <v>163</v>
      </c>
      <c r="I9712">
        <v>163</v>
      </c>
    </row>
    <row r="9713" spans="1:17" x14ac:dyDescent="0.2">
      <c r="A9713" s="121">
        <v>42429</v>
      </c>
      <c r="B9713" t="s">
        <v>406</v>
      </c>
      <c r="C9713" t="s">
        <v>510</v>
      </c>
      <c r="D9713" t="s">
        <v>616</v>
      </c>
      <c r="E9713" t="s">
        <v>617</v>
      </c>
      <c r="F9713" t="s">
        <v>410</v>
      </c>
      <c r="G9713">
        <v>306</v>
      </c>
      <c r="I9713">
        <v>290</v>
      </c>
    </row>
    <row r="9714" spans="1:17" x14ac:dyDescent="0.2">
      <c r="A9714" s="121">
        <v>42429</v>
      </c>
      <c r="B9714" t="s">
        <v>406</v>
      </c>
      <c r="C9714" t="s">
        <v>510</v>
      </c>
      <c r="D9714" t="s">
        <v>549</v>
      </c>
      <c r="E9714" t="s">
        <v>550</v>
      </c>
      <c r="F9714" t="s">
        <v>410</v>
      </c>
      <c r="G9714">
        <v>180</v>
      </c>
      <c r="I9714">
        <v>180</v>
      </c>
    </row>
    <row r="9715" spans="1:17" x14ac:dyDescent="0.2">
      <c r="A9715" s="121">
        <v>42429</v>
      </c>
      <c r="B9715" t="s">
        <v>406</v>
      </c>
      <c r="C9715" t="s">
        <v>510</v>
      </c>
      <c r="D9715" t="s">
        <v>625</v>
      </c>
      <c r="E9715" t="s">
        <v>626</v>
      </c>
      <c r="F9715" t="s">
        <v>410</v>
      </c>
      <c r="G9715">
        <v>34</v>
      </c>
      <c r="I9715">
        <v>34</v>
      </c>
    </row>
    <row r="9716" spans="1:17" x14ac:dyDescent="0.2">
      <c r="A9716" s="121">
        <v>42429</v>
      </c>
      <c r="B9716" t="s">
        <v>406</v>
      </c>
      <c r="C9716" t="s">
        <v>551</v>
      </c>
      <c r="D9716" t="s">
        <v>552</v>
      </c>
      <c r="E9716" t="s">
        <v>553</v>
      </c>
      <c r="F9716" t="s">
        <v>413</v>
      </c>
      <c r="G9716">
        <v>5286</v>
      </c>
      <c r="H9716">
        <v>5286</v>
      </c>
      <c r="I9716">
        <v>4985</v>
      </c>
      <c r="J9716">
        <v>4985</v>
      </c>
      <c r="K9716">
        <v>1868</v>
      </c>
      <c r="L9716">
        <v>13</v>
      </c>
      <c r="M9716">
        <v>3303</v>
      </c>
      <c r="N9716">
        <v>67</v>
      </c>
      <c r="O9716">
        <v>35</v>
      </c>
      <c r="P9716">
        <v>12</v>
      </c>
      <c r="Q9716">
        <v>0</v>
      </c>
    </row>
    <row r="9717" spans="1:17" x14ac:dyDescent="0.2">
      <c r="A9717" s="121">
        <v>42429</v>
      </c>
      <c r="B9717" t="s">
        <v>406</v>
      </c>
      <c r="C9717" t="s">
        <v>551</v>
      </c>
      <c r="D9717" t="s">
        <v>554</v>
      </c>
      <c r="E9717" t="s">
        <v>555</v>
      </c>
      <c r="F9717" t="s">
        <v>410</v>
      </c>
      <c r="G9717">
        <v>59</v>
      </c>
      <c r="I9717">
        <v>59</v>
      </c>
    </row>
    <row r="9718" spans="1:17" x14ac:dyDescent="0.2">
      <c r="A9718" s="121">
        <v>42429</v>
      </c>
      <c r="B9718" t="s">
        <v>406</v>
      </c>
      <c r="C9718" t="s">
        <v>551</v>
      </c>
      <c r="D9718" t="s">
        <v>556</v>
      </c>
      <c r="E9718" t="s">
        <v>557</v>
      </c>
      <c r="F9718" t="s">
        <v>410</v>
      </c>
      <c r="G9718">
        <v>65</v>
      </c>
      <c r="I9718">
        <v>65</v>
      </c>
    </row>
    <row r="9719" spans="1:17" x14ac:dyDescent="0.2">
      <c r="A9719" s="121">
        <v>42429</v>
      </c>
      <c r="B9719" t="s">
        <v>406</v>
      </c>
      <c r="C9719" t="s">
        <v>551</v>
      </c>
      <c r="D9719" t="s">
        <v>558</v>
      </c>
      <c r="E9719" t="s">
        <v>559</v>
      </c>
      <c r="F9719" t="s">
        <v>413</v>
      </c>
      <c r="G9719">
        <v>4921</v>
      </c>
      <c r="H9719">
        <v>4921</v>
      </c>
      <c r="I9719">
        <v>4519</v>
      </c>
      <c r="J9719">
        <v>4519</v>
      </c>
      <c r="K9719">
        <v>1462</v>
      </c>
      <c r="L9719">
        <v>4</v>
      </c>
      <c r="M9719">
        <v>3372</v>
      </c>
      <c r="N9719">
        <v>74</v>
      </c>
      <c r="O9719">
        <v>9</v>
      </c>
      <c r="P9719">
        <v>76</v>
      </c>
      <c r="Q9719">
        <v>30</v>
      </c>
    </row>
    <row r="9720" spans="1:17" x14ac:dyDescent="0.2">
      <c r="A9720" s="121">
        <v>42429</v>
      </c>
      <c r="B9720" t="s">
        <v>406</v>
      </c>
      <c r="C9720" t="s">
        <v>551</v>
      </c>
      <c r="D9720" t="s">
        <v>560</v>
      </c>
      <c r="E9720" t="s">
        <v>561</v>
      </c>
      <c r="F9720" t="s">
        <v>413</v>
      </c>
      <c r="G9720">
        <v>5084</v>
      </c>
      <c r="H9720">
        <v>5084</v>
      </c>
      <c r="I9720">
        <v>4589</v>
      </c>
      <c r="J9720">
        <v>4589</v>
      </c>
      <c r="K9720">
        <v>1188</v>
      </c>
      <c r="L9720">
        <v>6</v>
      </c>
      <c r="M9720">
        <v>3738</v>
      </c>
      <c r="N9720">
        <v>56</v>
      </c>
      <c r="O9720">
        <v>96</v>
      </c>
      <c r="P9720">
        <v>37</v>
      </c>
      <c r="Q9720">
        <v>4</v>
      </c>
    </row>
    <row r="9721" spans="1:17" x14ac:dyDescent="0.2">
      <c r="A9721" s="121">
        <v>42429</v>
      </c>
      <c r="B9721" t="s">
        <v>406</v>
      </c>
      <c r="C9721" t="s">
        <v>562</v>
      </c>
      <c r="D9721" t="s">
        <v>605</v>
      </c>
      <c r="E9721" t="s">
        <v>606</v>
      </c>
      <c r="F9721" t="s">
        <v>410</v>
      </c>
      <c r="G9721">
        <v>99</v>
      </c>
      <c r="I9721">
        <v>99</v>
      </c>
    </row>
    <row r="9722" spans="1:17" x14ac:dyDescent="0.2">
      <c r="A9722" s="121">
        <v>42429</v>
      </c>
      <c r="B9722" t="s">
        <v>406</v>
      </c>
      <c r="C9722" t="s">
        <v>562</v>
      </c>
      <c r="D9722" t="s">
        <v>563</v>
      </c>
      <c r="E9722" t="s">
        <v>564</v>
      </c>
      <c r="F9722" t="s">
        <v>410</v>
      </c>
      <c r="G9722">
        <v>3590</v>
      </c>
      <c r="H9722">
        <v>3590</v>
      </c>
      <c r="I9722">
        <v>3093</v>
      </c>
      <c r="J9722">
        <v>3093</v>
      </c>
      <c r="K9722">
        <v>1153</v>
      </c>
      <c r="L9722">
        <v>1</v>
      </c>
      <c r="M9722">
        <v>2419</v>
      </c>
      <c r="N9722">
        <v>17</v>
      </c>
      <c r="O9722">
        <v>0</v>
      </c>
      <c r="P9722">
        <v>169</v>
      </c>
      <c r="Q9722">
        <v>105</v>
      </c>
    </row>
    <row r="9723" spans="1:17" x14ac:dyDescent="0.2">
      <c r="A9723" s="121">
        <v>42429</v>
      </c>
      <c r="B9723" t="s">
        <v>406</v>
      </c>
      <c r="C9723" t="s">
        <v>562</v>
      </c>
      <c r="D9723" t="s">
        <v>565</v>
      </c>
      <c r="E9723" t="s">
        <v>566</v>
      </c>
      <c r="F9723" t="s">
        <v>413</v>
      </c>
      <c r="G9723">
        <v>4316</v>
      </c>
      <c r="H9723">
        <v>4316</v>
      </c>
      <c r="I9723">
        <v>3752</v>
      </c>
      <c r="J9723">
        <v>3752</v>
      </c>
      <c r="K9723">
        <v>1011</v>
      </c>
      <c r="L9723">
        <v>5</v>
      </c>
      <c r="M9723">
        <v>3221</v>
      </c>
      <c r="N9723">
        <v>79</v>
      </c>
      <c r="O9723">
        <v>0</v>
      </c>
      <c r="P9723">
        <v>59</v>
      </c>
      <c r="Q9723">
        <v>6</v>
      </c>
    </row>
    <row r="9724" spans="1:17" x14ac:dyDescent="0.2">
      <c r="A9724" s="121">
        <v>42429</v>
      </c>
      <c r="B9724" t="s">
        <v>406</v>
      </c>
      <c r="C9724" t="s">
        <v>562</v>
      </c>
      <c r="D9724" t="s">
        <v>567</v>
      </c>
      <c r="E9724" t="s">
        <v>568</v>
      </c>
      <c r="F9724" t="s">
        <v>413</v>
      </c>
      <c r="G9724">
        <v>9536</v>
      </c>
      <c r="H9724">
        <v>9536</v>
      </c>
      <c r="I9724">
        <v>8123</v>
      </c>
      <c r="J9724">
        <v>8123</v>
      </c>
      <c r="K9724">
        <v>2606</v>
      </c>
      <c r="L9724">
        <v>20</v>
      </c>
      <c r="M9724">
        <v>6719</v>
      </c>
      <c r="N9724">
        <v>191</v>
      </c>
      <c r="O9724">
        <v>0</v>
      </c>
      <c r="P9724">
        <v>332</v>
      </c>
      <c r="Q9724">
        <v>76</v>
      </c>
    </row>
    <row r="9725" spans="1:17" x14ac:dyDescent="0.2">
      <c r="A9725" s="121">
        <v>42429</v>
      </c>
      <c r="B9725" t="s">
        <v>406</v>
      </c>
      <c r="C9725" t="s">
        <v>562</v>
      </c>
      <c r="D9725" t="s">
        <v>569</v>
      </c>
      <c r="E9725" t="s">
        <v>570</v>
      </c>
      <c r="F9725" t="s">
        <v>413</v>
      </c>
      <c r="G9725">
        <v>3960</v>
      </c>
      <c r="H9725">
        <v>3960</v>
      </c>
      <c r="I9725">
        <v>3863</v>
      </c>
      <c r="J9725">
        <v>3863</v>
      </c>
      <c r="K9725">
        <v>479</v>
      </c>
      <c r="L9725">
        <v>0</v>
      </c>
      <c r="M9725">
        <v>3481</v>
      </c>
      <c r="N9725">
        <v>0</v>
      </c>
      <c r="O9725">
        <v>0</v>
      </c>
      <c r="P9725">
        <v>2</v>
      </c>
      <c r="Q9725">
        <v>0</v>
      </c>
    </row>
    <row r="9726" spans="1:17" x14ac:dyDescent="0.2">
      <c r="A9726" s="121">
        <v>42429</v>
      </c>
      <c r="B9726" t="s">
        <v>406</v>
      </c>
      <c r="C9726" t="s">
        <v>571</v>
      </c>
      <c r="D9726" t="s">
        <v>572</v>
      </c>
      <c r="E9726" t="s">
        <v>627</v>
      </c>
      <c r="F9726" t="s">
        <v>413</v>
      </c>
      <c r="G9726">
        <v>403</v>
      </c>
      <c r="H9726">
        <v>403</v>
      </c>
      <c r="I9726">
        <v>399</v>
      </c>
      <c r="J9726">
        <v>399</v>
      </c>
      <c r="K9726">
        <v>122</v>
      </c>
      <c r="L9726">
        <v>0</v>
      </c>
      <c r="M9726">
        <v>279</v>
      </c>
      <c r="N9726">
        <v>0</v>
      </c>
      <c r="O9726">
        <v>2</v>
      </c>
      <c r="P9726">
        <v>0</v>
      </c>
      <c r="Q9726">
        <v>0</v>
      </c>
    </row>
    <row r="9727" spans="1:17" x14ac:dyDescent="0.2">
      <c r="A9727" s="121">
        <v>42429</v>
      </c>
      <c r="B9727" t="s">
        <v>406</v>
      </c>
      <c r="C9727" t="s">
        <v>574</v>
      </c>
      <c r="D9727" t="s">
        <v>575</v>
      </c>
      <c r="E9727" t="s">
        <v>576</v>
      </c>
      <c r="F9727" t="s">
        <v>413</v>
      </c>
      <c r="G9727">
        <v>603</v>
      </c>
      <c r="H9727">
        <v>603</v>
      </c>
      <c r="I9727">
        <v>564</v>
      </c>
      <c r="J9727">
        <v>564</v>
      </c>
      <c r="K9727">
        <v>187</v>
      </c>
      <c r="L9727">
        <v>2</v>
      </c>
      <c r="M9727">
        <v>389</v>
      </c>
      <c r="N9727">
        <v>1</v>
      </c>
      <c r="O9727">
        <v>24</v>
      </c>
      <c r="P9727">
        <v>1</v>
      </c>
      <c r="Q9727">
        <v>0</v>
      </c>
    </row>
    <row r="9728" spans="1:17" x14ac:dyDescent="0.2">
      <c r="A9728" s="121">
        <v>42429</v>
      </c>
      <c r="B9728" t="s">
        <v>406</v>
      </c>
      <c r="C9728" t="s">
        <v>577</v>
      </c>
      <c r="D9728" t="s">
        <v>578</v>
      </c>
      <c r="E9728" t="s">
        <v>579</v>
      </c>
      <c r="F9728" t="s">
        <v>413</v>
      </c>
      <c r="G9728">
        <v>3713</v>
      </c>
      <c r="H9728">
        <v>3713</v>
      </c>
      <c r="I9728">
        <v>3654</v>
      </c>
      <c r="J9728">
        <v>3654</v>
      </c>
      <c r="K9728">
        <v>1115</v>
      </c>
      <c r="L9728">
        <v>7</v>
      </c>
      <c r="M9728">
        <v>2325</v>
      </c>
      <c r="N9728">
        <v>262</v>
      </c>
      <c r="O9728">
        <v>4</v>
      </c>
      <c r="P9728">
        <v>0</v>
      </c>
      <c r="Q9728">
        <v>0</v>
      </c>
    </row>
    <row r="9729" spans="1:17" x14ac:dyDescent="0.2">
      <c r="A9729" s="121">
        <v>42429</v>
      </c>
      <c r="B9729" t="s">
        <v>406</v>
      </c>
      <c r="C9729" t="s">
        <v>577</v>
      </c>
      <c r="D9729" t="s">
        <v>580</v>
      </c>
      <c r="E9729" t="s">
        <v>581</v>
      </c>
      <c r="F9729" t="s">
        <v>413</v>
      </c>
      <c r="G9729">
        <v>1883</v>
      </c>
      <c r="H9729">
        <v>1883</v>
      </c>
      <c r="I9729">
        <v>1855</v>
      </c>
      <c r="J9729">
        <v>1855</v>
      </c>
      <c r="K9729">
        <v>333</v>
      </c>
      <c r="L9729">
        <v>2</v>
      </c>
      <c r="M9729">
        <v>1253</v>
      </c>
      <c r="N9729">
        <v>295</v>
      </c>
      <c r="O9729">
        <v>0</v>
      </c>
      <c r="P9729">
        <v>3</v>
      </c>
      <c r="Q9729">
        <v>0</v>
      </c>
    </row>
    <row r="9730" spans="1:17" x14ac:dyDescent="0.2">
      <c r="A9730" s="121">
        <v>42429</v>
      </c>
      <c r="B9730" t="s">
        <v>406</v>
      </c>
      <c r="C9730" t="s">
        <v>577</v>
      </c>
      <c r="D9730" t="s">
        <v>609</v>
      </c>
      <c r="E9730" t="s">
        <v>610</v>
      </c>
      <c r="F9730" t="s">
        <v>410</v>
      </c>
      <c r="G9730">
        <v>22</v>
      </c>
      <c r="H9730">
        <v>22</v>
      </c>
      <c r="I9730">
        <v>22</v>
      </c>
      <c r="J9730">
        <v>22</v>
      </c>
      <c r="K9730">
        <v>0</v>
      </c>
      <c r="L9730">
        <v>0</v>
      </c>
      <c r="M9730">
        <v>21</v>
      </c>
      <c r="N9730">
        <v>1</v>
      </c>
      <c r="O9730">
        <v>0</v>
      </c>
      <c r="P9730">
        <v>0</v>
      </c>
      <c r="Q9730">
        <v>0</v>
      </c>
    </row>
    <row r="9731" spans="1:17" x14ac:dyDescent="0.2">
      <c r="A9731" s="121">
        <v>42429</v>
      </c>
      <c r="B9731" t="s">
        <v>406</v>
      </c>
      <c r="C9731" t="s">
        <v>577</v>
      </c>
      <c r="D9731" t="s">
        <v>584</v>
      </c>
      <c r="E9731" t="s">
        <v>585</v>
      </c>
      <c r="F9731" t="s">
        <v>410</v>
      </c>
      <c r="G9731">
        <v>270</v>
      </c>
      <c r="H9731">
        <v>270</v>
      </c>
      <c r="I9731">
        <v>270</v>
      </c>
      <c r="J9731">
        <v>270</v>
      </c>
      <c r="K9731">
        <v>0</v>
      </c>
      <c r="L9731">
        <v>0</v>
      </c>
      <c r="M9731">
        <v>255</v>
      </c>
      <c r="N9731">
        <v>12</v>
      </c>
      <c r="O9731">
        <v>3</v>
      </c>
      <c r="P9731">
        <v>0</v>
      </c>
      <c r="Q9731">
        <v>0</v>
      </c>
    </row>
    <row r="9732" spans="1:17" x14ac:dyDescent="0.2">
      <c r="A9732" s="121">
        <v>42429</v>
      </c>
      <c r="B9732" t="s">
        <v>406</v>
      </c>
      <c r="C9732" t="s">
        <v>577</v>
      </c>
      <c r="D9732" t="s">
        <v>586</v>
      </c>
      <c r="E9732" t="s">
        <v>587</v>
      </c>
      <c r="F9732" t="s">
        <v>410</v>
      </c>
      <c r="G9732">
        <v>966</v>
      </c>
      <c r="H9732">
        <v>966</v>
      </c>
      <c r="I9732">
        <v>965</v>
      </c>
      <c r="J9732">
        <v>965</v>
      </c>
      <c r="K9732">
        <v>0</v>
      </c>
      <c r="L9732">
        <v>0</v>
      </c>
      <c r="M9732">
        <v>885</v>
      </c>
      <c r="N9732">
        <v>78</v>
      </c>
      <c r="O9732">
        <v>3</v>
      </c>
      <c r="P9732">
        <v>0</v>
      </c>
      <c r="Q9732">
        <v>0</v>
      </c>
    </row>
    <row r="9733" spans="1:17" x14ac:dyDescent="0.2">
      <c r="A9733" s="121">
        <v>42429</v>
      </c>
      <c r="B9733" t="s">
        <v>406</v>
      </c>
      <c r="C9733" t="s">
        <v>577</v>
      </c>
      <c r="D9733" t="s">
        <v>588</v>
      </c>
      <c r="E9733" t="s">
        <v>589</v>
      </c>
      <c r="F9733" t="s">
        <v>410</v>
      </c>
      <c r="G9733">
        <v>125</v>
      </c>
      <c r="H9733">
        <v>125</v>
      </c>
      <c r="I9733">
        <v>125</v>
      </c>
      <c r="J9733">
        <v>125</v>
      </c>
      <c r="K9733">
        <v>0</v>
      </c>
      <c r="L9733">
        <v>0</v>
      </c>
      <c r="M9733">
        <v>117</v>
      </c>
      <c r="N9733">
        <v>8</v>
      </c>
      <c r="O9733">
        <v>0</v>
      </c>
      <c r="P9733">
        <v>0</v>
      </c>
      <c r="Q9733">
        <v>0</v>
      </c>
    </row>
    <row r="9734" spans="1:17" x14ac:dyDescent="0.2">
      <c r="A9734" s="121">
        <v>42429</v>
      </c>
      <c r="B9734" t="s">
        <v>406</v>
      </c>
      <c r="C9734" t="s">
        <v>577</v>
      </c>
      <c r="D9734" t="s">
        <v>613</v>
      </c>
      <c r="E9734" t="s">
        <v>614</v>
      </c>
      <c r="F9734" t="s">
        <v>410</v>
      </c>
      <c r="G9734">
        <v>93</v>
      </c>
      <c r="H9734">
        <v>93</v>
      </c>
      <c r="I9734">
        <v>93</v>
      </c>
      <c r="J9734">
        <v>93</v>
      </c>
      <c r="K9734">
        <v>1</v>
      </c>
      <c r="L9734">
        <v>0</v>
      </c>
      <c r="M9734">
        <v>79</v>
      </c>
      <c r="N9734">
        <v>11</v>
      </c>
      <c r="O9734">
        <v>2</v>
      </c>
      <c r="P9734">
        <v>0</v>
      </c>
      <c r="Q9734">
        <v>0</v>
      </c>
    </row>
    <row r="9735" spans="1:17" x14ac:dyDescent="0.2">
      <c r="A9735" s="121">
        <v>42429</v>
      </c>
      <c r="B9735" t="s">
        <v>406</v>
      </c>
      <c r="C9735" t="s">
        <v>577</v>
      </c>
      <c r="D9735" t="s">
        <v>590</v>
      </c>
      <c r="E9735" t="s">
        <v>591</v>
      </c>
      <c r="F9735" t="s">
        <v>410</v>
      </c>
      <c r="G9735">
        <v>611</v>
      </c>
      <c r="H9735">
        <v>611</v>
      </c>
      <c r="I9735">
        <v>610</v>
      </c>
      <c r="J9735">
        <v>610</v>
      </c>
      <c r="K9735">
        <v>0</v>
      </c>
      <c r="L9735">
        <v>0</v>
      </c>
      <c r="M9735">
        <v>588</v>
      </c>
      <c r="N9735">
        <v>22</v>
      </c>
      <c r="O9735">
        <v>1</v>
      </c>
      <c r="P9735">
        <v>0</v>
      </c>
      <c r="Q9735">
        <v>0</v>
      </c>
    </row>
    <row r="9736" spans="1:17" x14ac:dyDescent="0.2">
      <c r="A9736" s="121">
        <v>42429</v>
      </c>
      <c r="B9736" t="s">
        <v>406</v>
      </c>
      <c r="C9736" t="s">
        <v>577</v>
      </c>
      <c r="D9736" t="s">
        <v>607</v>
      </c>
      <c r="E9736" t="s">
        <v>608</v>
      </c>
      <c r="F9736" t="s">
        <v>410</v>
      </c>
      <c r="G9736">
        <v>132</v>
      </c>
      <c r="H9736">
        <v>132</v>
      </c>
      <c r="I9736">
        <v>132</v>
      </c>
      <c r="J9736">
        <v>132</v>
      </c>
      <c r="K9736">
        <v>0</v>
      </c>
      <c r="L9736">
        <v>0</v>
      </c>
      <c r="M9736">
        <v>120</v>
      </c>
      <c r="N9736">
        <v>7</v>
      </c>
      <c r="O9736">
        <v>5</v>
      </c>
      <c r="P9736">
        <v>0</v>
      </c>
      <c r="Q9736">
        <v>0</v>
      </c>
    </row>
    <row r="9737" spans="1:17" x14ac:dyDescent="0.2">
      <c r="A9737" s="121">
        <v>42429</v>
      </c>
      <c r="B9737" t="s">
        <v>406</v>
      </c>
      <c r="C9737" t="s">
        <v>577</v>
      </c>
      <c r="D9737" t="s">
        <v>592</v>
      </c>
      <c r="E9737" t="s">
        <v>593</v>
      </c>
      <c r="F9737" t="s">
        <v>410</v>
      </c>
      <c r="G9737">
        <v>501</v>
      </c>
      <c r="H9737">
        <v>501</v>
      </c>
      <c r="I9737">
        <v>500</v>
      </c>
      <c r="J9737">
        <v>500</v>
      </c>
      <c r="K9737">
        <v>0</v>
      </c>
      <c r="L9737">
        <v>3</v>
      </c>
      <c r="M9737">
        <v>450</v>
      </c>
      <c r="N9737">
        <v>41</v>
      </c>
      <c r="O9737">
        <v>7</v>
      </c>
      <c r="P9737">
        <v>0</v>
      </c>
      <c r="Q9737">
        <v>0</v>
      </c>
    </row>
    <row r="9738" spans="1:17" x14ac:dyDescent="0.2">
      <c r="A9738" s="121">
        <v>42429</v>
      </c>
      <c r="B9738" t="s">
        <v>406</v>
      </c>
      <c r="C9738" t="s">
        <v>594</v>
      </c>
      <c r="D9738" t="s">
        <v>595</v>
      </c>
      <c r="E9738" t="s">
        <v>596</v>
      </c>
      <c r="F9738" t="s">
        <v>410</v>
      </c>
      <c r="G9738">
        <v>37</v>
      </c>
      <c r="I9738">
        <v>37</v>
      </c>
    </row>
    <row r="9739" spans="1:17" x14ac:dyDescent="0.2">
      <c r="A9739" s="121">
        <v>42429</v>
      </c>
      <c r="B9739" t="s">
        <v>406</v>
      </c>
      <c r="C9739" t="s">
        <v>594</v>
      </c>
      <c r="D9739" t="s">
        <v>597</v>
      </c>
      <c r="E9739" t="s">
        <v>598</v>
      </c>
      <c r="F9739" t="s">
        <v>413</v>
      </c>
      <c r="G9739">
        <v>450</v>
      </c>
      <c r="H9739">
        <v>450</v>
      </c>
      <c r="I9739">
        <v>444</v>
      </c>
      <c r="J9739">
        <v>444</v>
      </c>
      <c r="K9739">
        <v>136</v>
      </c>
      <c r="L9739">
        <v>1</v>
      </c>
      <c r="M9739">
        <v>303</v>
      </c>
      <c r="N9739">
        <v>3</v>
      </c>
      <c r="O9739">
        <v>7</v>
      </c>
      <c r="P9739">
        <v>0</v>
      </c>
      <c r="Q9739">
        <v>0</v>
      </c>
    </row>
    <row r="9740" spans="1:17" x14ac:dyDescent="0.2">
      <c r="A9740" s="121">
        <v>42429</v>
      </c>
      <c r="B9740" t="s">
        <v>406</v>
      </c>
      <c r="C9740" t="s">
        <v>594</v>
      </c>
      <c r="D9740" t="s">
        <v>599</v>
      </c>
      <c r="E9740" t="s">
        <v>600</v>
      </c>
      <c r="F9740" t="s">
        <v>410</v>
      </c>
      <c r="G9740">
        <v>117</v>
      </c>
      <c r="I9740">
        <v>117</v>
      </c>
    </row>
    <row r="9741" spans="1:17" x14ac:dyDescent="0.2">
      <c r="A9741" s="121">
        <v>42460</v>
      </c>
      <c r="B9741" t="s">
        <v>406</v>
      </c>
      <c r="C9741" t="s">
        <v>407</v>
      </c>
      <c r="D9741" t="s">
        <v>408</v>
      </c>
      <c r="E9741" t="s">
        <v>409</v>
      </c>
      <c r="F9741" t="s">
        <v>410</v>
      </c>
      <c r="G9741">
        <v>182</v>
      </c>
      <c r="I9741">
        <v>182</v>
      </c>
    </row>
    <row r="9742" spans="1:17" x14ac:dyDescent="0.2">
      <c r="A9742" s="121">
        <v>42460</v>
      </c>
      <c r="B9742" t="s">
        <v>406</v>
      </c>
      <c r="C9742" t="s">
        <v>407</v>
      </c>
      <c r="D9742" t="s">
        <v>601</v>
      </c>
      <c r="E9742" t="s">
        <v>602</v>
      </c>
      <c r="F9742" t="s">
        <v>410</v>
      </c>
      <c r="G9742">
        <v>62</v>
      </c>
      <c r="I9742">
        <v>62</v>
      </c>
    </row>
    <row r="9743" spans="1:17" x14ac:dyDescent="0.2">
      <c r="A9743" s="121">
        <v>42460</v>
      </c>
      <c r="B9743" t="s">
        <v>406</v>
      </c>
      <c r="C9743" t="s">
        <v>407</v>
      </c>
      <c r="D9743" t="s">
        <v>411</v>
      </c>
      <c r="E9743" t="s">
        <v>412</v>
      </c>
      <c r="F9743" t="s">
        <v>413</v>
      </c>
      <c r="G9743">
        <v>7052</v>
      </c>
      <c r="H9743">
        <v>7052</v>
      </c>
      <c r="I9743">
        <v>6534</v>
      </c>
      <c r="J9743">
        <v>6534</v>
      </c>
      <c r="K9743">
        <v>2901</v>
      </c>
      <c r="L9743">
        <v>9</v>
      </c>
      <c r="M9743">
        <v>3749</v>
      </c>
      <c r="N9743">
        <v>142</v>
      </c>
      <c r="O9743">
        <v>251</v>
      </c>
      <c r="P9743">
        <v>66</v>
      </c>
      <c r="Q9743">
        <v>21</v>
      </c>
    </row>
    <row r="9744" spans="1:17" x14ac:dyDescent="0.2">
      <c r="A9744" s="121">
        <v>42460</v>
      </c>
      <c r="B9744" t="s">
        <v>406</v>
      </c>
      <c r="C9744" t="s">
        <v>407</v>
      </c>
      <c r="D9744" t="s">
        <v>416</v>
      </c>
      <c r="E9744" t="s">
        <v>417</v>
      </c>
      <c r="F9744" t="s">
        <v>413</v>
      </c>
      <c r="G9744">
        <v>4086</v>
      </c>
      <c r="H9744">
        <v>4086</v>
      </c>
      <c r="I9744">
        <v>3591</v>
      </c>
      <c r="J9744">
        <v>3591</v>
      </c>
      <c r="K9744">
        <v>1498</v>
      </c>
      <c r="L9744">
        <v>5</v>
      </c>
      <c r="M9744">
        <v>2291</v>
      </c>
      <c r="N9744">
        <v>157</v>
      </c>
      <c r="O9744">
        <v>135</v>
      </c>
      <c r="P9744">
        <v>67</v>
      </c>
      <c r="Q9744">
        <v>5</v>
      </c>
    </row>
    <row r="9745" spans="1:17" x14ac:dyDescent="0.2">
      <c r="A9745" s="121">
        <v>42460</v>
      </c>
      <c r="B9745" t="s">
        <v>406</v>
      </c>
      <c r="C9745" t="s">
        <v>407</v>
      </c>
      <c r="D9745" t="s">
        <v>618</v>
      </c>
      <c r="E9745" t="s">
        <v>619</v>
      </c>
      <c r="F9745" t="s">
        <v>410</v>
      </c>
      <c r="G9745">
        <v>77</v>
      </c>
      <c r="I9745">
        <v>77</v>
      </c>
    </row>
    <row r="9746" spans="1:17" x14ac:dyDescent="0.2">
      <c r="A9746" s="121">
        <v>42460</v>
      </c>
      <c r="B9746" t="s">
        <v>406</v>
      </c>
      <c r="C9746" t="s">
        <v>418</v>
      </c>
      <c r="D9746" t="s">
        <v>419</v>
      </c>
      <c r="E9746" t="s">
        <v>420</v>
      </c>
      <c r="F9746" t="s">
        <v>410</v>
      </c>
      <c r="G9746">
        <v>8</v>
      </c>
      <c r="I9746">
        <v>8</v>
      </c>
    </row>
    <row r="9747" spans="1:17" x14ac:dyDescent="0.2">
      <c r="A9747" s="121">
        <v>42460</v>
      </c>
      <c r="B9747" t="s">
        <v>406</v>
      </c>
      <c r="C9747" t="s">
        <v>418</v>
      </c>
      <c r="D9747" t="s">
        <v>421</v>
      </c>
      <c r="E9747" t="s">
        <v>422</v>
      </c>
      <c r="F9747" t="s">
        <v>410</v>
      </c>
      <c r="G9747">
        <v>59</v>
      </c>
      <c r="I9747">
        <v>59</v>
      </c>
    </row>
    <row r="9748" spans="1:17" x14ac:dyDescent="0.2">
      <c r="A9748" s="121">
        <v>42460</v>
      </c>
      <c r="B9748" t="s">
        <v>406</v>
      </c>
      <c r="C9748" t="s">
        <v>418</v>
      </c>
      <c r="D9748" t="s">
        <v>423</v>
      </c>
      <c r="E9748" t="s">
        <v>424</v>
      </c>
      <c r="F9748" t="s">
        <v>410</v>
      </c>
      <c r="G9748">
        <v>7</v>
      </c>
      <c r="I9748">
        <v>7</v>
      </c>
    </row>
    <row r="9749" spans="1:17" x14ac:dyDescent="0.2">
      <c r="A9749" s="121">
        <v>42460</v>
      </c>
      <c r="B9749" t="s">
        <v>406</v>
      </c>
      <c r="C9749" t="s">
        <v>418</v>
      </c>
      <c r="D9749" t="s">
        <v>425</v>
      </c>
      <c r="E9749" t="s">
        <v>426</v>
      </c>
      <c r="F9749" t="s">
        <v>410</v>
      </c>
      <c r="G9749">
        <v>44</v>
      </c>
      <c r="I9749">
        <v>44</v>
      </c>
    </row>
    <row r="9750" spans="1:17" x14ac:dyDescent="0.2">
      <c r="A9750" s="121">
        <v>42460</v>
      </c>
      <c r="B9750" t="s">
        <v>406</v>
      </c>
      <c r="C9750" t="s">
        <v>418</v>
      </c>
      <c r="D9750" t="s">
        <v>427</v>
      </c>
      <c r="E9750" t="s">
        <v>428</v>
      </c>
      <c r="F9750" t="s">
        <v>413</v>
      </c>
      <c r="G9750">
        <v>2627</v>
      </c>
      <c r="H9750">
        <v>2627</v>
      </c>
      <c r="I9750">
        <v>2486</v>
      </c>
      <c r="J9750">
        <v>2486</v>
      </c>
      <c r="K9750">
        <v>1076</v>
      </c>
      <c r="L9750">
        <v>2</v>
      </c>
      <c r="M9750">
        <v>1375</v>
      </c>
      <c r="N9750">
        <v>145</v>
      </c>
      <c r="O9750">
        <v>29</v>
      </c>
      <c r="P9750">
        <v>2</v>
      </c>
      <c r="Q9750">
        <v>0</v>
      </c>
    </row>
    <row r="9751" spans="1:17" x14ac:dyDescent="0.2">
      <c r="A9751" s="121">
        <v>42460</v>
      </c>
      <c r="B9751" t="s">
        <v>406</v>
      </c>
      <c r="C9751" t="s">
        <v>429</v>
      </c>
      <c r="D9751" t="s">
        <v>430</v>
      </c>
      <c r="E9751" t="s">
        <v>431</v>
      </c>
      <c r="F9751" t="s">
        <v>410</v>
      </c>
      <c r="G9751">
        <v>20</v>
      </c>
      <c r="I9751">
        <v>20</v>
      </c>
    </row>
    <row r="9752" spans="1:17" x14ac:dyDescent="0.2">
      <c r="A9752" s="121">
        <v>42460</v>
      </c>
      <c r="B9752" t="s">
        <v>406</v>
      </c>
      <c r="C9752" t="s">
        <v>429</v>
      </c>
      <c r="D9752" t="s">
        <v>432</v>
      </c>
      <c r="E9752" t="s">
        <v>433</v>
      </c>
      <c r="F9752" t="s">
        <v>410</v>
      </c>
      <c r="G9752">
        <v>28</v>
      </c>
      <c r="I9752">
        <v>28</v>
      </c>
    </row>
    <row r="9753" spans="1:17" x14ac:dyDescent="0.2">
      <c r="A9753" s="121">
        <v>42460</v>
      </c>
      <c r="B9753" t="s">
        <v>406</v>
      </c>
      <c r="C9753" t="s">
        <v>429</v>
      </c>
      <c r="D9753" t="s">
        <v>434</v>
      </c>
      <c r="E9753" t="s">
        <v>435</v>
      </c>
      <c r="F9753" t="s">
        <v>410</v>
      </c>
      <c r="G9753">
        <v>4</v>
      </c>
      <c r="I9753">
        <v>4</v>
      </c>
    </row>
    <row r="9754" spans="1:17" x14ac:dyDescent="0.2">
      <c r="A9754" s="121">
        <v>42460</v>
      </c>
      <c r="B9754" t="s">
        <v>406</v>
      </c>
      <c r="C9754" t="s">
        <v>429</v>
      </c>
      <c r="D9754" t="s">
        <v>436</v>
      </c>
      <c r="E9754" t="s">
        <v>437</v>
      </c>
      <c r="F9754" t="s">
        <v>410</v>
      </c>
      <c r="G9754">
        <v>10</v>
      </c>
      <c r="H9754">
        <v>10</v>
      </c>
      <c r="I9754">
        <v>10</v>
      </c>
      <c r="J9754">
        <v>10</v>
      </c>
      <c r="K9754">
        <v>0</v>
      </c>
      <c r="L9754">
        <v>0</v>
      </c>
      <c r="M9754">
        <v>9</v>
      </c>
      <c r="N9754">
        <v>1</v>
      </c>
      <c r="O9754">
        <v>0</v>
      </c>
      <c r="P9754">
        <v>0</v>
      </c>
      <c r="Q9754">
        <v>0</v>
      </c>
    </row>
    <row r="9755" spans="1:17" x14ac:dyDescent="0.2">
      <c r="A9755" s="121">
        <v>42460</v>
      </c>
      <c r="B9755" t="s">
        <v>406</v>
      </c>
      <c r="C9755" t="s">
        <v>429</v>
      </c>
      <c r="D9755" t="s">
        <v>438</v>
      </c>
      <c r="E9755" t="s">
        <v>439</v>
      </c>
      <c r="F9755" t="s">
        <v>413</v>
      </c>
      <c r="G9755">
        <v>1131</v>
      </c>
      <c r="H9755">
        <v>1131</v>
      </c>
      <c r="I9755">
        <v>1088</v>
      </c>
      <c r="J9755">
        <v>1088</v>
      </c>
      <c r="K9755">
        <v>93</v>
      </c>
      <c r="L9755">
        <v>1</v>
      </c>
      <c r="M9755">
        <v>949</v>
      </c>
      <c r="N9755">
        <v>64</v>
      </c>
      <c r="O9755">
        <v>24</v>
      </c>
      <c r="P9755">
        <v>5</v>
      </c>
      <c r="Q9755">
        <v>0</v>
      </c>
    </row>
    <row r="9756" spans="1:17" x14ac:dyDescent="0.2">
      <c r="A9756" s="121">
        <v>42460</v>
      </c>
      <c r="B9756" t="s">
        <v>406</v>
      </c>
      <c r="C9756" t="s">
        <v>429</v>
      </c>
      <c r="D9756" t="s">
        <v>440</v>
      </c>
      <c r="E9756" t="s">
        <v>441</v>
      </c>
      <c r="F9756" t="s">
        <v>413</v>
      </c>
      <c r="G9756">
        <v>3203</v>
      </c>
      <c r="H9756">
        <v>3203</v>
      </c>
      <c r="I9756">
        <v>2996</v>
      </c>
      <c r="J9756">
        <v>2996</v>
      </c>
      <c r="K9756">
        <v>1135</v>
      </c>
      <c r="L9756">
        <v>5</v>
      </c>
      <c r="M9756">
        <v>1881</v>
      </c>
      <c r="N9756">
        <v>112</v>
      </c>
      <c r="O9756">
        <v>70</v>
      </c>
      <c r="P9756">
        <v>4</v>
      </c>
      <c r="Q9756">
        <v>0</v>
      </c>
    </row>
    <row r="9757" spans="1:17" x14ac:dyDescent="0.2">
      <c r="A9757" s="121">
        <v>42460</v>
      </c>
      <c r="B9757" t="s">
        <v>406</v>
      </c>
      <c r="C9757" t="s">
        <v>442</v>
      </c>
      <c r="D9757" t="s">
        <v>443</v>
      </c>
      <c r="E9757" t="s">
        <v>444</v>
      </c>
      <c r="F9757" t="s">
        <v>413</v>
      </c>
      <c r="G9757">
        <v>5618</v>
      </c>
      <c r="H9757">
        <v>5618</v>
      </c>
      <c r="I9757">
        <v>5262</v>
      </c>
      <c r="J9757">
        <v>5262</v>
      </c>
      <c r="K9757">
        <v>1555</v>
      </c>
      <c r="L9757">
        <v>17</v>
      </c>
      <c r="M9757">
        <v>3776</v>
      </c>
      <c r="N9757">
        <v>106</v>
      </c>
      <c r="O9757">
        <v>164</v>
      </c>
      <c r="P9757">
        <v>19</v>
      </c>
      <c r="Q9757">
        <v>0</v>
      </c>
    </row>
    <row r="9758" spans="1:17" x14ac:dyDescent="0.2">
      <c r="A9758" s="121">
        <v>42460</v>
      </c>
      <c r="B9758" t="s">
        <v>406</v>
      </c>
      <c r="C9758" t="s">
        <v>442</v>
      </c>
      <c r="D9758" t="s">
        <v>445</v>
      </c>
      <c r="E9758" t="s">
        <v>446</v>
      </c>
      <c r="F9758" t="s">
        <v>410</v>
      </c>
      <c r="G9758">
        <v>138</v>
      </c>
      <c r="I9758">
        <v>138</v>
      </c>
    </row>
    <row r="9759" spans="1:17" x14ac:dyDescent="0.2">
      <c r="A9759" s="121">
        <v>42460</v>
      </c>
      <c r="B9759" t="s">
        <v>406</v>
      </c>
      <c r="C9759" t="s">
        <v>442</v>
      </c>
      <c r="D9759" t="s">
        <v>447</v>
      </c>
      <c r="E9759" t="s">
        <v>448</v>
      </c>
      <c r="F9759" t="s">
        <v>410</v>
      </c>
      <c r="G9759">
        <v>279</v>
      </c>
      <c r="I9759">
        <v>279</v>
      </c>
    </row>
    <row r="9760" spans="1:17" x14ac:dyDescent="0.2">
      <c r="A9760" s="121">
        <v>42460</v>
      </c>
      <c r="B9760" t="s">
        <v>406</v>
      </c>
      <c r="C9760" t="s">
        <v>442</v>
      </c>
      <c r="D9760" t="s">
        <v>449</v>
      </c>
      <c r="E9760" t="s">
        <v>624</v>
      </c>
      <c r="F9760" t="s">
        <v>410</v>
      </c>
      <c r="G9760">
        <v>1956</v>
      </c>
      <c r="H9760">
        <v>1956</v>
      </c>
      <c r="I9760">
        <v>1955</v>
      </c>
      <c r="J9760">
        <v>1955</v>
      </c>
      <c r="K9760">
        <v>12</v>
      </c>
      <c r="L9760">
        <v>0</v>
      </c>
      <c r="M9760">
        <v>1770</v>
      </c>
      <c r="N9760">
        <v>162</v>
      </c>
      <c r="O9760">
        <v>12</v>
      </c>
      <c r="P9760">
        <v>0</v>
      </c>
      <c r="Q9760">
        <v>0</v>
      </c>
    </row>
    <row r="9761" spans="1:17" x14ac:dyDescent="0.2">
      <c r="A9761" s="121">
        <v>42460</v>
      </c>
      <c r="B9761" t="s">
        <v>406</v>
      </c>
      <c r="C9761" t="s">
        <v>451</v>
      </c>
      <c r="D9761" t="s">
        <v>454</v>
      </c>
      <c r="E9761" t="s">
        <v>621</v>
      </c>
      <c r="F9761" t="s">
        <v>410</v>
      </c>
      <c r="G9761">
        <v>1435</v>
      </c>
      <c r="H9761">
        <v>1435</v>
      </c>
      <c r="I9761">
        <v>1431</v>
      </c>
      <c r="J9761">
        <v>1431</v>
      </c>
      <c r="K9761">
        <v>1</v>
      </c>
      <c r="L9761">
        <v>0</v>
      </c>
      <c r="M9761">
        <v>988</v>
      </c>
      <c r="N9761">
        <v>45</v>
      </c>
      <c r="O9761">
        <v>401</v>
      </c>
      <c r="P9761">
        <v>0</v>
      </c>
      <c r="Q9761">
        <v>0</v>
      </c>
    </row>
    <row r="9762" spans="1:17" x14ac:dyDescent="0.2">
      <c r="A9762" s="121">
        <v>42460</v>
      </c>
      <c r="B9762" t="s">
        <v>406</v>
      </c>
      <c r="C9762" t="s">
        <v>451</v>
      </c>
      <c r="D9762" t="s">
        <v>622</v>
      </c>
      <c r="E9762" t="s">
        <v>623</v>
      </c>
      <c r="F9762" t="s">
        <v>413</v>
      </c>
      <c r="G9762">
        <v>5849</v>
      </c>
      <c r="H9762">
        <v>5849</v>
      </c>
      <c r="I9762">
        <v>5273</v>
      </c>
      <c r="J9762">
        <v>5273</v>
      </c>
      <c r="K9762">
        <v>1456</v>
      </c>
      <c r="L9762">
        <v>13</v>
      </c>
      <c r="M9762">
        <v>3350</v>
      </c>
      <c r="N9762">
        <v>66</v>
      </c>
      <c r="O9762">
        <v>964</v>
      </c>
      <c r="P9762">
        <v>24</v>
      </c>
      <c r="Q9762">
        <v>7</v>
      </c>
    </row>
    <row r="9763" spans="1:17" x14ac:dyDescent="0.2">
      <c r="A9763" s="121">
        <v>42460</v>
      </c>
      <c r="B9763" t="s">
        <v>406</v>
      </c>
      <c r="C9763" t="s">
        <v>456</v>
      </c>
      <c r="D9763" t="s">
        <v>457</v>
      </c>
      <c r="E9763" t="s">
        <v>458</v>
      </c>
      <c r="F9763" t="s">
        <v>413</v>
      </c>
      <c r="G9763">
        <v>4984</v>
      </c>
      <c r="H9763">
        <v>4984</v>
      </c>
      <c r="I9763">
        <v>4613</v>
      </c>
      <c r="J9763">
        <v>4613</v>
      </c>
      <c r="K9763">
        <v>1358</v>
      </c>
      <c r="L9763">
        <v>7</v>
      </c>
      <c r="M9763">
        <v>3074</v>
      </c>
      <c r="N9763">
        <v>25</v>
      </c>
      <c r="O9763">
        <v>520</v>
      </c>
      <c r="P9763">
        <v>13</v>
      </c>
      <c r="Q9763">
        <v>0</v>
      </c>
    </row>
    <row r="9764" spans="1:17" x14ac:dyDescent="0.2">
      <c r="A9764" s="121">
        <v>42460</v>
      </c>
      <c r="B9764" t="s">
        <v>406</v>
      </c>
      <c r="C9764" t="s">
        <v>456</v>
      </c>
      <c r="D9764" t="s">
        <v>459</v>
      </c>
      <c r="E9764" t="s">
        <v>460</v>
      </c>
      <c r="F9764" t="s">
        <v>413</v>
      </c>
      <c r="G9764">
        <v>1599</v>
      </c>
      <c r="H9764">
        <v>1599</v>
      </c>
      <c r="I9764">
        <v>1584</v>
      </c>
      <c r="J9764">
        <v>1584</v>
      </c>
      <c r="K9764">
        <v>169</v>
      </c>
      <c r="L9764">
        <v>0</v>
      </c>
      <c r="M9764">
        <v>1365</v>
      </c>
      <c r="N9764">
        <v>0</v>
      </c>
      <c r="O9764">
        <v>65</v>
      </c>
      <c r="P9764">
        <v>0</v>
      </c>
      <c r="Q9764">
        <v>0</v>
      </c>
    </row>
    <row r="9765" spans="1:17" x14ac:dyDescent="0.2">
      <c r="A9765" s="121">
        <v>42460</v>
      </c>
      <c r="B9765" t="s">
        <v>406</v>
      </c>
      <c r="C9765" t="s">
        <v>456</v>
      </c>
      <c r="D9765" t="s">
        <v>461</v>
      </c>
      <c r="E9765" t="s">
        <v>462</v>
      </c>
      <c r="F9765" t="s">
        <v>410</v>
      </c>
      <c r="G9765">
        <v>90</v>
      </c>
      <c r="I9765">
        <v>90</v>
      </c>
    </row>
    <row r="9766" spans="1:17" x14ac:dyDescent="0.2">
      <c r="A9766" s="121">
        <v>42460</v>
      </c>
      <c r="B9766" t="s">
        <v>406</v>
      </c>
      <c r="C9766" t="s">
        <v>456</v>
      </c>
      <c r="D9766" t="s">
        <v>463</v>
      </c>
      <c r="E9766" t="s">
        <v>464</v>
      </c>
      <c r="F9766" t="s">
        <v>410</v>
      </c>
      <c r="G9766">
        <v>10</v>
      </c>
      <c r="I9766">
        <v>10</v>
      </c>
    </row>
    <row r="9767" spans="1:17" x14ac:dyDescent="0.2">
      <c r="A9767" s="121">
        <v>42460</v>
      </c>
      <c r="B9767" t="s">
        <v>406</v>
      </c>
      <c r="C9767" t="s">
        <v>456</v>
      </c>
      <c r="D9767" t="s">
        <v>465</v>
      </c>
      <c r="E9767" t="s">
        <v>466</v>
      </c>
      <c r="F9767" t="s">
        <v>410</v>
      </c>
      <c r="G9767">
        <v>16</v>
      </c>
      <c r="I9767">
        <v>16</v>
      </c>
    </row>
    <row r="9768" spans="1:17" x14ac:dyDescent="0.2">
      <c r="A9768" s="121">
        <v>42460</v>
      </c>
      <c r="B9768" t="s">
        <v>406</v>
      </c>
      <c r="C9768" t="s">
        <v>456</v>
      </c>
      <c r="D9768" t="s">
        <v>467</v>
      </c>
      <c r="E9768" t="s">
        <v>468</v>
      </c>
      <c r="F9768" t="s">
        <v>410</v>
      </c>
      <c r="G9768">
        <v>1472</v>
      </c>
      <c r="I9768">
        <v>1471</v>
      </c>
    </row>
    <row r="9769" spans="1:17" x14ac:dyDescent="0.2">
      <c r="A9769" s="121">
        <v>42460</v>
      </c>
      <c r="B9769" t="s">
        <v>406</v>
      </c>
      <c r="C9769" t="s">
        <v>456</v>
      </c>
      <c r="D9769" t="s">
        <v>469</v>
      </c>
      <c r="E9769" t="s">
        <v>470</v>
      </c>
      <c r="F9769" t="s">
        <v>410</v>
      </c>
      <c r="G9769">
        <v>848</v>
      </c>
      <c r="I9769">
        <v>848</v>
      </c>
    </row>
    <row r="9770" spans="1:17" x14ac:dyDescent="0.2">
      <c r="A9770" s="121">
        <v>42460</v>
      </c>
      <c r="B9770" t="s">
        <v>406</v>
      </c>
      <c r="C9770" t="s">
        <v>456</v>
      </c>
      <c r="D9770" t="s">
        <v>471</v>
      </c>
      <c r="E9770" t="s">
        <v>472</v>
      </c>
      <c r="F9770" t="s">
        <v>410</v>
      </c>
      <c r="G9770">
        <v>273</v>
      </c>
      <c r="I9770">
        <v>272</v>
      </c>
    </row>
    <row r="9771" spans="1:17" x14ac:dyDescent="0.2">
      <c r="A9771" s="121">
        <v>42460</v>
      </c>
      <c r="B9771" t="s">
        <v>406</v>
      </c>
      <c r="C9771" t="s">
        <v>456</v>
      </c>
      <c r="D9771" t="s">
        <v>473</v>
      </c>
      <c r="E9771" t="s">
        <v>474</v>
      </c>
      <c r="F9771" t="s">
        <v>410</v>
      </c>
      <c r="G9771">
        <v>192</v>
      </c>
      <c r="I9771">
        <v>192</v>
      </c>
    </row>
    <row r="9772" spans="1:17" x14ac:dyDescent="0.2">
      <c r="A9772" s="121">
        <v>42460</v>
      </c>
      <c r="B9772" t="s">
        <v>406</v>
      </c>
      <c r="C9772" t="s">
        <v>456</v>
      </c>
      <c r="D9772" t="s">
        <v>475</v>
      </c>
      <c r="E9772" t="s">
        <v>476</v>
      </c>
      <c r="F9772" t="s">
        <v>410</v>
      </c>
      <c r="G9772">
        <v>272</v>
      </c>
      <c r="I9772">
        <v>267</v>
      </c>
    </row>
    <row r="9773" spans="1:17" x14ac:dyDescent="0.2">
      <c r="A9773" s="121">
        <v>42460</v>
      </c>
      <c r="B9773" t="s">
        <v>406</v>
      </c>
      <c r="C9773" t="s">
        <v>456</v>
      </c>
      <c r="D9773" t="s">
        <v>477</v>
      </c>
      <c r="E9773" t="s">
        <v>478</v>
      </c>
      <c r="F9773" t="s">
        <v>413</v>
      </c>
      <c r="G9773">
        <v>2125</v>
      </c>
      <c r="H9773">
        <v>2125</v>
      </c>
      <c r="I9773">
        <v>2038</v>
      </c>
      <c r="J9773">
        <v>2038</v>
      </c>
      <c r="K9773">
        <v>426</v>
      </c>
      <c r="L9773">
        <v>5</v>
      </c>
      <c r="M9773">
        <v>1632</v>
      </c>
      <c r="N9773">
        <v>14</v>
      </c>
      <c r="O9773">
        <v>48</v>
      </c>
      <c r="P9773">
        <v>4</v>
      </c>
      <c r="Q9773">
        <v>1</v>
      </c>
    </row>
    <row r="9774" spans="1:17" x14ac:dyDescent="0.2">
      <c r="A9774" s="121">
        <v>42460</v>
      </c>
      <c r="B9774" t="s">
        <v>406</v>
      </c>
      <c r="C9774" t="s">
        <v>456</v>
      </c>
      <c r="D9774" t="s">
        <v>479</v>
      </c>
      <c r="E9774" t="s">
        <v>480</v>
      </c>
      <c r="F9774" t="s">
        <v>410</v>
      </c>
      <c r="G9774">
        <v>38</v>
      </c>
      <c r="I9774">
        <v>38</v>
      </c>
    </row>
    <row r="9775" spans="1:17" x14ac:dyDescent="0.2">
      <c r="A9775" s="121">
        <v>42460</v>
      </c>
      <c r="B9775" t="s">
        <v>406</v>
      </c>
      <c r="C9775" t="s">
        <v>456</v>
      </c>
      <c r="D9775" t="s">
        <v>481</v>
      </c>
      <c r="E9775" t="s">
        <v>482</v>
      </c>
      <c r="F9775" t="s">
        <v>410</v>
      </c>
      <c r="G9775">
        <v>13</v>
      </c>
      <c r="I9775">
        <v>13</v>
      </c>
    </row>
    <row r="9776" spans="1:17" x14ac:dyDescent="0.2">
      <c r="A9776" s="121">
        <v>42460</v>
      </c>
      <c r="B9776" t="s">
        <v>406</v>
      </c>
      <c r="C9776" t="s">
        <v>456</v>
      </c>
      <c r="D9776" t="s">
        <v>483</v>
      </c>
      <c r="E9776" t="s">
        <v>484</v>
      </c>
      <c r="F9776" t="s">
        <v>410</v>
      </c>
      <c r="G9776">
        <v>78</v>
      </c>
      <c r="I9776">
        <v>78</v>
      </c>
    </row>
    <row r="9777" spans="1:17" x14ac:dyDescent="0.2">
      <c r="A9777" s="121">
        <v>42460</v>
      </c>
      <c r="B9777" t="s">
        <v>406</v>
      </c>
      <c r="C9777" t="s">
        <v>456</v>
      </c>
      <c r="D9777" t="s">
        <v>487</v>
      </c>
      <c r="E9777" t="s">
        <v>488</v>
      </c>
      <c r="F9777" t="s">
        <v>410</v>
      </c>
      <c r="G9777">
        <v>24</v>
      </c>
      <c r="I9777">
        <v>24</v>
      </c>
    </row>
    <row r="9778" spans="1:17" x14ac:dyDescent="0.2">
      <c r="A9778" s="121">
        <v>42460</v>
      </c>
      <c r="B9778" t="s">
        <v>406</v>
      </c>
      <c r="C9778" t="s">
        <v>456</v>
      </c>
      <c r="D9778" t="s">
        <v>489</v>
      </c>
      <c r="E9778" t="s">
        <v>490</v>
      </c>
      <c r="F9778" t="s">
        <v>410</v>
      </c>
      <c r="G9778">
        <v>99</v>
      </c>
      <c r="I9778">
        <v>99</v>
      </c>
    </row>
    <row r="9779" spans="1:17" x14ac:dyDescent="0.2">
      <c r="A9779" s="121">
        <v>42460</v>
      </c>
      <c r="B9779" t="s">
        <v>406</v>
      </c>
      <c r="C9779" t="s">
        <v>456</v>
      </c>
      <c r="D9779" t="s">
        <v>628</v>
      </c>
      <c r="E9779" t="s">
        <v>629</v>
      </c>
      <c r="F9779" t="s">
        <v>410</v>
      </c>
      <c r="G9779">
        <v>44</v>
      </c>
      <c r="I9779">
        <v>44</v>
      </c>
    </row>
    <row r="9780" spans="1:17" x14ac:dyDescent="0.2">
      <c r="A9780" s="121">
        <v>42460</v>
      </c>
      <c r="B9780" t="s">
        <v>406</v>
      </c>
      <c r="C9780" t="s">
        <v>491</v>
      </c>
      <c r="D9780" t="s">
        <v>492</v>
      </c>
      <c r="E9780" t="s">
        <v>493</v>
      </c>
      <c r="F9780" t="s">
        <v>410</v>
      </c>
      <c r="G9780">
        <v>1441</v>
      </c>
      <c r="H9780">
        <v>1441</v>
      </c>
      <c r="I9780">
        <v>1385</v>
      </c>
      <c r="J9780">
        <v>1385</v>
      </c>
      <c r="K9780">
        <v>217</v>
      </c>
      <c r="L9780">
        <v>1</v>
      </c>
      <c r="M9780">
        <v>1105</v>
      </c>
      <c r="N9780">
        <v>110</v>
      </c>
      <c r="O9780">
        <v>8</v>
      </c>
      <c r="P9780">
        <v>1</v>
      </c>
      <c r="Q9780">
        <v>0</v>
      </c>
    </row>
    <row r="9781" spans="1:17" x14ac:dyDescent="0.2">
      <c r="A9781" s="121">
        <v>42460</v>
      </c>
      <c r="B9781" t="s">
        <v>406</v>
      </c>
      <c r="C9781" t="s">
        <v>491</v>
      </c>
      <c r="D9781" t="s">
        <v>494</v>
      </c>
      <c r="E9781" t="s">
        <v>495</v>
      </c>
      <c r="F9781" t="s">
        <v>413</v>
      </c>
      <c r="G9781">
        <v>2903</v>
      </c>
      <c r="H9781">
        <v>2903</v>
      </c>
      <c r="I9781">
        <v>2773</v>
      </c>
      <c r="J9781">
        <v>2773</v>
      </c>
      <c r="K9781">
        <v>812</v>
      </c>
      <c r="L9781">
        <v>3</v>
      </c>
      <c r="M9781">
        <v>1862</v>
      </c>
      <c r="N9781">
        <v>59</v>
      </c>
      <c r="O9781">
        <v>167</v>
      </c>
      <c r="P9781">
        <v>5</v>
      </c>
      <c r="Q9781">
        <v>0</v>
      </c>
    </row>
    <row r="9782" spans="1:17" x14ac:dyDescent="0.2">
      <c r="A9782" s="121">
        <v>42460</v>
      </c>
      <c r="B9782" t="s">
        <v>406</v>
      </c>
      <c r="C9782" t="s">
        <v>491</v>
      </c>
      <c r="D9782" t="s">
        <v>496</v>
      </c>
      <c r="E9782" t="s">
        <v>497</v>
      </c>
      <c r="F9782" t="s">
        <v>413</v>
      </c>
      <c r="G9782">
        <v>6138</v>
      </c>
      <c r="H9782">
        <v>6138</v>
      </c>
      <c r="I9782">
        <v>5430</v>
      </c>
      <c r="J9782">
        <v>5430</v>
      </c>
      <c r="K9782">
        <v>2036</v>
      </c>
      <c r="L9782">
        <v>20</v>
      </c>
      <c r="M9782">
        <v>3860</v>
      </c>
      <c r="N9782">
        <v>105</v>
      </c>
      <c r="O9782">
        <v>117</v>
      </c>
      <c r="P9782">
        <v>33</v>
      </c>
      <c r="Q9782">
        <v>0</v>
      </c>
    </row>
    <row r="9783" spans="1:17" x14ac:dyDescent="0.2">
      <c r="A9783" s="121">
        <v>42460</v>
      </c>
      <c r="B9783" t="s">
        <v>406</v>
      </c>
      <c r="C9783" t="s">
        <v>491</v>
      </c>
      <c r="D9783" t="s">
        <v>498</v>
      </c>
      <c r="E9783" t="s">
        <v>499</v>
      </c>
      <c r="F9783" t="s">
        <v>413</v>
      </c>
      <c r="G9783">
        <v>8215</v>
      </c>
      <c r="H9783">
        <v>8215</v>
      </c>
      <c r="I9783">
        <v>6790</v>
      </c>
      <c r="J9783">
        <v>6790</v>
      </c>
      <c r="K9783">
        <v>2501</v>
      </c>
      <c r="L9783">
        <v>26</v>
      </c>
      <c r="M9783">
        <v>5101</v>
      </c>
      <c r="N9783">
        <v>190</v>
      </c>
      <c r="O9783">
        <v>397</v>
      </c>
      <c r="P9783">
        <v>45</v>
      </c>
      <c r="Q9783">
        <v>1</v>
      </c>
    </row>
    <row r="9784" spans="1:17" x14ac:dyDescent="0.2">
      <c r="A9784" s="121">
        <v>42460</v>
      </c>
      <c r="B9784" t="s">
        <v>406</v>
      </c>
      <c r="C9784" t="s">
        <v>491</v>
      </c>
      <c r="D9784" t="s">
        <v>500</v>
      </c>
      <c r="E9784" t="s">
        <v>620</v>
      </c>
      <c r="F9784" t="s">
        <v>410</v>
      </c>
      <c r="G9784">
        <v>1687</v>
      </c>
      <c r="H9784">
        <v>1687</v>
      </c>
      <c r="I9784">
        <v>1687</v>
      </c>
      <c r="J9784">
        <v>1687</v>
      </c>
      <c r="K9784">
        <v>0</v>
      </c>
      <c r="L9784">
        <v>0</v>
      </c>
      <c r="M9784">
        <v>1546</v>
      </c>
      <c r="N9784">
        <v>107</v>
      </c>
      <c r="O9784">
        <v>34</v>
      </c>
      <c r="P9784">
        <v>0</v>
      </c>
      <c r="Q9784">
        <v>0</v>
      </c>
    </row>
    <row r="9785" spans="1:17" x14ac:dyDescent="0.2">
      <c r="A9785" s="121">
        <v>42460</v>
      </c>
      <c r="B9785" t="s">
        <v>406</v>
      </c>
      <c r="C9785" t="s">
        <v>491</v>
      </c>
      <c r="D9785" t="s">
        <v>502</v>
      </c>
      <c r="E9785" t="s">
        <v>615</v>
      </c>
      <c r="F9785" t="s">
        <v>410</v>
      </c>
      <c r="G9785">
        <v>2686</v>
      </c>
      <c r="H9785">
        <v>2686</v>
      </c>
      <c r="I9785">
        <v>2685</v>
      </c>
      <c r="J9785">
        <v>2685</v>
      </c>
      <c r="K9785">
        <v>1</v>
      </c>
      <c r="L9785">
        <v>0</v>
      </c>
      <c r="M9785">
        <v>2381</v>
      </c>
      <c r="N9785">
        <v>300</v>
      </c>
      <c r="O9785">
        <v>4</v>
      </c>
      <c r="P9785">
        <v>0</v>
      </c>
      <c r="Q9785">
        <v>0</v>
      </c>
    </row>
    <row r="9786" spans="1:17" x14ac:dyDescent="0.2">
      <c r="A9786" s="121">
        <v>42460</v>
      </c>
      <c r="B9786" t="s">
        <v>406</v>
      </c>
      <c r="C9786" t="s">
        <v>491</v>
      </c>
      <c r="D9786" t="s">
        <v>504</v>
      </c>
      <c r="E9786" t="s">
        <v>630</v>
      </c>
      <c r="F9786" t="s">
        <v>413</v>
      </c>
      <c r="G9786">
        <v>8011</v>
      </c>
      <c r="H9786">
        <v>8011</v>
      </c>
      <c r="I9786">
        <v>6815</v>
      </c>
      <c r="J9786">
        <v>6815</v>
      </c>
      <c r="K9786">
        <v>2505</v>
      </c>
      <c r="L9786">
        <v>25</v>
      </c>
      <c r="M9786">
        <v>5072</v>
      </c>
      <c r="N9786">
        <v>155</v>
      </c>
      <c r="O9786">
        <v>254</v>
      </c>
      <c r="P9786">
        <v>69</v>
      </c>
      <c r="Q9786">
        <v>0</v>
      </c>
    </row>
    <row r="9787" spans="1:17" x14ac:dyDescent="0.2">
      <c r="A9787" s="121">
        <v>42460</v>
      </c>
      <c r="B9787" t="s">
        <v>406</v>
      </c>
      <c r="C9787" t="s">
        <v>491</v>
      </c>
      <c r="D9787" t="s">
        <v>506</v>
      </c>
      <c r="E9787" t="s">
        <v>507</v>
      </c>
      <c r="F9787" t="s">
        <v>413</v>
      </c>
      <c r="G9787">
        <v>5489</v>
      </c>
      <c r="H9787">
        <v>5489</v>
      </c>
      <c r="I9787">
        <v>5452</v>
      </c>
      <c r="J9787">
        <v>5452</v>
      </c>
      <c r="K9787">
        <v>967</v>
      </c>
      <c r="L9787">
        <v>2</v>
      </c>
      <c r="M9787">
        <v>4499</v>
      </c>
      <c r="N9787">
        <v>0</v>
      </c>
      <c r="O9787">
        <v>21</v>
      </c>
      <c r="P9787">
        <v>0</v>
      </c>
      <c r="Q9787">
        <v>0</v>
      </c>
    </row>
    <row r="9788" spans="1:17" x14ac:dyDescent="0.2">
      <c r="A9788" s="121">
        <v>42460</v>
      </c>
      <c r="B9788" t="s">
        <v>406</v>
      </c>
      <c r="C9788" t="s">
        <v>491</v>
      </c>
      <c r="D9788" t="s">
        <v>508</v>
      </c>
      <c r="E9788" t="s">
        <v>631</v>
      </c>
      <c r="F9788" t="s">
        <v>410</v>
      </c>
      <c r="G9788">
        <v>1022</v>
      </c>
      <c r="H9788">
        <v>1022</v>
      </c>
      <c r="I9788">
        <v>1021</v>
      </c>
      <c r="J9788">
        <v>1021</v>
      </c>
      <c r="K9788">
        <v>1</v>
      </c>
      <c r="L9788">
        <v>0</v>
      </c>
      <c r="M9788">
        <v>936</v>
      </c>
      <c r="N9788">
        <v>79</v>
      </c>
      <c r="O9788">
        <v>6</v>
      </c>
      <c r="P9788">
        <v>0</v>
      </c>
      <c r="Q9788">
        <v>0</v>
      </c>
    </row>
    <row r="9789" spans="1:17" x14ac:dyDescent="0.2">
      <c r="A9789" s="121">
        <v>42460</v>
      </c>
      <c r="B9789" t="s">
        <v>406</v>
      </c>
      <c r="C9789" t="s">
        <v>510</v>
      </c>
      <c r="D9789" t="s">
        <v>513</v>
      </c>
      <c r="E9789" t="s">
        <v>514</v>
      </c>
      <c r="F9789" t="s">
        <v>410</v>
      </c>
      <c r="G9789">
        <v>626</v>
      </c>
      <c r="I9789">
        <v>626</v>
      </c>
    </row>
    <row r="9790" spans="1:17" x14ac:dyDescent="0.2">
      <c r="A9790" s="121">
        <v>42460</v>
      </c>
      <c r="B9790" t="s">
        <v>406</v>
      </c>
      <c r="C9790" t="s">
        <v>510</v>
      </c>
      <c r="D9790" t="s">
        <v>515</v>
      </c>
      <c r="E9790" t="s">
        <v>516</v>
      </c>
      <c r="F9790" t="s">
        <v>410</v>
      </c>
      <c r="G9790">
        <v>118</v>
      </c>
      <c r="I9790">
        <v>118</v>
      </c>
    </row>
    <row r="9791" spans="1:17" x14ac:dyDescent="0.2">
      <c r="A9791" s="121">
        <v>42460</v>
      </c>
      <c r="B9791" t="s">
        <v>406</v>
      </c>
      <c r="C9791" t="s">
        <v>510</v>
      </c>
      <c r="D9791" t="s">
        <v>519</v>
      </c>
      <c r="E9791" t="s">
        <v>520</v>
      </c>
      <c r="F9791" t="s">
        <v>410</v>
      </c>
      <c r="G9791">
        <v>372</v>
      </c>
      <c r="I9791">
        <v>367</v>
      </c>
    </row>
    <row r="9792" spans="1:17" x14ac:dyDescent="0.2">
      <c r="A9792" s="121">
        <v>42460</v>
      </c>
      <c r="B9792" t="s">
        <v>406</v>
      </c>
      <c r="C9792" t="s">
        <v>510</v>
      </c>
      <c r="D9792" t="s">
        <v>523</v>
      </c>
      <c r="E9792" t="s">
        <v>524</v>
      </c>
      <c r="F9792" t="s">
        <v>413</v>
      </c>
      <c r="G9792">
        <v>663</v>
      </c>
      <c r="H9792">
        <v>663</v>
      </c>
      <c r="I9792">
        <v>655</v>
      </c>
      <c r="J9792">
        <v>655</v>
      </c>
      <c r="K9792">
        <v>196</v>
      </c>
      <c r="L9792">
        <v>0</v>
      </c>
      <c r="M9792">
        <v>452</v>
      </c>
      <c r="N9792">
        <v>15</v>
      </c>
      <c r="O9792">
        <v>0</v>
      </c>
      <c r="P9792">
        <v>0</v>
      </c>
      <c r="Q9792">
        <v>0</v>
      </c>
    </row>
    <row r="9793" spans="1:17" x14ac:dyDescent="0.2">
      <c r="A9793" s="121">
        <v>42460</v>
      </c>
      <c r="B9793" t="s">
        <v>406</v>
      </c>
      <c r="C9793" t="s">
        <v>510</v>
      </c>
      <c r="D9793" t="s">
        <v>525</v>
      </c>
      <c r="E9793" t="s">
        <v>526</v>
      </c>
      <c r="F9793" t="s">
        <v>410</v>
      </c>
      <c r="G9793">
        <v>527</v>
      </c>
      <c r="I9793">
        <v>526</v>
      </c>
    </row>
    <row r="9794" spans="1:17" x14ac:dyDescent="0.2">
      <c r="A9794" s="121">
        <v>42460</v>
      </c>
      <c r="B9794" t="s">
        <v>406</v>
      </c>
      <c r="C9794" t="s">
        <v>510</v>
      </c>
      <c r="D9794" t="s">
        <v>527</v>
      </c>
      <c r="E9794" t="s">
        <v>528</v>
      </c>
      <c r="F9794" t="s">
        <v>410</v>
      </c>
      <c r="G9794">
        <v>220</v>
      </c>
      <c r="I9794">
        <v>220</v>
      </c>
    </row>
    <row r="9795" spans="1:17" x14ac:dyDescent="0.2">
      <c r="A9795" s="121">
        <v>42460</v>
      </c>
      <c r="B9795" t="s">
        <v>406</v>
      </c>
      <c r="C9795" t="s">
        <v>510</v>
      </c>
      <c r="D9795" t="s">
        <v>529</v>
      </c>
      <c r="E9795" t="s">
        <v>530</v>
      </c>
      <c r="F9795" t="s">
        <v>413</v>
      </c>
      <c r="G9795">
        <v>571</v>
      </c>
      <c r="H9795">
        <v>571</v>
      </c>
      <c r="I9795">
        <v>537</v>
      </c>
      <c r="J9795">
        <v>537</v>
      </c>
      <c r="K9795">
        <v>169</v>
      </c>
      <c r="L9795">
        <v>2</v>
      </c>
      <c r="M9795">
        <v>396</v>
      </c>
      <c r="N9795">
        <v>4</v>
      </c>
      <c r="O9795">
        <v>0</v>
      </c>
      <c r="P9795">
        <v>5</v>
      </c>
      <c r="Q9795">
        <v>0</v>
      </c>
    </row>
    <row r="9796" spans="1:17" x14ac:dyDescent="0.2">
      <c r="A9796" s="121">
        <v>42460</v>
      </c>
      <c r="B9796" t="s">
        <v>406</v>
      </c>
      <c r="C9796" t="s">
        <v>510</v>
      </c>
      <c r="D9796" t="s">
        <v>531</v>
      </c>
      <c r="E9796" t="s">
        <v>532</v>
      </c>
      <c r="F9796" t="s">
        <v>410</v>
      </c>
      <c r="G9796">
        <v>17</v>
      </c>
      <c r="I9796">
        <v>17</v>
      </c>
    </row>
    <row r="9797" spans="1:17" x14ac:dyDescent="0.2">
      <c r="A9797" s="121">
        <v>42460</v>
      </c>
      <c r="B9797" t="s">
        <v>406</v>
      </c>
      <c r="C9797" t="s">
        <v>510</v>
      </c>
      <c r="D9797" t="s">
        <v>533</v>
      </c>
      <c r="E9797" t="s">
        <v>534</v>
      </c>
      <c r="F9797" t="s">
        <v>413</v>
      </c>
      <c r="G9797">
        <v>2863</v>
      </c>
      <c r="H9797">
        <v>2863</v>
      </c>
      <c r="I9797">
        <v>2667</v>
      </c>
      <c r="J9797">
        <v>2667</v>
      </c>
      <c r="K9797">
        <v>742</v>
      </c>
      <c r="L9797">
        <v>5</v>
      </c>
      <c r="M9797">
        <v>2108</v>
      </c>
      <c r="N9797">
        <v>8</v>
      </c>
      <c r="O9797">
        <v>0</v>
      </c>
      <c r="P9797">
        <v>9</v>
      </c>
      <c r="Q9797">
        <v>1</v>
      </c>
    </row>
    <row r="9798" spans="1:17" x14ac:dyDescent="0.2">
      <c r="A9798" s="121">
        <v>42460</v>
      </c>
      <c r="B9798" t="s">
        <v>406</v>
      </c>
      <c r="C9798" t="s">
        <v>510</v>
      </c>
      <c r="D9798" t="s">
        <v>535</v>
      </c>
      <c r="E9798" t="s">
        <v>536</v>
      </c>
      <c r="F9798" t="s">
        <v>410</v>
      </c>
      <c r="G9798">
        <v>447</v>
      </c>
      <c r="I9798">
        <v>447</v>
      </c>
    </row>
    <row r="9799" spans="1:17" x14ac:dyDescent="0.2">
      <c r="A9799" s="121">
        <v>42460</v>
      </c>
      <c r="B9799" t="s">
        <v>406</v>
      </c>
      <c r="C9799" t="s">
        <v>510</v>
      </c>
      <c r="D9799" t="s">
        <v>537</v>
      </c>
      <c r="E9799" t="s">
        <v>538</v>
      </c>
      <c r="F9799" t="s">
        <v>410</v>
      </c>
      <c r="G9799">
        <v>98</v>
      </c>
      <c r="I9799">
        <v>98</v>
      </c>
    </row>
    <row r="9800" spans="1:17" x14ac:dyDescent="0.2">
      <c r="A9800" s="121">
        <v>42460</v>
      </c>
      <c r="B9800" t="s">
        <v>406</v>
      </c>
      <c r="C9800" t="s">
        <v>510</v>
      </c>
      <c r="D9800" t="s">
        <v>539</v>
      </c>
      <c r="E9800" t="s">
        <v>540</v>
      </c>
      <c r="F9800" t="s">
        <v>413</v>
      </c>
      <c r="G9800">
        <v>749</v>
      </c>
      <c r="H9800">
        <v>749</v>
      </c>
      <c r="I9800">
        <v>735</v>
      </c>
      <c r="J9800">
        <v>735</v>
      </c>
      <c r="K9800">
        <v>134</v>
      </c>
      <c r="L9800">
        <v>2</v>
      </c>
      <c r="M9800">
        <v>609</v>
      </c>
      <c r="N9800">
        <v>4</v>
      </c>
      <c r="O9800">
        <v>0</v>
      </c>
      <c r="P9800">
        <v>0</v>
      </c>
      <c r="Q9800">
        <v>0</v>
      </c>
    </row>
    <row r="9801" spans="1:17" x14ac:dyDescent="0.2">
      <c r="A9801" s="121">
        <v>42460</v>
      </c>
      <c r="B9801" t="s">
        <v>406</v>
      </c>
      <c r="C9801" t="s">
        <v>510</v>
      </c>
      <c r="D9801" t="s">
        <v>541</v>
      </c>
      <c r="E9801" t="s">
        <v>542</v>
      </c>
      <c r="F9801" t="s">
        <v>410</v>
      </c>
      <c r="G9801">
        <v>445</v>
      </c>
      <c r="I9801">
        <v>445</v>
      </c>
    </row>
    <row r="9802" spans="1:17" x14ac:dyDescent="0.2">
      <c r="A9802" s="121">
        <v>42460</v>
      </c>
      <c r="B9802" t="s">
        <v>406</v>
      </c>
      <c r="C9802" t="s">
        <v>510</v>
      </c>
      <c r="D9802" t="s">
        <v>543</v>
      </c>
      <c r="E9802" t="s">
        <v>544</v>
      </c>
      <c r="F9802" t="s">
        <v>410</v>
      </c>
      <c r="G9802">
        <v>199</v>
      </c>
      <c r="I9802">
        <v>199</v>
      </c>
    </row>
    <row r="9803" spans="1:17" x14ac:dyDescent="0.2">
      <c r="A9803" s="121">
        <v>42460</v>
      </c>
      <c r="B9803" t="s">
        <v>406</v>
      </c>
      <c r="C9803" t="s">
        <v>510</v>
      </c>
      <c r="D9803" t="s">
        <v>545</v>
      </c>
      <c r="E9803" t="s">
        <v>546</v>
      </c>
      <c r="F9803" t="s">
        <v>410</v>
      </c>
      <c r="G9803">
        <v>154</v>
      </c>
      <c r="I9803">
        <v>154</v>
      </c>
    </row>
    <row r="9804" spans="1:17" x14ac:dyDescent="0.2">
      <c r="A9804" s="121">
        <v>42460</v>
      </c>
      <c r="B9804" t="s">
        <v>406</v>
      </c>
      <c r="C9804" t="s">
        <v>510</v>
      </c>
      <c r="D9804" t="s">
        <v>547</v>
      </c>
      <c r="E9804" t="s">
        <v>548</v>
      </c>
      <c r="F9804" t="s">
        <v>410</v>
      </c>
      <c r="G9804">
        <v>177</v>
      </c>
      <c r="I9804">
        <v>177</v>
      </c>
    </row>
    <row r="9805" spans="1:17" x14ac:dyDescent="0.2">
      <c r="A9805" s="121">
        <v>42460</v>
      </c>
      <c r="B9805" t="s">
        <v>406</v>
      </c>
      <c r="C9805" t="s">
        <v>510</v>
      </c>
      <c r="D9805" t="s">
        <v>616</v>
      </c>
      <c r="E9805" t="s">
        <v>617</v>
      </c>
      <c r="F9805" t="s">
        <v>410</v>
      </c>
      <c r="G9805">
        <v>346</v>
      </c>
      <c r="I9805">
        <v>335</v>
      </c>
    </row>
    <row r="9806" spans="1:17" x14ac:dyDescent="0.2">
      <c r="A9806" s="121">
        <v>42460</v>
      </c>
      <c r="B9806" t="s">
        <v>406</v>
      </c>
      <c r="C9806" t="s">
        <v>510</v>
      </c>
      <c r="D9806" t="s">
        <v>549</v>
      </c>
      <c r="E9806" t="s">
        <v>550</v>
      </c>
      <c r="F9806" t="s">
        <v>410</v>
      </c>
      <c r="G9806">
        <v>183</v>
      </c>
      <c r="I9806">
        <v>183</v>
      </c>
    </row>
    <row r="9807" spans="1:17" x14ac:dyDescent="0.2">
      <c r="A9807" s="121">
        <v>42460</v>
      </c>
      <c r="B9807" t="s">
        <v>406</v>
      </c>
      <c r="C9807" t="s">
        <v>510</v>
      </c>
      <c r="D9807" t="s">
        <v>625</v>
      </c>
      <c r="E9807" t="s">
        <v>626</v>
      </c>
      <c r="F9807" t="s">
        <v>410</v>
      </c>
      <c r="G9807">
        <v>70</v>
      </c>
      <c r="I9807">
        <v>70</v>
      </c>
    </row>
    <row r="9808" spans="1:17" x14ac:dyDescent="0.2">
      <c r="A9808" s="121">
        <v>42460</v>
      </c>
      <c r="B9808" t="s">
        <v>406</v>
      </c>
      <c r="C9808" t="s">
        <v>551</v>
      </c>
      <c r="D9808" t="s">
        <v>552</v>
      </c>
      <c r="E9808" t="s">
        <v>553</v>
      </c>
      <c r="F9808" t="s">
        <v>413</v>
      </c>
      <c r="G9808">
        <v>6074</v>
      </c>
      <c r="H9808">
        <v>6074</v>
      </c>
      <c r="I9808">
        <v>5792</v>
      </c>
      <c r="J9808">
        <v>5792</v>
      </c>
      <c r="K9808">
        <v>1994</v>
      </c>
      <c r="L9808">
        <v>7</v>
      </c>
      <c r="M9808">
        <v>3904</v>
      </c>
      <c r="N9808">
        <v>88</v>
      </c>
      <c r="O9808">
        <v>81</v>
      </c>
      <c r="P9808">
        <v>4</v>
      </c>
      <c r="Q9808">
        <v>1</v>
      </c>
    </row>
    <row r="9809" spans="1:17" x14ac:dyDescent="0.2">
      <c r="A9809" s="121">
        <v>42460</v>
      </c>
      <c r="B9809" t="s">
        <v>406</v>
      </c>
      <c r="C9809" t="s">
        <v>551</v>
      </c>
      <c r="D9809" t="s">
        <v>554</v>
      </c>
      <c r="E9809" t="s">
        <v>555</v>
      </c>
      <c r="F9809" t="s">
        <v>410</v>
      </c>
      <c r="G9809">
        <v>62</v>
      </c>
      <c r="I9809">
        <v>62</v>
      </c>
    </row>
    <row r="9810" spans="1:17" x14ac:dyDescent="0.2">
      <c r="A9810" s="121">
        <v>42460</v>
      </c>
      <c r="B9810" t="s">
        <v>406</v>
      </c>
      <c r="C9810" t="s">
        <v>551</v>
      </c>
      <c r="D9810" t="s">
        <v>556</v>
      </c>
      <c r="E9810" t="s">
        <v>557</v>
      </c>
      <c r="F9810" t="s">
        <v>410</v>
      </c>
      <c r="G9810">
        <v>85</v>
      </c>
      <c r="I9810">
        <v>85</v>
      </c>
    </row>
    <row r="9811" spans="1:17" x14ac:dyDescent="0.2">
      <c r="A9811" s="121">
        <v>42460</v>
      </c>
      <c r="B9811" t="s">
        <v>406</v>
      </c>
      <c r="C9811" t="s">
        <v>551</v>
      </c>
      <c r="D9811" t="s">
        <v>558</v>
      </c>
      <c r="E9811" t="s">
        <v>559</v>
      </c>
      <c r="F9811" t="s">
        <v>413</v>
      </c>
      <c r="G9811">
        <v>5463</v>
      </c>
      <c r="H9811">
        <v>5463</v>
      </c>
      <c r="I9811">
        <v>4868</v>
      </c>
      <c r="J9811">
        <v>4868</v>
      </c>
      <c r="K9811">
        <v>1583</v>
      </c>
      <c r="L9811">
        <v>8</v>
      </c>
      <c r="M9811">
        <v>3765</v>
      </c>
      <c r="N9811">
        <v>89</v>
      </c>
      <c r="O9811">
        <v>18</v>
      </c>
      <c r="P9811">
        <v>127</v>
      </c>
      <c r="Q9811">
        <v>30</v>
      </c>
    </row>
    <row r="9812" spans="1:17" x14ac:dyDescent="0.2">
      <c r="A9812" s="121">
        <v>42460</v>
      </c>
      <c r="B9812" t="s">
        <v>406</v>
      </c>
      <c r="C9812" t="s">
        <v>551</v>
      </c>
      <c r="D9812" t="s">
        <v>560</v>
      </c>
      <c r="E9812" t="s">
        <v>561</v>
      </c>
      <c r="F9812" t="s">
        <v>413</v>
      </c>
      <c r="G9812">
        <v>5730</v>
      </c>
      <c r="H9812">
        <v>5730</v>
      </c>
      <c r="I9812">
        <v>5190</v>
      </c>
      <c r="J9812">
        <v>5190</v>
      </c>
      <c r="K9812">
        <v>1316</v>
      </c>
      <c r="L9812">
        <v>13</v>
      </c>
      <c r="M9812">
        <v>4233</v>
      </c>
      <c r="N9812">
        <v>73</v>
      </c>
      <c r="O9812">
        <v>95</v>
      </c>
      <c r="P9812">
        <v>43</v>
      </c>
      <c r="Q9812">
        <v>4</v>
      </c>
    </row>
    <row r="9813" spans="1:17" x14ac:dyDescent="0.2">
      <c r="A9813" s="121">
        <v>42460</v>
      </c>
      <c r="B9813" t="s">
        <v>406</v>
      </c>
      <c r="C9813" t="s">
        <v>562</v>
      </c>
      <c r="D9813" t="s">
        <v>605</v>
      </c>
      <c r="E9813" t="s">
        <v>606</v>
      </c>
      <c r="F9813" t="s">
        <v>410</v>
      </c>
      <c r="G9813">
        <v>110</v>
      </c>
      <c r="I9813">
        <v>110</v>
      </c>
    </row>
    <row r="9814" spans="1:17" x14ac:dyDescent="0.2">
      <c r="A9814" s="121">
        <v>42460</v>
      </c>
      <c r="B9814" t="s">
        <v>406</v>
      </c>
      <c r="C9814" t="s">
        <v>562</v>
      </c>
      <c r="D9814" t="s">
        <v>563</v>
      </c>
      <c r="E9814" t="s">
        <v>564</v>
      </c>
      <c r="F9814" t="s">
        <v>410</v>
      </c>
      <c r="G9814">
        <v>3782</v>
      </c>
      <c r="H9814">
        <v>3782</v>
      </c>
      <c r="I9814">
        <v>3124</v>
      </c>
      <c r="J9814">
        <v>3124</v>
      </c>
      <c r="K9814">
        <v>1188</v>
      </c>
      <c r="L9814">
        <v>0</v>
      </c>
      <c r="M9814">
        <v>2591</v>
      </c>
      <c r="N9814">
        <v>3</v>
      </c>
      <c r="O9814">
        <v>0</v>
      </c>
      <c r="P9814">
        <v>229</v>
      </c>
      <c r="Q9814">
        <v>127</v>
      </c>
    </row>
    <row r="9815" spans="1:17" x14ac:dyDescent="0.2">
      <c r="A9815" s="121">
        <v>42460</v>
      </c>
      <c r="B9815" t="s">
        <v>406</v>
      </c>
      <c r="C9815" t="s">
        <v>562</v>
      </c>
      <c r="D9815" t="s">
        <v>565</v>
      </c>
      <c r="E9815" t="s">
        <v>566</v>
      </c>
      <c r="F9815" t="s">
        <v>413</v>
      </c>
      <c r="G9815">
        <v>4804</v>
      </c>
      <c r="H9815">
        <v>4804</v>
      </c>
      <c r="I9815">
        <v>4445</v>
      </c>
      <c r="J9815">
        <v>4445</v>
      </c>
      <c r="K9815">
        <v>1077</v>
      </c>
      <c r="L9815">
        <v>11</v>
      </c>
      <c r="M9815">
        <v>3647</v>
      </c>
      <c r="N9815">
        <v>69</v>
      </c>
      <c r="O9815">
        <v>0</v>
      </c>
      <c r="P9815">
        <v>34</v>
      </c>
      <c r="Q9815">
        <v>6</v>
      </c>
    </row>
    <row r="9816" spans="1:17" x14ac:dyDescent="0.2">
      <c r="A9816" s="121">
        <v>42460</v>
      </c>
      <c r="B9816" t="s">
        <v>406</v>
      </c>
      <c r="C9816" t="s">
        <v>562</v>
      </c>
      <c r="D9816" t="s">
        <v>567</v>
      </c>
      <c r="E9816" t="s">
        <v>568</v>
      </c>
      <c r="F9816" t="s">
        <v>413</v>
      </c>
      <c r="G9816">
        <v>10321</v>
      </c>
      <c r="H9816">
        <v>10321</v>
      </c>
      <c r="I9816">
        <v>9564</v>
      </c>
      <c r="J9816">
        <v>9564</v>
      </c>
      <c r="K9816">
        <v>2816</v>
      </c>
      <c r="L9816">
        <v>22</v>
      </c>
      <c r="M9816">
        <v>7283</v>
      </c>
      <c r="N9816">
        <v>200</v>
      </c>
      <c r="O9816">
        <v>0</v>
      </c>
      <c r="P9816">
        <v>145</v>
      </c>
      <c r="Q9816">
        <v>23</v>
      </c>
    </row>
    <row r="9817" spans="1:17" x14ac:dyDescent="0.2">
      <c r="A9817" s="121">
        <v>42460</v>
      </c>
      <c r="B9817" t="s">
        <v>406</v>
      </c>
      <c r="C9817" t="s">
        <v>562</v>
      </c>
      <c r="D9817" t="s">
        <v>569</v>
      </c>
      <c r="E9817" t="s">
        <v>570</v>
      </c>
      <c r="F9817" t="s">
        <v>413</v>
      </c>
      <c r="G9817">
        <v>4683</v>
      </c>
      <c r="H9817">
        <v>4683</v>
      </c>
      <c r="I9817">
        <v>4584</v>
      </c>
      <c r="J9817">
        <v>4584</v>
      </c>
      <c r="K9817">
        <v>524</v>
      </c>
      <c r="L9817">
        <v>1</v>
      </c>
      <c r="M9817">
        <v>4157</v>
      </c>
      <c r="N9817">
        <v>1</v>
      </c>
      <c r="O9817">
        <v>0</v>
      </c>
      <c r="P9817">
        <v>2</v>
      </c>
      <c r="Q9817">
        <v>0</v>
      </c>
    </row>
    <row r="9818" spans="1:17" x14ac:dyDescent="0.2">
      <c r="A9818" s="121">
        <v>42460</v>
      </c>
      <c r="B9818" t="s">
        <v>406</v>
      </c>
      <c r="C9818" t="s">
        <v>571</v>
      </c>
      <c r="D9818" t="s">
        <v>572</v>
      </c>
      <c r="E9818" t="s">
        <v>627</v>
      </c>
      <c r="F9818" t="s">
        <v>413</v>
      </c>
      <c r="G9818">
        <v>496</v>
      </c>
      <c r="H9818">
        <v>496</v>
      </c>
      <c r="I9818">
        <v>490</v>
      </c>
      <c r="J9818">
        <v>490</v>
      </c>
      <c r="K9818">
        <v>152</v>
      </c>
      <c r="L9818">
        <v>0</v>
      </c>
      <c r="M9818">
        <v>338</v>
      </c>
      <c r="N9818">
        <v>5</v>
      </c>
      <c r="O9818">
        <v>1</v>
      </c>
      <c r="P9818">
        <v>0</v>
      </c>
      <c r="Q9818">
        <v>0</v>
      </c>
    </row>
    <row r="9819" spans="1:17" x14ac:dyDescent="0.2">
      <c r="A9819" s="121">
        <v>42460</v>
      </c>
      <c r="B9819" t="s">
        <v>406</v>
      </c>
      <c r="C9819" t="s">
        <v>574</v>
      </c>
      <c r="D9819" t="s">
        <v>575</v>
      </c>
      <c r="E9819" t="s">
        <v>576</v>
      </c>
      <c r="F9819" t="s">
        <v>413</v>
      </c>
      <c r="G9819">
        <v>607</v>
      </c>
      <c r="H9819">
        <v>607</v>
      </c>
      <c r="I9819">
        <v>586</v>
      </c>
      <c r="J9819">
        <v>586</v>
      </c>
      <c r="K9819">
        <v>171</v>
      </c>
      <c r="L9819">
        <v>0</v>
      </c>
      <c r="M9819">
        <v>416</v>
      </c>
      <c r="N9819">
        <v>3</v>
      </c>
      <c r="O9819">
        <v>17</v>
      </c>
      <c r="P9819">
        <v>1</v>
      </c>
      <c r="Q9819">
        <v>0</v>
      </c>
    </row>
    <row r="9820" spans="1:17" x14ac:dyDescent="0.2">
      <c r="A9820" s="121">
        <v>42460</v>
      </c>
      <c r="B9820" t="s">
        <v>406</v>
      </c>
      <c r="C9820" t="s">
        <v>577</v>
      </c>
      <c r="D9820" t="s">
        <v>578</v>
      </c>
      <c r="E9820" t="s">
        <v>579</v>
      </c>
      <c r="F9820" t="s">
        <v>413</v>
      </c>
      <c r="G9820">
        <v>4205</v>
      </c>
      <c r="H9820">
        <v>4205</v>
      </c>
      <c r="I9820">
        <v>4165</v>
      </c>
      <c r="J9820">
        <v>4165</v>
      </c>
      <c r="K9820">
        <v>1213</v>
      </c>
      <c r="L9820">
        <v>4</v>
      </c>
      <c r="M9820">
        <v>2675</v>
      </c>
      <c r="N9820">
        <v>313</v>
      </c>
      <c r="O9820">
        <v>0</v>
      </c>
      <c r="P9820">
        <v>1</v>
      </c>
      <c r="Q9820">
        <v>0</v>
      </c>
    </row>
    <row r="9821" spans="1:17" x14ac:dyDescent="0.2">
      <c r="A9821" s="121">
        <v>42460</v>
      </c>
      <c r="B9821" t="s">
        <v>406</v>
      </c>
      <c r="C9821" t="s">
        <v>577</v>
      </c>
      <c r="D9821" t="s">
        <v>580</v>
      </c>
      <c r="E9821" t="s">
        <v>581</v>
      </c>
      <c r="F9821" t="s">
        <v>413</v>
      </c>
      <c r="G9821">
        <v>2208</v>
      </c>
      <c r="H9821">
        <v>2208</v>
      </c>
      <c r="I9821">
        <v>2177</v>
      </c>
      <c r="J9821">
        <v>2177</v>
      </c>
      <c r="K9821">
        <v>383</v>
      </c>
      <c r="L9821">
        <v>3</v>
      </c>
      <c r="M9821">
        <v>1447</v>
      </c>
      <c r="N9821">
        <v>375</v>
      </c>
      <c r="O9821">
        <v>0</v>
      </c>
      <c r="P9821">
        <v>0</v>
      </c>
      <c r="Q9821">
        <v>0</v>
      </c>
    </row>
    <row r="9822" spans="1:17" x14ac:dyDescent="0.2">
      <c r="A9822" s="121">
        <v>42460</v>
      </c>
      <c r="B9822" t="s">
        <v>406</v>
      </c>
      <c r="C9822" t="s">
        <v>577</v>
      </c>
      <c r="D9822" t="s">
        <v>609</v>
      </c>
      <c r="E9822" t="s">
        <v>610</v>
      </c>
      <c r="F9822" t="s">
        <v>410</v>
      </c>
      <c r="G9822">
        <v>34</v>
      </c>
      <c r="H9822">
        <v>34</v>
      </c>
      <c r="I9822">
        <v>34</v>
      </c>
      <c r="J9822">
        <v>34</v>
      </c>
      <c r="K9822">
        <v>0</v>
      </c>
      <c r="L9822">
        <v>0</v>
      </c>
      <c r="M9822">
        <v>31</v>
      </c>
      <c r="N9822">
        <v>1</v>
      </c>
      <c r="O9822">
        <v>2</v>
      </c>
      <c r="P9822">
        <v>0</v>
      </c>
      <c r="Q9822">
        <v>0</v>
      </c>
    </row>
    <row r="9823" spans="1:17" x14ac:dyDescent="0.2">
      <c r="A9823" s="121">
        <v>42460</v>
      </c>
      <c r="B9823" t="s">
        <v>406</v>
      </c>
      <c r="C9823" t="s">
        <v>577</v>
      </c>
      <c r="D9823" t="s">
        <v>584</v>
      </c>
      <c r="E9823" t="s">
        <v>585</v>
      </c>
      <c r="F9823" t="s">
        <v>410</v>
      </c>
      <c r="G9823">
        <v>320</v>
      </c>
      <c r="H9823">
        <v>320</v>
      </c>
      <c r="I9823">
        <v>319</v>
      </c>
      <c r="J9823">
        <v>319</v>
      </c>
      <c r="K9823">
        <v>0</v>
      </c>
      <c r="L9823">
        <v>0</v>
      </c>
      <c r="M9823">
        <v>302</v>
      </c>
      <c r="N9823">
        <v>17</v>
      </c>
      <c r="O9823">
        <v>1</v>
      </c>
      <c r="P9823">
        <v>1</v>
      </c>
      <c r="Q9823">
        <v>0</v>
      </c>
    </row>
    <row r="9824" spans="1:17" x14ac:dyDescent="0.2">
      <c r="A9824" s="121">
        <v>42460</v>
      </c>
      <c r="B9824" t="s">
        <v>406</v>
      </c>
      <c r="C9824" t="s">
        <v>577</v>
      </c>
      <c r="D9824" t="s">
        <v>586</v>
      </c>
      <c r="E9824" t="s">
        <v>587</v>
      </c>
      <c r="F9824" t="s">
        <v>410</v>
      </c>
      <c r="G9824">
        <v>1089</v>
      </c>
      <c r="H9824">
        <v>1089</v>
      </c>
      <c r="I9824">
        <v>1087</v>
      </c>
      <c r="J9824">
        <v>1087</v>
      </c>
      <c r="K9824">
        <v>0</v>
      </c>
      <c r="L9824">
        <v>0</v>
      </c>
      <c r="M9824">
        <v>991</v>
      </c>
      <c r="N9824">
        <v>95</v>
      </c>
      <c r="O9824">
        <v>3</v>
      </c>
      <c r="P9824">
        <v>0</v>
      </c>
      <c r="Q9824">
        <v>0</v>
      </c>
    </row>
    <row r="9825" spans="1:17" x14ac:dyDescent="0.2">
      <c r="A9825" s="121">
        <v>42460</v>
      </c>
      <c r="B9825" t="s">
        <v>406</v>
      </c>
      <c r="C9825" t="s">
        <v>577</v>
      </c>
      <c r="D9825" t="s">
        <v>588</v>
      </c>
      <c r="E9825" t="s">
        <v>589</v>
      </c>
      <c r="F9825" t="s">
        <v>410</v>
      </c>
      <c r="G9825">
        <v>162</v>
      </c>
      <c r="H9825">
        <v>162</v>
      </c>
      <c r="I9825">
        <v>162</v>
      </c>
      <c r="J9825">
        <v>162</v>
      </c>
      <c r="K9825">
        <v>0</v>
      </c>
      <c r="L9825">
        <v>0</v>
      </c>
      <c r="M9825">
        <v>156</v>
      </c>
      <c r="N9825">
        <v>6</v>
      </c>
      <c r="O9825">
        <v>0</v>
      </c>
      <c r="P9825">
        <v>0</v>
      </c>
      <c r="Q9825">
        <v>0</v>
      </c>
    </row>
    <row r="9826" spans="1:17" x14ac:dyDescent="0.2">
      <c r="A9826" s="121">
        <v>42460</v>
      </c>
      <c r="B9826" t="s">
        <v>406</v>
      </c>
      <c r="C9826" t="s">
        <v>577</v>
      </c>
      <c r="D9826" t="s">
        <v>613</v>
      </c>
      <c r="E9826" t="s">
        <v>614</v>
      </c>
      <c r="F9826" t="s">
        <v>410</v>
      </c>
      <c r="G9826">
        <v>113</v>
      </c>
      <c r="H9826">
        <v>113</v>
      </c>
      <c r="I9826">
        <v>113</v>
      </c>
      <c r="J9826">
        <v>113</v>
      </c>
      <c r="K9826">
        <v>0</v>
      </c>
      <c r="L9826">
        <v>0</v>
      </c>
      <c r="M9826">
        <v>98</v>
      </c>
      <c r="N9826">
        <v>13</v>
      </c>
      <c r="O9826">
        <v>2</v>
      </c>
      <c r="P9826">
        <v>0</v>
      </c>
      <c r="Q9826">
        <v>0</v>
      </c>
    </row>
    <row r="9827" spans="1:17" x14ac:dyDescent="0.2">
      <c r="A9827" s="121">
        <v>42460</v>
      </c>
      <c r="B9827" t="s">
        <v>406</v>
      </c>
      <c r="C9827" t="s">
        <v>577</v>
      </c>
      <c r="D9827" t="s">
        <v>590</v>
      </c>
      <c r="E9827" t="s">
        <v>591</v>
      </c>
      <c r="F9827" t="s">
        <v>410</v>
      </c>
      <c r="G9827">
        <v>647</v>
      </c>
      <c r="H9827">
        <v>647</v>
      </c>
      <c r="I9827">
        <v>647</v>
      </c>
      <c r="J9827">
        <v>647</v>
      </c>
      <c r="K9827">
        <v>0</v>
      </c>
      <c r="L9827">
        <v>0</v>
      </c>
      <c r="M9827">
        <v>616</v>
      </c>
      <c r="N9827">
        <v>31</v>
      </c>
      <c r="O9827">
        <v>0</v>
      </c>
      <c r="P9827">
        <v>0</v>
      </c>
      <c r="Q9827">
        <v>0</v>
      </c>
    </row>
    <row r="9828" spans="1:17" x14ac:dyDescent="0.2">
      <c r="A9828" s="121">
        <v>42460</v>
      </c>
      <c r="B9828" t="s">
        <v>406</v>
      </c>
      <c r="C9828" t="s">
        <v>577</v>
      </c>
      <c r="D9828" t="s">
        <v>607</v>
      </c>
      <c r="E9828" t="s">
        <v>608</v>
      </c>
      <c r="F9828" t="s">
        <v>410</v>
      </c>
      <c r="G9828">
        <v>159</v>
      </c>
      <c r="H9828">
        <v>159</v>
      </c>
      <c r="I9828">
        <v>159</v>
      </c>
      <c r="J9828">
        <v>159</v>
      </c>
      <c r="K9828">
        <v>0</v>
      </c>
      <c r="L9828">
        <v>0</v>
      </c>
      <c r="M9828">
        <v>145</v>
      </c>
      <c r="N9828">
        <v>13</v>
      </c>
      <c r="O9828">
        <v>1</v>
      </c>
      <c r="P9828">
        <v>0</v>
      </c>
      <c r="Q9828">
        <v>0</v>
      </c>
    </row>
    <row r="9829" spans="1:17" x14ac:dyDescent="0.2">
      <c r="A9829" s="121">
        <v>42460</v>
      </c>
      <c r="B9829" t="s">
        <v>406</v>
      </c>
      <c r="C9829" t="s">
        <v>577</v>
      </c>
      <c r="D9829" t="s">
        <v>592</v>
      </c>
      <c r="E9829" t="s">
        <v>593</v>
      </c>
      <c r="F9829" t="s">
        <v>410</v>
      </c>
      <c r="G9829">
        <v>522</v>
      </c>
      <c r="H9829">
        <v>522</v>
      </c>
      <c r="I9829">
        <v>522</v>
      </c>
      <c r="J9829">
        <v>522</v>
      </c>
      <c r="K9829">
        <v>0</v>
      </c>
      <c r="L9829">
        <v>0</v>
      </c>
      <c r="M9829">
        <v>472</v>
      </c>
      <c r="N9829">
        <v>42</v>
      </c>
      <c r="O9829">
        <v>8</v>
      </c>
      <c r="P9829">
        <v>0</v>
      </c>
      <c r="Q9829">
        <v>0</v>
      </c>
    </row>
    <row r="9830" spans="1:17" x14ac:dyDescent="0.2">
      <c r="A9830" s="121">
        <v>42460</v>
      </c>
      <c r="B9830" t="s">
        <v>406</v>
      </c>
      <c r="C9830" t="s">
        <v>594</v>
      </c>
      <c r="D9830" t="s">
        <v>595</v>
      </c>
      <c r="E9830" t="s">
        <v>596</v>
      </c>
      <c r="F9830" t="s">
        <v>410</v>
      </c>
      <c r="G9830">
        <v>53</v>
      </c>
      <c r="I9830">
        <v>53</v>
      </c>
    </row>
    <row r="9831" spans="1:17" x14ac:dyDescent="0.2">
      <c r="A9831" s="121">
        <v>42460</v>
      </c>
      <c r="B9831" t="s">
        <v>406</v>
      </c>
      <c r="C9831" t="s">
        <v>594</v>
      </c>
      <c r="D9831" t="s">
        <v>597</v>
      </c>
      <c r="E9831" t="s">
        <v>598</v>
      </c>
      <c r="F9831" t="s">
        <v>413</v>
      </c>
      <c r="G9831">
        <v>562</v>
      </c>
      <c r="H9831">
        <v>562</v>
      </c>
      <c r="I9831">
        <v>558</v>
      </c>
      <c r="J9831">
        <v>558</v>
      </c>
      <c r="K9831">
        <v>142</v>
      </c>
      <c r="L9831">
        <v>0</v>
      </c>
      <c r="M9831">
        <v>397</v>
      </c>
      <c r="N9831">
        <v>13</v>
      </c>
      <c r="O9831">
        <v>10</v>
      </c>
      <c r="P9831">
        <v>0</v>
      </c>
      <c r="Q9831">
        <v>0</v>
      </c>
    </row>
    <row r="9832" spans="1:17" x14ac:dyDescent="0.2">
      <c r="A9832" s="121">
        <v>42460</v>
      </c>
      <c r="B9832" t="s">
        <v>406</v>
      </c>
      <c r="C9832" t="s">
        <v>594</v>
      </c>
      <c r="D9832" t="s">
        <v>599</v>
      </c>
      <c r="E9832" t="s">
        <v>600</v>
      </c>
      <c r="F9832" t="s">
        <v>410</v>
      </c>
      <c r="G9832">
        <v>132</v>
      </c>
      <c r="I9832">
        <v>132</v>
      </c>
    </row>
    <row r="9833" spans="1:17" x14ac:dyDescent="0.2">
      <c r="A9833" s="121">
        <v>42490</v>
      </c>
      <c r="B9833" t="s">
        <v>406</v>
      </c>
      <c r="C9833" t="s">
        <v>407</v>
      </c>
      <c r="D9833" t="s">
        <v>408</v>
      </c>
      <c r="E9833" t="s">
        <v>409</v>
      </c>
      <c r="F9833" t="s">
        <v>410</v>
      </c>
      <c r="G9833">
        <v>213</v>
      </c>
      <c r="I9833">
        <v>212</v>
      </c>
    </row>
    <row r="9834" spans="1:17" x14ac:dyDescent="0.2">
      <c r="A9834" s="121">
        <v>42490</v>
      </c>
      <c r="B9834" t="s">
        <v>406</v>
      </c>
      <c r="C9834" t="s">
        <v>407</v>
      </c>
      <c r="D9834" t="s">
        <v>601</v>
      </c>
      <c r="E9834" t="s">
        <v>602</v>
      </c>
      <c r="F9834" t="s">
        <v>410</v>
      </c>
      <c r="G9834">
        <v>66</v>
      </c>
      <c r="I9834">
        <v>66</v>
      </c>
    </row>
    <row r="9835" spans="1:17" x14ac:dyDescent="0.2">
      <c r="A9835" s="121">
        <v>42490</v>
      </c>
      <c r="B9835" t="s">
        <v>406</v>
      </c>
      <c r="C9835" t="s">
        <v>407</v>
      </c>
      <c r="D9835" t="s">
        <v>411</v>
      </c>
      <c r="E9835" t="s">
        <v>412</v>
      </c>
      <c r="F9835" t="s">
        <v>413</v>
      </c>
      <c r="G9835">
        <v>6222</v>
      </c>
      <c r="H9835">
        <v>6222</v>
      </c>
      <c r="I9835">
        <v>5900</v>
      </c>
      <c r="J9835">
        <v>5900</v>
      </c>
      <c r="K9835">
        <v>2422</v>
      </c>
      <c r="L9835">
        <v>12</v>
      </c>
      <c r="M9835">
        <v>3513</v>
      </c>
      <c r="N9835">
        <v>118</v>
      </c>
      <c r="O9835">
        <v>157</v>
      </c>
      <c r="P9835">
        <v>61</v>
      </c>
      <c r="Q9835">
        <v>22</v>
      </c>
    </row>
    <row r="9836" spans="1:17" x14ac:dyDescent="0.2">
      <c r="A9836" s="121">
        <v>42490</v>
      </c>
      <c r="B9836" t="s">
        <v>406</v>
      </c>
      <c r="C9836" t="s">
        <v>407</v>
      </c>
      <c r="D9836" t="s">
        <v>416</v>
      </c>
      <c r="E9836" t="s">
        <v>417</v>
      </c>
      <c r="F9836" t="s">
        <v>413</v>
      </c>
      <c r="G9836">
        <v>3667</v>
      </c>
      <c r="H9836">
        <v>3667</v>
      </c>
      <c r="I9836">
        <v>3341</v>
      </c>
      <c r="J9836">
        <v>3341</v>
      </c>
      <c r="K9836">
        <v>1423</v>
      </c>
      <c r="L9836">
        <v>6</v>
      </c>
      <c r="M9836">
        <v>2080</v>
      </c>
      <c r="N9836">
        <v>102</v>
      </c>
      <c r="O9836">
        <v>56</v>
      </c>
      <c r="P9836">
        <v>47</v>
      </c>
      <c r="Q9836">
        <v>15</v>
      </c>
    </row>
    <row r="9837" spans="1:17" x14ac:dyDescent="0.2">
      <c r="A9837" s="121">
        <v>42490</v>
      </c>
      <c r="B9837" t="s">
        <v>406</v>
      </c>
      <c r="C9837" t="s">
        <v>407</v>
      </c>
      <c r="D9837" t="s">
        <v>618</v>
      </c>
      <c r="E9837" t="s">
        <v>619</v>
      </c>
      <c r="F9837" t="s">
        <v>410</v>
      </c>
      <c r="G9837">
        <v>82</v>
      </c>
      <c r="I9837">
        <v>82</v>
      </c>
    </row>
    <row r="9838" spans="1:17" x14ac:dyDescent="0.2">
      <c r="A9838" s="121">
        <v>42490</v>
      </c>
      <c r="B9838" t="s">
        <v>406</v>
      </c>
      <c r="C9838" t="s">
        <v>418</v>
      </c>
      <c r="D9838" t="s">
        <v>419</v>
      </c>
      <c r="E9838" t="s">
        <v>420</v>
      </c>
      <c r="F9838" t="s">
        <v>410</v>
      </c>
      <c r="G9838">
        <v>8</v>
      </c>
      <c r="I9838">
        <v>8</v>
      </c>
    </row>
    <row r="9839" spans="1:17" x14ac:dyDescent="0.2">
      <c r="A9839" s="121">
        <v>42490</v>
      </c>
      <c r="B9839" t="s">
        <v>406</v>
      </c>
      <c r="C9839" t="s">
        <v>418</v>
      </c>
      <c r="D9839" t="s">
        <v>421</v>
      </c>
      <c r="E9839" t="s">
        <v>422</v>
      </c>
      <c r="F9839" t="s">
        <v>410</v>
      </c>
      <c r="G9839">
        <v>87</v>
      </c>
      <c r="I9839">
        <v>87</v>
      </c>
    </row>
    <row r="9840" spans="1:17" x14ac:dyDescent="0.2">
      <c r="A9840" s="121">
        <v>42490</v>
      </c>
      <c r="B9840" t="s">
        <v>406</v>
      </c>
      <c r="C9840" t="s">
        <v>418</v>
      </c>
      <c r="D9840" t="s">
        <v>423</v>
      </c>
      <c r="E9840" t="s">
        <v>424</v>
      </c>
      <c r="F9840" t="s">
        <v>410</v>
      </c>
      <c r="G9840">
        <v>11</v>
      </c>
      <c r="I9840">
        <v>11</v>
      </c>
    </row>
    <row r="9841" spans="1:17" x14ac:dyDescent="0.2">
      <c r="A9841" s="121">
        <v>42490</v>
      </c>
      <c r="B9841" t="s">
        <v>406</v>
      </c>
      <c r="C9841" t="s">
        <v>418</v>
      </c>
      <c r="D9841" t="s">
        <v>425</v>
      </c>
      <c r="E9841" t="s">
        <v>426</v>
      </c>
      <c r="F9841" t="s">
        <v>410</v>
      </c>
      <c r="G9841">
        <v>46</v>
      </c>
      <c r="I9841">
        <v>46</v>
      </c>
    </row>
    <row r="9842" spans="1:17" x14ac:dyDescent="0.2">
      <c r="A9842" s="121">
        <v>42490</v>
      </c>
      <c r="B9842" t="s">
        <v>406</v>
      </c>
      <c r="C9842" t="s">
        <v>418</v>
      </c>
      <c r="D9842" t="s">
        <v>427</v>
      </c>
      <c r="E9842" t="s">
        <v>428</v>
      </c>
      <c r="F9842" t="s">
        <v>413</v>
      </c>
      <c r="G9842">
        <v>2389</v>
      </c>
      <c r="H9842">
        <v>2389</v>
      </c>
      <c r="I9842">
        <v>2259</v>
      </c>
      <c r="J9842">
        <v>2259</v>
      </c>
      <c r="K9842">
        <v>942</v>
      </c>
      <c r="L9842">
        <v>7</v>
      </c>
      <c r="M9842">
        <v>1281</v>
      </c>
      <c r="N9842">
        <v>143</v>
      </c>
      <c r="O9842">
        <v>16</v>
      </c>
      <c r="P9842">
        <v>1</v>
      </c>
      <c r="Q9842">
        <v>0</v>
      </c>
    </row>
    <row r="9843" spans="1:17" x14ac:dyDescent="0.2">
      <c r="A9843" s="121">
        <v>42490</v>
      </c>
      <c r="B9843" t="s">
        <v>406</v>
      </c>
      <c r="C9843" t="s">
        <v>429</v>
      </c>
      <c r="D9843" t="s">
        <v>430</v>
      </c>
      <c r="E9843" t="s">
        <v>431</v>
      </c>
      <c r="F9843" t="s">
        <v>410</v>
      </c>
      <c r="G9843">
        <v>19</v>
      </c>
      <c r="I9843">
        <v>19</v>
      </c>
    </row>
    <row r="9844" spans="1:17" x14ac:dyDescent="0.2">
      <c r="A9844" s="121">
        <v>42490</v>
      </c>
      <c r="B9844" t="s">
        <v>406</v>
      </c>
      <c r="C9844" t="s">
        <v>429</v>
      </c>
      <c r="D9844" t="s">
        <v>432</v>
      </c>
      <c r="E9844" t="s">
        <v>433</v>
      </c>
      <c r="F9844" t="s">
        <v>410</v>
      </c>
      <c r="G9844">
        <v>39</v>
      </c>
      <c r="I9844">
        <v>39</v>
      </c>
    </row>
    <row r="9845" spans="1:17" x14ac:dyDescent="0.2">
      <c r="A9845" s="121">
        <v>42490</v>
      </c>
      <c r="B9845" t="s">
        <v>406</v>
      </c>
      <c r="C9845" t="s">
        <v>429</v>
      </c>
      <c r="D9845" t="s">
        <v>434</v>
      </c>
      <c r="E9845" t="s">
        <v>435</v>
      </c>
      <c r="F9845" t="s">
        <v>410</v>
      </c>
      <c r="G9845">
        <v>3</v>
      </c>
      <c r="I9845">
        <v>3</v>
      </c>
    </row>
    <row r="9846" spans="1:17" x14ac:dyDescent="0.2">
      <c r="A9846" s="121">
        <v>42490</v>
      </c>
      <c r="B9846" t="s">
        <v>406</v>
      </c>
      <c r="C9846" t="s">
        <v>429</v>
      </c>
      <c r="D9846" t="s">
        <v>436</v>
      </c>
      <c r="E9846" t="s">
        <v>437</v>
      </c>
      <c r="F9846" t="s">
        <v>410</v>
      </c>
      <c r="G9846">
        <v>7</v>
      </c>
      <c r="H9846">
        <v>7</v>
      </c>
      <c r="I9846">
        <v>7</v>
      </c>
      <c r="J9846">
        <v>7</v>
      </c>
      <c r="K9846">
        <v>0</v>
      </c>
      <c r="L9846">
        <v>0</v>
      </c>
      <c r="M9846">
        <v>7</v>
      </c>
      <c r="N9846">
        <v>0</v>
      </c>
      <c r="O9846">
        <v>0</v>
      </c>
      <c r="P9846">
        <v>0</v>
      </c>
      <c r="Q9846">
        <v>0</v>
      </c>
    </row>
    <row r="9847" spans="1:17" x14ac:dyDescent="0.2">
      <c r="A9847" s="121">
        <v>42490</v>
      </c>
      <c r="B9847" t="s">
        <v>406</v>
      </c>
      <c r="C9847" t="s">
        <v>429</v>
      </c>
      <c r="D9847" t="s">
        <v>438</v>
      </c>
      <c r="E9847" t="s">
        <v>439</v>
      </c>
      <c r="F9847" t="s">
        <v>413</v>
      </c>
      <c r="G9847">
        <v>961</v>
      </c>
      <c r="H9847">
        <v>961</v>
      </c>
      <c r="I9847">
        <v>924</v>
      </c>
      <c r="J9847">
        <v>924</v>
      </c>
      <c r="K9847">
        <v>87</v>
      </c>
      <c r="L9847">
        <v>2</v>
      </c>
      <c r="M9847">
        <v>792</v>
      </c>
      <c r="N9847">
        <v>61</v>
      </c>
      <c r="O9847">
        <v>19</v>
      </c>
      <c r="P9847">
        <v>0</v>
      </c>
      <c r="Q9847">
        <v>0</v>
      </c>
    </row>
    <row r="9848" spans="1:17" x14ac:dyDescent="0.2">
      <c r="A9848" s="121">
        <v>42490</v>
      </c>
      <c r="B9848" t="s">
        <v>406</v>
      </c>
      <c r="C9848" t="s">
        <v>429</v>
      </c>
      <c r="D9848" t="s">
        <v>440</v>
      </c>
      <c r="E9848" t="s">
        <v>441</v>
      </c>
      <c r="F9848" t="s">
        <v>413</v>
      </c>
      <c r="G9848">
        <v>2949</v>
      </c>
      <c r="H9848">
        <v>2949</v>
      </c>
      <c r="I9848">
        <v>2814</v>
      </c>
      <c r="J9848">
        <v>2814</v>
      </c>
      <c r="K9848">
        <v>1074</v>
      </c>
      <c r="L9848">
        <v>3</v>
      </c>
      <c r="M9848">
        <v>1762</v>
      </c>
      <c r="N9848">
        <v>67</v>
      </c>
      <c r="O9848">
        <v>43</v>
      </c>
      <c r="P9848">
        <v>1</v>
      </c>
      <c r="Q9848">
        <v>0</v>
      </c>
    </row>
    <row r="9849" spans="1:17" x14ac:dyDescent="0.2">
      <c r="A9849" s="121">
        <v>42490</v>
      </c>
      <c r="B9849" t="s">
        <v>406</v>
      </c>
      <c r="C9849" t="s">
        <v>442</v>
      </c>
      <c r="D9849" t="s">
        <v>443</v>
      </c>
      <c r="E9849" t="s">
        <v>444</v>
      </c>
      <c r="F9849" t="s">
        <v>413</v>
      </c>
      <c r="G9849">
        <v>5109</v>
      </c>
      <c r="H9849">
        <v>5109</v>
      </c>
      <c r="I9849">
        <v>4833</v>
      </c>
      <c r="J9849">
        <v>4833</v>
      </c>
      <c r="K9849">
        <v>1426</v>
      </c>
      <c r="L9849">
        <v>11</v>
      </c>
      <c r="M9849">
        <v>3438</v>
      </c>
      <c r="N9849">
        <v>84</v>
      </c>
      <c r="O9849">
        <v>150</v>
      </c>
      <c r="P9849">
        <v>15</v>
      </c>
      <c r="Q9849">
        <v>1</v>
      </c>
    </row>
    <row r="9850" spans="1:17" x14ac:dyDescent="0.2">
      <c r="A9850" s="121">
        <v>42490</v>
      </c>
      <c r="B9850" t="s">
        <v>406</v>
      </c>
      <c r="C9850" t="s">
        <v>442</v>
      </c>
      <c r="D9850" t="s">
        <v>445</v>
      </c>
      <c r="E9850" t="s">
        <v>446</v>
      </c>
      <c r="F9850" t="s">
        <v>410</v>
      </c>
      <c r="G9850">
        <v>147</v>
      </c>
      <c r="I9850">
        <v>147</v>
      </c>
    </row>
    <row r="9851" spans="1:17" x14ac:dyDescent="0.2">
      <c r="A9851" s="121">
        <v>42490</v>
      </c>
      <c r="B9851" t="s">
        <v>406</v>
      </c>
      <c r="C9851" t="s">
        <v>442</v>
      </c>
      <c r="D9851" t="s">
        <v>447</v>
      </c>
      <c r="E9851" t="s">
        <v>448</v>
      </c>
      <c r="F9851" t="s">
        <v>410</v>
      </c>
      <c r="G9851">
        <v>269</v>
      </c>
      <c r="I9851">
        <v>269</v>
      </c>
    </row>
    <row r="9852" spans="1:17" x14ac:dyDescent="0.2">
      <c r="A9852" s="121">
        <v>42490</v>
      </c>
      <c r="B9852" t="s">
        <v>406</v>
      </c>
      <c r="C9852" t="s">
        <v>442</v>
      </c>
      <c r="D9852" t="s">
        <v>449</v>
      </c>
      <c r="E9852" t="s">
        <v>624</v>
      </c>
      <c r="F9852" t="s">
        <v>410</v>
      </c>
      <c r="G9852">
        <v>1740</v>
      </c>
      <c r="H9852">
        <v>1740</v>
      </c>
      <c r="I9852">
        <v>1739</v>
      </c>
      <c r="J9852">
        <v>1739</v>
      </c>
      <c r="K9852">
        <v>9</v>
      </c>
      <c r="L9852">
        <v>0</v>
      </c>
      <c r="M9852">
        <v>1601</v>
      </c>
      <c r="N9852">
        <v>116</v>
      </c>
      <c r="O9852">
        <v>14</v>
      </c>
      <c r="P9852">
        <v>0</v>
      </c>
      <c r="Q9852">
        <v>0</v>
      </c>
    </row>
    <row r="9853" spans="1:17" x14ac:dyDescent="0.2">
      <c r="A9853" s="121">
        <v>42490</v>
      </c>
      <c r="B9853" t="s">
        <v>406</v>
      </c>
      <c r="C9853" t="s">
        <v>451</v>
      </c>
      <c r="D9853" t="s">
        <v>454</v>
      </c>
      <c r="E9853" t="s">
        <v>621</v>
      </c>
      <c r="F9853" t="s">
        <v>410</v>
      </c>
      <c r="G9853">
        <v>1244</v>
      </c>
      <c r="H9853">
        <v>1244</v>
      </c>
      <c r="I9853">
        <v>1244</v>
      </c>
      <c r="J9853">
        <v>1244</v>
      </c>
      <c r="K9853">
        <v>1</v>
      </c>
      <c r="L9853">
        <v>0</v>
      </c>
      <c r="M9853">
        <v>882</v>
      </c>
      <c r="N9853">
        <v>36</v>
      </c>
      <c r="O9853">
        <v>325</v>
      </c>
      <c r="P9853">
        <v>0</v>
      </c>
      <c r="Q9853">
        <v>0</v>
      </c>
    </row>
    <row r="9854" spans="1:17" x14ac:dyDescent="0.2">
      <c r="A9854" s="121">
        <v>42490</v>
      </c>
      <c r="B9854" t="s">
        <v>406</v>
      </c>
      <c r="C9854" t="s">
        <v>451</v>
      </c>
      <c r="D9854" t="s">
        <v>622</v>
      </c>
      <c r="E9854" t="s">
        <v>623</v>
      </c>
      <c r="F9854" t="s">
        <v>413</v>
      </c>
      <c r="G9854">
        <v>5255</v>
      </c>
      <c r="H9854">
        <v>5255</v>
      </c>
      <c r="I9854">
        <v>4969</v>
      </c>
      <c r="J9854">
        <v>4969</v>
      </c>
      <c r="K9854">
        <v>1335</v>
      </c>
      <c r="L9854">
        <v>13</v>
      </c>
      <c r="M9854">
        <v>3081</v>
      </c>
      <c r="N9854">
        <v>39</v>
      </c>
      <c r="O9854">
        <v>787</v>
      </c>
      <c r="P9854">
        <v>30</v>
      </c>
      <c r="Q9854">
        <v>1</v>
      </c>
    </row>
    <row r="9855" spans="1:17" x14ac:dyDescent="0.2">
      <c r="A9855" s="121">
        <v>42490</v>
      </c>
      <c r="B9855" t="s">
        <v>406</v>
      </c>
      <c r="C9855" t="s">
        <v>456</v>
      </c>
      <c r="D9855" t="s">
        <v>457</v>
      </c>
      <c r="E9855" t="s">
        <v>458</v>
      </c>
      <c r="F9855" t="s">
        <v>413</v>
      </c>
      <c r="G9855">
        <v>4577</v>
      </c>
      <c r="H9855">
        <v>4577</v>
      </c>
      <c r="I9855">
        <v>4326</v>
      </c>
      <c r="J9855">
        <v>4326</v>
      </c>
      <c r="K9855">
        <v>1252</v>
      </c>
      <c r="L9855">
        <v>15</v>
      </c>
      <c r="M9855">
        <v>2925</v>
      </c>
      <c r="N9855">
        <v>41</v>
      </c>
      <c r="O9855">
        <v>344</v>
      </c>
      <c r="P9855">
        <v>9</v>
      </c>
      <c r="Q9855">
        <v>0</v>
      </c>
    </row>
    <row r="9856" spans="1:17" x14ac:dyDescent="0.2">
      <c r="A9856" s="121">
        <v>42490</v>
      </c>
      <c r="B9856" t="s">
        <v>406</v>
      </c>
      <c r="C9856" t="s">
        <v>456</v>
      </c>
      <c r="D9856" t="s">
        <v>459</v>
      </c>
      <c r="E9856" t="s">
        <v>460</v>
      </c>
      <c r="F9856" t="s">
        <v>413</v>
      </c>
      <c r="G9856">
        <v>1175</v>
      </c>
      <c r="H9856">
        <v>1175</v>
      </c>
      <c r="I9856">
        <v>1165</v>
      </c>
      <c r="J9856">
        <v>1165</v>
      </c>
      <c r="K9856">
        <v>135</v>
      </c>
      <c r="L9856">
        <v>1</v>
      </c>
      <c r="M9856">
        <v>978</v>
      </c>
      <c r="N9856">
        <v>0</v>
      </c>
      <c r="O9856">
        <v>61</v>
      </c>
      <c r="P9856">
        <v>0</v>
      </c>
      <c r="Q9856">
        <v>0</v>
      </c>
    </row>
    <row r="9857" spans="1:17" x14ac:dyDescent="0.2">
      <c r="A9857" s="121">
        <v>42490</v>
      </c>
      <c r="B9857" t="s">
        <v>406</v>
      </c>
      <c r="C9857" t="s">
        <v>456</v>
      </c>
      <c r="D9857" t="s">
        <v>461</v>
      </c>
      <c r="E9857" t="s">
        <v>462</v>
      </c>
      <c r="F9857" t="s">
        <v>410</v>
      </c>
      <c r="G9857">
        <v>68</v>
      </c>
      <c r="I9857">
        <v>68</v>
      </c>
    </row>
    <row r="9858" spans="1:17" x14ac:dyDescent="0.2">
      <c r="A9858" s="121">
        <v>42490</v>
      </c>
      <c r="B9858" t="s">
        <v>406</v>
      </c>
      <c r="C9858" t="s">
        <v>456</v>
      </c>
      <c r="D9858" t="s">
        <v>463</v>
      </c>
      <c r="E9858" t="s">
        <v>464</v>
      </c>
      <c r="F9858" t="s">
        <v>410</v>
      </c>
      <c r="G9858">
        <v>9</v>
      </c>
      <c r="I9858">
        <v>9</v>
      </c>
    </row>
    <row r="9859" spans="1:17" x14ac:dyDescent="0.2">
      <c r="A9859" s="121">
        <v>42490</v>
      </c>
      <c r="B9859" t="s">
        <v>406</v>
      </c>
      <c r="C9859" t="s">
        <v>456</v>
      </c>
      <c r="D9859" t="s">
        <v>465</v>
      </c>
      <c r="E9859" t="s">
        <v>466</v>
      </c>
      <c r="F9859" t="s">
        <v>410</v>
      </c>
      <c r="G9859">
        <v>25</v>
      </c>
      <c r="I9859">
        <v>25</v>
      </c>
    </row>
    <row r="9860" spans="1:17" x14ac:dyDescent="0.2">
      <c r="A9860" s="121">
        <v>42490</v>
      </c>
      <c r="B9860" t="s">
        <v>406</v>
      </c>
      <c r="C9860" t="s">
        <v>456</v>
      </c>
      <c r="D9860" t="s">
        <v>467</v>
      </c>
      <c r="E9860" t="s">
        <v>468</v>
      </c>
      <c r="F9860" t="s">
        <v>410</v>
      </c>
      <c r="G9860">
        <v>1233</v>
      </c>
      <c r="I9860">
        <v>1232</v>
      </c>
    </row>
    <row r="9861" spans="1:17" x14ac:dyDescent="0.2">
      <c r="A9861" s="121">
        <v>42490</v>
      </c>
      <c r="B9861" t="s">
        <v>406</v>
      </c>
      <c r="C9861" t="s">
        <v>456</v>
      </c>
      <c r="D9861" t="s">
        <v>469</v>
      </c>
      <c r="E9861" t="s">
        <v>470</v>
      </c>
      <c r="F9861" t="s">
        <v>410</v>
      </c>
      <c r="G9861">
        <v>649</v>
      </c>
      <c r="I9861">
        <v>648</v>
      </c>
    </row>
    <row r="9862" spans="1:17" x14ac:dyDescent="0.2">
      <c r="A9862" s="121">
        <v>42490</v>
      </c>
      <c r="B9862" t="s">
        <v>406</v>
      </c>
      <c r="C9862" t="s">
        <v>456</v>
      </c>
      <c r="D9862" t="s">
        <v>471</v>
      </c>
      <c r="E9862" t="s">
        <v>472</v>
      </c>
      <c r="F9862" t="s">
        <v>410</v>
      </c>
      <c r="G9862">
        <v>272</v>
      </c>
      <c r="I9862">
        <v>269</v>
      </c>
    </row>
    <row r="9863" spans="1:17" x14ac:dyDescent="0.2">
      <c r="A9863" s="121">
        <v>42490</v>
      </c>
      <c r="B9863" t="s">
        <v>406</v>
      </c>
      <c r="C9863" t="s">
        <v>456</v>
      </c>
      <c r="D9863" t="s">
        <v>473</v>
      </c>
      <c r="E9863" t="s">
        <v>474</v>
      </c>
      <c r="F9863" t="s">
        <v>410</v>
      </c>
      <c r="G9863">
        <v>185</v>
      </c>
      <c r="I9863">
        <v>185</v>
      </c>
    </row>
    <row r="9864" spans="1:17" x14ac:dyDescent="0.2">
      <c r="A9864" s="121">
        <v>42490</v>
      </c>
      <c r="B9864" t="s">
        <v>406</v>
      </c>
      <c r="C9864" t="s">
        <v>456</v>
      </c>
      <c r="D9864" t="s">
        <v>475</v>
      </c>
      <c r="E9864" t="s">
        <v>476</v>
      </c>
      <c r="F9864" t="s">
        <v>410</v>
      </c>
      <c r="G9864">
        <v>244</v>
      </c>
      <c r="I9864">
        <v>241</v>
      </c>
    </row>
    <row r="9865" spans="1:17" x14ac:dyDescent="0.2">
      <c r="A9865" s="121">
        <v>42490</v>
      </c>
      <c r="B9865" t="s">
        <v>406</v>
      </c>
      <c r="C9865" t="s">
        <v>456</v>
      </c>
      <c r="D9865" t="s">
        <v>477</v>
      </c>
      <c r="E9865" t="s">
        <v>478</v>
      </c>
      <c r="F9865" t="s">
        <v>413</v>
      </c>
      <c r="G9865">
        <v>2037</v>
      </c>
      <c r="H9865">
        <v>2037</v>
      </c>
      <c r="I9865">
        <v>1945</v>
      </c>
      <c r="J9865">
        <v>1945</v>
      </c>
      <c r="K9865">
        <v>396</v>
      </c>
      <c r="L9865">
        <v>1</v>
      </c>
      <c r="M9865">
        <v>1566</v>
      </c>
      <c r="N9865">
        <v>9</v>
      </c>
      <c r="O9865">
        <v>65</v>
      </c>
      <c r="P9865">
        <v>0</v>
      </c>
      <c r="Q9865">
        <v>0</v>
      </c>
    </row>
    <row r="9866" spans="1:17" x14ac:dyDescent="0.2">
      <c r="A9866" s="121">
        <v>42490</v>
      </c>
      <c r="B9866" t="s">
        <v>406</v>
      </c>
      <c r="C9866" t="s">
        <v>456</v>
      </c>
      <c r="D9866" t="s">
        <v>479</v>
      </c>
      <c r="E9866" t="s">
        <v>480</v>
      </c>
      <c r="F9866" t="s">
        <v>410</v>
      </c>
      <c r="G9866">
        <v>38</v>
      </c>
      <c r="I9866">
        <v>38</v>
      </c>
    </row>
    <row r="9867" spans="1:17" x14ac:dyDescent="0.2">
      <c r="A9867" s="121">
        <v>42490</v>
      </c>
      <c r="B9867" t="s">
        <v>406</v>
      </c>
      <c r="C9867" t="s">
        <v>456</v>
      </c>
      <c r="D9867" t="s">
        <v>481</v>
      </c>
      <c r="E9867" t="s">
        <v>482</v>
      </c>
      <c r="F9867" t="s">
        <v>410</v>
      </c>
      <c r="G9867">
        <v>19</v>
      </c>
      <c r="I9867">
        <v>19</v>
      </c>
    </row>
    <row r="9868" spans="1:17" x14ac:dyDescent="0.2">
      <c r="A9868" s="121">
        <v>42490</v>
      </c>
      <c r="B9868" t="s">
        <v>406</v>
      </c>
      <c r="C9868" t="s">
        <v>456</v>
      </c>
      <c r="D9868" t="s">
        <v>483</v>
      </c>
      <c r="E9868" t="s">
        <v>484</v>
      </c>
      <c r="F9868" t="s">
        <v>410</v>
      </c>
      <c r="G9868">
        <v>87</v>
      </c>
      <c r="I9868">
        <v>87</v>
      </c>
    </row>
    <row r="9869" spans="1:17" x14ac:dyDescent="0.2">
      <c r="A9869" s="121">
        <v>42490</v>
      </c>
      <c r="B9869" t="s">
        <v>406</v>
      </c>
      <c r="C9869" t="s">
        <v>456</v>
      </c>
      <c r="D9869" t="s">
        <v>487</v>
      </c>
      <c r="E9869" t="s">
        <v>488</v>
      </c>
      <c r="F9869" t="s">
        <v>410</v>
      </c>
      <c r="G9869">
        <v>17</v>
      </c>
      <c r="I9869">
        <v>17</v>
      </c>
    </row>
    <row r="9870" spans="1:17" x14ac:dyDescent="0.2">
      <c r="A9870" s="121">
        <v>42490</v>
      </c>
      <c r="B9870" t="s">
        <v>406</v>
      </c>
      <c r="C9870" t="s">
        <v>456</v>
      </c>
      <c r="D9870" t="s">
        <v>489</v>
      </c>
      <c r="E9870" t="s">
        <v>490</v>
      </c>
      <c r="F9870" t="s">
        <v>410</v>
      </c>
      <c r="G9870">
        <v>104</v>
      </c>
      <c r="I9870">
        <v>104</v>
      </c>
    </row>
    <row r="9871" spans="1:17" x14ac:dyDescent="0.2">
      <c r="A9871" s="121">
        <v>42490</v>
      </c>
      <c r="B9871" t="s">
        <v>406</v>
      </c>
      <c r="C9871" t="s">
        <v>456</v>
      </c>
      <c r="D9871" t="s">
        <v>628</v>
      </c>
      <c r="E9871" t="s">
        <v>629</v>
      </c>
      <c r="F9871" t="s">
        <v>410</v>
      </c>
      <c r="G9871">
        <v>58</v>
      </c>
      <c r="I9871">
        <v>58</v>
      </c>
    </row>
    <row r="9872" spans="1:17" x14ac:dyDescent="0.2">
      <c r="A9872" s="121">
        <v>42490</v>
      </c>
      <c r="B9872" t="s">
        <v>406</v>
      </c>
      <c r="C9872" t="s">
        <v>491</v>
      </c>
      <c r="D9872" t="s">
        <v>492</v>
      </c>
      <c r="E9872" t="s">
        <v>493</v>
      </c>
      <c r="F9872" t="s">
        <v>410</v>
      </c>
      <c r="G9872">
        <v>1358</v>
      </c>
      <c r="H9872">
        <v>1358</v>
      </c>
      <c r="I9872">
        <v>1315</v>
      </c>
      <c r="J9872">
        <v>1315</v>
      </c>
      <c r="K9872">
        <v>234</v>
      </c>
      <c r="L9872">
        <v>0</v>
      </c>
      <c r="M9872">
        <v>1036</v>
      </c>
      <c r="N9872">
        <v>73</v>
      </c>
      <c r="O9872">
        <v>15</v>
      </c>
      <c r="P9872">
        <v>0</v>
      </c>
      <c r="Q9872">
        <v>0</v>
      </c>
    </row>
    <row r="9873" spans="1:17" x14ac:dyDescent="0.2">
      <c r="A9873" s="121">
        <v>42490</v>
      </c>
      <c r="B9873" t="s">
        <v>406</v>
      </c>
      <c r="C9873" t="s">
        <v>491</v>
      </c>
      <c r="D9873" t="s">
        <v>494</v>
      </c>
      <c r="E9873" t="s">
        <v>495</v>
      </c>
      <c r="F9873" t="s">
        <v>413</v>
      </c>
      <c r="G9873">
        <v>2629</v>
      </c>
      <c r="H9873">
        <v>2629</v>
      </c>
      <c r="I9873">
        <v>2520</v>
      </c>
      <c r="J9873">
        <v>2520</v>
      </c>
      <c r="K9873">
        <v>655</v>
      </c>
      <c r="L9873">
        <v>10</v>
      </c>
      <c r="M9873">
        <v>1800</v>
      </c>
      <c r="N9873">
        <v>36</v>
      </c>
      <c r="O9873">
        <v>128</v>
      </c>
      <c r="P9873">
        <v>1</v>
      </c>
      <c r="Q9873">
        <v>0</v>
      </c>
    </row>
    <row r="9874" spans="1:17" x14ac:dyDescent="0.2">
      <c r="A9874" s="121">
        <v>42490</v>
      </c>
      <c r="B9874" t="s">
        <v>406</v>
      </c>
      <c r="C9874" t="s">
        <v>491</v>
      </c>
      <c r="D9874" t="s">
        <v>496</v>
      </c>
      <c r="E9874" t="s">
        <v>497</v>
      </c>
      <c r="F9874" t="s">
        <v>413</v>
      </c>
      <c r="G9874">
        <v>5638</v>
      </c>
      <c r="H9874">
        <v>5638</v>
      </c>
      <c r="I9874">
        <v>5217</v>
      </c>
      <c r="J9874">
        <v>5217</v>
      </c>
      <c r="K9874">
        <v>1897</v>
      </c>
      <c r="L9874">
        <v>8</v>
      </c>
      <c r="M9874">
        <v>3476</v>
      </c>
      <c r="N9874">
        <v>123</v>
      </c>
      <c r="O9874">
        <v>134</v>
      </c>
      <c r="P9874">
        <v>8</v>
      </c>
      <c r="Q9874">
        <v>0</v>
      </c>
    </row>
    <row r="9875" spans="1:17" x14ac:dyDescent="0.2">
      <c r="A9875" s="121">
        <v>42490</v>
      </c>
      <c r="B9875" t="s">
        <v>406</v>
      </c>
      <c r="C9875" t="s">
        <v>491</v>
      </c>
      <c r="D9875" t="s">
        <v>498</v>
      </c>
      <c r="E9875" t="s">
        <v>499</v>
      </c>
      <c r="F9875" t="s">
        <v>413</v>
      </c>
      <c r="G9875">
        <v>7508</v>
      </c>
      <c r="H9875">
        <v>7508</v>
      </c>
      <c r="I9875">
        <v>6818</v>
      </c>
      <c r="J9875">
        <v>6818</v>
      </c>
      <c r="K9875">
        <v>2379</v>
      </c>
      <c r="L9875">
        <v>10</v>
      </c>
      <c r="M9875">
        <v>4737</v>
      </c>
      <c r="N9875">
        <v>133</v>
      </c>
      <c r="O9875">
        <v>249</v>
      </c>
      <c r="P9875">
        <v>10</v>
      </c>
      <c r="Q9875">
        <v>0</v>
      </c>
    </row>
    <row r="9876" spans="1:17" x14ac:dyDescent="0.2">
      <c r="A9876" s="121">
        <v>42490</v>
      </c>
      <c r="B9876" t="s">
        <v>406</v>
      </c>
      <c r="C9876" t="s">
        <v>491</v>
      </c>
      <c r="D9876" t="s">
        <v>500</v>
      </c>
      <c r="E9876" t="s">
        <v>620</v>
      </c>
      <c r="F9876" t="s">
        <v>410</v>
      </c>
      <c r="G9876">
        <v>1499</v>
      </c>
      <c r="H9876">
        <v>1499</v>
      </c>
      <c r="I9876">
        <v>1499</v>
      </c>
      <c r="J9876">
        <v>1499</v>
      </c>
      <c r="K9876">
        <v>0</v>
      </c>
      <c r="L9876">
        <v>0</v>
      </c>
      <c r="M9876">
        <v>1363</v>
      </c>
      <c r="N9876">
        <v>110</v>
      </c>
      <c r="O9876">
        <v>26</v>
      </c>
      <c r="P9876">
        <v>0</v>
      </c>
      <c r="Q9876">
        <v>0</v>
      </c>
    </row>
    <row r="9877" spans="1:17" x14ac:dyDescent="0.2">
      <c r="A9877" s="121">
        <v>42490</v>
      </c>
      <c r="B9877" t="s">
        <v>406</v>
      </c>
      <c r="C9877" t="s">
        <v>491</v>
      </c>
      <c r="D9877" t="s">
        <v>502</v>
      </c>
      <c r="E9877" t="s">
        <v>615</v>
      </c>
      <c r="F9877" t="s">
        <v>410</v>
      </c>
      <c r="G9877">
        <v>2399</v>
      </c>
      <c r="H9877">
        <v>2399</v>
      </c>
      <c r="I9877">
        <v>2399</v>
      </c>
      <c r="J9877">
        <v>2399</v>
      </c>
      <c r="K9877">
        <v>1</v>
      </c>
      <c r="L9877">
        <v>2</v>
      </c>
      <c r="M9877">
        <v>2137</v>
      </c>
      <c r="N9877">
        <v>244</v>
      </c>
      <c r="O9877">
        <v>15</v>
      </c>
      <c r="P9877">
        <v>0</v>
      </c>
      <c r="Q9877">
        <v>0</v>
      </c>
    </row>
    <row r="9878" spans="1:17" x14ac:dyDescent="0.2">
      <c r="A9878" s="121">
        <v>42490</v>
      </c>
      <c r="B9878" t="s">
        <v>406</v>
      </c>
      <c r="C9878" t="s">
        <v>491</v>
      </c>
      <c r="D9878" t="s">
        <v>504</v>
      </c>
      <c r="E9878" t="s">
        <v>630</v>
      </c>
      <c r="F9878" t="s">
        <v>413</v>
      </c>
      <c r="G9878">
        <v>7568</v>
      </c>
      <c r="H9878">
        <v>7568</v>
      </c>
      <c r="I9878">
        <v>6752</v>
      </c>
      <c r="J9878">
        <v>6752</v>
      </c>
      <c r="K9878">
        <v>2391</v>
      </c>
      <c r="L9878">
        <v>20</v>
      </c>
      <c r="M9878">
        <v>4809</v>
      </c>
      <c r="N9878">
        <v>159</v>
      </c>
      <c r="O9878">
        <v>189</v>
      </c>
      <c r="P9878">
        <v>38</v>
      </c>
      <c r="Q9878">
        <v>0</v>
      </c>
    </row>
    <row r="9879" spans="1:17" x14ac:dyDescent="0.2">
      <c r="A9879" s="121">
        <v>42490</v>
      </c>
      <c r="B9879" t="s">
        <v>406</v>
      </c>
      <c r="C9879" t="s">
        <v>491</v>
      </c>
      <c r="D9879" t="s">
        <v>506</v>
      </c>
      <c r="E9879" t="s">
        <v>507</v>
      </c>
      <c r="F9879" t="s">
        <v>413</v>
      </c>
      <c r="G9879">
        <v>4624</v>
      </c>
      <c r="H9879">
        <v>4624</v>
      </c>
      <c r="I9879">
        <v>4606</v>
      </c>
      <c r="J9879">
        <v>4606</v>
      </c>
      <c r="K9879">
        <v>729</v>
      </c>
      <c r="L9879">
        <v>0</v>
      </c>
      <c r="M9879">
        <v>3882</v>
      </c>
      <c r="N9879">
        <v>1</v>
      </c>
      <c r="O9879">
        <v>12</v>
      </c>
      <c r="P9879">
        <v>0</v>
      </c>
      <c r="Q9879">
        <v>0</v>
      </c>
    </row>
    <row r="9880" spans="1:17" x14ac:dyDescent="0.2">
      <c r="A9880" s="121">
        <v>42490</v>
      </c>
      <c r="B9880" t="s">
        <v>406</v>
      </c>
      <c r="C9880" t="s">
        <v>491</v>
      </c>
      <c r="D9880" t="s">
        <v>508</v>
      </c>
      <c r="E9880" t="s">
        <v>631</v>
      </c>
      <c r="F9880" t="s">
        <v>410</v>
      </c>
      <c r="G9880">
        <v>923</v>
      </c>
      <c r="H9880">
        <v>923</v>
      </c>
      <c r="I9880">
        <v>923</v>
      </c>
      <c r="J9880">
        <v>923</v>
      </c>
      <c r="K9880">
        <v>0</v>
      </c>
      <c r="L9880">
        <v>0</v>
      </c>
      <c r="M9880">
        <v>850</v>
      </c>
      <c r="N9880">
        <v>69</v>
      </c>
      <c r="O9880">
        <v>4</v>
      </c>
      <c r="P9880">
        <v>0</v>
      </c>
      <c r="Q9880">
        <v>0</v>
      </c>
    </row>
    <row r="9881" spans="1:17" x14ac:dyDescent="0.2">
      <c r="A9881" s="121">
        <v>42490</v>
      </c>
      <c r="B9881" t="s">
        <v>406</v>
      </c>
      <c r="C9881" t="s">
        <v>510</v>
      </c>
      <c r="D9881" t="s">
        <v>513</v>
      </c>
      <c r="E9881" t="s">
        <v>514</v>
      </c>
      <c r="F9881" t="s">
        <v>410</v>
      </c>
      <c r="G9881">
        <v>574</v>
      </c>
      <c r="I9881">
        <v>573</v>
      </c>
    </row>
    <row r="9882" spans="1:17" x14ac:dyDescent="0.2">
      <c r="A9882" s="121">
        <v>42490</v>
      </c>
      <c r="B9882" t="s">
        <v>406</v>
      </c>
      <c r="C9882" t="s">
        <v>510</v>
      </c>
      <c r="D9882" t="s">
        <v>515</v>
      </c>
      <c r="E9882" t="s">
        <v>516</v>
      </c>
      <c r="F9882" t="s">
        <v>410</v>
      </c>
      <c r="G9882">
        <v>117</v>
      </c>
      <c r="I9882">
        <v>116</v>
      </c>
    </row>
    <row r="9883" spans="1:17" x14ac:dyDescent="0.2">
      <c r="A9883" s="121">
        <v>42490</v>
      </c>
      <c r="B9883" t="s">
        <v>406</v>
      </c>
      <c r="C9883" t="s">
        <v>510</v>
      </c>
      <c r="D9883" t="s">
        <v>519</v>
      </c>
      <c r="E9883" t="s">
        <v>520</v>
      </c>
      <c r="F9883" t="s">
        <v>410</v>
      </c>
      <c r="G9883">
        <v>326</v>
      </c>
      <c r="I9883">
        <v>325</v>
      </c>
    </row>
    <row r="9884" spans="1:17" x14ac:dyDescent="0.2">
      <c r="A9884" s="121">
        <v>42490</v>
      </c>
      <c r="B9884" t="s">
        <v>406</v>
      </c>
      <c r="C9884" t="s">
        <v>510</v>
      </c>
      <c r="D9884" t="s">
        <v>523</v>
      </c>
      <c r="E9884" t="s">
        <v>524</v>
      </c>
      <c r="F9884" t="s">
        <v>413</v>
      </c>
      <c r="G9884">
        <v>586</v>
      </c>
      <c r="H9884">
        <v>586</v>
      </c>
      <c r="I9884">
        <v>580</v>
      </c>
      <c r="J9884">
        <v>580</v>
      </c>
      <c r="K9884">
        <v>149</v>
      </c>
      <c r="L9884">
        <v>2</v>
      </c>
      <c r="M9884">
        <v>424</v>
      </c>
      <c r="N9884">
        <v>11</v>
      </c>
      <c r="O9884">
        <v>0</v>
      </c>
      <c r="P9884">
        <v>0</v>
      </c>
      <c r="Q9884">
        <v>0</v>
      </c>
    </row>
    <row r="9885" spans="1:17" x14ac:dyDescent="0.2">
      <c r="A9885" s="121">
        <v>42490</v>
      </c>
      <c r="B9885" t="s">
        <v>406</v>
      </c>
      <c r="C9885" t="s">
        <v>510</v>
      </c>
      <c r="D9885" t="s">
        <v>525</v>
      </c>
      <c r="E9885" t="s">
        <v>526</v>
      </c>
      <c r="F9885" t="s">
        <v>410</v>
      </c>
      <c r="G9885">
        <v>397</v>
      </c>
      <c r="I9885">
        <v>397</v>
      </c>
    </row>
    <row r="9886" spans="1:17" x14ac:dyDescent="0.2">
      <c r="A9886" s="121">
        <v>42490</v>
      </c>
      <c r="B9886" t="s">
        <v>406</v>
      </c>
      <c r="C9886" t="s">
        <v>510</v>
      </c>
      <c r="D9886" t="s">
        <v>527</v>
      </c>
      <c r="E9886" t="s">
        <v>528</v>
      </c>
      <c r="F9886" t="s">
        <v>410</v>
      </c>
      <c r="G9886">
        <v>194</v>
      </c>
      <c r="I9886">
        <v>194</v>
      </c>
    </row>
    <row r="9887" spans="1:17" x14ac:dyDescent="0.2">
      <c r="A9887" s="121">
        <v>42490</v>
      </c>
      <c r="B9887" t="s">
        <v>406</v>
      </c>
      <c r="C9887" t="s">
        <v>510</v>
      </c>
      <c r="D9887" t="s">
        <v>529</v>
      </c>
      <c r="E9887" t="s">
        <v>530</v>
      </c>
      <c r="F9887" t="s">
        <v>413</v>
      </c>
      <c r="G9887">
        <v>546</v>
      </c>
      <c r="H9887">
        <v>546</v>
      </c>
      <c r="I9887">
        <v>520</v>
      </c>
      <c r="J9887">
        <v>520</v>
      </c>
      <c r="K9887">
        <v>157</v>
      </c>
      <c r="L9887">
        <v>2</v>
      </c>
      <c r="M9887">
        <v>386</v>
      </c>
      <c r="N9887">
        <v>1</v>
      </c>
      <c r="O9887">
        <v>0</v>
      </c>
      <c r="P9887">
        <v>0</v>
      </c>
      <c r="Q9887">
        <v>0</v>
      </c>
    </row>
    <row r="9888" spans="1:17" x14ac:dyDescent="0.2">
      <c r="A9888" s="121">
        <v>42490</v>
      </c>
      <c r="B9888" t="s">
        <v>406</v>
      </c>
      <c r="C9888" t="s">
        <v>510</v>
      </c>
      <c r="D9888" t="s">
        <v>531</v>
      </c>
      <c r="E9888" t="s">
        <v>532</v>
      </c>
      <c r="F9888" t="s">
        <v>410</v>
      </c>
      <c r="G9888">
        <v>10</v>
      </c>
      <c r="I9888">
        <v>10</v>
      </c>
    </row>
    <row r="9889" spans="1:17" x14ac:dyDescent="0.2">
      <c r="A9889" s="121">
        <v>42490</v>
      </c>
      <c r="B9889" t="s">
        <v>406</v>
      </c>
      <c r="C9889" t="s">
        <v>510</v>
      </c>
      <c r="D9889" t="s">
        <v>533</v>
      </c>
      <c r="E9889" t="s">
        <v>534</v>
      </c>
      <c r="F9889" t="s">
        <v>413</v>
      </c>
      <c r="G9889">
        <v>2688</v>
      </c>
      <c r="H9889">
        <v>2688</v>
      </c>
      <c r="I9889">
        <v>2550</v>
      </c>
      <c r="J9889">
        <v>2550</v>
      </c>
      <c r="K9889">
        <v>676</v>
      </c>
      <c r="L9889">
        <v>4</v>
      </c>
      <c r="M9889">
        <v>1996</v>
      </c>
      <c r="N9889">
        <v>12</v>
      </c>
      <c r="O9889">
        <v>0</v>
      </c>
      <c r="P9889">
        <v>0</v>
      </c>
      <c r="Q9889">
        <v>0</v>
      </c>
    </row>
    <row r="9890" spans="1:17" x14ac:dyDescent="0.2">
      <c r="A9890" s="121">
        <v>42490</v>
      </c>
      <c r="B9890" t="s">
        <v>406</v>
      </c>
      <c r="C9890" t="s">
        <v>510</v>
      </c>
      <c r="D9890" t="s">
        <v>535</v>
      </c>
      <c r="E9890" t="s">
        <v>536</v>
      </c>
      <c r="F9890" t="s">
        <v>410</v>
      </c>
      <c r="G9890">
        <v>379</v>
      </c>
      <c r="I9890">
        <v>379</v>
      </c>
    </row>
    <row r="9891" spans="1:17" x14ac:dyDescent="0.2">
      <c r="A9891" s="121">
        <v>42490</v>
      </c>
      <c r="B9891" t="s">
        <v>406</v>
      </c>
      <c r="C9891" t="s">
        <v>510</v>
      </c>
      <c r="D9891" t="s">
        <v>537</v>
      </c>
      <c r="E9891" t="s">
        <v>538</v>
      </c>
      <c r="F9891" t="s">
        <v>410</v>
      </c>
      <c r="G9891">
        <v>66</v>
      </c>
      <c r="I9891">
        <v>66</v>
      </c>
    </row>
    <row r="9892" spans="1:17" x14ac:dyDescent="0.2">
      <c r="A9892" s="121">
        <v>42490</v>
      </c>
      <c r="B9892" t="s">
        <v>406</v>
      </c>
      <c r="C9892" t="s">
        <v>510</v>
      </c>
      <c r="D9892" t="s">
        <v>539</v>
      </c>
      <c r="E9892" t="s">
        <v>540</v>
      </c>
      <c r="F9892" t="s">
        <v>413</v>
      </c>
      <c r="G9892">
        <v>731</v>
      </c>
      <c r="H9892">
        <v>731</v>
      </c>
      <c r="I9892">
        <v>707</v>
      </c>
      <c r="J9892">
        <v>707</v>
      </c>
      <c r="K9892">
        <v>116</v>
      </c>
      <c r="L9892">
        <v>1</v>
      </c>
      <c r="M9892">
        <v>608</v>
      </c>
      <c r="N9892">
        <v>6</v>
      </c>
      <c r="O9892">
        <v>0</v>
      </c>
      <c r="P9892">
        <v>0</v>
      </c>
      <c r="Q9892">
        <v>0</v>
      </c>
    </row>
    <row r="9893" spans="1:17" x14ac:dyDescent="0.2">
      <c r="A9893" s="121">
        <v>42490</v>
      </c>
      <c r="B9893" t="s">
        <v>406</v>
      </c>
      <c r="C9893" t="s">
        <v>510</v>
      </c>
      <c r="D9893" t="s">
        <v>541</v>
      </c>
      <c r="E9893" t="s">
        <v>542</v>
      </c>
      <c r="F9893" t="s">
        <v>410</v>
      </c>
      <c r="G9893">
        <v>378</v>
      </c>
      <c r="I9893">
        <v>378</v>
      </c>
    </row>
    <row r="9894" spans="1:17" x14ac:dyDescent="0.2">
      <c r="A9894" s="121">
        <v>42490</v>
      </c>
      <c r="B9894" t="s">
        <v>406</v>
      </c>
      <c r="C9894" t="s">
        <v>510</v>
      </c>
      <c r="D9894" t="s">
        <v>543</v>
      </c>
      <c r="E9894" t="s">
        <v>544</v>
      </c>
      <c r="F9894" t="s">
        <v>410</v>
      </c>
      <c r="G9894">
        <v>189</v>
      </c>
      <c r="I9894">
        <v>189</v>
      </c>
    </row>
    <row r="9895" spans="1:17" x14ac:dyDescent="0.2">
      <c r="A9895" s="121">
        <v>42490</v>
      </c>
      <c r="B9895" t="s">
        <v>406</v>
      </c>
      <c r="C9895" t="s">
        <v>510</v>
      </c>
      <c r="D9895" t="s">
        <v>545</v>
      </c>
      <c r="E9895" t="s">
        <v>546</v>
      </c>
      <c r="F9895" t="s">
        <v>410</v>
      </c>
      <c r="G9895">
        <v>117</v>
      </c>
      <c r="I9895">
        <v>117</v>
      </c>
    </row>
    <row r="9896" spans="1:17" x14ac:dyDescent="0.2">
      <c r="A9896" s="121">
        <v>42490</v>
      </c>
      <c r="B9896" t="s">
        <v>406</v>
      </c>
      <c r="C9896" t="s">
        <v>510</v>
      </c>
      <c r="D9896" t="s">
        <v>547</v>
      </c>
      <c r="E9896" t="s">
        <v>548</v>
      </c>
      <c r="F9896" t="s">
        <v>410</v>
      </c>
      <c r="G9896">
        <v>171</v>
      </c>
      <c r="I9896">
        <v>171</v>
      </c>
    </row>
    <row r="9897" spans="1:17" x14ac:dyDescent="0.2">
      <c r="A9897" s="121">
        <v>42490</v>
      </c>
      <c r="B9897" t="s">
        <v>406</v>
      </c>
      <c r="C9897" t="s">
        <v>510</v>
      </c>
      <c r="D9897" t="s">
        <v>616</v>
      </c>
      <c r="E9897" t="s">
        <v>617</v>
      </c>
      <c r="F9897" t="s">
        <v>410</v>
      </c>
      <c r="G9897">
        <v>333</v>
      </c>
      <c r="I9897">
        <v>329</v>
      </c>
    </row>
    <row r="9898" spans="1:17" x14ac:dyDescent="0.2">
      <c r="A9898" s="121">
        <v>42490</v>
      </c>
      <c r="B9898" t="s">
        <v>406</v>
      </c>
      <c r="C9898" t="s">
        <v>510</v>
      </c>
      <c r="D9898" t="s">
        <v>549</v>
      </c>
      <c r="E9898" t="s">
        <v>550</v>
      </c>
      <c r="F9898" t="s">
        <v>410</v>
      </c>
      <c r="G9898">
        <v>152</v>
      </c>
      <c r="I9898">
        <v>152</v>
      </c>
    </row>
    <row r="9899" spans="1:17" x14ac:dyDescent="0.2">
      <c r="A9899" s="121">
        <v>42490</v>
      </c>
      <c r="B9899" t="s">
        <v>406</v>
      </c>
      <c r="C9899" t="s">
        <v>510</v>
      </c>
      <c r="D9899" t="s">
        <v>625</v>
      </c>
      <c r="E9899" t="s">
        <v>626</v>
      </c>
      <c r="F9899" t="s">
        <v>410</v>
      </c>
      <c r="G9899">
        <v>70</v>
      </c>
      <c r="I9899">
        <v>70</v>
      </c>
    </row>
    <row r="9900" spans="1:17" x14ac:dyDescent="0.2">
      <c r="A9900" s="121">
        <v>42490</v>
      </c>
      <c r="B9900" t="s">
        <v>406</v>
      </c>
      <c r="C9900" t="s">
        <v>551</v>
      </c>
      <c r="D9900" t="s">
        <v>552</v>
      </c>
      <c r="E9900" t="s">
        <v>553</v>
      </c>
      <c r="F9900" t="s">
        <v>413</v>
      </c>
      <c r="G9900">
        <v>5587</v>
      </c>
      <c r="H9900">
        <v>5587</v>
      </c>
      <c r="I9900">
        <v>5402</v>
      </c>
      <c r="J9900">
        <v>5402</v>
      </c>
      <c r="K9900">
        <v>1900</v>
      </c>
      <c r="L9900">
        <v>5</v>
      </c>
      <c r="M9900">
        <v>3545</v>
      </c>
      <c r="N9900">
        <v>66</v>
      </c>
      <c r="O9900">
        <v>71</v>
      </c>
      <c r="P9900">
        <v>1</v>
      </c>
      <c r="Q9900">
        <v>0</v>
      </c>
    </row>
    <row r="9901" spans="1:17" x14ac:dyDescent="0.2">
      <c r="A9901" s="121">
        <v>42490</v>
      </c>
      <c r="B9901" t="s">
        <v>406</v>
      </c>
      <c r="C9901" t="s">
        <v>551</v>
      </c>
      <c r="D9901" t="s">
        <v>554</v>
      </c>
      <c r="E9901" t="s">
        <v>555</v>
      </c>
      <c r="F9901" t="s">
        <v>410</v>
      </c>
      <c r="G9901">
        <v>46</v>
      </c>
      <c r="I9901">
        <v>46</v>
      </c>
    </row>
    <row r="9902" spans="1:17" x14ac:dyDescent="0.2">
      <c r="A9902" s="121">
        <v>42490</v>
      </c>
      <c r="B9902" t="s">
        <v>406</v>
      </c>
      <c r="C9902" t="s">
        <v>551</v>
      </c>
      <c r="D9902" t="s">
        <v>556</v>
      </c>
      <c r="E9902" t="s">
        <v>557</v>
      </c>
      <c r="F9902" t="s">
        <v>410</v>
      </c>
      <c r="G9902">
        <v>79</v>
      </c>
      <c r="I9902">
        <v>79</v>
      </c>
    </row>
    <row r="9903" spans="1:17" x14ac:dyDescent="0.2">
      <c r="A9903" s="121">
        <v>42490</v>
      </c>
      <c r="B9903" t="s">
        <v>406</v>
      </c>
      <c r="C9903" t="s">
        <v>551</v>
      </c>
      <c r="D9903" t="s">
        <v>558</v>
      </c>
      <c r="E9903" t="s">
        <v>559</v>
      </c>
      <c r="F9903" t="s">
        <v>413</v>
      </c>
      <c r="G9903">
        <v>5352</v>
      </c>
      <c r="H9903">
        <v>5352</v>
      </c>
      <c r="I9903">
        <v>5080</v>
      </c>
      <c r="J9903">
        <v>5080</v>
      </c>
      <c r="K9903">
        <v>1619</v>
      </c>
      <c r="L9903">
        <v>9</v>
      </c>
      <c r="M9903">
        <v>3639</v>
      </c>
      <c r="N9903">
        <v>63</v>
      </c>
      <c r="O9903">
        <v>22</v>
      </c>
      <c r="P9903">
        <v>17</v>
      </c>
      <c r="Q9903">
        <v>0</v>
      </c>
    </row>
    <row r="9904" spans="1:17" x14ac:dyDescent="0.2">
      <c r="A9904" s="121">
        <v>42490</v>
      </c>
      <c r="B9904" t="s">
        <v>406</v>
      </c>
      <c r="C9904" t="s">
        <v>551</v>
      </c>
      <c r="D9904" t="s">
        <v>560</v>
      </c>
      <c r="E9904" t="s">
        <v>561</v>
      </c>
      <c r="F9904" t="s">
        <v>413</v>
      </c>
      <c r="G9904">
        <v>5136</v>
      </c>
      <c r="H9904">
        <v>5136</v>
      </c>
      <c r="I9904">
        <v>4826</v>
      </c>
      <c r="J9904">
        <v>4826</v>
      </c>
      <c r="K9904">
        <v>1085</v>
      </c>
      <c r="L9904">
        <v>7</v>
      </c>
      <c r="M9904">
        <v>3865</v>
      </c>
      <c r="N9904">
        <v>71</v>
      </c>
      <c r="O9904">
        <v>108</v>
      </c>
      <c r="P9904">
        <v>21</v>
      </c>
      <c r="Q9904">
        <v>2</v>
      </c>
    </row>
    <row r="9905" spans="1:17" x14ac:dyDescent="0.2">
      <c r="A9905" s="121">
        <v>42490</v>
      </c>
      <c r="B9905" t="s">
        <v>406</v>
      </c>
      <c r="C9905" t="s">
        <v>562</v>
      </c>
      <c r="D9905" t="s">
        <v>605</v>
      </c>
      <c r="E9905" t="s">
        <v>606</v>
      </c>
      <c r="F9905" t="s">
        <v>410</v>
      </c>
      <c r="G9905">
        <v>136</v>
      </c>
      <c r="I9905">
        <v>136</v>
      </c>
    </row>
    <row r="9906" spans="1:17" x14ac:dyDescent="0.2">
      <c r="A9906" s="121">
        <v>42490</v>
      </c>
      <c r="B9906" t="s">
        <v>406</v>
      </c>
      <c r="C9906" t="s">
        <v>562</v>
      </c>
      <c r="D9906" t="s">
        <v>563</v>
      </c>
      <c r="E9906" t="s">
        <v>564</v>
      </c>
      <c r="F9906" t="s">
        <v>410</v>
      </c>
      <c r="G9906">
        <v>3528</v>
      </c>
      <c r="H9906">
        <v>3528</v>
      </c>
      <c r="I9906">
        <v>2961</v>
      </c>
      <c r="J9906">
        <v>2961</v>
      </c>
      <c r="K9906">
        <v>1068</v>
      </c>
      <c r="L9906">
        <v>0</v>
      </c>
      <c r="M9906">
        <v>2447</v>
      </c>
      <c r="N9906">
        <v>13</v>
      </c>
      <c r="O9906">
        <v>0</v>
      </c>
      <c r="P9906">
        <v>208</v>
      </c>
      <c r="Q9906">
        <v>105</v>
      </c>
    </row>
    <row r="9907" spans="1:17" x14ac:dyDescent="0.2">
      <c r="A9907" s="121">
        <v>42490</v>
      </c>
      <c r="B9907" t="s">
        <v>406</v>
      </c>
      <c r="C9907" t="s">
        <v>562</v>
      </c>
      <c r="D9907" t="s">
        <v>565</v>
      </c>
      <c r="E9907" t="s">
        <v>566</v>
      </c>
      <c r="F9907" t="s">
        <v>413</v>
      </c>
      <c r="G9907">
        <v>4598</v>
      </c>
      <c r="H9907">
        <v>4598</v>
      </c>
      <c r="I9907">
        <v>4350</v>
      </c>
      <c r="J9907">
        <v>4350</v>
      </c>
      <c r="K9907">
        <v>1088</v>
      </c>
      <c r="L9907">
        <v>3</v>
      </c>
      <c r="M9907">
        <v>3434</v>
      </c>
      <c r="N9907">
        <v>73</v>
      </c>
      <c r="O9907">
        <v>0</v>
      </c>
      <c r="P9907">
        <v>16</v>
      </c>
      <c r="Q9907">
        <v>2</v>
      </c>
    </row>
    <row r="9908" spans="1:17" x14ac:dyDescent="0.2">
      <c r="A9908" s="121">
        <v>42490</v>
      </c>
      <c r="B9908" t="s">
        <v>406</v>
      </c>
      <c r="C9908" t="s">
        <v>562</v>
      </c>
      <c r="D9908" t="s">
        <v>567</v>
      </c>
      <c r="E9908" t="s">
        <v>568</v>
      </c>
      <c r="F9908" t="s">
        <v>413</v>
      </c>
      <c r="G9908">
        <v>9369</v>
      </c>
      <c r="H9908">
        <v>9369</v>
      </c>
      <c r="I9908">
        <v>8838</v>
      </c>
      <c r="J9908">
        <v>8838</v>
      </c>
      <c r="K9908">
        <v>2638</v>
      </c>
      <c r="L9908">
        <v>19</v>
      </c>
      <c r="M9908">
        <v>6531</v>
      </c>
      <c r="N9908">
        <v>181</v>
      </c>
      <c r="O9908">
        <v>0</v>
      </c>
      <c r="P9908">
        <v>83</v>
      </c>
      <c r="Q9908">
        <v>10</v>
      </c>
    </row>
    <row r="9909" spans="1:17" x14ac:dyDescent="0.2">
      <c r="A9909" s="121">
        <v>42490</v>
      </c>
      <c r="B9909" t="s">
        <v>406</v>
      </c>
      <c r="C9909" t="s">
        <v>562</v>
      </c>
      <c r="D9909" t="s">
        <v>569</v>
      </c>
      <c r="E9909" t="s">
        <v>570</v>
      </c>
      <c r="F9909" t="s">
        <v>413</v>
      </c>
      <c r="G9909">
        <v>3993</v>
      </c>
      <c r="H9909">
        <v>3993</v>
      </c>
      <c r="I9909">
        <v>3923</v>
      </c>
      <c r="J9909">
        <v>3923</v>
      </c>
      <c r="K9909">
        <v>481</v>
      </c>
      <c r="L9909">
        <v>0</v>
      </c>
      <c r="M9909">
        <v>3511</v>
      </c>
      <c r="N9909">
        <v>1</v>
      </c>
      <c r="O9909">
        <v>0</v>
      </c>
      <c r="P9909">
        <v>0</v>
      </c>
      <c r="Q9909">
        <v>0</v>
      </c>
    </row>
    <row r="9910" spans="1:17" x14ac:dyDescent="0.2">
      <c r="A9910" s="121">
        <v>42490</v>
      </c>
      <c r="B9910" t="s">
        <v>406</v>
      </c>
      <c r="C9910" t="s">
        <v>571</v>
      </c>
      <c r="D9910" t="s">
        <v>572</v>
      </c>
      <c r="E9910" t="s">
        <v>627</v>
      </c>
      <c r="F9910" t="s">
        <v>413</v>
      </c>
      <c r="G9910">
        <v>482</v>
      </c>
      <c r="H9910">
        <v>482</v>
      </c>
      <c r="I9910">
        <v>479</v>
      </c>
      <c r="J9910">
        <v>479</v>
      </c>
      <c r="K9910">
        <v>142</v>
      </c>
      <c r="L9910">
        <v>0</v>
      </c>
      <c r="M9910">
        <v>334</v>
      </c>
      <c r="N9910">
        <v>2</v>
      </c>
      <c r="O9910">
        <v>4</v>
      </c>
      <c r="P9910">
        <v>0</v>
      </c>
      <c r="Q9910">
        <v>0</v>
      </c>
    </row>
    <row r="9911" spans="1:17" x14ac:dyDescent="0.2">
      <c r="A9911" s="121">
        <v>42490</v>
      </c>
      <c r="B9911" t="s">
        <v>406</v>
      </c>
      <c r="C9911" t="s">
        <v>574</v>
      </c>
      <c r="D9911" t="s">
        <v>575</v>
      </c>
      <c r="E9911" t="s">
        <v>576</v>
      </c>
      <c r="F9911" t="s">
        <v>413</v>
      </c>
      <c r="G9911">
        <v>588</v>
      </c>
      <c r="H9911">
        <v>588</v>
      </c>
      <c r="I9911">
        <v>541</v>
      </c>
      <c r="J9911">
        <v>541</v>
      </c>
      <c r="K9911">
        <v>165</v>
      </c>
      <c r="L9911">
        <v>2</v>
      </c>
      <c r="M9911">
        <v>398</v>
      </c>
      <c r="N9911">
        <v>4</v>
      </c>
      <c r="O9911">
        <v>19</v>
      </c>
      <c r="P9911">
        <v>0</v>
      </c>
      <c r="Q9911">
        <v>0</v>
      </c>
    </row>
    <row r="9912" spans="1:17" x14ac:dyDescent="0.2">
      <c r="A9912" s="121">
        <v>42490</v>
      </c>
      <c r="B9912" t="s">
        <v>406</v>
      </c>
      <c r="C9912" t="s">
        <v>577</v>
      </c>
      <c r="D9912" t="s">
        <v>578</v>
      </c>
      <c r="E9912" t="s">
        <v>579</v>
      </c>
      <c r="F9912" t="s">
        <v>413</v>
      </c>
      <c r="G9912">
        <v>3899</v>
      </c>
      <c r="H9912">
        <v>3899</v>
      </c>
      <c r="I9912">
        <v>3852</v>
      </c>
      <c r="J9912">
        <v>3852</v>
      </c>
      <c r="K9912">
        <v>1181</v>
      </c>
      <c r="L9912">
        <v>5</v>
      </c>
      <c r="M9912">
        <v>2419</v>
      </c>
      <c r="N9912">
        <v>294</v>
      </c>
      <c r="O9912">
        <v>0</v>
      </c>
      <c r="P9912">
        <v>0</v>
      </c>
      <c r="Q9912">
        <v>0</v>
      </c>
    </row>
    <row r="9913" spans="1:17" x14ac:dyDescent="0.2">
      <c r="A9913" s="121">
        <v>42490</v>
      </c>
      <c r="B9913" t="s">
        <v>406</v>
      </c>
      <c r="C9913" t="s">
        <v>577</v>
      </c>
      <c r="D9913" t="s">
        <v>580</v>
      </c>
      <c r="E9913" t="s">
        <v>581</v>
      </c>
      <c r="F9913" t="s">
        <v>413</v>
      </c>
      <c r="G9913">
        <v>2016</v>
      </c>
      <c r="H9913">
        <v>2016</v>
      </c>
      <c r="I9913">
        <v>1995</v>
      </c>
      <c r="J9913">
        <v>1995</v>
      </c>
      <c r="K9913">
        <v>365</v>
      </c>
      <c r="L9913">
        <v>2</v>
      </c>
      <c r="M9913">
        <v>1334</v>
      </c>
      <c r="N9913">
        <v>315</v>
      </c>
      <c r="O9913">
        <v>0</v>
      </c>
      <c r="P9913">
        <v>1</v>
      </c>
      <c r="Q9913">
        <v>0</v>
      </c>
    </row>
    <row r="9914" spans="1:17" x14ac:dyDescent="0.2">
      <c r="A9914" s="121">
        <v>42490</v>
      </c>
      <c r="B9914" t="s">
        <v>406</v>
      </c>
      <c r="C9914" t="s">
        <v>577</v>
      </c>
      <c r="D9914" t="s">
        <v>609</v>
      </c>
      <c r="E9914" t="s">
        <v>610</v>
      </c>
      <c r="F9914" t="s">
        <v>410</v>
      </c>
      <c r="G9914">
        <v>27</v>
      </c>
      <c r="H9914">
        <v>27</v>
      </c>
      <c r="I9914">
        <v>27</v>
      </c>
      <c r="J9914">
        <v>27</v>
      </c>
      <c r="K9914">
        <v>0</v>
      </c>
      <c r="L9914">
        <v>0</v>
      </c>
      <c r="M9914">
        <v>26</v>
      </c>
      <c r="N9914">
        <v>1</v>
      </c>
      <c r="O9914">
        <v>0</v>
      </c>
      <c r="P9914">
        <v>0</v>
      </c>
      <c r="Q9914">
        <v>0</v>
      </c>
    </row>
    <row r="9915" spans="1:17" x14ac:dyDescent="0.2">
      <c r="A9915" s="121">
        <v>42490</v>
      </c>
      <c r="B9915" t="s">
        <v>406</v>
      </c>
      <c r="C9915" t="s">
        <v>577</v>
      </c>
      <c r="D9915" t="s">
        <v>584</v>
      </c>
      <c r="E9915" t="s">
        <v>585</v>
      </c>
      <c r="F9915" t="s">
        <v>410</v>
      </c>
      <c r="G9915">
        <v>272</v>
      </c>
      <c r="H9915">
        <v>272</v>
      </c>
      <c r="I9915">
        <v>272</v>
      </c>
      <c r="J9915">
        <v>272</v>
      </c>
      <c r="K9915">
        <v>0</v>
      </c>
      <c r="L9915">
        <v>0</v>
      </c>
      <c r="M9915">
        <v>249</v>
      </c>
      <c r="N9915">
        <v>21</v>
      </c>
      <c r="O9915">
        <v>2</v>
      </c>
      <c r="P9915">
        <v>0</v>
      </c>
      <c r="Q9915">
        <v>0</v>
      </c>
    </row>
    <row r="9916" spans="1:17" x14ac:dyDescent="0.2">
      <c r="A9916" s="121">
        <v>42490</v>
      </c>
      <c r="B9916" t="s">
        <v>406</v>
      </c>
      <c r="C9916" t="s">
        <v>577</v>
      </c>
      <c r="D9916" t="s">
        <v>586</v>
      </c>
      <c r="E9916" t="s">
        <v>587</v>
      </c>
      <c r="F9916" t="s">
        <v>410</v>
      </c>
      <c r="G9916">
        <v>1112</v>
      </c>
      <c r="H9916">
        <v>1112</v>
      </c>
      <c r="I9916">
        <v>1112</v>
      </c>
      <c r="J9916">
        <v>1112</v>
      </c>
      <c r="K9916">
        <v>0</v>
      </c>
      <c r="L9916">
        <v>1</v>
      </c>
      <c r="M9916">
        <v>1005</v>
      </c>
      <c r="N9916">
        <v>100</v>
      </c>
      <c r="O9916">
        <v>6</v>
      </c>
      <c r="P9916">
        <v>0</v>
      </c>
      <c r="Q9916">
        <v>0</v>
      </c>
    </row>
    <row r="9917" spans="1:17" x14ac:dyDescent="0.2">
      <c r="A9917" s="121">
        <v>42490</v>
      </c>
      <c r="B9917" t="s">
        <v>406</v>
      </c>
      <c r="C9917" t="s">
        <v>577</v>
      </c>
      <c r="D9917" t="s">
        <v>588</v>
      </c>
      <c r="E9917" t="s">
        <v>589</v>
      </c>
      <c r="F9917" t="s">
        <v>410</v>
      </c>
      <c r="G9917">
        <v>167</v>
      </c>
      <c r="H9917">
        <v>167</v>
      </c>
      <c r="I9917">
        <v>167</v>
      </c>
      <c r="J9917">
        <v>167</v>
      </c>
      <c r="K9917">
        <v>0</v>
      </c>
      <c r="L9917">
        <v>0</v>
      </c>
      <c r="M9917">
        <v>162</v>
      </c>
      <c r="N9917">
        <v>5</v>
      </c>
      <c r="O9917">
        <v>0</v>
      </c>
      <c r="P9917">
        <v>0</v>
      </c>
      <c r="Q9917">
        <v>0</v>
      </c>
    </row>
    <row r="9918" spans="1:17" x14ac:dyDescent="0.2">
      <c r="A9918" s="121">
        <v>42490</v>
      </c>
      <c r="B9918" t="s">
        <v>406</v>
      </c>
      <c r="C9918" t="s">
        <v>577</v>
      </c>
      <c r="D9918" t="s">
        <v>613</v>
      </c>
      <c r="E9918" t="s">
        <v>614</v>
      </c>
      <c r="F9918" t="s">
        <v>410</v>
      </c>
      <c r="G9918">
        <v>100</v>
      </c>
      <c r="H9918">
        <v>100</v>
      </c>
      <c r="I9918">
        <v>100</v>
      </c>
      <c r="J9918">
        <v>100</v>
      </c>
      <c r="K9918">
        <v>0</v>
      </c>
      <c r="L9918">
        <v>0</v>
      </c>
      <c r="M9918">
        <v>95</v>
      </c>
      <c r="N9918">
        <v>5</v>
      </c>
      <c r="O9918">
        <v>0</v>
      </c>
      <c r="P9918">
        <v>0</v>
      </c>
      <c r="Q9918">
        <v>0</v>
      </c>
    </row>
    <row r="9919" spans="1:17" x14ac:dyDescent="0.2">
      <c r="A9919" s="121">
        <v>42490</v>
      </c>
      <c r="B9919" t="s">
        <v>406</v>
      </c>
      <c r="C9919" t="s">
        <v>577</v>
      </c>
      <c r="D9919" t="s">
        <v>590</v>
      </c>
      <c r="E9919" t="s">
        <v>591</v>
      </c>
      <c r="F9919" t="s">
        <v>410</v>
      </c>
      <c r="G9919">
        <v>501</v>
      </c>
      <c r="H9919">
        <v>501</v>
      </c>
      <c r="I9919">
        <v>501</v>
      </c>
      <c r="J9919">
        <v>501</v>
      </c>
      <c r="K9919">
        <v>0</v>
      </c>
      <c r="L9919">
        <v>0</v>
      </c>
      <c r="M9919">
        <v>479</v>
      </c>
      <c r="N9919">
        <v>19</v>
      </c>
      <c r="O9919">
        <v>3</v>
      </c>
      <c r="P9919">
        <v>0</v>
      </c>
      <c r="Q9919">
        <v>0</v>
      </c>
    </row>
    <row r="9920" spans="1:17" x14ac:dyDescent="0.2">
      <c r="A9920" s="121">
        <v>42490</v>
      </c>
      <c r="B9920" t="s">
        <v>406</v>
      </c>
      <c r="C9920" t="s">
        <v>577</v>
      </c>
      <c r="D9920" t="s">
        <v>607</v>
      </c>
      <c r="E9920" t="s">
        <v>608</v>
      </c>
      <c r="F9920" t="s">
        <v>410</v>
      </c>
      <c r="G9920">
        <v>169</v>
      </c>
      <c r="H9920">
        <v>169</v>
      </c>
      <c r="I9920">
        <v>169</v>
      </c>
      <c r="J9920">
        <v>169</v>
      </c>
      <c r="K9920">
        <v>0</v>
      </c>
      <c r="L9920">
        <v>0</v>
      </c>
      <c r="M9920">
        <v>158</v>
      </c>
      <c r="N9920">
        <v>9</v>
      </c>
      <c r="O9920">
        <v>2</v>
      </c>
      <c r="P9920">
        <v>0</v>
      </c>
      <c r="Q9920">
        <v>0</v>
      </c>
    </row>
    <row r="9921" spans="1:17" x14ac:dyDescent="0.2">
      <c r="A9921" s="121">
        <v>42490</v>
      </c>
      <c r="B9921" t="s">
        <v>406</v>
      </c>
      <c r="C9921" t="s">
        <v>577</v>
      </c>
      <c r="D9921" t="s">
        <v>592</v>
      </c>
      <c r="E9921" t="s">
        <v>593</v>
      </c>
      <c r="F9921" t="s">
        <v>410</v>
      </c>
      <c r="G9921">
        <v>401</v>
      </c>
      <c r="H9921">
        <v>401</v>
      </c>
      <c r="I9921">
        <v>401</v>
      </c>
      <c r="J9921">
        <v>401</v>
      </c>
      <c r="K9921">
        <v>0</v>
      </c>
      <c r="L9921">
        <v>0</v>
      </c>
      <c r="M9921">
        <v>378</v>
      </c>
      <c r="N9921">
        <v>20</v>
      </c>
      <c r="O9921">
        <v>3</v>
      </c>
      <c r="P9921">
        <v>0</v>
      </c>
      <c r="Q9921">
        <v>0</v>
      </c>
    </row>
    <row r="9922" spans="1:17" x14ac:dyDescent="0.2">
      <c r="A9922" s="121">
        <v>42490</v>
      </c>
      <c r="B9922" t="s">
        <v>406</v>
      </c>
      <c r="C9922" t="s">
        <v>594</v>
      </c>
      <c r="D9922" t="s">
        <v>595</v>
      </c>
      <c r="E9922" t="s">
        <v>596</v>
      </c>
      <c r="F9922" t="s">
        <v>410</v>
      </c>
      <c r="G9922">
        <v>63</v>
      </c>
      <c r="I9922">
        <v>63</v>
      </c>
    </row>
    <row r="9923" spans="1:17" x14ac:dyDescent="0.2">
      <c r="A9923" s="121">
        <v>42490</v>
      </c>
      <c r="B9923" t="s">
        <v>406</v>
      </c>
      <c r="C9923" t="s">
        <v>594</v>
      </c>
      <c r="D9923" t="s">
        <v>597</v>
      </c>
      <c r="E9923" t="s">
        <v>598</v>
      </c>
      <c r="F9923" t="s">
        <v>413</v>
      </c>
      <c r="G9923">
        <v>521</v>
      </c>
      <c r="H9923">
        <v>521</v>
      </c>
      <c r="I9923">
        <v>519</v>
      </c>
      <c r="J9923">
        <v>519</v>
      </c>
      <c r="K9923">
        <v>137</v>
      </c>
      <c r="L9923">
        <v>1</v>
      </c>
      <c r="M9923">
        <v>368</v>
      </c>
      <c r="N9923">
        <v>4</v>
      </c>
      <c r="O9923">
        <v>11</v>
      </c>
      <c r="P9923">
        <v>0</v>
      </c>
      <c r="Q9923">
        <v>0</v>
      </c>
    </row>
    <row r="9924" spans="1:17" x14ac:dyDescent="0.2">
      <c r="A9924" s="121">
        <v>42490</v>
      </c>
      <c r="B9924" t="s">
        <v>406</v>
      </c>
      <c r="C9924" t="s">
        <v>594</v>
      </c>
      <c r="D9924" t="s">
        <v>599</v>
      </c>
      <c r="E9924" t="s">
        <v>600</v>
      </c>
      <c r="F9924" t="s">
        <v>410</v>
      </c>
      <c r="G9924">
        <v>109</v>
      </c>
      <c r="I9924">
        <v>109</v>
      </c>
    </row>
    <row r="9925" spans="1:17" x14ac:dyDescent="0.2">
      <c r="A9925" s="121">
        <v>42521</v>
      </c>
      <c r="B9925" t="s">
        <v>406</v>
      </c>
      <c r="C9925" t="s">
        <v>407</v>
      </c>
      <c r="D9925" t="s">
        <v>408</v>
      </c>
      <c r="E9925" t="s">
        <v>409</v>
      </c>
      <c r="F9925" t="s">
        <v>410</v>
      </c>
      <c r="G9925">
        <v>215</v>
      </c>
      <c r="I9925">
        <v>215</v>
      </c>
    </row>
    <row r="9926" spans="1:17" x14ac:dyDescent="0.2">
      <c r="A9926" s="121">
        <v>42521</v>
      </c>
      <c r="B9926" t="s">
        <v>406</v>
      </c>
      <c r="C9926" t="s">
        <v>407</v>
      </c>
      <c r="D9926" t="s">
        <v>601</v>
      </c>
      <c r="E9926" t="s">
        <v>602</v>
      </c>
      <c r="F9926" t="s">
        <v>410</v>
      </c>
      <c r="G9926">
        <v>83</v>
      </c>
      <c r="I9926">
        <v>81</v>
      </c>
    </row>
    <row r="9927" spans="1:17" x14ac:dyDescent="0.2">
      <c r="A9927" s="121">
        <v>42521</v>
      </c>
      <c r="B9927" t="s">
        <v>406</v>
      </c>
      <c r="C9927" t="s">
        <v>407</v>
      </c>
      <c r="D9927" t="s">
        <v>411</v>
      </c>
      <c r="E9927" t="s">
        <v>412</v>
      </c>
      <c r="F9927" t="s">
        <v>413</v>
      </c>
      <c r="G9927">
        <v>6231</v>
      </c>
      <c r="H9927">
        <v>6231</v>
      </c>
      <c r="I9927">
        <v>5997</v>
      </c>
      <c r="J9927">
        <v>5997</v>
      </c>
      <c r="K9927">
        <v>2082</v>
      </c>
      <c r="L9927">
        <v>8</v>
      </c>
      <c r="M9927">
        <v>3745</v>
      </c>
      <c r="N9927">
        <v>118</v>
      </c>
      <c r="O9927">
        <v>278</v>
      </c>
      <c r="P9927">
        <v>15</v>
      </c>
      <c r="Q9927">
        <v>0</v>
      </c>
    </row>
    <row r="9928" spans="1:17" x14ac:dyDescent="0.2">
      <c r="A9928" s="121">
        <v>42521</v>
      </c>
      <c r="B9928" t="s">
        <v>406</v>
      </c>
      <c r="C9928" t="s">
        <v>407</v>
      </c>
      <c r="D9928" t="s">
        <v>416</v>
      </c>
      <c r="E9928" t="s">
        <v>417</v>
      </c>
      <c r="F9928" t="s">
        <v>413</v>
      </c>
      <c r="G9928">
        <v>4060</v>
      </c>
      <c r="H9928">
        <v>4060</v>
      </c>
      <c r="I9928">
        <v>3781</v>
      </c>
      <c r="J9928">
        <v>3781</v>
      </c>
      <c r="K9928">
        <v>1442</v>
      </c>
      <c r="L9928">
        <v>2</v>
      </c>
      <c r="M9928">
        <v>2437</v>
      </c>
      <c r="N9928">
        <v>116</v>
      </c>
      <c r="O9928">
        <v>63</v>
      </c>
      <c r="P9928">
        <v>31</v>
      </c>
      <c r="Q9928">
        <v>6</v>
      </c>
    </row>
    <row r="9929" spans="1:17" x14ac:dyDescent="0.2">
      <c r="A9929" s="121">
        <v>42521</v>
      </c>
      <c r="B9929" t="s">
        <v>406</v>
      </c>
      <c r="C9929" t="s">
        <v>407</v>
      </c>
      <c r="D9929" t="s">
        <v>618</v>
      </c>
      <c r="E9929" t="s">
        <v>619</v>
      </c>
      <c r="F9929" t="s">
        <v>410</v>
      </c>
      <c r="G9929">
        <v>102</v>
      </c>
      <c r="I9929">
        <v>102</v>
      </c>
    </row>
    <row r="9930" spans="1:17" x14ac:dyDescent="0.2">
      <c r="A9930" s="121">
        <v>42521</v>
      </c>
      <c r="B9930" t="s">
        <v>406</v>
      </c>
      <c r="C9930" t="s">
        <v>418</v>
      </c>
      <c r="D9930" t="s">
        <v>419</v>
      </c>
      <c r="E9930" t="s">
        <v>420</v>
      </c>
      <c r="F9930" t="s">
        <v>410</v>
      </c>
      <c r="G9930">
        <v>19</v>
      </c>
      <c r="I9930">
        <v>19</v>
      </c>
    </row>
    <row r="9931" spans="1:17" x14ac:dyDescent="0.2">
      <c r="A9931" s="121">
        <v>42521</v>
      </c>
      <c r="B9931" t="s">
        <v>406</v>
      </c>
      <c r="C9931" t="s">
        <v>418</v>
      </c>
      <c r="D9931" t="s">
        <v>421</v>
      </c>
      <c r="E9931" t="s">
        <v>422</v>
      </c>
      <c r="F9931" t="s">
        <v>410</v>
      </c>
      <c r="G9931">
        <v>86</v>
      </c>
      <c r="I9931">
        <v>86</v>
      </c>
    </row>
    <row r="9932" spans="1:17" x14ac:dyDescent="0.2">
      <c r="A9932" s="121">
        <v>42521</v>
      </c>
      <c r="B9932" t="s">
        <v>406</v>
      </c>
      <c r="C9932" t="s">
        <v>418</v>
      </c>
      <c r="D9932" t="s">
        <v>423</v>
      </c>
      <c r="E9932" t="s">
        <v>424</v>
      </c>
      <c r="F9932" t="s">
        <v>410</v>
      </c>
      <c r="G9932">
        <v>15</v>
      </c>
      <c r="I9932">
        <v>15</v>
      </c>
    </row>
    <row r="9933" spans="1:17" x14ac:dyDescent="0.2">
      <c r="A9933" s="121">
        <v>42521</v>
      </c>
      <c r="B9933" t="s">
        <v>406</v>
      </c>
      <c r="C9933" t="s">
        <v>418</v>
      </c>
      <c r="D9933" t="s">
        <v>425</v>
      </c>
      <c r="E9933" t="s">
        <v>426</v>
      </c>
      <c r="F9933" t="s">
        <v>410</v>
      </c>
      <c r="G9933">
        <v>42</v>
      </c>
      <c r="I9933">
        <v>42</v>
      </c>
    </row>
    <row r="9934" spans="1:17" x14ac:dyDescent="0.2">
      <c r="A9934" s="121">
        <v>42521</v>
      </c>
      <c r="B9934" t="s">
        <v>406</v>
      </c>
      <c r="C9934" t="s">
        <v>418</v>
      </c>
      <c r="D9934" t="s">
        <v>427</v>
      </c>
      <c r="E9934" t="s">
        <v>428</v>
      </c>
      <c r="F9934" t="s">
        <v>413</v>
      </c>
      <c r="G9934">
        <v>2733</v>
      </c>
      <c r="H9934">
        <v>2733</v>
      </c>
      <c r="I9934">
        <v>2535</v>
      </c>
      <c r="J9934">
        <v>2535</v>
      </c>
      <c r="K9934">
        <v>955</v>
      </c>
      <c r="L9934">
        <v>2</v>
      </c>
      <c r="M9934">
        <v>1496</v>
      </c>
      <c r="N9934">
        <v>250</v>
      </c>
      <c r="O9934">
        <v>30</v>
      </c>
      <c r="P9934">
        <v>2</v>
      </c>
      <c r="Q9934">
        <v>0</v>
      </c>
    </row>
    <row r="9935" spans="1:17" x14ac:dyDescent="0.2">
      <c r="A9935" s="121">
        <v>42521</v>
      </c>
      <c r="B9935" t="s">
        <v>406</v>
      </c>
      <c r="C9935" t="s">
        <v>429</v>
      </c>
      <c r="D9935" t="s">
        <v>430</v>
      </c>
      <c r="E9935" t="s">
        <v>431</v>
      </c>
      <c r="F9935" t="s">
        <v>410</v>
      </c>
      <c r="G9935">
        <v>31</v>
      </c>
      <c r="I9935">
        <v>31</v>
      </c>
    </row>
    <row r="9936" spans="1:17" x14ac:dyDescent="0.2">
      <c r="A9936" s="121">
        <v>42521</v>
      </c>
      <c r="B9936" t="s">
        <v>406</v>
      </c>
      <c r="C9936" t="s">
        <v>429</v>
      </c>
      <c r="D9936" t="s">
        <v>432</v>
      </c>
      <c r="E9936" t="s">
        <v>433</v>
      </c>
      <c r="F9936" t="s">
        <v>410</v>
      </c>
      <c r="G9936">
        <v>51</v>
      </c>
      <c r="I9936">
        <v>51</v>
      </c>
    </row>
    <row r="9937" spans="1:17" x14ac:dyDescent="0.2">
      <c r="A9937" s="121">
        <v>42521</v>
      </c>
      <c r="B9937" t="s">
        <v>406</v>
      </c>
      <c r="C9937" t="s">
        <v>429</v>
      </c>
      <c r="D9937" t="s">
        <v>434</v>
      </c>
      <c r="E9937" t="s">
        <v>435</v>
      </c>
      <c r="F9937" t="s">
        <v>410</v>
      </c>
      <c r="G9937">
        <v>5</v>
      </c>
      <c r="I9937">
        <v>5</v>
      </c>
    </row>
    <row r="9938" spans="1:17" x14ac:dyDescent="0.2">
      <c r="A9938" s="121">
        <v>42521</v>
      </c>
      <c r="B9938" t="s">
        <v>406</v>
      </c>
      <c r="C9938" t="s">
        <v>429</v>
      </c>
      <c r="D9938" t="s">
        <v>436</v>
      </c>
      <c r="E9938" t="s">
        <v>437</v>
      </c>
      <c r="F9938" t="s">
        <v>410</v>
      </c>
      <c r="G9938">
        <v>11</v>
      </c>
      <c r="H9938">
        <v>11</v>
      </c>
      <c r="I9938">
        <v>11</v>
      </c>
      <c r="J9938">
        <v>11</v>
      </c>
      <c r="K9938">
        <v>0</v>
      </c>
      <c r="L9938">
        <v>0</v>
      </c>
      <c r="M9938">
        <v>9</v>
      </c>
      <c r="N9938">
        <v>2</v>
      </c>
      <c r="O9938">
        <v>0</v>
      </c>
      <c r="P9938">
        <v>0</v>
      </c>
      <c r="Q9938">
        <v>0</v>
      </c>
    </row>
    <row r="9939" spans="1:17" x14ac:dyDescent="0.2">
      <c r="A9939" s="121">
        <v>42521</v>
      </c>
      <c r="B9939" t="s">
        <v>406</v>
      </c>
      <c r="C9939" t="s">
        <v>429</v>
      </c>
      <c r="D9939" t="s">
        <v>438</v>
      </c>
      <c r="E9939" t="s">
        <v>439</v>
      </c>
      <c r="F9939" t="s">
        <v>413</v>
      </c>
      <c r="G9939">
        <v>1028</v>
      </c>
      <c r="H9939">
        <v>1028</v>
      </c>
      <c r="I9939">
        <v>987</v>
      </c>
      <c r="J9939">
        <v>987</v>
      </c>
      <c r="K9939">
        <v>89</v>
      </c>
      <c r="L9939">
        <v>1</v>
      </c>
      <c r="M9939">
        <v>828</v>
      </c>
      <c r="N9939">
        <v>81</v>
      </c>
      <c r="O9939">
        <v>29</v>
      </c>
      <c r="P9939">
        <v>3</v>
      </c>
      <c r="Q9939">
        <v>0</v>
      </c>
    </row>
    <row r="9940" spans="1:17" x14ac:dyDescent="0.2">
      <c r="A9940" s="121">
        <v>42521</v>
      </c>
      <c r="B9940" t="s">
        <v>406</v>
      </c>
      <c r="C9940" t="s">
        <v>429</v>
      </c>
      <c r="D9940" t="s">
        <v>440</v>
      </c>
      <c r="E9940" t="s">
        <v>441</v>
      </c>
      <c r="F9940" t="s">
        <v>413</v>
      </c>
      <c r="G9940">
        <v>3296</v>
      </c>
      <c r="H9940">
        <v>3296</v>
      </c>
      <c r="I9940">
        <v>3193</v>
      </c>
      <c r="J9940">
        <v>3193</v>
      </c>
      <c r="K9940">
        <v>1117</v>
      </c>
      <c r="L9940">
        <v>6</v>
      </c>
      <c r="M9940">
        <v>2015</v>
      </c>
      <c r="N9940">
        <v>95</v>
      </c>
      <c r="O9940">
        <v>63</v>
      </c>
      <c r="P9940">
        <v>0</v>
      </c>
      <c r="Q9940">
        <v>0</v>
      </c>
    </row>
    <row r="9941" spans="1:17" x14ac:dyDescent="0.2">
      <c r="A9941" s="121">
        <v>42521</v>
      </c>
      <c r="B9941" t="s">
        <v>406</v>
      </c>
      <c r="C9941" t="s">
        <v>442</v>
      </c>
      <c r="D9941" t="s">
        <v>443</v>
      </c>
      <c r="E9941" t="s">
        <v>444</v>
      </c>
      <c r="F9941" t="s">
        <v>413</v>
      </c>
      <c r="G9941">
        <v>5864</v>
      </c>
      <c r="H9941">
        <v>5864</v>
      </c>
      <c r="I9941">
        <v>5509</v>
      </c>
      <c r="J9941">
        <v>5509</v>
      </c>
      <c r="K9941">
        <v>1433</v>
      </c>
      <c r="L9941">
        <v>15</v>
      </c>
      <c r="M9941">
        <v>4114</v>
      </c>
      <c r="N9941">
        <v>107</v>
      </c>
      <c r="O9941">
        <v>195</v>
      </c>
      <c r="P9941">
        <v>26</v>
      </c>
      <c r="Q9941">
        <v>0</v>
      </c>
    </row>
    <row r="9942" spans="1:17" x14ac:dyDescent="0.2">
      <c r="A9942" s="121">
        <v>42521</v>
      </c>
      <c r="B9942" t="s">
        <v>406</v>
      </c>
      <c r="C9942" t="s">
        <v>442</v>
      </c>
      <c r="D9942" t="s">
        <v>445</v>
      </c>
      <c r="E9942" t="s">
        <v>446</v>
      </c>
      <c r="F9942" t="s">
        <v>410</v>
      </c>
      <c r="G9942">
        <v>157</v>
      </c>
      <c r="I9942">
        <v>157</v>
      </c>
    </row>
    <row r="9943" spans="1:17" x14ac:dyDescent="0.2">
      <c r="A9943" s="121">
        <v>42521</v>
      </c>
      <c r="B9943" t="s">
        <v>406</v>
      </c>
      <c r="C9943" t="s">
        <v>442</v>
      </c>
      <c r="D9943" t="s">
        <v>447</v>
      </c>
      <c r="E9943" t="s">
        <v>448</v>
      </c>
      <c r="F9943" t="s">
        <v>410</v>
      </c>
      <c r="G9943">
        <v>283</v>
      </c>
      <c r="I9943">
        <v>282</v>
      </c>
    </row>
    <row r="9944" spans="1:17" x14ac:dyDescent="0.2">
      <c r="A9944" s="121">
        <v>42521</v>
      </c>
      <c r="B9944" t="s">
        <v>406</v>
      </c>
      <c r="C9944" t="s">
        <v>442</v>
      </c>
      <c r="D9944" t="s">
        <v>449</v>
      </c>
      <c r="E9944" t="s">
        <v>624</v>
      </c>
      <c r="F9944" t="s">
        <v>410</v>
      </c>
      <c r="G9944">
        <v>2169</v>
      </c>
      <c r="H9944">
        <v>2169</v>
      </c>
      <c r="I9944">
        <v>2155</v>
      </c>
      <c r="J9944">
        <v>2155</v>
      </c>
      <c r="K9944">
        <v>10</v>
      </c>
      <c r="L9944">
        <v>0</v>
      </c>
      <c r="M9944">
        <v>2009</v>
      </c>
      <c r="N9944">
        <v>126</v>
      </c>
      <c r="O9944">
        <v>24</v>
      </c>
      <c r="P9944">
        <v>0</v>
      </c>
      <c r="Q9944">
        <v>0</v>
      </c>
    </row>
    <row r="9945" spans="1:17" x14ac:dyDescent="0.2">
      <c r="A9945" s="121">
        <v>42521</v>
      </c>
      <c r="B9945" t="s">
        <v>406</v>
      </c>
      <c r="C9945" t="s">
        <v>451</v>
      </c>
      <c r="D9945" t="s">
        <v>454</v>
      </c>
      <c r="E9945" t="s">
        <v>621</v>
      </c>
      <c r="F9945" t="s">
        <v>410</v>
      </c>
      <c r="G9945">
        <v>1490</v>
      </c>
      <c r="H9945">
        <v>1490</v>
      </c>
      <c r="I9945">
        <v>1488</v>
      </c>
      <c r="J9945">
        <v>1488</v>
      </c>
      <c r="K9945">
        <v>0</v>
      </c>
      <c r="L9945">
        <v>0</v>
      </c>
      <c r="M9945">
        <v>1065</v>
      </c>
      <c r="N9945">
        <v>43</v>
      </c>
      <c r="O9945">
        <v>382</v>
      </c>
      <c r="P9945">
        <v>0</v>
      </c>
      <c r="Q9945">
        <v>0</v>
      </c>
    </row>
    <row r="9946" spans="1:17" x14ac:dyDescent="0.2">
      <c r="A9946" s="121">
        <v>42521</v>
      </c>
      <c r="B9946" t="s">
        <v>406</v>
      </c>
      <c r="C9946" t="s">
        <v>451</v>
      </c>
      <c r="D9946" t="s">
        <v>622</v>
      </c>
      <c r="E9946" t="s">
        <v>623</v>
      </c>
      <c r="F9946" t="s">
        <v>413</v>
      </c>
      <c r="G9946">
        <v>6011</v>
      </c>
      <c r="H9946">
        <v>6011</v>
      </c>
      <c r="I9946">
        <v>5453</v>
      </c>
      <c r="J9946">
        <v>5453</v>
      </c>
      <c r="K9946">
        <v>1529</v>
      </c>
      <c r="L9946">
        <v>8</v>
      </c>
      <c r="M9946">
        <v>3321</v>
      </c>
      <c r="N9946">
        <v>58</v>
      </c>
      <c r="O9946">
        <v>1095</v>
      </c>
      <c r="P9946">
        <v>30</v>
      </c>
      <c r="Q9946">
        <v>0</v>
      </c>
    </row>
    <row r="9947" spans="1:17" x14ac:dyDescent="0.2">
      <c r="A9947" s="121">
        <v>42521</v>
      </c>
      <c r="B9947" t="s">
        <v>406</v>
      </c>
      <c r="C9947" t="s">
        <v>456</v>
      </c>
      <c r="D9947" t="s">
        <v>457</v>
      </c>
      <c r="E9947" t="s">
        <v>458</v>
      </c>
      <c r="F9947" t="s">
        <v>413</v>
      </c>
      <c r="G9947">
        <v>5057</v>
      </c>
      <c r="H9947">
        <v>5057</v>
      </c>
      <c r="I9947">
        <v>4741</v>
      </c>
      <c r="J9947">
        <v>4741</v>
      </c>
      <c r="K9947">
        <v>1323</v>
      </c>
      <c r="L9947">
        <v>11</v>
      </c>
      <c r="M9947">
        <v>3175</v>
      </c>
      <c r="N9947">
        <v>27</v>
      </c>
      <c r="O9947">
        <v>521</v>
      </c>
      <c r="P9947">
        <v>5</v>
      </c>
      <c r="Q9947">
        <v>0</v>
      </c>
    </row>
    <row r="9948" spans="1:17" x14ac:dyDescent="0.2">
      <c r="A9948" s="121">
        <v>42521</v>
      </c>
      <c r="B9948" t="s">
        <v>406</v>
      </c>
      <c r="C9948" t="s">
        <v>456</v>
      </c>
      <c r="D9948" t="s">
        <v>459</v>
      </c>
      <c r="E9948" t="s">
        <v>460</v>
      </c>
      <c r="F9948" t="s">
        <v>413</v>
      </c>
      <c r="G9948">
        <v>1694</v>
      </c>
      <c r="H9948">
        <v>1694</v>
      </c>
      <c r="I9948">
        <v>1680</v>
      </c>
      <c r="J9948">
        <v>1680</v>
      </c>
      <c r="K9948">
        <v>146</v>
      </c>
      <c r="L9948">
        <v>0</v>
      </c>
      <c r="M9948">
        <v>1465</v>
      </c>
      <c r="N9948">
        <v>0</v>
      </c>
      <c r="O9948">
        <v>83</v>
      </c>
      <c r="P9948">
        <v>0</v>
      </c>
      <c r="Q9948">
        <v>0</v>
      </c>
    </row>
    <row r="9949" spans="1:17" x14ac:dyDescent="0.2">
      <c r="A9949" s="121">
        <v>42521</v>
      </c>
      <c r="B9949" t="s">
        <v>406</v>
      </c>
      <c r="C9949" t="s">
        <v>456</v>
      </c>
      <c r="D9949" t="s">
        <v>461</v>
      </c>
      <c r="E9949" t="s">
        <v>462</v>
      </c>
      <c r="F9949" t="s">
        <v>410</v>
      </c>
      <c r="G9949">
        <v>97</v>
      </c>
      <c r="I9949">
        <v>97</v>
      </c>
    </row>
    <row r="9950" spans="1:17" x14ac:dyDescent="0.2">
      <c r="A9950" s="121">
        <v>42521</v>
      </c>
      <c r="B9950" t="s">
        <v>406</v>
      </c>
      <c r="C9950" t="s">
        <v>456</v>
      </c>
      <c r="D9950" t="s">
        <v>463</v>
      </c>
      <c r="E9950" t="s">
        <v>464</v>
      </c>
      <c r="F9950" t="s">
        <v>410</v>
      </c>
      <c r="G9950">
        <v>12</v>
      </c>
      <c r="I9950">
        <v>12</v>
      </c>
    </row>
    <row r="9951" spans="1:17" x14ac:dyDescent="0.2">
      <c r="A9951" s="121">
        <v>42521</v>
      </c>
      <c r="B9951" t="s">
        <v>406</v>
      </c>
      <c r="C9951" t="s">
        <v>456</v>
      </c>
      <c r="D9951" t="s">
        <v>465</v>
      </c>
      <c r="E9951" t="s">
        <v>466</v>
      </c>
      <c r="F9951" t="s">
        <v>410</v>
      </c>
      <c r="G9951">
        <v>38</v>
      </c>
      <c r="I9951">
        <v>38</v>
      </c>
    </row>
    <row r="9952" spans="1:17" x14ac:dyDescent="0.2">
      <c r="A9952" s="121">
        <v>42521</v>
      </c>
      <c r="B9952" t="s">
        <v>406</v>
      </c>
      <c r="C9952" t="s">
        <v>456</v>
      </c>
      <c r="D9952" t="s">
        <v>467</v>
      </c>
      <c r="E9952" t="s">
        <v>468</v>
      </c>
      <c r="F9952" t="s">
        <v>410</v>
      </c>
      <c r="G9952">
        <v>1581</v>
      </c>
      <c r="I9952">
        <v>1580</v>
      </c>
    </row>
    <row r="9953" spans="1:17" x14ac:dyDescent="0.2">
      <c r="A9953" s="121">
        <v>42521</v>
      </c>
      <c r="B9953" t="s">
        <v>406</v>
      </c>
      <c r="C9953" t="s">
        <v>456</v>
      </c>
      <c r="D9953" t="s">
        <v>469</v>
      </c>
      <c r="E9953" t="s">
        <v>470</v>
      </c>
      <c r="F9953" t="s">
        <v>410</v>
      </c>
      <c r="G9953">
        <v>771</v>
      </c>
      <c r="I9953">
        <v>767</v>
      </c>
    </row>
    <row r="9954" spans="1:17" x14ac:dyDescent="0.2">
      <c r="A9954" s="121">
        <v>42521</v>
      </c>
      <c r="B9954" t="s">
        <v>406</v>
      </c>
      <c r="C9954" t="s">
        <v>456</v>
      </c>
      <c r="D9954" t="s">
        <v>471</v>
      </c>
      <c r="E9954" t="s">
        <v>472</v>
      </c>
      <c r="F9954" t="s">
        <v>410</v>
      </c>
      <c r="G9954">
        <v>319</v>
      </c>
      <c r="I9954">
        <v>313</v>
      </c>
    </row>
    <row r="9955" spans="1:17" x14ac:dyDescent="0.2">
      <c r="A9955" s="121">
        <v>42521</v>
      </c>
      <c r="B9955" t="s">
        <v>406</v>
      </c>
      <c r="C9955" t="s">
        <v>456</v>
      </c>
      <c r="D9955" t="s">
        <v>473</v>
      </c>
      <c r="E9955" t="s">
        <v>474</v>
      </c>
      <c r="F9955" t="s">
        <v>410</v>
      </c>
      <c r="G9955">
        <v>243</v>
      </c>
      <c r="I9955">
        <v>243</v>
      </c>
    </row>
    <row r="9956" spans="1:17" x14ac:dyDescent="0.2">
      <c r="A9956" s="121">
        <v>42521</v>
      </c>
      <c r="B9956" t="s">
        <v>406</v>
      </c>
      <c r="C9956" t="s">
        <v>456</v>
      </c>
      <c r="D9956" t="s">
        <v>475</v>
      </c>
      <c r="E9956" t="s">
        <v>476</v>
      </c>
      <c r="F9956" t="s">
        <v>410</v>
      </c>
      <c r="G9956">
        <v>322</v>
      </c>
      <c r="I9956">
        <v>317</v>
      </c>
    </row>
    <row r="9957" spans="1:17" x14ac:dyDescent="0.2">
      <c r="A9957" s="121">
        <v>42521</v>
      </c>
      <c r="B9957" t="s">
        <v>406</v>
      </c>
      <c r="C9957" t="s">
        <v>456</v>
      </c>
      <c r="D9957" t="s">
        <v>477</v>
      </c>
      <c r="E9957" t="s">
        <v>478</v>
      </c>
      <c r="F9957" t="s">
        <v>413</v>
      </c>
      <c r="G9957">
        <v>2182</v>
      </c>
      <c r="H9957">
        <v>2182</v>
      </c>
      <c r="I9957">
        <v>2119</v>
      </c>
      <c r="J9957">
        <v>2119</v>
      </c>
      <c r="K9957">
        <v>444</v>
      </c>
      <c r="L9957">
        <v>3</v>
      </c>
      <c r="M9957">
        <v>1686</v>
      </c>
      <c r="N9957">
        <v>6</v>
      </c>
      <c r="O9957">
        <v>43</v>
      </c>
      <c r="P9957">
        <v>2</v>
      </c>
      <c r="Q9957">
        <v>0</v>
      </c>
    </row>
    <row r="9958" spans="1:17" x14ac:dyDescent="0.2">
      <c r="A9958" s="121">
        <v>42521</v>
      </c>
      <c r="B9958" t="s">
        <v>406</v>
      </c>
      <c r="C9958" t="s">
        <v>456</v>
      </c>
      <c r="D9958" t="s">
        <v>479</v>
      </c>
      <c r="E9958" t="s">
        <v>480</v>
      </c>
      <c r="F9958" t="s">
        <v>410</v>
      </c>
      <c r="G9958">
        <v>69</v>
      </c>
      <c r="I9958">
        <v>69</v>
      </c>
    </row>
    <row r="9959" spans="1:17" x14ac:dyDescent="0.2">
      <c r="A9959" s="121">
        <v>42521</v>
      </c>
      <c r="B9959" t="s">
        <v>406</v>
      </c>
      <c r="C9959" t="s">
        <v>456</v>
      </c>
      <c r="D9959" t="s">
        <v>481</v>
      </c>
      <c r="E9959" t="s">
        <v>482</v>
      </c>
      <c r="F9959" t="s">
        <v>410</v>
      </c>
      <c r="G9959">
        <v>20</v>
      </c>
      <c r="I9959">
        <v>20</v>
      </c>
    </row>
    <row r="9960" spans="1:17" x14ac:dyDescent="0.2">
      <c r="A9960" s="121">
        <v>42521</v>
      </c>
      <c r="B9960" t="s">
        <v>406</v>
      </c>
      <c r="C9960" t="s">
        <v>456</v>
      </c>
      <c r="D9960" t="s">
        <v>483</v>
      </c>
      <c r="E9960" t="s">
        <v>484</v>
      </c>
      <c r="F9960" t="s">
        <v>410</v>
      </c>
      <c r="G9960">
        <v>95</v>
      </c>
      <c r="I9960">
        <v>95</v>
      </c>
    </row>
    <row r="9961" spans="1:17" x14ac:dyDescent="0.2">
      <c r="A9961" s="121">
        <v>42521</v>
      </c>
      <c r="B9961" t="s">
        <v>406</v>
      </c>
      <c r="C9961" t="s">
        <v>456</v>
      </c>
      <c r="D9961" t="s">
        <v>487</v>
      </c>
      <c r="E9961" t="s">
        <v>488</v>
      </c>
      <c r="F9961" t="s">
        <v>410</v>
      </c>
      <c r="G9961">
        <v>18</v>
      </c>
      <c r="I9961">
        <v>18</v>
      </c>
    </row>
    <row r="9962" spans="1:17" x14ac:dyDescent="0.2">
      <c r="A9962" s="121">
        <v>42521</v>
      </c>
      <c r="B9962" t="s">
        <v>406</v>
      </c>
      <c r="C9962" t="s">
        <v>456</v>
      </c>
      <c r="D9962" t="s">
        <v>489</v>
      </c>
      <c r="E9962" t="s">
        <v>490</v>
      </c>
      <c r="F9962" t="s">
        <v>410</v>
      </c>
      <c r="G9962">
        <v>144</v>
      </c>
      <c r="I9962">
        <v>144</v>
      </c>
    </row>
    <row r="9963" spans="1:17" x14ac:dyDescent="0.2">
      <c r="A9963" s="121">
        <v>42521</v>
      </c>
      <c r="B9963" t="s">
        <v>406</v>
      </c>
      <c r="C9963" t="s">
        <v>456</v>
      </c>
      <c r="D9963" t="s">
        <v>628</v>
      </c>
      <c r="E9963" t="s">
        <v>629</v>
      </c>
      <c r="F9963" t="s">
        <v>410</v>
      </c>
      <c r="G9963">
        <v>44</v>
      </c>
      <c r="I9963">
        <v>44</v>
      </c>
    </row>
    <row r="9964" spans="1:17" x14ac:dyDescent="0.2">
      <c r="A9964" s="121">
        <v>42521</v>
      </c>
      <c r="B9964" t="s">
        <v>406</v>
      </c>
      <c r="C9964" t="s">
        <v>491</v>
      </c>
      <c r="D9964" t="s">
        <v>492</v>
      </c>
      <c r="E9964" t="s">
        <v>493</v>
      </c>
      <c r="F9964" t="s">
        <v>410</v>
      </c>
      <c r="G9964">
        <v>1641</v>
      </c>
      <c r="H9964">
        <v>1641</v>
      </c>
      <c r="I9964">
        <v>1610</v>
      </c>
      <c r="J9964">
        <v>1610</v>
      </c>
      <c r="K9964">
        <v>223</v>
      </c>
      <c r="L9964">
        <v>0</v>
      </c>
      <c r="M9964">
        <v>1308</v>
      </c>
      <c r="N9964">
        <v>95</v>
      </c>
      <c r="O9964">
        <v>15</v>
      </c>
      <c r="P9964">
        <v>0</v>
      </c>
      <c r="Q9964">
        <v>0</v>
      </c>
    </row>
    <row r="9965" spans="1:17" x14ac:dyDescent="0.2">
      <c r="A9965" s="121">
        <v>42521</v>
      </c>
      <c r="B9965" t="s">
        <v>406</v>
      </c>
      <c r="C9965" t="s">
        <v>491</v>
      </c>
      <c r="D9965" t="s">
        <v>494</v>
      </c>
      <c r="E9965" t="s">
        <v>495</v>
      </c>
      <c r="F9965" t="s">
        <v>413</v>
      </c>
      <c r="G9965">
        <v>2954</v>
      </c>
      <c r="H9965">
        <v>2954</v>
      </c>
      <c r="I9965">
        <v>2848</v>
      </c>
      <c r="J9965">
        <v>2848</v>
      </c>
      <c r="K9965">
        <v>679</v>
      </c>
      <c r="L9965">
        <v>5</v>
      </c>
      <c r="M9965">
        <v>2056</v>
      </c>
      <c r="N9965">
        <v>33</v>
      </c>
      <c r="O9965">
        <v>181</v>
      </c>
      <c r="P9965">
        <v>4</v>
      </c>
      <c r="Q9965">
        <v>0</v>
      </c>
    </row>
    <row r="9966" spans="1:17" x14ac:dyDescent="0.2">
      <c r="A9966" s="121">
        <v>42521</v>
      </c>
      <c r="B9966" t="s">
        <v>406</v>
      </c>
      <c r="C9966" t="s">
        <v>491</v>
      </c>
      <c r="D9966" t="s">
        <v>496</v>
      </c>
      <c r="E9966" t="s">
        <v>497</v>
      </c>
      <c r="F9966" t="s">
        <v>413</v>
      </c>
      <c r="G9966">
        <v>6328</v>
      </c>
      <c r="H9966">
        <v>6328</v>
      </c>
      <c r="I9966">
        <v>5664</v>
      </c>
      <c r="J9966">
        <v>5664</v>
      </c>
      <c r="K9966">
        <v>1967</v>
      </c>
      <c r="L9966">
        <v>12</v>
      </c>
      <c r="M9966">
        <v>4051</v>
      </c>
      <c r="N9966">
        <v>149</v>
      </c>
      <c r="O9966">
        <v>149</v>
      </c>
      <c r="P9966">
        <v>34</v>
      </c>
      <c r="Q9966">
        <v>1</v>
      </c>
    </row>
    <row r="9967" spans="1:17" x14ac:dyDescent="0.2">
      <c r="A9967" s="121">
        <v>42521</v>
      </c>
      <c r="B9967" t="s">
        <v>406</v>
      </c>
      <c r="C9967" t="s">
        <v>491</v>
      </c>
      <c r="D9967" t="s">
        <v>498</v>
      </c>
      <c r="E9967" t="s">
        <v>499</v>
      </c>
      <c r="F9967" t="s">
        <v>413</v>
      </c>
      <c r="G9967">
        <v>8291</v>
      </c>
      <c r="H9967">
        <v>8291</v>
      </c>
      <c r="I9967">
        <v>7256</v>
      </c>
      <c r="J9967">
        <v>7256</v>
      </c>
      <c r="K9967">
        <v>2472</v>
      </c>
      <c r="L9967">
        <v>16</v>
      </c>
      <c r="M9967">
        <v>5247</v>
      </c>
      <c r="N9967">
        <v>174</v>
      </c>
      <c r="O9967">
        <v>382</v>
      </c>
      <c r="P9967">
        <v>29</v>
      </c>
      <c r="Q9967">
        <v>0</v>
      </c>
    </row>
    <row r="9968" spans="1:17" x14ac:dyDescent="0.2">
      <c r="A9968" s="121">
        <v>42521</v>
      </c>
      <c r="B9968" t="s">
        <v>406</v>
      </c>
      <c r="C9968" t="s">
        <v>491</v>
      </c>
      <c r="D9968" t="s">
        <v>500</v>
      </c>
      <c r="E9968" t="s">
        <v>620</v>
      </c>
      <c r="F9968" t="s">
        <v>410</v>
      </c>
      <c r="G9968">
        <v>1881</v>
      </c>
      <c r="H9968">
        <v>1881</v>
      </c>
      <c r="I9968">
        <v>1881</v>
      </c>
      <c r="J9968">
        <v>1881</v>
      </c>
      <c r="K9968">
        <v>0</v>
      </c>
      <c r="L9968">
        <v>0</v>
      </c>
      <c r="M9968">
        <v>1724</v>
      </c>
      <c r="N9968">
        <v>119</v>
      </c>
      <c r="O9968">
        <v>38</v>
      </c>
      <c r="P9968">
        <v>0</v>
      </c>
      <c r="Q9968">
        <v>0</v>
      </c>
    </row>
    <row r="9969" spans="1:17" x14ac:dyDescent="0.2">
      <c r="A9969" s="121">
        <v>42521</v>
      </c>
      <c r="B9969" t="s">
        <v>406</v>
      </c>
      <c r="C9969" t="s">
        <v>491</v>
      </c>
      <c r="D9969" t="s">
        <v>502</v>
      </c>
      <c r="E9969" t="s">
        <v>615</v>
      </c>
      <c r="F9969" t="s">
        <v>410</v>
      </c>
      <c r="G9969">
        <v>2933</v>
      </c>
      <c r="H9969">
        <v>2933</v>
      </c>
      <c r="I9969">
        <v>2932</v>
      </c>
      <c r="J9969">
        <v>2932</v>
      </c>
      <c r="K9969">
        <v>0</v>
      </c>
      <c r="L9969">
        <v>0</v>
      </c>
      <c r="M9969">
        <v>2698</v>
      </c>
      <c r="N9969">
        <v>205</v>
      </c>
      <c r="O9969">
        <v>30</v>
      </c>
      <c r="P9969">
        <v>0</v>
      </c>
      <c r="Q9969">
        <v>0</v>
      </c>
    </row>
    <row r="9970" spans="1:17" x14ac:dyDescent="0.2">
      <c r="A9970" s="121">
        <v>42521</v>
      </c>
      <c r="B9970" t="s">
        <v>406</v>
      </c>
      <c r="C9970" t="s">
        <v>491</v>
      </c>
      <c r="D9970" t="s">
        <v>504</v>
      </c>
      <c r="E9970" t="s">
        <v>630</v>
      </c>
      <c r="F9970" t="s">
        <v>413</v>
      </c>
      <c r="G9970">
        <v>8492</v>
      </c>
      <c r="H9970">
        <v>8492</v>
      </c>
      <c r="I9970">
        <v>7391</v>
      </c>
      <c r="J9970">
        <v>7391</v>
      </c>
      <c r="K9970">
        <v>2488</v>
      </c>
      <c r="L9970">
        <v>38</v>
      </c>
      <c r="M9970">
        <v>5540</v>
      </c>
      <c r="N9970">
        <v>175</v>
      </c>
      <c r="O9970">
        <v>251</v>
      </c>
      <c r="P9970">
        <v>43</v>
      </c>
      <c r="Q9970">
        <v>1</v>
      </c>
    </row>
    <row r="9971" spans="1:17" x14ac:dyDescent="0.2">
      <c r="A9971" s="121">
        <v>42521</v>
      </c>
      <c r="B9971" t="s">
        <v>406</v>
      </c>
      <c r="C9971" t="s">
        <v>491</v>
      </c>
      <c r="D9971" t="s">
        <v>506</v>
      </c>
      <c r="E9971" t="s">
        <v>507</v>
      </c>
      <c r="F9971" t="s">
        <v>413</v>
      </c>
      <c r="G9971">
        <v>5045</v>
      </c>
      <c r="H9971">
        <v>5045</v>
      </c>
      <c r="I9971">
        <v>5032</v>
      </c>
      <c r="J9971">
        <v>5032</v>
      </c>
      <c r="K9971">
        <v>810</v>
      </c>
      <c r="L9971">
        <v>1</v>
      </c>
      <c r="M9971">
        <v>4220</v>
      </c>
      <c r="N9971">
        <v>3</v>
      </c>
      <c r="O9971">
        <v>11</v>
      </c>
      <c r="P9971">
        <v>0</v>
      </c>
      <c r="Q9971">
        <v>0</v>
      </c>
    </row>
    <row r="9972" spans="1:17" x14ac:dyDescent="0.2">
      <c r="A9972" s="121">
        <v>42521</v>
      </c>
      <c r="B9972" t="s">
        <v>406</v>
      </c>
      <c r="C9972" t="s">
        <v>491</v>
      </c>
      <c r="D9972" t="s">
        <v>508</v>
      </c>
      <c r="E9972" t="s">
        <v>631</v>
      </c>
      <c r="F9972" t="s">
        <v>410</v>
      </c>
      <c r="G9972">
        <v>993</v>
      </c>
      <c r="H9972">
        <v>993</v>
      </c>
      <c r="I9972">
        <v>992</v>
      </c>
      <c r="J9972">
        <v>992</v>
      </c>
      <c r="K9972">
        <v>0</v>
      </c>
      <c r="L9972">
        <v>0</v>
      </c>
      <c r="M9972">
        <v>917</v>
      </c>
      <c r="N9972">
        <v>73</v>
      </c>
      <c r="O9972">
        <v>3</v>
      </c>
      <c r="P9972">
        <v>0</v>
      </c>
      <c r="Q9972">
        <v>0</v>
      </c>
    </row>
    <row r="9973" spans="1:17" x14ac:dyDescent="0.2">
      <c r="A9973" s="121">
        <v>42521</v>
      </c>
      <c r="B9973" t="s">
        <v>406</v>
      </c>
      <c r="C9973" t="s">
        <v>510</v>
      </c>
      <c r="D9973" t="s">
        <v>513</v>
      </c>
      <c r="E9973" t="s">
        <v>514</v>
      </c>
      <c r="F9973" t="s">
        <v>410</v>
      </c>
      <c r="G9973">
        <v>698</v>
      </c>
      <c r="I9973">
        <v>698</v>
      </c>
    </row>
    <row r="9974" spans="1:17" x14ac:dyDescent="0.2">
      <c r="A9974" s="121">
        <v>42521</v>
      </c>
      <c r="B9974" t="s">
        <v>406</v>
      </c>
      <c r="C9974" t="s">
        <v>510</v>
      </c>
      <c r="D9974" t="s">
        <v>515</v>
      </c>
      <c r="E9974" t="s">
        <v>516</v>
      </c>
      <c r="F9974" t="s">
        <v>410</v>
      </c>
      <c r="G9974">
        <v>130</v>
      </c>
      <c r="I9974">
        <v>130</v>
      </c>
    </row>
    <row r="9975" spans="1:17" x14ac:dyDescent="0.2">
      <c r="A9975" s="121">
        <v>42521</v>
      </c>
      <c r="B9975" t="s">
        <v>406</v>
      </c>
      <c r="C9975" t="s">
        <v>510</v>
      </c>
      <c r="D9975" t="s">
        <v>519</v>
      </c>
      <c r="E9975" t="s">
        <v>520</v>
      </c>
      <c r="F9975" t="s">
        <v>410</v>
      </c>
      <c r="G9975">
        <v>388</v>
      </c>
      <c r="I9975">
        <v>385</v>
      </c>
    </row>
    <row r="9976" spans="1:17" x14ac:dyDescent="0.2">
      <c r="A9976" s="121">
        <v>42521</v>
      </c>
      <c r="B9976" t="s">
        <v>406</v>
      </c>
      <c r="C9976" t="s">
        <v>510</v>
      </c>
      <c r="D9976" t="s">
        <v>523</v>
      </c>
      <c r="E9976" t="s">
        <v>524</v>
      </c>
      <c r="F9976" t="s">
        <v>413</v>
      </c>
      <c r="G9976">
        <v>752</v>
      </c>
      <c r="H9976">
        <v>752</v>
      </c>
      <c r="I9976">
        <v>746</v>
      </c>
      <c r="J9976">
        <v>746</v>
      </c>
      <c r="K9976">
        <v>184</v>
      </c>
      <c r="L9976">
        <v>0</v>
      </c>
      <c r="M9976">
        <v>547</v>
      </c>
      <c r="N9976">
        <v>21</v>
      </c>
      <c r="O9976">
        <v>0</v>
      </c>
      <c r="P9976">
        <v>0</v>
      </c>
      <c r="Q9976">
        <v>0</v>
      </c>
    </row>
    <row r="9977" spans="1:17" x14ac:dyDescent="0.2">
      <c r="A9977" s="121">
        <v>42521</v>
      </c>
      <c r="B9977" t="s">
        <v>406</v>
      </c>
      <c r="C9977" t="s">
        <v>510</v>
      </c>
      <c r="D9977" t="s">
        <v>525</v>
      </c>
      <c r="E9977" t="s">
        <v>526</v>
      </c>
      <c r="F9977" t="s">
        <v>410</v>
      </c>
      <c r="G9977">
        <v>421</v>
      </c>
      <c r="I9977">
        <v>421</v>
      </c>
    </row>
    <row r="9978" spans="1:17" x14ac:dyDescent="0.2">
      <c r="A9978" s="121">
        <v>42521</v>
      </c>
      <c r="B9978" t="s">
        <v>406</v>
      </c>
      <c r="C9978" t="s">
        <v>510</v>
      </c>
      <c r="D9978" t="s">
        <v>527</v>
      </c>
      <c r="E9978" t="s">
        <v>528</v>
      </c>
      <c r="F9978" t="s">
        <v>410</v>
      </c>
      <c r="G9978">
        <v>250</v>
      </c>
      <c r="I9978">
        <v>250</v>
      </c>
    </row>
    <row r="9979" spans="1:17" x14ac:dyDescent="0.2">
      <c r="A9979" s="121">
        <v>42521</v>
      </c>
      <c r="B9979" t="s">
        <v>406</v>
      </c>
      <c r="C9979" t="s">
        <v>510</v>
      </c>
      <c r="D9979" t="s">
        <v>529</v>
      </c>
      <c r="E9979" t="s">
        <v>530</v>
      </c>
      <c r="F9979" t="s">
        <v>413</v>
      </c>
      <c r="G9979">
        <v>615</v>
      </c>
      <c r="H9979">
        <v>615</v>
      </c>
      <c r="I9979">
        <v>586</v>
      </c>
      <c r="J9979">
        <v>586</v>
      </c>
      <c r="K9979">
        <v>182</v>
      </c>
      <c r="L9979">
        <v>1</v>
      </c>
      <c r="M9979">
        <v>432</v>
      </c>
      <c r="N9979">
        <v>0</v>
      </c>
      <c r="O9979">
        <v>0</v>
      </c>
      <c r="P9979">
        <v>1</v>
      </c>
      <c r="Q9979">
        <v>0</v>
      </c>
    </row>
    <row r="9980" spans="1:17" x14ac:dyDescent="0.2">
      <c r="A9980" s="121">
        <v>42521</v>
      </c>
      <c r="B9980" t="s">
        <v>406</v>
      </c>
      <c r="C9980" t="s">
        <v>510</v>
      </c>
      <c r="D9980" t="s">
        <v>531</v>
      </c>
      <c r="E9980" t="s">
        <v>532</v>
      </c>
      <c r="F9980" t="s">
        <v>410</v>
      </c>
      <c r="G9980">
        <v>20</v>
      </c>
      <c r="I9980">
        <v>20</v>
      </c>
    </row>
    <row r="9981" spans="1:17" x14ac:dyDescent="0.2">
      <c r="A9981" s="121">
        <v>42521</v>
      </c>
      <c r="B9981" t="s">
        <v>406</v>
      </c>
      <c r="C9981" t="s">
        <v>510</v>
      </c>
      <c r="D9981" t="s">
        <v>533</v>
      </c>
      <c r="E9981" t="s">
        <v>534</v>
      </c>
      <c r="F9981" t="s">
        <v>413</v>
      </c>
      <c r="G9981">
        <v>3043</v>
      </c>
      <c r="H9981">
        <v>3043</v>
      </c>
      <c r="I9981">
        <v>2876</v>
      </c>
      <c r="J9981">
        <v>2876</v>
      </c>
      <c r="K9981">
        <v>743</v>
      </c>
      <c r="L9981">
        <v>6</v>
      </c>
      <c r="M9981">
        <v>2290</v>
      </c>
      <c r="N9981">
        <v>4</v>
      </c>
      <c r="O9981">
        <v>0</v>
      </c>
      <c r="P9981">
        <v>2</v>
      </c>
      <c r="Q9981">
        <v>0</v>
      </c>
    </row>
    <row r="9982" spans="1:17" x14ac:dyDescent="0.2">
      <c r="A9982" s="121">
        <v>42521</v>
      </c>
      <c r="B9982" t="s">
        <v>406</v>
      </c>
      <c r="C9982" t="s">
        <v>510</v>
      </c>
      <c r="D9982" t="s">
        <v>535</v>
      </c>
      <c r="E9982" t="s">
        <v>536</v>
      </c>
      <c r="F9982" t="s">
        <v>410</v>
      </c>
      <c r="G9982">
        <v>404</v>
      </c>
      <c r="I9982">
        <v>404</v>
      </c>
    </row>
    <row r="9983" spans="1:17" x14ac:dyDescent="0.2">
      <c r="A9983" s="121">
        <v>42521</v>
      </c>
      <c r="B9983" t="s">
        <v>406</v>
      </c>
      <c r="C9983" t="s">
        <v>510</v>
      </c>
      <c r="D9983" t="s">
        <v>537</v>
      </c>
      <c r="E9983" t="s">
        <v>538</v>
      </c>
      <c r="F9983" t="s">
        <v>410</v>
      </c>
      <c r="G9983">
        <v>102</v>
      </c>
      <c r="I9983">
        <v>102</v>
      </c>
    </row>
    <row r="9984" spans="1:17" x14ac:dyDescent="0.2">
      <c r="A9984" s="121">
        <v>42521</v>
      </c>
      <c r="B9984" t="s">
        <v>406</v>
      </c>
      <c r="C9984" t="s">
        <v>510</v>
      </c>
      <c r="D9984" t="s">
        <v>539</v>
      </c>
      <c r="E9984" t="s">
        <v>540</v>
      </c>
      <c r="F9984" t="s">
        <v>413</v>
      </c>
      <c r="G9984">
        <v>934</v>
      </c>
      <c r="H9984">
        <v>934</v>
      </c>
      <c r="I9984">
        <v>895</v>
      </c>
      <c r="J9984">
        <v>895</v>
      </c>
      <c r="K9984">
        <v>196</v>
      </c>
      <c r="L9984">
        <v>0</v>
      </c>
      <c r="M9984">
        <v>732</v>
      </c>
      <c r="N9984">
        <v>6</v>
      </c>
      <c r="O9984">
        <v>0</v>
      </c>
      <c r="P9984">
        <v>1</v>
      </c>
      <c r="Q9984">
        <v>0</v>
      </c>
    </row>
    <row r="9985" spans="1:17" x14ac:dyDescent="0.2">
      <c r="A9985" s="121">
        <v>42521</v>
      </c>
      <c r="B9985" t="s">
        <v>406</v>
      </c>
      <c r="C9985" t="s">
        <v>510</v>
      </c>
      <c r="D9985" t="s">
        <v>541</v>
      </c>
      <c r="E9985" t="s">
        <v>542</v>
      </c>
      <c r="F9985" t="s">
        <v>410</v>
      </c>
      <c r="G9985">
        <v>432</v>
      </c>
      <c r="I9985">
        <v>432</v>
      </c>
    </row>
    <row r="9986" spans="1:17" x14ac:dyDescent="0.2">
      <c r="A9986" s="121">
        <v>42521</v>
      </c>
      <c r="B9986" t="s">
        <v>406</v>
      </c>
      <c r="C9986" t="s">
        <v>510</v>
      </c>
      <c r="D9986" t="s">
        <v>543</v>
      </c>
      <c r="E9986" t="s">
        <v>544</v>
      </c>
      <c r="F9986" t="s">
        <v>410</v>
      </c>
      <c r="G9986">
        <v>247</v>
      </c>
      <c r="I9986">
        <v>247</v>
      </c>
    </row>
    <row r="9987" spans="1:17" x14ac:dyDescent="0.2">
      <c r="A9987" s="121">
        <v>42521</v>
      </c>
      <c r="B9987" t="s">
        <v>406</v>
      </c>
      <c r="C9987" t="s">
        <v>510</v>
      </c>
      <c r="D9987" t="s">
        <v>545</v>
      </c>
      <c r="E9987" t="s">
        <v>546</v>
      </c>
      <c r="F9987" t="s">
        <v>410</v>
      </c>
      <c r="G9987">
        <v>162</v>
      </c>
      <c r="I9987">
        <v>162</v>
      </c>
    </row>
    <row r="9988" spans="1:17" x14ac:dyDescent="0.2">
      <c r="A9988" s="121">
        <v>42521</v>
      </c>
      <c r="B9988" t="s">
        <v>406</v>
      </c>
      <c r="C9988" t="s">
        <v>510</v>
      </c>
      <c r="D9988" t="s">
        <v>547</v>
      </c>
      <c r="E9988" t="s">
        <v>548</v>
      </c>
      <c r="F9988" t="s">
        <v>410</v>
      </c>
      <c r="G9988">
        <v>160</v>
      </c>
      <c r="I9988">
        <v>160</v>
      </c>
    </row>
    <row r="9989" spans="1:17" x14ac:dyDescent="0.2">
      <c r="A9989" s="121">
        <v>42521</v>
      </c>
      <c r="B9989" t="s">
        <v>406</v>
      </c>
      <c r="C9989" t="s">
        <v>510</v>
      </c>
      <c r="D9989" t="s">
        <v>616</v>
      </c>
      <c r="E9989" t="s">
        <v>617</v>
      </c>
      <c r="F9989" t="s">
        <v>410</v>
      </c>
      <c r="G9989">
        <v>413</v>
      </c>
      <c r="I9989">
        <v>409</v>
      </c>
    </row>
    <row r="9990" spans="1:17" x14ac:dyDescent="0.2">
      <c r="A9990" s="121">
        <v>42521</v>
      </c>
      <c r="B9990" t="s">
        <v>406</v>
      </c>
      <c r="C9990" t="s">
        <v>510</v>
      </c>
      <c r="D9990" t="s">
        <v>549</v>
      </c>
      <c r="E9990" t="s">
        <v>550</v>
      </c>
      <c r="F9990" t="s">
        <v>410</v>
      </c>
      <c r="G9990">
        <v>189</v>
      </c>
      <c r="I9990">
        <v>189</v>
      </c>
    </row>
    <row r="9991" spans="1:17" x14ac:dyDescent="0.2">
      <c r="A9991" s="121">
        <v>42521</v>
      </c>
      <c r="B9991" t="s">
        <v>406</v>
      </c>
      <c r="C9991" t="s">
        <v>510</v>
      </c>
      <c r="D9991" t="s">
        <v>625</v>
      </c>
      <c r="E9991" t="s">
        <v>626</v>
      </c>
      <c r="F9991" t="s">
        <v>410</v>
      </c>
      <c r="G9991">
        <v>115</v>
      </c>
      <c r="I9991">
        <v>114</v>
      </c>
    </row>
    <row r="9992" spans="1:17" x14ac:dyDescent="0.2">
      <c r="A9992" s="121">
        <v>42521</v>
      </c>
      <c r="B9992" t="s">
        <v>406</v>
      </c>
      <c r="C9992" t="s">
        <v>551</v>
      </c>
      <c r="D9992" t="s">
        <v>552</v>
      </c>
      <c r="E9992" t="s">
        <v>553</v>
      </c>
      <c r="F9992" t="s">
        <v>413</v>
      </c>
      <c r="G9992">
        <v>6123</v>
      </c>
      <c r="H9992">
        <v>6123</v>
      </c>
      <c r="I9992">
        <v>5918</v>
      </c>
      <c r="J9992">
        <v>5918</v>
      </c>
      <c r="K9992">
        <v>1925</v>
      </c>
      <c r="L9992">
        <v>5</v>
      </c>
      <c r="M9992">
        <v>4077</v>
      </c>
      <c r="N9992">
        <v>65</v>
      </c>
      <c r="O9992">
        <v>51</v>
      </c>
      <c r="P9992">
        <v>1</v>
      </c>
      <c r="Q9992">
        <v>0</v>
      </c>
    </row>
    <row r="9993" spans="1:17" x14ac:dyDescent="0.2">
      <c r="A9993" s="121">
        <v>42521</v>
      </c>
      <c r="B9993" t="s">
        <v>406</v>
      </c>
      <c r="C9993" t="s">
        <v>551</v>
      </c>
      <c r="D9993" t="s">
        <v>554</v>
      </c>
      <c r="E9993" t="s">
        <v>555</v>
      </c>
      <c r="F9993" t="s">
        <v>410</v>
      </c>
      <c r="G9993">
        <v>67</v>
      </c>
      <c r="I9993">
        <v>67</v>
      </c>
    </row>
    <row r="9994" spans="1:17" x14ac:dyDescent="0.2">
      <c r="A9994" s="121">
        <v>42521</v>
      </c>
      <c r="B9994" t="s">
        <v>406</v>
      </c>
      <c r="C9994" t="s">
        <v>551</v>
      </c>
      <c r="D9994" t="s">
        <v>556</v>
      </c>
      <c r="E9994" t="s">
        <v>557</v>
      </c>
      <c r="F9994" t="s">
        <v>410</v>
      </c>
      <c r="G9994">
        <v>111</v>
      </c>
      <c r="I9994">
        <v>111</v>
      </c>
    </row>
    <row r="9995" spans="1:17" x14ac:dyDescent="0.2">
      <c r="A9995" s="121">
        <v>42521</v>
      </c>
      <c r="B9995" t="s">
        <v>406</v>
      </c>
      <c r="C9995" t="s">
        <v>551</v>
      </c>
      <c r="D9995" t="s">
        <v>558</v>
      </c>
      <c r="E9995" t="s">
        <v>559</v>
      </c>
      <c r="F9995" t="s">
        <v>413</v>
      </c>
      <c r="G9995">
        <v>5754</v>
      </c>
      <c r="H9995">
        <v>5754</v>
      </c>
      <c r="I9995">
        <v>5392</v>
      </c>
      <c r="J9995">
        <v>5392</v>
      </c>
      <c r="K9995">
        <v>1597</v>
      </c>
      <c r="L9995">
        <v>6</v>
      </c>
      <c r="M9995">
        <v>4045</v>
      </c>
      <c r="N9995">
        <v>89</v>
      </c>
      <c r="O9995">
        <v>17</v>
      </c>
      <c r="P9995">
        <v>25</v>
      </c>
      <c r="Q9995">
        <v>1</v>
      </c>
    </row>
    <row r="9996" spans="1:17" x14ac:dyDescent="0.2">
      <c r="A9996" s="121">
        <v>42521</v>
      </c>
      <c r="B9996" t="s">
        <v>406</v>
      </c>
      <c r="C9996" t="s">
        <v>551</v>
      </c>
      <c r="D9996" t="s">
        <v>560</v>
      </c>
      <c r="E9996" t="s">
        <v>561</v>
      </c>
      <c r="F9996" t="s">
        <v>413</v>
      </c>
      <c r="G9996">
        <v>5834</v>
      </c>
      <c r="H9996">
        <v>5834</v>
      </c>
      <c r="I9996">
        <v>5342</v>
      </c>
      <c r="J9996">
        <v>5342</v>
      </c>
      <c r="K9996">
        <v>1217</v>
      </c>
      <c r="L9996">
        <v>6</v>
      </c>
      <c r="M9996">
        <v>4391</v>
      </c>
      <c r="N9996">
        <v>80</v>
      </c>
      <c r="O9996">
        <v>140</v>
      </c>
      <c r="P9996">
        <v>38</v>
      </c>
      <c r="Q9996">
        <v>10</v>
      </c>
    </row>
    <row r="9997" spans="1:17" x14ac:dyDescent="0.2">
      <c r="A9997" s="121">
        <v>42521</v>
      </c>
      <c r="B9997" t="s">
        <v>406</v>
      </c>
      <c r="C9997" t="s">
        <v>562</v>
      </c>
      <c r="D9997" t="s">
        <v>605</v>
      </c>
      <c r="E9997" t="s">
        <v>606</v>
      </c>
      <c r="F9997" t="s">
        <v>410</v>
      </c>
      <c r="G9997">
        <v>155</v>
      </c>
      <c r="I9997">
        <v>155</v>
      </c>
    </row>
    <row r="9998" spans="1:17" x14ac:dyDescent="0.2">
      <c r="A9998" s="121">
        <v>42521</v>
      </c>
      <c r="B9998" t="s">
        <v>406</v>
      </c>
      <c r="C9998" t="s">
        <v>562</v>
      </c>
      <c r="D9998" t="s">
        <v>563</v>
      </c>
      <c r="E9998" t="s">
        <v>564</v>
      </c>
      <c r="F9998" t="s">
        <v>410</v>
      </c>
      <c r="G9998">
        <v>3899</v>
      </c>
      <c r="H9998">
        <v>3899</v>
      </c>
      <c r="I9998">
        <v>3537</v>
      </c>
      <c r="J9998">
        <v>3537</v>
      </c>
      <c r="K9998">
        <v>1159</v>
      </c>
      <c r="L9998">
        <v>0</v>
      </c>
      <c r="M9998">
        <v>2699</v>
      </c>
      <c r="N9998">
        <v>41</v>
      </c>
      <c r="O9998">
        <v>0</v>
      </c>
      <c r="P9998">
        <v>98</v>
      </c>
      <c r="Q9998">
        <v>43</v>
      </c>
    </row>
    <row r="9999" spans="1:17" x14ac:dyDescent="0.2">
      <c r="A9999" s="121">
        <v>42521</v>
      </c>
      <c r="B9999" t="s">
        <v>406</v>
      </c>
      <c r="C9999" t="s">
        <v>562</v>
      </c>
      <c r="D9999" t="s">
        <v>565</v>
      </c>
      <c r="E9999" t="s">
        <v>566</v>
      </c>
      <c r="F9999" t="s">
        <v>413</v>
      </c>
      <c r="G9999">
        <v>5018</v>
      </c>
      <c r="H9999">
        <v>5018</v>
      </c>
      <c r="I9999">
        <v>4747</v>
      </c>
      <c r="J9999">
        <v>4747</v>
      </c>
      <c r="K9999">
        <v>1101</v>
      </c>
      <c r="L9999">
        <v>4</v>
      </c>
      <c r="M9999">
        <v>3797</v>
      </c>
      <c r="N9999">
        <v>116</v>
      </c>
      <c r="O9999">
        <v>0</v>
      </c>
      <c r="P9999">
        <v>16</v>
      </c>
      <c r="Q9999">
        <v>0</v>
      </c>
    </row>
    <row r="10000" spans="1:17" x14ac:dyDescent="0.2">
      <c r="A10000" s="121">
        <v>42521</v>
      </c>
      <c r="B10000" t="s">
        <v>406</v>
      </c>
      <c r="C10000" t="s">
        <v>562</v>
      </c>
      <c r="D10000" t="s">
        <v>567</v>
      </c>
      <c r="E10000" t="s">
        <v>568</v>
      </c>
      <c r="F10000" t="s">
        <v>413</v>
      </c>
      <c r="G10000">
        <v>10457</v>
      </c>
      <c r="H10000">
        <v>10457</v>
      </c>
      <c r="I10000">
        <v>9548</v>
      </c>
      <c r="J10000">
        <v>9548</v>
      </c>
      <c r="K10000">
        <v>2813</v>
      </c>
      <c r="L10000">
        <v>22</v>
      </c>
      <c r="M10000">
        <v>7452</v>
      </c>
      <c r="N10000">
        <v>170</v>
      </c>
      <c r="O10000">
        <v>0</v>
      </c>
      <c r="P10000">
        <v>164</v>
      </c>
      <c r="Q10000">
        <v>18</v>
      </c>
    </row>
    <row r="10001" spans="1:17" x14ac:dyDescent="0.2">
      <c r="A10001" s="121">
        <v>42521</v>
      </c>
      <c r="B10001" t="s">
        <v>406</v>
      </c>
      <c r="C10001" t="s">
        <v>562</v>
      </c>
      <c r="D10001" t="s">
        <v>569</v>
      </c>
      <c r="E10001" t="s">
        <v>570</v>
      </c>
      <c r="F10001" t="s">
        <v>413</v>
      </c>
      <c r="G10001">
        <v>4585</v>
      </c>
      <c r="H10001">
        <v>4585</v>
      </c>
      <c r="I10001">
        <v>4526</v>
      </c>
      <c r="J10001">
        <v>4526</v>
      </c>
      <c r="K10001">
        <v>531</v>
      </c>
      <c r="L10001">
        <v>0</v>
      </c>
      <c r="M10001">
        <v>4052</v>
      </c>
      <c r="N10001">
        <v>2</v>
      </c>
      <c r="O10001">
        <v>0</v>
      </c>
      <c r="P10001">
        <v>0</v>
      </c>
      <c r="Q10001">
        <v>0</v>
      </c>
    </row>
    <row r="10002" spans="1:17" x14ac:dyDescent="0.2">
      <c r="A10002" s="121">
        <v>42521</v>
      </c>
      <c r="B10002" t="s">
        <v>406</v>
      </c>
      <c r="C10002" t="s">
        <v>571</v>
      </c>
      <c r="D10002" t="s">
        <v>572</v>
      </c>
      <c r="E10002" t="s">
        <v>627</v>
      </c>
      <c r="F10002" t="s">
        <v>413</v>
      </c>
      <c r="G10002">
        <v>522</v>
      </c>
      <c r="H10002">
        <v>522</v>
      </c>
      <c r="I10002">
        <v>509</v>
      </c>
      <c r="J10002">
        <v>509</v>
      </c>
      <c r="K10002">
        <v>133</v>
      </c>
      <c r="L10002">
        <v>0</v>
      </c>
      <c r="M10002">
        <v>382</v>
      </c>
      <c r="N10002">
        <v>2</v>
      </c>
      <c r="O10002">
        <v>5</v>
      </c>
      <c r="P10002">
        <v>1</v>
      </c>
      <c r="Q10002">
        <v>0</v>
      </c>
    </row>
    <row r="10003" spans="1:17" x14ac:dyDescent="0.2">
      <c r="A10003" s="121">
        <v>42521</v>
      </c>
      <c r="B10003" t="s">
        <v>406</v>
      </c>
      <c r="C10003" t="s">
        <v>574</v>
      </c>
      <c r="D10003" t="s">
        <v>575</v>
      </c>
      <c r="E10003" t="s">
        <v>576</v>
      </c>
      <c r="F10003" t="s">
        <v>413</v>
      </c>
      <c r="G10003">
        <v>672</v>
      </c>
      <c r="H10003">
        <v>672</v>
      </c>
      <c r="I10003">
        <v>645</v>
      </c>
      <c r="J10003">
        <v>645</v>
      </c>
      <c r="K10003">
        <v>166</v>
      </c>
      <c r="L10003">
        <v>0</v>
      </c>
      <c r="M10003">
        <v>490</v>
      </c>
      <c r="N10003">
        <v>3</v>
      </c>
      <c r="O10003">
        <v>13</v>
      </c>
      <c r="P10003">
        <v>2</v>
      </c>
      <c r="Q10003">
        <v>0</v>
      </c>
    </row>
    <row r="10004" spans="1:17" x14ac:dyDescent="0.2">
      <c r="A10004" s="121">
        <v>42521</v>
      </c>
      <c r="B10004" t="s">
        <v>406</v>
      </c>
      <c r="C10004" t="s">
        <v>577</v>
      </c>
      <c r="D10004" t="s">
        <v>578</v>
      </c>
      <c r="E10004" t="s">
        <v>579</v>
      </c>
      <c r="F10004" t="s">
        <v>413</v>
      </c>
      <c r="G10004">
        <v>4377</v>
      </c>
      <c r="H10004">
        <v>4377</v>
      </c>
      <c r="I10004">
        <v>4291</v>
      </c>
      <c r="J10004">
        <v>4291</v>
      </c>
      <c r="K10004">
        <v>1256</v>
      </c>
      <c r="L10004">
        <v>5</v>
      </c>
      <c r="M10004">
        <v>2842</v>
      </c>
      <c r="N10004">
        <v>273</v>
      </c>
      <c r="O10004">
        <v>1</v>
      </c>
      <c r="P10004">
        <v>1</v>
      </c>
      <c r="Q10004">
        <v>0</v>
      </c>
    </row>
    <row r="10005" spans="1:17" x14ac:dyDescent="0.2">
      <c r="A10005" s="121">
        <v>42521</v>
      </c>
      <c r="B10005" t="s">
        <v>406</v>
      </c>
      <c r="C10005" t="s">
        <v>577</v>
      </c>
      <c r="D10005" t="s">
        <v>580</v>
      </c>
      <c r="E10005" t="s">
        <v>581</v>
      </c>
      <c r="F10005" t="s">
        <v>413</v>
      </c>
      <c r="G10005">
        <v>2325</v>
      </c>
      <c r="H10005">
        <v>2325</v>
      </c>
      <c r="I10005">
        <v>2305</v>
      </c>
      <c r="J10005">
        <v>2305</v>
      </c>
      <c r="K10005">
        <v>393</v>
      </c>
      <c r="L10005">
        <v>4</v>
      </c>
      <c r="M10005">
        <v>1538</v>
      </c>
      <c r="N10005">
        <v>390</v>
      </c>
      <c r="O10005">
        <v>0</v>
      </c>
      <c r="P10005">
        <v>0</v>
      </c>
      <c r="Q10005">
        <v>0</v>
      </c>
    </row>
    <row r="10006" spans="1:17" x14ac:dyDescent="0.2">
      <c r="A10006" s="121">
        <v>42521</v>
      </c>
      <c r="B10006" t="s">
        <v>406</v>
      </c>
      <c r="C10006" t="s">
        <v>577</v>
      </c>
      <c r="D10006" t="s">
        <v>609</v>
      </c>
      <c r="E10006" t="s">
        <v>610</v>
      </c>
      <c r="F10006" t="s">
        <v>410</v>
      </c>
      <c r="G10006">
        <v>44</v>
      </c>
      <c r="H10006">
        <v>44</v>
      </c>
      <c r="I10006">
        <v>44</v>
      </c>
      <c r="J10006">
        <v>44</v>
      </c>
      <c r="K10006">
        <v>0</v>
      </c>
      <c r="L10006">
        <v>0</v>
      </c>
      <c r="M10006">
        <v>41</v>
      </c>
      <c r="N10006">
        <v>3</v>
      </c>
      <c r="O10006">
        <v>0</v>
      </c>
      <c r="P10006">
        <v>0</v>
      </c>
      <c r="Q10006">
        <v>0</v>
      </c>
    </row>
    <row r="10007" spans="1:17" x14ac:dyDescent="0.2">
      <c r="A10007" s="121">
        <v>42521</v>
      </c>
      <c r="B10007" t="s">
        <v>406</v>
      </c>
      <c r="C10007" t="s">
        <v>577</v>
      </c>
      <c r="D10007" t="s">
        <v>584</v>
      </c>
      <c r="E10007" t="s">
        <v>585</v>
      </c>
      <c r="F10007" t="s">
        <v>410</v>
      </c>
      <c r="G10007">
        <v>305</v>
      </c>
      <c r="H10007">
        <v>305</v>
      </c>
      <c r="I10007">
        <v>305</v>
      </c>
      <c r="J10007">
        <v>305</v>
      </c>
      <c r="K10007">
        <v>0</v>
      </c>
      <c r="L10007">
        <v>0</v>
      </c>
      <c r="M10007">
        <v>287</v>
      </c>
      <c r="N10007">
        <v>16</v>
      </c>
      <c r="O10007">
        <v>2</v>
      </c>
      <c r="P10007">
        <v>0</v>
      </c>
      <c r="Q10007">
        <v>0</v>
      </c>
    </row>
    <row r="10008" spans="1:17" x14ac:dyDescent="0.2">
      <c r="A10008" s="121">
        <v>42521</v>
      </c>
      <c r="B10008" t="s">
        <v>406</v>
      </c>
      <c r="C10008" t="s">
        <v>577</v>
      </c>
      <c r="D10008" t="s">
        <v>586</v>
      </c>
      <c r="E10008" t="s">
        <v>587</v>
      </c>
      <c r="F10008" t="s">
        <v>410</v>
      </c>
      <c r="G10008">
        <v>1297</v>
      </c>
      <c r="H10008">
        <v>1297</v>
      </c>
      <c r="I10008">
        <v>1296</v>
      </c>
      <c r="J10008">
        <v>1296</v>
      </c>
      <c r="K10008">
        <v>0</v>
      </c>
      <c r="L10008">
        <v>0</v>
      </c>
      <c r="M10008">
        <v>1176</v>
      </c>
      <c r="N10008">
        <v>116</v>
      </c>
      <c r="O10008">
        <v>5</v>
      </c>
      <c r="P10008">
        <v>0</v>
      </c>
      <c r="Q10008">
        <v>0</v>
      </c>
    </row>
    <row r="10009" spans="1:17" x14ac:dyDescent="0.2">
      <c r="A10009" s="121">
        <v>42521</v>
      </c>
      <c r="B10009" t="s">
        <v>406</v>
      </c>
      <c r="C10009" t="s">
        <v>577</v>
      </c>
      <c r="D10009" t="s">
        <v>588</v>
      </c>
      <c r="E10009" t="s">
        <v>589</v>
      </c>
      <c r="F10009" t="s">
        <v>410</v>
      </c>
      <c r="G10009">
        <v>200</v>
      </c>
      <c r="H10009">
        <v>200</v>
      </c>
      <c r="I10009">
        <v>200</v>
      </c>
      <c r="J10009">
        <v>200</v>
      </c>
      <c r="K10009">
        <v>0</v>
      </c>
      <c r="L10009">
        <v>0</v>
      </c>
      <c r="M10009">
        <v>192</v>
      </c>
      <c r="N10009">
        <v>8</v>
      </c>
      <c r="O10009">
        <v>0</v>
      </c>
      <c r="P10009">
        <v>0</v>
      </c>
      <c r="Q10009">
        <v>0</v>
      </c>
    </row>
    <row r="10010" spans="1:17" x14ac:dyDescent="0.2">
      <c r="A10010" s="121">
        <v>42521</v>
      </c>
      <c r="B10010" t="s">
        <v>406</v>
      </c>
      <c r="C10010" t="s">
        <v>577</v>
      </c>
      <c r="D10010" t="s">
        <v>613</v>
      </c>
      <c r="E10010" t="s">
        <v>614</v>
      </c>
      <c r="F10010" t="s">
        <v>410</v>
      </c>
      <c r="G10010">
        <v>134</v>
      </c>
      <c r="H10010">
        <v>134</v>
      </c>
      <c r="I10010">
        <v>134</v>
      </c>
      <c r="J10010">
        <v>134</v>
      </c>
      <c r="K10010">
        <v>0</v>
      </c>
      <c r="L10010">
        <v>0</v>
      </c>
      <c r="M10010">
        <v>123</v>
      </c>
      <c r="N10010">
        <v>11</v>
      </c>
      <c r="O10010">
        <v>0</v>
      </c>
      <c r="P10010">
        <v>0</v>
      </c>
      <c r="Q10010">
        <v>0</v>
      </c>
    </row>
    <row r="10011" spans="1:17" x14ac:dyDescent="0.2">
      <c r="A10011" s="121">
        <v>42521</v>
      </c>
      <c r="B10011" t="s">
        <v>406</v>
      </c>
      <c r="C10011" t="s">
        <v>577</v>
      </c>
      <c r="D10011" t="s">
        <v>590</v>
      </c>
      <c r="E10011" t="s">
        <v>591</v>
      </c>
      <c r="F10011" t="s">
        <v>410</v>
      </c>
      <c r="G10011">
        <v>588</v>
      </c>
      <c r="H10011">
        <v>588</v>
      </c>
      <c r="I10011">
        <v>588</v>
      </c>
      <c r="J10011">
        <v>588</v>
      </c>
      <c r="K10011">
        <v>0</v>
      </c>
      <c r="L10011">
        <v>0</v>
      </c>
      <c r="M10011">
        <v>553</v>
      </c>
      <c r="N10011">
        <v>34</v>
      </c>
      <c r="O10011">
        <v>1</v>
      </c>
      <c r="P10011">
        <v>0</v>
      </c>
      <c r="Q10011">
        <v>0</v>
      </c>
    </row>
    <row r="10012" spans="1:17" x14ac:dyDescent="0.2">
      <c r="A10012" s="121">
        <v>42521</v>
      </c>
      <c r="B10012" t="s">
        <v>406</v>
      </c>
      <c r="C10012" t="s">
        <v>577</v>
      </c>
      <c r="D10012" t="s">
        <v>607</v>
      </c>
      <c r="E10012" t="s">
        <v>608</v>
      </c>
      <c r="F10012" t="s">
        <v>410</v>
      </c>
      <c r="G10012">
        <v>194</v>
      </c>
      <c r="H10012">
        <v>194</v>
      </c>
      <c r="I10012">
        <v>194</v>
      </c>
      <c r="J10012">
        <v>194</v>
      </c>
      <c r="K10012">
        <v>0</v>
      </c>
      <c r="L10012">
        <v>0</v>
      </c>
      <c r="M10012">
        <v>176</v>
      </c>
      <c r="N10012">
        <v>16</v>
      </c>
      <c r="O10012">
        <v>2</v>
      </c>
      <c r="P10012">
        <v>0</v>
      </c>
      <c r="Q10012">
        <v>0</v>
      </c>
    </row>
    <row r="10013" spans="1:17" x14ac:dyDescent="0.2">
      <c r="A10013" s="121">
        <v>42521</v>
      </c>
      <c r="B10013" t="s">
        <v>406</v>
      </c>
      <c r="C10013" t="s">
        <v>577</v>
      </c>
      <c r="D10013" t="s">
        <v>592</v>
      </c>
      <c r="E10013" t="s">
        <v>593</v>
      </c>
      <c r="F10013" t="s">
        <v>410</v>
      </c>
      <c r="G10013">
        <v>417</v>
      </c>
      <c r="H10013">
        <v>417</v>
      </c>
      <c r="I10013">
        <v>417</v>
      </c>
      <c r="J10013">
        <v>417</v>
      </c>
      <c r="K10013">
        <v>0</v>
      </c>
      <c r="L10013">
        <v>2</v>
      </c>
      <c r="M10013">
        <v>400</v>
      </c>
      <c r="N10013">
        <v>14</v>
      </c>
      <c r="O10013">
        <v>1</v>
      </c>
      <c r="P10013">
        <v>0</v>
      </c>
      <c r="Q10013">
        <v>0</v>
      </c>
    </row>
    <row r="10014" spans="1:17" x14ac:dyDescent="0.2">
      <c r="A10014" s="121">
        <v>42521</v>
      </c>
      <c r="B10014" t="s">
        <v>406</v>
      </c>
      <c r="C10014" t="s">
        <v>594</v>
      </c>
      <c r="D10014" t="s">
        <v>595</v>
      </c>
      <c r="E10014" t="s">
        <v>596</v>
      </c>
      <c r="F10014" t="s">
        <v>410</v>
      </c>
      <c r="G10014">
        <v>40</v>
      </c>
      <c r="I10014">
        <v>40</v>
      </c>
    </row>
    <row r="10015" spans="1:17" x14ac:dyDescent="0.2">
      <c r="A10015" s="121">
        <v>42521</v>
      </c>
      <c r="B10015" t="s">
        <v>406</v>
      </c>
      <c r="C10015" t="s">
        <v>594</v>
      </c>
      <c r="D10015" t="s">
        <v>597</v>
      </c>
      <c r="E10015" t="s">
        <v>598</v>
      </c>
      <c r="F10015" t="s">
        <v>413</v>
      </c>
      <c r="G10015">
        <v>555</v>
      </c>
      <c r="H10015">
        <v>555</v>
      </c>
      <c r="I10015">
        <v>554</v>
      </c>
      <c r="J10015">
        <v>554</v>
      </c>
      <c r="K10015">
        <v>123</v>
      </c>
      <c r="L10015">
        <v>0</v>
      </c>
      <c r="M10015">
        <v>411</v>
      </c>
      <c r="N10015">
        <v>4</v>
      </c>
      <c r="O10015">
        <v>17</v>
      </c>
      <c r="P10015">
        <v>0</v>
      </c>
      <c r="Q10015">
        <v>0</v>
      </c>
    </row>
    <row r="10016" spans="1:17" x14ac:dyDescent="0.2">
      <c r="A10016" s="121">
        <v>42521</v>
      </c>
      <c r="B10016" t="s">
        <v>406</v>
      </c>
      <c r="C10016" t="s">
        <v>594</v>
      </c>
      <c r="D10016" t="s">
        <v>599</v>
      </c>
      <c r="E10016" t="s">
        <v>600</v>
      </c>
      <c r="F10016" t="s">
        <v>410</v>
      </c>
      <c r="G10016">
        <v>120</v>
      </c>
      <c r="I10016">
        <v>120</v>
      </c>
    </row>
    <row r="10017" spans="1:17" x14ac:dyDescent="0.2">
      <c r="A10017" s="121">
        <v>42551</v>
      </c>
      <c r="B10017" t="s">
        <v>406</v>
      </c>
      <c r="C10017" t="s">
        <v>407</v>
      </c>
      <c r="D10017" t="s">
        <v>408</v>
      </c>
      <c r="E10017" t="s">
        <v>409</v>
      </c>
      <c r="F10017" t="s">
        <v>410</v>
      </c>
      <c r="G10017">
        <v>239</v>
      </c>
      <c r="I10017">
        <v>238</v>
      </c>
    </row>
    <row r="10018" spans="1:17" x14ac:dyDescent="0.2">
      <c r="A10018" s="121">
        <v>42551</v>
      </c>
      <c r="B10018" t="s">
        <v>406</v>
      </c>
      <c r="C10018" t="s">
        <v>407</v>
      </c>
      <c r="D10018" t="s">
        <v>601</v>
      </c>
      <c r="E10018" t="s">
        <v>602</v>
      </c>
      <c r="F10018" t="s">
        <v>410</v>
      </c>
      <c r="G10018">
        <v>82</v>
      </c>
      <c r="I10018">
        <v>82</v>
      </c>
    </row>
    <row r="10019" spans="1:17" x14ac:dyDescent="0.2">
      <c r="A10019" s="121">
        <v>42551</v>
      </c>
      <c r="B10019" t="s">
        <v>406</v>
      </c>
      <c r="C10019" t="s">
        <v>407</v>
      </c>
      <c r="D10019" t="s">
        <v>411</v>
      </c>
      <c r="E10019" t="s">
        <v>412</v>
      </c>
      <c r="F10019" t="s">
        <v>413</v>
      </c>
      <c r="G10019">
        <v>5976</v>
      </c>
      <c r="H10019">
        <v>5976</v>
      </c>
      <c r="I10019">
        <v>5790</v>
      </c>
      <c r="J10019">
        <v>5790</v>
      </c>
      <c r="K10019">
        <v>1933</v>
      </c>
      <c r="L10019">
        <v>7</v>
      </c>
      <c r="M10019">
        <v>3631</v>
      </c>
      <c r="N10019">
        <v>117</v>
      </c>
      <c r="O10019">
        <v>288</v>
      </c>
      <c r="P10019">
        <v>7</v>
      </c>
      <c r="Q10019">
        <v>0</v>
      </c>
    </row>
    <row r="10020" spans="1:17" x14ac:dyDescent="0.2">
      <c r="A10020" s="121">
        <v>42551</v>
      </c>
      <c r="B10020" t="s">
        <v>406</v>
      </c>
      <c r="C10020" t="s">
        <v>407</v>
      </c>
      <c r="D10020" t="s">
        <v>416</v>
      </c>
      <c r="E10020" t="s">
        <v>417</v>
      </c>
      <c r="F10020" t="s">
        <v>413</v>
      </c>
      <c r="G10020">
        <v>4072</v>
      </c>
      <c r="H10020">
        <v>4072</v>
      </c>
      <c r="I10020">
        <v>3633</v>
      </c>
      <c r="J10020">
        <v>3633</v>
      </c>
      <c r="K10020">
        <v>1445</v>
      </c>
      <c r="L10020">
        <v>2</v>
      </c>
      <c r="M10020">
        <v>2447</v>
      </c>
      <c r="N10020">
        <v>122</v>
      </c>
      <c r="O10020">
        <v>56</v>
      </c>
      <c r="P10020">
        <v>85</v>
      </c>
      <c r="Q10020">
        <v>21</v>
      </c>
    </row>
    <row r="10021" spans="1:17" x14ac:dyDescent="0.2">
      <c r="A10021" s="121">
        <v>42551</v>
      </c>
      <c r="B10021" t="s">
        <v>406</v>
      </c>
      <c r="C10021" t="s">
        <v>407</v>
      </c>
      <c r="D10021" t="s">
        <v>618</v>
      </c>
      <c r="E10021" t="s">
        <v>619</v>
      </c>
      <c r="F10021" t="s">
        <v>410</v>
      </c>
      <c r="G10021">
        <v>91</v>
      </c>
      <c r="I10021">
        <v>91</v>
      </c>
    </row>
    <row r="10022" spans="1:17" x14ac:dyDescent="0.2">
      <c r="A10022" s="121">
        <v>42551</v>
      </c>
      <c r="B10022" t="s">
        <v>406</v>
      </c>
      <c r="C10022" t="s">
        <v>418</v>
      </c>
      <c r="D10022" t="s">
        <v>419</v>
      </c>
      <c r="E10022" t="s">
        <v>420</v>
      </c>
      <c r="F10022" t="s">
        <v>410</v>
      </c>
      <c r="G10022">
        <v>15</v>
      </c>
      <c r="I10022">
        <v>15</v>
      </c>
    </row>
    <row r="10023" spans="1:17" x14ac:dyDescent="0.2">
      <c r="A10023" s="121">
        <v>42551</v>
      </c>
      <c r="B10023" t="s">
        <v>406</v>
      </c>
      <c r="C10023" t="s">
        <v>418</v>
      </c>
      <c r="D10023" t="s">
        <v>421</v>
      </c>
      <c r="E10023" t="s">
        <v>422</v>
      </c>
      <c r="F10023" t="s">
        <v>410</v>
      </c>
      <c r="G10023">
        <v>94</v>
      </c>
      <c r="I10023">
        <v>94</v>
      </c>
    </row>
    <row r="10024" spans="1:17" x14ac:dyDescent="0.2">
      <c r="A10024" s="121">
        <v>42551</v>
      </c>
      <c r="B10024" t="s">
        <v>406</v>
      </c>
      <c r="C10024" t="s">
        <v>418</v>
      </c>
      <c r="D10024" t="s">
        <v>423</v>
      </c>
      <c r="E10024" t="s">
        <v>424</v>
      </c>
      <c r="F10024" t="s">
        <v>410</v>
      </c>
      <c r="G10024">
        <v>10</v>
      </c>
      <c r="I10024">
        <v>10</v>
      </c>
    </row>
    <row r="10025" spans="1:17" x14ac:dyDescent="0.2">
      <c r="A10025" s="121">
        <v>42551</v>
      </c>
      <c r="B10025" t="s">
        <v>406</v>
      </c>
      <c r="C10025" t="s">
        <v>418</v>
      </c>
      <c r="D10025" t="s">
        <v>425</v>
      </c>
      <c r="E10025" t="s">
        <v>426</v>
      </c>
      <c r="F10025" t="s">
        <v>410</v>
      </c>
      <c r="G10025">
        <v>59</v>
      </c>
      <c r="I10025">
        <v>59</v>
      </c>
    </row>
    <row r="10026" spans="1:17" x14ac:dyDescent="0.2">
      <c r="A10026" s="121">
        <v>42551</v>
      </c>
      <c r="B10026" t="s">
        <v>406</v>
      </c>
      <c r="C10026" t="s">
        <v>418</v>
      </c>
      <c r="D10026" t="s">
        <v>427</v>
      </c>
      <c r="E10026" t="s">
        <v>428</v>
      </c>
      <c r="F10026" t="s">
        <v>413</v>
      </c>
      <c r="G10026">
        <v>2436</v>
      </c>
      <c r="H10026">
        <v>2436</v>
      </c>
      <c r="I10026">
        <v>2362</v>
      </c>
      <c r="J10026">
        <v>2362</v>
      </c>
      <c r="K10026">
        <v>851</v>
      </c>
      <c r="L10026">
        <v>5</v>
      </c>
      <c r="M10026">
        <v>1346</v>
      </c>
      <c r="N10026">
        <v>204</v>
      </c>
      <c r="O10026">
        <v>30</v>
      </c>
      <c r="P10026">
        <v>1</v>
      </c>
      <c r="Q10026">
        <v>0</v>
      </c>
    </row>
    <row r="10027" spans="1:17" x14ac:dyDescent="0.2">
      <c r="A10027" s="121">
        <v>42551</v>
      </c>
      <c r="B10027" t="s">
        <v>406</v>
      </c>
      <c r="C10027" t="s">
        <v>429</v>
      </c>
      <c r="D10027" t="s">
        <v>430</v>
      </c>
      <c r="E10027" t="s">
        <v>431</v>
      </c>
      <c r="F10027" t="s">
        <v>410</v>
      </c>
      <c r="G10027">
        <v>27</v>
      </c>
      <c r="I10027">
        <v>27</v>
      </c>
    </row>
    <row r="10028" spans="1:17" x14ac:dyDescent="0.2">
      <c r="A10028" s="121">
        <v>42551</v>
      </c>
      <c r="B10028" t="s">
        <v>406</v>
      </c>
      <c r="C10028" t="s">
        <v>429</v>
      </c>
      <c r="D10028" t="s">
        <v>432</v>
      </c>
      <c r="E10028" t="s">
        <v>433</v>
      </c>
      <c r="F10028" t="s">
        <v>410</v>
      </c>
      <c r="G10028">
        <v>43</v>
      </c>
      <c r="I10028">
        <v>43</v>
      </c>
    </row>
    <row r="10029" spans="1:17" x14ac:dyDescent="0.2">
      <c r="A10029" s="121">
        <v>42551</v>
      </c>
      <c r="B10029" t="s">
        <v>406</v>
      </c>
      <c r="C10029" t="s">
        <v>429</v>
      </c>
      <c r="D10029" t="s">
        <v>434</v>
      </c>
      <c r="E10029" t="s">
        <v>435</v>
      </c>
      <c r="F10029" t="s">
        <v>410</v>
      </c>
      <c r="G10029">
        <v>6</v>
      </c>
      <c r="I10029">
        <v>6</v>
      </c>
    </row>
    <row r="10030" spans="1:17" x14ac:dyDescent="0.2">
      <c r="A10030" s="121">
        <v>42551</v>
      </c>
      <c r="B10030" t="s">
        <v>406</v>
      </c>
      <c r="C10030" t="s">
        <v>429</v>
      </c>
      <c r="D10030" t="s">
        <v>436</v>
      </c>
      <c r="E10030" t="s">
        <v>437</v>
      </c>
      <c r="F10030" t="s">
        <v>410</v>
      </c>
      <c r="G10030">
        <v>12</v>
      </c>
      <c r="H10030">
        <v>12</v>
      </c>
      <c r="I10030">
        <v>12</v>
      </c>
      <c r="J10030">
        <v>12</v>
      </c>
      <c r="K10030">
        <v>0</v>
      </c>
      <c r="L10030">
        <v>0</v>
      </c>
      <c r="M10030">
        <v>11</v>
      </c>
      <c r="N10030">
        <v>0</v>
      </c>
      <c r="O10030">
        <v>1</v>
      </c>
      <c r="P10030">
        <v>0</v>
      </c>
      <c r="Q10030">
        <v>0</v>
      </c>
    </row>
    <row r="10031" spans="1:17" x14ac:dyDescent="0.2">
      <c r="A10031" s="121">
        <v>42551</v>
      </c>
      <c r="B10031" t="s">
        <v>406</v>
      </c>
      <c r="C10031" t="s">
        <v>429</v>
      </c>
      <c r="D10031" t="s">
        <v>438</v>
      </c>
      <c r="E10031" t="s">
        <v>439</v>
      </c>
      <c r="F10031" t="s">
        <v>413</v>
      </c>
      <c r="G10031">
        <v>1026</v>
      </c>
      <c r="H10031">
        <v>1026</v>
      </c>
      <c r="I10031">
        <v>993</v>
      </c>
      <c r="J10031">
        <v>993</v>
      </c>
      <c r="K10031">
        <v>69</v>
      </c>
      <c r="L10031">
        <v>1</v>
      </c>
      <c r="M10031">
        <v>867</v>
      </c>
      <c r="N10031">
        <v>60</v>
      </c>
      <c r="O10031">
        <v>29</v>
      </c>
      <c r="P10031">
        <v>2</v>
      </c>
      <c r="Q10031">
        <v>0</v>
      </c>
    </row>
    <row r="10032" spans="1:17" x14ac:dyDescent="0.2">
      <c r="A10032" s="121">
        <v>42551</v>
      </c>
      <c r="B10032" t="s">
        <v>406</v>
      </c>
      <c r="C10032" t="s">
        <v>429</v>
      </c>
      <c r="D10032" t="s">
        <v>440</v>
      </c>
      <c r="E10032" t="s">
        <v>441</v>
      </c>
      <c r="F10032" t="s">
        <v>413</v>
      </c>
      <c r="G10032">
        <v>3160</v>
      </c>
      <c r="H10032">
        <v>3160</v>
      </c>
      <c r="I10032">
        <v>3055</v>
      </c>
      <c r="J10032">
        <v>3055</v>
      </c>
      <c r="K10032">
        <v>980</v>
      </c>
      <c r="L10032">
        <v>3</v>
      </c>
      <c r="M10032">
        <v>2028</v>
      </c>
      <c r="N10032">
        <v>87</v>
      </c>
      <c r="O10032">
        <v>62</v>
      </c>
      <c r="P10032">
        <v>1</v>
      </c>
      <c r="Q10032">
        <v>0</v>
      </c>
    </row>
    <row r="10033" spans="1:17" x14ac:dyDescent="0.2">
      <c r="A10033" s="121">
        <v>42551</v>
      </c>
      <c r="B10033" t="s">
        <v>406</v>
      </c>
      <c r="C10033" t="s">
        <v>442</v>
      </c>
      <c r="D10033" t="s">
        <v>443</v>
      </c>
      <c r="E10033" t="s">
        <v>444</v>
      </c>
      <c r="F10033" t="s">
        <v>413</v>
      </c>
      <c r="G10033">
        <v>5370</v>
      </c>
      <c r="H10033">
        <v>5370</v>
      </c>
      <c r="I10033">
        <v>5151</v>
      </c>
      <c r="J10033">
        <v>5151</v>
      </c>
      <c r="K10033">
        <v>1312</v>
      </c>
      <c r="L10033">
        <v>7</v>
      </c>
      <c r="M10033">
        <v>3800</v>
      </c>
      <c r="N10033">
        <v>77</v>
      </c>
      <c r="O10033">
        <v>174</v>
      </c>
      <c r="P10033">
        <v>10</v>
      </c>
      <c r="Q10033">
        <v>0</v>
      </c>
    </row>
    <row r="10034" spans="1:17" x14ac:dyDescent="0.2">
      <c r="A10034" s="121">
        <v>42551</v>
      </c>
      <c r="B10034" t="s">
        <v>406</v>
      </c>
      <c r="C10034" t="s">
        <v>442</v>
      </c>
      <c r="D10034" t="s">
        <v>445</v>
      </c>
      <c r="E10034" t="s">
        <v>446</v>
      </c>
      <c r="F10034" t="s">
        <v>410</v>
      </c>
      <c r="G10034">
        <v>216</v>
      </c>
      <c r="I10034">
        <v>216</v>
      </c>
    </row>
    <row r="10035" spans="1:17" x14ac:dyDescent="0.2">
      <c r="A10035" s="121">
        <v>42551</v>
      </c>
      <c r="B10035" t="s">
        <v>406</v>
      </c>
      <c r="C10035" t="s">
        <v>442</v>
      </c>
      <c r="D10035" t="s">
        <v>447</v>
      </c>
      <c r="E10035" t="s">
        <v>448</v>
      </c>
      <c r="F10035" t="s">
        <v>410</v>
      </c>
      <c r="G10035">
        <v>293</v>
      </c>
      <c r="I10035">
        <v>293</v>
      </c>
    </row>
    <row r="10036" spans="1:17" x14ac:dyDescent="0.2">
      <c r="A10036" s="121">
        <v>42551</v>
      </c>
      <c r="B10036" t="s">
        <v>406</v>
      </c>
      <c r="C10036" t="s">
        <v>442</v>
      </c>
      <c r="D10036" t="s">
        <v>449</v>
      </c>
      <c r="E10036" t="s">
        <v>624</v>
      </c>
      <c r="F10036" t="s">
        <v>410</v>
      </c>
      <c r="G10036">
        <v>1997</v>
      </c>
      <c r="H10036">
        <v>1997</v>
      </c>
      <c r="I10036">
        <v>1994</v>
      </c>
      <c r="J10036">
        <v>1994</v>
      </c>
      <c r="K10036">
        <v>8</v>
      </c>
      <c r="L10036">
        <v>0</v>
      </c>
      <c r="M10036">
        <v>1853</v>
      </c>
      <c r="N10036">
        <v>117</v>
      </c>
      <c r="O10036">
        <v>19</v>
      </c>
      <c r="P10036">
        <v>0</v>
      </c>
      <c r="Q10036">
        <v>0</v>
      </c>
    </row>
    <row r="10037" spans="1:17" x14ac:dyDescent="0.2">
      <c r="A10037" s="121">
        <v>42551</v>
      </c>
      <c r="B10037" t="s">
        <v>406</v>
      </c>
      <c r="C10037" t="s">
        <v>451</v>
      </c>
      <c r="D10037" t="s">
        <v>454</v>
      </c>
      <c r="E10037" t="s">
        <v>621</v>
      </c>
      <c r="F10037" t="s">
        <v>410</v>
      </c>
      <c r="G10037">
        <v>1353</v>
      </c>
      <c r="H10037">
        <v>1353</v>
      </c>
      <c r="I10037">
        <v>1353</v>
      </c>
      <c r="J10037">
        <v>1353</v>
      </c>
      <c r="K10037">
        <v>4</v>
      </c>
      <c r="L10037">
        <v>0</v>
      </c>
      <c r="M10037">
        <v>954</v>
      </c>
      <c r="N10037">
        <v>30</v>
      </c>
      <c r="O10037">
        <v>365</v>
      </c>
      <c r="P10037">
        <v>0</v>
      </c>
      <c r="Q10037">
        <v>0</v>
      </c>
    </row>
    <row r="10038" spans="1:17" x14ac:dyDescent="0.2">
      <c r="A10038" s="121">
        <v>42551</v>
      </c>
      <c r="B10038" t="s">
        <v>406</v>
      </c>
      <c r="C10038" t="s">
        <v>451</v>
      </c>
      <c r="D10038" t="s">
        <v>622</v>
      </c>
      <c r="E10038" t="s">
        <v>623</v>
      </c>
      <c r="F10038" t="s">
        <v>413</v>
      </c>
      <c r="G10038">
        <v>5393</v>
      </c>
      <c r="H10038">
        <v>5393</v>
      </c>
      <c r="I10038">
        <v>5114</v>
      </c>
      <c r="J10038">
        <v>5114</v>
      </c>
      <c r="K10038">
        <v>1289</v>
      </c>
      <c r="L10038">
        <v>5</v>
      </c>
      <c r="M10038">
        <v>3171</v>
      </c>
      <c r="N10038">
        <v>61</v>
      </c>
      <c r="O10038">
        <v>867</v>
      </c>
      <c r="P10038">
        <v>7</v>
      </c>
      <c r="Q10038">
        <v>0</v>
      </c>
    </row>
    <row r="10039" spans="1:17" x14ac:dyDescent="0.2">
      <c r="A10039" s="121">
        <v>42551</v>
      </c>
      <c r="B10039" t="s">
        <v>406</v>
      </c>
      <c r="C10039" t="s">
        <v>456</v>
      </c>
      <c r="D10039" t="s">
        <v>457</v>
      </c>
      <c r="E10039" t="s">
        <v>458</v>
      </c>
      <c r="F10039" t="s">
        <v>413</v>
      </c>
      <c r="G10039">
        <v>4677</v>
      </c>
      <c r="H10039">
        <v>4677</v>
      </c>
      <c r="I10039">
        <v>4435</v>
      </c>
      <c r="J10039">
        <v>4435</v>
      </c>
      <c r="K10039">
        <v>1223</v>
      </c>
      <c r="L10039">
        <v>10</v>
      </c>
      <c r="M10039">
        <v>2991</v>
      </c>
      <c r="N10039">
        <v>30</v>
      </c>
      <c r="O10039">
        <v>423</v>
      </c>
      <c r="P10039">
        <v>4</v>
      </c>
      <c r="Q10039">
        <v>0</v>
      </c>
    </row>
    <row r="10040" spans="1:17" x14ac:dyDescent="0.2">
      <c r="A10040" s="121">
        <v>42551</v>
      </c>
      <c r="B10040" t="s">
        <v>406</v>
      </c>
      <c r="C10040" t="s">
        <v>456</v>
      </c>
      <c r="D10040" t="s">
        <v>459</v>
      </c>
      <c r="E10040" t="s">
        <v>460</v>
      </c>
      <c r="F10040" t="s">
        <v>413</v>
      </c>
      <c r="G10040">
        <v>1509</v>
      </c>
      <c r="H10040">
        <v>1509</v>
      </c>
      <c r="I10040">
        <v>1487</v>
      </c>
      <c r="J10040">
        <v>1487</v>
      </c>
      <c r="K10040">
        <v>146</v>
      </c>
      <c r="L10040">
        <v>0</v>
      </c>
      <c r="M10040">
        <v>1311</v>
      </c>
      <c r="N10040">
        <v>0</v>
      </c>
      <c r="O10040">
        <v>52</v>
      </c>
      <c r="P10040">
        <v>0</v>
      </c>
      <c r="Q10040">
        <v>0</v>
      </c>
    </row>
    <row r="10041" spans="1:17" x14ac:dyDescent="0.2">
      <c r="A10041" s="121">
        <v>42551</v>
      </c>
      <c r="B10041" t="s">
        <v>406</v>
      </c>
      <c r="C10041" t="s">
        <v>456</v>
      </c>
      <c r="D10041" t="s">
        <v>461</v>
      </c>
      <c r="E10041" t="s">
        <v>462</v>
      </c>
      <c r="F10041" t="s">
        <v>410</v>
      </c>
      <c r="G10041">
        <v>78</v>
      </c>
      <c r="I10041">
        <v>78</v>
      </c>
    </row>
    <row r="10042" spans="1:17" x14ac:dyDescent="0.2">
      <c r="A10042" s="121">
        <v>42551</v>
      </c>
      <c r="B10042" t="s">
        <v>406</v>
      </c>
      <c r="C10042" t="s">
        <v>456</v>
      </c>
      <c r="D10042" t="s">
        <v>463</v>
      </c>
      <c r="E10042" t="s">
        <v>464</v>
      </c>
      <c r="F10042" t="s">
        <v>410</v>
      </c>
      <c r="G10042">
        <v>13</v>
      </c>
      <c r="I10042">
        <v>13</v>
      </c>
    </row>
    <row r="10043" spans="1:17" x14ac:dyDescent="0.2">
      <c r="A10043" s="121">
        <v>42551</v>
      </c>
      <c r="B10043" t="s">
        <v>406</v>
      </c>
      <c r="C10043" t="s">
        <v>456</v>
      </c>
      <c r="D10043" t="s">
        <v>465</v>
      </c>
      <c r="E10043" t="s">
        <v>466</v>
      </c>
      <c r="F10043" t="s">
        <v>410</v>
      </c>
      <c r="G10043">
        <v>38</v>
      </c>
      <c r="I10043">
        <v>38</v>
      </c>
    </row>
    <row r="10044" spans="1:17" x14ac:dyDescent="0.2">
      <c r="A10044" s="121">
        <v>42551</v>
      </c>
      <c r="B10044" t="s">
        <v>406</v>
      </c>
      <c r="C10044" t="s">
        <v>456</v>
      </c>
      <c r="D10044" t="s">
        <v>467</v>
      </c>
      <c r="E10044" t="s">
        <v>468</v>
      </c>
      <c r="F10044" t="s">
        <v>410</v>
      </c>
      <c r="G10044">
        <v>1395</v>
      </c>
      <c r="I10044">
        <v>1392</v>
      </c>
    </row>
    <row r="10045" spans="1:17" x14ac:dyDescent="0.2">
      <c r="A10045" s="121">
        <v>42551</v>
      </c>
      <c r="B10045" t="s">
        <v>406</v>
      </c>
      <c r="C10045" t="s">
        <v>456</v>
      </c>
      <c r="D10045" t="s">
        <v>469</v>
      </c>
      <c r="E10045" t="s">
        <v>470</v>
      </c>
      <c r="F10045" t="s">
        <v>410</v>
      </c>
      <c r="G10045">
        <v>713</v>
      </c>
      <c r="I10045">
        <v>709</v>
      </c>
    </row>
    <row r="10046" spans="1:17" x14ac:dyDescent="0.2">
      <c r="A10046" s="121">
        <v>42551</v>
      </c>
      <c r="B10046" t="s">
        <v>406</v>
      </c>
      <c r="C10046" t="s">
        <v>456</v>
      </c>
      <c r="D10046" t="s">
        <v>471</v>
      </c>
      <c r="E10046" t="s">
        <v>472</v>
      </c>
      <c r="F10046" t="s">
        <v>410</v>
      </c>
      <c r="G10046">
        <v>294</v>
      </c>
      <c r="I10046">
        <v>291</v>
      </c>
    </row>
    <row r="10047" spans="1:17" x14ac:dyDescent="0.2">
      <c r="A10047" s="121">
        <v>42551</v>
      </c>
      <c r="B10047" t="s">
        <v>406</v>
      </c>
      <c r="C10047" t="s">
        <v>456</v>
      </c>
      <c r="D10047" t="s">
        <v>473</v>
      </c>
      <c r="E10047" t="s">
        <v>474</v>
      </c>
      <c r="F10047" t="s">
        <v>410</v>
      </c>
      <c r="G10047">
        <v>216</v>
      </c>
      <c r="I10047">
        <v>216</v>
      </c>
    </row>
    <row r="10048" spans="1:17" x14ac:dyDescent="0.2">
      <c r="A10048" s="121">
        <v>42551</v>
      </c>
      <c r="B10048" t="s">
        <v>406</v>
      </c>
      <c r="C10048" t="s">
        <v>456</v>
      </c>
      <c r="D10048" t="s">
        <v>475</v>
      </c>
      <c r="E10048" t="s">
        <v>476</v>
      </c>
      <c r="F10048" t="s">
        <v>410</v>
      </c>
      <c r="G10048">
        <v>304</v>
      </c>
      <c r="I10048">
        <v>300</v>
      </c>
    </row>
    <row r="10049" spans="1:17" x14ac:dyDescent="0.2">
      <c r="A10049" s="121">
        <v>42551</v>
      </c>
      <c r="B10049" t="s">
        <v>406</v>
      </c>
      <c r="C10049" t="s">
        <v>456</v>
      </c>
      <c r="D10049" t="s">
        <v>477</v>
      </c>
      <c r="E10049" t="s">
        <v>478</v>
      </c>
      <c r="F10049" t="s">
        <v>413</v>
      </c>
      <c r="G10049">
        <v>2015</v>
      </c>
      <c r="H10049">
        <v>2015</v>
      </c>
      <c r="I10049">
        <v>1972</v>
      </c>
      <c r="J10049">
        <v>1972</v>
      </c>
      <c r="K10049">
        <v>346</v>
      </c>
      <c r="L10049">
        <v>3</v>
      </c>
      <c r="M10049">
        <v>1614</v>
      </c>
      <c r="N10049">
        <v>14</v>
      </c>
      <c r="O10049">
        <v>38</v>
      </c>
      <c r="P10049">
        <v>0</v>
      </c>
      <c r="Q10049">
        <v>0</v>
      </c>
    </row>
    <row r="10050" spans="1:17" x14ac:dyDescent="0.2">
      <c r="A10050" s="121">
        <v>42551</v>
      </c>
      <c r="B10050" t="s">
        <v>406</v>
      </c>
      <c r="C10050" t="s">
        <v>456</v>
      </c>
      <c r="D10050" t="s">
        <v>479</v>
      </c>
      <c r="E10050" t="s">
        <v>480</v>
      </c>
      <c r="F10050" t="s">
        <v>410</v>
      </c>
      <c r="G10050">
        <v>64</v>
      </c>
      <c r="I10050">
        <v>64</v>
      </c>
    </row>
    <row r="10051" spans="1:17" x14ac:dyDescent="0.2">
      <c r="A10051" s="121">
        <v>42551</v>
      </c>
      <c r="B10051" t="s">
        <v>406</v>
      </c>
      <c r="C10051" t="s">
        <v>456</v>
      </c>
      <c r="D10051" t="s">
        <v>481</v>
      </c>
      <c r="E10051" t="s">
        <v>482</v>
      </c>
      <c r="F10051" t="s">
        <v>410</v>
      </c>
      <c r="G10051">
        <v>13</v>
      </c>
      <c r="I10051">
        <v>13</v>
      </c>
    </row>
    <row r="10052" spans="1:17" x14ac:dyDescent="0.2">
      <c r="A10052" s="121">
        <v>42551</v>
      </c>
      <c r="B10052" t="s">
        <v>406</v>
      </c>
      <c r="C10052" t="s">
        <v>456</v>
      </c>
      <c r="D10052" t="s">
        <v>483</v>
      </c>
      <c r="E10052" t="s">
        <v>484</v>
      </c>
      <c r="F10052" t="s">
        <v>410</v>
      </c>
      <c r="G10052">
        <v>100</v>
      </c>
      <c r="I10052">
        <v>100</v>
      </c>
    </row>
    <row r="10053" spans="1:17" x14ac:dyDescent="0.2">
      <c r="A10053" s="121">
        <v>42551</v>
      </c>
      <c r="B10053" t="s">
        <v>406</v>
      </c>
      <c r="C10053" t="s">
        <v>456</v>
      </c>
      <c r="D10053" t="s">
        <v>487</v>
      </c>
      <c r="E10053" t="s">
        <v>488</v>
      </c>
      <c r="F10053" t="s">
        <v>410</v>
      </c>
      <c r="G10053">
        <v>31</v>
      </c>
      <c r="I10053">
        <v>31</v>
      </c>
    </row>
    <row r="10054" spans="1:17" x14ac:dyDescent="0.2">
      <c r="A10054" s="121">
        <v>42551</v>
      </c>
      <c r="B10054" t="s">
        <v>406</v>
      </c>
      <c r="C10054" t="s">
        <v>456</v>
      </c>
      <c r="D10054" t="s">
        <v>489</v>
      </c>
      <c r="E10054" t="s">
        <v>490</v>
      </c>
      <c r="F10054" t="s">
        <v>410</v>
      </c>
      <c r="G10054">
        <v>141</v>
      </c>
      <c r="I10054">
        <v>141</v>
      </c>
    </row>
    <row r="10055" spans="1:17" x14ac:dyDescent="0.2">
      <c r="A10055" s="121">
        <v>42551</v>
      </c>
      <c r="B10055" t="s">
        <v>406</v>
      </c>
      <c r="C10055" t="s">
        <v>456</v>
      </c>
      <c r="D10055" t="s">
        <v>628</v>
      </c>
      <c r="E10055" t="s">
        <v>629</v>
      </c>
      <c r="F10055" t="s">
        <v>410</v>
      </c>
      <c r="G10055">
        <v>47</v>
      </c>
      <c r="I10055">
        <v>47</v>
      </c>
    </row>
    <row r="10056" spans="1:17" x14ac:dyDescent="0.2">
      <c r="A10056" s="121">
        <v>42551</v>
      </c>
      <c r="B10056" t="s">
        <v>406</v>
      </c>
      <c r="C10056" t="s">
        <v>491</v>
      </c>
      <c r="D10056" t="s">
        <v>492</v>
      </c>
      <c r="E10056" t="s">
        <v>493</v>
      </c>
      <c r="F10056" t="s">
        <v>410</v>
      </c>
      <c r="G10056">
        <v>1476</v>
      </c>
      <c r="H10056">
        <v>1476</v>
      </c>
      <c r="I10056">
        <v>1435</v>
      </c>
      <c r="J10056">
        <v>1435</v>
      </c>
      <c r="K10056">
        <v>195</v>
      </c>
      <c r="L10056">
        <v>1</v>
      </c>
      <c r="M10056">
        <v>1203</v>
      </c>
      <c r="N10056">
        <v>67</v>
      </c>
      <c r="O10056">
        <v>10</v>
      </c>
      <c r="P10056">
        <v>1</v>
      </c>
      <c r="Q10056">
        <v>0</v>
      </c>
    </row>
    <row r="10057" spans="1:17" x14ac:dyDescent="0.2">
      <c r="A10057" s="121">
        <v>42551</v>
      </c>
      <c r="B10057" t="s">
        <v>406</v>
      </c>
      <c r="C10057" t="s">
        <v>491</v>
      </c>
      <c r="D10057" t="s">
        <v>494</v>
      </c>
      <c r="E10057" t="s">
        <v>495</v>
      </c>
      <c r="F10057" t="s">
        <v>413</v>
      </c>
      <c r="G10057">
        <v>2737</v>
      </c>
      <c r="H10057">
        <v>2737</v>
      </c>
      <c r="I10057">
        <v>2682</v>
      </c>
      <c r="J10057">
        <v>2682</v>
      </c>
      <c r="K10057">
        <v>622</v>
      </c>
      <c r="L10057">
        <v>4</v>
      </c>
      <c r="M10057">
        <v>1915</v>
      </c>
      <c r="N10057">
        <v>38</v>
      </c>
      <c r="O10057">
        <v>158</v>
      </c>
      <c r="P10057">
        <v>1</v>
      </c>
      <c r="Q10057">
        <v>0</v>
      </c>
    </row>
    <row r="10058" spans="1:17" x14ac:dyDescent="0.2">
      <c r="A10058" s="121">
        <v>42551</v>
      </c>
      <c r="B10058" t="s">
        <v>406</v>
      </c>
      <c r="C10058" t="s">
        <v>491</v>
      </c>
      <c r="D10058" t="s">
        <v>496</v>
      </c>
      <c r="E10058" t="s">
        <v>497</v>
      </c>
      <c r="F10058" t="s">
        <v>413</v>
      </c>
      <c r="G10058">
        <v>6051</v>
      </c>
      <c r="H10058">
        <v>6051</v>
      </c>
      <c r="I10058">
        <v>5570</v>
      </c>
      <c r="J10058">
        <v>5570</v>
      </c>
      <c r="K10058">
        <v>1840</v>
      </c>
      <c r="L10058">
        <v>18</v>
      </c>
      <c r="M10058">
        <v>3933</v>
      </c>
      <c r="N10058">
        <v>124</v>
      </c>
      <c r="O10058">
        <v>136</v>
      </c>
      <c r="P10058">
        <v>30</v>
      </c>
      <c r="Q10058">
        <v>0</v>
      </c>
    </row>
    <row r="10059" spans="1:17" x14ac:dyDescent="0.2">
      <c r="A10059" s="121">
        <v>42551</v>
      </c>
      <c r="B10059" t="s">
        <v>406</v>
      </c>
      <c r="C10059" t="s">
        <v>491</v>
      </c>
      <c r="D10059" t="s">
        <v>498</v>
      </c>
      <c r="E10059" t="s">
        <v>499</v>
      </c>
      <c r="F10059" t="s">
        <v>413</v>
      </c>
      <c r="G10059">
        <v>7563</v>
      </c>
      <c r="H10059">
        <v>7563</v>
      </c>
      <c r="I10059">
        <v>6790</v>
      </c>
      <c r="J10059">
        <v>6790</v>
      </c>
      <c r="K10059">
        <v>2364</v>
      </c>
      <c r="L10059">
        <v>12</v>
      </c>
      <c r="M10059">
        <v>4813</v>
      </c>
      <c r="N10059">
        <v>119</v>
      </c>
      <c r="O10059">
        <v>255</v>
      </c>
      <c r="P10059">
        <v>11</v>
      </c>
      <c r="Q10059">
        <v>0</v>
      </c>
    </row>
    <row r="10060" spans="1:17" x14ac:dyDescent="0.2">
      <c r="A10060" s="121">
        <v>42551</v>
      </c>
      <c r="B10060" t="s">
        <v>406</v>
      </c>
      <c r="C10060" t="s">
        <v>491</v>
      </c>
      <c r="D10060" t="s">
        <v>500</v>
      </c>
      <c r="E10060" t="s">
        <v>620</v>
      </c>
      <c r="F10060" t="s">
        <v>410</v>
      </c>
      <c r="G10060">
        <v>1730</v>
      </c>
      <c r="H10060">
        <v>1730</v>
      </c>
      <c r="I10060">
        <v>1728</v>
      </c>
      <c r="J10060">
        <v>1728</v>
      </c>
      <c r="K10060">
        <v>0</v>
      </c>
      <c r="L10060">
        <v>0</v>
      </c>
      <c r="M10060">
        <v>1563</v>
      </c>
      <c r="N10060">
        <v>122</v>
      </c>
      <c r="O10060">
        <v>45</v>
      </c>
      <c r="P10060">
        <v>0</v>
      </c>
      <c r="Q10060">
        <v>0</v>
      </c>
    </row>
    <row r="10061" spans="1:17" x14ac:dyDescent="0.2">
      <c r="A10061" s="121">
        <v>42551</v>
      </c>
      <c r="B10061" t="s">
        <v>406</v>
      </c>
      <c r="C10061" t="s">
        <v>491</v>
      </c>
      <c r="D10061" t="s">
        <v>502</v>
      </c>
      <c r="E10061" t="s">
        <v>615</v>
      </c>
      <c r="F10061" t="s">
        <v>410</v>
      </c>
      <c r="G10061">
        <v>2822</v>
      </c>
      <c r="H10061">
        <v>2822</v>
      </c>
      <c r="I10061">
        <v>2821</v>
      </c>
      <c r="J10061">
        <v>2821</v>
      </c>
      <c r="K10061">
        <v>1</v>
      </c>
      <c r="L10061">
        <v>0</v>
      </c>
      <c r="M10061">
        <v>2570</v>
      </c>
      <c r="N10061">
        <v>222</v>
      </c>
      <c r="O10061">
        <v>29</v>
      </c>
      <c r="P10061">
        <v>0</v>
      </c>
      <c r="Q10061">
        <v>0</v>
      </c>
    </row>
    <row r="10062" spans="1:17" x14ac:dyDescent="0.2">
      <c r="A10062" s="121">
        <v>42551</v>
      </c>
      <c r="B10062" t="s">
        <v>406</v>
      </c>
      <c r="C10062" t="s">
        <v>491</v>
      </c>
      <c r="D10062" t="s">
        <v>504</v>
      </c>
      <c r="E10062" t="s">
        <v>630</v>
      </c>
      <c r="F10062" t="s">
        <v>413</v>
      </c>
      <c r="G10062">
        <v>7888</v>
      </c>
      <c r="H10062">
        <v>7888</v>
      </c>
      <c r="I10062">
        <v>7228</v>
      </c>
      <c r="J10062">
        <v>7228</v>
      </c>
      <c r="K10062">
        <v>2332</v>
      </c>
      <c r="L10062">
        <v>18</v>
      </c>
      <c r="M10062">
        <v>5208</v>
      </c>
      <c r="N10062">
        <v>107</v>
      </c>
      <c r="O10062">
        <v>223</v>
      </c>
      <c r="P10062">
        <v>19</v>
      </c>
      <c r="Q10062">
        <v>0</v>
      </c>
    </row>
    <row r="10063" spans="1:17" x14ac:dyDescent="0.2">
      <c r="A10063" s="121">
        <v>42551</v>
      </c>
      <c r="B10063" t="s">
        <v>406</v>
      </c>
      <c r="C10063" t="s">
        <v>491</v>
      </c>
      <c r="D10063" t="s">
        <v>506</v>
      </c>
      <c r="E10063" t="s">
        <v>507</v>
      </c>
      <c r="F10063" t="s">
        <v>413</v>
      </c>
      <c r="G10063">
        <v>4491</v>
      </c>
      <c r="H10063">
        <v>4491</v>
      </c>
      <c r="I10063">
        <v>4476</v>
      </c>
      <c r="J10063">
        <v>4476</v>
      </c>
      <c r="K10063">
        <v>682</v>
      </c>
      <c r="L10063">
        <v>1</v>
      </c>
      <c r="M10063">
        <v>3798</v>
      </c>
      <c r="N10063">
        <v>4</v>
      </c>
      <c r="O10063">
        <v>6</v>
      </c>
      <c r="P10063">
        <v>0</v>
      </c>
      <c r="Q10063">
        <v>0</v>
      </c>
    </row>
    <row r="10064" spans="1:17" x14ac:dyDescent="0.2">
      <c r="A10064" s="121">
        <v>42551</v>
      </c>
      <c r="B10064" t="s">
        <v>406</v>
      </c>
      <c r="C10064" t="s">
        <v>491</v>
      </c>
      <c r="D10064" t="s">
        <v>508</v>
      </c>
      <c r="E10064" t="s">
        <v>631</v>
      </c>
      <c r="F10064" t="s">
        <v>410</v>
      </c>
      <c r="G10064">
        <v>985</v>
      </c>
      <c r="H10064">
        <v>985</v>
      </c>
      <c r="I10064">
        <v>985</v>
      </c>
      <c r="J10064">
        <v>985</v>
      </c>
      <c r="K10064">
        <v>1</v>
      </c>
      <c r="L10064">
        <v>0</v>
      </c>
      <c r="M10064">
        <v>918</v>
      </c>
      <c r="N10064">
        <v>65</v>
      </c>
      <c r="O10064">
        <v>1</v>
      </c>
      <c r="P10064">
        <v>0</v>
      </c>
      <c r="Q10064">
        <v>0</v>
      </c>
    </row>
    <row r="10065" spans="1:17" x14ac:dyDescent="0.2">
      <c r="A10065" s="121">
        <v>42551</v>
      </c>
      <c r="B10065" t="s">
        <v>406</v>
      </c>
      <c r="C10065" t="s">
        <v>510</v>
      </c>
      <c r="D10065" t="s">
        <v>513</v>
      </c>
      <c r="E10065" t="s">
        <v>514</v>
      </c>
      <c r="F10065" t="s">
        <v>410</v>
      </c>
      <c r="G10065">
        <v>619</v>
      </c>
      <c r="I10065">
        <v>619</v>
      </c>
    </row>
    <row r="10066" spans="1:17" x14ac:dyDescent="0.2">
      <c r="A10066" s="121">
        <v>42551</v>
      </c>
      <c r="B10066" t="s">
        <v>406</v>
      </c>
      <c r="C10066" t="s">
        <v>510</v>
      </c>
      <c r="D10066" t="s">
        <v>515</v>
      </c>
      <c r="E10066" t="s">
        <v>516</v>
      </c>
      <c r="F10066" t="s">
        <v>410</v>
      </c>
      <c r="G10066">
        <v>119</v>
      </c>
      <c r="I10066">
        <v>119</v>
      </c>
    </row>
    <row r="10067" spans="1:17" x14ac:dyDescent="0.2">
      <c r="A10067" s="121">
        <v>42551</v>
      </c>
      <c r="B10067" t="s">
        <v>406</v>
      </c>
      <c r="C10067" t="s">
        <v>510</v>
      </c>
      <c r="D10067" t="s">
        <v>519</v>
      </c>
      <c r="E10067" t="s">
        <v>520</v>
      </c>
      <c r="F10067" t="s">
        <v>410</v>
      </c>
      <c r="G10067">
        <v>425</v>
      </c>
      <c r="I10067">
        <v>422</v>
      </c>
    </row>
    <row r="10068" spans="1:17" x14ac:dyDescent="0.2">
      <c r="A10068" s="121">
        <v>42551</v>
      </c>
      <c r="B10068" t="s">
        <v>406</v>
      </c>
      <c r="C10068" t="s">
        <v>510</v>
      </c>
      <c r="D10068" t="s">
        <v>523</v>
      </c>
      <c r="E10068" t="s">
        <v>524</v>
      </c>
      <c r="F10068" t="s">
        <v>413</v>
      </c>
      <c r="G10068">
        <v>767</v>
      </c>
      <c r="H10068">
        <v>767</v>
      </c>
      <c r="I10068">
        <v>754</v>
      </c>
      <c r="J10068">
        <v>754</v>
      </c>
      <c r="K10068">
        <v>184</v>
      </c>
      <c r="L10068">
        <v>1</v>
      </c>
      <c r="M10068">
        <v>565</v>
      </c>
      <c r="N10068">
        <v>17</v>
      </c>
      <c r="O10068">
        <v>0</v>
      </c>
      <c r="P10068">
        <v>1</v>
      </c>
      <c r="Q10068">
        <v>0</v>
      </c>
    </row>
    <row r="10069" spans="1:17" x14ac:dyDescent="0.2">
      <c r="A10069" s="121">
        <v>42551</v>
      </c>
      <c r="B10069" t="s">
        <v>406</v>
      </c>
      <c r="C10069" t="s">
        <v>510</v>
      </c>
      <c r="D10069" t="s">
        <v>525</v>
      </c>
      <c r="E10069" t="s">
        <v>526</v>
      </c>
      <c r="F10069" t="s">
        <v>410</v>
      </c>
      <c r="G10069">
        <v>556</v>
      </c>
      <c r="I10069">
        <v>556</v>
      </c>
    </row>
    <row r="10070" spans="1:17" x14ac:dyDescent="0.2">
      <c r="A10070" s="121">
        <v>42551</v>
      </c>
      <c r="B10070" t="s">
        <v>406</v>
      </c>
      <c r="C10070" t="s">
        <v>510</v>
      </c>
      <c r="D10070" t="s">
        <v>527</v>
      </c>
      <c r="E10070" t="s">
        <v>528</v>
      </c>
      <c r="F10070" t="s">
        <v>410</v>
      </c>
      <c r="G10070">
        <v>217</v>
      </c>
      <c r="I10070">
        <v>214</v>
      </c>
    </row>
    <row r="10071" spans="1:17" x14ac:dyDescent="0.2">
      <c r="A10071" s="121">
        <v>42551</v>
      </c>
      <c r="B10071" t="s">
        <v>406</v>
      </c>
      <c r="C10071" t="s">
        <v>510</v>
      </c>
      <c r="D10071" t="s">
        <v>529</v>
      </c>
      <c r="E10071" t="s">
        <v>530</v>
      </c>
      <c r="F10071" t="s">
        <v>413</v>
      </c>
      <c r="G10071">
        <v>611</v>
      </c>
      <c r="H10071">
        <v>611</v>
      </c>
      <c r="I10071">
        <v>567</v>
      </c>
      <c r="J10071">
        <v>567</v>
      </c>
      <c r="K10071">
        <v>166</v>
      </c>
      <c r="L10071">
        <v>0</v>
      </c>
      <c r="M10071">
        <v>443</v>
      </c>
      <c r="N10071">
        <v>2</v>
      </c>
      <c r="O10071">
        <v>0</v>
      </c>
      <c r="P10071">
        <v>1</v>
      </c>
      <c r="Q10071">
        <v>1</v>
      </c>
    </row>
    <row r="10072" spans="1:17" x14ac:dyDescent="0.2">
      <c r="A10072" s="121">
        <v>42551</v>
      </c>
      <c r="B10072" t="s">
        <v>406</v>
      </c>
      <c r="C10072" t="s">
        <v>510</v>
      </c>
      <c r="D10072" t="s">
        <v>531</v>
      </c>
      <c r="E10072" t="s">
        <v>532</v>
      </c>
      <c r="F10072" t="s">
        <v>410</v>
      </c>
      <c r="G10072">
        <v>25</v>
      </c>
      <c r="I10072">
        <v>25</v>
      </c>
    </row>
    <row r="10073" spans="1:17" x14ac:dyDescent="0.2">
      <c r="A10073" s="121">
        <v>42551</v>
      </c>
      <c r="B10073" t="s">
        <v>406</v>
      </c>
      <c r="C10073" t="s">
        <v>510</v>
      </c>
      <c r="D10073" t="s">
        <v>533</v>
      </c>
      <c r="E10073" t="s">
        <v>534</v>
      </c>
      <c r="F10073" t="s">
        <v>413</v>
      </c>
      <c r="G10073">
        <v>2820</v>
      </c>
      <c r="H10073">
        <v>2820</v>
      </c>
      <c r="I10073">
        <v>2716</v>
      </c>
      <c r="J10073">
        <v>2716</v>
      </c>
      <c r="K10073">
        <v>641</v>
      </c>
      <c r="L10073">
        <v>5</v>
      </c>
      <c r="M10073">
        <v>2162</v>
      </c>
      <c r="N10073">
        <v>12</v>
      </c>
      <c r="O10073">
        <v>0</v>
      </c>
      <c r="P10073">
        <v>0</v>
      </c>
      <c r="Q10073">
        <v>0</v>
      </c>
    </row>
    <row r="10074" spans="1:17" x14ac:dyDescent="0.2">
      <c r="A10074" s="121">
        <v>42551</v>
      </c>
      <c r="B10074" t="s">
        <v>406</v>
      </c>
      <c r="C10074" t="s">
        <v>510</v>
      </c>
      <c r="D10074" t="s">
        <v>535</v>
      </c>
      <c r="E10074" t="s">
        <v>536</v>
      </c>
      <c r="F10074" t="s">
        <v>410</v>
      </c>
      <c r="G10074">
        <v>382</v>
      </c>
      <c r="I10074">
        <v>382</v>
      </c>
    </row>
    <row r="10075" spans="1:17" x14ac:dyDescent="0.2">
      <c r="A10075" s="121">
        <v>42551</v>
      </c>
      <c r="B10075" t="s">
        <v>406</v>
      </c>
      <c r="C10075" t="s">
        <v>510</v>
      </c>
      <c r="D10075" t="s">
        <v>537</v>
      </c>
      <c r="E10075" t="s">
        <v>538</v>
      </c>
      <c r="F10075" t="s">
        <v>410</v>
      </c>
      <c r="G10075">
        <v>92</v>
      </c>
      <c r="I10075">
        <v>92</v>
      </c>
    </row>
    <row r="10076" spans="1:17" x14ac:dyDescent="0.2">
      <c r="A10076" s="121">
        <v>42551</v>
      </c>
      <c r="B10076" t="s">
        <v>406</v>
      </c>
      <c r="C10076" t="s">
        <v>510</v>
      </c>
      <c r="D10076" t="s">
        <v>539</v>
      </c>
      <c r="E10076" t="s">
        <v>540</v>
      </c>
      <c r="F10076" t="s">
        <v>413</v>
      </c>
      <c r="G10076">
        <v>958</v>
      </c>
      <c r="H10076">
        <v>958</v>
      </c>
      <c r="I10076">
        <v>923</v>
      </c>
      <c r="J10076">
        <v>923</v>
      </c>
      <c r="K10076">
        <v>151</v>
      </c>
      <c r="L10076">
        <v>0</v>
      </c>
      <c r="M10076">
        <v>801</v>
      </c>
      <c r="N10076">
        <v>6</v>
      </c>
      <c r="O10076">
        <v>0</v>
      </c>
      <c r="P10076">
        <v>3</v>
      </c>
      <c r="Q10076">
        <v>0</v>
      </c>
    </row>
    <row r="10077" spans="1:17" x14ac:dyDescent="0.2">
      <c r="A10077" s="121">
        <v>42551</v>
      </c>
      <c r="B10077" t="s">
        <v>406</v>
      </c>
      <c r="C10077" t="s">
        <v>510</v>
      </c>
      <c r="D10077" t="s">
        <v>541</v>
      </c>
      <c r="E10077" t="s">
        <v>542</v>
      </c>
      <c r="F10077" t="s">
        <v>410</v>
      </c>
      <c r="G10077">
        <v>504</v>
      </c>
      <c r="I10077">
        <v>504</v>
      </c>
    </row>
    <row r="10078" spans="1:17" x14ac:dyDescent="0.2">
      <c r="A10078" s="121">
        <v>42551</v>
      </c>
      <c r="B10078" t="s">
        <v>406</v>
      </c>
      <c r="C10078" t="s">
        <v>510</v>
      </c>
      <c r="D10078" t="s">
        <v>543</v>
      </c>
      <c r="E10078" t="s">
        <v>544</v>
      </c>
      <c r="F10078" t="s">
        <v>410</v>
      </c>
      <c r="G10078">
        <v>272</v>
      </c>
      <c r="I10078">
        <v>272</v>
      </c>
    </row>
    <row r="10079" spans="1:17" x14ac:dyDescent="0.2">
      <c r="A10079" s="121">
        <v>42551</v>
      </c>
      <c r="B10079" t="s">
        <v>406</v>
      </c>
      <c r="C10079" t="s">
        <v>510</v>
      </c>
      <c r="D10079" t="s">
        <v>545</v>
      </c>
      <c r="E10079" t="s">
        <v>546</v>
      </c>
      <c r="F10079" t="s">
        <v>410</v>
      </c>
      <c r="G10079">
        <v>173</v>
      </c>
      <c r="I10079">
        <v>173</v>
      </c>
    </row>
    <row r="10080" spans="1:17" x14ac:dyDescent="0.2">
      <c r="A10080" s="121">
        <v>42551</v>
      </c>
      <c r="B10080" t="s">
        <v>406</v>
      </c>
      <c r="C10080" t="s">
        <v>510</v>
      </c>
      <c r="D10080" t="s">
        <v>547</v>
      </c>
      <c r="E10080" t="s">
        <v>548</v>
      </c>
      <c r="F10080" t="s">
        <v>410</v>
      </c>
      <c r="G10080">
        <v>232</v>
      </c>
      <c r="I10080">
        <v>232</v>
      </c>
    </row>
    <row r="10081" spans="1:17" x14ac:dyDescent="0.2">
      <c r="A10081" s="121">
        <v>42551</v>
      </c>
      <c r="B10081" t="s">
        <v>406</v>
      </c>
      <c r="C10081" t="s">
        <v>510</v>
      </c>
      <c r="D10081" t="s">
        <v>616</v>
      </c>
      <c r="E10081" t="s">
        <v>617</v>
      </c>
      <c r="F10081" t="s">
        <v>410</v>
      </c>
      <c r="G10081">
        <v>365</v>
      </c>
      <c r="I10081">
        <v>362</v>
      </c>
    </row>
    <row r="10082" spans="1:17" x14ac:dyDescent="0.2">
      <c r="A10082" s="121">
        <v>42551</v>
      </c>
      <c r="B10082" t="s">
        <v>406</v>
      </c>
      <c r="C10082" t="s">
        <v>510</v>
      </c>
      <c r="D10082" t="s">
        <v>549</v>
      </c>
      <c r="E10082" t="s">
        <v>550</v>
      </c>
      <c r="F10082" t="s">
        <v>410</v>
      </c>
      <c r="G10082">
        <v>168</v>
      </c>
      <c r="I10082">
        <v>168</v>
      </c>
    </row>
    <row r="10083" spans="1:17" x14ac:dyDescent="0.2">
      <c r="A10083" s="121">
        <v>42551</v>
      </c>
      <c r="B10083" t="s">
        <v>406</v>
      </c>
      <c r="C10083" t="s">
        <v>510</v>
      </c>
      <c r="D10083" t="s">
        <v>625</v>
      </c>
      <c r="E10083" t="s">
        <v>626</v>
      </c>
      <c r="F10083" t="s">
        <v>410</v>
      </c>
      <c r="G10083">
        <v>96</v>
      </c>
      <c r="I10083">
        <v>96</v>
      </c>
    </row>
    <row r="10084" spans="1:17" x14ac:dyDescent="0.2">
      <c r="A10084" s="121">
        <v>42551</v>
      </c>
      <c r="B10084" t="s">
        <v>406</v>
      </c>
      <c r="C10084" t="s">
        <v>551</v>
      </c>
      <c r="D10084" t="s">
        <v>552</v>
      </c>
      <c r="E10084" t="s">
        <v>553</v>
      </c>
      <c r="F10084" t="s">
        <v>413</v>
      </c>
      <c r="G10084">
        <v>5914</v>
      </c>
      <c r="H10084">
        <v>5914</v>
      </c>
      <c r="I10084">
        <v>5725</v>
      </c>
      <c r="J10084">
        <v>5725</v>
      </c>
      <c r="K10084">
        <v>1889</v>
      </c>
      <c r="L10084">
        <v>7</v>
      </c>
      <c r="M10084">
        <v>3880</v>
      </c>
      <c r="N10084">
        <v>63</v>
      </c>
      <c r="O10084">
        <v>75</v>
      </c>
      <c r="P10084">
        <v>1</v>
      </c>
      <c r="Q10084">
        <v>0</v>
      </c>
    </row>
    <row r="10085" spans="1:17" x14ac:dyDescent="0.2">
      <c r="A10085" s="121">
        <v>42551</v>
      </c>
      <c r="B10085" t="s">
        <v>406</v>
      </c>
      <c r="C10085" t="s">
        <v>551</v>
      </c>
      <c r="D10085" t="s">
        <v>554</v>
      </c>
      <c r="E10085" t="s">
        <v>555</v>
      </c>
      <c r="F10085" t="s">
        <v>410</v>
      </c>
      <c r="G10085">
        <v>80</v>
      </c>
      <c r="I10085">
        <v>80</v>
      </c>
    </row>
    <row r="10086" spans="1:17" x14ac:dyDescent="0.2">
      <c r="A10086" s="121">
        <v>42551</v>
      </c>
      <c r="B10086" t="s">
        <v>406</v>
      </c>
      <c r="C10086" t="s">
        <v>551</v>
      </c>
      <c r="D10086" t="s">
        <v>556</v>
      </c>
      <c r="E10086" t="s">
        <v>557</v>
      </c>
      <c r="F10086" t="s">
        <v>410</v>
      </c>
      <c r="G10086">
        <v>107</v>
      </c>
      <c r="I10086">
        <v>107</v>
      </c>
    </row>
    <row r="10087" spans="1:17" x14ac:dyDescent="0.2">
      <c r="A10087" s="121">
        <v>42551</v>
      </c>
      <c r="B10087" t="s">
        <v>406</v>
      </c>
      <c r="C10087" t="s">
        <v>551</v>
      </c>
      <c r="D10087" t="s">
        <v>558</v>
      </c>
      <c r="E10087" t="s">
        <v>559</v>
      </c>
      <c r="F10087" t="s">
        <v>413</v>
      </c>
      <c r="G10087">
        <v>5348</v>
      </c>
      <c r="H10087">
        <v>5348</v>
      </c>
      <c r="I10087">
        <v>5037</v>
      </c>
      <c r="J10087">
        <v>5037</v>
      </c>
      <c r="K10087">
        <v>1506</v>
      </c>
      <c r="L10087">
        <v>8</v>
      </c>
      <c r="M10087">
        <v>3742</v>
      </c>
      <c r="N10087">
        <v>73</v>
      </c>
      <c r="O10087">
        <v>19</v>
      </c>
      <c r="P10087">
        <v>23</v>
      </c>
      <c r="Q10087">
        <v>0</v>
      </c>
    </row>
    <row r="10088" spans="1:17" x14ac:dyDescent="0.2">
      <c r="A10088" s="121">
        <v>42551</v>
      </c>
      <c r="B10088" t="s">
        <v>406</v>
      </c>
      <c r="C10088" t="s">
        <v>551</v>
      </c>
      <c r="D10088" t="s">
        <v>560</v>
      </c>
      <c r="E10088" t="s">
        <v>561</v>
      </c>
      <c r="F10088" t="s">
        <v>413</v>
      </c>
      <c r="G10088">
        <v>5454</v>
      </c>
      <c r="H10088">
        <v>5454</v>
      </c>
      <c r="I10088">
        <v>4967</v>
      </c>
      <c r="J10088">
        <v>4967</v>
      </c>
      <c r="K10088">
        <v>1198</v>
      </c>
      <c r="L10088">
        <v>5</v>
      </c>
      <c r="M10088">
        <v>4033</v>
      </c>
      <c r="N10088">
        <v>74</v>
      </c>
      <c r="O10088">
        <v>144</v>
      </c>
      <c r="P10088">
        <v>46</v>
      </c>
      <c r="Q10088">
        <v>1</v>
      </c>
    </row>
    <row r="10089" spans="1:17" x14ac:dyDescent="0.2">
      <c r="A10089" s="121">
        <v>42551</v>
      </c>
      <c r="B10089" t="s">
        <v>406</v>
      </c>
      <c r="C10089" t="s">
        <v>562</v>
      </c>
      <c r="D10089" t="s">
        <v>605</v>
      </c>
      <c r="E10089" t="s">
        <v>606</v>
      </c>
      <c r="F10089" t="s">
        <v>410</v>
      </c>
      <c r="G10089">
        <v>197</v>
      </c>
      <c r="I10089">
        <v>197</v>
      </c>
    </row>
    <row r="10090" spans="1:17" x14ac:dyDescent="0.2">
      <c r="A10090" s="121">
        <v>42551</v>
      </c>
      <c r="B10090" t="s">
        <v>406</v>
      </c>
      <c r="C10090" t="s">
        <v>562</v>
      </c>
      <c r="D10090" t="s">
        <v>563</v>
      </c>
      <c r="E10090" t="s">
        <v>564</v>
      </c>
      <c r="F10090" t="s">
        <v>410</v>
      </c>
      <c r="G10090">
        <v>3660</v>
      </c>
      <c r="H10090">
        <v>3660</v>
      </c>
      <c r="I10090">
        <v>3413</v>
      </c>
      <c r="J10090">
        <v>3413</v>
      </c>
      <c r="K10090">
        <v>1128</v>
      </c>
      <c r="L10090">
        <v>0</v>
      </c>
      <c r="M10090">
        <v>2501</v>
      </c>
      <c r="N10090">
        <v>31</v>
      </c>
      <c r="O10090">
        <v>0</v>
      </c>
      <c r="P10090">
        <v>57</v>
      </c>
      <c r="Q10090">
        <v>27</v>
      </c>
    </row>
    <row r="10091" spans="1:17" x14ac:dyDescent="0.2">
      <c r="A10091" s="121">
        <v>42551</v>
      </c>
      <c r="B10091" t="s">
        <v>406</v>
      </c>
      <c r="C10091" t="s">
        <v>562</v>
      </c>
      <c r="D10091" t="s">
        <v>565</v>
      </c>
      <c r="E10091" t="s">
        <v>566</v>
      </c>
      <c r="F10091" t="s">
        <v>413</v>
      </c>
      <c r="G10091">
        <v>4831</v>
      </c>
      <c r="H10091">
        <v>4831</v>
      </c>
      <c r="I10091">
        <v>4676</v>
      </c>
      <c r="J10091">
        <v>4676</v>
      </c>
      <c r="K10091">
        <v>1060</v>
      </c>
      <c r="L10091">
        <v>4</v>
      </c>
      <c r="M10091">
        <v>3692</v>
      </c>
      <c r="N10091">
        <v>75</v>
      </c>
      <c r="O10091">
        <v>0</v>
      </c>
      <c r="P10091">
        <v>10</v>
      </c>
      <c r="Q10091">
        <v>0</v>
      </c>
    </row>
    <row r="10092" spans="1:17" x14ac:dyDescent="0.2">
      <c r="A10092" s="121">
        <v>42551</v>
      </c>
      <c r="B10092" t="s">
        <v>406</v>
      </c>
      <c r="C10092" t="s">
        <v>562</v>
      </c>
      <c r="D10092" t="s">
        <v>567</v>
      </c>
      <c r="E10092" t="s">
        <v>568</v>
      </c>
      <c r="F10092" t="s">
        <v>413</v>
      </c>
      <c r="G10092">
        <v>9749</v>
      </c>
      <c r="H10092">
        <v>9749</v>
      </c>
      <c r="I10092">
        <v>9221</v>
      </c>
      <c r="J10092">
        <v>9221</v>
      </c>
      <c r="K10092">
        <v>2703</v>
      </c>
      <c r="L10092">
        <v>10</v>
      </c>
      <c r="M10092">
        <v>6858</v>
      </c>
      <c r="N10092">
        <v>178</v>
      </c>
      <c r="O10092">
        <v>0</v>
      </c>
      <c r="P10092">
        <v>46</v>
      </c>
      <c r="Q10092">
        <v>1</v>
      </c>
    </row>
    <row r="10093" spans="1:17" x14ac:dyDescent="0.2">
      <c r="A10093" s="121">
        <v>42551</v>
      </c>
      <c r="B10093" t="s">
        <v>406</v>
      </c>
      <c r="C10093" t="s">
        <v>562</v>
      </c>
      <c r="D10093" t="s">
        <v>569</v>
      </c>
      <c r="E10093" t="s">
        <v>570</v>
      </c>
      <c r="F10093" t="s">
        <v>413</v>
      </c>
      <c r="G10093">
        <v>4008</v>
      </c>
      <c r="H10093">
        <v>4008</v>
      </c>
      <c r="I10093">
        <v>3936</v>
      </c>
      <c r="J10093">
        <v>3936</v>
      </c>
      <c r="K10093">
        <v>439</v>
      </c>
      <c r="L10093">
        <v>0</v>
      </c>
      <c r="M10093">
        <v>3566</v>
      </c>
      <c r="N10093">
        <v>3</v>
      </c>
      <c r="O10093">
        <v>0</v>
      </c>
      <c r="P10093">
        <v>0</v>
      </c>
      <c r="Q10093">
        <v>0</v>
      </c>
    </row>
    <row r="10094" spans="1:17" x14ac:dyDescent="0.2">
      <c r="A10094" s="121">
        <v>42551</v>
      </c>
      <c r="B10094" t="s">
        <v>406</v>
      </c>
      <c r="C10094" t="s">
        <v>571</v>
      </c>
      <c r="D10094" t="s">
        <v>572</v>
      </c>
      <c r="E10094" t="s">
        <v>627</v>
      </c>
      <c r="F10094" t="s">
        <v>413</v>
      </c>
      <c r="G10094">
        <v>519</v>
      </c>
      <c r="H10094">
        <v>519</v>
      </c>
      <c r="I10094">
        <v>507</v>
      </c>
      <c r="J10094">
        <v>507</v>
      </c>
      <c r="K10094">
        <v>128</v>
      </c>
      <c r="L10094">
        <v>0</v>
      </c>
      <c r="M10094">
        <v>385</v>
      </c>
      <c r="N10094">
        <v>2</v>
      </c>
      <c r="O10094">
        <v>4</v>
      </c>
      <c r="P10094">
        <v>0</v>
      </c>
      <c r="Q10094">
        <v>0</v>
      </c>
    </row>
    <row r="10095" spans="1:17" x14ac:dyDescent="0.2">
      <c r="A10095" s="121">
        <v>42551</v>
      </c>
      <c r="B10095" t="s">
        <v>406</v>
      </c>
      <c r="C10095" t="s">
        <v>574</v>
      </c>
      <c r="D10095" t="s">
        <v>575</v>
      </c>
      <c r="E10095" t="s">
        <v>576</v>
      </c>
      <c r="F10095" t="s">
        <v>413</v>
      </c>
      <c r="G10095">
        <v>699</v>
      </c>
      <c r="H10095">
        <v>699</v>
      </c>
      <c r="I10095">
        <v>660</v>
      </c>
      <c r="J10095">
        <v>660</v>
      </c>
      <c r="K10095">
        <v>183</v>
      </c>
      <c r="L10095">
        <v>1</v>
      </c>
      <c r="M10095">
        <v>496</v>
      </c>
      <c r="N10095">
        <v>8</v>
      </c>
      <c r="O10095">
        <v>11</v>
      </c>
      <c r="P10095">
        <v>0</v>
      </c>
      <c r="Q10095">
        <v>0</v>
      </c>
    </row>
    <row r="10096" spans="1:17" x14ac:dyDescent="0.2">
      <c r="A10096" s="121">
        <v>42551</v>
      </c>
      <c r="B10096" t="s">
        <v>406</v>
      </c>
      <c r="C10096" t="s">
        <v>577</v>
      </c>
      <c r="D10096" t="s">
        <v>578</v>
      </c>
      <c r="E10096" t="s">
        <v>579</v>
      </c>
      <c r="F10096" t="s">
        <v>413</v>
      </c>
      <c r="G10096">
        <v>4076</v>
      </c>
      <c r="H10096">
        <v>4076</v>
      </c>
      <c r="I10096">
        <v>4026</v>
      </c>
      <c r="J10096">
        <v>4026</v>
      </c>
      <c r="K10096">
        <v>1194</v>
      </c>
      <c r="L10096">
        <v>8</v>
      </c>
      <c r="M10096">
        <v>2629</v>
      </c>
      <c r="N10096">
        <v>245</v>
      </c>
      <c r="O10096">
        <v>0</v>
      </c>
      <c r="P10096">
        <v>0</v>
      </c>
      <c r="Q10096">
        <v>0</v>
      </c>
    </row>
    <row r="10097" spans="1:17" x14ac:dyDescent="0.2">
      <c r="A10097" s="121">
        <v>42551</v>
      </c>
      <c r="B10097" t="s">
        <v>406</v>
      </c>
      <c r="C10097" t="s">
        <v>577</v>
      </c>
      <c r="D10097" t="s">
        <v>580</v>
      </c>
      <c r="E10097" t="s">
        <v>581</v>
      </c>
      <c r="F10097" t="s">
        <v>413</v>
      </c>
      <c r="G10097">
        <v>2168</v>
      </c>
      <c r="H10097">
        <v>2168</v>
      </c>
      <c r="I10097">
        <v>2155</v>
      </c>
      <c r="J10097">
        <v>2155</v>
      </c>
      <c r="K10097">
        <v>350</v>
      </c>
      <c r="L10097">
        <v>4</v>
      </c>
      <c r="M10097">
        <v>1460</v>
      </c>
      <c r="N10097">
        <v>354</v>
      </c>
      <c r="O10097">
        <v>0</v>
      </c>
      <c r="P10097">
        <v>1</v>
      </c>
      <c r="Q10097">
        <v>0</v>
      </c>
    </row>
    <row r="10098" spans="1:17" x14ac:dyDescent="0.2">
      <c r="A10098" s="121">
        <v>42551</v>
      </c>
      <c r="B10098" t="s">
        <v>406</v>
      </c>
      <c r="C10098" t="s">
        <v>577</v>
      </c>
      <c r="D10098" t="s">
        <v>609</v>
      </c>
      <c r="E10098" t="s">
        <v>610</v>
      </c>
      <c r="F10098" t="s">
        <v>410</v>
      </c>
      <c r="G10098">
        <v>39</v>
      </c>
      <c r="H10098">
        <v>39</v>
      </c>
      <c r="I10098">
        <v>39</v>
      </c>
      <c r="J10098">
        <v>39</v>
      </c>
      <c r="K10098">
        <v>0</v>
      </c>
      <c r="L10098">
        <v>0</v>
      </c>
      <c r="M10098">
        <v>35</v>
      </c>
      <c r="N10098">
        <v>4</v>
      </c>
      <c r="O10098">
        <v>0</v>
      </c>
      <c r="P10098">
        <v>0</v>
      </c>
      <c r="Q10098">
        <v>0</v>
      </c>
    </row>
    <row r="10099" spans="1:17" x14ac:dyDescent="0.2">
      <c r="A10099" s="121">
        <v>42551</v>
      </c>
      <c r="B10099" t="s">
        <v>406</v>
      </c>
      <c r="C10099" t="s">
        <v>577</v>
      </c>
      <c r="D10099" t="s">
        <v>584</v>
      </c>
      <c r="E10099" t="s">
        <v>585</v>
      </c>
      <c r="F10099" t="s">
        <v>410</v>
      </c>
      <c r="G10099">
        <v>299</v>
      </c>
      <c r="H10099">
        <v>299</v>
      </c>
      <c r="I10099">
        <v>299</v>
      </c>
      <c r="J10099">
        <v>299</v>
      </c>
      <c r="K10099">
        <v>0</v>
      </c>
      <c r="L10099">
        <v>0</v>
      </c>
      <c r="M10099">
        <v>283</v>
      </c>
      <c r="N10099">
        <v>16</v>
      </c>
      <c r="O10099">
        <v>0</v>
      </c>
      <c r="P10099">
        <v>0</v>
      </c>
      <c r="Q10099">
        <v>0</v>
      </c>
    </row>
    <row r="10100" spans="1:17" x14ac:dyDescent="0.2">
      <c r="A10100" s="121">
        <v>42551</v>
      </c>
      <c r="B10100" t="s">
        <v>406</v>
      </c>
      <c r="C10100" t="s">
        <v>577</v>
      </c>
      <c r="D10100" t="s">
        <v>586</v>
      </c>
      <c r="E10100" t="s">
        <v>587</v>
      </c>
      <c r="F10100" t="s">
        <v>410</v>
      </c>
      <c r="G10100">
        <v>1208</v>
      </c>
      <c r="H10100">
        <v>1208</v>
      </c>
      <c r="I10100">
        <v>1208</v>
      </c>
      <c r="J10100">
        <v>1208</v>
      </c>
      <c r="K10100">
        <v>0</v>
      </c>
      <c r="L10100">
        <v>0</v>
      </c>
      <c r="M10100">
        <v>1124</v>
      </c>
      <c r="N10100">
        <v>83</v>
      </c>
      <c r="O10100">
        <v>1</v>
      </c>
      <c r="P10100">
        <v>0</v>
      </c>
      <c r="Q10100">
        <v>0</v>
      </c>
    </row>
    <row r="10101" spans="1:17" x14ac:dyDescent="0.2">
      <c r="A10101" s="121">
        <v>42551</v>
      </c>
      <c r="B10101" t="s">
        <v>406</v>
      </c>
      <c r="C10101" t="s">
        <v>577</v>
      </c>
      <c r="D10101" t="s">
        <v>588</v>
      </c>
      <c r="E10101" t="s">
        <v>589</v>
      </c>
      <c r="F10101" t="s">
        <v>410</v>
      </c>
      <c r="G10101">
        <v>202</v>
      </c>
      <c r="H10101">
        <v>202</v>
      </c>
      <c r="I10101">
        <v>202</v>
      </c>
      <c r="J10101">
        <v>202</v>
      </c>
      <c r="K10101">
        <v>0</v>
      </c>
      <c r="L10101">
        <v>0</v>
      </c>
      <c r="M10101">
        <v>193</v>
      </c>
      <c r="N10101">
        <v>9</v>
      </c>
      <c r="O10101">
        <v>0</v>
      </c>
      <c r="P10101">
        <v>0</v>
      </c>
      <c r="Q10101">
        <v>0</v>
      </c>
    </row>
    <row r="10102" spans="1:17" x14ac:dyDescent="0.2">
      <c r="A10102" s="121">
        <v>42551</v>
      </c>
      <c r="B10102" t="s">
        <v>406</v>
      </c>
      <c r="C10102" t="s">
        <v>577</v>
      </c>
      <c r="D10102" t="s">
        <v>613</v>
      </c>
      <c r="E10102" t="s">
        <v>614</v>
      </c>
      <c r="F10102" t="s">
        <v>410</v>
      </c>
      <c r="G10102">
        <v>113</v>
      </c>
      <c r="H10102">
        <v>113</v>
      </c>
      <c r="I10102">
        <v>113</v>
      </c>
      <c r="J10102">
        <v>113</v>
      </c>
      <c r="K10102">
        <v>0</v>
      </c>
      <c r="L10102">
        <v>0</v>
      </c>
      <c r="M10102">
        <v>104</v>
      </c>
      <c r="N10102">
        <v>8</v>
      </c>
      <c r="O10102">
        <v>1</v>
      </c>
      <c r="P10102">
        <v>0</v>
      </c>
      <c r="Q10102">
        <v>0</v>
      </c>
    </row>
    <row r="10103" spans="1:17" x14ac:dyDescent="0.2">
      <c r="A10103" s="121">
        <v>42551</v>
      </c>
      <c r="B10103" t="s">
        <v>406</v>
      </c>
      <c r="C10103" t="s">
        <v>577</v>
      </c>
      <c r="D10103" t="s">
        <v>590</v>
      </c>
      <c r="E10103" t="s">
        <v>591</v>
      </c>
      <c r="F10103" t="s">
        <v>410</v>
      </c>
      <c r="G10103">
        <v>473</v>
      </c>
      <c r="H10103">
        <v>473</v>
      </c>
      <c r="I10103">
        <v>473</v>
      </c>
      <c r="J10103">
        <v>473</v>
      </c>
      <c r="K10103">
        <v>0</v>
      </c>
      <c r="L10103">
        <v>0</v>
      </c>
      <c r="M10103">
        <v>457</v>
      </c>
      <c r="N10103">
        <v>16</v>
      </c>
      <c r="O10103">
        <v>0</v>
      </c>
      <c r="P10103">
        <v>0</v>
      </c>
      <c r="Q10103">
        <v>0</v>
      </c>
    </row>
    <row r="10104" spans="1:17" x14ac:dyDescent="0.2">
      <c r="A10104" s="121">
        <v>42551</v>
      </c>
      <c r="B10104" t="s">
        <v>406</v>
      </c>
      <c r="C10104" t="s">
        <v>577</v>
      </c>
      <c r="D10104" t="s">
        <v>607</v>
      </c>
      <c r="E10104" t="s">
        <v>608</v>
      </c>
      <c r="F10104" t="s">
        <v>410</v>
      </c>
      <c r="G10104">
        <v>217</v>
      </c>
      <c r="H10104">
        <v>217</v>
      </c>
      <c r="I10104">
        <v>217</v>
      </c>
      <c r="J10104">
        <v>217</v>
      </c>
      <c r="K10104">
        <v>0</v>
      </c>
      <c r="L10104">
        <v>0</v>
      </c>
      <c r="M10104">
        <v>196</v>
      </c>
      <c r="N10104">
        <v>20</v>
      </c>
      <c r="O10104">
        <v>1</v>
      </c>
      <c r="P10104">
        <v>0</v>
      </c>
      <c r="Q10104">
        <v>0</v>
      </c>
    </row>
    <row r="10105" spans="1:17" x14ac:dyDescent="0.2">
      <c r="A10105" s="121">
        <v>42551</v>
      </c>
      <c r="B10105" t="s">
        <v>406</v>
      </c>
      <c r="C10105" t="s">
        <v>577</v>
      </c>
      <c r="D10105" t="s">
        <v>592</v>
      </c>
      <c r="E10105" t="s">
        <v>593</v>
      </c>
      <c r="F10105" t="s">
        <v>410</v>
      </c>
      <c r="G10105">
        <v>349</v>
      </c>
      <c r="H10105">
        <v>349</v>
      </c>
      <c r="I10105">
        <v>349</v>
      </c>
      <c r="J10105">
        <v>349</v>
      </c>
      <c r="K10105">
        <v>0</v>
      </c>
      <c r="L10105">
        <v>0</v>
      </c>
      <c r="M10105">
        <v>337</v>
      </c>
      <c r="N10105">
        <v>10</v>
      </c>
      <c r="O10105">
        <v>2</v>
      </c>
      <c r="P10105">
        <v>0</v>
      </c>
      <c r="Q10105">
        <v>0</v>
      </c>
    </row>
    <row r="10106" spans="1:17" x14ac:dyDescent="0.2">
      <c r="A10106" s="121">
        <v>42551</v>
      </c>
      <c r="B10106" t="s">
        <v>406</v>
      </c>
      <c r="C10106" t="s">
        <v>594</v>
      </c>
      <c r="D10106" t="s">
        <v>595</v>
      </c>
      <c r="E10106" t="s">
        <v>596</v>
      </c>
      <c r="F10106" t="s">
        <v>410</v>
      </c>
      <c r="G10106">
        <v>73</v>
      </c>
      <c r="I10106">
        <v>73</v>
      </c>
    </row>
    <row r="10107" spans="1:17" x14ac:dyDescent="0.2">
      <c r="A10107" s="121">
        <v>42551</v>
      </c>
      <c r="B10107" t="s">
        <v>406</v>
      </c>
      <c r="C10107" t="s">
        <v>594</v>
      </c>
      <c r="D10107" t="s">
        <v>597</v>
      </c>
      <c r="E10107" t="s">
        <v>598</v>
      </c>
      <c r="F10107" t="s">
        <v>413</v>
      </c>
      <c r="G10107">
        <v>625</v>
      </c>
      <c r="H10107">
        <v>625</v>
      </c>
      <c r="I10107">
        <v>620</v>
      </c>
      <c r="J10107">
        <v>620</v>
      </c>
      <c r="K10107">
        <v>159</v>
      </c>
      <c r="L10107">
        <v>1</v>
      </c>
      <c r="M10107">
        <v>457</v>
      </c>
      <c r="N10107">
        <v>4</v>
      </c>
      <c r="O10107">
        <v>4</v>
      </c>
      <c r="P10107">
        <v>0</v>
      </c>
      <c r="Q10107">
        <v>0</v>
      </c>
    </row>
    <row r="10108" spans="1:17" x14ac:dyDescent="0.2">
      <c r="A10108" s="121">
        <v>42551</v>
      </c>
      <c r="B10108" t="s">
        <v>406</v>
      </c>
      <c r="C10108" t="s">
        <v>594</v>
      </c>
      <c r="D10108" t="s">
        <v>599</v>
      </c>
      <c r="E10108" t="s">
        <v>600</v>
      </c>
      <c r="F10108" t="s">
        <v>410</v>
      </c>
      <c r="G10108">
        <v>118</v>
      </c>
      <c r="I10108">
        <v>118</v>
      </c>
    </row>
    <row r="10109" spans="1:17" x14ac:dyDescent="0.2">
      <c r="A10109" s="121">
        <v>42582</v>
      </c>
      <c r="B10109" t="s">
        <v>406</v>
      </c>
      <c r="C10109" t="s">
        <v>407</v>
      </c>
      <c r="D10109" t="s">
        <v>408</v>
      </c>
      <c r="E10109" t="s">
        <v>409</v>
      </c>
      <c r="F10109" t="s">
        <v>410</v>
      </c>
      <c r="G10109">
        <v>343</v>
      </c>
      <c r="I10109">
        <v>340</v>
      </c>
    </row>
    <row r="10110" spans="1:17" x14ac:dyDescent="0.2">
      <c r="A10110" s="121">
        <v>42582</v>
      </c>
      <c r="B10110" t="s">
        <v>406</v>
      </c>
      <c r="C10110" t="s">
        <v>407</v>
      </c>
      <c r="D10110" t="s">
        <v>601</v>
      </c>
      <c r="E10110" t="s">
        <v>602</v>
      </c>
      <c r="F10110" t="s">
        <v>410</v>
      </c>
      <c r="G10110">
        <v>114</v>
      </c>
      <c r="I10110">
        <v>114</v>
      </c>
    </row>
    <row r="10111" spans="1:17" x14ac:dyDescent="0.2">
      <c r="A10111" s="121">
        <v>42582</v>
      </c>
      <c r="B10111" t="s">
        <v>406</v>
      </c>
      <c r="C10111" t="s">
        <v>407</v>
      </c>
      <c r="D10111" t="s">
        <v>411</v>
      </c>
      <c r="E10111" t="s">
        <v>412</v>
      </c>
      <c r="F10111" t="s">
        <v>413</v>
      </c>
      <c r="G10111">
        <v>5508</v>
      </c>
      <c r="H10111">
        <v>5508</v>
      </c>
      <c r="I10111">
        <v>5333</v>
      </c>
      <c r="J10111">
        <v>5333</v>
      </c>
      <c r="K10111">
        <v>1903</v>
      </c>
      <c r="L10111">
        <v>16</v>
      </c>
      <c r="M10111">
        <v>3280</v>
      </c>
      <c r="N10111">
        <v>127</v>
      </c>
      <c r="O10111">
        <v>182</v>
      </c>
      <c r="P10111">
        <v>17</v>
      </c>
      <c r="Q10111">
        <v>1</v>
      </c>
    </row>
    <row r="10112" spans="1:17" x14ac:dyDescent="0.2">
      <c r="A10112" s="121">
        <v>42582</v>
      </c>
      <c r="B10112" t="s">
        <v>406</v>
      </c>
      <c r="C10112" t="s">
        <v>407</v>
      </c>
      <c r="D10112" t="s">
        <v>416</v>
      </c>
      <c r="E10112" t="s">
        <v>417</v>
      </c>
      <c r="F10112" t="s">
        <v>413</v>
      </c>
      <c r="G10112">
        <v>3884</v>
      </c>
      <c r="H10112">
        <v>3884</v>
      </c>
      <c r="I10112">
        <v>3491</v>
      </c>
      <c r="J10112">
        <v>3491</v>
      </c>
      <c r="K10112">
        <v>1342</v>
      </c>
      <c r="L10112">
        <v>2</v>
      </c>
      <c r="M10112">
        <v>2374</v>
      </c>
      <c r="N10112">
        <v>128</v>
      </c>
      <c r="O10112">
        <v>38</v>
      </c>
      <c r="P10112">
        <v>62</v>
      </c>
      <c r="Q10112">
        <v>5</v>
      </c>
    </row>
    <row r="10113" spans="1:17" x14ac:dyDescent="0.2">
      <c r="A10113" s="121">
        <v>42582</v>
      </c>
      <c r="B10113" t="s">
        <v>406</v>
      </c>
      <c r="C10113" t="s">
        <v>407</v>
      </c>
      <c r="D10113" t="s">
        <v>618</v>
      </c>
      <c r="E10113" t="s">
        <v>619</v>
      </c>
      <c r="F10113" t="s">
        <v>410</v>
      </c>
      <c r="G10113">
        <v>92</v>
      </c>
      <c r="I10113">
        <v>92</v>
      </c>
    </row>
    <row r="10114" spans="1:17" x14ac:dyDescent="0.2">
      <c r="A10114" s="121">
        <v>42582</v>
      </c>
      <c r="B10114" t="s">
        <v>406</v>
      </c>
      <c r="C10114" t="s">
        <v>418</v>
      </c>
      <c r="D10114" t="s">
        <v>419</v>
      </c>
      <c r="E10114" t="s">
        <v>420</v>
      </c>
      <c r="F10114" t="s">
        <v>410</v>
      </c>
      <c r="G10114">
        <v>18</v>
      </c>
      <c r="I10114">
        <v>18</v>
      </c>
    </row>
    <row r="10115" spans="1:17" x14ac:dyDescent="0.2">
      <c r="A10115" s="121">
        <v>42582</v>
      </c>
      <c r="B10115" t="s">
        <v>406</v>
      </c>
      <c r="C10115" t="s">
        <v>418</v>
      </c>
      <c r="D10115" t="s">
        <v>421</v>
      </c>
      <c r="E10115" t="s">
        <v>422</v>
      </c>
      <c r="F10115" t="s">
        <v>410</v>
      </c>
      <c r="G10115">
        <v>94</v>
      </c>
      <c r="I10115">
        <v>94</v>
      </c>
    </row>
    <row r="10116" spans="1:17" x14ac:dyDescent="0.2">
      <c r="A10116" s="121">
        <v>42582</v>
      </c>
      <c r="B10116" t="s">
        <v>406</v>
      </c>
      <c r="C10116" t="s">
        <v>418</v>
      </c>
      <c r="D10116" t="s">
        <v>423</v>
      </c>
      <c r="E10116" t="s">
        <v>424</v>
      </c>
      <c r="F10116" t="s">
        <v>410</v>
      </c>
      <c r="G10116">
        <v>16</v>
      </c>
      <c r="I10116">
        <v>16</v>
      </c>
    </row>
    <row r="10117" spans="1:17" x14ac:dyDescent="0.2">
      <c r="A10117" s="121">
        <v>42582</v>
      </c>
      <c r="B10117" t="s">
        <v>406</v>
      </c>
      <c r="C10117" t="s">
        <v>418</v>
      </c>
      <c r="D10117" t="s">
        <v>425</v>
      </c>
      <c r="E10117" t="s">
        <v>426</v>
      </c>
      <c r="F10117" t="s">
        <v>410</v>
      </c>
      <c r="G10117">
        <v>53</v>
      </c>
      <c r="I10117">
        <v>53</v>
      </c>
    </row>
    <row r="10118" spans="1:17" x14ac:dyDescent="0.2">
      <c r="A10118" s="121">
        <v>42582</v>
      </c>
      <c r="B10118" t="s">
        <v>406</v>
      </c>
      <c r="C10118" t="s">
        <v>418</v>
      </c>
      <c r="D10118" t="s">
        <v>427</v>
      </c>
      <c r="E10118" t="s">
        <v>428</v>
      </c>
      <c r="F10118" t="s">
        <v>413</v>
      </c>
      <c r="G10118">
        <v>2406</v>
      </c>
      <c r="H10118">
        <v>2406</v>
      </c>
      <c r="I10118">
        <v>2320</v>
      </c>
      <c r="J10118">
        <v>2320</v>
      </c>
      <c r="K10118">
        <v>818</v>
      </c>
      <c r="L10118">
        <v>3</v>
      </c>
      <c r="M10118">
        <v>1383</v>
      </c>
      <c r="N10118">
        <v>186</v>
      </c>
      <c r="O10118">
        <v>16</v>
      </c>
      <c r="P10118">
        <v>3</v>
      </c>
      <c r="Q10118">
        <v>0</v>
      </c>
    </row>
    <row r="10119" spans="1:17" x14ac:dyDescent="0.2">
      <c r="A10119" s="121">
        <v>42582</v>
      </c>
      <c r="B10119" t="s">
        <v>406</v>
      </c>
      <c r="C10119" t="s">
        <v>429</v>
      </c>
      <c r="D10119" t="s">
        <v>430</v>
      </c>
      <c r="E10119" t="s">
        <v>431</v>
      </c>
      <c r="F10119" t="s">
        <v>410</v>
      </c>
      <c r="G10119">
        <v>31</v>
      </c>
      <c r="I10119">
        <v>31</v>
      </c>
    </row>
    <row r="10120" spans="1:17" x14ac:dyDescent="0.2">
      <c r="A10120" s="121">
        <v>42582</v>
      </c>
      <c r="B10120" t="s">
        <v>406</v>
      </c>
      <c r="C10120" t="s">
        <v>429</v>
      </c>
      <c r="D10120" t="s">
        <v>432</v>
      </c>
      <c r="E10120" t="s">
        <v>433</v>
      </c>
      <c r="F10120" t="s">
        <v>410</v>
      </c>
      <c r="G10120">
        <v>63</v>
      </c>
      <c r="I10120">
        <v>63</v>
      </c>
    </row>
    <row r="10121" spans="1:17" x14ac:dyDescent="0.2">
      <c r="A10121" s="121">
        <v>42582</v>
      </c>
      <c r="B10121" t="s">
        <v>406</v>
      </c>
      <c r="C10121" t="s">
        <v>429</v>
      </c>
      <c r="D10121" t="s">
        <v>434</v>
      </c>
      <c r="E10121" t="s">
        <v>435</v>
      </c>
      <c r="F10121" t="s">
        <v>410</v>
      </c>
      <c r="G10121">
        <v>7</v>
      </c>
      <c r="I10121">
        <v>7</v>
      </c>
    </row>
    <row r="10122" spans="1:17" x14ac:dyDescent="0.2">
      <c r="A10122" s="121">
        <v>42582</v>
      </c>
      <c r="B10122" t="s">
        <v>406</v>
      </c>
      <c r="C10122" t="s">
        <v>429</v>
      </c>
      <c r="D10122" t="s">
        <v>436</v>
      </c>
      <c r="E10122" t="s">
        <v>437</v>
      </c>
      <c r="F10122" t="s">
        <v>410</v>
      </c>
      <c r="G10122">
        <v>21</v>
      </c>
      <c r="H10122">
        <v>21</v>
      </c>
      <c r="I10122">
        <v>21</v>
      </c>
      <c r="J10122">
        <v>21</v>
      </c>
      <c r="K10122">
        <v>0</v>
      </c>
      <c r="L10122">
        <v>0</v>
      </c>
      <c r="M10122">
        <v>18</v>
      </c>
      <c r="N10122">
        <v>3</v>
      </c>
      <c r="O10122">
        <v>0</v>
      </c>
      <c r="P10122">
        <v>0</v>
      </c>
      <c r="Q10122">
        <v>0</v>
      </c>
    </row>
    <row r="10123" spans="1:17" x14ac:dyDescent="0.2">
      <c r="A10123" s="121">
        <v>42582</v>
      </c>
      <c r="B10123" t="s">
        <v>406</v>
      </c>
      <c r="C10123" t="s">
        <v>429</v>
      </c>
      <c r="D10123" t="s">
        <v>438</v>
      </c>
      <c r="E10123" t="s">
        <v>439</v>
      </c>
      <c r="F10123" t="s">
        <v>413</v>
      </c>
      <c r="G10123">
        <v>1137</v>
      </c>
      <c r="H10123">
        <v>1137</v>
      </c>
      <c r="I10123">
        <v>1106</v>
      </c>
      <c r="J10123">
        <v>1106</v>
      </c>
      <c r="K10123">
        <v>87</v>
      </c>
      <c r="L10123">
        <v>0</v>
      </c>
      <c r="M10123">
        <v>935</v>
      </c>
      <c r="N10123">
        <v>77</v>
      </c>
      <c r="O10123">
        <v>38</v>
      </c>
      <c r="P10123">
        <v>5</v>
      </c>
      <c r="Q10123">
        <v>0</v>
      </c>
    </row>
    <row r="10124" spans="1:17" x14ac:dyDescent="0.2">
      <c r="A10124" s="121">
        <v>42582</v>
      </c>
      <c r="B10124" t="s">
        <v>406</v>
      </c>
      <c r="C10124" t="s">
        <v>429</v>
      </c>
      <c r="D10124" t="s">
        <v>440</v>
      </c>
      <c r="E10124" t="s">
        <v>441</v>
      </c>
      <c r="F10124" t="s">
        <v>413</v>
      </c>
      <c r="G10124">
        <v>3140</v>
      </c>
      <c r="H10124">
        <v>3140</v>
      </c>
      <c r="I10124">
        <v>3075</v>
      </c>
      <c r="J10124">
        <v>3075</v>
      </c>
      <c r="K10124">
        <v>1002</v>
      </c>
      <c r="L10124">
        <v>2</v>
      </c>
      <c r="M10124">
        <v>2031</v>
      </c>
      <c r="N10124">
        <v>63</v>
      </c>
      <c r="O10124">
        <v>42</v>
      </c>
      <c r="P10124">
        <v>1</v>
      </c>
      <c r="Q10124">
        <v>0</v>
      </c>
    </row>
    <row r="10125" spans="1:17" x14ac:dyDescent="0.2">
      <c r="A10125" s="121">
        <v>42582</v>
      </c>
      <c r="B10125" t="s">
        <v>406</v>
      </c>
      <c r="C10125" t="s">
        <v>442</v>
      </c>
      <c r="D10125" t="s">
        <v>443</v>
      </c>
      <c r="E10125" t="s">
        <v>444</v>
      </c>
      <c r="F10125" t="s">
        <v>413</v>
      </c>
      <c r="G10125">
        <v>5310</v>
      </c>
      <c r="H10125">
        <v>5310</v>
      </c>
      <c r="I10125">
        <v>5119</v>
      </c>
      <c r="J10125">
        <v>5119</v>
      </c>
      <c r="K10125">
        <v>1343</v>
      </c>
      <c r="L10125">
        <v>10</v>
      </c>
      <c r="M10125">
        <v>3683</v>
      </c>
      <c r="N10125">
        <v>88</v>
      </c>
      <c r="O10125">
        <v>186</v>
      </c>
      <c r="P10125">
        <v>3</v>
      </c>
      <c r="Q10125">
        <v>0</v>
      </c>
    </row>
    <row r="10126" spans="1:17" x14ac:dyDescent="0.2">
      <c r="A10126" s="121">
        <v>42582</v>
      </c>
      <c r="B10126" t="s">
        <v>406</v>
      </c>
      <c r="C10126" t="s">
        <v>442</v>
      </c>
      <c r="D10126" t="s">
        <v>445</v>
      </c>
      <c r="E10126" t="s">
        <v>446</v>
      </c>
      <c r="F10126" t="s">
        <v>410</v>
      </c>
      <c r="G10126">
        <v>162</v>
      </c>
      <c r="I10126">
        <v>162</v>
      </c>
    </row>
    <row r="10127" spans="1:17" x14ac:dyDescent="0.2">
      <c r="A10127" s="121">
        <v>42582</v>
      </c>
      <c r="B10127" t="s">
        <v>406</v>
      </c>
      <c r="C10127" t="s">
        <v>442</v>
      </c>
      <c r="D10127" t="s">
        <v>447</v>
      </c>
      <c r="E10127" t="s">
        <v>448</v>
      </c>
      <c r="F10127" t="s">
        <v>410</v>
      </c>
      <c r="G10127">
        <v>295</v>
      </c>
      <c r="I10127">
        <v>295</v>
      </c>
    </row>
    <row r="10128" spans="1:17" x14ac:dyDescent="0.2">
      <c r="A10128" s="121">
        <v>42582</v>
      </c>
      <c r="B10128" t="s">
        <v>406</v>
      </c>
      <c r="C10128" t="s">
        <v>442</v>
      </c>
      <c r="D10128" t="s">
        <v>449</v>
      </c>
      <c r="E10128" t="s">
        <v>624</v>
      </c>
      <c r="F10128" t="s">
        <v>410</v>
      </c>
      <c r="G10128">
        <v>1750</v>
      </c>
      <c r="H10128">
        <v>1750</v>
      </c>
      <c r="I10128">
        <v>1750</v>
      </c>
      <c r="J10128">
        <v>1750</v>
      </c>
      <c r="K10128">
        <v>5</v>
      </c>
      <c r="L10128">
        <v>0</v>
      </c>
      <c r="M10128">
        <v>1629</v>
      </c>
      <c r="N10128">
        <v>108</v>
      </c>
      <c r="O10128">
        <v>8</v>
      </c>
      <c r="P10128">
        <v>0</v>
      </c>
      <c r="Q10128">
        <v>0</v>
      </c>
    </row>
    <row r="10129" spans="1:17" x14ac:dyDescent="0.2">
      <c r="A10129" s="121">
        <v>42582</v>
      </c>
      <c r="B10129" t="s">
        <v>406</v>
      </c>
      <c r="C10129" t="s">
        <v>451</v>
      </c>
      <c r="D10129" t="s">
        <v>454</v>
      </c>
      <c r="E10129" t="s">
        <v>621</v>
      </c>
      <c r="F10129" t="s">
        <v>410</v>
      </c>
      <c r="G10129">
        <v>1276</v>
      </c>
      <c r="H10129">
        <v>1276</v>
      </c>
      <c r="I10129">
        <v>1274</v>
      </c>
      <c r="J10129">
        <v>1274</v>
      </c>
      <c r="K10129">
        <v>2</v>
      </c>
      <c r="L10129">
        <v>0</v>
      </c>
      <c r="M10129">
        <v>941</v>
      </c>
      <c r="N10129">
        <v>33</v>
      </c>
      <c r="O10129">
        <v>300</v>
      </c>
      <c r="P10129">
        <v>0</v>
      </c>
      <c r="Q10129">
        <v>0</v>
      </c>
    </row>
    <row r="10130" spans="1:17" x14ac:dyDescent="0.2">
      <c r="A10130" s="121">
        <v>42582</v>
      </c>
      <c r="B10130" t="s">
        <v>406</v>
      </c>
      <c r="C10130" t="s">
        <v>451</v>
      </c>
      <c r="D10130" t="s">
        <v>622</v>
      </c>
      <c r="E10130" t="s">
        <v>623</v>
      </c>
      <c r="F10130" t="s">
        <v>413</v>
      </c>
      <c r="G10130">
        <v>5274</v>
      </c>
      <c r="H10130">
        <v>5274</v>
      </c>
      <c r="I10130">
        <v>5100</v>
      </c>
      <c r="J10130">
        <v>5100</v>
      </c>
      <c r="K10130">
        <v>1342</v>
      </c>
      <c r="L10130">
        <v>10</v>
      </c>
      <c r="M10130">
        <v>3065</v>
      </c>
      <c r="N10130">
        <v>52</v>
      </c>
      <c r="O10130">
        <v>805</v>
      </c>
      <c r="P10130">
        <v>1</v>
      </c>
      <c r="Q10130">
        <v>0</v>
      </c>
    </row>
    <row r="10131" spans="1:17" x14ac:dyDescent="0.2">
      <c r="A10131" s="121">
        <v>42582</v>
      </c>
      <c r="B10131" t="s">
        <v>406</v>
      </c>
      <c r="C10131" t="s">
        <v>456</v>
      </c>
      <c r="D10131" t="s">
        <v>457</v>
      </c>
      <c r="E10131" t="s">
        <v>458</v>
      </c>
      <c r="F10131" t="s">
        <v>413</v>
      </c>
      <c r="G10131">
        <v>5053</v>
      </c>
      <c r="H10131">
        <v>5053</v>
      </c>
      <c r="I10131">
        <v>4761</v>
      </c>
      <c r="J10131">
        <v>4761</v>
      </c>
      <c r="K10131">
        <v>1311</v>
      </c>
      <c r="L10131">
        <v>12</v>
      </c>
      <c r="M10131">
        <v>3218</v>
      </c>
      <c r="N10131">
        <v>24</v>
      </c>
      <c r="O10131">
        <v>488</v>
      </c>
      <c r="P10131">
        <v>6</v>
      </c>
      <c r="Q10131">
        <v>0</v>
      </c>
    </row>
    <row r="10132" spans="1:17" x14ac:dyDescent="0.2">
      <c r="A10132" s="121">
        <v>42582</v>
      </c>
      <c r="B10132" t="s">
        <v>406</v>
      </c>
      <c r="C10132" t="s">
        <v>456</v>
      </c>
      <c r="D10132" t="s">
        <v>459</v>
      </c>
      <c r="E10132" t="s">
        <v>460</v>
      </c>
      <c r="F10132" t="s">
        <v>413</v>
      </c>
      <c r="G10132">
        <v>1125</v>
      </c>
      <c r="H10132">
        <v>1125</v>
      </c>
      <c r="I10132">
        <v>1109</v>
      </c>
      <c r="J10132">
        <v>1109</v>
      </c>
      <c r="K10132">
        <v>137</v>
      </c>
      <c r="L10132">
        <v>0</v>
      </c>
      <c r="M10132">
        <v>935</v>
      </c>
      <c r="N10132">
        <v>0</v>
      </c>
      <c r="O10132">
        <v>53</v>
      </c>
      <c r="P10132">
        <v>0</v>
      </c>
      <c r="Q10132">
        <v>0</v>
      </c>
    </row>
    <row r="10133" spans="1:17" x14ac:dyDescent="0.2">
      <c r="A10133" s="121">
        <v>42582</v>
      </c>
      <c r="B10133" t="s">
        <v>406</v>
      </c>
      <c r="C10133" t="s">
        <v>456</v>
      </c>
      <c r="D10133" t="s">
        <v>461</v>
      </c>
      <c r="E10133" t="s">
        <v>462</v>
      </c>
      <c r="F10133" t="s">
        <v>410</v>
      </c>
      <c r="G10133">
        <v>91</v>
      </c>
      <c r="I10133">
        <v>91</v>
      </c>
    </row>
    <row r="10134" spans="1:17" x14ac:dyDescent="0.2">
      <c r="A10134" s="121">
        <v>42582</v>
      </c>
      <c r="B10134" t="s">
        <v>406</v>
      </c>
      <c r="C10134" t="s">
        <v>456</v>
      </c>
      <c r="D10134" t="s">
        <v>463</v>
      </c>
      <c r="E10134" t="s">
        <v>464</v>
      </c>
      <c r="F10134" t="s">
        <v>410</v>
      </c>
      <c r="G10134">
        <v>9</v>
      </c>
      <c r="I10134">
        <v>9</v>
      </c>
    </row>
    <row r="10135" spans="1:17" x14ac:dyDescent="0.2">
      <c r="A10135" s="121">
        <v>42582</v>
      </c>
      <c r="B10135" t="s">
        <v>406</v>
      </c>
      <c r="C10135" t="s">
        <v>456</v>
      </c>
      <c r="D10135" t="s">
        <v>465</v>
      </c>
      <c r="E10135" t="s">
        <v>466</v>
      </c>
      <c r="F10135" t="s">
        <v>410</v>
      </c>
      <c r="G10135">
        <v>29</v>
      </c>
      <c r="I10135">
        <v>29</v>
      </c>
    </row>
    <row r="10136" spans="1:17" x14ac:dyDescent="0.2">
      <c r="A10136" s="121">
        <v>42582</v>
      </c>
      <c r="B10136" t="s">
        <v>406</v>
      </c>
      <c r="C10136" t="s">
        <v>456</v>
      </c>
      <c r="D10136" t="s">
        <v>467</v>
      </c>
      <c r="E10136" t="s">
        <v>468</v>
      </c>
      <c r="F10136" t="s">
        <v>410</v>
      </c>
      <c r="G10136">
        <v>1349</v>
      </c>
      <c r="I10136">
        <v>1349</v>
      </c>
    </row>
    <row r="10137" spans="1:17" x14ac:dyDescent="0.2">
      <c r="A10137" s="121">
        <v>42582</v>
      </c>
      <c r="B10137" t="s">
        <v>406</v>
      </c>
      <c r="C10137" t="s">
        <v>456</v>
      </c>
      <c r="D10137" t="s">
        <v>469</v>
      </c>
      <c r="E10137" t="s">
        <v>470</v>
      </c>
      <c r="F10137" t="s">
        <v>410</v>
      </c>
      <c r="G10137">
        <v>731</v>
      </c>
      <c r="I10137">
        <v>725</v>
      </c>
    </row>
    <row r="10138" spans="1:17" x14ac:dyDescent="0.2">
      <c r="A10138" s="121">
        <v>42582</v>
      </c>
      <c r="B10138" t="s">
        <v>406</v>
      </c>
      <c r="C10138" t="s">
        <v>456</v>
      </c>
      <c r="D10138" t="s">
        <v>471</v>
      </c>
      <c r="E10138" t="s">
        <v>472</v>
      </c>
      <c r="F10138" t="s">
        <v>410</v>
      </c>
      <c r="G10138">
        <v>285</v>
      </c>
      <c r="I10138">
        <v>278</v>
      </c>
    </row>
    <row r="10139" spans="1:17" x14ac:dyDescent="0.2">
      <c r="A10139" s="121">
        <v>42582</v>
      </c>
      <c r="B10139" t="s">
        <v>406</v>
      </c>
      <c r="C10139" t="s">
        <v>456</v>
      </c>
      <c r="D10139" t="s">
        <v>473</v>
      </c>
      <c r="E10139" t="s">
        <v>474</v>
      </c>
      <c r="F10139" t="s">
        <v>410</v>
      </c>
      <c r="G10139">
        <v>214</v>
      </c>
      <c r="I10139">
        <v>214</v>
      </c>
    </row>
    <row r="10140" spans="1:17" x14ac:dyDescent="0.2">
      <c r="A10140" s="121">
        <v>42582</v>
      </c>
      <c r="B10140" t="s">
        <v>406</v>
      </c>
      <c r="C10140" t="s">
        <v>456</v>
      </c>
      <c r="D10140" t="s">
        <v>475</v>
      </c>
      <c r="E10140" t="s">
        <v>476</v>
      </c>
      <c r="F10140" t="s">
        <v>410</v>
      </c>
      <c r="G10140">
        <v>304</v>
      </c>
      <c r="I10140">
        <v>296</v>
      </c>
    </row>
    <row r="10141" spans="1:17" x14ac:dyDescent="0.2">
      <c r="A10141" s="121">
        <v>42582</v>
      </c>
      <c r="B10141" t="s">
        <v>406</v>
      </c>
      <c r="C10141" t="s">
        <v>456</v>
      </c>
      <c r="D10141" t="s">
        <v>477</v>
      </c>
      <c r="E10141" t="s">
        <v>478</v>
      </c>
      <c r="F10141" t="s">
        <v>413</v>
      </c>
      <c r="G10141">
        <v>2234</v>
      </c>
      <c r="H10141">
        <v>2234</v>
      </c>
      <c r="I10141">
        <v>2180</v>
      </c>
      <c r="J10141">
        <v>2180</v>
      </c>
      <c r="K10141">
        <v>391</v>
      </c>
      <c r="L10141">
        <v>3</v>
      </c>
      <c r="M10141">
        <v>1777</v>
      </c>
      <c r="N10141">
        <v>11</v>
      </c>
      <c r="O10141">
        <v>52</v>
      </c>
      <c r="P10141">
        <v>4</v>
      </c>
      <c r="Q10141">
        <v>0</v>
      </c>
    </row>
    <row r="10142" spans="1:17" x14ac:dyDescent="0.2">
      <c r="A10142" s="121">
        <v>42582</v>
      </c>
      <c r="B10142" t="s">
        <v>406</v>
      </c>
      <c r="C10142" t="s">
        <v>456</v>
      </c>
      <c r="D10142" t="s">
        <v>479</v>
      </c>
      <c r="E10142" t="s">
        <v>480</v>
      </c>
      <c r="F10142" t="s">
        <v>410</v>
      </c>
      <c r="G10142">
        <v>47</v>
      </c>
      <c r="I10142">
        <v>47</v>
      </c>
    </row>
    <row r="10143" spans="1:17" x14ac:dyDescent="0.2">
      <c r="A10143" s="121">
        <v>42582</v>
      </c>
      <c r="B10143" t="s">
        <v>406</v>
      </c>
      <c r="C10143" t="s">
        <v>456</v>
      </c>
      <c r="D10143" t="s">
        <v>481</v>
      </c>
      <c r="E10143" t="s">
        <v>482</v>
      </c>
      <c r="F10143" t="s">
        <v>410</v>
      </c>
      <c r="G10143">
        <v>26</v>
      </c>
      <c r="I10143">
        <v>26</v>
      </c>
    </row>
    <row r="10144" spans="1:17" x14ac:dyDescent="0.2">
      <c r="A10144" s="121">
        <v>42582</v>
      </c>
      <c r="B10144" t="s">
        <v>406</v>
      </c>
      <c r="C10144" t="s">
        <v>456</v>
      </c>
      <c r="D10144" t="s">
        <v>483</v>
      </c>
      <c r="E10144" t="s">
        <v>484</v>
      </c>
      <c r="F10144" t="s">
        <v>410</v>
      </c>
      <c r="G10144">
        <v>107</v>
      </c>
      <c r="I10144">
        <v>107</v>
      </c>
    </row>
    <row r="10145" spans="1:17" x14ac:dyDescent="0.2">
      <c r="A10145" s="121">
        <v>42582</v>
      </c>
      <c r="B10145" t="s">
        <v>406</v>
      </c>
      <c r="C10145" t="s">
        <v>456</v>
      </c>
      <c r="D10145" t="s">
        <v>487</v>
      </c>
      <c r="E10145" t="s">
        <v>488</v>
      </c>
      <c r="F10145" t="s">
        <v>410</v>
      </c>
      <c r="G10145">
        <v>33</v>
      </c>
      <c r="I10145">
        <v>33</v>
      </c>
    </row>
    <row r="10146" spans="1:17" x14ac:dyDescent="0.2">
      <c r="A10146" s="121">
        <v>42582</v>
      </c>
      <c r="B10146" t="s">
        <v>406</v>
      </c>
      <c r="C10146" t="s">
        <v>456</v>
      </c>
      <c r="D10146" t="s">
        <v>489</v>
      </c>
      <c r="E10146" t="s">
        <v>490</v>
      </c>
      <c r="F10146" t="s">
        <v>410</v>
      </c>
      <c r="G10146">
        <v>135</v>
      </c>
      <c r="I10146">
        <v>135</v>
      </c>
    </row>
    <row r="10147" spans="1:17" x14ac:dyDescent="0.2">
      <c r="A10147" s="121">
        <v>42582</v>
      </c>
      <c r="B10147" t="s">
        <v>406</v>
      </c>
      <c r="C10147" t="s">
        <v>456</v>
      </c>
      <c r="D10147" t="s">
        <v>628</v>
      </c>
      <c r="E10147" t="s">
        <v>629</v>
      </c>
      <c r="F10147" t="s">
        <v>410</v>
      </c>
      <c r="G10147">
        <v>33</v>
      </c>
      <c r="I10147">
        <v>33</v>
      </c>
    </row>
    <row r="10148" spans="1:17" x14ac:dyDescent="0.2">
      <c r="A10148" s="121">
        <v>42582</v>
      </c>
      <c r="B10148" t="s">
        <v>406</v>
      </c>
      <c r="C10148" t="s">
        <v>491</v>
      </c>
      <c r="D10148" t="s">
        <v>492</v>
      </c>
      <c r="E10148" t="s">
        <v>493</v>
      </c>
      <c r="F10148" t="s">
        <v>410</v>
      </c>
      <c r="G10148">
        <v>1458</v>
      </c>
      <c r="H10148">
        <v>1458</v>
      </c>
      <c r="I10148">
        <v>1442</v>
      </c>
      <c r="J10148">
        <v>1442</v>
      </c>
      <c r="K10148">
        <v>223</v>
      </c>
      <c r="L10148">
        <v>4</v>
      </c>
      <c r="M10148">
        <v>1134</v>
      </c>
      <c r="N10148">
        <v>85</v>
      </c>
      <c r="O10148">
        <v>12</v>
      </c>
      <c r="P10148">
        <v>0</v>
      </c>
      <c r="Q10148">
        <v>0</v>
      </c>
    </row>
    <row r="10149" spans="1:17" x14ac:dyDescent="0.2">
      <c r="A10149" s="121">
        <v>42582</v>
      </c>
      <c r="B10149" t="s">
        <v>406</v>
      </c>
      <c r="C10149" t="s">
        <v>491</v>
      </c>
      <c r="D10149" t="s">
        <v>494</v>
      </c>
      <c r="E10149" t="s">
        <v>495</v>
      </c>
      <c r="F10149" t="s">
        <v>413</v>
      </c>
      <c r="G10149">
        <v>2663</v>
      </c>
      <c r="H10149">
        <v>2663</v>
      </c>
      <c r="I10149">
        <v>2570</v>
      </c>
      <c r="J10149">
        <v>2570</v>
      </c>
      <c r="K10149">
        <v>665</v>
      </c>
      <c r="L10149">
        <v>0</v>
      </c>
      <c r="M10149">
        <v>1835</v>
      </c>
      <c r="N10149">
        <v>52</v>
      </c>
      <c r="O10149">
        <v>111</v>
      </c>
      <c r="P10149">
        <v>1</v>
      </c>
      <c r="Q10149">
        <v>0</v>
      </c>
    </row>
    <row r="10150" spans="1:17" x14ac:dyDescent="0.2">
      <c r="A10150" s="121">
        <v>42582</v>
      </c>
      <c r="B10150" t="s">
        <v>406</v>
      </c>
      <c r="C10150" t="s">
        <v>491</v>
      </c>
      <c r="D10150" t="s">
        <v>496</v>
      </c>
      <c r="E10150" t="s">
        <v>497</v>
      </c>
      <c r="F10150" t="s">
        <v>413</v>
      </c>
      <c r="G10150">
        <v>5716</v>
      </c>
      <c r="H10150">
        <v>5716</v>
      </c>
      <c r="I10150">
        <v>5164</v>
      </c>
      <c r="J10150">
        <v>5164</v>
      </c>
      <c r="K10150">
        <v>1888</v>
      </c>
      <c r="L10150">
        <v>9</v>
      </c>
      <c r="M10150">
        <v>3561</v>
      </c>
      <c r="N10150">
        <v>121</v>
      </c>
      <c r="O10150">
        <v>137</v>
      </c>
      <c r="P10150">
        <v>35</v>
      </c>
      <c r="Q10150">
        <v>1</v>
      </c>
    </row>
    <row r="10151" spans="1:17" x14ac:dyDescent="0.2">
      <c r="A10151" s="121">
        <v>42582</v>
      </c>
      <c r="B10151" t="s">
        <v>406</v>
      </c>
      <c r="C10151" t="s">
        <v>491</v>
      </c>
      <c r="D10151" t="s">
        <v>498</v>
      </c>
      <c r="E10151" t="s">
        <v>499</v>
      </c>
      <c r="F10151" t="s">
        <v>413</v>
      </c>
      <c r="G10151">
        <v>7661</v>
      </c>
      <c r="H10151">
        <v>7661</v>
      </c>
      <c r="I10151">
        <v>6555</v>
      </c>
      <c r="J10151">
        <v>6555</v>
      </c>
      <c r="K10151">
        <v>2564</v>
      </c>
      <c r="L10151">
        <v>18</v>
      </c>
      <c r="M10151">
        <v>4550</v>
      </c>
      <c r="N10151">
        <v>161</v>
      </c>
      <c r="O10151">
        <v>368</v>
      </c>
      <c r="P10151">
        <v>28</v>
      </c>
      <c r="Q10151">
        <v>0</v>
      </c>
    </row>
    <row r="10152" spans="1:17" x14ac:dyDescent="0.2">
      <c r="A10152" s="121">
        <v>42582</v>
      </c>
      <c r="B10152" t="s">
        <v>406</v>
      </c>
      <c r="C10152" t="s">
        <v>491</v>
      </c>
      <c r="D10152" t="s">
        <v>500</v>
      </c>
      <c r="E10152" t="s">
        <v>620</v>
      </c>
      <c r="F10152" t="s">
        <v>410</v>
      </c>
      <c r="G10152">
        <v>1478</v>
      </c>
      <c r="H10152">
        <v>1478</v>
      </c>
      <c r="I10152">
        <v>1477</v>
      </c>
      <c r="J10152">
        <v>1477</v>
      </c>
      <c r="K10152">
        <v>0</v>
      </c>
      <c r="L10152">
        <v>0</v>
      </c>
      <c r="M10152">
        <v>1361</v>
      </c>
      <c r="N10152">
        <v>102</v>
      </c>
      <c r="O10152">
        <v>15</v>
      </c>
      <c r="P10152">
        <v>1</v>
      </c>
      <c r="Q10152">
        <v>0</v>
      </c>
    </row>
    <row r="10153" spans="1:17" x14ac:dyDescent="0.2">
      <c r="A10153" s="121">
        <v>42582</v>
      </c>
      <c r="B10153" t="s">
        <v>406</v>
      </c>
      <c r="C10153" t="s">
        <v>491</v>
      </c>
      <c r="D10153" t="s">
        <v>502</v>
      </c>
      <c r="E10153" t="s">
        <v>615</v>
      </c>
      <c r="F10153" t="s">
        <v>410</v>
      </c>
      <c r="G10153">
        <v>2399</v>
      </c>
      <c r="H10153">
        <v>2399</v>
      </c>
      <c r="I10153">
        <v>2398</v>
      </c>
      <c r="J10153">
        <v>2398</v>
      </c>
      <c r="K10153">
        <v>0</v>
      </c>
      <c r="L10153">
        <v>1</v>
      </c>
      <c r="M10153">
        <v>2148</v>
      </c>
      <c r="N10153">
        <v>232</v>
      </c>
      <c r="O10153">
        <v>18</v>
      </c>
      <c r="P10153">
        <v>0</v>
      </c>
      <c r="Q10153">
        <v>0</v>
      </c>
    </row>
    <row r="10154" spans="1:17" x14ac:dyDescent="0.2">
      <c r="A10154" s="121">
        <v>42582</v>
      </c>
      <c r="B10154" t="s">
        <v>406</v>
      </c>
      <c r="C10154" t="s">
        <v>491</v>
      </c>
      <c r="D10154" t="s">
        <v>504</v>
      </c>
      <c r="E10154" t="s">
        <v>630</v>
      </c>
      <c r="F10154" t="s">
        <v>413</v>
      </c>
      <c r="G10154">
        <v>8077</v>
      </c>
      <c r="H10154">
        <v>8077</v>
      </c>
      <c r="I10154">
        <v>7477</v>
      </c>
      <c r="J10154">
        <v>7477</v>
      </c>
      <c r="K10154">
        <v>2587</v>
      </c>
      <c r="L10154">
        <v>27</v>
      </c>
      <c r="M10154">
        <v>5138</v>
      </c>
      <c r="N10154">
        <v>128</v>
      </c>
      <c r="O10154">
        <v>197</v>
      </c>
      <c r="P10154">
        <v>16</v>
      </c>
      <c r="Q10154">
        <v>1</v>
      </c>
    </row>
    <row r="10155" spans="1:17" x14ac:dyDescent="0.2">
      <c r="A10155" s="121">
        <v>42582</v>
      </c>
      <c r="B10155" t="s">
        <v>406</v>
      </c>
      <c r="C10155" t="s">
        <v>491</v>
      </c>
      <c r="D10155" t="s">
        <v>506</v>
      </c>
      <c r="E10155" t="s">
        <v>507</v>
      </c>
      <c r="F10155" t="s">
        <v>413</v>
      </c>
      <c r="G10155">
        <v>3745</v>
      </c>
      <c r="H10155">
        <v>3745</v>
      </c>
      <c r="I10155">
        <v>3730</v>
      </c>
      <c r="J10155">
        <v>3730</v>
      </c>
      <c r="K10155">
        <v>683</v>
      </c>
      <c r="L10155">
        <v>1</v>
      </c>
      <c r="M10155">
        <v>3056</v>
      </c>
      <c r="N10155">
        <v>1</v>
      </c>
      <c r="O10155">
        <v>4</v>
      </c>
      <c r="P10155">
        <v>0</v>
      </c>
      <c r="Q10155">
        <v>0</v>
      </c>
    </row>
    <row r="10156" spans="1:17" x14ac:dyDescent="0.2">
      <c r="A10156" s="121">
        <v>42582</v>
      </c>
      <c r="B10156" t="s">
        <v>406</v>
      </c>
      <c r="C10156" t="s">
        <v>491</v>
      </c>
      <c r="D10156" t="s">
        <v>508</v>
      </c>
      <c r="E10156" t="s">
        <v>631</v>
      </c>
      <c r="F10156" t="s">
        <v>410</v>
      </c>
      <c r="G10156">
        <v>878</v>
      </c>
      <c r="H10156">
        <v>878</v>
      </c>
      <c r="I10156">
        <v>878</v>
      </c>
      <c r="J10156">
        <v>878</v>
      </c>
      <c r="K10156">
        <v>2</v>
      </c>
      <c r="L10156">
        <v>1</v>
      </c>
      <c r="M10156">
        <v>794</v>
      </c>
      <c r="N10156">
        <v>81</v>
      </c>
      <c r="O10156">
        <v>0</v>
      </c>
      <c r="P10156">
        <v>0</v>
      </c>
      <c r="Q10156">
        <v>0</v>
      </c>
    </row>
    <row r="10157" spans="1:17" x14ac:dyDescent="0.2">
      <c r="A10157" s="121">
        <v>42582</v>
      </c>
      <c r="B10157" t="s">
        <v>406</v>
      </c>
      <c r="C10157" t="s">
        <v>510</v>
      </c>
      <c r="D10157" t="s">
        <v>513</v>
      </c>
      <c r="E10157" t="s">
        <v>514</v>
      </c>
      <c r="F10157" t="s">
        <v>410</v>
      </c>
      <c r="G10157">
        <v>635</v>
      </c>
      <c r="I10157">
        <v>635</v>
      </c>
    </row>
    <row r="10158" spans="1:17" x14ac:dyDescent="0.2">
      <c r="A10158" s="121">
        <v>42582</v>
      </c>
      <c r="B10158" t="s">
        <v>406</v>
      </c>
      <c r="C10158" t="s">
        <v>510</v>
      </c>
      <c r="D10158" t="s">
        <v>515</v>
      </c>
      <c r="E10158" t="s">
        <v>516</v>
      </c>
      <c r="F10158" t="s">
        <v>410</v>
      </c>
      <c r="G10158">
        <v>143</v>
      </c>
      <c r="I10158">
        <v>143</v>
      </c>
    </row>
    <row r="10159" spans="1:17" x14ac:dyDescent="0.2">
      <c r="A10159" s="121">
        <v>42582</v>
      </c>
      <c r="B10159" t="s">
        <v>406</v>
      </c>
      <c r="C10159" t="s">
        <v>510</v>
      </c>
      <c r="D10159" t="s">
        <v>519</v>
      </c>
      <c r="E10159" t="s">
        <v>520</v>
      </c>
      <c r="F10159" t="s">
        <v>410</v>
      </c>
      <c r="G10159">
        <v>384</v>
      </c>
      <c r="I10159">
        <v>382</v>
      </c>
    </row>
    <row r="10160" spans="1:17" x14ac:dyDescent="0.2">
      <c r="A10160" s="121">
        <v>42582</v>
      </c>
      <c r="B10160" t="s">
        <v>406</v>
      </c>
      <c r="C10160" t="s">
        <v>510</v>
      </c>
      <c r="D10160" t="s">
        <v>523</v>
      </c>
      <c r="E10160" t="s">
        <v>524</v>
      </c>
      <c r="F10160" t="s">
        <v>413</v>
      </c>
      <c r="G10160">
        <v>717</v>
      </c>
      <c r="H10160">
        <v>717</v>
      </c>
      <c r="I10160">
        <v>705</v>
      </c>
      <c r="J10160">
        <v>705</v>
      </c>
      <c r="K10160">
        <v>162</v>
      </c>
      <c r="L10160">
        <v>1</v>
      </c>
      <c r="M10160">
        <v>538</v>
      </c>
      <c r="N10160">
        <v>16</v>
      </c>
      <c r="O10160">
        <v>0</v>
      </c>
      <c r="P10160">
        <v>0</v>
      </c>
      <c r="Q10160">
        <v>0</v>
      </c>
    </row>
    <row r="10161" spans="1:17" x14ac:dyDescent="0.2">
      <c r="A10161" s="121">
        <v>42582</v>
      </c>
      <c r="B10161" t="s">
        <v>406</v>
      </c>
      <c r="C10161" t="s">
        <v>510</v>
      </c>
      <c r="D10161" t="s">
        <v>525</v>
      </c>
      <c r="E10161" t="s">
        <v>526</v>
      </c>
      <c r="F10161" t="s">
        <v>410</v>
      </c>
      <c r="G10161">
        <v>577</v>
      </c>
      <c r="I10161">
        <v>577</v>
      </c>
    </row>
    <row r="10162" spans="1:17" x14ac:dyDescent="0.2">
      <c r="A10162" s="121">
        <v>42582</v>
      </c>
      <c r="B10162" t="s">
        <v>406</v>
      </c>
      <c r="C10162" t="s">
        <v>510</v>
      </c>
      <c r="D10162" t="s">
        <v>527</v>
      </c>
      <c r="E10162" t="s">
        <v>528</v>
      </c>
      <c r="F10162" t="s">
        <v>410</v>
      </c>
      <c r="G10162">
        <v>234</v>
      </c>
      <c r="I10162">
        <v>234</v>
      </c>
    </row>
    <row r="10163" spans="1:17" x14ac:dyDescent="0.2">
      <c r="A10163" s="121">
        <v>42582</v>
      </c>
      <c r="B10163" t="s">
        <v>406</v>
      </c>
      <c r="C10163" t="s">
        <v>510</v>
      </c>
      <c r="D10163" t="s">
        <v>529</v>
      </c>
      <c r="E10163" t="s">
        <v>530</v>
      </c>
      <c r="F10163" t="s">
        <v>413</v>
      </c>
      <c r="G10163">
        <v>621</v>
      </c>
      <c r="H10163">
        <v>621</v>
      </c>
      <c r="I10163">
        <v>611</v>
      </c>
      <c r="J10163">
        <v>611</v>
      </c>
      <c r="K10163">
        <v>190</v>
      </c>
      <c r="L10163">
        <v>0</v>
      </c>
      <c r="M10163">
        <v>426</v>
      </c>
      <c r="N10163">
        <v>5</v>
      </c>
      <c r="O10163">
        <v>0</v>
      </c>
      <c r="P10163">
        <v>0</v>
      </c>
      <c r="Q10163">
        <v>0</v>
      </c>
    </row>
    <row r="10164" spans="1:17" x14ac:dyDescent="0.2">
      <c r="A10164" s="121">
        <v>42582</v>
      </c>
      <c r="B10164" t="s">
        <v>406</v>
      </c>
      <c r="C10164" t="s">
        <v>510</v>
      </c>
      <c r="D10164" t="s">
        <v>531</v>
      </c>
      <c r="E10164" t="s">
        <v>532</v>
      </c>
      <c r="F10164" t="s">
        <v>410</v>
      </c>
      <c r="G10164">
        <v>35</v>
      </c>
      <c r="I10164">
        <v>35</v>
      </c>
    </row>
    <row r="10165" spans="1:17" x14ac:dyDescent="0.2">
      <c r="A10165" s="121">
        <v>42582</v>
      </c>
      <c r="B10165" t="s">
        <v>406</v>
      </c>
      <c r="C10165" t="s">
        <v>510</v>
      </c>
      <c r="D10165" t="s">
        <v>533</v>
      </c>
      <c r="E10165" t="s">
        <v>534</v>
      </c>
      <c r="F10165" t="s">
        <v>413</v>
      </c>
      <c r="G10165">
        <v>3006</v>
      </c>
      <c r="H10165">
        <v>3006</v>
      </c>
      <c r="I10165">
        <v>2859</v>
      </c>
      <c r="J10165">
        <v>2859</v>
      </c>
      <c r="K10165">
        <v>714</v>
      </c>
      <c r="L10165">
        <v>4</v>
      </c>
      <c r="M10165">
        <v>2276</v>
      </c>
      <c r="N10165">
        <v>12</v>
      </c>
      <c r="O10165">
        <v>0</v>
      </c>
      <c r="P10165">
        <v>1</v>
      </c>
      <c r="Q10165">
        <v>0</v>
      </c>
    </row>
    <row r="10166" spans="1:17" x14ac:dyDescent="0.2">
      <c r="A10166" s="121">
        <v>42582</v>
      </c>
      <c r="B10166" t="s">
        <v>406</v>
      </c>
      <c r="C10166" t="s">
        <v>510</v>
      </c>
      <c r="D10166" t="s">
        <v>535</v>
      </c>
      <c r="E10166" t="s">
        <v>536</v>
      </c>
      <c r="F10166" t="s">
        <v>410</v>
      </c>
      <c r="G10166">
        <v>360</v>
      </c>
      <c r="I10166">
        <v>360</v>
      </c>
    </row>
    <row r="10167" spans="1:17" x14ac:dyDescent="0.2">
      <c r="A10167" s="121">
        <v>42582</v>
      </c>
      <c r="B10167" t="s">
        <v>406</v>
      </c>
      <c r="C10167" t="s">
        <v>510</v>
      </c>
      <c r="D10167" t="s">
        <v>537</v>
      </c>
      <c r="E10167" t="s">
        <v>538</v>
      </c>
      <c r="F10167" t="s">
        <v>410</v>
      </c>
      <c r="G10167">
        <v>87</v>
      </c>
      <c r="I10167">
        <v>87</v>
      </c>
    </row>
    <row r="10168" spans="1:17" x14ac:dyDescent="0.2">
      <c r="A10168" s="121">
        <v>42582</v>
      </c>
      <c r="B10168" t="s">
        <v>406</v>
      </c>
      <c r="C10168" t="s">
        <v>510</v>
      </c>
      <c r="D10168" t="s">
        <v>539</v>
      </c>
      <c r="E10168" t="s">
        <v>540</v>
      </c>
      <c r="F10168" t="s">
        <v>413</v>
      </c>
      <c r="G10168">
        <v>896</v>
      </c>
      <c r="H10168">
        <v>896</v>
      </c>
      <c r="I10168">
        <v>857</v>
      </c>
      <c r="J10168">
        <v>857</v>
      </c>
      <c r="K10168">
        <v>142</v>
      </c>
      <c r="L10168">
        <v>0</v>
      </c>
      <c r="M10168">
        <v>746</v>
      </c>
      <c r="N10168">
        <v>8</v>
      </c>
      <c r="O10168">
        <v>0</v>
      </c>
      <c r="P10168">
        <v>0</v>
      </c>
      <c r="Q10168">
        <v>0</v>
      </c>
    </row>
    <row r="10169" spans="1:17" x14ac:dyDescent="0.2">
      <c r="A10169" s="121">
        <v>42582</v>
      </c>
      <c r="B10169" t="s">
        <v>406</v>
      </c>
      <c r="C10169" t="s">
        <v>510</v>
      </c>
      <c r="D10169" t="s">
        <v>541</v>
      </c>
      <c r="E10169" t="s">
        <v>542</v>
      </c>
      <c r="F10169" t="s">
        <v>410</v>
      </c>
      <c r="G10169">
        <v>432</v>
      </c>
      <c r="I10169">
        <v>432</v>
      </c>
    </row>
    <row r="10170" spans="1:17" x14ac:dyDescent="0.2">
      <c r="A10170" s="121">
        <v>42582</v>
      </c>
      <c r="B10170" t="s">
        <v>406</v>
      </c>
      <c r="C10170" t="s">
        <v>510</v>
      </c>
      <c r="D10170" t="s">
        <v>543</v>
      </c>
      <c r="E10170" t="s">
        <v>544</v>
      </c>
      <c r="F10170" t="s">
        <v>410</v>
      </c>
      <c r="G10170">
        <v>227</v>
      </c>
      <c r="I10170">
        <v>227</v>
      </c>
    </row>
    <row r="10171" spans="1:17" x14ac:dyDescent="0.2">
      <c r="A10171" s="121">
        <v>42582</v>
      </c>
      <c r="B10171" t="s">
        <v>406</v>
      </c>
      <c r="C10171" t="s">
        <v>510</v>
      </c>
      <c r="D10171" t="s">
        <v>545</v>
      </c>
      <c r="E10171" t="s">
        <v>546</v>
      </c>
      <c r="F10171" t="s">
        <v>410</v>
      </c>
      <c r="G10171">
        <v>153</v>
      </c>
      <c r="I10171">
        <v>153</v>
      </c>
    </row>
    <row r="10172" spans="1:17" x14ac:dyDescent="0.2">
      <c r="A10172" s="121">
        <v>42582</v>
      </c>
      <c r="B10172" t="s">
        <v>406</v>
      </c>
      <c r="C10172" t="s">
        <v>510</v>
      </c>
      <c r="D10172" t="s">
        <v>547</v>
      </c>
      <c r="E10172" t="s">
        <v>548</v>
      </c>
      <c r="F10172" t="s">
        <v>410</v>
      </c>
      <c r="G10172">
        <v>154</v>
      </c>
      <c r="I10172">
        <v>154</v>
      </c>
    </row>
    <row r="10173" spans="1:17" x14ac:dyDescent="0.2">
      <c r="A10173" s="121">
        <v>42582</v>
      </c>
      <c r="B10173" t="s">
        <v>406</v>
      </c>
      <c r="C10173" t="s">
        <v>510</v>
      </c>
      <c r="D10173" t="s">
        <v>616</v>
      </c>
      <c r="E10173" t="s">
        <v>617</v>
      </c>
      <c r="F10173" t="s">
        <v>410</v>
      </c>
      <c r="G10173">
        <v>413</v>
      </c>
      <c r="I10173">
        <v>399</v>
      </c>
    </row>
    <row r="10174" spans="1:17" x14ac:dyDescent="0.2">
      <c r="A10174" s="121">
        <v>42582</v>
      </c>
      <c r="B10174" t="s">
        <v>406</v>
      </c>
      <c r="C10174" t="s">
        <v>510</v>
      </c>
      <c r="D10174" t="s">
        <v>549</v>
      </c>
      <c r="E10174" t="s">
        <v>550</v>
      </c>
      <c r="F10174" t="s">
        <v>410</v>
      </c>
      <c r="G10174">
        <v>180</v>
      </c>
      <c r="I10174">
        <v>180</v>
      </c>
    </row>
    <row r="10175" spans="1:17" x14ac:dyDescent="0.2">
      <c r="A10175" s="121">
        <v>42582</v>
      </c>
      <c r="B10175" t="s">
        <v>406</v>
      </c>
      <c r="C10175" t="s">
        <v>510</v>
      </c>
      <c r="D10175" t="s">
        <v>625</v>
      </c>
      <c r="E10175" t="s">
        <v>626</v>
      </c>
      <c r="F10175" t="s">
        <v>410</v>
      </c>
      <c r="G10175">
        <v>106</v>
      </c>
      <c r="I10175">
        <v>106</v>
      </c>
    </row>
    <row r="10176" spans="1:17" x14ac:dyDescent="0.2">
      <c r="A10176" s="121">
        <v>42582</v>
      </c>
      <c r="B10176" t="s">
        <v>406</v>
      </c>
      <c r="C10176" t="s">
        <v>551</v>
      </c>
      <c r="D10176" t="s">
        <v>552</v>
      </c>
      <c r="E10176" t="s">
        <v>553</v>
      </c>
      <c r="F10176" t="s">
        <v>413</v>
      </c>
      <c r="G10176">
        <v>5605</v>
      </c>
      <c r="H10176">
        <v>5605</v>
      </c>
      <c r="I10176">
        <v>5391</v>
      </c>
      <c r="J10176">
        <v>5391</v>
      </c>
      <c r="K10176">
        <v>1901</v>
      </c>
      <c r="L10176">
        <v>1</v>
      </c>
      <c r="M10176">
        <v>3582</v>
      </c>
      <c r="N10176">
        <v>65</v>
      </c>
      <c r="O10176">
        <v>56</v>
      </c>
      <c r="P10176">
        <v>2</v>
      </c>
      <c r="Q10176">
        <v>0</v>
      </c>
    </row>
    <row r="10177" spans="1:17" x14ac:dyDescent="0.2">
      <c r="A10177" s="121">
        <v>42582</v>
      </c>
      <c r="B10177" t="s">
        <v>406</v>
      </c>
      <c r="C10177" t="s">
        <v>551</v>
      </c>
      <c r="D10177" t="s">
        <v>554</v>
      </c>
      <c r="E10177" t="s">
        <v>555</v>
      </c>
      <c r="F10177" t="s">
        <v>410</v>
      </c>
      <c r="G10177">
        <v>73</v>
      </c>
      <c r="I10177">
        <v>73</v>
      </c>
    </row>
    <row r="10178" spans="1:17" x14ac:dyDescent="0.2">
      <c r="A10178" s="121">
        <v>42582</v>
      </c>
      <c r="B10178" t="s">
        <v>406</v>
      </c>
      <c r="C10178" t="s">
        <v>551</v>
      </c>
      <c r="D10178" t="s">
        <v>556</v>
      </c>
      <c r="E10178" t="s">
        <v>557</v>
      </c>
      <c r="F10178" t="s">
        <v>410</v>
      </c>
      <c r="G10178">
        <v>102</v>
      </c>
      <c r="I10178">
        <v>102</v>
      </c>
    </row>
    <row r="10179" spans="1:17" x14ac:dyDescent="0.2">
      <c r="A10179" s="121">
        <v>42582</v>
      </c>
      <c r="B10179" t="s">
        <v>406</v>
      </c>
      <c r="C10179" t="s">
        <v>551</v>
      </c>
      <c r="D10179" t="s">
        <v>558</v>
      </c>
      <c r="E10179" t="s">
        <v>559</v>
      </c>
      <c r="F10179" t="s">
        <v>413</v>
      </c>
      <c r="G10179">
        <v>5322</v>
      </c>
      <c r="H10179">
        <v>5322</v>
      </c>
      <c r="I10179">
        <v>5016</v>
      </c>
      <c r="J10179">
        <v>5016</v>
      </c>
      <c r="K10179">
        <v>1577</v>
      </c>
      <c r="L10179">
        <v>5</v>
      </c>
      <c r="M10179">
        <v>3643</v>
      </c>
      <c r="N10179">
        <v>77</v>
      </c>
      <c r="O10179">
        <v>20</v>
      </c>
      <c r="P10179">
        <v>41</v>
      </c>
      <c r="Q10179">
        <v>9</v>
      </c>
    </row>
    <row r="10180" spans="1:17" x14ac:dyDescent="0.2">
      <c r="A10180" s="121">
        <v>42582</v>
      </c>
      <c r="B10180" t="s">
        <v>406</v>
      </c>
      <c r="C10180" t="s">
        <v>551</v>
      </c>
      <c r="D10180" t="s">
        <v>560</v>
      </c>
      <c r="E10180" t="s">
        <v>561</v>
      </c>
      <c r="F10180" t="s">
        <v>413</v>
      </c>
      <c r="G10180">
        <v>5221</v>
      </c>
      <c r="H10180">
        <v>5221</v>
      </c>
      <c r="I10180">
        <v>4797</v>
      </c>
      <c r="J10180">
        <v>4797</v>
      </c>
      <c r="K10180">
        <v>1217</v>
      </c>
      <c r="L10180">
        <v>3</v>
      </c>
      <c r="M10180">
        <v>3809</v>
      </c>
      <c r="N10180">
        <v>65</v>
      </c>
      <c r="O10180">
        <v>127</v>
      </c>
      <c r="P10180">
        <v>22</v>
      </c>
      <c r="Q10180">
        <v>0</v>
      </c>
    </row>
    <row r="10181" spans="1:17" x14ac:dyDescent="0.2">
      <c r="A10181" s="121">
        <v>42582</v>
      </c>
      <c r="B10181" t="s">
        <v>406</v>
      </c>
      <c r="C10181" t="s">
        <v>562</v>
      </c>
      <c r="D10181" t="s">
        <v>605</v>
      </c>
      <c r="E10181" t="s">
        <v>606</v>
      </c>
      <c r="F10181" t="s">
        <v>410</v>
      </c>
      <c r="G10181">
        <v>189</v>
      </c>
      <c r="I10181">
        <v>189</v>
      </c>
    </row>
    <row r="10182" spans="1:17" x14ac:dyDescent="0.2">
      <c r="A10182" s="121">
        <v>42582</v>
      </c>
      <c r="B10182" t="s">
        <v>406</v>
      </c>
      <c r="C10182" t="s">
        <v>562</v>
      </c>
      <c r="D10182" t="s">
        <v>563</v>
      </c>
      <c r="E10182" t="s">
        <v>564</v>
      </c>
      <c r="F10182" t="s">
        <v>410</v>
      </c>
      <c r="G10182">
        <v>3596</v>
      </c>
      <c r="H10182">
        <v>3596</v>
      </c>
      <c r="I10182">
        <v>3432</v>
      </c>
      <c r="J10182">
        <v>3432</v>
      </c>
      <c r="K10182">
        <v>1018</v>
      </c>
      <c r="L10182">
        <v>0</v>
      </c>
      <c r="M10182">
        <v>2539</v>
      </c>
      <c r="N10182">
        <v>39</v>
      </c>
      <c r="O10182">
        <v>0</v>
      </c>
      <c r="P10182">
        <v>13</v>
      </c>
      <c r="Q10182">
        <v>0</v>
      </c>
    </row>
    <row r="10183" spans="1:17" x14ac:dyDescent="0.2">
      <c r="A10183" s="121">
        <v>42582</v>
      </c>
      <c r="B10183" t="s">
        <v>406</v>
      </c>
      <c r="C10183" t="s">
        <v>562</v>
      </c>
      <c r="D10183" t="s">
        <v>565</v>
      </c>
      <c r="E10183" t="s">
        <v>566</v>
      </c>
      <c r="F10183" t="s">
        <v>413</v>
      </c>
      <c r="G10183">
        <v>4396</v>
      </c>
      <c r="H10183">
        <v>4396</v>
      </c>
      <c r="I10183">
        <v>4255</v>
      </c>
      <c r="J10183">
        <v>4255</v>
      </c>
      <c r="K10183">
        <v>1012</v>
      </c>
      <c r="L10183">
        <v>7</v>
      </c>
      <c r="M10183">
        <v>3274</v>
      </c>
      <c r="N10183">
        <v>103</v>
      </c>
      <c r="O10183">
        <v>0</v>
      </c>
      <c r="P10183">
        <v>11</v>
      </c>
      <c r="Q10183">
        <v>0</v>
      </c>
    </row>
    <row r="10184" spans="1:17" x14ac:dyDescent="0.2">
      <c r="A10184" s="121">
        <v>42582</v>
      </c>
      <c r="B10184" t="s">
        <v>406</v>
      </c>
      <c r="C10184" t="s">
        <v>562</v>
      </c>
      <c r="D10184" t="s">
        <v>567</v>
      </c>
      <c r="E10184" t="s">
        <v>568</v>
      </c>
      <c r="F10184" t="s">
        <v>413</v>
      </c>
      <c r="G10184">
        <v>9865</v>
      </c>
      <c r="H10184">
        <v>9865</v>
      </c>
      <c r="I10184">
        <v>9590</v>
      </c>
      <c r="J10184">
        <v>9590</v>
      </c>
      <c r="K10184">
        <v>2696</v>
      </c>
      <c r="L10184">
        <v>13</v>
      </c>
      <c r="M10184">
        <v>6977</v>
      </c>
      <c r="N10184">
        <v>179</v>
      </c>
      <c r="O10184">
        <v>0</v>
      </c>
      <c r="P10184">
        <v>13</v>
      </c>
      <c r="Q10184">
        <v>2</v>
      </c>
    </row>
    <row r="10185" spans="1:17" x14ac:dyDescent="0.2">
      <c r="A10185" s="121">
        <v>42582</v>
      </c>
      <c r="B10185" t="s">
        <v>406</v>
      </c>
      <c r="C10185" t="s">
        <v>562</v>
      </c>
      <c r="D10185" t="s">
        <v>569</v>
      </c>
      <c r="E10185" t="s">
        <v>570</v>
      </c>
      <c r="F10185" t="s">
        <v>413</v>
      </c>
      <c r="G10185">
        <v>3348</v>
      </c>
      <c r="H10185">
        <v>3348</v>
      </c>
      <c r="I10185">
        <v>3316</v>
      </c>
      <c r="J10185">
        <v>3316</v>
      </c>
      <c r="K10185">
        <v>388</v>
      </c>
      <c r="L10185">
        <v>0</v>
      </c>
      <c r="M10185">
        <v>2959</v>
      </c>
      <c r="N10185">
        <v>1</v>
      </c>
      <c r="O10185">
        <v>0</v>
      </c>
      <c r="P10185">
        <v>1</v>
      </c>
      <c r="Q10185">
        <v>0</v>
      </c>
    </row>
    <row r="10186" spans="1:17" x14ac:dyDescent="0.2">
      <c r="A10186" s="121">
        <v>42582</v>
      </c>
      <c r="B10186" t="s">
        <v>406</v>
      </c>
      <c r="C10186" t="s">
        <v>571</v>
      </c>
      <c r="D10186" t="s">
        <v>572</v>
      </c>
      <c r="E10186" t="s">
        <v>627</v>
      </c>
      <c r="F10186" t="s">
        <v>413</v>
      </c>
      <c r="G10186">
        <v>547</v>
      </c>
      <c r="H10186">
        <v>547</v>
      </c>
      <c r="I10186">
        <v>536</v>
      </c>
      <c r="J10186">
        <v>536</v>
      </c>
      <c r="K10186">
        <v>120</v>
      </c>
      <c r="L10186">
        <v>0</v>
      </c>
      <c r="M10186">
        <v>422</v>
      </c>
      <c r="N10186">
        <v>0</v>
      </c>
      <c r="O10186">
        <v>5</v>
      </c>
      <c r="P10186">
        <v>0</v>
      </c>
      <c r="Q10186">
        <v>0</v>
      </c>
    </row>
    <row r="10187" spans="1:17" x14ac:dyDescent="0.2">
      <c r="A10187" s="121">
        <v>42582</v>
      </c>
      <c r="B10187" t="s">
        <v>406</v>
      </c>
      <c r="C10187" t="s">
        <v>574</v>
      </c>
      <c r="D10187" t="s">
        <v>575</v>
      </c>
      <c r="E10187" t="s">
        <v>576</v>
      </c>
      <c r="F10187" t="s">
        <v>413</v>
      </c>
      <c r="G10187">
        <v>665</v>
      </c>
      <c r="H10187">
        <v>665</v>
      </c>
      <c r="I10187">
        <v>636</v>
      </c>
      <c r="J10187">
        <v>636</v>
      </c>
      <c r="K10187">
        <v>164</v>
      </c>
      <c r="L10187">
        <v>1</v>
      </c>
      <c r="M10187">
        <v>470</v>
      </c>
      <c r="N10187">
        <v>4</v>
      </c>
      <c r="O10187">
        <v>26</v>
      </c>
      <c r="P10187">
        <v>0</v>
      </c>
      <c r="Q10187">
        <v>0</v>
      </c>
    </row>
    <row r="10188" spans="1:17" x14ac:dyDescent="0.2">
      <c r="A10188" s="121">
        <v>42582</v>
      </c>
      <c r="B10188" t="s">
        <v>406</v>
      </c>
      <c r="C10188" t="s">
        <v>577</v>
      </c>
      <c r="D10188" t="s">
        <v>578</v>
      </c>
      <c r="E10188" t="s">
        <v>579</v>
      </c>
      <c r="F10188" t="s">
        <v>413</v>
      </c>
      <c r="G10188">
        <v>4054</v>
      </c>
      <c r="H10188">
        <v>4054</v>
      </c>
      <c r="I10188">
        <v>4027</v>
      </c>
      <c r="J10188">
        <v>4027</v>
      </c>
      <c r="K10188">
        <v>1187</v>
      </c>
      <c r="L10188">
        <v>3</v>
      </c>
      <c r="M10188">
        <v>2577</v>
      </c>
      <c r="N10188">
        <v>283</v>
      </c>
      <c r="O10188">
        <v>4</v>
      </c>
      <c r="P10188">
        <v>0</v>
      </c>
      <c r="Q10188">
        <v>0</v>
      </c>
    </row>
    <row r="10189" spans="1:17" x14ac:dyDescent="0.2">
      <c r="A10189" s="121">
        <v>42582</v>
      </c>
      <c r="B10189" t="s">
        <v>406</v>
      </c>
      <c r="C10189" t="s">
        <v>577</v>
      </c>
      <c r="D10189" t="s">
        <v>580</v>
      </c>
      <c r="E10189" t="s">
        <v>581</v>
      </c>
      <c r="F10189" t="s">
        <v>413</v>
      </c>
      <c r="G10189">
        <v>2262</v>
      </c>
      <c r="H10189">
        <v>2262</v>
      </c>
      <c r="I10189">
        <v>2247</v>
      </c>
      <c r="J10189">
        <v>2247</v>
      </c>
      <c r="K10189">
        <v>373</v>
      </c>
      <c r="L10189">
        <v>3</v>
      </c>
      <c r="M10189">
        <v>1488</v>
      </c>
      <c r="N10189">
        <v>398</v>
      </c>
      <c r="O10189">
        <v>0</v>
      </c>
      <c r="P10189">
        <v>0</v>
      </c>
      <c r="Q10189">
        <v>0</v>
      </c>
    </row>
    <row r="10190" spans="1:17" x14ac:dyDescent="0.2">
      <c r="A10190" s="121">
        <v>42582</v>
      </c>
      <c r="B10190" t="s">
        <v>406</v>
      </c>
      <c r="C10190" t="s">
        <v>577</v>
      </c>
      <c r="D10190" t="s">
        <v>609</v>
      </c>
      <c r="E10190" t="s">
        <v>610</v>
      </c>
      <c r="F10190" t="s">
        <v>410</v>
      </c>
      <c r="G10190">
        <v>30</v>
      </c>
      <c r="H10190">
        <v>30</v>
      </c>
      <c r="I10190">
        <v>30</v>
      </c>
      <c r="J10190">
        <v>30</v>
      </c>
      <c r="K10190">
        <v>0</v>
      </c>
      <c r="L10190">
        <v>0</v>
      </c>
      <c r="M10190">
        <v>27</v>
      </c>
      <c r="N10190">
        <v>3</v>
      </c>
      <c r="O10190">
        <v>0</v>
      </c>
      <c r="P10190">
        <v>0</v>
      </c>
      <c r="Q10190">
        <v>0</v>
      </c>
    </row>
    <row r="10191" spans="1:17" x14ac:dyDescent="0.2">
      <c r="A10191" s="121">
        <v>42582</v>
      </c>
      <c r="B10191" t="s">
        <v>406</v>
      </c>
      <c r="C10191" t="s">
        <v>577</v>
      </c>
      <c r="D10191" t="s">
        <v>584</v>
      </c>
      <c r="E10191" t="s">
        <v>585</v>
      </c>
      <c r="F10191" t="s">
        <v>410</v>
      </c>
      <c r="G10191">
        <v>299</v>
      </c>
      <c r="H10191">
        <v>299</v>
      </c>
      <c r="I10191">
        <v>299</v>
      </c>
      <c r="J10191">
        <v>299</v>
      </c>
      <c r="K10191">
        <v>0</v>
      </c>
      <c r="L10191">
        <v>0</v>
      </c>
      <c r="M10191">
        <v>286</v>
      </c>
      <c r="N10191">
        <v>11</v>
      </c>
      <c r="O10191">
        <v>2</v>
      </c>
      <c r="P10191">
        <v>0</v>
      </c>
      <c r="Q10191">
        <v>0</v>
      </c>
    </row>
    <row r="10192" spans="1:17" x14ac:dyDescent="0.2">
      <c r="A10192" s="121">
        <v>42582</v>
      </c>
      <c r="B10192" t="s">
        <v>406</v>
      </c>
      <c r="C10192" t="s">
        <v>577</v>
      </c>
      <c r="D10192" t="s">
        <v>586</v>
      </c>
      <c r="E10192" t="s">
        <v>587</v>
      </c>
      <c r="F10192" t="s">
        <v>410</v>
      </c>
      <c r="G10192">
        <v>1235</v>
      </c>
      <c r="H10192">
        <v>1235</v>
      </c>
      <c r="I10192">
        <v>1234</v>
      </c>
      <c r="J10192">
        <v>1234</v>
      </c>
      <c r="K10192">
        <v>0</v>
      </c>
      <c r="L10192">
        <v>0</v>
      </c>
      <c r="M10192">
        <v>1128</v>
      </c>
      <c r="N10192">
        <v>103</v>
      </c>
      <c r="O10192">
        <v>4</v>
      </c>
      <c r="P10192">
        <v>0</v>
      </c>
      <c r="Q10192">
        <v>0</v>
      </c>
    </row>
    <row r="10193" spans="1:17" x14ac:dyDescent="0.2">
      <c r="A10193" s="121">
        <v>42582</v>
      </c>
      <c r="B10193" t="s">
        <v>406</v>
      </c>
      <c r="C10193" t="s">
        <v>577</v>
      </c>
      <c r="D10193" t="s">
        <v>588</v>
      </c>
      <c r="E10193" t="s">
        <v>589</v>
      </c>
      <c r="F10193" t="s">
        <v>410</v>
      </c>
      <c r="G10193">
        <v>251</v>
      </c>
      <c r="H10193">
        <v>251</v>
      </c>
      <c r="I10193">
        <v>251</v>
      </c>
      <c r="J10193">
        <v>251</v>
      </c>
      <c r="K10193">
        <v>0</v>
      </c>
      <c r="L10193">
        <v>0</v>
      </c>
      <c r="M10193">
        <v>242</v>
      </c>
      <c r="N10193">
        <v>9</v>
      </c>
      <c r="O10193">
        <v>0</v>
      </c>
      <c r="P10193">
        <v>0</v>
      </c>
      <c r="Q10193">
        <v>0</v>
      </c>
    </row>
    <row r="10194" spans="1:17" x14ac:dyDescent="0.2">
      <c r="A10194" s="121">
        <v>42582</v>
      </c>
      <c r="B10194" t="s">
        <v>406</v>
      </c>
      <c r="C10194" t="s">
        <v>577</v>
      </c>
      <c r="D10194" t="s">
        <v>613</v>
      </c>
      <c r="E10194" t="s">
        <v>614</v>
      </c>
      <c r="F10194" t="s">
        <v>410</v>
      </c>
      <c r="G10194">
        <v>113</v>
      </c>
      <c r="H10194">
        <v>113</v>
      </c>
      <c r="I10194">
        <v>113</v>
      </c>
      <c r="J10194">
        <v>113</v>
      </c>
      <c r="K10194">
        <v>0</v>
      </c>
      <c r="L10194">
        <v>0</v>
      </c>
      <c r="M10194">
        <v>101</v>
      </c>
      <c r="N10194">
        <v>8</v>
      </c>
      <c r="O10194">
        <v>4</v>
      </c>
      <c r="P10194">
        <v>0</v>
      </c>
      <c r="Q10194">
        <v>0</v>
      </c>
    </row>
    <row r="10195" spans="1:17" x14ac:dyDescent="0.2">
      <c r="A10195" s="121">
        <v>42582</v>
      </c>
      <c r="B10195" t="s">
        <v>406</v>
      </c>
      <c r="C10195" t="s">
        <v>577</v>
      </c>
      <c r="D10195" t="s">
        <v>590</v>
      </c>
      <c r="E10195" t="s">
        <v>591</v>
      </c>
      <c r="F10195" t="s">
        <v>410</v>
      </c>
      <c r="G10195">
        <v>523</v>
      </c>
      <c r="H10195">
        <v>523</v>
      </c>
      <c r="I10195">
        <v>523</v>
      </c>
      <c r="J10195">
        <v>523</v>
      </c>
      <c r="K10195">
        <v>0</v>
      </c>
      <c r="L10195">
        <v>0</v>
      </c>
      <c r="M10195">
        <v>495</v>
      </c>
      <c r="N10195">
        <v>24</v>
      </c>
      <c r="O10195">
        <v>4</v>
      </c>
      <c r="P10195">
        <v>0</v>
      </c>
      <c r="Q10195">
        <v>0</v>
      </c>
    </row>
    <row r="10196" spans="1:17" x14ac:dyDescent="0.2">
      <c r="A10196" s="121">
        <v>42582</v>
      </c>
      <c r="B10196" t="s">
        <v>406</v>
      </c>
      <c r="C10196" t="s">
        <v>577</v>
      </c>
      <c r="D10196" t="s">
        <v>607</v>
      </c>
      <c r="E10196" t="s">
        <v>608</v>
      </c>
      <c r="F10196" t="s">
        <v>410</v>
      </c>
      <c r="G10196">
        <v>285</v>
      </c>
      <c r="H10196">
        <v>285</v>
      </c>
      <c r="I10196">
        <v>285</v>
      </c>
      <c r="J10196">
        <v>285</v>
      </c>
      <c r="K10196">
        <v>0</v>
      </c>
      <c r="L10196">
        <v>0</v>
      </c>
      <c r="M10196">
        <v>267</v>
      </c>
      <c r="N10196">
        <v>15</v>
      </c>
      <c r="O10196">
        <v>3</v>
      </c>
      <c r="P10196">
        <v>0</v>
      </c>
      <c r="Q10196">
        <v>0</v>
      </c>
    </row>
    <row r="10197" spans="1:17" x14ac:dyDescent="0.2">
      <c r="A10197" s="121">
        <v>42582</v>
      </c>
      <c r="B10197" t="s">
        <v>406</v>
      </c>
      <c r="C10197" t="s">
        <v>577</v>
      </c>
      <c r="D10197" t="s">
        <v>592</v>
      </c>
      <c r="E10197" t="s">
        <v>593</v>
      </c>
      <c r="F10197" t="s">
        <v>410</v>
      </c>
      <c r="G10197">
        <v>417</v>
      </c>
      <c r="H10197">
        <v>417</v>
      </c>
      <c r="I10197">
        <v>417</v>
      </c>
      <c r="J10197">
        <v>417</v>
      </c>
      <c r="K10197">
        <v>0</v>
      </c>
      <c r="L10197">
        <v>1</v>
      </c>
      <c r="M10197">
        <v>398</v>
      </c>
      <c r="N10197">
        <v>15</v>
      </c>
      <c r="O10197">
        <v>3</v>
      </c>
      <c r="P10197">
        <v>0</v>
      </c>
      <c r="Q10197">
        <v>0</v>
      </c>
    </row>
    <row r="10198" spans="1:17" x14ac:dyDescent="0.2">
      <c r="A10198" s="121">
        <v>42582</v>
      </c>
      <c r="B10198" t="s">
        <v>406</v>
      </c>
      <c r="C10198" t="s">
        <v>594</v>
      </c>
      <c r="D10198" t="s">
        <v>595</v>
      </c>
      <c r="E10198" t="s">
        <v>596</v>
      </c>
      <c r="F10198" t="s">
        <v>410</v>
      </c>
      <c r="G10198">
        <v>86</v>
      </c>
      <c r="I10198">
        <v>86</v>
      </c>
    </row>
    <row r="10199" spans="1:17" x14ac:dyDescent="0.2">
      <c r="A10199" s="121">
        <v>42582</v>
      </c>
      <c r="B10199" t="s">
        <v>406</v>
      </c>
      <c r="C10199" t="s">
        <v>594</v>
      </c>
      <c r="D10199" t="s">
        <v>597</v>
      </c>
      <c r="E10199" t="s">
        <v>598</v>
      </c>
      <c r="F10199" t="s">
        <v>413</v>
      </c>
      <c r="G10199">
        <v>667</v>
      </c>
      <c r="H10199">
        <v>667</v>
      </c>
      <c r="I10199">
        <v>664</v>
      </c>
      <c r="J10199">
        <v>664</v>
      </c>
      <c r="K10199">
        <v>158</v>
      </c>
      <c r="L10199">
        <v>0</v>
      </c>
      <c r="M10199">
        <v>490</v>
      </c>
      <c r="N10199">
        <v>8</v>
      </c>
      <c r="O10199">
        <v>11</v>
      </c>
      <c r="P10199">
        <v>0</v>
      </c>
      <c r="Q10199">
        <v>0</v>
      </c>
    </row>
    <row r="10200" spans="1:17" x14ac:dyDescent="0.2">
      <c r="A10200" s="121">
        <v>42582</v>
      </c>
      <c r="B10200" t="s">
        <v>406</v>
      </c>
      <c r="C10200" t="s">
        <v>594</v>
      </c>
      <c r="D10200" t="s">
        <v>599</v>
      </c>
      <c r="E10200" t="s">
        <v>600</v>
      </c>
      <c r="F10200" t="s">
        <v>410</v>
      </c>
      <c r="G10200">
        <v>136</v>
      </c>
      <c r="I10200">
        <v>136</v>
      </c>
    </row>
    <row r="10201" spans="1:17" x14ac:dyDescent="0.2">
      <c r="A10201" s="121">
        <v>42613</v>
      </c>
      <c r="B10201" t="s">
        <v>406</v>
      </c>
      <c r="C10201" t="s">
        <v>407</v>
      </c>
      <c r="D10201" t="s">
        <v>408</v>
      </c>
      <c r="E10201" t="s">
        <v>409</v>
      </c>
      <c r="F10201" t="s">
        <v>410</v>
      </c>
      <c r="G10201">
        <v>311</v>
      </c>
      <c r="I10201">
        <v>309</v>
      </c>
    </row>
    <row r="10202" spans="1:17" x14ac:dyDescent="0.2">
      <c r="A10202" s="121">
        <v>42613</v>
      </c>
      <c r="B10202" t="s">
        <v>406</v>
      </c>
      <c r="C10202" t="s">
        <v>407</v>
      </c>
      <c r="D10202" t="s">
        <v>601</v>
      </c>
      <c r="E10202" t="s">
        <v>602</v>
      </c>
      <c r="F10202" t="s">
        <v>410</v>
      </c>
      <c r="G10202">
        <v>103</v>
      </c>
      <c r="I10202">
        <v>103</v>
      </c>
    </row>
    <row r="10203" spans="1:17" x14ac:dyDescent="0.2">
      <c r="A10203" s="121">
        <v>42613</v>
      </c>
      <c r="B10203" t="s">
        <v>406</v>
      </c>
      <c r="C10203" t="s">
        <v>407</v>
      </c>
      <c r="D10203" t="s">
        <v>411</v>
      </c>
      <c r="E10203" t="s">
        <v>412</v>
      </c>
      <c r="F10203" t="s">
        <v>413</v>
      </c>
      <c r="G10203">
        <v>5891</v>
      </c>
      <c r="H10203">
        <v>5891</v>
      </c>
      <c r="I10203">
        <v>5692</v>
      </c>
      <c r="J10203">
        <v>5692</v>
      </c>
      <c r="K10203">
        <v>2071</v>
      </c>
      <c r="L10203">
        <v>8</v>
      </c>
      <c r="M10203">
        <v>3529</v>
      </c>
      <c r="N10203">
        <v>104</v>
      </c>
      <c r="O10203">
        <v>179</v>
      </c>
      <c r="P10203">
        <v>16</v>
      </c>
      <c r="Q10203">
        <v>0</v>
      </c>
    </row>
    <row r="10204" spans="1:17" x14ac:dyDescent="0.2">
      <c r="A10204" s="121">
        <v>42613</v>
      </c>
      <c r="B10204" t="s">
        <v>406</v>
      </c>
      <c r="C10204" t="s">
        <v>407</v>
      </c>
      <c r="D10204" t="s">
        <v>416</v>
      </c>
      <c r="E10204" t="s">
        <v>417</v>
      </c>
      <c r="F10204" t="s">
        <v>413</v>
      </c>
      <c r="G10204">
        <v>3985</v>
      </c>
      <c r="H10204">
        <v>3985</v>
      </c>
      <c r="I10204">
        <v>3554</v>
      </c>
      <c r="J10204">
        <v>3554</v>
      </c>
      <c r="K10204">
        <v>1428</v>
      </c>
      <c r="L10204">
        <v>4</v>
      </c>
      <c r="M10204">
        <v>2256</v>
      </c>
      <c r="N10204">
        <v>108</v>
      </c>
      <c r="O10204">
        <v>189</v>
      </c>
      <c r="P10204">
        <v>50</v>
      </c>
      <c r="Q10204">
        <v>16</v>
      </c>
    </row>
    <row r="10205" spans="1:17" x14ac:dyDescent="0.2">
      <c r="A10205" s="121">
        <v>42613</v>
      </c>
      <c r="B10205" t="s">
        <v>406</v>
      </c>
      <c r="C10205" t="s">
        <v>407</v>
      </c>
      <c r="D10205" t="s">
        <v>618</v>
      </c>
      <c r="E10205" t="s">
        <v>619</v>
      </c>
      <c r="F10205" t="s">
        <v>410</v>
      </c>
      <c r="G10205">
        <v>80</v>
      </c>
      <c r="I10205">
        <v>80</v>
      </c>
    </row>
    <row r="10206" spans="1:17" x14ac:dyDescent="0.2">
      <c r="A10206" s="121">
        <v>42613</v>
      </c>
      <c r="B10206" t="s">
        <v>406</v>
      </c>
      <c r="C10206" t="s">
        <v>418</v>
      </c>
      <c r="D10206" t="s">
        <v>419</v>
      </c>
      <c r="E10206" t="s">
        <v>420</v>
      </c>
      <c r="F10206" t="s">
        <v>410</v>
      </c>
      <c r="G10206">
        <v>12</v>
      </c>
      <c r="I10206">
        <v>12</v>
      </c>
    </row>
    <row r="10207" spans="1:17" x14ac:dyDescent="0.2">
      <c r="A10207" s="121">
        <v>42613</v>
      </c>
      <c r="B10207" t="s">
        <v>406</v>
      </c>
      <c r="C10207" t="s">
        <v>418</v>
      </c>
      <c r="D10207" t="s">
        <v>421</v>
      </c>
      <c r="E10207" t="s">
        <v>422</v>
      </c>
      <c r="F10207" t="s">
        <v>410</v>
      </c>
      <c r="G10207">
        <v>102</v>
      </c>
      <c r="I10207">
        <v>102</v>
      </c>
    </row>
    <row r="10208" spans="1:17" x14ac:dyDescent="0.2">
      <c r="A10208" s="121">
        <v>42613</v>
      </c>
      <c r="B10208" t="s">
        <v>406</v>
      </c>
      <c r="C10208" t="s">
        <v>418</v>
      </c>
      <c r="D10208" t="s">
        <v>423</v>
      </c>
      <c r="E10208" t="s">
        <v>424</v>
      </c>
      <c r="F10208" t="s">
        <v>410</v>
      </c>
      <c r="G10208">
        <v>9</v>
      </c>
      <c r="I10208">
        <v>9</v>
      </c>
    </row>
    <row r="10209" spans="1:17" x14ac:dyDescent="0.2">
      <c r="A10209" s="121">
        <v>42613</v>
      </c>
      <c r="B10209" t="s">
        <v>406</v>
      </c>
      <c r="C10209" t="s">
        <v>418</v>
      </c>
      <c r="D10209" t="s">
        <v>425</v>
      </c>
      <c r="E10209" t="s">
        <v>426</v>
      </c>
      <c r="F10209" t="s">
        <v>410</v>
      </c>
      <c r="G10209">
        <v>55</v>
      </c>
      <c r="I10209">
        <v>55</v>
      </c>
    </row>
    <row r="10210" spans="1:17" x14ac:dyDescent="0.2">
      <c r="A10210" s="121">
        <v>42613</v>
      </c>
      <c r="B10210" t="s">
        <v>406</v>
      </c>
      <c r="C10210" t="s">
        <v>418</v>
      </c>
      <c r="D10210" t="s">
        <v>427</v>
      </c>
      <c r="E10210" t="s">
        <v>428</v>
      </c>
      <c r="F10210" t="s">
        <v>413</v>
      </c>
      <c r="G10210">
        <v>2555</v>
      </c>
      <c r="H10210">
        <v>2555</v>
      </c>
      <c r="I10210">
        <v>2400</v>
      </c>
      <c r="J10210">
        <v>2400</v>
      </c>
      <c r="K10210">
        <v>891</v>
      </c>
      <c r="L10210">
        <v>2</v>
      </c>
      <c r="M10210">
        <v>1406</v>
      </c>
      <c r="N10210">
        <v>219</v>
      </c>
      <c r="O10210">
        <v>37</v>
      </c>
      <c r="P10210">
        <v>6</v>
      </c>
      <c r="Q10210">
        <v>0</v>
      </c>
    </row>
    <row r="10211" spans="1:17" x14ac:dyDescent="0.2">
      <c r="A10211" s="121">
        <v>42613</v>
      </c>
      <c r="B10211" t="s">
        <v>406</v>
      </c>
      <c r="C10211" t="s">
        <v>429</v>
      </c>
      <c r="D10211" t="s">
        <v>430</v>
      </c>
      <c r="E10211" t="s">
        <v>431</v>
      </c>
      <c r="F10211" t="s">
        <v>410</v>
      </c>
      <c r="G10211">
        <v>32</v>
      </c>
      <c r="I10211">
        <v>32</v>
      </c>
    </row>
    <row r="10212" spans="1:17" x14ac:dyDescent="0.2">
      <c r="A10212" s="121">
        <v>42613</v>
      </c>
      <c r="B10212" t="s">
        <v>406</v>
      </c>
      <c r="C10212" t="s">
        <v>429</v>
      </c>
      <c r="D10212" t="s">
        <v>432</v>
      </c>
      <c r="E10212" t="s">
        <v>433</v>
      </c>
      <c r="F10212" t="s">
        <v>410</v>
      </c>
      <c r="G10212">
        <v>80</v>
      </c>
      <c r="I10212">
        <v>80</v>
      </c>
    </row>
    <row r="10213" spans="1:17" x14ac:dyDescent="0.2">
      <c r="A10213" s="121">
        <v>42613</v>
      </c>
      <c r="B10213" t="s">
        <v>406</v>
      </c>
      <c r="C10213" t="s">
        <v>429</v>
      </c>
      <c r="D10213" t="s">
        <v>434</v>
      </c>
      <c r="E10213" t="s">
        <v>435</v>
      </c>
      <c r="F10213" t="s">
        <v>410</v>
      </c>
      <c r="G10213">
        <v>4</v>
      </c>
      <c r="I10213">
        <v>4</v>
      </c>
    </row>
    <row r="10214" spans="1:17" x14ac:dyDescent="0.2">
      <c r="A10214" s="121">
        <v>42613</v>
      </c>
      <c r="B10214" t="s">
        <v>406</v>
      </c>
      <c r="C10214" t="s">
        <v>429</v>
      </c>
      <c r="D10214" t="s">
        <v>436</v>
      </c>
      <c r="E10214" t="s">
        <v>437</v>
      </c>
      <c r="F10214" t="s">
        <v>410</v>
      </c>
      <c r="G10214">
        <v>17</v>
      </c>
      <c r="H10214">
        <v>17</v>
      </c>
      <c r="I10214">
        <v>17</v>
      </c>
      <c r="J10214">
        <v>17</v>
      </c>
      <c r="K10214">
        <v>0</v>
      </c>
      <c r="L10214">
        <v>0</v>
      </c>
      <c r="M10214">
        <v>14</v>
      </c>
      <c r="N10214">
        <v>3</v>
      </c>
      <c r="O10214">
        <v>0</v>
      </c>
      <c r="P10214">
        <v>0</v>
      </c>
      <c r="Q10214">
        <v>0</v>
      </c>
    </row>
    <row r="10215" spans="1:17" x14ac:dyDescent="0.2">
      <c r="A10215" s="121">
        <v>42613</v>
      </c>
      <c r="B10215" t="s">
        <v>406</v>
      </c>
      <c r="C10215" t="s">
        <v>429</v>
      </c>
      <c r="D10215" t="s">
        <v>438</v>
      </c>
      <c r="E10215" t="s">
        <v>439</v>
      </c>
      <c r="F10215" t="s">
        <v>413</v>
      </c>
      <c r="G10215">
        <v>1094</v>
      </c>
      <c r="H10215">
        <v>1094</v>
      </c>
      <c r="I10215">
        <v>1050</v>
      </c>
      <c r="J10215">
        <v>1050</v>
      </c>
      <c r="K10215">
        <v>92</v>
      </c>
      <c r="L10215">
        <v>1</v>
      </c>
      <c r="M10215">
        <v>905</v>
      </c>
      <c r="N10215">
        <v>64</v>
      </c>
      <c r="O10215">
        <v>32</v>
      </c>
      <c r="P10215">
        <v>1</v>
      </c>
      <c r="Q10215">
        <v>0</v>
      </c>
    </row>
    <row r="10216" spans="1:17" x14ac:dyDescent="0.2">
      <c r="A10216" s="121">
        <v>42613</v>
      </c>
      <c r="B10216" t="s">
        <v>406</v>
      </c>
      <c r="C10216" t="s">
        <v>429</v>
      </c>
      <c r="D10216" t="s">
        <v>440</v>
      </c>
      <c r="E10216" t="s">
        <v>441</v>
      </c>
      <c r="F10216" t="s">
        <v>413</v>
      </c>
      <c r="G10216">
        <v>3274</v>
      </c>
      <c r="H10216">
        <v>3274</v>
      </c>
      <c r="I10216">
        <v>3102</v>
      </c>
      <c r="J10216">
        <v>3102</v>
      </c>
      <c r="K10216">
        <v>1052</v>
      </c>
      <c r="L10216">
        <v>5</v>
      </c>
      <c r="M10216">
        <v>2063</v>
      </c>
      <c r="N10216">
        <v>79</v>
      </c>
      <c r="O10216">
        <v>75</v>
      </c>
      <c r="P10216">
        <v>1</v>
      </c>
      <c r="Q10216">
        <v>0</v>
      </c>
    </row>
    <row r="10217" spans="1:17" x14ac:dyDescent="0.2">
      <c r="A10217" s="121">
        <v>42613</v>
      </c>
      <c r="B10217" t="s">
        <v>406</v>
      </c>
      <c r="C10217" t="s">
        <v>442</v>
      </c>
      <c r="D10217" t="s">
        <v>443</v>
      </c>
      <c r="E10217" t="s">
        <v>444</v>
      </c>
      <c r="F10217" t="s">
        <v>413</v>
      </c>
      <c r="G10217">
        <v>5636</v>
      </c>
      <c r="H10217">
        <v>5636</v>
      </c>
      <c r="I10217">
        <v>5354</v>
      </c>
      <c r="J10217">
        <v>5354</v>
      </c>
      <c r="K10217">
        <v>1434</v>
      </c>
      <c r="L10217">
        <v>8</v>
      </c>
      <c r="M10217">
        <v>3942</v>
      </c>
      <c r="N10217">
        <v>69</v>
      </c>
      <c r="O10217">
        <v>183</v>
      </c>
      <c r="P10217">
        <v>11</v>
      </c>
      <c r="Q10217">
        <v>0</v>
      </c>
    </row>
    <row r="10218" spans="1:17" x14ac:dyDescent="0.2">
      <c r="A10218" s="121">
        <v>42613</v>
      </c>
      <c r="B10218" t="s">
        <v>406</v>
      </c>
      <c r="C10218" t="s">
        <v>442</v>
      </c>
      <c r="D10218" t="s">
        <v>445</v>
      </c>
      <c r="E10218" t="s">
        <v>446</v>
      </c>
      <c r="F10218" t="s">
        <v>410</v>
      </c>
      <c r="G10218">
        <v>154</v>
      </c>
      <c r="I10218">
        <v>154</v>
      </c>
    </row>
    <row r="10219" spans="1:17" x14ac:dyDescent="0.2">
      <c r="A10219" s="121">
        <v>42613</v>
      </c>
      <c r="B10219" t="s">
        <v>406</v>
      </c>
      <c r="C10219" t="s">
        <v>442</v>
      </c>
      <c r="D10219" t="s">
        <v>447</v>
      </c>
      <c r="E10219" t="s">
        <v>448</v>
      </c>
      <c r="F10219" t="s">
        <v>410</v>
      </c>
      <c r="G10219">
        <v>310</v>
      </c>
      <c r="I10219">
        <v>310</v>
      </c>
    </row>
    <row r="10220" spans="1:17" x14ac:dyDescent="0.2">
      <c r="A10220" s="121">
        <v>42613</v>
      </c>
      <c r="B10220" t="s">
        <v>406</v>
      </c>
      <c r="C10220" t="s">
        <v>442</v>
      </c>
      <c r="D10220" t="s">
        <v>449</v>
      </c>
      <c r="E10220" t="s">
        <v>624</v>
      </c>
      <c r="F10220" t="s">
        <v>410</v>
      </c>
      <c r="G10220">
        <v>2039</v>
      </c>
      <c r="H10220">
        <v>2039</v>
      </c>
      <c r="I10220">
        <v>2037</v>
      </c>
      <c r="J10220">
        <v>2037</v>
      </c>
      <c r="K10220">
        <v>10</v>
      </c>
      <c r="L10220">
        <v>1</v>
      </c>
      <c r="M10220">
        <v>1899</v>
      </c>
      <c r="N10220">
        <v>108</v>
      </c>
      <c r="O10220">
        <v>21</v>
      </c>
      <c r="P10220">
        <v>0</v>
      </c>
      <c r="Q10220">
        <v>0</v>
      </c>
    </row>
    <row r="10221" spans="1:17" x14ac:dyDescent="0.2">
      <c r="A10221" s="121">
        <v>42613</v>
      </c>
      <c r="B10221" t="s">
        <v>406</v>
      </c>
      <c r="C10221" t="s">
        <v>451</v>
      </c>
      <c r="D10221" t="s">
        <v>454</v>
      </c>
      <c r="E10221" t="s">
        <v>621</v>
      </c>
      <c r="F10221" t="s">
        <v>410</v>
      </c>
      <c r="G10221">
        <v>1341</v>
      </c>
      <c r="H10221">
        <v>1341</v>
      </c>
      <c r="I10221">
        <v>1340</v>
      </c>
      <c r="J10221">
        <v>1340</v>
      </c>
      <c r="K10221">
        <v>2</v>
      </c>
      <c r="L10221">
        <v>0</v>
      </c>
      <c r="M10221">
        <v>987</v>
      </c>
      <c r="N10221">
        <v>51</v>
      </c>
      <c r="O10221">
        <v>301</v>
      </c>
      <c r="P10221">
        <v>0</v>
      </c>
      <c r="Q10221">
        <v>0</v>
      </c>
    </row>
    <row r="10222" spans="1:17" x14ac:dyDescent="0.2">
      <c r="A10222" s="121">
        <v>42613</v>
      </c>
      <c r="B10222" t="s">
        <v>406</v>
      </c>
      <c r="C10222" t="s">
        <v>451</v>
      </c>
      <c r="D10222" t="s">
        <v>622</v>
      </c>
      <c r="E10222" t="s">
        <v>623</v>
      </c>
      <c r="F10222" t="s">
        <v>413</v>
      </c>
      <c r="G10222">
        <v>5514</v>
      </c>
      <c r="H10222">
        <v>5514</v>
      </c>
      <c r="I10222">
        <v>5184</v>
      </c>
      <c r="J10222">
        <v>5184</v>
      </c>
      <c r="K10222">
        <v>1440</v>
      </c>
      <c r="L10222">
        <v>11</v>
      </c>
      <c r="M10222">
        <v>3172</v>
      </c>
      <c r="N10222">
        <v>61</v>
      </c>
      <c r="O10222">
        <v>830</v>
      </c>
      <c r="P10222">
        <v>4</v>
      </c>
      <c r="Q10222">
        <v>0</v>
      </c>
    </row>
    <row r="10223" spans="1:17" x14ac:dyDescent="0.2">
      <c r="A10223" s="121">
        <v>42613</v>
      </c>
      <c r="B10223" t="s">
        <v>406</v>
      </c>
      <c r="C10223" t="s">
        <v>456</v>
      </c>
      <c r="D10223" t="s">
        <v>457</v>
      </c>
      <c r="E10223" t="s">
        <v>458</v>
      </c>
      <c r="F10223" t="s">
        <v>413</v>
      </c>
      <c r="G10223">
        <v>4946</v>
      </c>
      <c r="H10223">
        <v>4946</v>
      </c>
      <c r="I10223">
        <v>4680</v>
      </c>
      <c r="J10223">
        <v>4680</v>
      </c>
      <c r="K10223">
        <v>1255</v>
      </c>
      <c r="L10223">
        <v>9</v>
      </c>
      <c r="M10223">
        <v>3257</v>
      </c>
      <c r="N10223">
        <v>24</v>
      </c>
      <c r="O10223">
        <v>401</v>
      </c>
      <c r="P10223">
        <v>4</v>
      </c>
      <c r="Q10223">
        <v>0</v>
      </c>
    </row>
    <row r="10224" spans="1:17" x14ac:dyDescent="0.2">
      <c r="A10224" s="121">
        <v>42613</v>
      </c>
      <c r="B10224" t="s">
        <v>406</v>
      </c>
      <c r="C10224" t="s">
        <v>456</v>
      </c>
      <c r="D10224" t="s">
        <v>459</v>
      </c>
      <c r="E10224" t="s">
        <v>460</v>
      </c>
      <c r="F10224" t="s">
        <v>413</v>
      </c>
      <c r="G10224">
        <v>1404</v>
      </c>
      <c r="H10224">
        <v>1404</v>
      </c>
      <c r="I10224">
        <v>1391</v>
      </c>
      <c r="J10224">
        <v>1391</v>
      </c>
      <c r="K10224">
        <v>185</v>
      </c>
      <c r="L10224">
        <v>2</v>
      </c>
      <c r="M10224">
        <v>1187</v>
      </c>
      <c r="N10224">
        <v>0</v>
      </c>
      <c r="O10224">
        <v>30</v>
      </c>
      <c r="P10224">
        <v>0</v>
      </c>
      <c r="Q10224">
        <v>0</v>
      </c>
    </row>
    <row r="10225" spans="1:17" x14ac:dyDescent="0.2">
      <c r="A10225" s="121">
        <v>42613</v>
      </c>
      <c r="B10225" t="s">
        <v>406</v>
      </c>
      <c r="C10225" t="s">
        <v>456</v>
      </c>
      <c r="D10225" t="s">
        <v>461</v>
      </c>
      <c r="E10225" t="s">
        <v>462</v>
      </c>
      <c r="F10225" t="s">
        <v>410</v>
      </c>
      <c r="G10225">
        <v>131</v>
      </c>
      <c r="I10225">
        <v>131</v>
      </c>
    </row>
    <row r="10226" spans="1:17" x14ac:dyDescent="0.2">
      <c r="A10226" s="121">
        <v>42613</v>
      </c>
      <c r="B10226" t="s">
        <v>406</v>
      </c>
      <c r="C10226" t="s">
        <v>456</v>
      </c>
      <c r="D10226" t="s">
        <v>463</v>
      </c>
      <c r="E10226" t="s">
        <v>464</v>
      </c>
      <c r="F10226" t="s">
        <v>410</v>
      </c>
      <c r="G10226">
        <v>17</v>
      </c>
      <c r="I10226">
        <v>17</v>
      </c>
    </row>
    <row r="10227" spans="1:17" x14ac:dyDescent="0.2">
      <c r="A10227" s="121">
        <v>42613</v>
      </c>
      <c r="B10227" t="s">
        <v>406</v>
      </c>
      <c r="C10227" t="s">
        <v>456</v>
      </c>
      <c r="D10227" t="s">
        <v>465</v>
      </c>
      <c r="E10227" t="s">
        <v>466</v>
      </c>
      <c r="F10227" t="s">
        <v>410</v>
      </c>
      <c r="G10227">
        <v>34</v>
      </c>
      <c r="I10227">
        <v>34</v>
      </c>
    </row>
    <row r="10228" spans="1:17" x14ac:dyDescent="0.2">
      <c r="A10228" s="121">
        <v>42613</v>
      </c>
      <c r="B10228" t="s">
        <v>406</v>
      </c>
      <c r="C10228" t="s">
        <v>456</v>
      </c>
      <c r="D10228" t="s">
        <v>467</v>
      </c>
      <c r="E10228" t="s">
        <v>468</v>
      </c>
      <c r="F10228" t="s">
        <v>410</v>
      </c>
      <c r="G10228">
        <v>1308</v>
      </c>
      <c r="I10228">
        <v>1308</v>
      </c>
    </row>
    <row r="10229" spans="1:17" x14ac:dyDescent="0.2">
      <c r="A10229" s="121">
        <v>42613</v>
      </c>
      <c r="B10229" t="s">
        <v>406</v>
      </c>
      <c r="C10229" t="s">
        <v>456</v>
      </c>
      <c r="D10229" t="s">
        <v>469</v>
      </c>
      <c r="E10229" t="s">
        <v>470</v>
      </c>
      <c r="F10229" t="s">
        <v>410</v>
      </c>
      <c r="G10229">
        <v>724</v>
      </c>
      <c r="I10229">
        <v>723</v>
      </c>
    </row>
    <row r="10230" spans="1:17" x14ac:dyDescent="0.2">
      <c r="A10230" s="121">
        <v>42613</v>
      </c>
      <c r="B10230" t="s">
        <v>406</v>
      </c>
      <c r="C10230" t="s">
        <v>456</v>
      </c>
      <c r="D10230" t="s">
        <v>471</v>
      </c>
      <c r="E10230" t="s">
        <v>472</v>
      </c>
      <c r="F10230" t="s">
        <v>410</v>
      </c>
      <c r="G10230">
        <v>291</v>
      </c>
      <c r="I10230">
        <v>289</v>
      </c>
    </row>
    <row r="10231" spans="1:17" x14ac:dyDescent="0.2">
      <c r="A10231" s="121">
        <v>42613</v>
      </c>
      <c r="B10231" t="s">
        <v>406</v>
      </c>
      <c r="C10231" t="s">
        <v>456</v>
      </c>
      <c r="D10231" t="s">
        <v>473</v>
      </c>
      <c r="E10231" t="s">
        <v>474</v>
      </c>
      <c r="F10231" t="s">
        <v>410</v>
      </c>
      <c r="G10231">
        <v>228</v>
      </c>
      <c r="I10231">
        <v>228</v>
      </c>
    </row>
    <row r="10232" spans="1:17" x14ac:dyDescent="0.2">
      <c r="A10232" s="121">
        <v>42613</v>
      </c>
      <c r="B10232" t="s">
        <v>406</v>
      </c>
      <c r="C10232" t="s">
        <v>456</v>
      </c>
      <c r="D10232" t="s">
        <v>475</v>
      </c>
      <c r="E10232" t="s">
        <v>476</v>
      </c>
      <c r="F10232" t="s">
        <v>410</v>
      </c>
      <c r="G10232">
        <v>320</v>
      </c>
      <c r="I10232">
        <v>314</v>
      </c>
    </row>
    <row r="10233" spans="1:17" x14ac:dyDescent="0.2">
      <c r="A10233" s="121">
        <v>42613</v>
      </c>
      <c r="B10233" t="s">
        <v>406</v>
      </c>
      <c r="C10233" t="s">
        <v>456</v>
      </c>
      <c r="D10233" t="s">
        <v>477</v>
      </c>
      <c r="E10233" t="s">
        <v>478</v>
      </c>
      <c r="F10233" t="s">
        <v>413</v>
      </c>
      <c r="G10233">
        <v>2240</v>
      </c>
      <c r="H10233">
        <v>2240</v>
      </c>
      <c r="I10233">
        <v>2141</v>
      </c>
      <c r="J10233">
        <v>2141</v>
      </c>
      <c r="K10233">
        <v>409</v>
      </c>
      <c r="L10233">
        <v>3</v>
      </c>
      <c r="M10233">
        <v>1758</v>
      </c>
      <c r="N10233">
        <v>5</v>
      </c>
      <c r="O10233">
        <v>65</v>
      </c>
      <c r="P10233">
        <v>3</v>
      </c>
      <c r="Q10233">
        <v>0</v>
      </c>
    </row>
    <row r="10234" spans="1:17" x14ac:dyDescent="0.2">
      <c r="A10234" s="121">
        <v>42613</v>
      </c>
      <c r="B10234" t="s">
        <v>406</v>
      </c>
      <c r="C10234" t="s">
        <v>456</v>
      </c>
      <c r="D10234" t="s">
        <v>479</v>
      </c>
      <c r="E10234" t="s">
        <v>480</v>
      </c>
      <c r="F10234" t="s">
        <v>410</v>
      </c>
      <c r="G10234">
        <v>69</v>
      </c>
      <c r="I10234">
        <v>69</v>
      </c>
    </row>
    <row r="10235" spans="1:17" x14ac:dyDescent="0.2">
      <c r="A10235" s="121">
        <v>42613</v>
      </c>
      <c r="B10235" t="s">
        <v>406</v>
      </c>
      <c r="C10235" t="s">
        <v>456</v>
      </c>
      <c r="D10235" t="s">
        <v>481</v>
      </c>
      <c r="E10235" t="s">
        <v>482</v>
      </c>
      <c r="F10235" t="s">
        <v>410</v>
      </c>
      <c r="G10235">
        <v>20</v>
      </c>
      <c r="I10235">
        <v>20</v>
      </c>
    </row>
    <row r="10236" spans="1:17" x14ac:dyDescent="0.2">
      <c r="A10236" s="121">
        <v>42613</v>
      </c>
      <c r="B10236" t="s">
        <v>406</v>
      </c>
      <c r="C10236" t="s">
        <v>456</v>
      </c>
      <c r="D10236" t="s">
        <v>483</v>
      </c>
      <c r="E10236" t="s">
        <v>484</v>
      </c>
      <c r="F10236" t="s">
        <v>410</v>
      </c>
      <c r="G10236">
        <v>98</v>
      </c>
      <c r="I10236">
        <v>98</v>
      </c>
    </row>
    <row r="10237" spans="1:17" x14ac:dyDescent="0.2">
      <c r="A10237" s="121">
        <v>42613</v>
      </c>
      <c r="B10237" t="s">
        <v>406</v>
      </c>
      <c r="C10237" t="s">
        <v>456</v>
      </c>
      <c r="D10237" t="s">
        <v>487</v>
      </c>
      <c r="E10237" t="s">
        <v>488</v>
      </c>
      <c r="F10237" t="s">
        <v>410</v>
      </c>
      <c r="G10237">
        <v>24</v>
      </c>
      <c r="I10237">
        <v>24</v>
      </c>
    </row>
    <row r="10238" spans="1:17" x14ac:dyDescent="0.2">
      <c r="A10238" s="121">
        <v>42613</v>
      </c>
      <c r="B10238" t="s">
        <v>406</v>
      </c>
      <c r="C10238" t="s">
        <v>456</v>
      </c>
      <c r="D10238" t="s">
        <v>489</v>
      </c>
      <c r="E10238" t="s">
        <v>490</v>
      </c>
      <c r="F10238" t="s">
        <v>410</v>
      </c>
      <c r="G10238">
        <v>141</v>
      </c>
      <c r="I10238">
        <v>141</v>
      </c>
    </row>
    <row r="10239" spans="1:17" x14ac:dyDescent="0.2">
      <c r="A10239" s="121">
        <v>42613</v>
      </c>
      <c r="B10239" t="s">
        <v>406</v>
      </c>
      <c r="C10239" t="s">
        <v>456</v>
      </c>
      <c r="D10239" t="s">
        <v>628</v>
      </c>
      <c r="E10239" t="s">
        <v>629</v>
      </c>
      <c r="F10239" t="s">
        <v>410</v>
      </c>
      <c r="G10239">
        <v>50</v>
      </c>
      <c r="I10239">
        <v>50</v>
      </c>
    </row>
    <row r="10240" spans="1:17" x14ac:dyDescent="0.2">
      <c r="A10240" s="121">
        <v>42613</v>
      </c>
      <c r="B10240" t="s">
        <v>406</v>
      </c>
      <c r="C10240" t="s">
        <v>491</v>
      </c>
      <c r="D10240" t="s">
        <v>492</v>
      </c>
      <c r="E10240" t="s">
        <v>493</v>
      </c>
      <c r="F10240" t="s">
        <v>410</v>
      </c>
      <c r="G10240">
        <v>1508</v>
      </c>
      <c r="H10240">
        <v>1508</v>
      </c>
      <c r="I10240">
        <v>1476</v>
      </c>
      <c r="J10240">
        <v>1476</v>
      </c>
      <c r="K10240">
        <v>199</v>
      </c>
      <c r="L10240">
        <v>1</v>
      </c>
      <c r="M10240">
        <v>1177</v>
      </c>
      <c r="N10240">
        <v>116</v>
      </c>
      <c r="O10240">
        <v>15</v>
      </c>
      <c r="P10240">
        <v>0</v>
      </c>
      <c r="Q10240">
        <v>0</v>
      </c>
    </row>
    <row r="10241" spans="1:17" x14ac:dyDescent="0.2">
      <c r="A10241" s="121">
        <v>42613</v>
      </c>
      <c r="B10241" t="s">
        <v>406</v>
      </c>
      <c r="C10241" t="s">
        <v>491</v>
      </c>
      <c r="D10241" t="s">
        <v>494</v>
      </c>
      <c r="E10241" t="s">
        <v>495</v>
      </c>
      <c r="F10241" t="s">
        <v>413</v>
      </c>
      <c r="G10241">
        <v>2820</v>
      </c>
      <c r="H10241">
        <v>2820</v>
      </c>
      <c r="I10241">
        <v>2638</v>
      </c>
      <c r="J10241">
        <v>2638</v>
      </c>
      <c r="K10241">
        <v>697</v>
      </c>
      <c r="L10241">
        <v>4</v>
      </c>
      <c r="M10241">
        <v>1915</v>
      </c>
      <c r="N10241">
        <v>49</v>
      </c>
      <c r="O10241">
        <v>155</v>
      </c>
      <c r="P10241">
        <v>6</v>
      </c>
      <c r="Q10241">
        <v>0</v>
      </c>
    </row>
    <row r="10242" spans="1:17" x14ac:dyDescent="0.2">
      <c r="A10242" s="121">
        <v>42613</v>
      </c>
      <c r="B10242" t="s">
        <v>406</v>
      </c>
      <c r="C10242" t="s">
        <v>491</v>
      </c>
      <c r="D10242" t="s">
        <v>496</v>
      </c>
      <c r="E10242" t="s">
        <v>497</v>
      </c>
      <c r="F10242" t="s">
        <v>413</v>
      </c>
      <c r="G10242">
        <v>6023</v>
      </c>
      <c r="H10242">
        <v>6023</v>
      </c>
      <c r="I10242">
        <v>5493</v>
      </c>
      <c r="J10242">
        <v>5493</v>
      </c>
      <c r="K10242">
        <v>1817</v>
      </c>
      <c r="L10242">
        <v>12</v>
      </c>
      <c r="M10242">
        <v>3928</v>
      </c>
      <c r="N10242">
        <v>132</v>
      </c>
      <c r="O10242">
        <v>134</v>
      </c>
      <c r="P10242">
        <v>23</v>
      </c>
      <c r="Q10242">
        <v>0</v>
      </c>
    </row>
    <row r="10243" spans="1:17" x14ac:dyDescent="0.2">
      <c r="A10243" s="121">
        <v>42613</v>
      </c>
      <c r="B10243" t="s">
        <v>406</v>
      </c>
      <c r="C10243" t="s">
        <v>491</v>
      </c>
      <c r="D10243" t="s">
        <v>498</v>
      </c>
      <c r="E10243" t="s">
        <v>499</v>
      </c>
      <c r="F10243" t="s">
        <v>413</v>
      </c>
      <c r="G10243">
        <v>7969</v>
      </c>
      <c r="H10243">
        <v>7969</v>
      </c>
      <c r="I10243">
        <v>7194</v>
      </c>
      <c r="J10243">
        <v>7194</v>
      </c>
      <c r="K10243">
        <v>2518</v>
      </c>
      <c r="L10243">
        <v>23</v>
      </c>
      <c r="M10243">
        <v>4923</v>
      </c>
      <c r="N10243">
        <v>193</v>
      </c>
      <c r="O10243">
        <v>312</v>
      </c>
      <c r="P10243">
        <v>12</v>
      </c>
      <c r="Q10243">
        <v>0</v>
      </c>
    </row>
    <row r="10244" spans="1:17" x14ac:dyDescent="0.2">
      <c r="A10244" s="121">
        <v>42613</v>
      </c>
      <c r="B10244" t="s">
        <v>406</v>
      </c>
      <c r="C10244" t="s">
        <v>491</v>
      </c>
      <c r="D10244" t="s">
        <v>500</v>
      </c>
      <c r="E10244" t="s">
        <v>620</v>
      </c>
      <c r="F10244" t="s">
        <v>410</v>
      </c>
      <c r="G10244">
        <v>1776</v>
      </c>
      <c r="H10244">
        <v>1776</v>
      </c>
      <c r="I10244">
        <v>1776</v>
      </c>
      <c r="J10244">
        <v>1776</v>
      </c>
      <c r="K10244">
        <v>0</v>
      </c>
      <c r="L10244">
        <v>1</v>
      </c>
      <c r="M10244">
        <v>1631</v>
      </c>
      <c r="N10244">
        <v>109</v>
      </c>
      <c r="O10244">
        <v>35</v>
      </c>
      <c r="P10244">
        <v>0</v>
      </c>
      <c r="Q10244">
        <v>0</v>
      </c>
    </row>
    <row r="10245" spans="1:17" x14ac:dyDescent="0.2">
      <c r="A10245" s="121">
        <v>42613</v>
      </c>
      <c r="B10245" t="s">
        <v>406</v>
      </c>
      <c r="C10245" t="s">
        <v>491</v>
      </c>
      <c r="D10245" t="s">
        <v>502</v>
      </c>
      <c r="E10245" t="s">
        <v>615</v>
      </c>
      <c r="F10245" t="s">
        <v>410</v>
      </c>
      <c r="G10245">
        <v>2821</v>
      </c>
      <c r="H10245">
        <v>2821</v>
      </c>
      <c r="I10245">
        <v>2820</v>
      </c>
      <c r="J10245">
        <v>2820</v>
      </c>
      <c r="K10245">
        <v>3</v>
      </c>
      <c r="L10245">
        <v>2</v>
      </c>
      <c r="M10245">
        <v>2549</v>
      </c>
      <c r="N10245">
        <v>257</v>
      </c>
      <c r="O10245">
        <v>10</v>
      </c>
      <c r="P10245">
        <v>0</v>
      </c>
      <c r="Q10245">
        <v>0</v>
      </c>
    </row>
    <row r="10246" spans="1:17" x14ac:dyDescent="0.2">
      <c r="A10246" s="121">
        <v>42613</v>
      </c>
      <c r="B10246" t="s">
        <v>406</v>
      </c>
      <c r="C10246" t="s">
        <v>491</v>
      </c>
      <c r="D10246" t="s">
        <v>504</v>
      </c>
      <c r="E10246" t="s">
        <v>630</v>
      </c>
      <c r="F10246" t="s">
        <v>413</v>
      </c>
      <c r="G10246">
        <v>8244</v>
      </c>
      <c r="H10246">
        <v>8244</v>
      </c>
      <c r="I10246">
        <v>7136</v>
      </c>
      <c r="J10246">
        <v>7136</v>
      </c>
      <c r="K10246">
        <v>2569</v>
      </c>
      <c r="L10246">
        <v>30</v>
      </c>
      <c r="M10246">
        <v>5212</v>
      </c>
      <c r="N10246">
        <v>148</v>
      </c>
      <c r="O10246">
        <v>285</v>
      </c>
      <c r="P10246">
        <v>7</v>
      </c>
      <c r="Q10246">
        <v>0</v>
      </c>
    </row>
    <row r="10247" spans="1:17" x14ac:dyDescent="0.2">
      <c r="A10247" s="121">
        <v>42613</v>
      </c>
      <c r="B10247" t="s">
        <v>406</v>
      </c>
      <c r="C10247" t="s">
        <v>491</v>
      </c>
      <c r="D10247" t="s">
        <v>506</v>
      </c>
      <c r="E10247" t="s">
        <v>507</v>
      </c>
      <c r="F10247" t="s">
        <v>413</v>
      </c>
      <c r="G10247">
        <v>4452</v>
      </c>
      <c r="H10247">
        <v>4452</v>
      </c>
      <c r="I10247">
        <v>4440</v>
      </c>
      <c r="J10247">
        <v>4440</v>
      </c>
      <c r="K10247">
        <v>801</v>
      </c>
      <c r="L10247">
        <v>1</v>
      </c>
      <c r="M10247">
        <v>3638</v>
      </c>
      <c r="N10247">
        <v>2</v>
      </c>
      <c r="O10247">
        <v>10</v>
      </c>
      <c r="P10247">
        <v>0</v>
      </c>
      <c r="Q10247">
        <v>0</v>
      </c>
    </row>
    <row r="10248" spans="1:17" x14ac:dyDescent="0.2">
      <c r="A10248" s="121">
        <v>42613</v>
      </c>
      <c r="B10248" t="s">
        <v>406</v>
      </c>
      <c r="C10248" t="s">
        <v>491</v>
      </c>
      <c r="D10248" t="s">
        <v>508</v>
      </c>
      <c r="E10248" t="s">
        <v>631</v>
      </c>
      <c r="F10248" t="s">
        <v>410</v>
      </c>
      <c r="G10248">
        <v>1005</v>
      </c>
      <c r="H10248">
        <v>1005</v>
      </c>
      <c r="I10248">
        <v>1005</v>
      </c>
      <c r="J10248">
        <v>1005</v>
      </c>
      <c r="K10248">
        <v>0</v>
      </c>
      <c r="L10248">
        <v>0</v>
      </c>
      <c r="M10248">
        <v>934</v>
      </c>
      <c r="N10248">
        <v>67</v>
      </c>
      <c r="O10248">
        <v>4</v>
      </c>
      <c r="P10248">
        <v>0</v>
      </c>
      <c r="Q10248">
        <v>0</v>
      </c>
    </row>
    <row r="10249" spans="1:17" x14ac:dyDescent="0.2">
      <c r="A10249" s="121">
        <v>42613</v>
      </c>
      <c r="B10249" t="s">
        <v>406</v>
      </c>
      <c r="C10249" t="s">
        <v>510</v>
      </c>
      <c r="D10249" t="s">
        <v>513</v>
      </c>
      <c r="E10249" t="s">
        <v>514</v>
      </c>
      <c r="F10249" t="s">
        <v>410</v>
      </c>
      <c r="G10249">
        <v>677</v>
      </c>
      <c r="I10249">
        <v>677</v>
      </c>
    </row>
    <row r="10250" spans="1:17" x14ac:dyDescent="0.2">
      <c r="A10250" s="121">
        <v>42613</v>
      </c>
      <c r="B10250" t="s">
        <v>406</v>
      </c>
      <c r="C10250" t="s">
        <v>510</v>
      </c>
      <c r="D10250" t="s">
        <v>515</v>
      </c>
      <c r="E10250" t="s">
        <v>516</v>
      </c>
      <c r="F10250" t="s">
        <v>410</v>
      </c>
      <c r="G10250">
        <v>167</v>
      </c>
      <c r="I10250">
        <v>167</v>
      </c>
    </row>
    <row r="10251" spans="1:17" x14ac:dyDescent="0.2">
      <c r="A10251" s="121">
        <v>42613</v>
      </c>
      <c r="B10251" t="s">
        <v>406</v>
      </c>
      <c r="C10251" t="s">
        <v>510</v>
      </c>
      <c r="D10251" t="s">
        <v>519</v>
      </c>
      <c r="E10251" t="s">
        <v>520</v>
      </c>
      <c r="F10251" t="s">
        <v>410</v>
      </c>
      <c r="G10251">
        <v>373</v>
      </c>
      <c r="I10251">
        <v>372</v>
      </c>
    </row>
    <row r="10252" spans="1:17" x14ac:dyDescent="0.2">
      <c r="A10252" s="121">
        <v>42613</v>
      </c>
      <c r="B10252" t="s">
        <v>406</v>
      </c>
      <c r="C10252" t="s">
        <v>510</v>
      </c>
      <c r="D10252" t="s">
        <v>523</v>
      </c>
      <c r="E10252" t="s">
        <v>524</v>
      </c>
      <c r="F10252" t="s">
        <v>413</v>
      </c>
      <c r="G10252">
        <v>748</v>
      </c>
      <c r="H10252">
        <v>748</v>
      </c>
      <c r="I10252">
        <v>741</v>
      </c>
      <c r="J10252">
        <v>741</v>
      </c>
      <c r="K10252">
        <v>186</v>
      </c>
      <c r="L10252">
        <v>0</v>
      </c>
      <c r="M10252">
        <v>553</v>
      </c>
      <c r="N10252">
        <v>9</v>
      </c>
      <c r="O10252">
        <v>0</v>
      </c>
      <c r="P10252">
        <v>0</v>
      </c>
      <c r="Q10252">
        <v>0</v>
      </c>
    </row>
    <row r="10253" spans="1:17" x14ac:dyDescent="0.2">
      <c r="A10253" s="121">
        <v>42613</v>
      </c>
      <c r="B10253" t="s">
        <v>406</v>
      </c>
      <c r="C10253" t="s">
        <v>510</v>
      </c>
      <c r="D10253" t="s">
        <v>525</v>
      </c>
      <c r="E10253" t="s">
        <v>526</v>
      </c>
      <c r="F10253" t="s">
        <v>410</v>
      </c>
      <c r="G10253">
        <v>576</v>
      </c>
      <c r="I10253">
        <v>576</v>
      </c>
    </row>
    <row r="10254" spans="1:17" x14ac:dyDescent="0.2">
      <c r="A10254" s="121">
        <v>42613</v>
      </c>
      <c r="B10254" t="s">
        <v>406</v>
      </c>
      <c r="C10254" t="s">
        <v>510</v>
      </c>
      <c r="D10254" t="s">
        <v>527</v>
      </c>
      <c r="E10254" t="s">
        <v>528</v>
      </c>
      <c r="F10254" t="s">
        <v>410</v>
      </c>
      <c r="G10254">
        <v>196</v>
      </c>
      <c r="I10254">
        <v>196</v>
      </c>
    </row>
    <row r="10255" spans="1:17" x14ac:dyDescent="0.2">
      <c r="A10255" s="121">
        <v>42613</v>
      </c>
      <c r="B10255" t="s">
        <v>406</v>
      </c>
      <c r="C10255" t="s">
        <v>510</v>
      </c>
      <c r="D10255" t="s">
        <v>529</v>
      </c>
      <c r="E10255" t="s">
        <v>530</v>
      </c>
      <c r="F10255" t="s">
        <v>413</v>
      </c>
      <c r="G10255">
        <v>645</v>
      </c>
      <c r="H10255">
        <v>645</v>
      </c>
      <c r="I10255">
        <v>613</v>
      </c>
      <c r="J10255">
        <v>613</v>
      </c>
      <c r="K10255">
        <v>188</v>
      </c>
      <c r="L10255">
        <v>1</v>
      </c>
      <c r="M10255">
        <v>453</v>
      </c>
      <c r="N10255">
        <v>3</v>
      </c>
      <c r="O10255">
        <v>0</v>
      </c>
      <c r="P10255">
        <v>2</v>
      </c>
      <c r="Q10255">
        <v>0</v>
      </c>
    </row>
    <row r="10256" spans="1:17" x14ac:dyDescent="0.2">
      <c r="A10256" s="121">
        <v>42613</v>
      </c>
      <c r="B10256" t="s">
        <v>406</v>
      </c>
      <c r="C10256" t="s">
        <v>510</v>
      </c>
      <c r="D10256" t="s">
        <v>531</v>
      </c>
      <c r="E10256" t="s">
        <v>532</v>
      </c>
      <c r="F10256" t="s">
        <v>410</v>
      </c>
      <c r="G10256">
        <v>60</v>
      </c>
      <c r="I10256">
        <v>60</v>
      </c>
    </row>
    <row r="10257" spans="1:17" x14ac:dyDescent="0.2">
      <c r="A10257" s="121">
        <v>42613</v>
      </c>
      <c r="B10257" t="s">
        <v>406</v>
      </c>
      <c r="C10257" t="s">
        <v>510</v>
      </c>
      <c r="D10257" t="s">
        <v>533</v>
      </c>
      <c r="E10257" t="s">
        <v>534</v>
      </c>
      <c r="F10257" t="s">
        <v>413</v>
      </c>
      <c r="G10257">
        <v>3324</v>
      </c>
      <c r="H10257">
        <v>3324</v>
      </c>
      <c r="I10257">
        <v>3053</v>
      </c>
      <c r="J10257">
        <v>3053</v>
      </c>
      <c r="K10257">
        <v>805</v>
      </c>
      <c r="L10257">
        <v>3</v>
      </c>
      <c r="M10257">
        <v>2503</v>
      </c>
      <c r="N10257">
        <v>13</v>
      </c>
      <c r="O10257">
        <v>0</v>
      </c>
      <c r="P10257">
        <v>13</v>
      </c>
      <c r="Q10257">
        <v>0</v>
      </c>
    </row>
    <row r="10258" spans="1:17" x14ac:dyDescent="0.2">
      <c r="A10258" s="121">
        <v>42613</v>
      </c>
      <c r="B10258" t="s">
        <v>406</v>
      </c>
      <c r="C10258" t="s">
        <v>510</v>
      </c>
      <c r="D10258" t="s">
        <v>535</v>
      </c>
      <c r="E10258" t="s">
        <v>536</v>
      </c>
      <c r="F10258" t="s">
        <v>410</v>
      </c>
      <c r="G10258">
        <v>378</v>
      </c>
      <c r="I10258">
        <v>378</v>
      </c>
    </row>
    <row r="10259" spans="1:17" x14ac:dyDescent="0.2">
      <c r="A10259" s="121">
        <v>42613</v>
      </c>
      <c r="B10259" t="s">
        <v>406</v>
      </c>
      <c r="C10259" t="s">
        <v>510</v>
      </c>
      <c r="D10259" t="s">
        <v>537</v>
      </c>
      <c r="E10259" t="s">
        <v>538</v>
      </c>
      <c r="F10259" t="s">
        <v>410</v>
      </c>
      <c r="G10259">
        <v>95</v>
      </c>
      <c r="I10259">
        <v>95</v>
      </c>
    </row>
    <row r="10260" spans="1:17" x14ac:dyDescent="0.2">
      <c r="A10260" s="121">
        <v>42613</v>
      </c>
      <c r="B10260" t="s">
        <v>406</v>
      </c>
      <c r="C10260" t="s">
        <v>510</v>
      </c>
      <c r="D10260" t="s">
        <v>539</v>
      </c>
      <c r="E10260" t="s">
        <v>540</v>
      </c>
      <c r="F10260" t="s">
        <v>413</v>
      </c>
      <c r="G10260">
        <v>927</v>
      </c>
      <c r="H10260">
        <v>927</v>
      </c>
      <c r="I10260">
        <v>868</v>
      </c>
      <c r="J10260">
        <v>868</v>
      </c>
      <c r="K10260">
        <v>169</v>
      </c>
      <c r="L10260">
        <v>1</v>
      </c>
      <c r="M10260">
        <v>749</v>
      </c>
      <c r="N10260">
        <v>8</v>
      </c>
      <c r="O10260">
        <v>0</v>
      </c>
      <c r="P10260">
        <v>4</v>
      </c>
      <c r="Q10260">
        <v>0</v>
      </c>
    </row>
    <row r="10261" spans="1:17" x14ac:dyDescent="0.2">
      <c r="A10261" s="121">
        <v>42613</v>
      </c>
      <c r="B10261" t="s">
        <v>406</v>
      </c>
      <c r="C10261" t="s">
        <v>510</v>
      </c>
      <c r="D10261" t="s">
        <v>541</v>
      </c>
      <c r="E10261" t="s">
        <v>542</v>
      </c>
      <c r="F10261" t="s">
        <v>410</v>
      </c>
      <c r="G10261">
        <v>465</v>
      </c>
      <c r="I10261">
        <v>465</v>
      </c>
    </row>
    <row r="10262" spans="1:17" x14ac:dyDescent="0.2">
      <c r="A10262" s="121">
        <v>42613</v>
      </c>
      <c r="B10262" t="s">
        <v>406</v>
      </c>
      <c r="C10262" t="s">
        <v>510</v>
      </c>
      <c r="D10262" t="s">
        <v>543</v>
      </c>
      <c r="E10262" t="s">
        <v>544</v>
      </c>
      <c r="F10262" t="s">
        <v>410</v>
      </c>
      <c r="G10262">
        <v>266</v>
      </c>
      <c r="I10262">
        <v>266</v>
      </c>
    </row>
    <row r="10263" spans="1:17" x14ac:dyDescent="0.2">
      <c r="A10263" s="121">
        <v>42613</v>
      </c>
      <c r="B10263" t="s">
        <v>406</v>
      </c>
      <c r="C10263" t="s">
        <v>510</v>
      </c>
      <c r="D10263" t="s">
        <v>545</v>
      </c>
      <c r="E10263" t="s">
        <v>546</v>
      </c>
      <c r="F10263" t="s">
        <v>410</v>
      </c>
      <c r="G10263">
        <v>67</v>
      </c>
      <c r="I10263">
        <v>67</v>
      </c>
    </row>
    <row r="10264" spans="1:17" x14ac:dyDescent="0.2">
      <c r="A10264" s="121">
        <v>42613</v>
      </c>
      <c r="B10264" t="s">
        <v>406</v>
      </c>
      <c r="C10264" t="s">
        <v>510</v>
      </c>
      <c r="D10264" t="s">
        <v>547</v>
      </c>
      <c r="E10264" t="s">
        <v>548</v>
      </c>
      <c r="F10264" t="s">
        <v>410</v>
      </c>
      <c r="G10264">
        <v>227</v>
      </c>
      <c r="I10264">
        <v>227</v>
      </c>
    </row>
    <row r="10265" spans="1:17" x14ac:dyDescent="0.2">
      <c r="A10265" s="121">
        <v>42613</v>
      </c>
      <c r="B10265" t="s">
        <v>406</v>
      </c>
      <c r="C10265" t="s">
        <v>510</v>
      </c>
      <c r="D10265" t="s">
        <v>616</v>
      </c>
      <c r="E10265" t="s">
        <v>617</v>
      </c>
      <c r="F10265" t="s">
        <v>410</v>
      </c>
      <c r="G10265">
        <v>504</v>
      </c>
      <c r="I10265">
        <v>498</v>
      </c>
    </row>
    <row r="10266" spans="1:17" x14ac:dyDescent="0.2">
      <c r="A10266" s="121">
        <v>42613</v>
      </c>
      <c r="B10266" t="s">
        <v>406</v>
      </c>
      <c r="C10266" t="s">
        <v>510</v>
      </c>
      <c r="D10266" t="s">
        <v>549</v>
      </c>
      <c r="E10266" t="s">
        <v>550</v>
      </c>
      <c r="F10266" t="s">
        <v>410</v>
      </c>
      <c r="G10266">
        <v>161</v>
      </c>
      <c r="I10266">
        <v>161</v>
      </c>
    </row>
    <row r="10267" spans="1:17" x14ac:dyDescent="0.2">
      <c r="A10267" s="121">
        <v>42613</v>
      </c>
      <c r="B10267" t="s">
        <v>406</v>
      </c>
      <c r="C10267" t="s">
        <v>510</v>
      </c>
      <c r="D10267" t="s">
        <v>625</v>
      </c>
      <c r="E10267" t="s">
        <v>626</v>
      </c>
      <c r="F10267" t="s">
        <v>410</v>
      </c>
      <c r="G10267">
        <v>153</v>
      </c>
      <c r="I10267">
        <v>153</v>
      </c>
    </row>
    <row r="10268" spans="1:17" x14ac:dyDescent="0.2">
      <c r="A10268" s="121">
        <v>42613</v>
      </c>
      <c r="B10268" t="s">
        <v>406</v>
      </c>
      <c r="C10268" t="s">
        <v>551</v>
      </c>
      <c r="D10268" t="s">
        <v>552</v>
      </c>
      <c r="E10268" t="s">
        <v>553</v>
      </c>
      <c r="F10268" t="s">
        <v>413</v>
      </c>
      <c r="G10268">
        <v>5806</v>
      </c>
      <c r="H10268">
        <v>5806</v>
      </c>
      <c r="I10268">
        <v>5626</v>
      </c>
      <c r="J10268">
        <v>5626</v>
      </c>
      <c r="K10268">
        <v>1858</v>
      </c>
      <c r="L10268">
        <v>2</v>
      </c>
      <c r="M10268">
        <v>3833</v>
      </c>
      <c r="N10268">
        <v>62</v>
      </c>
      <c r="O10268">
        <v>51</v>
      </c>
      <c r="P10268">
        <v>2</v>
      </c>
      <c r="Q10268">
        <v>0</v>
      </c>
    </row>
    <row r="10269" spans="1:17" x14ac:dyDescent="0.2">
      <c r="A10269" s="121">
        <v>42613</v>
      </c>
      <c r="B10269" t="s">
        <v>406</v>
      </c>
      <c r="C10269" t="s">
        <v>551</v>
      </c>
      <c r="D10269" t="s">
        <v>554</v>
      </c>
      <c r="E10269" t="s">
        <v>555</v>
      </c>
      <c r="F10269" t="s">
        <v>410</v>
      </c>
      <c r="G10269">
        <v>83</v>
      </c>
      <c r="I10269">
        <v>83</v>
      </c>
    </row>
    <row r="10270" spans="1:17" x14ac:dyDescent="0.2">
      <c r="A10270" s="121">
        <v>42613</v>
      </c>
      <c r="B10270" t="s">
        <v>406</v>
      </c>
      <c r="C10270" t="s">
        <v>551</v>
      </c>
      <c r="D10270" t="s">
        <v>556</v>
      </c>
      <c r="E10270" t="s">
        <v>557</v>
      </c>
      <c r="F10270" t="s">
        <v>410</v>
      </c>
      <c r="G10270">
        <v>123</v>
      </c>
      <c r="I10270">
        <v>123</v>
      </c>
    </row>
    <row r="10271" spans="1:17" x14ac:dyDescent="0.2">
      <c r="A10271" s="121">
        <v>42613</v>
      </c>
      <c r="B10271" t="s">
        <v>406</v>
      </c>
      <c r="C10271" t="s">
        <v>551</v>
      </c>
      <c r="D10271" t="s">
        <v>558</v>
      </c>
      <c r="E10271" t="s">
        <v>559</v>
      </c>
      <c r="F10271" t="s">
        <v>413</v>
      </c>
      <c r="G10271">
        <v>5387</v>
      </c>
      <c r="H10271">
        <v>5387</v>
      </c>
      <c r="I10271">
        <v>5036</v>
      </c>
      <c r="J10271">
        <v>5036</v>
      </c>
      <c r="K10271">
        <v>1478</v>
      </c>
      <c r="L10271">
        <v>9</v>
      </c>
      <c r="M10271">
        <v>3826</v>
      </c>
      <c r="N10271">
        <v>57</v>
      </c>
      <c r="O10271">
        <v>17</v>
      </c>
      <c r="P10271">
        <v>6</v>
      </c>
      <c r="Q10271">
        <v>0</v>
      </c>
    </row>
    <row r="10272" spans="1:17" x14ac:dyDescent="0.2">
      <c r="A10272" s="121">
        <v>42613</v>
      </c>
      <c r="B10272" t="s">
        <v>406</v>
      </c>
      <c r="C10272" t="s">
        <v>551</v>
      </c>
      <c r="D10272" t="s">
        <v>560</v>
      </c>
      <c r="E10272" t="s">
        <v>561</v>
      </c>
      <c r="F10272" t="s">
        <v>413</v>
      </c>
      <c r="G10272">
        <v>5509</v>
      </c>
      <c r="H10272">
        <v>5509</v>
      </c>
      <c r="I10272">
        <v>5028</v>
      </c>
      <c r="J10272">
        <v>5028</v>
      </c>
      <c r="K10272">
        <v>1294</v>
      </c>
      <c r="L10272">
        <v>3</v>
      </c>
      <c r="M10272">
        <v>4021</v>
      </c>
      <c r="N10272">
        <v>78</v>
      </c>
      <c r="O10272">
        <v>113</v>
      </c>
      <c r="P10272">
        <v>39</v>
      </c>
      <c r="Q10272">
        <v>3</v>
      </c>
    </row>
    <row r="10273" spans="1:17" x14ac:dyDescent="0.2">
      <c r="A10273" s="121">
        <v>42613</v>
      </c>
      <c r="B10273" t="s">
        <v>406</v>
      </c>
      <c r="C10273" t="s">
        <v>562</v>
      </c>
      <c r="D10273" t="s">
        <v>605</v>
      </c>
      <c r="E10273" t="s">
        <v>606</v>
      </c>
      <c r="F10273" t="s">
        <v>410</v>
      </c>
      <c r="G10273">
        <v>219</v>
      </c>
      <c r="I10273">
        <v>219</v>
      </c>
    </row>
    <row r="10274" spans="1:17" x14ac:dyDescent="0.2">
      <c r="A10274" s="121">
        <v>42613</v>
      </c>
      <c r="B10274" t="s">
        <v>406</v>
      </c>
      <c r="C10274" t="s">
        <v>562</v>
      </c>
      <c r="D10274" t="s">
        <v>563</v>
      </c>
      <c r="E10274" t="s">
        <v>564</v>
      </c>
      <c r="F10274" t="s">
        <v>410</v>
      </c>
      <c r="G10274">
        <v>4064</v>
      </c>
      <c r="H10274">
        <v>4064</v>
      </c>
      <c r="I10274">
        <v>3581</v>
      </c>
      <c r="J10274">
        <v>3581</v>
      </c>
      <c r="K10274">
        <v>1104</v>
      </c>
      <c r="L10274">
        <v>0</v>
      </c>
      <c r="M10274">
        <v>2947</v>
      </c>
      <c r="N10274">
        <v>13</v>
      </c>
      <c r="O10274">
        <v>0</v>
      </c>
      <c r="P10274">
        <v>112</v>
      </c>
      <c r="Q10274">
        <v>39</v>
      </c>
    </row>
    <row r="10275" spans="1:17" x14ac:dyDescent="0.2">
      <c r="A10275" s="121">
        <v>42613</v>
      </c>
      <c r="B10275" t="s">
        <v>406</v>
      </c>
      <c r="C10275" t="s">
        <v>562</v>
      </c>
      <c r="D10275" t="s">
        <v>565</v>
      </c>
      <c r="E10275" t="s">
        <v>566</v>
      </c>
      <c r="F10275" t="s">
        <v>413</v>
      </c>
      <c r="G10275">
        <v>4617</v>
      </c>
      <c r="H10275">
        <v>4617</v>
      </c>
      <c r="I10275">
        <v>4458</v>
      </c>
      <c r="J10275">
        <v>4458</v>
      </c>
      <c r="K10275">
        <v>925</v>
      </c>
      <c r="L10275">
        <v>6</v>
      </c>
      <c r="M10275">
        <v>3624</v>
      </c>
      <c r="N10275">
        <v>62</v>
      </c>
      <c r="O10275">
        <v>0</v>
      </c>
      <c r="P10275">
        <v>11</v>
      </c>
      <c r="Q10275">
        <v>1</v>
      </c>
    </row>
    <row r="10276" spans="1:17" x14ac:dyDescent="0.2">
      <c r="A10276" s="121">
        <v>42613</v>
      </c>
      <c r="B10276" t="s">
        <v>406</v>
      </c>
      <c r="C10276" t="s">
        <v>562</v>
      </c>
      <c r="D10276" t="s">
        <v>567</v>
      </c>
      <c r="E10276" t="s">
        <v>568</v>
      </c>
      <c r="F10276" t="s">
        <v>413</v>
      </c>
      <c r="G10276">
        <v>10729</v>
      </c>
      <c r="H10276">
        <v>10729</v>
      </c>
      <c r="I10276">
        <v>10127</v>
      </c>
      <c r="J10276">
        <v>10127</v>
      </c>
      <c r="K10276">
        <v>2869</v>
      </c>
      <c r="L10276">
        <v>19</v>
      </c>
      <c r="M10276">
        <v>7667</v>
      </c>
      <c r="N10276">
        <v>174</v>
      </c>
      <c r="O10276">
        <v>0</v>
      </c>
      <c r="P10276">
        <v>54</v>
      </c>
      <c r="Q10276">
        <v>4</v>
      </c>
    </row>
    <row r="10277" spans="1:17" x14ac:dyDescent="0.2">
      <c r="A10277" s="121">
        <v>42613</v>
      </c>
      <c r="B10277" t="s">
        <v>406</v>
      </c>
      <c r="C10277" t="s">
        <v>562</v>
      </c>
      <c r="D10277" t="s">
        <v>569</v>
      </c>
      <c r="E10277" t="s">
        <v>570</v>
      </c>
      <c r="F10277" t="s">
        <v>413</v>
      </c>
      <c r="G10277">
        <v>3676</v>
      </c>
      <c r="H10277">
        <v>3676</v>
      </c>
      <c r="I10277">
        <v>3629</v>
      </c>
      <c r="J10277">
        <v>3629</v>
      </c>
      <c r="K10277">
        <v>428</v>
      </c>
      <c r="L10277">
        <v>0</v>
      </c>
      <c r="M10277">
        <v>3223</v>
      </c>
      <c r="N10277">
        <v>25</v>
      </c>
      <c r="O10277">
        <v>0</v>
      </c>
      <c r="P10277">
        <v>1</v>
      </c>
      <c r="Q10277">
        <v>0</v>
      </c>
    </row>
    <row r="10278" spans="1:17" x14ac:dyDescent="0.2">
      <c r="A10278" s="121">
        <v>42613</v>
      </c>
      <c r="B10278" t="s">
        <v>406</v>
      </c>
      <c r="C10278" t="s">
        <v>571</v>
      </c>
      <c r="D10278" t="s">
        <v>572</v>
      </c>
      <c r="E10278" t="s">
        <v>627</v>
      </c>
      <c r="F10278" t="s">
        <v>413</v>
      </c>
      <c r="G10278">
        <v>512</v>
      </c>
      <c r="H10278">
        <v>512</v>
      </c>
      <c r="I10278">
        <v>500</v>
      </c>
      <c r="J10278">
        <v>500</v>
      </c>
      <c r="K10278">
        <v>133</v>
      </c>
      <c r="L10278">
        <v>0</v>
      </c>
      <c r="M10278">
        <v>376</v>
      </c>
      <c r="N10278">
        <v>2</v>
      </c>
      <c r="O10278">
        <v>1</v>
      </c>
      <c r="P10278">
        <v>0</v>
      </c>
      <c r="Q10278">
        <v>0</v>
      </c>
    </row>
    <row r="10279" spans="1:17" x14ac:dyDescent="0.2">
      <c r="A10279" s="121">
        <v>42613</v>
      </c>
      <c r="B10279" t="s">
        <v>406</v>
      </c>
      <c r="C10279" t="s">
        <v>574</v>
      </c>
      <c r="D10279" t="s">
        <v>575</v>
      </c>
      <c r="E10279" t="s">
        <v>576</v>
      </c>
      <c r="F10279" t="s">
        <v>413</v>
      </c>
      <c r="G10279">
        <v>603</v>
      </c>
      <c r="H10279">
        <v>603</v>
      </c>
      <c r="I10279">
        <v>577</v>
      </c>
      <c r="J10279">
        <v>577</v>
      </c>
      <c r="K10279">
        <v>136</v>
      </c>
      <c r="L10279">
        <v>1</v>
      </c>
      <c r="M10279">
        <v>447</v>
      </c>
      <c r="N10279">
        <v>5</v>
      </c>
      <c r="O10279">
        <v>14</v>
      </c>
      <c r="P10279">
        <v>2</v>
      </c>
      <c r="Q10279">
        <v>0</v>
      </c>
    </row>
    <row r="10280" spans="1:17" x14ac:dyDescent="0.2">
      <c r="A10280" s="121">
        <v>42613</v>
      </c>
      <c r="B10280" t="s">
        <v>406</v>
      </c>
      <c r="C10280" t="s">
        <v>577</v>
      </c>
      <c r="D10280" t="s">
        <v>578</v>
      </c>
      <c r="E10280" t="s">
        <v>579</v>
      </c>
      <c r="F10280" t="s">
        <v>413</v>
      </c>
      <c r="G10280">
        <v>4310</v>
      </c>
      <c r="H10280">
        <v>4310</v>
      </c>
      <c r="I10280">
        <v>4235</v>
      </c>
      <c r="J10280">
        <v>4235</v>
      </c>
      <c r="K10280">
        <v>1195</v>
      </c>
      <c r="L10280">
        <v>10</v>
      </c>
      <c r="M10280">
        <v>2836</v>
      </c>
      <c r="N10280">
        <v>268</v>
      </c>
      <c r="O10280">
        <v>1</v>
      </c>
      <c r="P10280">
        <v>1</v>
      </c>
      <c r="Q10280">
        <v>0</v>
      </c>
    </row>
    <row r="10281" spans="1:17" x14ac:dyDescent="0.2">
      <c r="A10281" s="121">
        <v>42613</v>
      </c>
      <c r="B10281" t="s">
        <v>406</v>
      </c>
      <c r="C10281" t="s">
        <v>577</v>
      </c>
      <c r="D10281" t="s">
        <v>580</v>
      </c>
      <c r="E10281" t="s">
        <v>581</v>
      </c>
      <c r="F10281" t="s">
        <v>413</v>
      </c>
      <c r="G10281">
        <v>2243</v>
      </c>
      <c r="H10281">
        <v>2243</v>
      </c>
      <c r="I10281">
        <v>2187</v>
      </c>
      <c r="J10281">
        <v>2187</v>
      </c>
      <c r="K10281">
        <v>362</v>
      </c>
      <c r="L10281">
        <v>4</v>
      </c>
      <c r="M10281">
        <v>1549</v>
      </c>
      <c r="N10281">
        <v>328</v>
      </c>
      <c r="O10281">
        <v>0</v>
      </c>
      <c r="P10281">
        <v>0</v>
      </c>
      <c r="Q10281">
        <v>0</v>
      </c>
    </row>
    <row r="10282" spans="1:17" x14ac:dyDescent="0.2">
      <c r="A10282" s="121">
        <v>42613</v>
      </c>
      <c r="B10282" t="s">
        <v>406</v>
      </c>
      <c r="C10282" t="s">
        <v>577</v>
      </c>
      <c r="D10282" t="s">
        <v>609</v>
      </c>
      <c r="E10282" t="s">
        <v>610</v>
      </c>
      <c r="F10282" t="s">
        <v>410</v>
      </c>
      <c r="G10282">
        <v>42</v>
      </c>
      <c r="H10282">
        <v>42</v>
      </c>
      <c r="I10282">
        <v>42</v>
      </c>
      <c r="J10282">
        <v>42</v>
      </c>
      <c r="K10282">
        <v>0</v>
      </c>
      <c r="L10282">
        <v>0</v>
      </c>
      <c r="M10282">
        <v>37</v>
      </c>
      <c r="N10282">
        <v>4</v>
      </c>
      <c r="O10282">
        <v>1</v>
      </c>
      <c r="P10282">
        <v>0</v>
      </c>
      <c r="Q10282">
        <v>0</v>
      </c>
    </row>
    <row r="10283" spans="1:17" x14ac:dyDescent="0.2">
      <c r="A10283" s="121">
        <v>42613</v>
      </c>
      <c r="B10283" t="s">
        <v>406</v>
      </c>
      <c r="C10283" t="s">
        <v>577</v>
      </c>
      <c r="D10283" t="s">
        <v>584</v>
      </c>
      <c r="E10283" t="s">
        <v>585</v>
      </c>
      <c r="F10283" t="s">
        <v>410</v>
      </c>
      <c r="G10283">
        <v>253</v>
      </c>
      <c r="H10283">
        <v>253</v>
      </c>
      <c r="I10283">
        <v>252</v>
      </c>
      <c r="J10283">
        <v>252</v>
      </c>
      <c r="K10283">
        <v>0</v>
      </c>
      <c r="L10283">
        <v>0</v>
      </c>
      <c r="M10283">
        <v>239</v>
      </c>
      <c r="N10283">
        <v>12</v>
      </c>
      <c r="O10283">
        <v>2</v>
      </c>
      <c r="P10283">
        <v>0</v>
      </c>
      <c r="Q10283">
        <v>0</v>
      </c>
    </row>
    <row r="10284" spans="1:17" x14ac:dyDescent="0.2">
      <c r="A10284" s="121">
        <v>42613</v>
      </c>
      <c r="B10284" t="s">
        <v>406</v>
      </c>
      <c r="C10284" t="s">
        <v>577</v>
      </c>
      <c r="D10284" t="s">
        <v>586</v>
      </c>
      <c r="E10284" t="s">
        <v>587</v>
      </c>
      <c r="F10284" t="s">
        <v>410</v>
      </c>
      <c r="G10284">
        <v>1172</v>
      </c>
      <c r="H10284">
        <v>1172</v>
      </c>
      <c r="I10284">
        <v>1170</v>
      </c>
      <c r="J10284">
        <v>1170</v>
      </c>
      <c r="K10284">
        <v>0</v>
      </c>
      <c r="L10284">
        <v>0</v>
      </c>
      <c r="M10284">
        <v>1090</v>
      </c>
      <c r="N10284">
        <v>80</v>
      </c>
      <c r="O10284">
        <v>2</v>
      </c>
      <c r="P10284">
        <v>0</v>
      </c>
      <c r="Q10284">
        <v>0</v>
      </c>
    </row>
    <row r="10285" spans="1:17" x14ac:dyDescent="0.2">
      <c r="A10285" s="121">
        <v>42613</v>
      </c>
      <c r="B10285" t="s">
        <v>406</v>
      </c>
      <c r="C10285" t="s">
        <v>577</v>
      </c>
      <c r="D10285" t="s">
        <v>588</v>
      </c>
      <c r="E10285" t="s">
        <v>589</v>
      </c>
      <c r="F10285" t="s">
        <v>410</v>
      </c>
      <c r="G10285">
        <v>192</v>
      </c>
      <c r="H10285">
        <v>192</v>
      </c>
      <c r="I10285">
        <v>192</v>
      </c>
      <c r="J10285">
        <v>192</v>
      </c>
      <c r="K10285">
        <v>0</v>
      </c>
      <c r="L10285">
        <v>0</v>
      </c>
      <c r="M10285">
        <v>185</v>
      </c>
      <c r="N10285">
        <v>6</v>
      </c>
      <c r="O10285">
        <v>1</v>
      </c>
      <c r="P10285">
        <v>0</v>
      </c>
      <c r="Q10285">
        <v>0</v>
      </c>
    </row>
    <row r="10286" spans="1:17" x14ac:dyDescent="0.2">
      <c r="A10286" s="121">
        <v>42613</v>
      </c>
      <c r="B10286" t="s">
        <v>406</v>
      </c>
      <c r="C10286" t="s">
        <v>577</v>
      </c>
      <c r="D10286" t="s">
        <v>613</v>
      </c>
      <c r="E10286" t="s">
        <v>614</v>
      </c>
      <c r="F10286" t="s">
        <v>410</v>
      </c>
      <c r="G10286">
        <v>130</v>
      </c>
      <c r="H10286">
        <v>130</v>
      </c>
      <c r="I10286">
        <v>130</v>
      </c>
      <c r="J10286">
        <v>130</v>
      </c>
      <c r="K10286">
        <v>0</v>
      </c>
      <c r="L10286">
        <v>0</v>
      </c>
      <c r="M10286">
        <v>117</v>
      </c>
      <c r="N10286">
        <v>11</v>
      </c>
      <c r="O10286">
        <v>2</v>
      </c>
      <c r="P10286">
        <v>0</v>
      </c>
      <c r="Q10286">
        <v>0</v>
      </c>
    </row>
    <row r="10287" spans="1:17" x14ac:dyDescent="0.2">
      <c r="A10287" s="121">
        <v>42613</v>
      </c>
      <c r="B10287" t="s">
        <v>406</v>
      </c>
      <c r="C10287" t="s">
        <v>577</v>
      </c>
      <c r="D10287" t="s">
        <v>590</v>
      </c>
      <c r="E10287" t="s">
        <v>591</v>
      </c>
      <c r="F10287" t="s">
        <v>410</v>
      </c>
      <c r="G10287">
        <v>500</v>
      </c>
      <c r="H10287">
        <v>500</v>
      </c>
      <c r="I10287">
        <v>500</v>
      </c>
      <c r="J10287">
        <v>500</v>
      </c>
      <c r="K10287">
        <v>0</v>
      </c>
      <c r="L10287">
        <v>0</v>
      </c>
      <c r="M10287">
        <v>482</v>
      </c>
      <c r="N10287">
        <v>18</v>
      </c>
      <c r="O10287">
        <v>0</v>
      </c>
      <c r="P10287">
        <v>0</v>
      </c>
      <c r="Q10287">
        <v>0</v>
      </c>
    </row>
    <row r="10288" spans="1:17" x14ac:dyDescent="0.2">
      <c r="A10288" s="121">
        <v>42613</v>
      </c>
      <c r="B10288" t="s">
        <v>406</v>
      </c>
      <c r="C10288" t="s">
        <v>577</v>
      </c>
      <c r="D10288" t="s">
        <v>607</v>
      </c>
      <c r="E10288" t="s">
        <v>608</v>
      </c>
      <c r="F10288" t="s">
        <v>410</v>
      </c>
      <c r="G10288">
        <v>283</v>
      </c>
      <c r="H10288">
        <v>283</v>
      </c>
      <c r="I10288">
        <v>283</v>
      </c>
      <c r="J10288">
        <v>283</v>
      </c>
      <c r="K10288">
        <v>0</v>
      </c>
      <c r="L10288">
        <v>0</v>
      </c>
      <c r="M10288">
        <v>262</v>
      </c>
      <c r="N10288">
        <v>20</v>
      </c>
      <c r="O10288">
        <v>1</v>
      </c>
      <c r="P10288">
        <v>0</v>
      </c>
      <c r="Q10288">
        <v>0</v>
      </c>
    </row>
    <row r="10289" spans="1:17" x14ac:dyDescent="0.2">
      <c r="A10289" s="121">
        <v>42613</v>
      </c>
      <c r="B10289" t="s">
        <v>406</v>
      </c>
      <c r="C10289" t="s">
        <v>577</v>
      </c>
      <c r="D10289" t="s">
        <v>592</v>
      </c>
      <c r="E10289" t="s">
        <v>593</v>
      </c>
      <c r="F10289" t="s">
        <v>410</v>
      </c>
      <c r="G10289">
        <v>437</v>
      </c>
      <c r="H10289">
        <v>437</v>
      </c>
      <c r="I10289">
        <v>437</v>
      </c>
      <c r="J10289">
        <v>437</v>
      </c>
      <c r="K10289">
        <v>0</v>
      </c>
      <c r="L10289">
        <v>0</v>
      </c>
      <c r="M10289">
        <v>415</v>
      </c>
      <c r="N10289">
        <v>19</v>
      </c>
      <c r="O10289">
        <v>3</v>
      </c>
      <c r="P10289">
        <v>0</v>
      </c>
      <c r="Q10289">
        <v>0</v>
      </c>
    </row>
    <row r="10290" spans="1:17" x14ac:dyDescent="0.2">
      <c r="A10290" s="121">
        <v>42613</v>
      </c>
      <c r="B10290" t="s">
        <v>406</v>
      </c>
      <c r="C10290" t="s">
        <v>594</v>
      </c>
      <c r="D10290" t="s">
        <v>595</v>
      </c>
      <c r="E10290" t="s">
        <v>596</v>
      </c>
      <c r="F10290" t="s">
        <v>410</v>
      </c>
      <c r="G10290">
        <v>67</v>
      </c>
      <c r="I10290">
        <v>67</v>
      </c>
    </row>
    <row r="10291" spans="1:17" x14ac:dyDescent="0.2">
      <c r="A10291" s="121">
        <v>42613</v>
      </c>
      <c r="B10291" t="s">
        <v>406</v>
      </c>
      <c r="C10291" t="s">
        <v>594</v>
      </c>
      <c r="D10291" t="s">
        <v>597</v>
      </c>
      <c r="E10291" t="s">
        <v>598</v>
      </c>
      <c r="F10291" t="s">
        <v>413</v>
      </c>
      <c r="G10291">
        <v>586</v>
      </c>
      <c r="H10291">
        <v>586</v>
      </c>
      <c r="I10291">
        <v>583</v>
      </c>
      <c r="J10291">
        <v>583</v>
      </c>
      <c r="K10291">
        <v>132</v>
      </c>
      <c r="L10291">
        <v>1</v>
      </c>
      <c r="M10291">
        <v>433</v>
      </c>
      <c r="N10291">
        <v>12</v>
      </c>
      <c r="O10291">
        <v>8</v>
      </c>
      <c r="P10291">
        <v>0</v>
      </c>
      <c r="Q10291">
        <v>0</v>
      </c>
    </row>
    <row r="10292" spans="1:17" x14ac:dyDescent="0.2">
      <c r="A10292" s="121">
        <v>42613</v>
      </c>
      <c r="B10292" t="s">
        <v>406</v>
      </c>
      <c r="C10292" t="s">
        <v>594</v>
      </c>
      <c r="D10292" t="s">
        <v>599</v>
      </c>
      <c r="E10292" t="s">
        <v>600</v>
      </c>
      <c r="F10292" t="s">
        <v>410</v>
      </c>
      <c r="G10292">
        <v>126</v>
      </c>
      <c r="I10292">
        <v>126</v>
      </c>
    </row>
    <row r="10293" spans="1:17" x14ac:dyDescent="0.2">
      <c r="A10293" s="121">
        <v>42643</v>
      </c>
      <c r="B10293" t="s">
        <v>406</v>
      </c>
      <c r="C10293" t="s">
        <v>407</v>
      </c>
      <c r="D10293" t="s">
        <v>408</v>
      </c>
      <c r="E10293" t="s">
        <v>409</v>
      </c>
      <c r="F10293" t="s">
        <v>410</v>
      </c>
      <c r="G10293">
        <v>274</v>
      </c>
      <c r="I10293">
        <v>271</v>
      </c>
    </row>
    <row r="10294" spans="1:17" x14ac:dyDescent="0.2">
      <c r="A10294" s="121">
        <v>42643</v>
      </c>
      <c r="B10294" t="s">
        <v>406</v>
      </c>
      <c r="C10294" t="s">
        <v>407</v>
      </c>
      <c r="D10294" t="s">
        <v>601</v>
      </c>
      <c r="E10294" t="s">
        <v>602</v>
      </c>
      <c r="F10294" t="s">
        <v>410</v>
      </c>
      <c r="G10294">
        <v>69</v>
      </c>
      <c r="I10294">
        <v>69</v>
      </c>
    </row>
    <row r="10295" spans="1:17" x14ac:dyDescent="0.2">
      <c r="A10295" s="121">
        <v>42643</v>
      </c>
      <c r="B10295" t="s">
        <v>406</v>
      </c>
      <c r="C10295" t="s">
        <v>407</v>
      </c>
      <c r="D10295" t="s">
        <v>411</v>
      </c>
      <c r="E10295" t="s">
        <v>412</v>
      </c>
      <c r="F10295" t="s">
        <v>413</v>
      </c>
      <c r="G10295">
        <v>5988</v>
      </c>
      <c r="H10295">
        <v>5988</v>
      </c>
      <c r="I10295">
        <v>5564</v>
      </c>
      <c r="J10295">
        <v>5564</v>
      </c>
      <c r="K10295">
        <v>2102</v>
      </c>
      <c r="L10295">
        <v>6</v>
      </c>
      <c r="M10295">
        <v>3477</v>
      </c>
      <c r="N10295">
        <v>119</v>
      </c>
      <c r="O10295">
        <v>284</v>
      </c>
      <c r="P10295">
        <v>69</v>
      </c>
      <c r="Q10295">
        <v>14</v>
      </c>
    </row>
    <row r="10296" spans="1:17" x14ac:dyDescent="0.2">
      <c r="A10296" s="121">
        <v>42643</v>
      </c>
      <c r="B10296" t="s">
        <v>406</v>
      </c>
      <c r="C10296" t="s">
        <v>407</v>
      </c>
      <c r="D10296" t="s">
        <v>416</v>
      </c>
      <c r="E10296" t="s">
        <v>417</v>
      </c>
      <c r="F10296" t="s">
        <v>413</v>
      </c>
      <c r="G10296">
        <v>3811</v>
      </c>
      <c r="H10296">
        <v>3811</v>
      </c>
      <c r="I10296">
        <v>3590</v>
      </c>
      <c r="J10296">
        <v>3590</v>
      </c>
      <c r="K10296">
        <v>1444</v>
      </c>
      <c r="L10296">
        <v>2</v>
      </c>
      <c r="M10296">
        <v>2174</v>
      </c>
      <c r="N10296">
        <v>115</v>
      </c>
      <c r="O10296">
        <v>76</v>
      </c>
      <c r="P10296">
        <v>11</v>
      </c>
      <c r="Q10296">
        <v>1</v>
      </c>
    </row>
    <row r="10297" spans="1:17" x14ac:dyDescent="0.2">
      <c r="A10297" s="121">
        <v>42643</v>
      </c>
      <c r="B10297" t="s">
        <v>406</v>
      </c>
      <c r="C10297" t="s">
        <v>407</v>
      </c>
      <c r="D10297" t="s">
        <v>618</v>
      </c>
      <c r="E10297" t="s">
        <v>619</v>
      </c>
      <c r="F10297" t="s">
        <v>410</v>
      </c>
      <c r="G10297">
        <v>101</v>
      </c>
      <c r="I10297">
        <v>101</v>
      </c>
    </row>
    <row r="10298" spans="1:17" x14ac:dyDescent="0.2">
      <c r="A10298" s="121">
        <v>42643</v>
      </c>
      <c r="B10298" t="s">
        <v>406</v>
      </c>
      <c r="C10298" t="s">
        <v>418</v>
      </c>
      <c r="D10298" t="s">
        <v>419</v>
      </c>
      <c r="E10298" t="s">
        <v>420</v>
      </c>
      <c r="F10298" t="s">
        <v>410</v>
      </c>
      <c r="G10298">
        <v>2</v>
      </c>
      <c r="I10298">
        <v>2</v>
      </c>
    </row>
    <row r="10299" spans="1:17" x14ac:dyDescent="0.2">
      <c r="A10299" s="121">
        <v>42643</v>
      </c>
      <c r="B10299" t="s">
        <v>406</v>
      </c>
      <c r="C10299" t="s">
        <v>418</v>
      </c>
      <c r="D10299" t="s">
        <v>421</v>
      </c>
      <c r="E10299" t="s">
        <v>422</v>
      </c>
      <c r="F10299" t="s">
        <v>410</v>
      </c>
      <c r="G10299">
        <v>99</v>
      </c>
      <c r="I10299">
        <v>99</v>
      </c>
    </row>
    <row r="10300" spans="1:17" x14ac:dyDescent="0.2">
      <c r="A10300" s="121">
        <v>42643</v>
      </c>
      <c r="B10300" t="s">
        <v>406</v>
      </c>
      <c r="C10300" t="s">
        <v>418</v>
      </c>
      <c r="D10300" t="s">
        <v>423</v>
      </c>
      <c r="E10300" t="s">
        <v>424</v>
      </c>
      <c r="F10300" t="s">
        <v>410</v>
      </c>
      <c r="G10300">
        <v>17</v>
      </c>
      <c r="I10300">
        <v>17</v>
      </c>
    </row>
    <row r="10301" spans="1:17" x14ac:dyDescent="0.2">
      <c r="A10301" s="121">
        <v>42643</v>
      </c>
      <c r="B10301" t="s">
        <v>406</v>
      </c>
      <c r="C10301" t="s">
        <v>418</v>
      </c>
      <c r="D10301" t="s">
        <v>425</v>
      </c>
      <c r="E10301" t="s">
        <v>426</v>
      </c>
      <c r="F10301" t="s">
        <v>410</v>
      </c>
      <c r="G10301">
        <v>56</v>
      </c>
      <c r="I10301">
        <v>56</v>
      </c>
    </row>
    <row r="10302" spans="1:17" x14ac:dyDescent="0.2">
      <c r="A10302" s="121">
        <v>42643</v>
      </c>
      <c r="B10302" t="s">
        <v>406</v>
      </c>
      <c r="C10302" t="s">
        <v>418</v>
      </c>
      <c r="D10302" t="s">
        <v>427</v>
      </c>
      <c r="E10302" t="s">
        <v>428</v>
      </c>
      <c r="F10302" t="s">
        <v>413</v>
      </c>
      <c r="G10302">
        <v>2506</v>
      </c>
      <c r="H10302">
        <v>2506</v>
      </c>
      <c r="I10302">
        <v>2374</v>
      </c>
      <c r="J10302">
        <v>2374</v>
      </c>
      <c r="K10302">
        <v>792</v>
      </c>
      <c r="L10302">
        <v>1</v>
      </c>
      <c r="M10302">
        <v>1351</v>
      </c>
      <c r="N10302">
        <v>332</v>
      </c>
      <c r="O10302">
        <v>30</v>
      </c>
      <c r="P10302">
        <v>3</v>
      </c>
      <c r="Q10302">
        <v>0</v>
      </c>
    </row>
    <row r="10303" spans="1:17" x14ac:dyDescent="0.2">
      <c r="A10303" s="121">
        <v>42643</v>
      </c>
      <c r="B10303" t="s">
        <v>406</v>
      </c>
      <c r="C10303" t="s">
        <v>429</v>
      </c>
      <c r="D10303" t="s">
        <v>430</v>
      </c>
      <c r="E10303" t="s">
        <v>431</v>
      </c>
      <c r="F10303" t="s">
        <v>410</v>
      </c>
      <c r="G10303">
        <v>16</v>
      </c>
      <c r="I10303">
        <v>16</v>
      </c>
    </row>
    <row r="10304" spans="1:17" x14ac:dyDescent="0.2">
      <c r="A10304" s="121">
        <v>42643</v>
      </c>
      <c r="B10304" t="s">
        <v>406</v>
      </c>
      <c r="C10304" t="s">
        <v>429</v>
      </c>
      <c r="D10304" t="s">
        <v>432</v>
      </c>
      <c r="E10304" t="s">
        <v>433</v>
      </c>
      <c r="F10304" t="s">
        <v>410</v>
      </c>
      <c r="G10304">
        <v>36</v>
      </c>
      <c r="I10304">
        <v>36</v>
      </c>
    </row>
    <row r="10305" spans="1:17" x14ac:dyDescent="0.2">
      <c r="A10305" s="121">
        <v>42643</v>
      </c>
      <c r="B10305" t="s">
        <v>406</v>
      </c>
      <c r="C10305" t="s">
        <v>429</v>
      </c>
      <c r="D10305" t="s">
        <v>434</v>
      </c>
      <c r="E10305" t="s">
        <v>435</v>
      </c>
      <c r="F10305" t="s">
        <v>410</v>
      </c>
      <c r="G10305">
        <v>3</v>
      </c>
      <c r="I10305">
        <v>3</v>
      </c>
    </row>
    <row r="10306" spans="1:17" x14ac:dyDescent="0.2">
      <c r="A10306" s="121">
        <v>42643</v>
      </c>
      <c r="B10306" t="s">
        <v>406</v>
      </c>
      <c r="C10306" t="s">
        <v>429</v>
      </c>
      <c r="D10306" t="s">
        <v>436</v>
      </c>
      <c r="E10306" t="s">
        <v>437</v>
      </c>
      <c r="F10306" t="s">
        <v>410</v>
      </c>
      <c r="G10306">
        <v>12</v>
      </c>
      <c r="H10306">
        <v>12</v>
      </c>
      <c r="I10306">
        <v>12</v>
      </c>
      <c r="J10306">
        <v>12</v>
      </c>
      <c r="K10306">
        <v>0</v>
      </c>
      <c r="L10306">
        <v>0</v>
      </c>
      <c r="M10306">
        <v>11</v>
      </c>
      <c r="N10306">
        <v>1</v>
      </c>
      <c r="O10306">
        <v>0</v>
      </c>
      <c r="P10306">
        <v>0</v>
      </c>
      <c r="Q10306">
        <v>0</v>
      </c>
    </row>
    <row r="10307" spans="1:17" x14ac:dyDescent="0.2">
      <c r="A10307" s="121">
        <v>42643</v>
      </c>
      <c r="B10307" t="s">
        <v>406</v>
      </c>
      <c r="C10307" t="s">
        <v>429</v>
      </c>
      <c r="D10307" t="s">
        <v>438</v>
      </c>
      <c r="E10307" t="s">
        <v>439</v>
      </c>
      <c r="F10307" t="s">
        <v>413</v>
      </c>
      <c r="G10307">
        <v>1008</v>
      </c>
      <c r="H10307">
        <v>1008</v>
      </c>
      <c r="I10307">
        <v>973</v>
      </c>
      <c r="J10307">
        <v>973</v>
      </c>
      <c r="K10307">
        <v>91</v>
      </c>
      <c r="L10307">
        <v>0</v>
      </c>
      <c r="M10307">
        <v>831</v>
      </c>
      <c r="N10307">
        <v>63</v>
      </c>
      <c r="O10307">
        <v>23</v>
      </c>
      <c r="P10307">
        <v>4</v>
      </c>
      <c r="Q10307">
        <v>0</v>
      </c>
    </row>
    <row r="10308" spans="1:17" x14ac:dyDescent="0.2">
      <c r="A10308" s="121">
        <v>42643</v>
      </c>
      <c r="B10308" t="s">
        <v>406</v>
      </c>
      <c r="C10308" t="s">
        <v>429</v>
      </c>
      <c r="D10308" t="s">
        <v>440</v>
      </c>
      <c r="E10308" t="s">
        <v>441</v>
      </c>
      <c r="F10308" t="s">
        <v>413</v>
      </c>
      <c r="G10308">
        <v>2915</v>
      </c>
      <c r="H10308">
        <v>2915</v>
      </c>
      <c r="I10308">
        <v>2769</v>
      </c>
      <c r="J10308">
        <v>2769</v>
      </c>
      <c r="K10308">
        <v>988</v>
      </c>
      <c r="L10308">
        <v>2</v>
      </c>
      <c r="M10308">
        <v>1799</v>
      </c>
      <c r="N10308">
        <v>70</v>
      </c>
      <c r="O10308">
        <v>56</v>
      </c>
      <c r="P10308">
        <v>0</v>
      </c>
      <c r="Q10308">
        <v>0</v>
      </c>
    </row>
    <row r="10309" spans="1:17" x14ac:dyDescent="0.2">
      <c r="A10309" s="121">
        <v>42643</v>
      </c>
      <c r="B10309" t="s">
        <v>406</v>
      </c>
      <c r="C10309" t="s">
        <v>442</v>
      </c>
      <c r="D10309" t="s">
        <v>443</v>
      </c>
      <c r="E10309" t="s">
        <v>444</v>
      </c>
      <c r="F10309" t="s">
        <v>413</v>
      </c>
      <c r="G10309">
        <v>5603</v>
      </c>
      <c r="H10309">
        <v>5603</v>
      </c>
      <c r="I10309">
        <v>5245</v>
      </c>
      <c r="J10309">
        <v>5245</v>
      </c>
      <c r="K10309">
        <v>1441</v>
      </c>
      <c r="L10309">
        <v>4</v>
      </c>
      <c r="M10309">
        <v>3915</v>
      </c>
      <c r="N10309">
        <v>93</v>
      </c>
      <c r="O10309">
        <v>150</v>
      </c>
      <c r="P10309">
        <v>20</v>
      </c>
      <c r="Q10309">
        <v>0</v>
      </c>
    </row>
    <row r="10310" spans="1:17" x14ac:dyDescent="0.2">
      <c r="A10310" s="121">
        <v>42643</v>
      </c>
      <c r="B10310" t="s">
        <v>406</v>
      </c>
      <c r="C10310" t="s">
        <v>442</v>
      </c>
      <c r="D10310" t="s">
        <v>445</v>
      </c>
      <c r="E10310" t="s">
        <v>446</v>
      </c>
      <c r="F10310" t="s">
        <v>410</v>
      </c>
      <c r="G10310">
        <v>147</v>
      </c>
      <c r="H10310">
        <v>147</v>
      </c>
      <c r="I10310">
        <v>147</v>
      </c>
      <c r="J10310">
        <v>147</v>
      </c>
      <c r="K10310">
        <v>0</v>
      </c>
      <c r="L10310">
        <v>0</v>
      </c>
      <c r="M10310">
        <v>0</v>
      </c>
      <c r="N10310">
        <v>0</v>
      </c>
      <c r="O10310">
        <v>147</v>
      </c>
      <c r="P10310">
        <v>0</v>
      </c>
      <c r="Q10310">
        <v>0</v>
      </c>
    </row>
    <row r="10311" spans="1:17" x14ac:dyDescent="0.2">
      <c r="A10311" s="121">
        <v>42643</v>
      </c>
      <c r="B10311" t="s">
        <v>406</v>
      </c>
      <c r="C10311" t="s">
        <v>442</v>
      </c>
      <c r="D10311" t="s">
        <v>447</v>
      </c>
      <c r="E10311" t="s">
        <v>448</v>
      </c>
      <c r="F10311" t="s">
        <v>410</v>
      </c>
      <c r="G10311">
        <v>362</v>
      </c>
      <c r="I10311">
        <v>362</v>
      </c>
    </row>
    <row r="10312" spans="1:17" x14ac:dyDescent="0.2">
      <c r="A10312" s="121">
        <v>42643</v>
      </c>
      <c r="B10312" t="s">
        <v>406</v>
      </c>
      <c r="C10312" t="s">
        <v>442</v>
      </c>
      <c r="D10312" t="s">
        <v>449</v>
      </c>
      <c r="E10312" t="s">
        <v>624</v>
      </c>
      <c r="F10312" t="s">
        <v>410</v>
      </c>
      <c r="G10312">
        <v>2028</v>
      </c>
      <c r="H10312">
        <v>2028</v>
      </c>
      <c r="I10312">
        <v>2025</v>
      </c>
      <c r="J10312">
        <v>2025</v>
      </c>
      <c r="K10312">
        <v>13</v>
      </c>
      <c r="L10312">
        <v>0</v>
      </c>
      <c r="M10312">
        <v>1854</v>
      </c>
      <c r="N10312">
        <v>136</v>
      </c>
      <c r="O10312">
        <v>25</v>
      </c>
      <c r="P10312">
        <v>0</v>
      </c>
      <c r="Q10312">
        <v>0</v>
      </c>
    </row>
    <row r="10313" spans="1:17" x14ac:dyDescent="0.2">
      <c r="A10313" s="121">
        <v>42643</v>
      </c>
      <c r="B10313" t="s">
        <v>406</v>
      </c>
      <c r="C10313" t="s">
        <v>451</v>
      </c>
      <c r="D10313" t="s">
        <v>454</v>
      </c>
      <c r="E10313" t="s">
        <v>621</v>
      </c>
      <c r="F10313" t="s">
        <v>410</v>
      </c>
      <c r="G10313">
        <v>1278</v>
      </c>
      <c r="H10313">
        <v>1278</v>
      </c>
      <c r="I10313">
        <v>1278</v>
      </c>
      <c r="J10313">
        <v>1278</v>
      </c>
      <c r="K10313">
        <v>2</v>
      </c>
      <c r="L10313">
        <v>0</v>
      </c>
      <c r="M10313">
        <v>927</v>
      </c>
      <c r="N10313">
        <v>37</v>
      </c>
      <c r="O10313">
        <v>312</v>
      </c>
      <c r="P10313">
        <v>0</v>
      </c>
      <c r="Q10313">
        <v>0</v>
      </c>
    </row>
    <row r="10314" spans="1:17" x14ac:dyDescent="0.2">
      <c r="A10314" s="121">
        <v>42643</v>
      </c>
      <c r="B10314" t="s">
        <v>406</v>
      </c>
      <c r="C10314" t="s">
        <v>451</v>
      </c>
      <c r="D10314" t="s">
        <v>622</v>
      </c>
      <c r="E10314" t="s">
        <v>623</v>
      </c>
      <c r="F10314" t="s">
        <v>413</v>
      </c>
      <c r="G10314">
        <v>5406</v>
      </c>
      <c r="H10314">
        <v>5406</v>
      </c>
      <c r="I10314">
        <v>5129</v>
      </c>
      <c r="J10314">
        <v>5129</v>
      </c>
      <c r="K10314">
        <v>1316</v>
      </c>
      <c r="L10314">
        <v>10</v>
      </c>
      <c r="M10314">
        <v>3196</v>
      </c>
      <c r="N10314">
        <v>48</v>
      </c>
      <c r="O10314">
        <v>836</v>
      </c>
      <c r="P10314">
        <v>3</v>
      </c>
      <c r="Q10314">
        <v>0</v>
      </c>
    </row>
    <row r="10315" spans="1:17" x14ac:dyDescent="0.2">
      <c r="A10315" s="121">
        <v>42643</v>
      </c>
      <c r="B10315" t="s">
        <v>406</v>
      </c>
      <c r="C10315" t="s">
        <v>456</v>
      </c>
      <c r="D10315" t="s">
        <v>457</v>
      </c>
      <c r="E10315" t="s">
        <v>458</v>
      </c>
      <c r="F10315" t="s">
        <v>413</v>
      </c>
      <c r="G10315">
        <v>5034</v>
      </c>
      <c r="H10315">
        <v>5034</v>
      </c>
      <c r="I10315">
        <v>4579</v>
      </c>
      <c r="J10315">
        <v>4579</v>
      </c>
      <c r="K10315">
        <v>1325</v>
      </c>
      <c r="L10315">
        <v>10</v>
      </c>
      <c r="M10315">
        <v>3297</v>
      </c>
      <c r="N10315">
        <v>22</v>
      </c>
      <c r="O10315">
        <v>380</v>
      </c>
      <c r="P10315">
        <v>9</v>
      </c>
      <c r="Q10315">
        <v>0</v>
      </c>
    </row>
    <row r="10316" spans="1:17" x14ac:dyDescent="0.2">
      <c r="A10316" s="121">
        <v>42643</v>
      </c>
      <c r="B10316" t="s">
        <v>406</v>
      </c>
      <c r="C10316" t="s">
        <v>456</v>
      </c>
      <c r="D10316" t="s">
        <v>459</v>
      </c>
      <c r="E10316" t="s">
        <v>460</v>
      </c>
      <c r="F10316" t="s">
        <v>413</v>
      </c>
      <c r="G10316">
        <v>1600</v>
      </c>
      <c r="H10316">
        <v>1600</v>
      </c>
      <c r="I10316">
        <v>1578</v>
      </c>
      <c r="J10316">
        <v>1578</v>
      </c>
      <c r="K10316">
        <v>181</v>
      </c>
      <c r="L10316">
        <v>0</v>
      </c>
      <c r="M10316">
        <v>1371</v>
      </c>
      <c r="N10316">
        <v>1</v>
      </c>
      <c r="O10316">
        <v>47</v>
      </c>
      <c r="P10316">
        <v>0</v>
      </c>
      <c r="Q10316">
        <v>0</v>
      </c>
    </row>
    <row r="10317" spans="1:17" x14ac:dyDescent="0.2">
      <c r="A10317" s="121">
        <v>42643</v>
      </c>
      <c r="B10317" t="s">
        <v>406</v>
      </c>
      <c r="C10317" t="s">
        <v>456</v>
      </c>
      <c r="D10317" t="s">
        <v>461</v>
      </c>
      <c r="E10317" t="s">
        <v>462</v>
      </c>
      <c r="F10317" t="s">
        <v>410</v>
      </c>
      <c r="G10317">
        <v>133</v>
      </c>
      <c r="I10317">
        <v>133</v>
      </c>
    </row>
    <row r="10318" spans="1:17" x14ac:dyDescent="0.2">
      <c r="A10318" s="121">
        <v>42643</v>
      </c>
      <c r="B10318" t="s">
        <v>406</v>
      </c>
      <c r="C10318" t="s">
        <v>456</v>
      </c>
      <c r="D10318" t="s">
        <v>463</v>
      </c>
      <c r="E10318" t="s">
        <v>464</v>
      </c>
      <c r="F10318" t="s">
        <v>410</v>
      </c>
      <c r="G10318">
        <v>20</v>
      </c>
      <c r="I10318">
        <v>20</v>
      </c>
    </row>
    <row r="10319" spans="1:17" x14ac:dyDescent="0.2">
      <c r="A10319" s="121">
        <v>42643</v>
      </c>
      <c r="B10319" t="s">
        <v>406</v>
      </c>
      <c r="C10319" t="s">
        <v>456</v>
      </c>
      <c r="D10319" t="s">
        <v>465</v>
      </c>
      <c r="E10319" t="s">
        <v>466</v>
      </c>
      <c r="F10319" t="s">
        <v>410</v>
      </c>
      <c r="G10319">
        <v>21</v>
      </c>
      <c r="I10319">
        <v>21</v>
      </c>
    </row>
    <row r="10320" spans="1:17" x14ac:dyDescent="0.2">
      <c r="A10320" s="121">
        <v>42643</v>
      </c>
      <c r="B10320" t="s">
        <v>406</v>
      </c>
      <c r="C10320" t="s">
        <v>456</v>
      </c>
      <c r="D10320" t="s">
        <v>467</v>
      </c>
      <c r="E10320" t="s">
        <v>468</v>
      </c>
      <c r="F10320" t="s">
        <v>410</v>
      </c>
      <c r="G10320">
        <v>1423</v>
      </c>
      <c r="I10320">
        <v>1422</v>
      </c>
    </row>
    <row r="10321" spans="1:17" x14ac:dyDescent="0.2">
      <c r="A10321" s="121">
        <v>42643</v>
      </c>
      <c r="B10321" t="s">
        <v>406</v>
      </c>
      <c r="C10321" t="s">
        <v>456</v>
      </c>
      <c r="D10321" t="s">
        <v>469</v>
      </c>
      <c r="E10321" t="s">
        <v>470</v>
      </c>
      <c r="F10321" t="s">
        <v>410</v>
      </c>
      <c r="G10321">
        <v>755</v>
      </c>
      <c r="I10321">
        <v>755</v>
      </c>
    </row>
    <row r="10322" spans="1:17" x14ac:dyDescent="0.2">
      <c r="A10322" s="121">
        <v>42643</v>
      </c>
      <c r="B10322" t="s">
        <v>406</v>
      </c>
      <c r="C10322" t="s">
        <v>456</v>
      </c>
      <c r="D10322" t="s">
        <v>471</v>
      </c>
      <c r="E10322" t="s">
        <v>472</v>
      </c>
      <c r="F10322" t="s">
        <v>410</v>
      </c>
      <c r="G10322">
        <v>298</v>
      </c>
      <c r="I10322">
        <v>298</v>
      </c>
    </row>
    <row r="10323" spans="1:17" x14ac:dyDescent="0.2">
      <c r="A10323" s="121">
        <v>42643</v>
      </c>
      <c r="B10323" t="s">
        <v>406</v>
      </c>
      <c r="C10323" t="s">
        <v>456</v>
      </c>
      <c r="D10323" t="s">
        <v>473</v>
      </c>
      <c r="E10323" t="s">
        <v>474</v>
      </c>
      <c r="F10323" t="s">
        <v>410</v>
      </c>
      <c r="G10323">
        <v>202</v>
      </c>
      <c r="I10323">
        <v>202</v>
      </c>
    </row>
    <row r="10324" spans="1:17" x14ac:dyDescent="0.2">
      <c r="A10324" s="121">
        <v>42643</v>
      </c>
      <c r="B10324" t="s">
        <v>406</v>
      </c>
      <c r="C10324" t="s">
        <v>456</v>
      </c>
      <c r="D10324" t="s">
        <v>475</v>
      </c>
      <c r="E10324" t="s">
        <v>476</v>
      </c>
      <c r="F10324" t="s">
        <v>410</v>
      </c>
      <c r="G10324">
        <v>305</v>
      </c>
      <c r="I10324">
        <v>299</v>
      </c>
    </row>
    <row r="10325" spans="1:17" x14ac:dyDescent="0.2">
      <c r="A10325" s="121">
        <v>42643</v>
      </c>
      <c r="B10325" t="s">
        <v>406</v>
      </c>
      <c r="C10325" t="s">
        <v>456</v>
      </c>
      <c r="D10325" t="s">
        <v>477</v>
      </c>
      <c r="E10325" t="s">
        <v>478</v>
      </c>
      <c r="F10325" t="s">
        <v>413</v>
      </c>
      <c r="G10325">
        <v>2159</v>
      </c>
      <c r="H10325">
        <v>2159</v>
      </c>
      <c r="I10325">
        <v>2113</v>
      </c>
      <c r="J10325">
        <v>2113</v>
      </c>
      <c r="K10325">
        <v>353</v>
      </c>
      <c r="L10325">
        <v>1</v>
      </c>
      <c r="M10325">
        <v>1750</v>
      </c>
      <c r="N10325">
        <v>7</v>
      </c>
      <c r="O10325">
        <v>48</v>
      </c>
      <c r="P10325">
        <v>2</v>
      </c>
      <c r="Q10325">
        <v>0</v>
      </c>
    </row>
    <row r="10326" spans="1:17" x14ac:dyDescent="0.2">
      <c r="A10326" s="121">
        <v>42643</v>
      </c>
      <c r="B10326" t="s">
        <v>406</v>
      </c>
      <c r="C10326" t="s">
        <v>456</v>
      </c>
      <c r="D10326" t="s">
        <v>479</v>
      </c>
      <c r="E10326" t="s">
        <v>480</v>
      </c>
      <c r="F10326" t="s">
        <v>410</v>
      </c>
      <c r="G10326">
        <v>68</v>
      </c>
      <c r="I10326">
        <v>68</v>
      </c>
    </row>
    <row r="10327" spans="1:17" x14ac:dyDescent="0.2">
      <c r="A10327" s="121">
        <v>42643</v>
      </c>
      <c r="B10327" t="s">
        <v>406</v>
      </c>
      <c r="C10327" t="s">
        <v>456</v>
      </c>
      <c r="D10327" t="s">
        <v>481</v>
      </c>
      <c r="E10327" t="s">
        <v>482</v>
      </c>
      <c r="F10327" t="s">
        <v>410</v>
      </c>
      <c r="G10327">
        <v>21</v>
      </c>
      <c r="I10327">
        <v>21</v>
      </c>
    </row>
    <row r="10328" spans="1:17" x14ac:dyDescent="0.2">
      <c r="A10328" s="121">
        <v>42643</v>
      </c>
      <c r="B10328" t="s">
        <v>406</v>
      </c>
      <c r="C10328" t="s">
        <v>456</v>
      </c>
      <c r="D10328" t="s">
        <v>483</v>
      </c>
      <c r="E10328" t="s">
        <v>484</v>
      </c>
      <c r="F10328" t="s">
        <v>410</v>
      </c>
      <c r="G10328">
        <v>89</v>
      </c>
      <c r="I10328">
        <v>89</v>
      </c>
    </row>
    <row r="10329" spans="1:17" x14ac:dyDescent="0.2">
      <c r="A10329" s="121">
        <v>42643</v>
      </c>
      <c r="B10329" t="s">
        <v>406</v>
      </c>
      <c r="C10329" t="s">
        <v>456</v>
      </c>
      <c r="D10329" t="s">
        <v>487</v>
      </c>
      <c r="E10329" t="s">
        <v>488</v>
      </c>
      <c r="F10329" t="s">
        <v>410</v>
      </c>
      <c r="G10329">
        <v>15</v>
      </c>
      <c r="I10329">
        <v>15</v>
      </c>
    </row>
    <row r="10330" spans="1:17" x14ac:dyDescent="0.2">
      <c r="A10330" s="121">
        <v>42643</v>
      </c>
      <c r="B10330" t="s">
        <v>406</v>
      </c>
      <c r="C10330" t="s">
        <v>456</v>
      </c>
      <c r="D10330" t="s">
        <v>489</v>
      </c>
      <c r="E10330" t="s">
        <v>490</v>
      </c>
      <c r="F10330" t="s">
        <v>410</v>
      </c>
      <c r="G10330">
        <v>140</v>
      </c>
      <c r="I10330">
        <v>140</v>
      </c>
    </row>
    <row r="10331" spans="1:17" x14ac:dyDescent="0.2">
      <c r="A10331" s="121">
        <v>42643</v>
      </c>
      <c r="B10331" t="s">
        <v>406</v>
      </c>
      <c r="C10331" t="s">
        <v>456</v>
      </c>
      <c r="D10331" t="s">
        <v>628</v>
      </c>
      <c r="E10331" t="s">
        <v>629</v>
      </c>
      <c r="F10331" t="s">
        <v>410</v>
      </c>
      <c r="G10331">
        <v>47</v>
      </c>
      <c r="I10331">
        <v>47</v>
      </c>
    </row>
    <row r="10332" spans="1:17" x14ac:dyDescent="0.2">
      <c r="A10332" s="121">
        <v>42643</v>
      </c>
      <c r="B10332" t="s">
        <v>406</v>
      </c>
      <c r="C10332" t="s">
        <v>491</v>
      </c>
      <c r="D10332" t="s">
        <v>492</v>
      </c>
      <c r="E10332" t="s">
        <v>493</v>
      </c>
      <c r="F10332" t="s">
        <v>410</v>
      </c>
      <c r="G10332">
        <v>1458</v>
      </c>
      <c r="H10332">
        <v>1458</v>
      </c>
      <c r="I10332">
        <v>1421</v>
      </c>
      <c r="J10332">
        <v>1421</v>
      </c>
      <c r="K10332">
        <v>226</v>
      </c>
      <c r="L10332">
        <v>0</v>
      </c>
      <c r="M10332">
        <v>1143</v>
      </c>
      <c r="N10332">
        <v>73</v>
      </c>
      <c r="O10332">
        <v>16</v>
      </c>
      <c r="P10332">
        <v>0</v>
      </c>
      <c r="Q10332">
        <v>0</v>
      </c>
    </row>
    <row r="10333" spans="1:17" x14ac:dyDescent="0.2">
      <c r="A10333" s="121">
        <v>42643</v>
      </c>
      <c r="B10333" t="s">
        <v>406</v>
      </c>
      <c r="C10333" t="s">
        <v>491</v>
      </c>
      <c r="D10333" t="s">
        <v>494</v>
      </c>
      <c r="E10333" t="s">
        <v>495</v>
      </c>
      <c r="F10333" t="s">
        <v>413</v>
      </c>
      <c r="G10333">
        <v>2734</v>
      </c>
      <c r="H10333">
        <v>2734</v>
      </c>
      <c r="I10333">
        <v>2632</v>
      </c>
      <c r="J10333">
        <v>2632</v>
      </c>
      <c r="K10333">
        <v>700</v>
      </c>
      <c r="L10333">
        <v>4</v>
      </c>
      <c r="M10333">
        <v>1776</v>
      </c>
      <c r="N10333">
        <v>41</v>
      </c>
      <c r="O10333">
        <v>213</v>
      </c>
      <c r="P10333">
        <v>5</v>
      </c>
      <c r="Q10333">
        <v>0</v>
      </c>
    </row>
    <row r="10334" spans="1:17" x14ac:dyDescent="0.2">
      <c r="A10334" s="121">
        <v>42643</v>
      </c>
      <c r="B10334" t="s">
        <v>406</v>
      </c>
      <c r="C10334" t="s">
        <v>491</v>
      </c>
      <c r="D10334" t="s">
        <v>496</v>
      </c>
      <c r="E10334" t="s">
        <v>497</v>
      </c>
      <c r="F10334" t="s">
        <v>413</v>
      </c>
      <c r="G10334">
        <v>5833</v>
      </c>
      <c r="H10334">
        <v>5833</v>
      </c>
      <c r="I10334">
        <v>5484</v>
      </c>
      <c r="J10334">
        <v>5484</v>
      </c>
      <c r="K10334">
        <v>1893</v>
      </c>
      <c r="L10334">
        <v>12</v>
      </c>
      <c r="M10334">
        <v>3721</v>
      </c>
      <c r="N10334">
        <v>83</v>
      </c>
      <c r="O10334">
        <v>124</v>
      </c>
      <c r="P10334">
        <v>4</v>
      </c>
      <c r="Q10334">
        <v>0</v>
      </c>
    </row>
    <row r="10335" spans="1:17" x14ac:dyDescent="0.2">
      <c r="A10335" s="121">
        <v>42643</v>
      </c>
      <c r="B10335" t="s">
        <v>406</v>
      </c>
      <c r="C10335" t="s">
        <v>491</v>
      </c>
      <c r="D10335" t="s">
        <v>498</v>
      </c>
      <c r="E10335" t="s">
        <v>499</v>
      </c>
      <c r="F10335" t="s">
        <v>413</v>
      </c>
      <c r="G10335">
        <v>7803</v>
      </c>
      <c r="H10335">
        <v>7803</v>
      </c>
      <c r="I10335">
        <v>7012</v>
      </c>
      <c r="J10335">
        <v>7012</v>
      </c>
      <c r="K10335">
        <v>2448</v>
      </c>
      <c r="L10335">
        <v>18</v>
      </c>
      <c r="M10335">
        <v>4882</v>
      </c>
      <c r="N10335">
        <v>145</v>
      </c>
      <c r="O10335">
        <v>310</v>
      </c>
      <c r="P10335">
        <v>16</v>
      </c>
      <c r="Q10335">
        <v>1</v>
      </c>
    </row>
    <row r="10336" spans="1:17" x14ac:dyDescent="0.2">
      <c r="A10336" s="121">
        <v>42643</v>
      </c>
      <c r="B10336" t="s">
        <v>406</v>
      </c>
      <c r="C10336" t="s">
        <v>491</v>
      </c>
      <c r="D10336" t="s">
        <v>500</v>
      </c>
      <c r="E10336" t="s">
        <v>620</v>
      </c>
      <c r="F10336" t="s">
        <v>410</v>
      </c>
      <c r="G10336">
        <v>1724</v>
      </c>
      <c r="H10336">
        <v>1724</v>
      </c>
      <c r="I10336">
        <v>1724</v>
      </c>
      <c r="J10336">
        <v>1724</v>
      </c>
      <c r="K10336">
        <v>0</v>
      </c>
      <c r="L10336">
        <v>0</v>
      </c>
      <c r="M10336">
        <v>1587</v>
      </c>
      <c r="N10336">
        <v>108</v>
      </c>
      <c r="O10336">
        <v>29</v>
      </c>
      <c r="P10336">
        <v>0</v>
      </c>
      <c r="Q10336">
        <v>0</v>
      </c>
    </row>
    <row r="10337" spans="1:17" x14ac:dyDescent="0.2">
      <c r="A10337" s="121">
        <v>42643</v>
      </c>
      <c r="B10337" t="s">
        <v>406</v>
      </c>
      <c r="C10337" t="s">
        <v>491</v>
      </c>
      <c r="D10337" t="s">
        <v>502</v>
      </c>
      <c r="E10337" t="s">
        <v>615</v>
      </c>
      <c r="F10337" t="s">
        <v>410</v>
      </c>
      <c r="G10337">
        <v>2847</v>
      </c>
      <c r="H10337">
        <v>2847</v>
      </c>
      <c r="I10337">
        <v>2846</v>
      </c>
      <c r="J10337">
        <v>2846</v>
      </c>
      <c r="K10337">
        <v>3</v>
      </c>
      <c r="L10337">
        <v>0</v>
      </c>
      <c r="M10337">
        <v>2481</v>
      </c>
      <c r="N10337">
        <v>342</v>
      </c>
      <c r="O10337">
        <v>21</v>
      </c>
      <c r="P10337">
        <v>0</v>
      </c>
      <c r="Q10337">
        <v>0</v>
      </c>
    </row>
    <row r="10338" spans="1:17" x14ac:dyDescent="0.2">
      <c r="A10338" s="121">
        <v>42643</v>
      </c>
      <c r="B10338" t="s">
        <v>406</v>
      </c>
      <c r="C10338" t="s">
        <v>491</v>
      </c>
      <c r="D10338" t="s">
        <v>504</v>
      </c>
      <c r="E10338" t="s">
        <v>630</v>
      </c>
      <c r="F10338" t="s">
        <v>413</v>
      </c>
      <c r="G10338">
        <v>7754</v>
      </c>
      <c r="H10338">
        <v>7754</v>
      </c>
      <c r="I10338">
        <v>7021</v>
      </c>
      <c r="J10338">
        <v>7021</v>
      </c>
      <c r="K10338">
        <v>2339</v>
      </c>
      <c r="L10338">
        <v>10</v>
      </c>
      <c r="M10338">
        <v>5107</v>
      </c>
      <c r="N10338">
        <v>109</v>
      </c>
      <c r="O10338">
        <v>189</v>
      </c>
      <c r="P10338">
        <v>10</v>
      </c>
      <c r="Q10338">
        <v>0</v>
      </c>
    </row>
    <row r="10339" spans="1:17" x14ac:dyDescent="0.2">
      <c r="A10339" s="121">
        <v>42643</v>
      </c>
      <c r="B10339" t="s">
        <v>406</v>
      </c>
      <c r="C10339" t="s">
        <v>491</v>
      </c>
      <c r="D10339" t="s">
        <v>506</v>
      </c>
      <c r="E10339" t="s">
        <v>507</v>
      </c>
      <c r="F10339" t="s">
        <v>413</v>
      </c>
      <c r="G10339">
        <v>4688</v>
      </c>
      <c r="H10339">
        <v>4688</v>
      </c>
      <c r="I10339">
        <v>4671</v>
      </c>
      <c r="J10339">
        <v>4671</v>
      </c>
      <c r="K10339">
        <v>806</v>
      </c>
      <c r="L10339">
        <v>2</v>
      </c>
      <c r="M10339">
        <v>3867</v>
      </c>
      <c r="N10339">
        <v>3</v>
      </c>
      <c r="O10339">
        <v>10</v>
      </c>
      <c r="P10339">
        <v>0</v>
      </c>
      <c r="Q10339">
        <v>0</v>
      </c>
    </row>
    <row r="10340" spans="1:17" x14ac:dyDescent="0.2">
      <c r="A10340" s="121">
        <v>42643</v>
      </c>
      <c r="B10340" t="s">
        <v>406</v>
      </c>
      <c r="C10340" t="s">
        <v>491</v>
      </c>
      <c r="D10340" t="s">
        <v>508</v>
      </c>
      <c r="E10340" t="s">
        <v>631</v>
      </c>
      <c r="F10340" t="s">
        <v>410</v>
      </c>
      <c r="G10340">
        <v>1087</v>
      </c>
      <c r="H10340">
        <v>1087</v>
      </c>
      <c r="I10340">
        <v>1087</v>
      </c>
      <c r="J10340">
        <v>1087</v>
      </c>
      <c r="K10340">
        <v>0</v>
      </c>
      <c r="L10340">
        <v>0</v>
      </c>
      <c r="M10340">
        <v>999</v>
      </c>
      <c r="N10340">
        <v>82</v>
      </c>
      <c r="O10340">
        <v>6</v>
      </c>
      <c r="P10340">
        <v>0</v>
      </c>
      <c r="Q10340">
        <v>0</v>
      </c>
    </row>
    <row r="10341" spans="1:17" x14ac:dyDescent="0.2">
      <c r="A10341" s="121">
        <v>42643</v>
      </c>
      <c r="B10341" t="s">
        <v>406</v>
      </c>
      <c r="C10341" t="s">
        <v>510</v>
      </c>
      <c r="D10341" t="s">
        <v>513</v>
      </c>
      <c r="E10341" t="s">
        <v>514</v>
      </c>
      <c r="F10341" t="s">
        <v>410</v>
      </c>
      <c r="G10341">
        <v>595</v>
      </c>
      <c r="I10341">
        <v>595</v>
      </c>
    </row>
    <row r="10342" spans="1:17" x14ac:dyDescent="0.2">
      <c r="A10342" s="121">
        <v>42643</v>
      </c>
      <c r="B10342" t="s">
        <v>406</v>
      </c>
      <c r="C10342" t="s">
        <v>510</v>
      </c>
      <c r="D10342" t="s">
        <v>515</v>
      </c>
      <c r="E10342" t="s">
        <v>516</v>
      </c>
      <c r="F10342" t="s">
        <v>410</v>
      </c>
      <c r="G10342">
        <v>117</v>
      </c>
      <c r="I10342">
        <v>117</v>
      </c>
    </row>
    <row r="10343" spans="1:17" x14ac:dyDescent="0.2">
      <c r="A10343" s="121">
        <v>42643</v>
      </c>
      <c r="B10343" t="s">
        <v>406</v>
      </c>
      <c r="C10343" t="s">
        <v>510</v>
      </c>
      <c r="D10343" t="s">
        <v>519</v>
      </c>
      <c r="E10343" t="s">
        <v>520</v>
      </c>
      <c r="F10343" t="s">
        <v>410</v>
      </c>
      <c r="G10343">
        <v>395</v>
      </c>
      <c r="I10343">
        <v>394</v>
      </c>
    </row>
    <row r="10344" spans="1:17" x14ac:dyDescent="0.2">
      <c r="A10344" s="121">
        <v>42643</v>
      </c>
      <c r="B10344" t="s">
        <v>406</v>
      </c>
      <c r="C10344" t="s">
        <v>510</v>
      </c>
      <c r="D10344" t="s">
        <v>523</v>
      </c>
      <c r="E10344" t="s">
        <v>524</v>
      </c>
      <c r="F10344" t="s">
        <v>413</v>
      </c>
      <c r="G10344">
        <v>688</v>
      </c>
      <c r="H10344">
        <v>688</v>
      </c>
      <c r="I10344">
        <v>680</v>
      </c>
      <c r="J10344">
        <v>680</v>
      </c>
      <c r="K10344">
        <v>156</v>
      </c>
      <c r="L10344">
        <v>0</v>
      </c>
      <c r="M10344">
        <v>520</v>
      </c>
      <c r="N10344">
        <v>12</v>
      </c>
      <c r="O10344">
        <v>0</v>
      </c>
      <c r="P10344">
        <v>1</v>
      </c>
      <c r="Q10344">
        <v>0</v>
      </c>
    </row>
    <row r="10345" spans="1:17" x14ac:dyDescent="0.2">
      <c r="A10345" s="121">
        <v>42643</v>
      </c>
      <c r="B10345" t="s">
        <v>406</v>
      </c>
      <c r="C10345" t="s">
        <v>510</v>
      </c>
      <c r="D10345" t="s">
        <v>525</v>
      </c>
      <c r="E10345" t="s">
        <v>526</v>
      </c>
      <c r="F10345" t="s">
        <v>410</v>
      </c>
      <c r="G10345">
        <v>533</v>
      </c>
      <c r="I10345">
        <v>533</v>
      </c>
    </row>
    <row r="10346" spans="1:17" x14ac:dyDescent="0.2">
      <c r="A10346" s="121">
        <v>42643</v>
      </c>
      <c r="B10346" t="s">
        <v>406</v>
      </c>
      <c r="C10346" t="s">
        <v>510</v>
      </c>
      <c r="D10346" t="s">
        <v>527</v>
      </c>
      <c r="E10346" t="s">
        <v>528</v>
      </c>
      <c r="F10346" t="s">
        <v>410</v>
      </c>
      <c r="G10346">
        <v>214</v>
      </c>
      <c r="I10346">
        <v>213</v>
      </c>
    </row>
    <row r="10347" spans="1:17" x14ac:dyDescent="0.2">
      <c r="A10347" s="121">
        <v>42643</v>
      </c>
      <c r="B10347" t="s">
        <v>406</v>
      </c>
      <c r="C10347" t="s">
        <v>510</v>
      </c>
      <c r="D10347" t="s">
        <v>529</v>
      </c>
      <c r="E10347" t="s">
        <v>530</v>
      </c>
      <c r="F10347" t="s">
        <v>413</v>
      </c>
      <c r="G10347">
        <v>674</v>
      </c>
      <c r="H10347">
        <v>674</v>
      </c>
      <c r="I10347">
        <v>655</v>
      </c>
      <c r="J10347">
        <v>655</v>
      </c>
      <c r="K10347">
        <v>184</v>
      </c>
      <c r="L10347">
        <v>1</v>
      </c>
      <c r="M10347">
        <v>488</v>
      </c>
      <c r="N10347">
        <v>1</v>
      </c>
      <c r="O10347">
        <v>0</v>
      </c>
      <c r="P10347">
        <v>0</v>
      </c>
      <c r="Q10347">
        <v>0</v>
      </c>
    </row>
    <row r="10348" spans="1:17" x14ac:dyDescent="0.2">
      <c r="A10348" s="121">
        <v>42643</v>
      </c>
      <c r="B10348" t="s">
        <v>406</v>
      </c>
      <c r="C10348" t="s">
        <v>510</v>
      </c>
      <c r="D10348" t="s">
        <v>531</v>
      </c>
      <c r="E10348" t="s">
        <v>532</v>
      </c>
      <c r="F10348" t="s">
        <v>410</v>
      </c>
      <c r="G10348">
        <v>32</v>
      </c>
      <c r="I10348">
        <v>32</v>
      </c>
    </row>
    <row r="10349" spans="1:17" x14ac:dyDescent="0.2">
      <c r="A10349" s="121">
        <v>42643</v>
      </c>
      <c r="B10349" t="s">
        <v>406</v>
      </c>
      <c r="C10349" t="s">
        <v>510</v>
      </c>
      <c r="D10349" t="s">
        <v>533</v>
      </c>
      <c r="E10349" t="s">
        <v>534</v>
      </c>
      <c r="F10349" t="s">
        <v>413</v>
      </c>
      <c r="G10349">
        <v>2965</v>
      </c>
      <c r="H10349">
        <v>2965</v>
      </c>
      <c r="I10349">
        <v>2796</v>
      </c>
      <c r="J10349">
        <v>2796</v>
      </c>
      <c r="K10349">
        <v>752</v>
      </c>
      <c r="L10349">
        <v>3</v>
      </c>
      <c r="M10349">
        <v>2201</v>
      </c>
      <c r="N10349">
        <v>9</v>
      </c>
      <c r="O10349">
        <v>0</v>
      </c>
      <c r="P10349">
        <v>4</v>
      </c>
      <c r="Q10349">
        <v>2</v>
      </c>
    </row>
    <row r="10350" spans="1:17" x14ac:dyDescent="0.2">
      <c r="A10350" s="121">
        <v>42643</v>
      </c>
      <c r="B10350" t="s">
        <v>406</v>
      </c>
      <c r="C10350" t="s">
        <v>510</v>
      </c>
      <c r="D10350" t="s">
        <v>535</v>
      </c>
      <c r="E10350" t="s">
        <v>536</v>
      </c>
      <c r="F10350" t="s">
        <v>410</v>
      </c>
      <c r="G10350">
        <v>379</v>
      </c>
      <c r="I10350">
        <v>379</v>
      </c>
    </row>
    <row r="10351" spans="1:17" x14ac:dyDescent="0.2">
      <c r="A10351" s="121">
        <v>42643</v>
      </c>
      <c r="B10351" t="s">
        <v>406</v>
      </c>
      <c r="C10351" t="s">
        <v>510</v>
      </c>
      <c r="D10351" t="s">
        <v>537</v>
      </c>
      <c r="E10351" t="s">
        <v>538</v>
      </c>
      <c r="F10351" t="s">
        <v>410</v>
      </c>
      <c r="G10351">
        <v>98</v>
      </c>
      <c r="I10351">
        <v>98</v>
      </c>
    </row>
    <row r="10352" spans="1:17" x14ac:dyDescent="0.2">
      <c r="A10352" s="121">
        <v>42643</v>
      </c>
      <c r="B10352" t="s">
        <v>406</v>
      </c>
      <c r="C10352" t="s">
        <v>510</v>
      </c>
      <c r="D10352" t="s">
        <v>539</v>
      </c>
      <c r="E10352" t="s">
        <v>540</v>
      </c>
      <c r="F10352" t="s">
        <v>413</v>
      </c>
      <c r="G10352">
        <v>845</v>
      </c>
      <c r="H10352">
        <v>845</v>
      </c>
      <c r="I10352">
        <v>817</v>
      </c>
      <c r="J10352">
        <v>817</v>
      </c>
      <c r="K10352">
        <v>159</v>
      </c>
      <c r="L10352">
        <v>0</v>
      </c>
      <c r="M10352">
        <v>681</v>
      </c>
      <c r="N10352">
        <v>5</v>
      </c>
      <c r="O10352">
        <v>0</v>
      </c>
      <c r="P10352">
        <v>2</v>
      </c>
      <c r="Q10352">
        <v>0</v>
      </c>
    </row>
    <row r="10353" spans="1:17" x14ac:dyDescent="0.2">
      <c r="A10353" s="121">
        <v>42643</v>
      </c>
      <c r="B10353" t="s">
        <v>406</v>
      </c>
      <c r="C10353" t="s">
        <v>510</v>
      </c>
      <c r="D10353" t="s">
        <v>541</v>
      </c>
      <c r="E10353" t="s">
        <v>542</v>
      </c>
      <c r="F10353" t="s">
        <v>410</v>
      </c>
      <c r="G10353">
        <v>352</v>
      </c>
      <c r="I10353">
        <v>352</v>
      </c>
    </row>
    <row r="10354" spans="1:17" x14ac:dyDescent="0.2">
      <c r="A10354" s="121">
        <v>42643</v>
      </c>
      <c r="B10354" t="s">
        <v>406</v>
      </c>
      <c r="C10354" t="s">
        <v>510</v>
      </c>
      <c r="D10354" t="s">
        <v>543</v>
      </c>
      <c r="E10354" t="s">
        <v>544</v>
      </c>
      <c r="F10354" t="s">
        <v>410</v>
      </c>
      <c r="G10354">
        <v>224</v>
      </c>
      <c r="I10354">
        <v>224</v>
      </c>
    </row>
    <row r="10355" spans="1:17" x14ac:dyDescent="0.2">
      <c r="A10355" s="121">
        <v>42643</v>
      </c>
      <c r="B10355" t="s">
        <v>406</v>
      </c>
      <c r="C10355" t="s">
        <v>510</v>
      </c>
      <c r="D10355" t="s">
        <v>545</v>
      </c>
      <c r="E10355" t="s">
        <v>546</v>
      </c>
      <c r="F10355" t="s">
        <v>410</v>
      </c>
      <c r="G10355">
        <v>96</v>
      </c>
      <c r="I10355">
        <v>96</v>
      </c>
    </row>
    <row r="10356" spans="1:17" x14ac:dyDescent="0.2">
      <c r="A10356" s="121">
        <v>42643</v>
      </c>
      <c r="B10356" t="s">
        <v>406</v>
      </c>
      <c r="C10356" t="s">
        <v>510</v>
      </c>
      <c r="D10356" t="s">
        <v>547</v>
      </c>
      <c r="E10356" t="s">
        <v>548</v>
      </c>
      <c r="F10356" t="s">
        <v>410</v>
      </c>
      <c r="G10356">
        <v>209</v>
      </c>
      <c r="I10356">
        <v>209</v>
      </c>
    </row>
    <row r="10357" spans="1:17" x14ac:dyDescent="0.2">
      <c r="A10357" s="121">
        <v>42643</v>
      </c>
      <c r="B10357" t="s">
        <v>406</v>
      </c>
      <c r="C10357" t="s">
        <v>510</v>
      </c>
      <c r="D10357" t="s">
        <v>616</v>
      </c>
      <c r="E10357" t="s">
        <v>617</v>
      </c>
      <c r="F10357" t="s">
        <v>410</v>
      </c>
      <c r="G10357">
        <v>425</v>
      </c>
      <c r="I10357">
        <v>414</v>
      </c>
    </row>
    <row r="10358" spans="1:17" x14ac:dyDescent="0.2">
      <c r="A10358" s="121">
        <v>42643</v>
      </c>
      <c r="B10358" t="s">
        <v>406</v>
      </c>
      <c r="C10358" t="s">
        <v>510</v>
      </c>
      <c r="D10358" t="s">
        <v>549</v>
      </c>
      <c r="E10358" t="s">
        <v>550</v>
      </c>
      <c r="F10358" t="s">
        <v>410</v>
      </c>
      <c r="G10358">
        <v>190</v>
      </c>
      <c r="I10358">
        <v>190</v>
      </c>
    </row>
    <row r="10359" spans="1:17" x14ac:dyDescent="0.2">
      <c r="A10359" s="121">
        <v>42643</v>
      </c>
      <c r="B10359" t="s">
        <v>406</v>
      </c>
      <c r="C10359" t="s">
        <v>510</v>
      </c>
      <c r="D10359" t="s">
        <v>625</v>
      </c>
      <c r="E10359" t="s">
        <v>626</v>
      </c>
      <c r="F10359" t="s">
        <v>410</v>
      </c>
      <c r="G10359">
        <v>137</v>
      </c>
      <c r="I10359">
        <v>137</v>
      </c>
    </row>
    <row r="10360" spans="1:17" x14ac:dyDescent="0.2">
      <c r="A10360" s="121">
        <v>42643</v>
      </c>
      <c r="B10360" t="s">
        <v>406</v>
      </c>
      <c r="C10360" t="s">
        <v>551</v>
      </c>
      <c r="D10360" t="s">
        <v>552</v>
      </c>
      <c r="E10360" t="s">
        <v>553</v>
      </c>
      <c r="F10360" t="s">
        <v>413</v>
      </c>
      <c r="G10360">
        <v>5846</v>
      </c>
      <c r="H10360">
        <v>5846</v>
      </c>
      <c r="I10360">
        <v>5632</v>
      </c>
      <c r="J10360">
        <v>5632</v>
      </c>
      <c r="K10360">
        <v>1814</v>
      </c>
      <c r="L10360">
        <v>9</v>
      </c>
      <c r="M10360">
        <v>3886</v>
      </c>
      <c r="N10360">
        <v>74</v>
      </c>
      <c r="O10360">
        <v>63</v>
      </c>
      <c r="P10360">
        <v>1</v>
      </c>
      <c r="Q10360">
        <v>0</v>
      </c>
    </row>
    <row r="10361" spans="1:17" x14ac:dyDescent="0.2">
      <c r="A10361" s="121">
        <v>42643</v>
      </c>
      <c r="B10361" t="s">
        <v>406</v>
      </c>
      <c r="C10361" t="s">
        <v>551</v>
      </c>
      <c r="D10361" t="s">
        <v>554</v>
      </c>
      <c r="E10361" t="s">
        <v>555</v>
      </c>
      <c r="F10361" t="s">
        <v>410</v>
      </c>
      <c r="G10361">
        <v>87</v>
      </c>
      <c r="I10361">
        <v>87</v>
      </c>
    </row>
    <row r="10362" spans="1:17" x14ac:dyDescent="0.2">
      <c r="A10362" s="121">
        <v>42643</v>
      </c>
      <c r="B10362" t="s">
        <v>406</v>
      </c>
      <c r="C10362" t="s">
        <v>551</v>
      </c>
      <c r="D10362" t="s">
        <v>556</v>
      </c>
      <c r="E10362" t="s">
        <v>557</v>
      </c>
      <c r="F10362" t="s">
        <v>410</v>
      </c>
      <c r="G10362">
        <v>92</v>
      </c>
      <c r="I10362">
        <v>92</v>
      </c>
    </row>
    <row r="10363" spans="1:17" x14ac:dyDescent="0.2">
      <c r="A10363" s="121">
        <v>42643</v>
      </c>
      <c r="B10363" t="s">
        <v>406</v>
      </c>
      <c r="C10363" t="s">
        <v>551</v>
      </c>
      <c r="D10363" t="s">
        <v>558</v>
      </c>
      <c r="E10363" t="s">
        <v>559</v>
      </c>
      <c r="F10363" t="s">
        <v>413</v>
      </c>
      <c r="G10363">
        <v>5431</v>
      </c>
      <c r="H10363">
        <v>5431</v>
      </c>
      <c r="I10363">
        <v>5077</v>
      </c>
      <c r="J10363">
        <v>5077</v>
      </c>
      <c r="K10363">
        <v>1565</v>
      </c>
      <c r="L10363">
        <v>4</v>
      </c>
      <c r="M10363">
        <v>3784</v>
      </c>
      <c r="N10363">
        <v>69</v>
      </c>
      <c r="O10363">
        <v>9</v>
      </c>
      <c r="P10363">
        <v>32</v>
      </c>
      <c r="Q10363">
        <v>5</v>
      </c>
    </row>
    <row r="10364" spans="1:17" x14ac:dyDescent="0.2">
      <c r="A10364" s="121">
        <v>42643</v>
      </c>
      <c r="B10364" t="s">
        <v>406</v>
      </c>
      <c r="C10364" t="s">
        <v>551</v>
      </c>
      <c r="D10364" t="s">
        <v>560</v>
      </c>
      <c r="E10364" t="s">
        <v>561</v>
      </c>
      <c r="F10364" t="s">
        <v>413</v>
      </c>
      <c r="G10364">
        <v>5635</v>
      </c>
      <c r="H10364">
        <v>5635</v>
      </c>
      <c r="I10364">
        <v>5066</v>
      </c>
      <c r="J10364">
        <v>5066</v>
      </c>
      <c r="K10364">
        <v>1303</v>
      </c>
      <c r="L10364">
        <v>9</v>
      </c>
      <c r="M10364">
        <v>4156</v>
      </c>
      <c r="N10364">
        <v>62</v>
      </c>
      <c r="O10364">
        <v>105</v>
      </c>
      <c r="P10364">
        <v>91</v>
      </c>
      <c r="Q10364">
        <v>33</v>
      </c>
    </row>
    <row r="10365" spans="1:17" x14ac:dyDescent="0.2">
      <c r="A10365" s="121">
        <v>42643</v>
      </c>
      <c r="B10365" t="s">
        <v>406</v>
      </c>
      <c r="C10365" t="s">
        <v>562</v>
      </c>
      <c r="D10365" t="s">
        <v>605</v>
      </c>
      <c r="E10365" t="s">
        <v>606</v>
      </c>
      <c r="F10365" t="s">
        <v>410</v>
      </c>
      <c r="G10365">
        <v>216</v>
      </c>
      <c r="I10365">
        <v>216</v>
      </c>
    </row>
    <row r="10366" spans="1:17" x14ac:dyDescent="0.2">
      <c r="A10366" s="121">
        <v>42643</v>
      </c>
      <c r="B10366" t="s">
        <v>406</v>
      </c>
      <c r="C10366" t="s">
        <v>562</v>
      </c>
      <c r="D10366" t="s">
        <v>563</v>
      </c>
      <c r="E10366" t="s">
        <v>564</v>
      </c>
      <c r="F10366" t="s">
        <v>410</v>
      </c>
      <c r="G10366">
        <v>4221</v>
      </c>
      <c r="H10366">
        <v>4221</v>
      </c>
      <c r="I10366">
        <v>3675</v>
      </c>
      <c r="J10366">
        <v>3675</v>
      </c>
      <c r="K10366">
        <v>1138</v>
      </c>
      <c r="L10366">
        <v>0</v>
      </c>
      <c r="M10366">
        <v>3038</v>
      </c>
      <c r="N10366">
        <v>45</v>
      </c>
      <c r="O10366">
        <v>0</v>
      </c>
      <c r="P10366">
        <v>162</v>
      </c>
      <c r="Q10366">
        <v>72</v>
      </c>
    </row>
    <row r="10367" spans="1:17" x14ac:dyDescent="0.2">
      <c r="A10367" s="121">
        <v>42643</v>
      </c>
      <c r="B10367" t="s">
        <v>406</v>
      </c>
      <c r="C10367" t="s">
        <v>562</v>
      </c>
      <c r="D10367" t="s">
        <v>565</v>
      </c>
      <c r="E10367" t="s">
        <v>566</v>
      </c>
      <c r="F10367" t="s">
        <v>413</v>
      </c>
      <c r="G10367">
        <v>4726</v>
      </c>
      <c r="H10367">
        <v>4726</v>
      </c>
      <c r="I10367">
        <v>4559</v>
      </c>
      <c r="J10367">
        <v>4559</v>
      </c>
      <c r="K10367">
        <v>982</v>
      </c>
      <c r="L10367">
        <v>6</v>
      </c>
      <c r="M10367">
        <v>3678</v>
      </c>
      <c r="N10367">
        <v>60</v>
      </c>
      <c r="O10367">
        <v>0</v>
      </c>
      <c r="P10367">
        <v>7</v>
      </c>
      <c r="Q10367">
        <v>0</v>
      </c>
    </row>
    <row r="10368" spans="1:17" x14ac:dyDescent="0.2">
      <c r="A10368" s="121">
        <v>42643</v>
      </c>
      <c r="B10368" t="s">
        <v>406</v>
      </c>
      <c r="C10368" t="s">
        <v>562</v>
      </c>
      <c r="D10368" t="s">
        <v>567</v>
      </c>
      <c r="E10368" t="s">
        <v>568</v>
      </c>
      <c r="F10368" t="s">
        <v>413</v>
      </c>
      <c r="G10368">
        <v>10223</v>
      </c>
      <c r="H10368">
        <v>10223</v>
      </c>
      <c r="I10368">
        <v>9418</v>
      </c>
      <c r="J10368">
        <v>9418</v>
      </c>
      <c r="K10368">
        <v>2665</v>
      </c>
      <c r="L10368">
        <v>15</v>
      </c>
      <c r="M10368">
        <v>7356</v>
      </c>
      <c r="N10368">
        <v>187</v>
      </c>
      <c r="O10368">
        <v>0</v>
      </c>
      <c r="P10368">
        <v>85</v>
      </c>
      <c r="Q10368">
        <v>11</v>
      </c>
    </row>
    <row r="10369" spans="1:17" x14ac:dyDescent="0.2">
      <c r="A10369" s="121">
        <v>42643</v>
      </c>
      <c r="B10369" t="s">
        <v>406</v>
      </c>
      <c r="C10369" t="s">
        <v>562</v>
      </c>
      <c r="D10369" t="s">
        <v>569</v>
      </c>
      <c r="E10369" t="s">
        <v>570</v>
      </c>
      <c r="F10369" t="s">
        <v>413</v>
      </c>
      <c r="G10369">
        <v>4093</v>
      </c>
      <c r="H10369">
        <v>4093</v>
      </c>
      <c r="I10369">
        <v>4035</v>
      </c>
      <c r="J10369">
        <v>4035</v>
      </c>
      <c r="K10369">
        <v>507</v>
      </c>
      <c r="L10369">
        <v>0</v>
      </c>
      <c r="M10369">
        <v>3418</v>
      </c>
      <c r="N10369">
        <v>168</v>
      </c>
      <c r="O10369">
        <v>0</v>
      </c>
      <c r="P10369">
        <v>0</v>
      </c>
      <c r="Q10369">
        <v>0</v>
      </c>
    </row>
    <row r="10370" spans="1:17" x14ac:dyDescent="0.2">
      <c r="A10370" s="121">
        <v>42643</v>
      </c>
      <c r="B10370" t="s">
        <v>406</v>
      </c>
      <c r="C10370" t="s">
        <v>571</v>
      </c>
      <c r="D10370" t="s">
        <v>572</v>
      </c>
      <c r="E10370" t="s">
        <v>627</v>
      </c>
      <c r="F10370" t="s">
        <v>413</v>
      </c>
      <c r="G10370">
        <v>514</v>
      </c>
      <c r="H10370">
        <v>514</v>
      </c>
      <c r="I10370">
        <v>508</v>
      </c>
      <c r="J10370">
        <v>508</v>
      </c>
      <c r="K10370">
        <v>147</v>
      </c>
      <c r="L10370">
        <v>2</v>
      </c>
      <c r="M10370">
        <v>359</v>
      </c>
      <c r="N10370">
        <v>3</v>
      </c>
      <c r="O10370">
        <v>3</v>
      </c>
      <c r="P10370">
        <v>0</v>
      </c>
      <c r="Q10370">
        <v>0</v>
      </c>
    </row>
    <row r="10371" spans="1:17" x14ac:dyDescent="0.2">
      <c r="A10371" s="121">
        <v>42643</v>
      </c>
      <c r="B10371" t="s">
        <v>406</v>
      </c>
      <c r="C10371" t="s">
        <v>574</v>
      </c>
      <c r="D10371" t="s">
        <v>575</v>
      </c>
      <c r="E10371" t="s">
        <v>576</v>
      </c>
      <c r="F10371" t="s">
        <v>413</v>
      </c>
      <c r="G10371">
        <v>644</v>
      </c>
      <c r="H10371">
        <v>644</v>
      </c>
      <c r="I10371">
        <v>612</v>
      </c>
      <c r="J10371">
        <v>612</v>
      </c>
      <c r="K10371">
        <v>143</v>
      </c>
      <c r="L10371">
        <v>0</v>
      </c>
      <c r="M10371">
        <v>491</v>
      </c>
      <c r="N10371">
        <v>2</v>
      </c>
      <c r="O10371">
        <v>8</v>
      </c>
      <c r="P10371">
        <v>0</v>
      </c>
      <c r="Q10371">
        <v>0</v>
      </c>
    </row>
    <row r="10372" spans="1:17" x14ac:dyDescent="0.2">
      <c r="A10372" s="121">
        <v>42643</v>
      </c>
      <c r="B10372" t="s">
        <v>406</v>
      </c>
      <c r="C10372" t="s">
        <v>577</v>
      </c>
      <c r="D10372" t="s">
        <v>578</v>
      </c>
      <c r="E10372" t="s">
        <v>579</v>
      </c>
      <c r="F10372" t="s">
        <v>413</v>
      </c>
      <c r="G10372">
        <v>4348</v>
      </c>
      <c r="H10372">
        <v>4348</v>
      </c>
      <c r="I10372">
        <v>4269</v>
      </c>
      <c r="J10372">
        <v>4269</v>
      </c>
      <c r="K10372">
        <v>1179</v>
      </c>
      <c r="L10372">
        <v>8</v>
      </c>
      <c r="M10372">
        <v>2865</v>
      </c>
      <c r="N10372">
        <v>276</v>
      </c>
      <c r="O10372">
        <v>20</v>
      </c>
      <c r="P10372">
        <v>0</v>
      </c>
      <c r="Q10372">
        <v>0</v>
      </c>
    </row>
    <row r="10373" spans="1:17" x14ac:dyDescent="0.2">
      <c r="A10373" s="121">
        <v>42643</v>
      </c>
      <c r="B10373" t="s">
        <v>406</v>
      </c>
      <c r="C10373" t="s">
        <v>577</v>
      </c>
      <c r="D10373" t="s">
        <v>580</v>
      </c>
      <c r="E10373" t="s">
        <v>581</v>
      </c>
      <c r="F10373" t="s">
        <v>413</v>
      </c>
      <c r="G10373">
        <v>2241</v>
      </c>
      <c r="H10373">
        <v>2241</v>
      </c>
      <c r="I10373">
        <v>2217</v>
      </c>
      <c r="J10373">
        <v>2217</v>
      </c>
      <c r="K10373">
        <v>404</v>
      </c>
      <c r="L10373">
        <v>1</v>
      </c>
      <c r="M10373">
        <v>1505</v>
      </c>
      <c r="N10373">
        <v>331</v>
      </c>
      <c r="O10373">
        <v>0</v>
      </c>
      <c r="P10373">
        <v>1</v>
      </c>
      <c r="Q10373">
        <v>0</v>
      </c>
    </row>
    <row r="10374" spans="1:17" x14ac:dyDescent="0.2">
      <c r="A10374" s="121">
        <v>42643</v>
      </c>
      <c r="B10374" t="s">
        <v>406</v>
      </c>
      <c r="C10374" t="s">
        <v>577</v>
      </c>
      <c r="D10374" t="s">
        <v>609</v>
      </c>
      <c r="E10374" t="s">
        <v>610</v>
      </c>
      <c r="F10374" t="s">
        <v>410</v>
      </c>
      <c r="G10374">
        <v>41</v>
      </c>
      <c r="H10374">
        <v>41</v>
      </c>
      <c r="I10374">
        <v>41</v>
      </c>
      <c r="J10374">
        <v>41</v>
      </c>
      <c r="K10374">
        <v>0</v>
      </c>
      <c r="L10374">
        <v>0</v>
      </c>
      <c r="M10374">
        <v>37</v>
      </c>
      <c r="N10374">
        <v>4</v>
      </c>
      <c r="O10374">
        <v>0</v>
      </c>
      <c r="P10374">
        <v>0</v>
      </c>
      <c r="Q10374">
        <v>0</v>
      </c>
    </row>
    <row r="10375" spans="1:17" x14ac:dyDescent="0.2">
      <c r="A10375" s="121">
        <v>42643</v>
      </c>
      <c r="B10375" t="s">
        <v>406</v>
      </c>
      <c r="C10375" t="s">
        <v>577</v>
      </c>
      <c r="D10375" t="s">
        <v>584</v>
      </c>
      <c r="E10375" t="s">
        <v>585</v>
      </c>
      <c r="F10375" t="s">
        <v>410</v>
      </c>
      <c r="G10375">
        <v>269</v>
      </c>
      <c r="H10375">
        <v>269</v>
      </c>
      <c r="I10375">
        <v>267</v>
      </c>
      <c r="J10375">
        <v>267</v>
      </c>
      <c r="K10375">
        <v>0</v>
      </c>
      <c r="L10375">
        <v>0</v>
      </c>
      <c r="M10375">
        <v>257</v>
      </c>
      <c r="N10375">
        <v>9</v>
      </c>
      <c r="O10375">
        <v>3</v>
      </c>
      <c r="P10375">
        <v>0</v>
      </c>
      <c r="Q10375">
        <v>0</v>
      </c>
    </row>
    <row r="10376" spans="1:17" x14ac:dyDescent="0.2">
      <c r="A10376" s="121">
        <v>42643</v>
      </c>
      <c r="B10376" t="s">
        <v>406</v>
      </c>
      <c r="C10376" t="s">
        <v>577</v>
      </c>
      <c r="D10376" t="s">
        <v>586</v>
      </c>
      <c r="E10376" t="s">
        <v>587</v>
      </c>
      <c r="F10376" t="s">
        <v>410</v>
      </c>
      <c r="G10376">
        <v>1177</v>
      </c>
      <c r="H10376">
        <v>1177</v>
      </c>
      <c r="I10376">
        <v>1177</v>
      </c>
      <c r="J10376">
        <v>1177</v>
      </c>
      <c r="K10376">
        <v>0</v>
      </c>
      <c r="L10376">
        <v>0</v>
      </c>
      <c r="M10376">
        <v>1072</v>
      </c>
      <c r="N10376">
        <v>102</v>
      </c>
      <c r="O10376">
        <v>3</v>
      </c>
      <c r="P10376">
        <v>0</v>
      </c>
      <c r="Q10376">
        <v>0</v>
      </c>
    </row>
    <row r="10377" spans="1:17" x14ac:dyDescent="0.2">
      <c r="A10377" s="121">
        <v>42643</v>
      </c>
      <c r="B10377" t="s">
        <v>406</v>
      </c>
      <c r="C10377" t="s">
        <v>577</v>
      </c>
      <c r="D10377" t="s">
        <v>588</v>
      </c>
      <c r="E10377" t="s">
        <v>589</v>
      </c>
      <c r="F10377" t="s">
        <v>410</v>
      </c>
      <c r="G10377">
        <v>174</v>
      </c>
      <c r="H10377">
        <v>174</v>
      </c>
      <c r="I10377">
        <v>174</v>
      </c>
      <c r="J10377">
        <v>174</v>
      </c>
      <c r="K10377">
        <v>0</v>
      </c>
      <c r="L10377">
        <v>0</v>
      </c>
      <c r="M10377">
        <v>165</v>
      </c>
      <c r="N10377">
        <v>8</v>
      </c>
      <c r="O10377">
        <v>1</v>
      </c>
      <c r="P10377">
        <v>0</v>
      </c>
      <c r="Q10377">
        <v>0</v>
      </c>
    </row>
    <row r="10378" spans="1:17" x14ac:dyDescent="0.2">
      <c r="A10378" s="121">
        <v>42643</v>
      </c>
      <c r="B10378" t="s">
        <v>406</v>
      </c>
      <c r="C10378" t="s">
        <v>577</v>
      </c>
      <c r="D10378" t="s">
        <v>613</v>
      </c>
      <c r="E10378" t="s">
        <v>614</v>
      </c>
      <c r="F10378" t="s">
        <v>410</v>
      </c>
      <c r="G10378">
        <v>117</v>
      </c>
      <c r="H10378">
        <v>117</v>
      </c>
      <c r="I10378">
        <v>117</v>
      </c>
      <c r="J10378">
        <v>117</v>
      </c>
      <c r="K10378">
        <v>1</v>
      </c>
      <c r="L10378">
        <v>0</v>
      </c>
      <c r="M10378">
        <v>107</v>
      </c>
      <c r="N10378">
        <v>8</v>
      </c>
      <c r="O10378">
        <v>1</v>
      </c>
      <c r="P10378">
        <v>0</v>
      </c>
      <c r="Q10378">
        <v>0</v>
      </c>
    </row>
    <row r="10379" spans="1:17" x14ac:dyDescent="0.2">
      <c r="A10379" s="121">
        <v>42643</v>
      </c>
      <c r="B10379" t="s">
        <v>406</v>
      </c>
      <c r="C10379" t="s">
        <v>577</v>
      </c>
      <c r="D10379" t="s">
        <v>590</v>
      </c>
      <c r="E10379" t="s">
        <v>591</v>
      </c>
      <c r="F10379" t="s">
        <v>410</v>
      </c>
      <c r="G10379">
        <v>472</v>
      </c>
      <c r="H10379">
        <v>472</v>
      </c>
      <c r="I10379">
        <v>472</v>
      </c>
      <c r="J10379">
        <v>472</v>
      </c>
      <c r="K10379">
        <v>0</v>
      </c>
      <c r="L10379">
        <v>0</v>
      </c>
      <c r="M10379">
        <v>454</v>
      </c>
      <c r="N10379">
        <v>16</v>
      </c>
      <c r="O10379">
        <v>2</v>
      </c>
      <c r="P10379">
        <v>0</v>
      </c>
      <c r="Q10379">
        <v>0</v>
      </c>
    </row>
    <row r="10380" spans="1:17" x14ac:dyDescent="0.2">
      <c r="A10380" s="121">
        <v>42643</v>
      </c>
      <c r="B10380" t="s">
        <v>406</v>
      </c>
      <c r="C10380" t="s">
        <v>577</v>
      </c>
      <c r="D10380" t="s">
        <v>607</v>
      </c>
      <c r="E10380" t="s">
        <v>608</v>
      </c>
      <c r="F10380" t="s">
        <v>410</v>
      </c>
      <c r="G10380">
        <v>233</v>
      </c>
      <c r="H10380">
        <v>233</v>
      </c>
      <c r="I10380">
        <v>233</v>
      </c>
      <c r="J10380">
        <v>233</v>
      </c>
      <c r="K10380">
        <v>0</v>
      </c>
      <c r="L10380">
        <v>0</v>
      </c>
      <c r="M10380">
        <v>211</v>
      </c>
      <c r="N10380">
        <v>16</v>
      </c>
      <c r="O10380">
        <v>6</v>
      </c>
      <c r="P10380">
        <v>0</v>
      </c>
      <c r="Q10380">
        <v>0</v>
      </c>
    </row>
    <row r="10381" spans="1:17" x14ac:dyDescent="0.2">
      <c r="A10381" s="121">
        <v>42643</v>
      </c>
      <c r="B10381" t="s">
        <v>406</v>
      </c>
      <c r="C10381" t="s">
        <v>577</v>
      </c>
      <c r="D10381" t="s">
        <v>592</v>
      </c>
      <c r="E10381" t="s">
        <v>593</v>
      </c>
      <c r="F10381" t="s">
        <v>410</v>
      </c>
      <c r="G10381">
        <v>416</v>
      </c>
      <c r="H10381">
        <v>416</v>
      </c>
      <c r="I10381">
        <v>414</v>
      </c>
      <c r="J10381">
        <v>414</v>
      </c>
      <c r="K10381">
        <v>0</v>
      </c>
      <c r="L10381">
        <v>0</v>
      </c>
      <c r="M10381">
        <v>393</v>
      </c>
      <c r="N10381">
        <v>22</v>
      </c>
      <c r="O10381">
        <v>1</v>
      </c>
      <c r="P10381">
        <v>0</v>
      </c>
      <c r="Q10381">
        <v>0</v>
      </c>
    </row>
    <row r="10382" spans="1:17" x14ac:dyDescent="0.2">
      <c r="A10382" s="121">
        <v>42643</v>
      </c>
      <c r="B10382" t="s">
        <v>406</v>
      </c>
      <c r="C10382" t="s">
        <v>594</v>
      </c>
      <c r="D10382" t="s">
        <v>595</v>
      </c>
      <c r="E10382" t="s">
        <v>596</v>
      </c>
      <c r="F10382" t="s">
        <v>410</v>
      </c>
      <c r="G10382">
        <v>52</v>
      </c>
      <c r="I10382">
        <v>52</v>
      </c>
    </row>
    <row r="10383" spans="1:17" x14ac:dyDescent="0.2">
      <c r="A10383" s="121">
        <v>42643</v>
      </c>
      <c r="B10383" t="s">
        <v>406</v>
      </c>
      <c r="C10383" t="s">
        <v>594</v>
      </c>
      <c r="D10383" t="s">
        <v>597</v>
      </c>
      <c r="E10383" t="s">
        <v>598</v>
      </c>
      <c r="F10383" t="s">
        <v>413</v>
      </c>
      <c r="G10383">
        <v>558</v>
      </c>
      <c r="H10383">
        <v>558</v>
      </c>
      <c r="I10383">
        <v>550</v>
      </c>
      <c r="J10383">
        <v>550</v>
      </c>
      <c r="K10383">
        <v>137</v>
      </c>
      <c r="L10383">
        <v>1</v>
      </c>
      <c r="M10383">
        <v>403</v>
      </c>
      <c r="N10383">
        <v>12</v>
      </c>
      <c r="O10383">
        <v>5</v>
      </c>
      <c r="P10383">
        <v>0</v>
      </c>
      <c r="Q10383">
        <v>0</v>
      </c>
    </row>
    <row r="10384" spans="1:17" x14ac:dyDescent="0.2">
      <c r="A10384" s="121">
        <v>42643</v>
      </c>
      <c r="B10384" t="s">
        <v>406</v>
      </c>
      <c r="C10384" t="s">
        <v>594</v>
      </c>
      <c r="D10384" t="s">
        <v>599</v>
      </c>
      <c r="E10384" t="s">
        <v>600</v>
      </c>
      <c r="F10384" t="s">
        <v>410</v>
      </c>
      <c r="G10384">
        <v>116</v>
      </c>
      <c r="I10384">
        <v>116</v>
      </c>
    </row>
    <row r="10385" spans="1:17" x14ac:dyDescent="0.2">
      <c r="A10385" s="121">
        <v>42674</v>
      </c>
      <c r="B10385" t="s">
        <v>406</v>
      </c>
      <c r="C10385" t="s">
        <v>407</v>
      </c>
      <c r="D10385" t="s">
        <v>408</v>
      </c>
      <c r="E10385" t="s">
        <v>409</v>
      </c>
      <c r="F10385" t="s">
        <v>410</v>
      </c>
      <c r="G10385">
        <v>214</v>
      </c>
      <c r="I10385">
        <v>213</v>
      </c>
    </row>
    <row r="10386" spans="1:17" x14ac:dyDescent="0.2">
      <c r="A10386" s="121">
        <v>42674</v>
      </c>
      <c r="B10386" t="s">
        <v>406</v>
      </c>
      <c r="C10386" t="s">
        <v>407</v>
      </c>
      <c r="D10386" t="s">
        <v>601</v>
      </c>
      <c r="E10386" t="s">
        <v>602</v>
      </c>
      <c r="F10386" t="s">
        <v>410</v>
      </c>
      <c r="G10386">
        <v>54</v>
      </c>
      <c r="I10386">
        <v>54</v>
      </c>
    </row>
    <row r="10387" spans="1:17" x14ac:dyDescent="0.2">
      <c r="A10387" s="121">
        <v>42674</v>
      </c>
      <c r="B10387" t="s">
        <v>406</v>
      </c>
      <c r="C10387" t="s">
        <v>407</v>
      </c>
      <c r="D10387" t="s">
        <v>411</v>
      </c>
      <c r="E10387" t="s">
        <v>412</v>
      </c>
      <c r="F10387" t="s">
        <v>413</v>
      </c>
      <c r="G10387">
        <v>5874</v>
      </c>
      <c r="H10387">
        <v>5874</v>
      </c>
      <c r="I10387">
        <v>5420</v>
      </c>
      <c r="J10387">
        <v>5420</v>
      </c>
      <c r="K10387">
        <v>2096</v>
      </c>
      <c r="L10387">
        <v>8</v>
      </c>
      <c r="M10387">
        <v>3459</v>
      </c>
      <c r="N10387">
        <v>86</v>
      </c>
      <c r="O10387">
        <v>225</v>
      </c>
      <c r="P10387">
        <v>82</v>
      </c>
      <c r="Q10387">
        <v>14</v>
      </c>
    </row>
    <row r="10388" spans="1:17" x14ac:dyDescent="0.2">
      <c r="A10388" s="121">
        <v>42674</v>
      </c>
      <c r="B10388" t="s">
        <v>406</v>
      </c>
      <c r="C10388" t="s">
        <v>407</v>
      </c>
      <c r="D10388" t="s">
        <v>416</v>
      </c>
      <c r="E10388" t="s">
        <v>417</v>
      </c>
      <c r="F10388" t="s">
        <v>413</v>
      </c>
      <c r="G10388">
        <v>3694</v>
      </c>
      <c r="H10388">
        <v>3694</v>
      </c>
      <c r="I10388">
        <v>3325</v>
      </c>
      <c r="J10388">
        <v>3325</v>
      </c>
      <c r="K10388">
        <v>1443</v>
      </c>
      <c r="L10388">
        <v>7</v>
      </c>
      <c r="M10388">
        <v>2017</v>
      </c>
      <c r="N10388">
        <v>117</v>
      </c>
      <c r="O10388">
        <v>110</v>
      </c>
      <c r="P10388">
        <v>79</v>
      </c>
      <c r="Q10388">
        <v>30</v>
      </c>
    </row>
    <row r="10389" spans="1:17" x14ac:dyDescent="0.2">
      <c r="A10389" s="121">
        <v>42674</v>
      </c>
      <c r="B10389" t="s">
        <v>406</v>
      </c>
      <c r="C10389" t="s">
        <v>407</v>
      </c>
      <c r="D10389" t="s">
        <v>618</v>
      </c>
      <c r="E10389" t="s">
        <v>619</v>
      </c>
      <c r="F10389" t="s">
        <v>410</v>
      </c>
      <c r="G10389">
        <v>75</v>
      </c>
      <c r="I10389">
        <v>75</v>
      </c>
    </row>
    <row r="10390" spans="1:17" x14ac:dyDescent="0.2">
      <c r="A10390" s="121">
        <v>42674</v>
      </c>
      <c r="B10390" t="s">
        <v>406</v>
      </c>
      <c r="C10390" t="s">
        <v>418</v>
      </c>
      <c r="D10390" t="s">
        <v>419</v>
      </c>
      <c r="E10390" t="s">
        <v>420</v>
      </c>
      <c r="F10390" t="s">
        <v>410</v>
      </c>
      <c r="G10390">
        <v>12</v>
      </c>
      <c r="I10390">
        <v>12</v>
      </c>
    </row>
    <row r="10391" spans="1:17" x14ac:dyDescent="0.2">
      <c r="A10391" s="121">
        <v>42674</v>
      </c>
      <c r="B10391" t="s">
        <v>406</v>
      </c>
      <c r="C10391" t="s">
        <v>418</v>
      </c>
      <c r="D10391" t="s">
        <v>421</v>
      </c>
      <c r="E10391" t="s">
        <v>422</v>
      </c>
      <c r="F10391" t="s">
        <v>410</v>
      </c>
      <c r="G10391">
        <v>75</v>
      </c>
      <c r="I10391">
        <v>75</v>
      </c>
    </row>
    <row r="10392" spans="1:17" x14ac:dyDescent="0.2">
      <c r="A10392" s="121">
        <v>42674</v>
      </c>
      <c r="B10392" t="s">
        <v>406</v>
      </c>
      <c r="C10392" t="s">
        <v>418</v>
      </c>
      <c r="D10392" t="s">
        <v>423</v>
      </c>
      <c r="E10392" t="s">
        <v>424</v>
      </c>
      <c r="F10392" t="s">
        <v>410</v>
      </c>
      <c r="G10392">
        <v>7</v>
      </c>
      <c r="I10392">
        <v>7</v>
      </c>
    </row>
    <row r="10393" spans="1:17" x14ac:dyDescent="0.2">
      <c r="A10393" s="121">
        <v>42674</v>
      </c>
      <c r="B10393" t="s">
        <v>406</v>
      </c>
      <c r="C10393" t="s">
        <v>418</v>
      </c>
      <c r="D10393" t="s">
        <v>425</v>
      </c>
      <c r="E10393" t="s">
        <v>426</v>
      </c>
      <c r="F10393" t="s">
        <v>410</v>
      </c>
      <c r="G10393">
        <v>34</v>
      </c>
      <c r="I10393">
        <v>34</v>
      </c>
    </row>
    <row r="10394" spans="1:17" x14ac:dyDescent="0.2">
      <c r="A10394" s="121">
        <v>42674</v>
      </c>
      <c r="B10394" t="s">
        <v>406</v>
      </c>
      <c r="C10394" t="s">
        <v>418</v>
      </c>
      <c r="D10394" t="s">
        <v>427</v>
      </c>
      <c r="E10394" t="s">
        <v>428</v>
      </c>
      <c r="F10394" t="s">
        <v>413</v>
      </c>
      <c r="G10394">
        <v>2464</v>
      </c>
      <c r="H10394">
        <v>2464</v>
      </c>
      <c r="I10394">
        <v>2344</v>
      </c>
      <c r="J10394">
        <v>2344</v>
      </c>
      <c r="K10394">
        <v>893</v>
      </c>
      <c r="L10394">
        <v>1</v>
      </c>
      <c r="M10394">
        <v>1268</v>
      </c>
      <c r="N10394">
        <v>280</v>
      </c>
      <c r="O10394">
        <v>22</v>
      </c>
      <c r="P10394">
        <v>0</v>
      </c>
      <c r="Q10394">
        <v>0</v>
      </c>
    </row>
    <row r="10395" spans="1:17" x14ac:dyDescent="0.2">
      <c r="A10395" s="121">
        <v>42674</v>
      </c>
      <c r="B10395" t="s">
        <v>406</v>
      </c>
      <c r="C10395" t="s">
        <v>429</v>
      </c>
      <c r="D10395" t="s">
        <v>430</v>
      </c>
      <c r="E10395" t="s">
        <v>431</v>
      </c>
      <c r="F10395" t="s">
        <v>410</v>
      </c>
      <c r="G10395">
        <v>31</v>
      </c>
      <c r="I10395">
        <v>31</v>
      </c>
    </row>
    <row r="10396" spans="1:17" x14ac:dyDescent="0.2">
      <c r="A10396" s="121">
        <v>42674</v>
      </c>
      <c r="B10396" t="s">
        <v>406</v>
      </c>
      <c r="C10396" t="s">
        <v>429</v>
      </c>
      <c r="D10396" t="s">
        <v>432</v>
      </c>
      <c r="E10396" t="s">
        <v>433</v>
      </c>
      <c r="F10396" t="s">
        <v>410</v>
      </c>
      <c r="G10396">
        <v>28</v>
      </c>
      <c r="I10396">
        <v>28</v>
      </c>
    </row>
    <row r="10397" spans="1:17" x14ac:dyDescent="0.2">
      <c r="A10397" s="121">
        <v>42674</v>
      </c>
      <c r="B10397" t="s">
        <v>406</v>
      </c>
      <c r="C10397" t="s">
        <v>429</v>
      </c>
      <c r="D10397" t="s">
        <v>434</v>
      </c>
      <c r="E10397" t="s">
        <v>435</v>
      </c>
      <c r="F10397" t="s">
        <v>410</v>
      </c>
      <c r="G10397">
        <v>1</v>
      </c>
      <c r="I10397">
        <v>1</v>
      </c>
    </row>
    <row r="10398" spans="1:17" x14ac:dyDescent="0.2">
      <c r="A10398" s="121">
        <v>42674</v>
      </c>
      <c r="B10398" t="s">
        <v>406</v>
      </c>
      <c r="C10398" t="s">
        <v>429</v>
      </c>
      <c r="D10398" t="s">
        <v>436</v>
      </c>
      <c r="E10398" t="s">
        <v>437</v>
      </c>
      <c r="F10398" t="s">
        <v>410</v>
      </c>
      <c r="G10398">
        <v>10</v>
      </c>
      <c r="H10398">
        <v>10</v>
      </c>
      <c r="I10398">
        <v>10</v>
      </c>
      <c r="J10398">
        <v>10</v>
      </c>
      <c r="K10398">
        <v>0</v>
      </c>
      <c r="L10398">
        <v>0</v>
      </c>
      <c r="M10398">
        <v>9</v>
      </c>
      <c r="N10398">
        <v>1</v>
      </c>
      <c r="O10398">
        <v>0</v>
      </c>
      <c r="P10398">
        <v>0</v>
      </c>
      <c r="Q10398">
        <v>0</v>
      </c>
    </row>
    <row r="10399" spans="1:17" x14ac:dyDescent="0.2">
      <c r="A10399" s="121">
        <v>42674</v>
      </c>
      <c r="B10399" t="s">
        <v>406</v>
      </c>
      <c r="C10399" t="s">
        <v>429</v>
      </c>
      <c r="D10399" t="s">
        <v>438</v>
      </c>
      <c r="E10399" t="s">
        <v>439</v>
      </c>
      <c r="F10399" t="s">
        <v>413</v>
      </c>
      <c r="G10399">
        <v>984</v>
      </c>
      <c r="H10399">
        <v>984</v>
      </c>
      <c r="I10399">
        <v>938</v>
      </c>
      <c r="J10399">
        <v>938</v>
      </c>
      <c r="K10399">
        <v>79</v>
      </c>
      <c r="L10399">
        <v>4</v>
      </c>
      <c r="M10399">
        <v>793</v>
      </c>
      <c r="N10399">
        <v>75</v>
      </c>
      <c r="O10399">
        <v>33</v>
      </c>
      <c r="P10399">
        <v>1</v>
      </c>
      <c r="Q10399">
        <v>0</v>
      </c>
    </row>
    <row r="10400" spans="1:17" x14ac:dyDescent="0.2">
      <c r="A10400" s="121">
        <v>42674</v>
      </c>
      <c r="B10400" t="s">
        <v>406</v>
      </c>
      <c r="C10400" t="s">
        <v>429</v>
      </c>
      <c r="D10400" t="s">
        <v>440</v>
      </c>
      <c r="E10400" t="s">
        <v>441</v>
      </c>
      <c r="F10400" t="s">
        <v>413</v>
      </c>
      <c r="G10400">
        <v>3009</v>
      </c>
      <c r="H10400">
        <v>3009</v>
      </c>
      <c r="I10400">
        <v>2866</v>
      </c>
      <c r="J10400">
        <v>2866</v>
      </c>
      <c r="K10400">
        <v>1092</v>
      </c>
      <c r="L10400">
        <v>5</v>
      </c>
      <c r="M10400">
        <v>1796</v>
      </c>
      <c r="N10400">
        <v>68</v>
      </c>
      <c r="O10400">
        <v>48</v>
      </c>
      <c r="P10400">
        <v>0</v>
      </c>
      <c r="Q10400">
        <v>0</v>
      </c>
    </row>
    <row r="10401" spans="1:17" x14ac:dyDescent="0.2">
      <c r="A10401" s="121">
        <v>42674</v>
      </c>
      <c r="B10401" t="s">
        <v>406</v>
      </c>
      <c r="C10401" t="s">
        <v>442</v>
      </c>
      <c r="D10401" t="s">
        <v>443</v>
      </c>
      <c r="E10401" t="s">
        <v>444</v>
      </c>
      <c r="F10401" t="s">
        <v>413</v>
      </c>
      <c r="G10401">
        <v>5203</v>
      </c>
      <c r="H10401">
        <v>5203</v>
      </c>
      <c r="I10401">
        <v>4832</v>
      </c>
      <c r="J10401">
        <v>4832</v>
      </c>
      <c r="K10401">
        <v>1461</v>
      </c>
      <c r="L10401">
        <v>8</v>
      </c>
      <c r="M10401">
        <v>3490</v>
      </c>
      <c r="N10401">
        <v>69</v>
      </c>
      <c r="O10401">
        <v>175</v>
      </c>
      <c r="P10401">
        <v>23</v>
      </c>
      <c r="Q10401">
        <v>0</v>
      </c>
    </row>
    <row r="10402" spans="1:17" x14ac:dyDescent="0.2">
      <c r="A10402" s="121">
        <v>42674</v>
      </c>
      <c r="B10402" t="s">
        <v>406</v>
      </c>
      <c r="C10402" t="s">
        <v>442</v>
      </c>
      <c r="D10402" t="s">
        <v>445</v>
      </c>
      <c r="E10402" t="s">
        <v>446</v>
      </c>
      <c r="F10402" t="s">
        <v>410</v>
      </c>
      <c r="G10402">
        <v>140</v>
      </c>
      <c r="H10402">
        <v>140</v>
      </c>
      <c r="I10402">
        <v>140</v>
      </c>
      <c r="J10402">
        <v>140</v>
      </c>
      <c r="K10402">
        <v>0</v>
      </c>
      <c r="L10402">
        <v>0</v>
      </c>
      <c r="M10402">
        <v>0</v>
      </c>
      <c r="N10402">
        <v>0</v>
      </c>
      <c r="O10402">
        <v>140</v>
      </c>
      <c r="P10402">
        <v>0</v>
      </c>
      <c r="Q10402">
        <v>0</v>
      </c>
    </row>
    <row r="10403" spans="1:17" x14ac:dyDescent="0.2">
      <c r="A10403" s="121">
        <v>42674</v>
      </c>
      <c r="B10403" t="s">
        <v>406</v>
      </c>
      <c r="C10403" t="s">
        <v>442</v>
      </c>
      <c r="D10403" t="s">
        <v>447</v>
      </c>
      <c r="E10403" t="s">
        <v>448</v>
      </c>
      <c r="F10403" t="s">
        <v>410</v>
      </c>
      <c r="G10403">
        <v>261</v>
      </c>
      <c r="I10403">
        <v>261</v>
      </c>
    </row>
    <row r="10404" spans="1:17" x14ac:dyDescent="0.2">
      <c r="A10404" s="121">
        <v>42674</v>
      </c>
      <c r="B10404" t="s">
        <v>406</v>
      </c>
      <c r="C10404" t="s">
        <v>442</v>
      </c>
      <c r="D10404" t="s">
        <v>449</v>
      </c>
      <c r="E10404" t="s">
        <v>624</v>
      </c>
      <c r="F10404" t="s">
        <v>410</v>
      </c>
      <c r="G10404">
        <v>1710</v>
      </c>
      <c r="H10404">
        <v>1710</v>
      </c>
      <c r="I10404">
        <v>1706</v>
      </c>
      <c r="J10404">
        <v>1706</v>
      </c>
      <c r="K10404">
        <v>6</v>
      </c>
      <c r="L10404">
        <v>0</v>
      </c>
      <c r="M10404">
        <v>1582</v>
      </c>
      <c r="N10404">
        <v>110</v>
      </c>
      <c r="O10404">
        <v>12</v>
      </c>
      <c r="P10404">
        <v>0</v>
      </c>
      <c r="Q10404">
        <v>0</v>
      </c>
    </row>
    <row r="10405" spans="1:17" x14ac:dyDescent="0.2">
      <c r="A10405" s="121">
        <v>42674</v>
      </c>
      <c r="B10405" t="s">
        <v>406</v>
      </c>
      <c r="C10405" t="s">
        <v>451</v>
      </c>
      <c r="D10405" t="s">
        <v>454</v>
      </c>
      <c r="E10405" t="s">
        <v>621</v>
      </c>
      <c r="F10405" t="s">
        <v>410</v>
      </c>
      <c r="G10405">
        <v>1237</v>
      </c>
      <c r="H10405">
        <v>1237</v>
      </c>
      <c r="I10405">
        <v>1237</v>
      </c>
      <c r="J10405">
        <v>1237</v>
      </c>
      <c r="K10405">
        <v>0</v>
      </c>
      <c r="L10405">
        <v>0</v>
      </c>
      <c r="M10405">
        <v>888</v>
      </c>
      <c r="N10405">
        <v>38</v>
      </c>
      <c r="O10405">
        <v>311</v>
      </c>
      <c r="P10405">
        <v>0</v>
      </c>
      <c r="Q10405">
        <v>0</v>
      </c>
    </row>
    <row r="10406" spans="1:17" x14ac:dyDescent="0.2">
      <c r="A10406" s="121">
        <v>42674</v>
      </c>
      <c r="B10406" t="s">
        <v>406</v>
      </c>
      <c r="C10406" t="s">
        <v>451</v>
      </c>
      <c r="D10406" t="s">
        <v>622</v>
      </c>
      <c r="E10406" t="s">
        <v>623</v>
      </c>
      <c r="F10406" t="s">
        <v>413</v>
      </c>
      <c r="G10406">
        <v>5343</v>
      </c>
      <c r="H10406">
        <v>5343</v>
      </c>
      <c r="I10406">
        <v>4926</v>
      </c>
      <c r="J10406">
        <v>4926</v>
      </c>
      <c r="K10406">
        <v>1453</v>
      </c>
      <c r="L10406">
        <v>11</v>
      </c>
      <c r="M10406">
        <v>3082</v>
      </c>
      <c r="N10406">
        <v>85</v>
      </c>
      <c r="O10406">
        <v>712</v>
      </c>
      <c r="P10406">
        <v>62</v>
      </c>
      <c r="Q10406">
        <v>0</v>
      </c>
    </row>
    <row r="10407" spans="1:17" x14ac:dyDescent="0.2">
      <c r="A10407" s="121">
        <v>42674</v>
      </c>
      <c r="B10407" t="s">
        <v>406</v>
      </c>
      <c r="C10407" t="s">
        <v>456</v>
      </c>
      <c r="D10407" t="s">
        <v>457</v>
      </c>
      <c r="E10407" t="s">
        <v>458</v>
      </c>
      <c r="F10407" t="s">
        <v>413</v>
      </c>
      <c r="G10407">
        <v>5064</v>
      </c>
      <c r="H10407">
        <v>5064</v>
      </c>
      <c r="I10407">
        <v>4629</v>
      </c>
      <c r="J10407">
        <v>4629</v>
      </c>
      <c r="K10407">
        <v>1411</v>
      </c>
      <c r="L10407">
        <v>13</v>
      </c>
      <c r="M10407">
        <v>3227</v>
      </c>
      <c r="N10407">
        <v>15</v>
      </c>
      <c r="O10407">
        <v>398</v>
      </c>
      <c r="P10407">
        <v>9</v>
      </c>
      <c r="Q10407">
        <v>1</v>
      </c>
    </row>
    <row r="10408" spans="1:17" x14ac:dyDescent="0.2">
      <c r="A10408" s="121">
        <v>42674</v>
      </c>
      <c r="B10408" t="s">
        <v>406</v>
      </c>
      <c r="C10408" t="s">
        <v>456</v>
      </c>
      <c r="D10408" t="s">
        <v>459</v>
      </c>
      <c r="E10408" t="s">
        <v>460</v>
      </c>
      <c r="F10408" t="s">
        <v>413</v>
      </c>
      <c r="G10408">
        <v>1159</v>
      </c>
      <c r="H10408">
        <v>1159</v>
      </c>
      <c r="I10408">
        <v>1146</v>
      </c>
      <c r="J10408">
        <v>1146</v>
      </c>
      <c r="K10408">
        <v>149</v>
      </c>
      <c r="L10408">
        <v>0</v>
      </c>
      <c r="M10408">
        <v>964</v>
      </c>
      <c r="N10408">
        <v>0</v>
      </c>
      <c r="O10408">
        <v>46</v>
      </c>
      <c r="P10408">
        <v>0</v>
      </c>
      <c r="Q10408">
        <v>0</v>
      </c>
    </row>
    <row r="10409" spans="1:17" x14ac:dyDescent="0.2">
      <c r="A10409" s="121">
        <v>42674</v>
      </c>
      <c r="B10409" t="s">
        <v>406</v>
      </c>
      <c r="C10409" t="s">
        <v>456</v>
      </c>
      <c r="D10409" t="s">
        <v>461</v>
      </c>
      <c r="E10409" t="s">
        <v>462</v>
      </c>
      <c r="F10409" t="s">
        <v>410</v>
      </c>
      <c r="G10409">
        <v>78</v>
      </c>
      <c r="I10409">
        <v>78</v>
      </c>
    </row>
    <row r="10410" spans="1:17" x14ac:dyDescent="0.2">
      <c r="A10410" s="121">
        <v>42674</v>
      </c>
      <c r="B10410" t="s">
        <v>406</v>
      </c>
      <c r="C10410" t="s">
        <v>456</v>
      </c>
      <c r="D10410" t="s">
        <v>463</v>
      </c>
      <c r="E10410" t="s">
        <v>464</v>
      </c>
      <c r="F10410" t="s">
        <v>410</v>
      </c>
      <c r="G10410">
        <v>14</v>
      </c>
      <c r="I10410">
        <v>14</v>
      </c>
    </row>
    <row r="10411" spans="1:17" x14ac:dyDescent="0.2">
      <c r="A10411" s="121">
        <v>42674</v>
      </c>
      <c r="B10411" t="s">
        <v>406</v>
      </c>
      <c r="C10411" t="s">
        <v>456</v>
      </c>
      <c r="D10411" t="s">
        <v>465</v>
      </c>
      <c r="E10411" t="s">
        <v>466</v>
      </c>
      <c r="F10411" t="s">
        <v>410</v>
      </c>
      <c r="G10411">
        <v>14</v>
      </c>
      <c r="I10411">
        <v>14</v>
      </c>
    </row>
    <row r="10412" spans="1:17" x14ac:dyDescent="0.2">
      <c r="A10412" s="121">
        <v>42674</v>
      </c>
      <c r="B10412" t="s">
        <v>406</v>
      </c>
      <c r="C10412" t="s">
        <v>456</v>
      </c>
      <c r="D10412" t="s">
        <v>467</v>
      </c>
      <c r="E10412" t="s">
        <v>468</v>
      </c>
      <c r="F10412" t="s">
        <v>410</v>
      </c>
      <c r="G10412">
        <v>1262</v>
      </c>
      <c r="I10412">
        <v>1261</v>
      </c>
    </row>
    <row r="10413" spans="1:17" x14ac:dyDescent="0.2">
      <c r="A10413" s="121">
        <v>42674</v>
      </c>
      <c r="B10413" t="s">
        <v>406</v>
      </c>
      <c r="C10413" t="s">
        <v>456</v>
      </c>
      <c r="D10413" t="s">
        <v>469</v>
      </c>
      <c r="E10413" t="s">
        <v>470</v>
      </c>
      <c r="F10413" t="s">
        <v>410</v>
      </c>
      <c r="G10413">
        <v>682</v>
      </c>
      <c r="I10413">
        <v>681</v>
      </c>
    </row>
    <row r="10414" spans="1:17" x14ac:dyDescent="0.2">
      <c r="A10414" s="121">
        <v>42674</v>
      </c>
      <c r="B10414" t="s">
        <v>406</v>
      </c>
      <c r="C10414" t="s">
        <v>456</v>
      </c>
      <c r="D10414" t="s">
        <v>471</v>
      </c>
      <c r="E10414" t="s">
        <v>472</v>
      </c>
      <c r="F10414" t="s">
        <v>410</v>
      </c>
      <c r="G10414">
        <v>235</v>
      </c>
      <c r="I10414">
        <v>233</v>
      </c>
    </row>
    <row r="10415" spans="1:17" x14ac:dyDescent="0.2">
      <c r="A10415" s="121">
        <v>42674</v>
      </c>
      <c r="B10415" t="s">
        <v>406</v>
      </c>
      <c r="C10415" t="s">
        <v>456</v>
      </c>
      <c r="D10415" t="s">
        <v>473</v>
      </c>
      <c r="E10415" t="s">
        <v>474</v>
      </c>
      <c r="F10415" t="s">
        <v>410</v>
      </c>
      <c r="G10415">
        <v>165</v>
      </c>
      <c r="I10415">
        <v>165</v>
      </c>
    </row>
    <row r="10416" spans="1:17" x14ac:dyDescent="0.2">
      <c r="A10416" s="121">
        <v>42674</v>
      </c>
      <c r="B10416" t="s">
        <v>406</v>
      </c>
      <c r="C10416" t="s">
        <v>456</v>
      </c>
      <c r="D10416" t="s">
        <v>475</v>
      </c>
      <c r="E10416" t="s">
        <v>476</v>
      </c>
      <c r="F10416" t="s">
        <v>410</v>
      </c>
      <c r="G10416">
        <v>240</v>
      </c>
      <c r="I10416">
        <v>229</v>
      </c>
    </row>
    <row r="10417" spans="1:17" x14ac:dyDescent="0.2">
      <c r="A10417" s="121">
        <v>42674</v>
      </c>
      <c r="B10417" t="s">
        <v>406</v>
      </c>
      <c r="C10417" t="s">
        <v>456</v>
      </c>
      <c r="D10417" t="s">
        <v>477</v>
      </c>
      <c r="E10417" t="s">
        <v>478</v>
      </c>
      <c r="F10417" t="s">
        <v>413</v>
      </c>
      <c r="G10417">
        <v>2047</v>
      </c>
      <c r="H10417">
        <v>2047</v>
      </c>
      <c r="I10417">
        <v>1969</v>
      </c>
      <c r="J10417">
        <v>1969</v>
      </c>
      <c r="K10417">
        <v>404</v>
      </c>
      <c r="L10417">
        <v>3</v>
      </c>
      <c r="M10417">
        <v>1575</v>
      </c>
      <c r="N10417">
        <v>16</v>
      </c>
      <c r="O10417">
        <v>49</v>
      </c>
      <c r="P10417">
        <v>1</v>
      </c>
      <c r="Q10417">
        <v>0</v>
      </c>
    </row>
    <row r="10418" spans="1:17" x14ac:dyDescent="0.2">
      <c r="A10418" s="121">
        <v>42674</v>
      </c>
      <c r="B10418" t="s">
        <v>406</v>
      </c>
      <c r="C10418" t="s">
        <v>456</v>
      </c>
      <c r="D10418" t="s">
        <v>479</v>
      </c>
      <c r="E10418" t="s">
        <v>480</v>
      </c>
      <c r="F10418" t="s">
        <v>410</v>
      </c>
      <c r="G10418">
        <v>58</v>
      </c>
      <c r="I10418">
        <v>58</v>
      </c>
    </row>
    <row r="10419" spans="1:17" x14ac:dyDescent="0.2">
      <c r="A10419" s="121">
        <v>42674</v>
      </c>
      <c r="B10419" t="s">
        <v>406</v>
      </c>
      <c r="C10419" t="s">
        <v>456</v>
      </c>
      <c r="D10419" t="s">
        <v>481</v>
      </c>
      <c r="E10419" t="s">
        <v>482</v>
      </c>
      <c r="F10419" t="s">
        <v>410</v>
      </c>
      <c r="G10419">
        <v>18</v>
      </c>
      <c r="I10419">
        <v>18</v>
      </c>
    </row>
    <row r="10420" spans="1:17" x14ac:dyDescent="0.2">
      <c r="A10420" s="121">
        <v>42674</v>
      </c>
      <c r="B10420" t="s">
        <v>406</v>
      </c>
      <c r="C10420" t="s">
        <v>456</v>
      </c>
      <c r="D10420" t="s">
        <v>483</v>
      </c>
      <c r="E10420" t="s">
        <v>484</v>
      </c>
      <c r="F10420" t="s">
        <v>410</v>
      </c>
      <c r="G10420">
        <v>89</v>
      </c>
      <c r="I10420">
        <v>89</v>
      </c>
    </row>
    <row r="10421" spans="1:17" x14ac:dyDescent="0.2">
      <c r="A10421" s="121">
        <v>42674</v>
      </c>
      <c r="B10421" t="s">
        <v>406</v>
      </c>
      <c r="C10421" t="s">
        <v>456</v>
      </c>
      <c r="D10421" t="s">
        <v>487</v>
      </c>
      <c r="E10421" t="s">
        <v>488</v>
      </c>
      <c r="F10421" t="s">
        <v>410</v>
      </c>
      <c r="G10421">
        <v>21</v>
      </c>
      <c r="I10421">
        <v>21</v>
      </c>
    </row>
    <row r="10422" spans="1:17" x14ac:dyDescent="0.2">
      <c r="A10422" s="121">
        <v>42674</v>
      </c>
      <c r="B10422" t="s">
        <v>406</v>
      </c>
      <c r="C10422" t="s">
        <v>456</v>
      </c>
      <c r="D10422" t="s">
        <v>489</v>
      </c>
      <c r="E10422" t="s">
        <v>490</v>
      </c>
      <c r="F10422" t="s">
        <v>410</v>
      </c>
      <c r="G10422">
        <v>81</v>
      </c>
      <c r="I10422">
        <v>81</v>
      </c>
    </row>
    <row r="10423" spans="1:17" x14ac:dyDescent="0.2">
      <c r="A10423" s="121">
        <v>42674</v>
      </c>
      <c r="B10423" t="s">
        <v>406</v>
      </c>
      <c r="C10423" t="s">
        <v>456</v>
      </c>
      <c r="D10423" t="s">
        <v>628</v>
      </c>
      <c r="E10423" t="s">
        <v>629</v>
      </c>
      <c r="F10423" t="s">
        <v>410</v>
      </c>
      <c r="G10423">
        <v>49</v>
      </c>
      <c r="I10423">
        <v>49</v>
      </c>
    </row>
    <row r="10424" spans="1:17" x14ac:dyDescent="0.2">
      <c r="A10424" s="121">
        <v>42674</v>
      </c>
      <c r="B10424" t="s">
        <v>406</v>
      </c>
      <c r="C10424" t="s">
        <v>491</v>
      </c>
      <c r="D10424" t="s">
        <v>492</v>
      </c>
      <c r="E10424" t="s">
        <v>493</v>
      </c>
      <c r="F10424" t="s">
        <v>410</v>
      </c>
      <c r="G10424">
        <v>1431</v>
      </c>
      <c r="H10424">
        <v>1431</v>
      </c>
      <c r="I10424">
        <v>1393</v>
      </c>
      <c r="J10424">
        <v>1393</v>
      </c>
      <c r="K10424">
        <v>215</v>
      </c>
      <c r="L10424">
        <v>0</v>
      </c>
      <c r="M10424">
        <v>1118</v>
      </c>
      <c r="N10424">
        <v>85</v>
      </c>
      <c r="O10424">
        <v>13</v>
      </c>
      <c r="P10424">
        <v>0</v>
      </c>
      <c r="Q10424">
        <v>0</v>
      </c>
    </row>
    <row r="10425" spans="1:17" x14ac:dyDescent="0.2">
      <c r="A10425" s="121">
        <v>42674</v>
      </c>
      <c r="B10425" t="s">
        <v>406</v>
      </c>
      <c r="C10425" t="s">
        <v>491</v>
      </c>
      <c r="D10425" t="s">
        <v>494</v>
      </c>
      <c r="E10425" t="s">
        <v>495</v>
      </c>
      <c r="F10425" t="s">
        <v>413</v>
      </c>
      <c r="G10425">
        <v>2650</v>
      </c>
      <c r="H10425">
        <v>2650</v>
      </c>
      <c r="I10425">
        <v>2564</v>
      </c>
      <c r="J10425">
        <v>2564</v>
      </c>
      <c r="K10425">
        <v>655</v>
      </c>
      <c r="L10425">
        <v>4</v>
      </c>
      <c r="M10425">
        <v>1806</v>
      </c>
      <c r="N10425">
        <v>44</v>
      </c>
      <c r="O10425">
        <v>141</v>
      </c>
      <c r="P10425">
        <v>1</v>
      </c>
      <c r="Q10425">
        <v>0</v>
      </c>
    </row>
    <row r="10426" spans="1:17" x14ac:dyDescent="0.2">
      <c r="A10426" s="121">
        <v>42674</v>
      </c>
      <c r="B10426" t="s">
        <v>406</v>
      </c>
      <c r="C10426" t="s">
        <v>491</v>
      </c>
      <c r="D10426" t="s">
        <v>496</v>
      </c>
      <c r="E10426" t="s">
        <v>497</v>
      </c>
      <c r="F10426" t="s">
        <v>413</v>
      </c>
      <c r="G10426">
        <v>5773</v>
      </c>
      <c r="H10426">
        <v>5773</v>
      </c>
      <c r="I10426">
        <v>5216</v>
      </c>
      <c r="J10426">
        <v>5216</v>
      </c>
      <c r="K10426">
        <v>1896</v>
      </c>
      <c r="L10426">
        <v>13</v>
      </c>
      <c r="M10426">
        <v>3610</v>
      </c>
      <c r="N10426">
        <v>129</v>
      </c>
      <c r="O10426">
        <v>125</v>
      </c>
      <c r="P10426">
        <v>34</v>
      </c>
      <c r="Q10426">
        <v>0</v>
      </c>
    </row>
    <row r="10427" spans="1:17" x14ac:dyDescent="0.2">
      <c r="A10427" s="121">
        <v>42674</v>
      </c>
      <c r="B10427" t="s">
        <v>406</v>
      </c>
      <c r="C10427" t="s">
        <v>491</v>
      </c>
      <c r="D10427" t="s">
        <v>498</v>
      </c>
      <c r="E10427" t="s">
        <v>499</v>
      </c>
      <c r="F10427" t="s">
        <v>413</v>
      </c>
      <c r="G10427">
        <v>8169</v>
      </c>
      <c r="H10427">
        <v>8169</v>
      </c>
      <c r="I10427">
        <v>7296</v>
      </c>
      <c r="J10427">
        <v>7296</v>
      </c>
      <c r="K10427">
        <v>2564</v>
      </c>
      <c r="L10427">
        <v>15</v>
      </c>
      <c r="M10427">
        <v>5138</v>
      </c>
      <c r="N10427">
        <v>153</v>
      </c>
      <c r="O10427">
        <v>299</v>
      </c>
      <c r="P10427">
        <v>23</v>
      </c>
      <c r="Q10427">
        <v>0</v>
      </c>
    </row>
    <row r="10428" spans="1:17" x14ac:dyDescent="0.2">
      <c r="A10428" s="121">
        <v>42674</v>
      </c>
      <c r="B10428" t="s">
        <v>406</v>
      </c>
      <c r="C10428" t="s">
        <v>491</v>
      </c>
      <c r="D10428" t="s">
        <v>500</v>
      </c>
      <c r="E10428" t="s">
        <v>620</v>
      </c>
      <c r="F10428" t="s">
        <v>410</v>
      </c>
      <c r="G10428">
        <v>1572</v>
      </c>
      <c r="H10428">
        <v>1572</v>
      </c>
      <c r="I10428">
        <v>1572</v>
      </c>
      <c r="J10428">
        <v>1572</v>
      </c>
      <c r="K10428">
        <v>0</v>
      </c>
      <c r="L10428">
        <v>0</v>
      </c>
      <c r="M10428">
        <v>1445</v>
      </c>
      <c r="N10428">
        <v>107</v>
      </c>
      <c r="O10428">
        <v>20</v>
      </c>
      <c r="P10428">
        <v>0</v>
      </c>
      <c r="Q10428">
        <v>0</v>
      </c>
    </row>
    <row r="10429" spans="1:17" x14ac:dyDescent="0.2">
      <c r="A10429" s="121">
        <v>42674</v>
      </c>
      <c r="B10429" t="s">
        <v>406</v>
      </c>
      <c r="C10429" t="s">
        <v>491</v>
      </c>
      <c r="D10429" t="s">
        <v>502</v>
      </c>
      <c r="E10429" t="s">
        <v>615</v>
      </c>
      <c r="F10429" t="s">
        <v>410</v>
      </c>
      <c r="G10429">
        <v>2585</v>
      </c>
      <c r="H10429">
        <v>2585</v>
      </c>
      <c r="I10429">
        <v>2585</v>
      </c>
      <c r="J10429">
        <v>2585</v>
      </c>
      <c r="K10429">
        <v>1</v>
      </c>
      <c r="L10429">
        <v>3</v>
      </c>
      <c r="M10429">
        <v>2314</v>
      </c>
      <c r="N10429">
        <v>255</v>
      </c>
      <c r="O10429">
        <v>12</v>
      </c>
      <c r="P10429">
        <v>0</v>
      </c>
      <c r="Q10429">
        <v>0</v>
      </c>
    </row>
    <row r="10430" spans="1:17" x14ac:dyDescent="0.2">
      <c r="A10430" s="121">
        <v>42674</v>
      </c>
      <c r="B10430" t="s">
        <v>406</v>
      </c>
      <c r="C10430" t="s">
        <v>491</v>
      </c>
      <c r="D10430" t="s">
        <v>504</v>
      </c>
      <c r="E10430" t="s">
        <v>630</v>
      </c>
      <c r="F10430" t="s">
        <v>413</v>
      </c>
      <c r="G10430">
        <v>8055</v>
      </c>
      <c r="H10430">
        <v>8055</v>
      </c>
      <c r="I10430">
        <v>7121</v>
      </c>
      <c r="J10430">
        <v>7121</v>
      </c>
      <c r="K10430">
        <v>2648</v>
      </c>
      <c r="L10430">
        <v>38</v>
      </c>
      <c r="M10430">
        <v>4954</v>
      </c>
      <c r="N10430">
        <v>146</v>
      </c>
      <c r="O10430">
        <v>269</v>
      </c>
      <c r="P10430">
        <v>7</v>
      </c>
      <c r="Q10430">
        <v>0</v>
      </c>
    </row>
    <row r="10431" spans="1:17" x14ac:dyDescent="0.2">
      <c r="A10431" s="121">
        <v>42674</v>
      </c>
      <c r="B10431" t="s">
        <v>406</v>
      </c>
      <c r="C10431" t="s">
        <v>491</v>
      </c>
      <c r="D10431" t="s">
        <v>506</v>
      </c>
      <c r="E10431" t="s">
        <v>507</v>
      </c>
      <c r="F10431" t="s">
        <v>413</v>
      </c>
      <c r="G10431">
        <v>4975</v>
      </c>
      <c r="H10431">
        <v>4975</v>
      </c>
      <c r="I10431">
        <v>4955</v>
      </c>
      <c r="J10431">
        <v>4955</v>
      </c>
      <c r="K10431">
        <v>814</v>
      </c>
      <c r="L10431">
        <v>1</v>
      </c>
      <c r="M10431">
        <v>4152</v>
      </c>
      <c r="N10431">
        <v>3</v>
      </c>
      <c r="O10431">
        <v>5</v>
      </c>
      <c r="P10431">
        <v>0</v>
      </c>
      <c r="Q10431">
        <v>0</v>
      </c>
    </row>
    <row r="10432" spans="1:17" x14ac:dyDescent="0.2">
      <c r="A10432" s="121">
        <v>42674</v>
      </c>
      <c r="B10432" t="s">
        <v>406</v>
      </c>
      <c r="C10432" t="s">
        <v>491</v>
      </c>
      <c r="D10432" t="s">
        <v>508</v>
      </c>
      <c r="E10432" t="s">
        <v>631</v>
      </c>
      <c r="F10432" t="s">
        <v>410</v>
      </c>
      <c r="G10432">
        <v>960</v>
      </c>
      <c r="H10432">
        <v>960</v>
      </c>
      <c r="I10432">
        <v>960</v>
      </c>
      <c r="J10432">
        <v>960</v>
      </c>
      <c r="K10432">
        <v>0</v>
      </c>
      <c r="L10432">
        <v>1</v>
      </c>
      <c r="M10432">
        <v>880</v>
      </c>
      <c r="N10432">
        <v>73</v>
      </c>
      <c r="O10432">
        <v>6</v>
      </c>
      <c r="P10432">
        <v>0</v>
      </c>
      <c r="Q10432">
        <v>0</v>
      </c>
    </row>
    <row r="10433" spans="1:17" x14ac:dyDescent="0.2">
      <c r="A10433" s="121">
        <v>42674</v>
      </c>
      <c r="B10433" t="s">
        <v>406</v>
      </c>
      <c r="C10433" t="s">
        <v>510</v>
      </c>
      <c r="D10433" t="s">
        <v>513</v>
      </c>
      <c r="E10433" t="s">
        <v>514</v>
      </c>
      <c r="F10433" t="s">
        <v>410</v>
      </c>
      <c r="G10433">
        <v>561</v>
      </c>
      <c r="I10433">
        <v>561</v>
      </c>
    </row>
    <row r="10434" spans="1:17" x14ac:dyDescent="0.2">
      <c r="A10434" s="121">
        <v>42674</v>
      </c>
      <c r="B10434" t="s">
        <v>406</v>
      </c>
      <c r="C10434" t="s">
        <v>510</v>
      </c>
      <c r="D10434" t="s">
        <v>515</v>
      </c>
      <c r="E10434" t="s">
        <v>516</v>
      </c>
      <c r="F10434" t="s">
        <v>410</v>
      </c>
      <c r="G10434">
        <v>97</v>
      </c>
      <c r="I10434">
        <v>97</v>
      </c>
    </row>
    <row r="10435" spans="1:17" x14ac:dyDescent="0.2">
      <c r="A10435" s="121">
        <v>42674</v>
      </c>
      <c r="B10435" t="s">
        <v>406</v>
      </c>
      <c r="C10435" t="s">
        <v>510</v>
      </c>
      <c r="D10435" t="s">
        <v>519</v>
      </c>
      <c r="E10435" t="s">
        <v>520</v>
      </c>
      <c r="F10435" t="s">
        <v>410</v>
      </c>
      <c r="G10435">
        <v>356</v>
      </c>
      <c r="I10435">
        <v>352</v>
      </c>
    </row>
    <row r="10436" spans="1:17" x14ac:dyDescent="0.2">
      <c r="A10436" s="121">
        <v>42674</v>
      </c>
      <c r="B10436" t="s">
        <v>406</v>
      </c>
      <c r="C10436" t="s">
        <v>510</v>
      </c>
      <c r="D10436" t="s">
        <v>523</v>
      </c>
      <c r="E10436" t="s">
        <v>524</v>
      </c>
      <c r="F10436" t="s">
        <v>413</v>
      </c>
      <c r="G10436">
        <v>695</v>
      </c>
      <c r="H10436">
        <v>695</v>
      </c>
      <c r="I10436">
        <v>683</v>
      </c>
      <c r="J10436">
        <v>683</v>
      </c>
      <c r="K10436">
        <v>187</v>
      </c>
      <c r="L10436">
        <v>0</v>
      </c>
      <c r="M10436">
        <v>490</v>
      </c>
      <c r="N10436">
        <v>18</v>
      </c>
      <c r="O10436">
        <v>0</v>
      </c>
      <c r="P10436">
        <v>1</v>
      </c>
      <c r="Q10436">
        <v>0</v>
      </c>
    </row>
    <row r="10437" spans="1:17" x14ac:dyDescent="0.2">
      <c r="A10437" s="121">
        <v>42674</v>
      </c>
      <c r="B10437" t="s">
        <v>406</v>
      </c>
      <c r="C10437" t="s">
        <v>510</v>
      </c>
      <c r="D10437" t="s">
        <v>525</v>
      </c>
      <c r="E10437" t="s">
        <v>526</v>
      </c>
      <c r="F10437" t="s">
        <v>410</v>
      </c>
      <c r="G10437">
        <v>528</v>
      </c>
      <c r="I10437">
        <v>526</v>
      </c>
    </row>
    <row r="10438" spans="1:17" x14ac:dyDescent="0.2">
      <c r="A10438" s="121">
        <v>42674</v>
      </c>
      <c r="B10438" t="s">
        <v>406</v>
      </c>
      <c r="C10438" t="s">
        <v>510</v>
      </c>
      <c r="D10438" t="s">
        <v>527</v>
      </c>
      <c r="E10438" t="s">
        <v>528</v>
      </c>
      <c r="F10438" t="s">
        <v>410</v>
      </c>
      <c r="G10438">
        <v>201</v>
      </c>
      <c r="I10438">
        <v>200</v>
      </c>
    </row>
    <row r="10439" spans="1:17" x14ac:dyDescent="0.2">
      <c r="A10439" s="121">
        <v>42674</v>
      </c>
      <c r="B10439" t="s">
        <v>406</v>
      </c>
      <c r="C10439" t="s">
        <v>510</v>
      </c>
      <c r="D10439" t="s">
        <v>529</v>
      </c>
      <c r="E10439" t="s">
        <v>530</v>
      </c>
      <c r="F10439" t="s">
        <v>413</v>
      </c>
      <c r="G10439">
        <v>515</v>
      </c>
      <c r="H10439">
        <v>515</v>
      </c>
      <c r="I10439">
        <v>489</v>
      </c>
      <c r="J10439">
        <v>489</v>
      </c>
      <c r="K10439">
        <v>170</v>
      </c>
      <c r="L10439">
        <v>1</v>
      </c>
      <c r="M10439">
        <v>342</v>
      </c>
      <c r="N10439">
        <v>2</v>
      </c>
      <c r="O10439">
        <v>0</v>
      </c>
      <c r="P10439">
        <v>2</v>
      </c>
      <c r="Q10439">
        <v>1</v>
      </c>
    </row>
    <row r="10440" spans="1:17" x14ac:dyDescent="0.2">
      <c r="A10440" s="121">
        <v>42674</v>
      </c>
      <c r="B10440" t="s">
        <v>406</v>
      </c>
      <c r="C10440" t="s">
        <v>510</v>
      </c>
      <c r="D10440" t="s">
        <v>531</v>
      </c>
      <c r="E10440" t="s">
        <v>532</v>
      </c>
      <c r="F10440" t="s">
        <v>410</v>
      </c>
      <c r="G10440">
        <v>45</v>
      </c>
      <c r="I10440">
        <v>45</v>
      </c>
    </row>
    <row r="10441" spans="1:17" x14ac:dyDescent="0.2">
      <c r="A10441" s="121">
        <v>42674</v>
      </c>
      <c r="B10441" t="s">
        <v>406</v>
      </c>
      <c r="C10441" t="s">
        <v>510</v>
      </c>
      <c r="D10441" t="s">
        <v>533</v>
      </c>
      <c r="E10441" t="s">
        <v>534</v>
      </c>
      <c r="F10441" t="s">
        <v>413</v>
      </c>
      <c r="G10441">
        <v>2660</v>
      </c>
      <c r="H10441">
        <v>2660</v>
      </c>
      <c r="I10441">
        <v>2545</v>
      </c>
      <c r="J10441">
        <v>2545</v>
      </c>
      <c r="K10441">
        <v>636</v>
      </c>
      <c r="L10441">
        <v>2</v>
      </c>
      <c r="M10441">
        <v>2011</v>
      </c>
      <c r="N10441">
        <v>11</v>
      </c>
      <c r="O10441">
        <v>0</v>
      </c>
      <c r="P10441">
        <v>3</v>
      </c>
      <c r="Q10441">
        <v>0</v>
      </c>
    </row>
    <row r="10442" spans="1:17" x14ac:dyDescent="0.2">
      <c r="A10442" s="121">
        <v>42674</v>
      </c>
      <c r="B10442" t="s">
        <v>406</v>
      </c>
      <c r="C10442" t="s">
        <v>510</v>
      </c>
      <c r="D10442" t="s">
        <v>535</v>
      </c>
      <c r="E10442" t="s">
        <v>536</v>
      </c>
      <c r="F10442" t="s">
        <v>410</v>
      </c>
      <c r="G10442">
        <v>310</v>
      </c>
      <c r="I10442">
        <v>310</v>
      </c>
    </row>
    <row r="10443" spans="1:17" x14ac:dyDescent="0.2">
      <c r="A10443" s="121">
        <v>42674</v>
      </c>
      <c r="B10443" t="s">
        <v>406</v>
      </c>
      <c r="C10443" t="s">
        <v>510</v>
      </c>
      <c r="D10443" t="s">
        <v>537</v>
      </c>
      <c r="E10443" t="s">
        <v>538</v>
      </c>
      <c r="F10443" t="s">
        <v>410</v>
      </c>
      <c r="G10443">
        <v>102</v>
      </c>
      <c r="I10443">
        <v>102</v>
      </c>
    </row>
    <row r="10444" spans="1:17" x14ac:dyDescent="0.2">
      <c r="A10444" s="121">
        <v>42674</v>
      </c>
      <c r="B10444" t="s">
        <v>406</v>
      </c>
      <c r="C10444" t="s">
        <v>510</v>
      </c>
      <c r="D10444" t="s">
        <v>539</v>
      </c>
      <c r="E10444" t="s">
        <v>540</v>
      </c>
      <c r="F10444" t="s">
        <v>413</v>
      </c>
      <c r="G10444">
        <v>735</v>
      </c>
      <c r="H10444">
        <v>735</v>
      </c>
      <c r="I10444">
        <v>694</v>
      </c>
      <c r="J10444">
        <v>694</v>
      </c>
      <c r="K10444">
        <v>149</v>
      </c>
      <c r="L10444">
        <v>1</v>
      </c>
      <c r="M10444">
        <v>579</v>
      </c>
      <c r="N10444">
        <v>6</v>
      </c>
      <c r="O10444">
        <v>0</v>
      </c>
      <c r="P10444">
        <v>3</v>
      </c>
      <c r="Q10444">
        <v>0</v>
      </c>
    </row>
    <row r="10445" spans="1:17" x14ac:dyDescent="0.2">
      <c r="A10445" s="121">
        <v>42674</v>
      </c>
      <c r="B10445" t="s">
        <v>406</v>
      </c>
      <c r="C10445" t="s">
        <v>510</v>
      </c>
      <c r="D10445" t="s">
        <v>541</v>
      </c>
      <c r="E10445" t="s">
        <v>542</v>
      </c>
      <c r="F10445" t="s">
        <v>410</v>
      </c>
      <c r="G10445">
        <v>372</v>
      </c>
      <c r="I10445">
        <v>372</v>
      </c>
    </row>
    <row r="10446" spans="1:17" x14ac:dyDescent="0.2">
      <c r="A10446" s="121">
        <v>42674</v>
      </c>
      <c r="B10446" t="s">
        <v>406</v>
      </c>
      <c r="C10446" t="s">
        <v>510</v>
      </c>
      <c r="D10446" t="s">
        <v>543</v>
      </c>
      <c r="E10446" t="s">
        <v>544</v>
      </c>
      <c r="F10446" t="s">
        <v>410</v>
      </c>
      <c r="G10446">
        <v>166</v>
      </c>
      <c r="I10446">
        <v>166</v>
      </c>
    </row>
    <row r="10447" spans="1:17" x14ac:dyDescent="0.2">
      <c r="A10447" s="121">
        <v>42674</v>
      </c>
      <c r="B10447" t="s">
        <v>406</v>
      </c>
      <c r="C10447" t="s">
        <v>510</v>
      </c>
      <c r="D10447" t="s">
        <v>545</v>
      </c>
      <c r="E10447" t="s">
        <v>546</v>
      </c>
      <c r="F10447" t="s">
        <v>410</v>
      </c>
      <c r="G10447">
        <v>94</v>
      </c>
      <c r="I10447">
        <v>94</v>
      </c>
    </row>
    <row r="10448" spans="1:17" x14ac:dyDescent="0.2">
      <c r="A10448" s="121">
        <v>42674</v>
      </c>
      <c r="B10448" t="s">
        <v>406</v>
      </c>
      <c r="C10448" t="s">
        <v>510</v>
      </c>
      <c r="D10448" t="s">
        <v>547</v>
      </c>
      <c r="E10448" t="s">
        <v>548</v>
      </c>
      <c r="F10448" t="s">
        <v>410</v>
      </c>
      <c r="G10448">
        <v>123</v>
      </c>
      <c r="I10448">
        <v>123</v>
      </c>
    </row>
    <row r="10449" spans="1:17" x14ac:dyDescent="0.2">
      <c r="A10449" s="121">
        <v>42674</v>
      </c>
      <c r="B10449" t="s">
        <v>406</v>
      </c>
      <c r="C10449" t="s">
        <v>510</v>
      </c>
      <c r="D10449" t="s">
        <v>616</v>
      </c>
      <c r="E10449" t="s">
        <v>617</v>
      </c>
      <c r="F10449" t="s">
        <v>410</v>
      </c>
      <c r="G10449">
        <v>410</v>
      </c>
      <c r="I10449">
        <v>398</v>
      </c>
    </row>
    <row r="10450" spans="1:17" x14ac:dyDescent="0.2">
      <c r="A10450" s="121">
        <v>42674</v>
      </c>
      <c r="B10450" t="s">
        <v>406</v>
      </c>
      <c r="C10450" t="s">
        <v>510</v>
      </c>
      <c r="D10450" t="s">
        <v>549</v>
      </c>
      <c r="E10450" t="s">
        <v>550</v>
      </c>
      <c r="F10450" t="s">
        <v>410</v>
      </c>
      <c r="G10450">
        <v>155</v>
      </c>
      <c r="I10450">
        <v>155</v>
      </c>
    </row>
    <row r="10451" spans="1:17" x14ac:dyDescent="0.2">
      <c r="A10451" s="121">
        <v>42674</v>
      </c>
      <c r="B10451" t="s">
        <v>406</v>
      </c>
      <c r="C10451" t="s">
        <v>510</v>
      </c>
      <c r="D10451" t="s">
        <v>625</v>
      </c>
      <c r="E10451" t="s">
        <v>626</v>
      </c>
      <c r="F10451" t="s">
        <v>410</v>
      </c>
      <c r="G10451">
        <v>139</v>
      </c>
      <c r="I10451">
        <v>137</v>
      </c>
    </row>
    <row r="10452" spans="1:17" x14ac:dyDescent="0.2">
      <c r="A10452" s="121">
        <v>42674</v>
      </c>
      <c r="B10452" t="s">
        <v>406</v>
      </c>
      <c r="C10452" t="s">
        <v>551</v>
      </c>
      <c r="D10452" t="s">
        <v>552</v>
      </c>
      <c r="E10452" t="s">
        <v>553</v>
      </c>
      <c r="F10452" t="s">
        <v>413</v>
      </c>
      <c r="G10452">
        <v>5676</v>
      </c>
      <c r="H10452">
        <v>5676</v>
      </c>
      <c r="I10452">
        <v>5422</v>
      </c>
      <c r="J10452">
        <v>5422</v>
      </c>
      <c r="K10452">
        <v>1889</v>
      </c>
      <c r="L10452">
        <v>5</v>
      </c>
      <c r="M10452">
        <v>3657</v>
      </c>
      <c r="N10452">
        <v>64</v>
      </c>
      <c r="O10452">
        <v>61</v>
      </c>
      <c r="P10452">
        <v>1</v>
      </c>
      <c r="Q10452">
        <v>0</v>
      </c>
    </row>
    <row r="10453" spans="1:17" x14ac:dyDescent="0.2">
      <c r="A10453" s="121">
        <v>42674</v>
      </c>
      <c r="B10453" t="s">
        <v>406</v>
      </c>
      <c r="C10453" t="s">
        <v>551</v>
      </c>
      <c r="D10453" t="s">
        <v>554</v>
      </c>
      <c r="E10453" t="s">
        <v>555</v>
      </c>
      <c r="F10453" t="s">
        <v>410</v>
      </c>
      <c r="G10453">
        <v>77</v>
      </c>
      <c r="I10453">
        <v>77</v>
      </c>
    </row>
    <row r="10454" spans="1:17" x14ac:dyDescent="0.2">
      <c r="A10454" s="121">
        <v>42674</v>
      </c>
      <c r="B10454" t="s">
        <v>406</v>
      </c>
      <c r="C10454" t="s">
        <v>551</v>
      </c>
      <c r="D10454" t="s">
        <v>556</v>
      </c>
      <c r="E10454" t="s">
        <v>557</v>
      </c>
      <c r="F10454" t="s">
        <v>410</v>
      </c>
      <c r="G10454">
        <v>104</v>
      </c>
      <c r="I10454">
        <v>104</v>
      </c>
    </row>
    <row r="10455" spans="1:17" x14ac:dyDescent="0.2">
      <c r="A10455" s="121">
        <v>42674</v>
      </c>
      <c r="B10455" t="s">
        <v>406</v>
      </c>
      <c r="C10455" t="s">
        <v>551</v>
      </c>
      <c r="D10455" t="s">
        <v>558</v>
      </c>
      <c r="E10455" t="s">
        <v>559</v>
      </c>
      <c r="F10455" t="s">
        <v>413</v>
      </c>
      <c r="G10455">
        <v>5322</v>
      </c>
      <c r="H10455">
        <v>5322</v>
      </c>
      <c r="I10455">
        <v>4623</v>
      </c>
      <c r="J10455">
        <v>4623</v>
      </c>
      <c r="K10455">
        <v>1560</v>
      </c>
      <c r="L10455">
        <v>6</v>
      </c>
      <c r="M10455">
        <v>3652</v>
      </c>
      <c r="N10455">
        <v>82</v>
      </c>
      <c r="O10455">
        <v>22</v>
      </c>
      <c r="P10455">
        <v>99</v>
      </c>
      <c r="Q10455">
        <v>32</v>
      </c>
    </row>
    <row r="10456" spans="1:17" x14ac:dyDescent="0.2">
      <c r="A10456" s="121">
        <v>42674</v>
      </c>
      <c r="B10456" t="s">
        <v>406</v>
      </c>
      <c r="C10456" t="s">
        <v>551</v>
      </c>
      <c r="D10456" t="s">
        <v>560</v>
      </c>
      <c r="E10456" t="s">
        <v>561</v>
      </c>
      <c r="F10456" t="s">
        <v>413</v>
      </c>
      <c r="G10456">
        <v>5528</v>
      </c>
      <c r="H10456">
        <v>5528</v>
      </c>
      <c r="I10456">
        <v>5106</v>
      </c>
      <c r="J10456">
        <v>5106</v>
      </c>
      <c r="K10456">
        <v>1313</v>
      </c>
      <c r="L10456">
        <v>16</v>
      </c>
      <c r="M10456">
        <v>4060</v>
      </c>
      <c r="N10456">
        <v>57</v>
      </c>
      <c r="O10456">
        <v>82</v>
      </c>
      <c r="P10456">
        <v>42</v>
      </c>
      <c r="Q10456">
        <v>7</v>
      </c>
    </row>
    <row r="10457" spans="1:17" x14ac:dyDescent="0.2">
      <c r="A10457" s="121">
        <v>42674</v>
      </c>
      <c r="B10457" t="s">
        <v>406</v>
      </c>
      <c r="C10457" t="s">
        <v>562</v>
      </c>
      <c r="D10457" t="s">
        <v>605</v>
      </c>
      <c r="E10457" t="s">
        <v>606</v>
      </c>
      <c r="F10457" t="s">
        <v>410</v>
      </c>
      <c r="G10457">
        <v>180</v>
      </c>
      <c r="I10457">
        <v>180</v>
      </c>
    </row>
    <row r="10458" spans="1:17" x14ac:dyDescent="0.2">
      <c r="A10458" s="121">
        <v>42674</v>
      </c>
      <c r="B10458" t="s">
        <v>406</v>
      </c>
      <c r="C10458" t="s">
        <v>562</v>
      </c>
      <c r="D10458" t="s">
        <v>563</v>
      </c>
      <c r="E10458" t="s">
        <v>564</v>
      </c>
      <c r="F10458" t="s">
        <v>410</v>
      </c>
      <c r="G10458">
        <v>3989</v>
      </c>
      <c r="H10458">
        <v>3989</v>
      </c>
      <c r="I10458">
        <v>3553</v>
      </c>
      <c r="J10458">
        <v>3553</v>
      </c>
      <c r="K10458">
        <v>1079</v>
      </c>
      <c r="L10458">
        <v>0</v>
      </c>
      <c r="M10458">
        <v>2885</v>
      </c>
      <c r="N10458">
        <v>25</v>
      </c>
      <c r="O10458">
        <v>0</v>
      </c>
      <c r="P10458">
        <v>88</v>
      </c>
      <c r="Q10458">
        <v>39</v>
      </c>
    </row>
    <row r="10459" spans="1:17" x14ac:dyDescent="0.2">
      <c r="A10459" s="121">
        <v>42674</v>
      </c>
      <c r="B10459" t="s">
        <v>406</v>
      </c>
      <c r="C10459" t="s">
        <v>562</v>
      </c>
      <c r="D10459" t="s">
        <v>565</v>
      </c>
      <c r="E10459" t="s">
        <v>566</v>
      </c>
      <c r="F10459" t="s">
        <v>413</v>
      </c>
      <c r="G10459">
        <v>4602</v>
      </c>
      <c r="H10459">
        <v>4602</v>
      </c>
      <c r="I10459">
        <v>4320</v>
      </c>
      <c r="J10459">
        <v>4320</v>
      </c>
      <c r="K10459">
        <v>1044</v>
      </c>
      <c r="L10459">
        <v>2</v>
      </c>
      <c r="M10459">
        <v>3462</v>
      </c>
      <c r="N10459">
        <v>94</v>
      </c>
      <c r="O10459">
        <v>0</v>
      </c>
      <c r="P10459">
        <v>36</v>
      </c>
      <c r="Q10459">
        <v>4</v>
      </c>
    </row>
    <row r="10460" spans="1:17" x14ac:dyDescent="0.2">
      <c r="A10460" s="121">
        <v>42674</v>
      </c>
      <c r="B10460" t="s">
        <v>406</v>
      </c>
      <c r="C10460" t="s">
        <v>562</v>
      </c>
      <c r="D10460" t="s">
        <v>567</v>
      </c>
      <c r="E10460" t="s">
        <v>568</v>
      </c>
      <c r="F10460" t="s">
        <v>413</v>
      </c>
      <c r="G10460">
        <v>10161</v>
      </c>
      <c r="H10460">
        <v>10161</v>
      </c>
      <c r="I10460">
        <v>9375</v>
      </c>
      <c r="J10460">
        <v>9375</v>
      </c>
      <c r="K10460">
        <v>2736</v>
      </c>
      <c r="L10460">
        <v>19</v>
      </c>
      <c r="M10460">
        <v>7235</v>
      </c>
      <c r="N10460">
        <v>171</v>
      </c>
      <c r="O10460">
        <v>0</v>
      </c>
      <c r="P10460">
        <v>143</v>
      </c>
      <c r="Q10460">
        <v>20</v>
      </c>
    </row>
    <row r="10461" spans="1:17" x14ac:dyDescent="0.2">
      <c r="A10461" s="121">
        <v>42674</v>
      </c>
      <c r="B10461" t="s">
        <v>406</v>
      </c>
      <c r="C10461" t="s">
        <v>562</v>
      </c>
      <c r="D10461" t="s">
        <v>569</v>
      </c>
      <c r="E10461" t="s">
        <v>570</v>
      </c>
      <c r="F10461" t="s">
        <v>413</v>
      </c>
      <c r="G10461">
        <v>4169</v>
      </c>
      <c r="H10461">
        <v>4169</v>
      </c>
      <c r="I10461">
        <v>4094</v>
      </c>
      <c r="J10461">
        <v>4094</v>
      </c>
      <c r="K10461">
        <v>520</v>
      </c>
      <c r="L10461">
        <v>1</v>
      </c>
      <c r="M10461">
        <v>3436</v>
      </c>
      <c r="N10461">
        <v>212</v>
      </c>
      <c r="O10461">
        <v>0</v>
      </c>
      <c r="P10461">
        <v>0</v>
      </c>
      <c r="Q10461">
        <v>0</v>
      </c>
    </row>
    <row r="10462" spans="1:17" x14ac:dyDescent="0.2">
      <c r="A10462" s="121">
        <v>42674</v>
      </c>
      <c r="B10462" t="s">
        <v>406</v>
      </c>
      <c r="C10462" t="s">
        <v>571</v>
      </c>
      <c r="D10462" t="s">
        <v>572</v>
      </c>
      <c r="E10462" t="s">
        <v>627</v>
      </c>
      <c r="F10462" t="s">
        <v>413</v>
      </c>
      <c r="G10462">
        <v>431</v>
      </c>
      <c r="H10462">
        <v>431</v>
      </c>
      <c r="I10462">
        <v>423</v>
      </c>
      <c r="J10462">
        <v>423</v>
      </c>
      <c r="K10462">
        <v>124</v>
      </c>
      <c r="L10462">
        <v>0</v>
      </c>
      <c r="M10462">
        <v>305</v>
      </c>
      <c r="N10462">
        <v>0</v>
      </c>
      <c r="O10462">
        <v>2</v>
      </c>
      <c r="P10462">
        <v>1</v>
      </c>
      <c r="Q10462">
        <v>0</v>
      </c>
    </row>
    <row r="10463" spans="1:17" x14ac:dyDescent="0.2">
      <c r="A10463" s="121">
        <v>42674</v>
      </c>
      <c r="B10463" t="s">
        <v>406</v>
      </c>
      <c r="C10463" t="s">
        <v>574</v>
      </c>
      <c r="D10463" t="s">
        <v>575</v>
      </c>
      <c r="E10463" t="s">
        <v>576</v>
      </c>
      <c r="F10463" t="s">
        <v>413</v>
      </c>
      <c r="G10463">
        <v>581</v>
      </c>
      <c r="H10463">
        <v>581</v>
      </c>
      <c r="I10463">
        <v>562</v>
      </c>
      <c r="J10463">
        <v>562</v>
      </c>
      <c r="K10463">
        <v>145</v>
      </c>
      <c r="L10463">
        <v>0</v>
      </c>
      <c r="M10463">
        <v>426</v>
      </c>
      <c r="N10463">
        <v>4</v>
      </c>
      <c r="O10463">
        <v>6</v>
      </c>
      <c r="P10463">
        <v>0</v>
      </c>
      <c r="Q10463">
        <v>0</v>
      </c>
    </row>
    <row r="10464" spans="1:17" x14ac:dyDescent="0.2">
      <c r="A10464" s="121">
        <v>42674</v>
      </c>
      <c r="B10464" t="s">
        <v>406</v>
      </c>
      <c r="C10464" t="s">
        <v>577</v>
      </c>
      <c r="D10464" t="s">
        <v>578</v>
      </c>
      <c r="E10464" t="s">
        <v>579</v>
      </c>
      <c r="F10464" t="s">
        <v>413</v>
      </c>
      <c r="G10464">
        <v>4147</v>
      </c>
      <c r="H10464">
        <v>4147</v>
      </c>
      <c r="I10464">
        <v>4060</v>
      </c>
      <c r="J10464">
        <v>4060</v>
      </c>
      <c r="K10464">
        <v>1257</v>
      </c>
      <c r="L10464">
        <v>7</v>
      </c>
      <c r="M10464">
        <v>2633</v>
      </c>
      <c r="N10464">
        <v>250</v>
      </c>
      <c r="O10464">
        <v>0</v>
      </c>
      <c r="P10464">
        <v>0</v>
      </c>
      <c r="Q10464">
        <v>0</v>
      </c>
    </row>
    <row r="10465" spans="1:17" x14ac:dyDescent="0.2">
      <c r="A10465" s="121">
        <v>42674</v>
      </c>
      <c r="B10465" t="s">
        <v>406</v>
      </c>
      <c r="C10465" t="s">
        <v>577</v>
      </c>
      <c r="D10465" t="s">
        <v>580</v>
      </c>
      <c r="E10465" t="s">
        <v>581</v>
      </c>
      <c r="F10465" t="s">
        <v>413</v>
      </c>
      <c r="G10465">
        <v>2072</v>
      </c>
      <c r="H10465">
        <v>2072</v>
      </c>
      <c r="I10465">
        <v>2031</v>
      </c>
      <c r="J10465">
        <v>2031</v>
      </c>
      <c r="K10465">
        <v>404</v>
      </c>
      <c r="L10465">
        <v>1</v>
      </c>
      <c r="M10465">
        <v>1338</v>
      </c>
      <c r="N10465">
        <v>329</v>
      </c>
      <c r="O10465">
        <v>0</v>
      </c>
      <c r="P10465">
        <v>1</v>
      </c>
      <c r="Q10465">
        <v>0</v>
      </c>
    </row>
    <row r="10466" spans="1:17" x14ac:dyDescent="0.2">
      <c r="A10466" s="121">
        <v>42674</v>
      </c>
      <c r="B10466" t="s">
        <v>406</v>
      </c>
      <c r="C10466" t="s">
        <v>577</v>
      </c>
      <c r="D10466" t="s">
        <v>609</v>
      </c>
      <c r="E10466" t="s">
        <v>610</v>
      </c>
      <c r="F10466" t="s">
        <v>410</v>
      </c>
      <c r="G10466">
        <v>35</v>
      </c>
      <c r="H10466">
        <v>35</v>
      </c>
      <c r="I10466">
        <v>35</v>
      </c>
      <c r="J10466">
        <v>35</v>
      </c>
      <c r="K10466">
        <v>0</v>
      </c>
      <c r="L10466">
        <v>0</v>
      </c>
      <c r="M10466">
        <v>32</v>
      </c>
      <c r="N10466">
        <v>3</v>
      </c>
      <c r="O10466">
        <v>0</v>
      </c>
      <c r="P10466">
        <v>0</v>
      </c>
      <c r="Q10466">
        <v>0</v>
      </c>
    </row>
    <row r="10467" spans="1:17" x14ac:dyDescent="0.2">
      <c r="A10467" s="121">
        <v>42674</v>
      </c>
      <c r="B10467" t="s">
        <v>406</v>
      </c>
      <c r="C10467" t="s">
        <v>577</v>
      </c>
      <c r="D10467" t="s">
        <v>584</v>
      </c>
      <c r="E10467" t="s">
        <v>585</v>
      </c>
      <c r="F10467" t="s">
        <v>410</v>
      </c>
      <c r="G10467">
        <v>275</v>
      </c>
      <c r="H10467">
        <v>275</v>
      </c>
      <c r="I10467">
        <v>275</v>
      </c>
      <c r="J10467">
        <v>275</v>
      </c>
      <c r="K10467">
        <v>0</v>
      </c>
      <c r="L10467">
        <v>0</v>
      </c>
      <c r="M10467">
        <v>264</v>
      </c>
      <c r="N10467">
        <v>10</v>
      </c>
      <c r="O10467">
        <v>1</v>
      </c>
      <c r="P10467">
        <v>0</v>
      </c>
      <c r="Q10467">
        <v>0</v>
      </c>
    </row>
    <row r="10468" spans="1:17" x14ac:dyDescent="0.2">
      <c r="A10468" s="121">
        <v>42674</v>
      </c>
      <c r="B10468" t="s">
        <v>406</v>
      </c>
      <c r="C10468" t="s">
        <v>577</v>
      </c>
      <c r="D10468" t="s">
        <v>586</v>
      </c>
      <c r="E10468" t="s">
        <v>587</v>
      </c>
      <c r="F10468" t="s">
        <v>410</v>
      </c>
      <c r="G10468">
        <v>1053</v>
      </c>
      <c r="H10468">
        <v>1053</v>
      </c>
      <c r="I10468">
        <v>1053</v>
      </c>
      <c r="J10468">
        <v>1053</v>
      </c>
      <c r="K10468">
        <v>0</v>
      </c>
      <c r="L10468">
        <v>0</v>
      </c>
      <c r="M10468">
        <v>967</v>
      </c>
      <c r="N10468">
        <v>83</v>
      </c>
      <c r="O10468">
        <v>3</v>
      </c>
      <c r="P10468">
        <v>0</v>
      </c>
      <c r="Q10468">
        <v>0</v>
      </c>
    </row>
    <row r="10469" spans="1:17" x14ac:dyDescent="0.2">
      <c r="A10469" s="121">
        <v>42674</v>
      </c>
      <c r="B10469" t="s">
        <v>406</v>
      </c>
      <c r="C10469" t="s">
        <v>577</v>
      </c>
      <c r="D10469" t="s">
        <v>588</v>
      </c>
      <c r="E10469" t="s">
        <v>589</v>
      </c>
      <c r="F10469" t="s">
        <v>410</v>
      </c>
      <c r="G10469">
        <v>182</v>
      </c>
      <c r="H10469">
        <v>182</v>
      </c>
      <c r="I10469">
        <v>182</v>
      </c>
      <c r="J10469">
        <v>182</v>
      </c>
      <c r="K10469">
        <v>0</v>
      </c>
      <c r="L10469">
        <v>0</v>
      </c>
      <c r="M10469">
        <v>169</v>
      </c>
      <c r="N10469">
        <v>13</v>
      </c>
      <c r="O10469">
        <v>0</v>
      </c>
      <c r="P10469">
        <v>0</v>
      </c>
      <c r="Q10469">
        <v>0</v>
      </c>
    </row>
    <row r="10470" spans="1:17" x14ac:dyDescent="0.2">
      <c r="A10470" s="121">
        <v>42674</v>
      </c>
      <c r="B10470" t="s">
        <v>406</v>
      </c>
      <c r="C10470" t="s">
        <v>577</v>
      </c>
      <c r="D10470" t="s">
        <v>613</v>
      </c>
      <c r="E10470" t="s">
        <v>614</v>
      </c>
      <c r="F10470" t="s">
        <v>410</v>
      </c>
      <c r="G10470">
        <v>97</v>
      </c>
      <c r="H10470">
        <v>97</v>
      </c>
      <c r="I10470">
        <v>97</v>
      </c>
      <c r="J10470">
        <v>97</v>
      </c>
      <c r="K10470">
        <v>0</v>
      </c>
      <c r="L10470">
        <v>0</v>
      </c>
      <c r="M10470">
        <v>86</v>
      </c>
      <c r="N10470">
        <v>8</v>
      </c>
      <c r="O10470">
        <v>3</v>
      </c>
      <c r="P10470">
        <v>0</v>
      </c>
      <c r="Q10470">
        <v>0</v>
      </c>
    </row>
    <row r="10471" spans="1:17" x14ac:dyDescent="0.2">
      <c r="A10471" s="121">
        <v>42674</v>
      </c>
      <c r="B10471" t="s">
        <v>406</v>
      </c>
      <c r="C10471" t="s">
        <v>577</v>
      </c>
      <c r="D10471" t="s">
        <v>590</v>
      </c>
      <c r="E10471" t="s">
        <v>591</v>
      </c>
      <c r="F10471" t="s">
        <v>410</v>
      </c>
      <c r="G10471">
        <v>487</v>
      </c>
      <c r="H10471">
        <v>487</v>
      </c>
      <c r="I10471">
        <v>487</v>
      </c>
      <c r="J10471">
        <v>487</v>
      </c>
      <c r="K10471">
        <v>0</v>
      </c>
      <c r="L10471">
        <v>0</v>
      </c>
      <c r="M10471">
        <v>461</v>
      </c>
      <c r="N10471">
        <v>26</v>
      </c>
      <c r="O10471">
        <v>0</v>
      </c>
      <c r="P10471">
        <v>0</v>
      </c>
      <c r="Q10471">
        <v>0</v>
      </c>
    </row>
    <row r="10472" spans="1:17" x14ac:dyDescent="0.2">
      <c r="A10472" s="121">
        <v>42674</v>
      </c>
      <c r="B10472" t="s">
        <v>406</v>
      </c>
      <c r="C10472" t="s">
        <v>577</v>
      </c>
      <c r="D10472" t="s">
        <v>607</v>
      </c>
      <c r="E10472" t="s">
        <v>608</v>
      </c>
      <c r="F10472" t="s">
        <v>410</v>
      </c>
      <c r="G10472">
        <v>217</v>
      </c>
      <c r="H10472">
        <v>217</v>
      </c>
      <c r="I10472">
        <v>217</v>
      </c>
      <c r="J10472">
        <v>217</v>
      </c>
      <c r="K10472">
        <v>0</v>
      </c>
      <c r="L10472">
        <v>0</v>
      </c>
      <c r="M10472">
        <v>199</v>
      </c>
      <c r="N10472">
        <v>17</v>
      </c>
      <c r="O10472">
        <v>1</v>
      </c>
      <c r="P10472">
        <v>0</v>
      </c>
      <c r="Q10472">
        <v>0</v>
      </c>
    </row>
    <row r="10473" spans="1:17" x14ac:dyDescent="0.2">
      <c r="A10473" s="121">
        <v>42674</v>
      </c>
      <c r="B10473" t="s">
        <v>406</v>
      </c>
      <c r="C10473" t="s">
        <v>577</v>
      </c>
      <c r="D10473" t="s">
        <v>592</v>
      </c>
      <c r="E10473" t="s">
        <v>593</v>
      </c>
      <c r="F10473" t="s">
        <v>410</v>
      </c>
      <c r="G10473">
        <v>467</v>
      </c>
      <c r="H10473">
        <v>467</v>
      </c>
      <c r="I10473">
        <v>467</v>
      </c>
      <c r="J10473">
        <v>467</v>
      </c>
      <c r="K10473">
        <v>0</v>
      </c>
      <c r="L10473">
        <v>1</v>
      </c>
      <c r="M10473">
        <v>444</v>
      </c>
      <c r="N10473">
        <v>17</v>
      </c>
      <c r="O10473">
        <v>5</v>
      </c>
      <c r="P10473">
        <v>0</v>
      </c>
      <c r="Q10473">
        <v>0</v>
      </c>
    </row>
    <row r="10474" spans="1:17" x14ac:dyDescent="0.2">
      <c r="A10474" s="121">
        <v>42674</v>
      </c>
      <c r="B10474" t="s">
        <v>406</v>
      </c>
      <c r="C10474" t="s">
        <v>594</v>
      </c>
      <c r="D10474" t="s">
        <v>595</v>
      </c>
      <c r="E10474" t="s">
        <v>596</v>
      </c>
      <c r="F10474" t="s">
        <v>410</v>
      </c>
      <c r="G10474">
        <v>59</v>
      </c>
      <c r="I10474">
        <v>59</v>
      </c>
    </row>
    <row r="10475" spans="1:17" x14ac:dyDescent="0.2">
      <c r="A10475" s="121">
        <v>42674</v>
      </c>
      <c r="B10475" t="s">
        <v>406</v>
      </c>
      <c r="C10475" t="s">
        <v>594</v>
      </c>
      <c r="D10475" t="s">
        <v>597</v>
      </c>
      <c r="E10475" t="s">
        <v>598</v>
      </c>
      <c r="F10475" t="s">
        <v>413</v>
      </c>
      <c r="G10475">
        <v>555</v>
      </c>
      <c r="H10475">
        <v>555</v>
      </c>
      <c r="I10475">
        <v>545</v>
      </c>
      <c r="J10475">
        <v>545</v>
      </c>
      <c r="K10475">
        <v>157</v>
      </c>
      <c r="L10475">
        <v>1</v>
      </c>
      <c r="M10475">
        <v>386</v>
      </c>
      <c r="N10475">
        <v>7</v>
      </c>
      <c r="O10475">
        <v>4</v>
      </c>
      <c r="P10475">
        <v>0</v>
      </c>
      <c r="Q10475">
        <v>0</v>
      </c>
    </row>
    <row r="10476" spans="1:17" x14ac:dyDescent="0.2">
      <c r="A10476" s="121">
        <v>42674</v>
      </c>
      <c r="B10476" t="s">
        <v>406</v>
      </c>
      <c r="C10476" t="s">
        <v>594</v>
      </c>
      <c r="D10476" t="s">
        <v>599</v>
      </c>
      <c r="E10476" t="s">
        <v>600</v>
      </c>
      <c r="F10476" t="s">
        <v>410</v>
      </c>
      <c r="G10476">
        <v>106</v>
      </c>
      <c r="H10476">
        <v>106</v>
      </c>
      <c r="I10476">
        <v>105</v>
      </c>
      <c r="J10476">
        <v>105</v>
      </c>
      <c r="K10476">
        <v>5</v>
      </c>
      <c r="L10476">
        <v>0</v>
      </c>
      <c r="M10476">
        <v>98</v>
      </c>
      <c r="N10476">
        <v>1</v>
      </c>
      <c r="O10476">
        <v>2</v>
      </c>
      <c r="P10476">
        <v>0</v>
      </c>
      <c r="Q10476">
        <v>0</v>
      </c>
    </row>
    <row r="10477" spans="1:17" x14ac:dyDescent="0.2">
      <c r="A10477" s="121">
        <v>42704</v>
      </c>
      <c r="B10477" t="s">
        <v>406</v>
      </c>
      <c r="C10477" t="s">
        <v>407</v>
      </c>
      <c r="D10477" t="s">
        <v>408</v>
      </c>
      <c r="E10477" t="s">
        <v>409</v>
      </c>
      <c r="F10477" t="s">
        <v>410</v>
      </c>
      <c r="G10477">
        <v>166</v>
      </c>
      <c r="I10477">
        <v>165</v>
      </c>
    </row>
    <row r="10478" spans="1:17" x14ac:dyDescent="0.2">
      <c r="A10478" s="121">
        <v>42704</v>
      </c>
      <c r="B10478" t="s">
        <v>406</v>
      </c>
      <c r="C10478" t="s">
        <v>407</v>
      </c>
      <c r="D10478" t="s">
        <v>601</v>
      </c>
      <c r="E10478" t="s">
        <v>602</v>
      </c>
      <c r="F10478" t="s">
        <v>410</v>
      </c>
      <c r="G10478">
        <v>58</v>
      </c>
      <c r="I10478">
        <v>58</v>
      </c>
    </row>
    <row r="10479" spans="1:17" x14ac:dyDescent="0.2">
      <c r="A10479" s="121">
        <v>42704</v>
      </c>
      <c r="B10479" t="s">
        <v>406</v>
      </c>
      <c r="C10479" t="s">
        <v>407</v>
      </c>
      <c r="D10479" t="s">
        <v>411</v>
      </c>
      <c r="E10479" t="s">
        <v>412</v>
      </c>
      <c r="F10479" t="s">
        <v>413</v>
      </c>
      <c r="G10479">
        <v>5598</v>
      </c>
      <c r="H10479">
        <v>5598</v>
      </c>
      <c r="I10479">
        <v>5220</v>
      </c>
      <c r="J10479">
        <v>5220</v>
      </c>
      <c r="K10479">
        <v>2131</v>
      </c>
      <c r="L10479">
        <v>9</v>
      </c>
      <c r="M10479">
        <v>3169</v>
      </c>
      <c r="N10479">
        <v>117</v>
      </c>
      <c r="O10479">
        <v>172</v>
      </c>
      <c r="P10479">
        <v>69</v>
      </c>
      <c r="Q10479">
        <v>25</v>
      </c>
    </row>
    <row r="10480" spans="1:17" x14ac:dyDescent="0.2">
      <c r="A10480" s="121">
        <v>42704</v>
      </c>
      <c r="B10480" t="s">
        <v>406</v>
      </c>
      <c r="C10480" t="s">
        <v>407</v>
      </c>
      <c r="D10480" t="s">
        <v>416</v>
      </c>
      <c r="E10480" t="s">
        <v>417</v>
      </c>
      <c r="F10480" t="s">
        <v>413</v>
      </c>
      <c r="G10480">
        <v>3476</v>
      </c>
      <c r="H10480">
        <v>3476</v>
      </c>
      <c r="I10480">
        <v>3038</v>
      </c>
      <c r="J10480">
        <v>3038</v>
      </c>
      <c r="K10480">
        <v>1380</v>
      </c>
      <c r="L10480">
        <v>9</v>
      </c>
      <c r="M10480">
        <v>1860</v>
      </c>
      <c r="N10480">
        <v>123</v>
      </c>
      <c r="O10480">
        <v>104</v>
      </c>
      <c r="P10480">
        <v>69</v>
      </c>
      <c r="Q10480">
        <v>23</v>
      </c>
    </row>
    <row r="10481" spans="1:17" x14ac:dyDescent="0.2">
      <c r="A10481" s="121">
        <v>42704</v>
      </c>
      <c r="B10481" t="s">
        <v>406</v>
      </c>
      <c r="C10481" t="s">
        <v>407</v>
      </c>
      <c r="D10481" t="s">
        <v>618</v>
      </c>
      <c r="E10481" t="s">
        <v>619</v>
      </c>
      <c r="F10481" t="s">
        <v>410</v>
      </c>
      <c r="G10481">
        <v>89</v>
      </c>
      <c r="I10481">
        <v>89</v>
      </c>
    </row>
    <row r="10482" spans="1:17" x14ac:dyDescent="0.2">
      <c r="A10482" s="121">
        <v>42704</v>
      </c>
      <c r="B10482" t="s">
        <v>406</v>
      </c>
      <c r="C10482" t="s">
        <v>418</v>
      </c>
      <c r="D10482" t="s">
        <v>419</v>
      </c>
      <c r="E10482" t="s">
        <v>420</v>
      </c>
      <c r="F10482" t="s">
        <v>410</v>
      </c>
      <c r="G10482">
        <v>7</v>
      </c>
      <c r="I10482">
        <v>7</v>
      </c>
    </row>
    <row r="10483" spans="1:17" x14ac:dyDescent="0.2">
      <c r="A10483" s="121">
        <v>42704</v>
      </c>
      <c r="B10483" t="s">
        <v>406</v>
      </c>
      <c r="C10483" t="s">
        <v>418</v>
      </c>
      <c r="D10483" t="s">
        <v>421</v>
      </c>
      <c r="E10483" t="s">
        <v>422</v>
      </c>
      <c r="F10483" t="s">
        <v>410</v>
      </c>
      <c r="G10483">
        <v>59</v>
      </c>
      <c r="I10483">
        <v>59</v>
      </c>
    </row>
    <row r="10484" spans="1:17" x14ac:dyDescent="0.2">
      <c r="A10484" s="121">
        <v>42704</v>
      </c>
      <c r="B10484" t="s">
        <v>406</v>
      </c>
      <c r="C10484" t="s">
        <v>418</v>
      </c>
      <c r="D10484" t="s">
        <v>423</v>
      </c>
      <c r="E10484" t="s">
        <v>424</v>
      </c>
      <c r="F10484" t="s">
        <v>410</v>
      </c>
      <c r="G10484">
        <v>9</v>
      </c>
      <c r="I10484">
        <v>9</v>
      </c>
    </row>
    <row r="10485" spans="1:17" x14ac:dyDescent="0.2">
      <c r="A10485" s="121">
        <v>42704</v>
      </c>
      <c r="B10485" t="s">
        <v>406</v>
      </c>
      <c r="C10485" t="s">
        <v>418</v>
      </c>
      <c r="D10485" t="s">
        <v>425</v>
      </c>
      <c r="E10485" t="s">
        <v>426</v>
      </c>
      <c r="F10485" t="s">
        <v>410</v>
      </c>
      <c r="G10485">
        <v>33</v>
      </c>
      <c r="I10485">
        <v>33</v>
      </c>
    </row>
    <row r="10486" spans="1:17" x14ac:dyDescent="0.2">
      <c r="A10486" s="121">
        <v>42704</v>
      </c>
      <c r="B10486" t="s">
        <v>406</v>
      </c>
      <c r="C10486" t="s">
        <v>418</v>
      </c>
      <c r="D10486" t="s">
        <v>427</v>
      </c>
      <c r="E10486" t="s">
        <v>428</v>
      </c>
      <c r="F10486" t="s">
        <v>413</v>
      </c>
      <c r="G10486">
        <v>2244</v>
      </c>
      <c r="H10486">
        <v>2244</v>
      </c>
      <c r="I10486">
        <v>2132</v>
      </c>
      <c r="J10486">
        <v>2132</v>
      </c>
      <c r="K10486">
        <v>814</v>
      </c>
      <c r="L10486">
        <v>3</v>
      </c>
      <c r="M10486">
        <v>1185</v>
      </c>
      <c r="N10486">
        <v>229</v>
      </c>
      <c r="O10486">
        <v>13</v>
      </c>
      <c r="P10486">
        <v>6</v>
      </c>
      <c r="Q10486">
        <v>3</v>
      </c>
    </row>
    <row r="10487" spans="1:17" x14ac:dyDescent="0.2">
      <c r="A10487" s="121">
        <v>42704</v>
      </c>
      <c r="B10487" t="s">
        <v>406</v>
      </c>
      <c r="C10487" t="s">
        <v>429</v>
      </c>
      <c r="D10487" t="s">
        <v>430</v>
      </c>
      <c r="E10487" t="s">
        <v>431</v>
      </c>
      <c r="F10487" t="s">
        <v>410</v>
      </c>
      <c r="G10487">
        <v>25</v>
      </c>
      <c r="I10487">
        <v>25</v>
      </c>
    </row>
    <row r="10488" spans="1:17" x14ac:dyDescent="0.2">
      <c r="A10488" s="121">
        <v>42704</v>
      </c>
      <c r="B10488" t="s">
        <v>406</v>
      </c>
      <c r="C10488" t="s">
        <v>429</v>
      </c>
      <c r="D10488" t="s">
        <v>432</v>
      </c>
      <c r="E10488" t="s">
        <v>433</v>
      </c>
      <c r="F10488" t="s">
        <v>410</v>
      </c>
      <c r="G10488">
        <v>26</v>
      </c>
      <c r="I10488">
        <v>26</v>
      </c>
    </row>
    <row r="10489" spans="1:17" x14ac:dyDescent="0.2">
      <c r="A10489" s="121">
        <v>42704</v>
      </c>
      <c r="B10489" t="s">
        <v>406</v>
      </c>
      <c r="C10489" t="s">
        <v>429</v>
      </c>
      <c r="D10489" t="s">
        <v>434</v>
      </c>
      <c r="E10489" t="s">
        <v>435</v>
      </c>
      <c r="F10489" t="s">
        <v>410</v>
      </c>
      <c r="G10489">
        <v>2</v>
      </c>
      <c r="I10489">
        <v>2</v>
      </c>
    </row>
    <row r="10490" spans="1:17" x14ac:dyDescent="0.2">
      <c r="A10490" s="121">
        <v>42704</v>
      </c>
      <c r="B10490" t="s">
        <v>406</v>
      </c>
      <c r="C10490" t="s">
        <v>429</v>
      </c>
      <c r="D10490" t="s">
        <v>436</v>
      </c>
      <c r="E10490" t="s">
        <v>437</v>
      </c>
      <c r="F10490" t="s">
        <v>410</v>
      </c>
      <c r="G10490">
        <v>8</v>
      </c>
      <c r="H10490">
        <v>8</v>
      </c>
      <c r="I10490">
        <v>8</v>
      </c>
      <c r="J10490">
        <v>8</v>
      </c>
      <c r="K10490">
        <v>0</v>
      </c>
      <c r="L10490">
        <v>0</v>
      </c>
      <c r="M10490">
        <v>7</v>
      </c>
      <c r="N10490">
        <v>1</v>
      </c>
      <c r="O10490">
        <v>0</v>
      </c>
      <c r="P10490">
        <v>0</v>
      </c>
      <c r="Q10490">
        <v>0</v>
      </c>
    </row>
    <row r="10491" spans="1:17" x14ac:dyDescent="0.2">
      <c r="A10491" s="121">
        <v>42704</v>
      </c>
      <c r="B10491" t="s">
        <v>406</v>
      </c>
      <c r="C10491" t="s">
        <v>429</v>
      </c>
      <c r="D10491" t="s">
        <v>438</v>
      </c>
      <c r="E10491" t="s">
        <v>439</v>
      </c>
      <c r="F10491" t="s">
        <v>413</v>
      </c>
      <c r="G10491">
        <v>883</v>
      </c>
      <c r="H10491">
        <v>883</v>
      </c>
      <c r="I10491">
        <v>834</v>
      </c>
      <c r="J10491">
        <v>834</v>
      </c>
      <c r="K10491">
        <v>94</v>
      </c>
      <c r="L10491">
        <v>0</v>
      </c>
      <c r="M10491">
        <v>696</v>
      </c>
      <c r="N10491">
        <v>66</v>
      </c>
      <c r="O10491">
        <v>27</v>
      </c>
      <c r="P10491">
        <v>0</v>
      </c>
      <c r="Q10491">
        <v>0</v>
      </c>
    </row>
    <row r="10492" spans="1:17" x14ac:dyDescent="0.2">
      <c r="A10492" s="121">
        <v>42704</v>
      </c>
      <c r="B10492" t="s">
        <v>406</v>
      </c>
      <c r="C10492" t="s">
        <v>429</v>
      </c>
      <c r="D10492" t="s">
        <v>440</v>
      </c>
      <c r="E10492" t="s">
        <v>441</v>
      </c>
      <c r="F10492" t="s">
        <v>413</v>
      </c>
      <c r="G10492">
        <v>2883</v>
      </c>
      <c r="H10492">
        <v>2883</v>
      </c>
      <c r="I10492">
        <v>2714</v>
      </c>
      <c r="J10492">
        <v>2714</v>
      </c>
      <c r="K10492">
        <v>1142</v>
      </c>
      <c r="L10492">
        <v>4</v>
      </c>
      <c r="M10492">
        <v>1617</v>
      </c>
      <c r="N10492">
        <v>64</v>
      </c>
      <c r="O10492">
        <v>56</v>
      </c>
      <c r="P10492">
        <v>3</v>
      </c>
      <c r="Q10492">
        <v>0</v>
      </c>
    </row>
    <row r="10493" spans="1:17" x14ac:dyDescent="0.2">
      <c r="A10493" s="121">
        <v>42704</v>
      </c>
      <c r="B10493" t="s">
        <v>406</v>
      </c>
      <c r="C10493" t="s">
        <v>442</v>
      </c>
      <c r="D10493" t="s">
        <v>443</v>
      </c>
      <c r="E10493" t="s">
        <v>444</v>
      </c>
      <c r="F10493" t="s">
        <v>413</v>
      </c>
      <c r="G10493">
        <v>4966</v>
      </c>
      <c r="H10493">
        <v>4966</v>
      </c>
      <c r="I10493">
        <v>4488</v>
      </c>
      <c r="J10493">
        <v>4488</v>
      </c>
      <c r="K10493">
        <v>1352</v>
      </c>
      <c r="L10493">
        <v>15</v>
      </c>
      <c r="M10493">
        <v>3370</v>
      </c>
      <c r="N10493">
        <v>67</v>
      </c>
      <c r="O10493">
        <v>162</v>
      </c>
      <c r="P10493">
        <v>53</v>
      </c>
      <c r="Q10493">
        <v>12</v>
      </c>
    </row>
    <row r="10494" spans="1:17" x14ac:dyDescent="0.2">
      <c r="A10494" s="121">
        <v>42704</v>
      </c>
      <c r="B10494" t="s">
        <v>406</v>
      </c>
      <c r="C10494" t="s">
        <v>442</v>
      </c>
      <c r="D10494" t="s">
        <v>445</v>
      </c>
      <c r="E10494" t="s">
        <v>446</v>
      </c>
      <c r="F10494" t="s">
        <v>410</v>
      </c>
      <c r="G10494">
        <v>129</v>
      </c>
      <c r="H10494">
        <v>129</v>
      </c>
      <c r="I10494">
        <v>129</v>
      </c>
      <c r="J10494">
        <v>129</v>
      </c>
      <c r="K10494">
        <v>0</v>
      </c>
      <c r="L10494">
        <v>0</v>
      </c>
      <c r="M10494">
        <v>0</v>
      </c>
      <c r="N10494">
        <v>0</v>
      </c>
      <c r="O10494">
        <v>129</v>
      </c>
      <c r="P10494">
        <v>0</v>
      </c>
      <c r="Q10494">
        <v>0</v>
      </c>
    </row>
    <row r="10495" spans="1:17" x14ac:dyDescent="0.2">
      <c r="A10495" s="121">
        <v>42704</v>
      </c>
      <c r="B10495" t="s">
        <v>406</v>
      </c>
      <c r="C10495" t="s">
        <v>442</v>
      </c>
      <c r="D10495" t="s">
        <v>447</v>
      </c>
      <c r="E10495" t="s">
        <v>448</v>
      </c>
      <c r="F10495" t="s">
        <v>410</v>
      </c>
      <c r="G10495">
        <v>290</v>
      </c>
      <c r="I10495">
        <v>290</v>
      </c>
    </row>
    <row r="10496" spans="1:17" x14ac:dyDescent="0.2">
      <c r="A10496" s="121">
        <v>42704</v>
      </c>
      <c r="B10496" t="s">
        <v>406</v>
      </c>
      <c r="C10496" t="s">
        <v>442</v>
      </c>
      <c r="D10496" t="s">
        <v>449</v>
      </c>
      <c r="E10496" t="s">
        <v>624</v>
      </c>
      <c r="F10496" t="s">
        <v>410</v>
      </c>
      <c r="G10496">
        <v>1680</v>
      </c>
      <c r="H10496">
        <v>1680</v>
      </c>
      <c r="I10496">
        <v>1679</v>
      </c>
      <c r="J10496">
        <v>1679</v>
      </c>
      <c r="K10496">
        <v>9</v>
      </c>
      <c r="L10496">
        <v>0</v>
      </c>
      <c r="M10496">
        <v>1533</v>
      </c>
      <c r="N10496">
        <v>125</v>
      </c>
      <c r="O10496">
        <v>13</v>
      </c>
      <c r="P10496">
        <v>0</v>
      </c>
      <c r="Q10496">
        <v>0</v>
      </c>
    </row>
    <row r="10497" spans="1:17" x14ac:dyDescent="0.2">
      <c r="A10497" s="121">
        <v>42704</v>
      </c>
      <c r="B10497" t="s">
        <v>406</v>
      </c>
      <c r="C10497" t="s">
        <v>451</v>
      </c>
      <c r="D10497" t="s">
        <v>454</v>
      </c>
      <c r="E10497" t="s">
        <v>621</v>
      </c>
      <c r="F10497" t="s">
        <v>410</v>
      </c>
      <c r="G10497">
        <v>1131</v>
      </c>
      <c r="H10497">
        <v>1131</v>
      </c>
      <c r="I10497">
        <v>1130</v>
      </c>
      <c r="J10497">
        <v>1130</v>
      </c>
      <c r="K10497">
        <v>1</v>
      </c>
      <c r="L10497">
        <v>0</v>
      </c>
      <c r="M10497">
        <v>844</v>
      </c>
      <c r="N10497">
        <v>35</v>
      </c>
      <c r="O10497">
        <v>251</v>
      </c>
      <c r="P10497">
        <v>0</v>
      </c>
      <c r="Q10497">
        <v>0</v>
      </c>
    </row>
    <row r="10498" spans="1:17" x14ac:dyDescent="0.2">
      <c r="A10498" s="121">
        <v>42704</v>
      </c>
      <c r="B10498" t="s">
        <v>406</v>
      </c>
      <c r="C10498" t="s">
        <v>451</v>
      </c>
      <c r="D10498" t="s">
        <v>622</v>
      </c>
      <c r="E10498" t="s">
        <v>623</v>
      </c>
      <c r="F10498" t="s">
        <v>413</v>
      </c>
      <c r="G10498">
        <v>5107</v>
      </c>
      <c r="H10498">
        <v>5107</v>
      </c>
      <c r="I10498">
        <v>4538</v>
      </c>
      <c r="J10498">
        <v>4538</v>
      </c>
      <c r="K10498">
        <v>1530</v>
      </c>
      <c r="L10498">
        <v>14</v>
      </c>
      <c r="M10498">
        <v>2777</v>
      </c>
      <c r="N10498">
        <v>87</v>
      </c>
      <c r="O10498">
        <v>699</v>
      </c>
      <c r="P10498">
        <v>63</v>
      </c>
      <c r="Q10498">
        <v>0</v>
      </c>
    </row>
    <row r="10499" spans="1:17" x14ac:dyDescent="0.2">
      <c r="A10499" s="121">
        <v>42704</v>
      </c>
      <c r="B10499" t="s">
        <v>406</v>
      </c>
      <c r="C10499" t="s">
        <v>456</v>
      </c>
      <c r="D10499" t="s">
        <v>457</v>
      </c>
      <c r="E10499" t="s">
        <v>458</v>
      </c>
      <c r="F10499" t="s">
        <v>413</v>
      </c>
      <c r="G10499">
        <v>4509</v>
      </c>
      <c r="H10499">
        <v>4509</v>
      </c>
      <c r="I10499">
        <v>4230</v>
      </c>
      <c r="J10499">
        <v>4230</v>
      </c>
      <c r="K10499">
        <v>1276</v>
      </c>
      <c r="L10499">
        <v>10</v>
      </c>
      <c r="M10499">
        <v>2822</v>
      </c>
      <c r="N10499">
        <v>25</v>
      </c>
      <c r="O10499">
        <v>376</v>
      </c>
      <c r="P10499">
        <v>4</v>
      </c>
      <c r="Q10499">
        <v>1</v>
      </c>
    </row>
    <row r="10500" spans="1:17" x14ac:dyDescent="0.2">
      <c r="A10500" s="121">
        <v>42704</v>
      </c>
      <c r="B10500" t="s">
        <v>406</v>
      </c>
      <c r="C10500" t="s">
        <v>456</v>
      </c>
      <c r="D10500" t="s">
        <v>459</v>
      </c>
      <c r="E10500" t="s">
        <v>460</v>
      </c>
      <c r="F10500" t="s">
        <v>413</v>
      </c>
      <c r="G10500">
        <v>1227</v>
      </c>
      <c r="H10500">
        <v>1227</v>
      </c>
      <c r="I10500">
        <v>1211</v>
      </c>
      <c r="J10500">
        <v>1211</v>
      </c>
      <c r="K10500">
        <v>150</v>
      </c>
      <c r="L10500">
        <v>0</v>
      </c>
      <c r="M10500">
        <v>1034</v>
      </c>
      <c r="N10500">
        <v>0</v>
      </c>
      <c r="O10500">
        <v>43</v>
      </c>
      <c r="P10500">
        <v>0</v>
      </c>
      <c r="Q10500">
        <v>0</v>
      </c>
    </row>
    <row r="10501" spans="1:17" x14ac:dyDescent="0.2">
      <c r="A10501" s="121">
        <v>42704</v>
      </c>
      <c r="B10501" t="s">
        <v>406</v>
      </c>
      <c r="C10501" t="s">
        <v>456</v>
      </c>
      <c r="D10501" t="s">
        <v>461</v>
      </c>
      <c r="E10501" t="s">
        <v>462</v>
      </c>
      <c r="F10501" t="s">
        <v>410</v>
      </c>
      <c r="G10501">
        <v>95</v>
      </c>
      <c r="I10501">
        <v>95</v>
      </c>
    </row>
    <row r="10502" spans="1:17" x14ac:dyDescent="0.2">
      <c r="A10502" s="121">
        <v>42704</v>
      </c>
      <c r="B10502" t="s">
        <v>406</v>
      </c>
      <c r="C10502" t="s">
        <v>456</v>
      </c>
      <c r="D10502" t="s">
        <v>463</v>
      </c>
      <c r="E10502" t="s">
        <v>464</v>
      </c>
      <c r="F10502" t="s">
        <v>410</v>
      </c>
      <c r="G10502">
        <v>5</v>
      </c>
      <c r="I10502">
        <v>5</v>
      </c>
    </row>
    <row r="10503" spans="1:17" x14ac:dyDescent="0.2">
      <c r="A10503" s="121">
        <v>42704</v>
      </c>
      <c r="B10503" t="s">
        <v>406</v>
      </c>
      <c r="C10503" t="s">
        <v>456</v>
      </c>
      <c r="D10503" t="s">
        <v>465</v>
      </c>
      <c r="E10503" t="s">
        <v>466</v>
      </c>
      <c r="F10503" t="s">
        <v>410</v>
      </c>
      <c r="G10503">
        <v>14</v>
      </c>
      <c r="I10503">
        <v>14</v>
      </c>
    </row>
    <row r="10504" spans="1:17" x14ac:dyDescent="0.2">
      <c r="A10504" s="121">
        <v>42704</v>
      </c>
      <c r="B10504" t="s">
        <v>406</v>
      </c>
      <c r="C10504" t="s">
        <v>456</v>
      </c>
      <c r="D10504" t="s">
        <v>467</v>
      </c>
      <c r="E10504" t="s">
        <v>468</v>
      </c>
      <c r="F10504" t="s">
        <v>410</v>
      </c>
      <c r="G10504">
        <v>1293</v>
      </c>
      <c r="I10504">
        <v>1293</v>
      </c>
    </row>
    <row r="10505" spans="1:17" x14ac:dyDescent="0.2">
      <c r="A10505" s="121">
        <v>42704</v>
      </c>
      <c r="B10505" t="s">
        <v>406</v>
      </c>
      <c r="C10505" t="s">
        <v>456</v>
      </c>
      <c r="D10505" t="s">
        <v>469</v>
      </c>
      <c r="E10505" t="s">
        <v>470</v>
      </c>
      <c r="F10505" t="s">
        <v>410</v>
      </c>
      <c r="G10505">
        <v>605</v>
      </c>
      <c r="I10505">
        <v>605</v>
      </c>
    </row>
    <row r="10506" spans="1:17" x14ac:dyDescent="0.2">
      <c r="A10506" s="121">
        <v>42704</v>
      </c>
      <c r="B10506" t="s">
        <v>406</v>
      </c>
      <c r="C10506" t="s">
        <v>456</v>
      </c>
      <c r="D10506" t="s">
        <v>471</v>
      </c>
      <c r="E10506" t="s">
        <v>472</v>
      </c>
      <c r="F10506" t="s">
        <v>410</v>
      </c>
      <c r="G10506">
        <v>252</v>
      </c>
      <c r="I10506">
        <v>250</v>
      </c>
    </row>
    <row r="10507" spans="1:17" x14ac:dyDescent="0.2">
      <c r="A10507" s="121">
        <v>42704</v>
      </c>
      <c r="B10507" t="s">
        <v>406</v>
      </c>
      <c r="C10507" t="s">
        <v>456</v>
      </c>
      <c r="D10507" t="s">
        <v>473</v>
      </c>
      <c r="E10507" t="s">
        <v>474</v>
      </c>
      <c r="F10507" t="s">
        <v>410</v>
      </c>
      <c r="G10507">
        <v>173</v>
      </c>
      <c r="I10507">
        <v>173</v>
      </c>
    </row>
    <row r="10508" spans="1:17" x14ac:dyDescent="0.2">
      <c r="A10508" s="121">
        <v>42704</v>
      </c>
      <c r="B10508" t="s">
        <v>406</v>
      </c>
      <c r="C10508" t="s">
        <v>456</v>
      </c>
      <c r="D10508" t="s">
        <v>475</v>
      </c>
      <c r="E10508" t="s">
        <v>476</v>
      </c>
      <c r="F10508" t="s">
        <v>410</v>
      </c>
      <c r="G10508">
        <v>232</v>
      </c>
      <c r="I10508">
        <v>229</v>
      </c>
    </row>
    <row r="10509" spans="1:17" x14ac:dyDescent="0.2">
      <c r="A10509" s="121">
        <v>42704</v>
      </c>
      <c r="B10509" t="s">
        <v>406</v>
      </c>
      <c r="C10509" t="s">
        <v>456</v>
      </c>
      <c r="D10509" t="s">
        <v>477</v>
      </c>
      <c r="E10509" t="s">
        <v>478</v>
      </c>
      <c r="F10509" t="s">
        <v>413</v>
      </c>
      <c r="G10509">
        <v>1910</v>
      </c>
      <c r="H10509">
        <v>1910</v>
      </c>
      <c r="I10509">
        <v>1857</v>
      </c>
      <c r="J10509">
        <v>1857</v>
      </c>
      <c r="K10509">
        <v>390</v>
      </c>
      <c r="L10509">
        <v>0</v>
      </c>
      <c r="M10509">
        <v>1459</v>
      </c>
      <c r="N10509">
        <v>11</v>
      </c>
      <c r="O10509">
        <v>50</v>
      </c>
      <c r="P10509">
        <v>0</v>
      </c>
      <c r="Q10509">
        <v>0</v>
      </c>
    </row>
    <row r="10510" spans="1:17" x14ac:dyDescent="0.2">
      <c r="A10510" s="121">
        <v>42704</v>
      </c>
      <c r="B10510" t="s">
        <v>406</v>
      </c>
      <c r="C10510" t="s">
        <v>456</v>
      </c>
      <c r="D10510" t="s">
        <v>479</v>
      </c>
      <c r="E10510" t="s">
        <v>480</v>
      </c>
      <c r="F10510" t="s">
        <v>410</v>
      </c>
      <c r="G10510">
        <v>60</v>
      </c>
      <c r="I10510">
        <v>60</v>
      </c>
    </row>
    <row r="10511" spans="1:17" x14ac:dyDescent="0.2">
      <c r="A10511" s="121">
        <v>42704</v>
      </c>
      <c r="B10511" t="s">
        <v>406</v>
      </c>
      <c r="C10511" t="s">
        <v>456</v>
      </c>
      <c r="D10511" t="s">
        <v>481</v>
      </c>
      <c r="E10511" t="s">
        <v>482</v>
      </c>
      <c r="F10511" t="s">
        <v>410</v>
      </c>
      <c r="G10511">
        <v>10</v>
      </c>
      <c r="I10511">
        <v>10</v>
      </c>
    </row>
    <row r="10512" spans="1:17" x14ac:dyDescent="0.2">
      <c r="A10512" s="121">
        <v>42704</v>
      </c>
      <c r="B10512" t="s">
        <v>406</v>
      </c>
      <c r="C10512" t="s">
        <v>456</v>
      </c>
      <c r="D10512" t="s">
        <v>483</v>
      </c>
      <c r="E10512" t="s">
        <v>484</v>
      </c>
      <c r="F10512" t="s">
        <v>410</v>
      </c>
      <c r="G10512">
        <v>61</v>
      </c>
      <c r="I10512">
        <v>61</v>
      </c>
    </row>
    <row r="10513" spans="1:17" x14ac:dyDescent="0.2">
      <c r="A10513" s="121">
        <v>42704</v>
      </c>
      <c r="B10513" t="s">
        <v>406</v>
      </c>
      <c r="C10513" t="s">
        <v>456</v>
      </c>
      <c r="D10513" t="s">
        <v>487</v>
      </c>
      <c r="E10513" t="s">
        <v>488</v>
      </c>
      <c r="F10513" t="s">
        <v>410</v>
      </c>
      <c r="G10513">
        <v>15</v>
      </c>
      <c r="I10513">
        <v>15</v>
      </c>
    </row>
    <row r="10514" spans="1:17" x14ac:dyDescent="0.2">
      <c r="A10514" s="121">
        <v>42704</v>
      </c>
      <c r="B10514" t="s">
        <v>406</v>
      </c>
      <c r="C10514" t="s">
        <v>456</v>
      </c>
      <c r="D10514" t="s">
        <v>489</v>
      </c>
      <c r="E10514" t="s">
        <v>490</v>
      </c>
      <c r="F10514" t="s">
        <v>410</v>
      </c>
      <c r="G10514">
        <v>63</v>
      </c>
      <c r="I10514">
        <v>63</v>
      </c>
    </row>
    <row r="10515" spans="1:17" x14ac:dyDescent="0.2">
      <c r="A10515" s="121">
        <v>42704</v>
      </c>
      <c r="B10515" t="s">
        <v>406</v>
      </c>
      <c r="C10515" t="s">
        <v>456</v>
      </c>
      <c r="D10515" t="s">
        <v>628</v>
      </c>
      <c r="E10515" t="s">
        <v>629</v>
      </c>
      <c r="F10515" t="s">
        <v>410</v>
      </c>
      <c r="G10515">
        <v>38</v>
      </c>
      <c r="I10515">
        <v>38</v>
      </c>
    </row>
    <row r="10516" spans="1:17" x14ac:dyDescent="0.2">
      <c r="A10516" s="121">
        <v>42704</v>
      </c>
      <c r="B10516" t="s">
        <v>406</v>
      </c>
      <c r="C10516" t="s">
        <v>491</v>
      </c>
      <c r="D10516" t="s">
        <v>492</v>
      </c>
      <c r="E10516" t="s">
        <v>493</v>
      </c>
      <c r="F10516" t="s">
        <v>410</v>
      </c>
      <c r="G10516">
        <v>1287</v>
      </c>
      <c r="H10516">
        <v>1287</v>
      </c>
      <c r="I10516">
        <v>1261</v>
      </c>
      <c r="J10516">
        <v>1261</v>
      </c>
      <c r="K10516">
        <v>194</v>
      </c>
      <c r="L10516">
        <v>1</v>
      </c>
      <c r="M10516">
        <v>1010</v>
      </c>
      <c r="N10516">
        <v>69</v>
      </c>
      <c r="O10516">
        <v>13</v>
      </c>
      <c r="P10516">
        <v>0</v>
      </c>
      <c r="Q10516">
        <v>0</v>
      </c>
    </row>
    <row r="10517" spans="1:17" x14ac:dyDescent="0.2">
      <c r="A10517" s="121">
        <v>42704</v>
      </c>
      <c r="B10517" t="s">
        <v>406</v>
      </c>
      <c r="C10517" t="s">
        <v>491</v>
      </c>
      <c r="D10517" t="s">
        <v>494</v>
      </c>
      <c r="E10517" t="s">
        <v>495</v>
      </c>
      <c r="F10517" t="s">
        <v>413</v>
      </c>
      <c r="G10517">
        <v>2524</v>
      </c>
      <c r="H10517">
        <v>2524</v>
      </c>
      <c r="I10517">
        <v>2393</v>
      </c>
      <c r="J10517">
        <v>2393</v>
      </c>
      <c r="K10517">
        <v>654</v>
      </c>
      <c r="L10517">
        <v>4</v>
      </c>
      <c r="M10517">
        <v>1659</v>
      </c>
      <c r="N10517">
        <v>49</v>
      </c>
      <c r="O10517">
        <v>158</v>
      </c>
      <c r="P10517">
        <v>4</v>
      </c>
      <c r="Q10517">
        <v>0</v>
      </c>
    </row>
    <row r="10518" spans="1:17" x14ac:dyDescent="0.2">
      <c r="A10518" s="121">
        <v>42704</v>
      </c>
      <c r="B10518" t="s">
        <v>406</v>
      </c>
      <c r="C10518" t="s">
        <v>491</v>
      </c>
      <c r="D10518" t="s">
        <v>496</v>
      </c>
      <c r="E10518" t="s">
        <v>497</v>
      </c>
      <c r="F10518" t="s">
        <v>413</v>
      </c>
      <c r="G10518">
        <v>5536</v>
      </c>
      <c r="H10518">
        <v>5536</v>
      </c>
      <c r="I10518">
        <v>5070</v>
      </c>
      <c r="J10518">
        <v>5070</v>
      </c>
      <c r="K10518">
        <v>1839</v>
      </c>
      <c r="L10518">
        <v>9</v>
      </c>
      <c r="M10518">
        <v>3492</v>
      </c>
      <c r="N10518">
        <v>122</v>
      </c>
      <c r="O10518">
        <v>74</v>
      </c>
      <c r="P10518">
        <v>17</v>
      </c>
      <c r="Q10518">
        <v>0</v>
      </c>
    </row>
    <row r="10519" spans="1:17" x14ac:dyDescent="0.2">
      <c r="A10519" s="121">
        <v>42704</v>
      </c>
      <c r="B10519" t="s">
        <v>406</v>
      </c>
      <c r="C10519" t="s">
        <v>491</v>
      </c>
      <c r="D10519" t="s">
        <v>498</v>
      </c>
      <c r="E10519" t="s">
        <v>499</v>
      </c>
      <c r="F10519" t="s">
        <v>413</v>
      </c>
      <c r="G10519">
        <v>7383</v>
      </c>
      <c r="H10519">
        <v>7383</v>
      </c>
      <c r="I10519">
        <v>6442</v>
      </c>
      <c r="J10519">
        <v>6442</v>
      </c>
      <c r="K10519">
        <v>2336</v>
      </c>
      <c r="L10519">
        <v>23</v>
      </c>
      <c r="M10519">
        <v>4605</v>
      </c>
      <c r="N10519">
        <v>152</v>
      </c>
      <c r="O10519">
        <v>267</v>
      </c>
      <c r="P10519">
        <v>37</v>
      </c>
      <c r="Q10519">
        <v>0</v>
      </c>
    </row>
    <row r="10520" spans="1:17" x14ac:dyDescent="0.2">
      <c r="A10520" s="121">
        <v>42704</v>
      </c>
      <c r="B10520" t="s">
        <v>406</v>
      </c>
      <c r="C10520" t="s">
        <v>491</v>
      </c>
      <c r="D10520" t="s">
        <v>500</v>
      </c>
      <c r="E10520" t="s">
        <v>620</v>
      </c>
      <c r="F10520" t="s">
        <v>410</v>
      </c>
      <c r="G10520">
        <v>1452</v>
      </c>
      <c r="H10520">
        <v>1452</v>
      </c>
      <c r="I10520">
        <v>1452</v>
      </c>
      <c r="J10520">
        <v>1452</v>
      </c>
      <c r="K10520">
        <v>1</v>
      </c>
      <c r="L10520">
        <v>0</v>
      </c>
      <c r="M10520">
        <v>1334</v>
      </c>
      <c r="N10520">
        <v>97</v>
      </c>
      <c r="O10520">
        <v>20</v>
      </c>
      <c r="P10520">
        <v>0</v>
      </c>
      <c r="Q10520">
        <v>0</v>
      </c>
    </row>
    <row r="10521" spans="1:17" x14ac:dyDescent="0.2">
      <c r="A10521" s="121">
        <v>42704</v>
      </c>
      <c r="B10521" t="s">
        <v>406</v>
      </c>
      <c r="C10521" t="s">
        <v>491</v>
      </c>
      <c r="D10521" t="s">
        <v>502</v>
      </c>
      <c r="E10521" t="s">
        <v>615</v>
      </c>
      <c r="F10521" t="s">
        <v>410</v>
      </c>
      <c r="G10521">
        <v>2487</v>
      </c>
      <c r="H10521">
        <v>2487</v>
      </c>
      <c r="I10521">
        <v>2487</v>
      </c>
      <c r="J10521">
        <v>2487</v>
      </c>
      <c r="K10521">
        <v>0</v>
      </c>
      <c r="L10521">
        <v>0</v>
      </c>
      <c r="M10521">
        <v>2208</v>
      </c>
      <c r="N10521">
        <v>246</v>
      </c>
      <c r="O10521">
        <v>33</v>
      </c>
      <c r="P10521">
        <v>0</v>
      </c>
      <c r="Q10521">
        <v>0</v>
      </c>
    </row>
    <row r="10522" spans="1:17" x14ac:dyDescent="0.2">
      <c r="A10522" s="121">
        <v>42704</v>
      </c>
      <c r="B10522" t="s">
        <v>406</v>
      </c>
      <c r="C10522" t="s">
        <v>491</v>
      </c>
      <c r="D10522" t="s">
        <v>504</v>
      </c>
      <c r="E10522" t="s">
        <v>630</v>
      </c>
      <c r="F10522" t="s">
        <v>413</v>
      </c>
      <c r="G10522">
        <v>7453</v>
      </c>
      <c r="H10522">
        <v>7453</v>
      </c>
      <c r="I10522">
        <v>6133</v>
      </c>
      <c r="J10522">
        <v>6133</v>
      </c>
      <c r="K10522">
        <v>2599</v>
      </c>
      <c r="L10522">
        <v>20</v>
      </c>
      <c r="M10522">
        <v>4506</v>
      </c>
      <c r="N10522">
        <v>134</v>
      </c>
      <c r="O10522">
        <v>194</v>
      </c>
      <c r="P10522">
        <v>86</v>
      </c>
      <c r="Q10522">
        <v>0</v>
      </c>
    </row>
    <row r="10523" spans="1:17" x14ac:dyDescent="0.2">
      <c r="A10523" s="121">
        <v>42704</v>
      </c>
      <c r="B10523" t="s">
        <v>406</v>
      </c>
      <c r="C10523" t="s">
        <v>491</v>
      </c>
      <c r="D10523" t="s">
        <v>506</v>
      </c>
      <c r="E10523" t="s">
        <v>507</v>
      </c>
      <c r="F10523" t="s">
        <v>413</v>
      </c>
      <c r="G10523">
        <v>5268</v>
      </c>
      <c r="H10523">
        <v>5268</v>
      </c>
      <c r="I10523">
        <v>5249</v>
      </c>
      <c r="J10523">
        <v>5249</v>
      </c>
      <c r="K10523">
        <v>865</v>
      </c>
      <c r="L10523">
        <v>1</v>
      </c>
      <c r="M10523">
        <v>4392</v>
      </c>
      <c r="N10523">
        <v>2</v>
      </c>
      <c r="O10523">
        <v>8</v>
      </c>
      <c r="P10523">
        <v>0</v>
      </c>
      <c r="Q10523">
        <v>0</v>
      </c>
    </row>
    <row r="10524" spans="1:17" x14ac:dyDescent="0.2">
      <c r="A10524" s="121">
        <v>42704</v>
      </c>
      <c r="B10524" t="s">
        <v>406</v>
      </c>
      <c r="C10524" t="s">
        <v>491</v>
      </c>
      <c r="D10524" t="s">
        <v>508</v>
      </c>
      <c r="E10524" t="s">
        <v>631</v>
      </c>
      <c r="F10524" t="s">
        <v>410</v>
      </c>
      <c r="G10524">
        <v>930</v>
      </c>
      <c r="H10524">
        <v>930</v>
      </c>
      <c r="I10524">
        <v>928</v>
      </c>
      <c r="J10524">
        <v>928</v>
      </c>
      <c r="K10524">
        <v>0</v>
      </c>
      <c r="L10524">
        <v>0</v>
      </c>
      <c r="M10524">
        <v>845</v>
      </c>
      <c r="N10524">
        <v>66</v>
      </c>
      <c r="O10524">
        <v>19</v>
      </c>
      <c r="P10524">
        <v>0</v>
      </c>
      <c r="Q10524">
        <v>0</v>
      </c>
    </row>
    <row r="10525" spans="1:17" x14ac:dyDescent="0.2">
      <c r="A10525" s="121">
        <v>42704</v>
      </c>
      <c r="B10525" t="s">
        <v>406</v>
      </c>
      <c r="C10525" t="s">
        <v>510</v>
      </c>
      <c r="D10525" t="s">
        <v>513</v>
      </c>
      <c r="E10525" t="s">
        <v>514</v>
      </c>
      <c r="F10525" t="s">
        <v>410</v>
      </c>
      <c r="G10525">
        <v>548</v>
      </c>
      <c r="I10525">
        <v>548</v>
      </c>
    </row>
    <row r="10526" spans="1:17" x14ac:dyDescent="0.2">
      <c r="A10526" s="121">
        <v>42704</v>
      </c>
      <c r="B10526" t="s">
        <v>406</v>
      </c>
      <c r="C10526" t="s">
        <v>510</v>
      </c>
      <c r="D10526" t="s">
        <v>515</v>
      </c>
      <c r="E10526" t="s">
        <v>516</v>
      </c>
      <c r="F10526" t="s">
        <v>410</v>
      </c>
      <c r="G10526">
        <v>117</v>
      </c>
      <c r="I10526">
        <v>117</v>
      </c>
    </row>
    <row r="10527" spans="1:17" x14ac:dyDescent="0.2">
      <c r="A10527" s="121">
        <v>42704</v>
      </c>
      <c r="B10527" t="s">
        <v>406</v>
      </c>
      <c r="C10527" t="s">
        <v>510</v>
      </c>
      <c r="D10527" t="s">
        <v>519</v>
      </c>
      <c r="E10527" t="s">
        <v>520</v>
      </c>
      <c r="F10527" t="s">
        <v>410</v>
      </c>
      <c r="G10527">
        <v>326</v>
      </c>
      <c r="I10527">
        <v>323</v>
      </c>
    </row>
    <row r="10528" spans="1:17" x14ac:dyDescent="0.2">
      <c r="A10528" s="121">
        <v>42704</v>
      </c>
      <c r="B10528" t="s">
        <v>406</v>
      </c>
      <c r="C10528" t="s">
        <v>510</v>
      </c>
      <c r="D10528" t="s">
        <v>523</v>
      </c>
      <c r="E10528" t="s">
        <v>524</v>
      </c>
      <c r="F10528" t="s">
        <v>413</v>
      </c>
      <c r="G10528">
        <v>620</v>
      </c>
      <c r="H10528">
        <v>620</v>
      </c>
      <c r="I10528">
        <v>611</v>
      </c>
      <c r="J10528">
        <v>611</v>
      </c>
      <c r="K10528">
        <v>176</v>
      </c>
      <c r="L10528">
        <v>0</v>
      </c>
      <c r="M10528">
        <v>431</v>
      </c>
      <c r="N10528">
        <v>13</v>
      </c>
      <c r="O10528">
        <v>0</v>
      </c>
      <c r="P10528">
        <v>0</v>
      </c>
      <c r="Q10528">
        <v>0</v>
      </c>
    </row>
    <row r="10529" spans="1:17" x14ac:dyDescent="0.2">
      <c r="A10529" s="121">
        <v>42704</v>
      </c>
      <c r="B10529" t="s">
        <v>406</v>
      </c>
      <c r="C10529" t="s">
        <v>510</v>
      </c>
      <c r="D10529" t="s">
        <v>525</v>
      </c>
      <c r="E10529" t="s">
        <v>526</v>
      </c>
      <c r="F10529" t="s">
        <v>410</v>
      </c>
      <c r="G10529">
        <v>397</v>
      </c>
      <c r="I10529">
        <v>397</v>
      </c>
    </row>
    <row r="10530" spans="1:17" x14ac:dyDescent="0.2">
      <c r="A10530" s="121">
        <v>42704</v>
      </c>
      <c r="B10530" t="s">
        <v>406</v>
      </c>
      <c r="C10530" t="s">
        <v>510</v>
      </c>
      <c r="D10530" t="s">
        <v>527</v>
      </c>
      <c r="E10530" t="s">
        <v>528</v>
      </c>
      <c r="F10530" t="s">
        <v>410</v>
      </c>
      <c r="G10530">
        <v>204</v>
      </c>
      <c r="I10530">
        <v>199</v>
      </c>
    </row>
    <row r="10531" spans="1:17" x14ac:dyDescent="0.2">
      <c r="A10531" s="121">
        <v>42704</v>
      </c>
      <c r="B10531" t="s">
        <v>406</v>
      </c>
      <c r="C10531" t="s">
        <v>510</v>
      </c>
      <c r="D10531" t="s">
        <v>529</v>
      </c>
      <c r="E10531" t="s">
        <v>530</v>
      </c>
      <c r="F10531" t="s">
        <v>413</v>
      </c>
      <c r="G10531">
        <v>542</v>
      </c>
      <c r="H10531">
        <v>542</v>
      </c>
      <c r="I10531">
        <v>533</v>
      </c>
      <c r="J10531">
        <v>533</v>
      </c>
      <c r="K10531">
        <v>181</v>
      </c>
      <c r="L10531">
        <v>2</v>
      </c>
      <c r="M10531">
        <v>357</v>
      </c>
      <c r="N10531">
        <v>2</v>
      </c>
      <c r="O10531">
        <v>0</v>
      </c>
      <c r="P10531">
        <v>1</v>
      </c>
      <c r="Q10531">
        <v>0</v>
      </c>
    </row>
    <row r="10532" spans="1:17" x14ac:dyDescent="0.2">
      <c r="A10532" s="121">
        <v>42704</v>
      </c>
      <c r="B10532" t="s">
        <v>406</v>
      </c>
      <c r="C10532" t="s">
        <v>510</v>
      </c>
      <c r="D10532" t="s">
        <v>531</v>
      </c>
      <c r="E10532" t="s">
        <v>532</v>
      </c>
      <c r="F10532" t="s">
        <v>410</v>
      </c>
      <c r="G10532">
        <v>38</v>
      </c>
      <c r="I10532">
        <v>38</v>
      </c>
    </row>
    <row r="10533" spans="1:17" x14ac:dyDescent="0.2">
      <c r="A10533" s="121">
        <v>42704</v>
      </c>
      <c r="B10533" t="s">
        <v>406</v>
      </c>
      <c r="C10533" t="s">
        <v>510</v>
      </c>
      <c r="D10533" t="s">
        <v>533</v>
      </c>
      <c r="E10533" t="s">
        <v>534</v>
      </c>
      <c r="F10533" t="s">
        <v>413</v>
      </c>
      <c r="G10533">
        <v>2485</v>
      </c>
      <c r="H10533">
        <v>2485</v>
      </c>
      <c r="I10533">
        <v>2330</v>
      </c>
      <c r="J10533">
        <v>2330</v>
      </c>
      <c r="K10533">
        <v>645</v>
      </c>
      <c r="L10533">
        <v>1</v>
      </c>
      <c r="M10533">
        <v>1827</v>
      </c>
      <c r="N10533">
        <v>12</v>
      </c>
      <c r="O10533">
        <v>0</v>
      </c>
      <c r="P10533">
        <v>5</v>
      </c>
      <c r="Q10533">
        <v>1</v>
      </c>
    </row>
    <row r="10534" spans="1:17" x14ac:dyDescent="0.2">
      <c r="A10534" s="121">
        <v>42704</v>
      </c>
      <c r="B10534" t="s">
        <v>406</v>
      </c>
      <c r="C10534" t="s">
        <v>510</v>
      </c>
      <c r="D10534" t="s">
        <v>535</v>
      </c>
      <c r="E10534" t="s">
        <v>536</v>
      </c>
      <c r="F10534" t="s">
        <v>410</v>
      </c>
      <c r="G10534">
        <v>357</v>
      </c>
      <c r="I10534">
        <v>357</v>
      </c>
    </row>
    <row r="10535" spans="1:17" x14ac:dyDescent="0.2">
      <c r="A10535" s="121">
        <v>42704</v>
      </c>
      <c r="B10535" t="s">
        <v>406</v>
      </c>
      <c r="C10535" t="s">
        <v>510</v>
      </c>
      <c r="D10535" t="s">
        <v>537</v>
      </c>
      <c r="E10535" t="s">
        <v>538</v>
      </c>
      <c r="F10535" t="s">
        <v>410</v>
      </c>
      <c r="G10535">
        <v>73</v>
      </c>
      <c r="I10535">
        <v>73</v>
      </c>
    </row>
    <row r="10536" spans="1:17" x14ac:dyDescent="0.2">
      <c r="A10536" s="121">
        <v>42704</v>
      </c>
      <c r="B10536" t="s">
        <v>406</v>
      </c>
      <c r="C10536" t="s">
        <v>510</v>
      </c>
      <c r="D10536" t="s">
        <v>539</v>
      </c>
      <c r="E10536" t="s">
        <v>540</v>
      </c>
      <c r="F10536" t="s">
        <v>413</v>
      </c>
      <c r="G10536">
        <v>580</v>
      </c>
      <c r="H10536">
        <v>580</v>
      </c>
      <c r="I10536">
        <v>547</v>
      </c>
      <c r="J10536">
        <v>547</v>
      </c>
      <c r="K10536">
        <v>131</v>
      </c>
      <c r="L10536">
        <v>0</v>
      </c>
      <c r="M10536">
        <v>444</v>
      </c>
      <c r="N10536">
        <v>5</v>
      </c>
      <c r="O10536">
        <v>0</v>
      </c>
      <c r="P10536">
        <v>2</v>
      </c>
      <c r="Q10536">
        <v>0</v>
      </c>
    </row>
    <row r="10537" spans="1:17" x14ac:dyDescent="0.2">
      <c r="A10537" s="121">
        <v>42704</v>
      </c>
      <c r="B10537" t="s">
        <v>406</v>
      </c>
      <c r="C10537" t="s">
        <v>510</v>
      </c>
      <c r="D10537" t="s">
        <v>541</v>
      </c>
      <c r="E10537" t="s">
        <v>542</v>
      </c>
      <c r="F10537" t="s">
        <v>410</v>
      </c>
      <c r="G10537">
        <v>295</v>
      </c>
      <c r="I10537">
        <v>295</v>
      </c>
    </row>
    <row r="10538" spans="1:17" x14ac:dyDescent="0.2">
      <c r="A10538" s="121">
        <v>42704</v>
      </c>
      <c r="B10538" t="s">
        <v>406</v>
      </c>
      <c r="C10538" t="s">
        <v>510</v>
      </c>
      <c r="D10538" t="s">
        <v>543</v>
      </c>
      <c r="E10538" t="s">
        <v>544</v>
      </c>
      <c r="F10538" t="s">
        <v>410</v>
      </c>
      <c r="G10538">
        <v>187</v>
      </c>
      <c r="I10538">
        <v>187</v>
      </c>
    </row>
    <row r="10539" spans="1:17" x14ac:dyDescent="0.2">
      <c r="A10539" s="121">
        <v>42704</v>
      </c>
      <c r="B10539" t="s">
        <v>406</v>
      </c>
      <c r="C10539" t="s">
        <v>510</v>
      </c>
      <c r="D10539" t="s">
        <v>545</v>
      </c>
      <c r="E10539" t="s">
        <v>546</v>
      </c>
      <c r="F10539" t="s">
        <v>410</v>
      </c>
      <c r="G10539">
        <v>107</v>
      </c>
      <c r="I10539">
        <v>107</v>
      </c>
    </row>
    <row r="10540" spans="1:17" x14ac:dyDescent="0.2">
      <c r="A10540" s="121">
        <v>42704</v>
      </c>
      <c r="B10540" t="s">
        <v>406</v>
      </c>
      <c r="C10540" t="s">
        <v>510</v>
      </c>
      <c r="D10540" t="s">
        <v>547</v>
      </c>
      <c r="E10540" t="s">
        <v>548</v>
      </c>
      <c r="F10540" t="s">
        <v>410</v>
      </c>
      <c r="G10540">
        <v>121</v>
      </c>
      <c r="I10540">
        <v>121</v>
      </c>
    </row>
    <row r="10541" spans="1:17" x14ac:dyDescent="0.2">
      <c r="A10541" s="121">
        <v>42704</v>
      </c>
      <c r="B10541" t="s">
        <v>406</v>
      </c>
      <c r="C10541" t="s">
        <v>510</v>
      </c>
      <c r="D10541" t="s">
        <v>616</v>
      </c>
      <c r="E10541" t="s">
        <v>617</v>
      </c>
      <c r="F10541" t="s">
        <v>410</v>
      </c>
      <c r="G10541">
        <v>347</v>
      </c>
      <c r="I10541">
        <v>341</v>
      </c>
    </row>
    <row r="10542" spans="1:17" x14ac:dyDescent="0.2">
      <c r="A10542" s="121">
        <v>42704</v>
      </c>
      <c r="B10542" t="s">
        <v>406</v>
      </c>
      <c r="C10542" t="s">
        <v>510</v>
      </c>
      <c r="D10542" t="s">
        <v>549</v>
      </c>
      <c r="E10542" t="s">
        <v>550</v>
      </c>
      <c r="F10542" t="s">
        <v>410</v>
      </c>
      <c r="G10542">
        <v>105</v>
      </c>
      <c r="I10542">
        <v>105</v>
      </c>
    </row>
    <row r="10543" spans="1:17" x14ac:dyDescent="0.2">
      <c r="A10543" s="121">
        <v>42704</v>
      </c>
      <c r="B10543" t="s">
        <v>406</v>
      </c>
      <c r="C10543" t="s">
        <v>510</v>
      </c>
      <c r="D10543" t="s">
        <v>625</v>
      </c>
      <c r="E10543" t="s">
        <v>626</v>
      </c>
      <c r="F10543" t="s">
        <v>410</v>
      </c>
      <c r="G10543">
        <v>104</v>
      </c>
      <c r="I10543">
        <v>103</v>
      </c>
    </row>
    <row r="10544" spans="1:17" x14ac:dyDescent="0.2">
      <c r="A10544" s="121">
        <v>42704</v>
      </c>
      <c r="B10544" t="s">
        <v>406</v>
      </c>
      <c r="C10544" t="s">
        <v>551</v>
      </c>
      <c r="D10544" t="s">
        <v>552</v>
      </c>
      <c r="E10544" t="s">
        <v>553</v>
      </c>
      <c r="F10544" t="s">
        <v>413</v>
      </c>
      <c r="G10544">
        <v>5407</v>
      </c>
      <c r="H10544">
        <v>5407</v>
      </c>
      <c r="I10544">
        <v>5155</v>
      </c>
      <c r="J10544">
        <v>5155</v>
      </c>
      <c r="K10544">
        <v>1720</v>
      </c>
      <c r="L10544">
        <v>8</v>
      </c>
      <c r="M10544">
        <v>3521</v>
      </c>
      <c r="N10544">
        <v>107</v>
      </c>
      <c r="O10544">
        <v>51</v>
      </c>
      <c r="P10544">
        <v>6</v>
      </c>
      <c r="Q10544">
        <v>0</v>
      </c>
    </row>
    <row r="10545" spans="1:17" x14ac:dyDescent="0.2">
      <c r="A10545" s="121">
        <v>42704</v>
      </c>
      <c r="B10545" t="s">
        <v>406</v>
      </c>
      <c r="C10545" t="s">
        <v>551</v>
      </c>
      <c r="D10545" t="s">
        <v>554</v>
      </c>
      <c r="E10545" t="s">
        <v>555</v>
      </c>
      <c r="F10545" t="s">
        <v>410</v>
      </c>
      <c r="G10545">
        <v>76</v>
      </c>
      <c r="I10545">
        <v>76</v>
      </c>
    </row>
    <row r="10546" spans="1:17" x14ac:dyDescent="0.2">
      <c r="A10546" s="121">
        <v>42704</v>
      </c>
      <c r="B10546" t="s">
        <v>406</v>
      </c>
      <c r="C10546" t="s">
        <v>551</v>
      </c>
      <c r="D10546" t="s">
        <v>556</v>
      </c>
      <c r="E10546" t="s">
        <v>557</v>
      </c>
      <c r="F10546" t="s">
        <v>410</v>
      </c>
      <c r="G10546">
        <v>74</v>
      </c>
      <c r="I10546">
        <v>74</v>
      </c>
    </row>
    <row r="10547" spans="1:17" x14ac:dyDescent="0.2">
      <c r="A10547" s="121">
        <v>42704</v>
      </c>
      <c r="B10547" t="s">
        <v>406</v>
      </c>
      <c r="C10547" t="s">
        <v>551</v>
      </c>
      <c r="D10547" t="s">
        <v>558</v>
      </c>
      <c r="E10547" t="s">
        <v>559</v>
      </c>
      <c r="F10547" t="s">
        <v>413</v>
      </c>
      <c r="G10547">
        <v>4922</v>
      </c>
      <c r="H10547">
        <v>4922</v>
      </c>
      <c r="I10547">
        <v>4578</v>
      </c>
      <c r="J10547">
        <v>4578</v>
      </c>
      <c r="K10547">
        <v>1438</v>
      </c>
      <c r="L10547">
        <v>2</v>
      </c>
      <c r="M10547">
        <v>3411</v>
      </c>
      <c r="N10547">
        <v>63</v>
      </c>
      <c r="O10547">
        <v>8</v>
      </c>
      <c r="P10547">
        <v>23</v>
      </c>
      <c r="Q10547">
        <v>0</v>
      </c>
    </row>
    <row r="10548" spans="1:17" x14ac:dyDescent="0.2">
      <c r="A10548" s="121">
        <v>42704</v>
      </c>
      <c r="B10548" t="s">
        <v>406</v>
      </c>
      <c r="C10548" t="s">
        <v>551</v>
      </c>
      <c r="D10548" t="s">
        <v>560</v>
      </c>
      <c r="E10548" t="s">
        <v>561</v>
      </c>
      <c r="F10548" t="s">
        <v>413</v>
      </c>
      <c r="G10548">
        <v>5372</v>
      </c>
      <c r="H10548">
        <v>5372</v>
      </c>
      <c r="I10548">
        <v>4667</v>
      </c>
      <c r="J10548">
        <v>4667</v>
      </c>
      <c r="K10548">
        <v>1328</v>
      </c>
      <c r="L10548">
        <v>6</v>
      </c>
      <c r="M10548">
        <v>3870</v>
      </c>
      <c r="N10548">
        <v>79</v>
      </c>
      <c r="O10548">
        <v>89</v>
      </c>
      <c r="P10548">
        <v>106</v>
      </c>
      <c r="Q10548">
        <v>26</v>
      </c>
    </row>
    <row r="10549" spans="1:17" x14ac:dyDescent="0.2">
      <c r="A10549" s="121">
        <v>42704</v>
      </c>
      <c r="B10549" t="s">
        <v>406</v>
      </c>
      <c r="C10549" t="s">
        <v>562</v>
      </c>
      <c r="D10549" t="s">
        <v>605</v>
      </c>
      <c r="E10549" t="s">
        <v>606</v>
      </c>
      <c r="F10549" t="s">
        <v>410</v>
      </c>
      <c r="G10549">
        <v>189</v>
      </c>
      <c r="I10549">
        <v>189</v>
      </c>
    </row>
    <row r="10550" spans="1:17" x14ac:dyDescent="0.2">
      <c r="A10550" s="121">
        <v>42704</v>
      </c>
      <c r="B10550" t="s">
        <v>406</v>
      </c>
      <c r="C10550" t="s">
        <v>562</v>
      </c>
      <c r="D10550" t="s">
        <v>563</v>
      </c>
      <c r="E10550" t="s">
        <v>564</v>
      </c>
      <c r="F10550" t="s">
        <v>410</v>
      </c>
      <c r="G10550">
        <v>3606</v>
      </c>
      <c r="H10550">
        <v>3606</v>
      </c>
      <c r="I10550">
        <v>3150</v>
      </c>
      <c r="J10550">
        <v>3150</v>
      </c>
      <c r="K10550">
        <v>1085</v>
      </c>
      <c r="L10550">
        <v>1</v>
      </c>
      <c r="M10550">
        <v>2483</v>
      </c>
      <c r="N10550">
        <v>37</v>
      </c>
      <c r="O10550">
        <v>0</v>
      </c>
      <c r="P10550">
        <v>98</v>
      </c>
      <c r="Q10550">
        <v>34</v>
      </c>
    </row>
    <row r="10551" spans="1:17" x14ac:dyDescent="0.2">
      <c r="A10551" s="121">
        <v>42704</v>
      </c>
      <c r="B10551" t="s">
        <v>406</v>
      </c>
      <c r="C10551" t="s">
        <v>562</v>
      </c>
      <c r="D10551" t="s">
        <v>565</v>
      </c>
      <c r="E10551" t="s">
        <v>566</v>
      </c>
      <c r="F10551" t="s">
        <v>413</v>
      </c>
      <c r="G10551">
        <v>4399</v>
      </c>
      <c r="H10551">
        <v>4399</v>
      </c>
      <c r="I10551">
        <v>4294</v>
      </c>
      <c r="J10551">
        <v>4294</v>
      </c>
      <c r="K10551">
        <v>944</v>
      </c>
      <c r="L10551">
        <v>3</v>
      </c>
      <c r="M10551">
        <v>3366</v>
      </c>
      <c r="N10551">
        <v>86</v>
      </c>
      <c r="O10551">
        <v>0</v>
      </c>
      <c r="P10551">
        <v>6</v>
      </c>
      <c r="Q10551">
        <v>1</v>
      </c>
    </row>
    <row r="10552" spans="1:17" x14ac:dyDescent="0.2">
      <c r="A10552" s="121">
        <v>42704</v>
      </c>
      <c r="B10552" t="s">
        <v>406</v>
      </c>
      <c r="C10552" t="s">
        <v>562</v>
      </c>
      <c r="D10552" t="s">
        <v>567</v>
      </c>
      <c r="E10552" t="s">
        <v>568</v>
      </c>
      <c r="F10552" t="s">
        <v>413</v>
      </c>
      <c r="G10552">
        <v>9528</v>
      </c>
      <c r="H10552">
        <v>9528</v>
      </c>
      <c r="I10552">
        <v>8999</v>
      </c>
      <c r="J10552">
        <v>8999</v>
      </c>
      <c r="K10552">
        <v>2664</v>
      </c>
      <c r="L10552">
        <v>14</v>
      </c>
      <c r="M10552">
        <v>6711</v>
      </c>
      <c r="N10552">
        <v>139</v>
      </c>
      <c r="O10552">
        <v>0</v>
      </c>
      <c r="P10552">
        <v>65</v>
      </c>
      <c r="Q10552">
        <v>5</v>
      </c>
    </row>
    <row r="10553" spans="1:17" x14ac:dyDescent="0.2">
      <c r="A10553" s="121">
        <v>42704</v>
      </c>
      <c r="B10553" t="s">
        <v>406</v>
      </c>
      <c r="C10553" t="s">
        <v>562</v>
      </c>
      <c r="D10553" t="s">
        <v>569</v>
      </c>
      <c r="E10553" t="s">
        <v>570</v>
      </c>
      <c r="F10553" t="s">
        <v>413</v>
      </c>
      <c r="G10553">
        <v>4507</v>
      </c>
      <c r="H10553">
        <v>4507</v>
      </c>
      <c r="I10553">
        <v>4381</v>
      </c>
      <c r="J10553">
        <v>4381</v>
      </c>
      <c r="K10553">
        <v>588</v>
      </c>
      <c r="L10553">
        <v>0</v>
      </c>
      <c r="M10553">
        <v>3719</v>
      </c>
      <c r="N10553">
        <v>200</v>
      </c>
      <c r="O10553">
        <v>0</v>
      </c>
      <c r="P10553">
        <v>7</v>
      </c>
      <c r="Q10553">
        <v>0</v>
      </c>
    </row>
    <row r="10554" spans="1:17" x14ac:dyDescent="0.2">
      <c r="A10554" s="121">
        <v>42704</v>
      </c>
      <c r="B10554" t="s">
        <v>406</v>
      </c>
      <c r="C10554" t="s">
        <v>571</v>
      </c>
      <c r="D10554" t="s">
        <v>572</v>
      </c>
      <c r="E10554" t="s">
        <v>627</v>
      </c>
      <c r="F10554" t="s">
        <v>413</v>
      </c>
      <c r="G10554">
        <v>433</v>
      </c>
      <c r="H10554">
        <v>433</v>
      </c>
      <c r="I10554">
        <v>428</v>
      </c>
      <c r="J10554">
        <v>428</v>
      </c>
      <c r="K10554">
        <v>133</v>
      </c>
      <c r="L10554">
        <v>0</v>
      </c>
      <c r="M10554">
        <v>297</v>
      </c>
      <c r="N10554">
        <v>0</v>
      </c>
      <c r="O10554">
        <v>3</v>
      </c>
      <c r="P10554">
        <v>0</v>
      </c>
      <c r="Q10554">
        <v>0</v>
      </c>
    </row>
    <row r="10555" spans="1:17" x14ac:dyDescent="0.2">
      <c r="A10555" s="121">
        <v>42704</v>
      </c>
      <c r="B10555" t="s">
        <v>406</v>
      </c>
      <c r="C10555" t="s">
        <v>574</v>
      </c>
      <c r="D10555" t="s">
        <v>575</v>
      </c>
      <c r="E10555" t="s">
        <v>576</v>
      </c>
      <c r="F10555" t="s">
        <v>413</v>
      </c>
      <c r="G10555">
        <v>558</v>
      </c>
      <c r="H10555">
        <v>558</v>
      </c>
      <c r="I10555">
        <v>547</v>
      </c>
      <c r="J10555">
        <v>547</v>
      </c>
      <c r="K10555">
        <v>136</v>
      </c>
      <c r="L10555">
        <v>1</v>
      </c>
      <c r="M10555">
        <v>418</v>
      </c>
      <c r="N10555">
        <v>0</v>
      </c>
      <c r="O10555">
        <v>3</v>
      </c>
      <c r="P10555">
        <v>0</v>
      </c>
      <c r="Q10555">
        <v>0</v>
      </c>
    </row>
    <row r="10556" spans="1:17" x14ac:dyDescent="0.2">
      <c r="A10556" s="121">
        <v>42704</v>
      </c>
      <c r="B10556" t="s">
        <v>406</v>
      </c>
      <c r="C10556" t="s">
        <v>577</v>
      </c>
      <c r="D10556" t="s">
        <v>578</v>
      </c>
      <c r="E10556" t="s">
        <v>579</v>
      </c>
      <c r="F10556" t="s">
        <v>413</v>
      </c>
      <c r="G10556">
        <v>3836</v>
      </c>
      <c r="H10556">
        <v>3836</v>
      </c>
      <c r="I10556">
        <v>3752</v>
      </c>
      <c r="J10556">
        <v>3752</v>
      </c>
      <c r="K10556">
        <v>1214</v>
      </c>
      <c r="L10556">
        <v>6</v>
      </c>
      <c r="M10556">
        <v>2408</v>
      </c>
      <c r="N10556">
        <v>205</v>
      </c>
      <c r="O10556">
        <v>3</v>
      </c>
      <c r="P10556">
        <v>0</v>
      </c>
      <c r="Q10556">
        <v>0</v>
      </c>
    </row>
    <row r="10557" spans="1:17" x14ac:dyDescent="0.2">
      <c r="A10557" s="121">
        <v>42704</v>
      </c>
      <c r="B10557" t="s">
        <v>406</v>
      </c>
      <c r="C10557" t="s">
        <v>577</v>
      </c>
      <c r="D10557" t="s">
        <v>580</v>
      </c>
      <c r="E10557" t="s">
        <v>581</v>
      </c>
      <c r="F10557" t="s">
        <v>413</v>
      </c>
      <c r="G10557">
        <v>1897</v>
      </c>
      <c r="H10557">
        <v>1897</v>
      </c>
      <c r="I10557">
        <v>1877</v>
      </c>
      <c r="J10557">
        <v>1877</v>
      </c>
      <c r="K10557">
        <v>364</v>
      </c>
      <c r="L10557">
        <v>1</v>
      </c>
      <c r="M10557">
        <v>1277</v>
      </c>
      <c r="N10557">
        <v>255</v>
      </c>
      <c r="O10557">
        <v>0</v>
      </c>
      <c r="P10557">
        <v>0</v>
      </c>
      <c r="Q10557">
        <v>0</v>
      </c>
    </row>
    <row r="10558" spans="1:17" x14ac:dyDescent="0.2">
      <c r="A10558" s="121">
        <v>42704</v>
      </c>
      <c r="B10558" t="s">
        <v>406</v>
      </c>
      <c r="C10558" t="s">
        <v>577</v>
      </c>
      <c r="D10558" t="s">
        <v>609</v>
      </c>
      <c r="E10558" t="s">
        <v>610</v>
      </c>
      <c r="F10558" t="s">
        <v>410</v>
      </c>
      <c r="G10558">
        <v>32</v>
      </c>
      <c r="H10558">
        <v>32</v>
      </c>
      <c r="I10558">
        <v>32</v>
      </c>
      <c r="J10558">
        <v>32</v>
      </c>
      <c r="K10558">
        <v>0</v>
      </c>
      <c r="L10558">
        <v>0</v>
      </c>
      <c r="M10558">
        <v>29</v>
      </c>
      <c r="N10558">
        <v>2</v>
      </c>
      <c r="O10558">
        <v>1</v>
      </c>
      <c r="P10558">
        <v>0</v>
      </c>
      <c r="Q10558">
        <v>0</v>
      </c>
    </row>
    <row r="10559" spans="1:17" x14ac:dyDescent="0.2">
      <c r="A10559" s="121">
        <v>42704</v>
      </c>
      <c r="B10559" t="s">
        <v>406</v>
      </c>
      <c r="C10559" t="s">
        <v>577</v>
      </c>
      <c r="D10559" t="s">
        <v>584</v>
      </c>
      <c r="E10559" t="s">
        <v>585</v>
      </c>
      <c r="F10559" t="s">
        <v>410</v>
      </c>
      <c r="G10559">
        <v>227</v>
      </c>
      <c r="H10559">
        <v>227</v>
      </c>
      <c r="I10559">
        <v>227</v>
      </c>
      <c r="J10559">
        <v>227</v>
      </c>
      <c r="K10559">
        <v>0</v>
      </c>
      <c r="L10559">
        <v>0</v>
      </c>
      <c r="M10559">
        <v>207</v>
      </c>
      <c r="N10559">
        <v>17</v>
      </c>
      <c r="O10559">
        <v>3</v>
      </c>
      <c r="P10559">
        <v>0</v>
      </c>
      <c r="Q10559">
        <v>0</v>
      </c>
    </row>
    <row r="10560" spans="1:17" x14ac:dyDescent="0.2">
      <c r="A10560" s="121">
        <v>42704</v>
      </c>
      <c r="B10560" t="s">
        <v>406</v>
      </c>
      <c r="C10560" t="s">
        <v>577</v>
      </c>
      <c r="D10560" t="s">
        <v>586</v>
      </c>
      <c r="E10560" t="s">
        <v>587</v>
      </c>
      <c r="F10560" t="s">
        <v>410</v>
      </c>
      <c r="G10560">
        <v>989</v>
      </c>
      <c r="H10560">
        <v>989</v>
      </c>
      <c r="I10560">
        <v>989</v>
      </c>
      <c r="J10560">
        <v>989</v>
      </c>
      <c r="K10560">
        <v>0</v>
      </c>
      <c r="L10560">
        <v>1</v>
      </c>
      <c r="M10560">
        <v>882</v>
      </c>
      <c r="N10560">
        <v>100</v>
      </c>
      <c r="O10560">
        <v>6</v>
      </c>
      <c r="P10560">
        <v>0</v>
      </c>
      <c r="Q10560">
        <v>0</v>
      </c>
    </row>
    <row r="10561" spans="1:17" x14ac:dyDescent="0.2">
      <c r="A10561" s="121">
        <v>42704</v>
      </c>
      <c r="B10561" t="s">
        <v>406</v>
      </c>
      <c r="C10561" t="s">
        <v>577</v>
      </c>
      <c r="D10561" t="s">
        <v>588</v>
      </c>
      <c r="E10561" t="s">
        <v>589</v>
      </c>
      <c r="F10561" t="s">
        <v>410</v>
      </c>
      <c r="G10561">
        <v>202</v>
      </c>
      <c r="H10561">
        <v>202</v>
      </c>
      <c r="I10561">
        <v>201</v>
      </c>
      <c r="J10561">
        <v>201</v>
      </c>
      <c r="K10561">
        <v>0</v>
      </c>
      <c r="L10561">
        <v>0</v>
      </c>
      <c r="M10561">
        <v>190</v>
      </c>
      <c r="N10561">
        <v>12</v>
      </c>
      <c r="O10561">
        <v>0</v>
      </c>
      <c r="P10561">
        <v>0</v>
      </c>
      <c r="Q10561">
        <v>0</v>
      </c>
    </row>
    <row r="10562" spans="1:17" x14ac:dyDescent="0.2">
      <c r="A10562" s="121">
        <v>42704</v>
      </c>
      <c r="B10562" t="s">
        <v>406</v>
      </c>
      <c r="C10562" t="s">
        <v>577</v>
      </c>
      <c r="D10562" t="s">
        <v>613</v>
      </c>
      <c r="E10562" t="s">
        <v>614</v>
      </c>
      <c r="F10562" t="s">
        <v>410</v>
      </c>
      <c r="G10562">
        <v>89</v>
      </c>
      <c r="H10562">
        <v>89</v>
      </c>
      <c r="I10562">
        <v>89</v>
      </c>
      <c r="J10562">
        <v>89</v>
      </c>
      <c r="K10562">
        <v>1</v>
      </c>
      <c r="L10562">
        <v>0</v>
      </c>
      <c r="M10562">
        <v>83</v>
      </c>
      <c r="N10562">
        <v>4</v>
      </c>
      <c r="O10562">
        <v>1</v>
      </c>
      <c r="P10562">
        <v>0</v>
      </c>
      <c r="Q10562">
        <v>0</v>
      </c>
    </row>
    <row r="10563" spans="1:17" x14ac:dyDescent="0.2">
      <c r="A10563" s="121">
        <v>42704</v>
      </c>
      <c r="B10563" t="s">
        <v>406</v>
      </c>
      <c r="C10563" t="s">
        <v>577</v>
      </c>
      <c r="D10563" t="s">
        <v>590</v>
      </c>
      <c r="E10563" t="s">
        <v>591</v>
      </c>
      <c r="F10563" t="s">
        <v>410</v>
      </c>
      <c r="G10563">
        <v>433</v>
      </c>
      <c r="H10563">
        <v>433</v>
      </c>
      <c r="I10563">
        <v>433</v>
      </c>
      <c r="J10563">
        <v>433</v>
      </c>
      <c r="K10563">
        <v>0</v>
      </c>
      <c r="L10563">
        <v>2</v>
      </c>
      <c r="M10563">
        <v>397</v>
      </c>
      <c r="N10563">
        <v>34</v>
      </c>
      <c r="O10563">
        <v>0</v>
      </c>
      <c r="P10563">
        <v>0</v>
      </c>
      <c r="Q10563">
        <v>0</v>
      </c>
    </row>
    <row r="10564" spans="1:17" x14ac:dyDescent="0.2">
      <c r="A10564" s="121">
        <v>42704</v>
      </c>
      <c r="B10564" t="s">
        <v>406</v>
      </c>
      <c r="C10564" t="s">
        <v>577</v>
      </c>
      <c r="D10564" t="s">
        <v>607</v>
      </c>
      <c r="E10564" t="s">
        <v>608</v>
      </c>
      <c r="F10564" t="s">
        <v>410</v>
      </c>
      <c r="G10564">
        <v>129</v>
      </c>
      <c r="H10564">
        <v>129</v>
      </c>
      <c r="I10564">
        <v>129</v>
      </c>
      <c r="J10564">
        <v>129</v>
      </c>
      <c r="K10564">
        <v>0</v>
      </c>
      <c r="L10564">
        <v>0</v>
      </c>
      <c r="M10564">
        <v>114</v>
      </c>
      <c r="N10564">
        <v>14</v>
      </c>
      <c r="O10564">
        <v>1</v>
      </c>
      <c r="P10564">
        <v>0</v>
      </c>
      <c r="Q10564">
        <v>0</v>
      </c>
    </row>
    <row r="10565" spans="1:17" x14ac:dyDescent="0.2">
      <c r="A10565" s="121">
        <v>42704</v>
      </c>
      <c r="B10565" t="s">
        <v>406</v>
      </c>
      <c r="C10565" t="s">
        <v>577</v>
      </c>
      <c r="D10565" t="s">
        <v>592</v>
      </c>
      <c r="E10565" t="s">
        <v>593</v>
      </c>
      <c r="F10565" t="s">
        <v>410</v>
      </c>
      <c r="G10565">
        <v>366</v>
      </c>
      <c r="H10565">
        <v>366</v>
      </c>
      <c r="I10565">
        <v>366</v>
      </c>
      <c r="J10565">
        <v>366</v>
      </c>
      <c r="K10565">
        <v>0</v>
      </c>
      <c r="L10565">
        <v>0</v>
      </c>
      <c r="M10565">
        <v>338</v>
      </c>
      <c r="N10565">
        <v>23</v>
      </c>
      <c r="O10565">
        <v>5</v>
      </c>
      <c r="P10565">
        <v>0</v>
      </c>
      <c r="Q10565">
        <v>0</v>
      </c>
    </row>
    <row r="10566" spans="1:17" x14ac:dyDescent="0.2">
      <c r="A10566" s="121">
        <v>42704</v>
      </c>
      <c r="B10566" t="s">
        <v>406</v>
      </c>
      <c r="C10566" t="s">
        <v>594</v>
      </c>
      <c r="D10566" t="s">
        <v>595</v>
      </c>
      <c r="E10566" t="s">
        <v>596</v>
      </c>
      <c r="F10566" t="s">
        <v>410</v>
      </c>
      <c r="G10566">
        <v>41</v>
      </c>
      <c r="I10566">
        <v>41</v>
      </c>
    </row>
    <row r="10567" spans="1:17" x14ac:dyDescent="0.2">
      <c r="A10567" s="121">
        <v>42704</v>
      </c>
      <c r="B10567" t="s">
        <v>406</v>
      </c>
      <c r="C10567" t="s">
        <v>594</v>
      </c>
      <c r="D10567" t="s">
        <v>597</v>
      </c>
      <c r="E10567" t="s">
        <v>598</v>
      </c>
      <c r="F10567" t="s">
        <v>413</v>
      </c>
      <c r="G10567">
        <v>483</v>
      </c>
      <c r="H10567">
        <v>483</v>
      </c>
      <c r="I10567">
        <v>477</v>
      </c>
      <c r="J10567">
        <v>477</v>
      </c>
      <c r="K10567">
        <v>119</v>
      </c>
      <c r="L10567">
        <v>1</v>
      </c>
      <c r="M10567">
        <v>351</v>
      </c>
      <c r="N10567">
        <v>4</v>
      </c>
      <c r="O10567">
        <v>8</v>
      </c>
      <c r="P10567">
        <v>0</v>
      </c>
      <c r="Q10567">
        <v>0</v>
      </c>
    </row>
    <row r="10568" spans="1:17" x14ac:dyDescent="0.2">
      <c r="A10568" s="121">
        <v>42704</v>
      </c>
      <c r="B10568" t="s">
        <v>406</v>
      </c>
      <c r="C10568" t="s">
        <v>594</v>
      </c>
      <c r="D10568" t="s">
        <v>599</v>
      </c>
      <c r="E10568" t="s">
        <v>600</v>
      </c>
      <c r="F10568" t="s">
        <v>410</v>
      </c>
      <c r="G10568">
        <v>128</v>
      </c>
      <c r="H10568">
        <v>128</v>
      </c>
      <c r="I10568">
        <v>127</v>
      </c>
      <c r="J10568">
        <v>127</v>
      </c>
      <c r="K10568">
        <v>11</v>
      </c>
      <c r="L10568">
        <v>0</v>
      </c>
      <c r="M10568">
        <v>115</v>
      </c>
      <c r="N10568">
        <v>1</v>
      </c>
      <c r="O10568">
        <v>1</v>
      </c>
      <c r="P10568">
        <v>0</v>
      </c>
      <c r="Q10568">
        <v>0</v>
      </c>
    </row>
    <row r="10569" spans="1:17" x14ac:dyDescent="0.2">
      <c r="A10569" s="121">
        <v>42735</v>
      </c>
      <c r="B10569" t="s">
        <v>406</v>
      </c>
      <c r="C10569" t="s">
        <v>407</v>
      </c>
      <c r="D10569" t="s">
        <v>408</v>
      </c>
      <c r="E10569" t="s">
        <v>409</v>
      </c>
      <c r="F10569" t="s">
        <v>410</v>
      </c>
      <c r="G10569">
        <v>160</v>
      </c>
      <c r="I10569">
        <v>155</v>
      </c>
    </row>
    <row r="10570" spans="1:17" x14ac:dyDescent="0.2">
      <c r="A10570" s="121">
        <v>42735</v>
      </c>
      <c r="B10570" t="s">
        <v>406</v>
      </c>
      <c r="C10570" t="s">
        <v>407</v>
      </c>
      <c r="D10570" t="s">
        <v>601</v>
      </c>
      <c r="E10570" t="s">
        <v>602</v>
      </c>
      <c r="F10570" t="s">
        <v>410</v>
      </c>
      <c r="G10570">
        <v>44</v>
      </c>
      <c r="I10570">
        <v>41</v>
      </c>
    </row>
    <row r="10571" spans="1:17" x14ac:dyDescent="0.2">
      <c r="A10571" s="121">
        <v>42735</v>
      </c>
      <c r="B10571" t="s">
        <v>406</v>
      </c>
      <c r="C10571" t="s">
        <v>407</v>
      </c>
      <c r="D10571" t="s">
        <v>411</v>
      </c>
      <c r="E10571" t="s">
        <v>412</v>
      </c>
      <c r="F10571" t="s">
        <v>413</v>
      </c>
      <c r="G10571">
        <v>5691</v>
      </c>
      <c r="H10571">
        <v>5691</v>
      </c>
      <c r="I10571">
        <v>5282</v>
      </c>
      <c r="J10571">
        <v>5282</v>
      </c>
      <c r="K10571">
        <v>2216</v>
      </c>
      <c r="L10571">
        <v>14</v>
      </c>
      <c r="M10571">
        <v>3138</v>
      </c>
      <c r="N10571">
        <v>130</v>
      </c>
      <c r="O10571">
        <v>193</v>
      </c>
      <c r="P10571">
        <v>62</v>
      </c>
      <c r="Q10571">
        <v>6</v>
      </c>
    </row>
    <row r="10572" spans="1:17" x14ac:dyDescent="0.2">
      <c r="A10572" s="121">
        <v>42735</v>
      </c>
      <c r="B10572" t="s">
        <v>406</v>
      </c>
      <c r="C10572" t="s">
        <v>407</v>
      </c>
      <c r="D10572" t="s">
        <v>416</v>
      </c>
      <c r="E10572" t="s">
        <v>417</v>
      </c>
      <c r="F10572" t="s">
        <v>413</v>
      </c>
      <c r="G10572">
        <v>3562</v>
      </c>
      <c r="H10572">
        <v>3562</v>
      </c>
      <c r="I10572">
        <v>3363</v>
      </c>
      <c r="J10572">
        <v>3363</v>
      </c>
      <c r="K10572">
        <v>1390</v>
      </c>
      <c r="L10572">
        <v>10</v>
      </c>
      <c r="M10572">
        <v>1918</v>
      </c>
      <c r="N10572">
        <v>120</v>
      </c>
      <c r="O10572">
        <v>124</v>
      </c>
      <c r="P10572">
        <v>20</v>
      </c>
      <c r="Q10572">
        <v>0</v>
      </c>
    </row>
    <row r="10573" spans="1:17" x14ac:dyDescent="0.2">
      <c r="A10573" s="121">
        <v>42735</v>
      </c>
      <c r="B10573" t="s">
        <v>406</v>
      </c>
      <c r="C10573" t="s">
        <v>407</v>
      </c>
      <c r="D10573" t="s">
        <v>618</v>
      </c>
      <c r="E10573" t="s">
        <v>619</v>
      </c>
      <c r="F10573" t="s">
        <v>410</v>
      </c>
      <c r="G10573">
        <v>68</v>
      </c>
      <c r="I10573">
        <v>68</v>
      </c>
    </row>
    <row r="10574" spans="1:17" x14ac:dyDescent="0.2">
      <c r="A10574" s="121">
        <v>42735</v>
      </c>
      <c r="B10574" t="s">
        <v>406</v>
      </c>
      <c r="C10574" t="s">
        <v>418</v>
      </c>
      <c r="D10574" t="s">
        <v>419</v>
      </c>
      <c r="E10574" t="s">
        <v>420</v>
      </c>
      <c r="F10574" t="s">
        <v>410</v>
      </c>
      <c r="G10574">
        <v>8</v>
      </c>
      <c r="I10574">
        <v>8</v>
      </c>
    </row>
    <row r="10575" spans="1:17" x14ac:dyDescent="0.2">
      <c r="A10575" s="121">
        <v>42735</v>
      </c>
      <c r="B10575" t="s">
        <v>406</v>
      </c>
      <c r="C10575" t="s">
        <v>418</v>
      </c>
      <c r="D10575" t="s">
        <v>421</v>
      </c>
      <c r="E10575" t="s">
        <v>422</v>
      </c>
      <c r="F10575" t="s">
        <v>410</v>
      </c>
      <c r="G10575">
        <v>58</v>
      </c>
      <c r="I10575">
        <v>58</v>
      </c>
    </row>
    <row r="10576" spans="1:17" x14ac:dyDescent="0.2">
      <c r="A10576" s="121">
        <v>42735</v>
      </c>
      <c r="B10576" t="s">
        <v>406</v>
      </c>
      <c r="C10576" t="s">
        <v>418</v>
      </c>
      <c r="D10576" t="s">
        <v>423</v>
      </c>
      <c r="E10576" t="s">
        <v>424</v>
      </c>
      <c r="F10576" t="s">
        <v>410</v>
      </c>
      <c r="G10576">
        <v>16</v>
      </c>
      <c r="I10576">
        <v>16</v>
      </c>
    </row>
    <row r="10577" spans="1:17" x14ac:dyDescent="0.2">
      <c r="A10577" s="121">
        <v>42735</v>
      </c>
      <c r="B10577" t="s">
        <v>406</v>
      </c>
      <c r="C10577" t="s">
        <v>418</v>
      </c>
      <c r="D10577" t="s">
        <v>425</v>
      </c>
      <c r="E10577" t="s">
        <v>426</v>
      </c>
      <c r="F10577" t="s">
        <v>410</v>
      </c>
      <c r="G10577">
        <v>37</v>
      </c>
      <c r="I10577">
        <v>37</v>
      </c>
    </row>
    <row r="10578" spans="1:17" x14ac:dyDescent="0.2">
      <c r="A10578" s="121">
        <v>42735</v>
      </c>
      <c r="B10578" t="s">
        <v>406</v>
      </c>
      <c r="C10578" t="s">
        <v>418</v>
      </c>
      <c r="D10578" t="s">
        <v>427</v>
      </c>
      <c r="E10578" t="s">
        <v>428</v>
      </c>
      <c r="F10578" t="s">
        <v>413</v>
      </c>
      <c r="G10578">
        <v>2318</v>
      </c>
      <c r="H10578">
        <v>2318</v>
      </c>
      <c r="I10578">
        <v>2236</v>
      </c>
      <c r="J10578">
        <v>2236</v>
      </c>
      <c r="K10578">
        <v>872</v>
      </c>
      <c r="L10578">
        <v>2</v>
      </c>
      <c r="M10578">
        <v>1211</v>
      </c>
      <c r="N10578">
        <v>222</v>
      </c>
      <c r="O10578">
        <v>11</v>
      </c>
      <c r="P10578">
        <v>1</v>
      </c>
      <c r="Q10578">
        <v>0</v>
      </c>
    </row>
    <row r="10579" spans="1:17" x14ac:dyDescent="0.2">
      <c r="A10579" s="121">
        <v>42735</v>
      </c>
      <c r="B10579" t="s">
        <v>406</v>
      </c>
      <c r="C10579" t="s">
        <v>429</v>
      </c>
      <c r="D10579" t="s">
        <v>430</v>
      </c>
      <c r="E10579" t="s">
        <v>431</v>
      </c>
      <c r="F10579" t="s">
        <v>410</v>
      </c>
      <c r="G10579">
        <v>20</v>
      </c>
      <c r="I10579">
        <v>20</v>
      </c>
    </row>
    <row r="10580" spans="1:17" x14ac:dyDescent="0.2">
      <c r="A10580" s="121">
        <v>42735</v>
      </c>
      <c r="B10580" t="s">
        <v>406</v>
      </c>
      <c r="C10580" t="s">
        <v>429</v>
      </c>
      <c r="D10580" t="s">
        <v>432</v>
      </c>
      <c r="E10580" t="s">
        <v>433</v>
      </c>
      <c r="F10580" t="s">
        <v>410</v>
      </c>
      <c r="G10580">
        <v>21</v>
      </c>
      <c r="I10580">
        <v>21</v>
      </c>
    </row>
    <row r="10581" spans="1:17" x14ac:dyDescent="0.2">
      <c r="A10581" s="121">
        <v>42735</v>
      </c>
      <c r="B10581" t="s">
        <v>406</v>
      </c>
      <c r="C10581" t="s">
        <v>429</v>
      </c>
      <c r="D10581" t="s">
        <v>434</v>
      </c>
      <c r="E10581" t="s">
        <v>435</v>
      </c>
      <c r="F10581" t="s">
        <v>410</v>
      </c>
      <c r="G10581">
        <v>1</v>
      </c>
      <c r="I10581">
        <v>1</v>
      </c>
    </row>
    <row r="10582" spans="1:17" x14ac:dyDescent="0.2">
      <c r="A10582" s="121">
        <v>42735</v>
      </c>
      <c r="B10582" t="s">
        <v>406</v>
      </c>
      <c r="C10582" t="s">
        <v>429</v>
      </c>
      <c r="D10582" t="s">
        <v>436</v>
      </c>
      <c r="E10582" t="s">
        <v>437</v>
      </c>
      <c r="F10582" t="s">
        <v>410</v>
      </c>
      <c r="G10582">
        <v>9</v>
      </c>
      <c r="H10582">
        <v>9</v>
      </c>
      <c r="I10582">
        <v>9</v>
      </c>
      <c r="J10582">
        <v>9</v>
      </c>
      <c r="K10582">
        <v>0</v>
      </c>
      <c r="L10582">
        <v>0</v>
      </c>
      <c r="M10582">
        <v>6</v>
      </c>
      <c r="N10582">
        <v>3</v>
      </c>
      <c r="O10582">
        <v>0</v>
      </c>
      <c r="P10582">
        <v>0</v>
      </c>
      <c r="Q10582">
        <v>0</v>
      </c>
    </row>
    <row r="10583" spans="1:17" x14ac:dyDescent="0.2">
      <c r="A10583" s="121">
        <v>42735</v>
      </c>
      <c r="B10583" t="s">
        <v>406</v>
      </c>
      <c r="C10583" t="s">
        <v>429</v>
      </c>
      <c r="D10583" t="s">
        <v>438</v>
      </c>
      <c r="E10583" t="s">
        <v>439</v>
      </c>
      <c r="F10583" t="s">
        <v>413</v>
      </c>
      <c r="G10583">
        <v>959</v>
      </c>
      <c r="H10583">
        <v>959</v>
      </c>
      <c r="I10583">
        <v>920</v>
      </c>
      <c r="J10583">
        <v>920</v>
      </c>
      <c r="K10583">
        <v>80</v>
      </c>
      <c r="L10583">
        <v>1</v>
      </c>
      <c r="M10583">
        <v>753</v>
      </c>
      <c r="N10583">
        <v>96</v>
      </c>
      <c r="O10583">
        <v>29</v>
      </c>
      <c r="P10583">
        <v>5</v>
      </c>
      <c r="Q10583">
        <v>0</v>
      </c>
    </row>
    <row r="10584" spans="1:17" x14ac:dyDescent="0.2">
      <c r="A10584" s="121">
        <v>42735</v>
      </c>
      <c r="B10584" t="s">
        <v>406</v>
      </c>
      <c r="C10584" t="s">
        <v>429</v>
      </c>
      <c r="D10584" t="s">
        <v>440</v>
      </c>
      <c r="E10584" t="s">
        <v>441</v>
      </c>
      <c r="F10584" t="s">
        <v>413</v>
      </c>
      <c r="G10584">
        <v>3003</v>
      </c>
      <c r="H10584">
        <v>3003</v>
      </c>
      <c r="I10584">
        <v>2775</v>
      </c>
      <c r="J10584">
        <v>2775</v>
      </c>
      <c r="K10584">
        <v>1217</v>
      </c>
      <c r="L10584">
        <v>3</v>
      </c>
      <c r="M10584">
        <v>1658</v>
      </c>
      <c r="N10584">
        <v>71</v>
      </c>
      <c r="O10584">
        <v>54</v>
      </c>
      <c r="P10584">
        <v>15</v>
      </c>
      <c r="Q10584">
        <v>2</v>
      </c>
    </row>
    <row r="10585" spans="1:17" x14ac:dyDescent="0.2">
      <c r="A10585" s="121">
        <v>42735</v>
      </c>
      <c r="B10585" t="s">
        <v>406</v>
      </c>
      <c r="C10585" t="s">
        <v>442</v>
      </c>
      <c r="D10585" t="s">
        <v>443</v>
      </c>
      <c r="E10585" t="s">
        <v>444</v>
      </c>
      <c r="F10585" t="s">
        <v>413</v>
      </c>
      <c r="G10585">
        <v>5228</v>
      </c>
      <c r="H10585">
        <v>5228</v>
      </c>
      <c r="I10585">
        <v>4780</v>
      </c>
      <c r="J10585">
        <v>4780</v>
      </c>
      <c r="K10585">
        <v>1460</v>
      </c>
      <c r="L10585">
        <v>18</v>
      </c>
      <c r="M10585">
        <v>3453</v>
      </c>
      <c r="N10585">
        <v>83</v>
      </c>
      <c r="O10585">
        <v>214</v>
      </c>
      <c r="P10585">
        <v>30</v>
      </c>
      <c r="Q10585">
        <v>1</v>
      </c>
    </row>
    <row r="10586" spans="1:17" x14ac:dyDescent="0.2">
      <c r="A10586" s="121">
        <v>42735</v>
      </c>
      <c r="B10586" t="s">
        <v>406</v>
      </c>
      <c r="C10586" t="s">
        <v>442</v>
      </c>
      <c r="D10586" t="s">
        <v>445</v>
      </c>
      <c r="E10586" t="s">
        <v>446</v>
      </c>
      <c r="F10586" t="s">
        <v>410</v>
      </c>
      <c r="G10586">
        <v>96</v>
      </c>
      <c r="H10586">
        <v>96</v>
      </c>
      <c r="I10586">
        <v>96</v>
      </c>
      <c r="J10586">
        <v>96</v>
      </c>
      <c r="K10586">
        <v>0</v>
      </c>
      <c r="L10586">
        <v>0</v>
      </c>
      <c r="M10586">
        <v>0</v>
      </c>
      <c r="N10586">
        <v>0</v>
      </c>
      <c r="O10586">
        <v>96</v>
      </c>
      <c r="P10586">
        <v>0</v>
      </c>
      <c r="Q10586">
        <v>0</v>
      </c>
    </row>
    <row r="10587" spans="1:17" x14ac:dyDescent="0.2">
      <c r="A10587" s="121">
        <v>42735</v>
      </c>
      <c r="B10587" t="s">
        <v>406</v>
      </c>
      <c r="C10587" t="s">
        <v>442</v>
      </c>
      <c r="D10587" t="s">
        <v>447</v>
      </c>
      <c r="E10587" t="s">
        <v>448</v>
      </c>
      <c r="F10587" t="s">
        <v>410</v>
      </c>
      <c r="G10587">
        <v>204</v>
      </c>
      <c r="I10587">
        <v>203</v>
      </c>
    </row>
    <row r="10588" spans="1:17" x14ac:dyDescent="0.2">
      <c r="A10588" s="121">
        <v>42735</v>
      </c>
      <c r="B10588" t="s">
        <v>406</v>
      </c>
      <c r="C10588" t="s">
        <v>442</v>
      </c>
      <c r="D10588" t="s">
        <v>449</v>
      </c>
      <c r="E10588" t="s">
        <v>624</v>
      </c>
      <c r="F10588" t="s">
        <v>410</v>
      </c>
      <c r="G10588">
        <v>1602</v>
      </c>
      <c r="H10588">
        <v>1602</v>
      </c>
      <c r="I10588">
        <v>1600</v>
      </c>
      <c r="J10588">
        <v>1600</v>
      </c>
      <c r="K10588">
        <v>5</v>
      </c>
      <c r="L10588">
        <v>0</v>
      </c>
      <c r="M10588">
        <v>1480</v>
      </c>
      <c r="N10588">
        <v>116</v>
      </c>
      <c r="O10588">
        <v>1</v>
      </c>
      <c r="P10588">
        <v>1</v>
      </c>
      <c r="Q10588">
        <v>0</v>
      </c>
    </row>
    <row r="10589" spans="1:17" x14ac:dyDescent="0.2">
      <c r="A10589" s="121">
        <v>42735</v>
      </c>
      <c r="B10589" t="s">
        <v>406</v>
      </c>
      <c r="C10589" t="s">
        <v>451</v>
      </c>
      <c r="D10589" t="s">
        <v>454</v>
      </c>
      <c r="E10589" t="s">
        <v>621</v>
      </c>
      <c r="F10589" t="s">
        <v>410</v>
      </c>
      <c r="G10589">
        <v>1020</v>
      </c>
      <c r="H10589">
        <v>1020</v>
      </c>
      <c r="I10589">
        <v>1019</v>
      </c>
      <c r="J10589">
        <v>1019</v>
      </c>
      <c r="K10589">
        <v>0</v>
      </c>
      <c r="L10589">
        <v>0</v>
      </c>
      <c r="M10589">
        <v>758</v>
      </c>
      <c r="N10589">
        <v>30</v>
      </c>
      <c r="O10589">
        <v>232</v>
      </c>
      <c r="P10589">
        <v>0</v>
      </c>
      <c r="Q10589">
        <v>0</v>
      </c>
    </row>
    <row r="10590" spans="1:17" x14ac:dyDescent="0.2">
      <c r="A10590" s="121">
        <v>42735</v>
      </c>
      <c r="B10590" t="s">
        <v>406</v>
      </c>
      <c r="C10590" t="s">
        <v>451</v>
      </c>
      <c r="D10590" t="s">
        <v>622</v>
      </c>
      <c r="E10590" t="s">
        <v>623</v>
      </c>
      <c r="F10590" t="s">
        <v>413</v>
      </c>
      <c r="G10590">
        <v>5166</v>
      </c>
      <c r="H10590">
        <v>5166</v>
      </c>
      <c r="I10590">
        <v>4807</v>
      </c>
      <c r="J10590">
        <v>4807</v>
      </c>
      <c r="K10590">
        <v>1641</v>
      </c>
      <c r="L10590">
        <v>13</v>
      </c>
      <c r="M10590">
        <v>2791</v>
      </c>
      <c r="N10590">
        <v>88</v>
      </c>
      <c r="O10590">
        <v>633</v>
      </c>
      <c r="P10590">
        <v>12</v>
      </c>
      <c r="Q10590">
        <v>2</v>
      </c>
    </row>
    <row r="10591" spans="1:17" x14ac:dyDescent="0.2">
      <c r="A10591" s="121">
        <v>42735</v>
      </c>
      <c r="B10591" t="s">
        <v>406</v>
      </c>
      <c r="C10591" t="s">
        <v>456</v>
      </c>
      <c r="D10591" t="s">
        <v>457</v>
      </c>
      <c r="E10591" t="s">
        <v>458</v>
      </c>
      <c r="F10591" t="s">
        <v>413</v>
      </c>
      <c r="G10591">
        <v>4843</v>
      </c>
      <c r="H10591">
        <v>4843</v>
      </c>
      <c r="I10591">
        <v>4308</v>
      </c>
      <c r="J10591">
        <v>4308</v>
      </c>
      <c r="K10591">
        <v>1435</v>
      </c>
      <c r="L10591">
        <v>8</v>
      </c>
      <c r="M10591">
        <v>2959</v>
      </c>
      <c r="N10591">
        <v>20</v>
      </c>
      <c r="O10591">
        <v>421</v>
      </c>
      <c r="P10591">
        <v>32</v>
      </c>
      <c r="Q10591">
        <v>0</v>
      </c>
    </row>
    <row r="10592" spans="1:17" x14ac:dyDescent="0.2">
      <c r="A10592" s="121">
        <v>42735</v>
      </c>
      <c r="B10592" t="s">
        <v>406</v>
      </c>
      <c r="C10592" t="s">
        <v>456</v>
      </c>
      <c r="D10592" t="s">
        <v>459</v>
      </c>
      <c r="E10592" t="s">
        <v>460</v>
      </c>
      <c r="F10592" t="s">
        <v>413</v>
      </c>
      <c r="G10592">
        <v>1244</v>
      </c>
      <c r="H10592">
        <v>1244</v>
      </c>
      <c r="I10592">
        <v>1215</v>
      </c>
      <c r="J10592">
        <v>1215</v>
      </c>
      <c r="K10592">
        <v>188</v>
      </c>
      <c r="L10592">
        <v>0</v>
      </c>
      <c r="M10592">
        <v>984</v>
      </c>
      <c r="N10592">
        <v>0</v>
      </c>
      <c r="O10592">
        <v>72</v>
      </c>
      <c r="P10592">
        <v>0</v>
      </c>
      <c r="Q10592">
        <v>0</v>
      </c>
    </row>
    <row r="10593" spans="1:17" x14ac:dyDescent="0.2">
      <c r="A10593" s="121">
        <v>42735</v>
      </c>
      <c r="B10593" t="s">
        <v>406</v>
      </c>
      <c r="C10593" t="s">
        <v>456</v>
      </c>
      <c r="D10593" t="s">
        <v>461</v>
      </c>
      <c r="E10593" t="s">
        <v>462</v>
      </c>
      <c r="F10593" t="s">
        <v>410</v>
      </c>
      <c r="G10593">
        <v>68</v>
      </c>
      <c r="I10593">
        <v>68</v>
      </c>
    </row>
    <row r="10594" spans="1:17" x14ac:dyDescent="0.2">
      <c r="A10594" s="121">
        <v>42735</v>
      </c>
      <c r="B10594" t="s">
        <v>406</v>
      </c>
      <c r="C10594" t="s">
        <v>456</v>
      </c>
      <c r="D10594" t="s">
        <v>463</v>
      </c>
      <c r="E10594" t="s">
        <v>464</v>
      </c>
      <c r="F10594" t="s">
        <v>410</v>
      </c>
      <c r="G10594">
        <v>3</v>
      </c>
      <c r="I10594">
        <v>3</v>
      </c>
    </row>
    <row r="10595" spans="1:17" x14ac:dyDescent="0.2">
      <c r="A10595" s="121">
        <v>42735</v>
      </c>
      <c r="B10595" t="s">
        <v>406</v>
      </c>
      <c r="C10595" t="s">
        <v>456</v>
      </c>
      <c r="D10595" t="s">
        <v>465</v>
      </c>
      <c r="E10595" t="s">
        <v>466</v>
      </c>
      <c r="F10595" t="s">
        <v>410</v>
      </c>
      <c r="G10595">
        <v>17</v>
      </c>
      <c r="I10595">
        <v>17</v>
      </c>
    </row>
    <row r="10596" spans="1:17" x14ac:dyDescent="0.2">
      <c r="A10596" s="121">
        <v>42735</v>
      </c>
      <c r="B10596" t="s">
        <v>406</v>
      </c>
      <c r="C10596" t="s">
        <v>456</v>
      </c>
      <c r="D10596" t="s">
        <v>467</v>
      </c>
      <c r="E10596" t="s">
        <v>468</v>
      </c>
      <c r="F10596" t="s">
        <v>410</v>
      </c>
      <c r="G10596">
        <v>1433</v>
      </c>
      <c r="I10596">
        <v>1432</v>
      </c>
    </row>
    <row r="10597" spans="1:17" x14ac:dyDescent="0.2">
      <c r="A10597" s="121">
        <v>42735</v>
      </c>
      <c r="B10597" t="s">
        <v>406</v>
      </c>
      <c r="C10597" t="s">
        <v>456</v>
      </c>
      <c r="D10597" t="s">
        <v>469</v>
      </c>
      <c r="E10597" t="s">
        <v>470</v>
      </c>
      <c r="F10597" t="s">
        <v>410</v>
      </c>
      <c r="G10597">
        <v>718</v>
      </c>
      <c r="I10597">
        <v>717</v>
      </c>
    </row>
    <row r="10598" spans="1:17" x14ac:dyDescent="0.2">
      <c r="A10598" s="121">
        <v>42735</v>
      </c>
      <c r="B10598" t="s">
        <v>406</v>
      </c>
      <c r="C10598" t="s">
        <v>456</v>
      </c>
      <c r="D10598" t="s">
        <v>471</v>
      </c>
      <c r="E10598" t="s">
        <v>472</v>
      </c>
      <c r="F10598" t="s">
        <v>410</v>
      </c>
      <c r="G10598">
        <v>241</v>
      </c>
      <c r="I10598">
        <v>237</v>
      </c>
    </row>
    <row r="10599" spans="1:17" x14ac:dyDescent="0.2">
      <c r="A10599" s="121">
        <v>42735</v>
      </c>
      <c r="B10599" t="s">
        <v>406</v>
      </c>
      <c r="C10599" t="s">
        <v>456</v>
      </c>
      <c r="D10599" t="s">
        <v>473</v>
      </c>
      <c r="E10599" t="s">
        <v>474</v>
      </c>
      <c r="F10599" t="s">
        <v>410</v>
      </c>
      <c r="G10599">
        <v>145</v>
      </c>
      <c r="I10599">
        <v>145</v>
      </c>
    </row>
    <row r="10600" spans="1:17" x14ac:dyDescent="0.2">
      <c r="A10600" s="121">
        <v>42735</v>
      </c>
      <c r="B10600" t="s">
        <v>406</v>
      </c>
      <c r="C10600" t="s">
        <v>456</v>
      </c>
      <c r="D10600" t="s">
        <v>475</v>
      </c>
      <c r="E10600" t="s">
        <v>476</v>
      </c>
      <c r="F10600" t="s">
        <v>410</v>
      </c>
      <c r="G10600">
        <v>229</v>
      </c>
      <c r="I10600">
        <v>222</v>
      </c>
    </row>
    <row r="10601" spans="1:17" x14ac:dyDescent="0.2">
      <c r="A10601" s="121">
        <v>42735</v>
      </c>
      <c r="B10601" t="s">
        <v>406</v>
      </c>
      <c r="C10601" t="s">
        <v>456</v>
      </c>
      <c r="D10601" t="s">
        <v>477</v>
      </c>
      <c r="E10601" t="s">
        <v>478</v>
      </c>
      <c r="F10601" t="s">
        <v>413</v>
      </c>
      <c r="G10601">
        <v>2006</v>
      </c>
      <c r="H10601">
        <v>2006</v>
      </c>
      <c r="I10601">
        <v>1907</v>
      </c>
      <c r="J10601">
        <v>1907</v>
      </c>
      <c r="K10601">
        <v>430</v>
      </c>
      <c r="L10601">
        <v>4</v>
      </c>
      <c r="M10601">
        <v>1508</v>
      </c>
      <c r="N10601">
        <v>14</v>
      </c>
      <c r="O10601">
        <v>50</v>
      </c>
      <c r="P10601">
        <v>4</v>
      </c>
      <c r="Q10601">
        <v>0</v>
      </c>
    </row>
    <row r="10602" spans="1:17" x14ac:dyDescent="0.2">
      <c r="A10602" s="121">
        <v>42735</v>
      </c>
      <c r="B10602" t="s">
        <v>406</v>
      </c>
      <c r="C10602" t="s">
        <v>456</v>
      </c>
      <c r="D10602" t="s">
        <v>479</v>
      </c>
      <c r="E10602" t="s">
        <v>480</v>
      </c>
      <c r="F10602" t="s">
        <v>410</v>
      </c>
      <c r="G10602">
        <v>58</v>
      </c>
      <c r="I10602">
        <v>58</v>
      </c>
    </row>
    <row r="10603" spans="1:17" x14ac:dyDescent="0.2">
      <c r="A10603" s="121">
        <v>42735</v>
      </c>
      <c r="B10603" t="s">
        <v>406</v>
      </c>
      <c r="C10603" t="s">
        <v>456</v>
      </c>
      <c r="D10603" t="s">
        <v>481</v>
      </c>
      <c r="E10603" t="s">
        <v>482</v>
      </c>
      <c r="F10603" t="s">
        <v>410</v>
      </c>
      <c r="G10603">
        <v>15</v>
      </c>
      <c r="I10603">
        <v>15</v>
      </c>
    </row>
    <row r="10604" spans="1:17" x14ac:dyDescent="0.2">
      <c r="A10604" s="121">
        <v>42735</v>
      </c>
      <c r="B10604" t="s">
        <v>406</v>
      </c>
      <c r="C10604" t="s">
        <v>456</v>
      </c>
      <c r="D10604" t="s">
        <v>483</v>
      </c>
      <c r="E10604" t="s">
        <v>484</v>
      </c>
      <c r="F10604" t="s">
        <v>410</v>
      </c>
      <c r="G10604">
        <v>106</v>
      </c>
      <c r="I10604">
        <v>106</v>
      </c>
    </row>
    <row r="10605" spans="1:17" x14ac:dyDescent="0.2">
      <c r="A10605" s="121">
        <v>42735</v>
      </c>
      <c r="B10605" t="s">
        <v>406</v>
      </c>
      <c r="C10605" t="s">
        <v>456</v>
      </c>
      <c r="D10605" t="s">
        <v>487</v>
      </c>
      <c r="E10605" t="s">
        <v>488</v>
      </c>
      <c r="F10605" t="s">
        <v>410</v>
      </c>
      <c r="G10605">
        <v>18</v>
      </c>
      <c r="I10605">
        <v>18</v>
      </c>
    </row>
    <row r="10606" spans="1:17" x14ac:dyDescent="0.2">
      <c r="A10606" s="121">
        <v>42735</v>
      </c>
      <c r="B10606" t="s">
        <v>406</v>
      </c>
      <c r="C10606" t="s">
        <v>456</v>
      </c>
      <c r="D10606" t="s">
        <v>489</v>
      </c>
      <c r="E10606" t="s">
        <v>490</v>
      </c>
      <c r="F10606" t="s">
        <v>410</v>
      </c>
      <c r="G10606">
        <v>50</v>
      </c>
      <c r="I10606">
        <v>50</v>
      </c>
    </row>
    <row r="10607" spans="1:17" x14ac:dyDescent="0.2">
      <c r="A10607" s="121">
        <v>42735</v>
      </c>
      <c r="B10607" t="s">
        <v>406</v>
      </c>
      <c r="C10607" t="s">
        <v>456</v>
      </c>
      <c r="D10607" t="s">
        <v>628</v>
      </c>
      <c r="E10607" t="s">
        <v>629</v>
      </c>
      <c r="F10607" t="s">
        <v>410</v>
      </c>
      <c r="G10607">
        <v>27</v>
      </c>
      <c r="I10607">
        <v>27</v>
      </c>
    </row>
    <row r="10608" spans="1:17" x14ac:dyDescent="0.2">
      <c r="A10608" s="121">
        <v>42735</v>
      </c>
      <c r="B10608" t="s">
        <v>406</v>
      </c>
      <c r="C10608" t="s">
        <v>491</v>
      </c>
      <c r="D10608" t="s">
        <v>492</v>
      </c>
      <c r="E10608" t="s">
        <v>493</v>
      </c>
      <c r="F10608" t="s">
        <v>410</v>
      </c>
      <c r="G10608">
        <v>1241</v>
      </c>
      <c r="H10608">
        <v>1241</v>
      </c>
      <c r="I10608">
        <v>1200</v>
      </c>
      <c r="J10608">
        <v>1200</v>
      </c>
      <c r="K10608">
        <v>201</v>
      </c>
      <c r="L10608">
        <v>1</v>
      </c>
      <c r="M10608">
        <v>963</v>
      </c>
      <c r="N10608">
        <v>66</v>
      </c>
      <c r="O10608">
        <v>10</v>
      </c>
      <c r="P10608">
        <v>0</v>
      </c>
      <c r="Q10608">
        <v>0</v>
      </c>
    </row>
    <row r="10609" spans="1:17" x14ac:dyDescent="0.2">
      <c r="A10609" s="121">
        <v>42735</v>
      </c>
      <c r="B10609" t="s">
        <v>406</v>
      </c>
      <c r="C10609" t="s">
        <v>491</v>
      </c>
      <c r="D10609" t="s">
        <v>494</v>
      </c>
      <c r="E10609" t="s">
        <v>495</v>
      </c>
      <c r="F10609" t="s">
        <v>413</v>
      </c>
      <c r="G10609">
        <v>2612</v>
      </c>
      <c r="H10609">
        <v>2612</v>
      </c>
      <c r="I10609">
        <v>2399</v>
      </c>
      <c r="J10609">
        <v>2399</v>
      </c>
      <c r="K10609">
        <v>760</v>
      </c>
      <c r="L10609">
        <v>2</v>
      </c>
      <c r="M10609">
        <v>1625</v>
      </c>
      <c r="N10609">
        <v>43</v>
      </c>
      <c r="O10609">
        <v>182</v>
      </c>
      <c r="P10609">
        <v>14</v>
      </c>
      <c r="Q10609">
        <v>1</v>
      </c>
    </row>
    <row r="10610" spans="1:17" x14ac:dyDescent="0.2">
      <c r="A10610" s="121">
        <v>42735</v>
      </c>
      <c r="B10610" t="s">
        <v>406</v>
      </c>
      <c r="C10610" t="s">
        <v>491</v>
      </c>
      <c r="D10610" t="s">
        <v>496</v>
      </c>
      <c r="E10610" t="s">
        <v>497</v>
      </c>
      <c r="F10610" t="s">
        <v>413</v>
      </c>
      <c r="G10610">
        <v>5492</v>
      </c>
      <c r="H10610">
        <v>5492</v>
      </c>
      <c r="I10610">
        <v>4839</v>
      </c>
      <c r="J10610">
        <v>4839</v>
      </c>
      <c r="K10610">
        <v>1904</v>
      </c>
      <c r="L10610">
        <v>9</v>
      </c>
      <c r="M10610">
        <v>3323</v>
      </c>
      <c r="N10610">
        <v>126</v>
      </c>
      <c r="O10610">
        <v>130</v>
      </c>
      <c r="P10610">
        <v>41</v>
      </c>
      <c r="Q10610">
        <v>0</v>
      </c>
    </row>
    <row r="10611" spans="1:17" x14ac:dyDescent="0.2">
      <c r="A10611" s="121">
        <v>42735</v>
      </c>
      <c r="B10611" t="s">
        <v>406</v>
      </c>
      <c r="C10611" t="s">
        <v>491</v>
      </c>
      <c r="D10611" t="s">
        <v>498</v>
      </c>
      <c r="E10611" t="s">
        <v>499</v>
      </c>
      <c r="F10611" t="s">
        <v>413</v>
      </c>
      <c r="G10611">
        <v>7453</v>
      </c>
      <c r="H10611">
        <v>7453</v>
      </c>
      <c r="I10611">
        <v>6026</v>
      </c>
      <c r="J10611">
        <v>6026</v>
      </c>
      <c r="K10611">
        <v>2358</v>
      </c>
      <c r="L10611">
        <v>24</v>
      </c>
      <c r="M10611">
        <v>4591</v>
      </c>
      <c r="N10611">
        <v>122</v>
      </c>
      <c r="O10611">
        <v>358</v>
      </c>
      <c r="P10611">
        <v>69</v>
      </c>
      <c r="Q10611">
        <v>2</v>
      </c>
    </row>
    <row r="10612" spans="1:17" x14ac:dyDescent="0.2">
      <c r="A10612" s="121">
        <v>42735</v>
      </c>
      <c r="B10612" t="s">
        <v>406</v>
      </c>
      <c r="C10612" t="s">
        <v>491</v>
      </c>
      <c r="D10612" t="s">
        <v>500</v>
      </c>
      <c r="E10612" t="s">
        <v>620</v>
      </c>
      <c r="F10612" t="s">
        <v>410</v>
      </c>
      <c r="G10612">
        <v>1304</v>
      </c>
      <c r="H10612">
        <v>1304</v>
      </c>
      <c r="I10612">
        <v>1304</v>
      </c>
      <c r="J10612">
        <v>1304</v>
      </c>
      <c r="K10612">
        <v>0</v>
      </c>
      <c r="L10612">
        <v>0</v>
      </c>
      <c r="M10612">
        <v>1188</v>
      </c>
      <c r="N10612">
        <v>103</v>
      </c>
      <c r="O10612">
        <v>13</v>
      </c>
      <c r="P10612">
        <v>0</v>
      </c>
      <c r="Q10612">
        <v>0</v>
      </c>
    </row>
    <row r="10613" spans="1:17" x14ac:dyDescent="0.2">
      <c r="A10613" s="121">
        <v>42735</v>
      </c>
      <c r="B10613" t="s">
        <v>406</v>
      </c>
      <c r="C10613" t="s">
        <v>491</v>
      </c>
      <c r="D10613" t="s">
        <v>502</v>
      </c>
      <c r="E10613" t="s">
        <v>615</v>
      </c>
      <c r="F10613" t="s">
        <v>410</v>
      </c>
      <c r="G10613">
        <v>2215</v>
      </c>
      <c r="H10613">
        <v>2215</v>
      </c>
      <c r="I10613">
        <v>2214</v>
      </c>
      <c r="J10613">
        <v>2214</v>
      </c>
      <c r="K10613">
        <v>0</v>
      </c>
      <c r="L10613">
        <v>0</v>
      </c>
      <c r="M10613">
        <v>1948</v>
      </c>
      <c r="N10613">
        <v>244</v>
      </c>
      <c r="O10613">
        <v>23</v>
      </c>
      <c r="P10613">
        <v>0</v>
      </c>
      <c r="Q10613">
        <v>0</v>
      </c>
    </row>
    <row r="10614" spans="1:17" x14ac:dyDescent="0.2">
      <c r="A10614" s="121">
        <v>42735</v>
      </c>
      <c r="B10614" t="s">
        <v>406</v>
      </c>
      <c r="C10614" t="s">
        <v>491</v>
      </c>
      <c r="D10614" t="s">
        <v>504</v>
      </c>
      <c r="E10614" t="s">
        <v>630</v>
      </c>
      <c r="F10614" t="s">
        <v>413</v>
      </c>
      <c r="G10614">
        <v>7854</v>
      </c>
      <c r="H10614">
        <v>7854</v>
      </c>
      <c r="I10614">
        <v>6486</v>
      </c>
      <c r="J10614">
        <v>6486</v>
      </c>
      <c r="K10614">
        <v>2597</v>
      </c>
      <c r="L10614">
        <v>31</v>
      </c>
      <c r="M10614">
        <v>4900</v>
      </c>
      <c r="N10614">
        <v>134</v>
      </c>
      <c r="O10614">
        <v>192</v>
      </c>
      <c r="P10614">
        <v>97</v>
      </c>
      <c r="Q10614">
        <v>1</v>
      </c>
    </row>
    <row r="10615" spans="1:17" x14ac:dyDescent="0.2">
      <c r="A10615" s="121">
        <v>42735</v>
      </c>
      <c r="B10615" t="s">
        <v>406</v>
      </c>
      <c r="C10615" t="s">
        <v>491</v>
      </c>
      <c r="D10615" t="s">
        <v>506</v>
      </c>
      <c r="E10615" t="s">
        <v>507</v>
      </c>
      <c r="F10615" t="s">
        <v>413</v>
      </c>
      <c r="G10615">
        <v>4800</v>
      </c>
      <c r="H10615">
        <v>4800</v>
      </c>
      <c r="I10615">
        <v>4751</v>
      </c>
      <c r="J10615">
        <v>4751</v>
      </c>
      <c r="K10615">
        <v>924</v>
      </c>
      <c r="L10615">
        <v>5</v>
      </c>
      <c r="M10615">
        <v>3866</v>
      </c>
      <c r="N10615">
        <v>3</v>
      </c>
      <c r="O10615">
        <v>2</v>
      </c>
      <c r="P10615">
        <v>0</v>
      </c>
      <c r="Q10615">
        <v>0</v>
      </c>
    </row>
    <row r="10616" spans="1:17" x14ac:dyDescent="0.2">
      <c r="A10616" s="121">
        <v>42735</v>
      </c>
      <c r="B10616" t="s">
        <v>406</v>
      </c>
      <c r="C10616" t="s">
        <v>491</v>
      </c>
      <c r="D10616" t="s">
        <v>508</v>
      </c>
      <c r="E10616" t="s">
        <v>631</v>
      </c>
      <c r="F10616" t="s">
        <v>410</v>
      </c>
      <c r="G10616">
        <v>626</v>
      </c>
      <c r="H10616">
        <v>626</v>
      </c>
      <c r="I10616">
        <v>626</v>
      </c>
      <c r="J10616">
        <v>626</v>
      </c>
      <c r="K10616">
        <v>0</v>
      </c>
      <c r="L10616">
        <v>0</v>
      </c>
      <c r="M10616">
        <v>561</v>
      </c>
      <c r="N10616">
        <v>64</v>
      </c>
      <c r="O10616">
        <v>1</v>
      </c>
      <c r="P10616">
        <v>0</v>
      </c>
      <c r="Q10616">
        <v>0</v>
      </c>
    </row>
    <row r="10617" spans="1:17" x14ac:dyDescent="0.2">
      <c r="A10617" s="121">
        <v>42735</v>
      </c>
      <c r="B10617" t="s">
        <v>406</v>
      </c>
      <c r="C10617" t="s">
        <v>510</v>
      </c>
      <c r="D10617" t="s">
        <v>513</v>
      </c>
      <c r="E10617" t="s">
        <v>514</v>
      </c>
      <c r="F10617" t="s">
        <v>410</v>
      </c>
      <c r="G10617">
        <v>552</v>
      </c>
      <c r="I10617">
        <v>552</v>
      </c>
    </row>
    <row r="10618" spans="1:17" x14ac:dyDescent="0.2">
      <c r="A10618" s="121">
        <v>42735</v>
      </c>
      <c r="B10618" t="s">
        <v>406</v>
      </c>
      <c r="C10618" t="s">
        <v>510</v>
      </c>
      <c r="D10618" t="s">
        <v>515</v>
      </c>
      <c r="E10618" t="s">
        <v>516</v>
      </c>
      <c r="F10618" t="s">
        <v>410</v>
      </c>
      <c r="G10618">
        <v>82</v>
      </c>
      <c r="I10618">
        <v>82</v>
      </c>
    </row>
    <row r="10619" spans="1:17" x14ac:dyDescent="0.2">
      <c r="A10619" s="121">
        <v>42735</v>
      </c>
      <c r="B10619" t="s">
        <v>406</v>
      </c>
      <c r="C10619" t="s">
        <v>510</v>
      </c>
      <c r="D10619" t="s">
        <v>519</v>
      </c>
      <c r="E10619" t="s">
        <v>520</v>
      </c>
      <c r="F10619" t="s">
        <v>410</v>
      </c>
      <c r="G10619">
        <v>334</v>
      </c>
      <c r="I10619">
        <v>333</v>
      </c>
    </row>
    <row r="10620" spans="1:17" x14ac:dyDescent="0.2">
      <c r="A10620" s="121">
        <v>42735</v>
      </c>
      <c r="B10620" t="s">
        <v>406</v>
      </c>
      <c r="C10620" t="s">
        <v>510</v>
      </c>
      <c r="D10620" t="s">
        <v>523</v>
      </c>
      <c r="E10620" t="s">
        <v>524</v>
      </c>
      <c r="F10620" t="s">
        <v>413</v>
      </c>
      <c r="G10620">
        <v>632</v>
      </c>
      <c r="H10620">
        <v>632</v>
      </c>
      <c r="I10620">
        <v>626</v>
      </c>
      <c r="J10620">
        <v>626</v>
      </c>
      <c r="K10620">
        <v>167</v>
      </c>
      <c r="L10620">
        <v>0</v>
      </c>
      <c r="M10620">
        <v>448</v>
      </c>
      <c r="N10620">
        <v>17</v>
      </c>
      <c r="O10620">
        <v>0</v>
      </c>
      <c r="P10620">
        <v>1</v>
      </c>
      <c r="Q10620">
        <v>0</v>
      </c>
    </row>
    <row r="10621" spans="1:17" x14ac:dyDescent="0.2">
      <c r="A10621" s="121">
        <v>42735</v>
      </c>
      <c r="B10621" t="s">
        <v>406</v>
      </c>
      <c r="C10621" t="s">
        <v>510</v>
      </c>
      <c r="D10621" t="s">
        <v>525</v>
      </c>
      <c r="E10621" t="s">
        <v>526</v>
      </c>
      <c r="F10621" t="s">
        <v>410</v>
      </c>
      <c r="G10621">
        <v>455</v>
      </c>
      <c r="I10621">
        <v>454</v>
      </c>
    </row>
    <row r="10622" spans="1:17" x14ac:dyDescent="0.2">
      <c r="A10622" s="121">
        <v>42735</v>
      </c>
      <c r="B10622" t="s">
        <v>406</v>
      </c>
      <c r="C10622" t="s">
        <v>510</v>
      </c>
      <c r="D10622" t="s">
        <v>527</v>
      </c>
      <c r="E10622" t="s">
        <v>528</v>
      </c>
      <c r="F10622" t="s">
        <v>410</v>
      </c>
      <c r="G10622">
        <v>181</v>
      </c>
      <c r="I10622">
        <v>179</v>
      </c>
    </row>
    <row r="10623" spans="1:17" x14ac:dyDescent="0.2">
      <c r="A10623" s="121">
        <v>42735</v>
      </c>
      <c r="B10623" t="s">
        <v>406</v>
      </c>
      <c r="C10623" t="s">
        <v>510</v>
      </c>
      <c r="D10623" t="s">
        <v>529</v>
      </c>
      <c r="E10623" t="s">
        <v>530</v>
      </c>
      <c r="F10623" t="s">
        <v>413</v>
      </c>
      <c r="G10623">
        <v>607</v>
      </c>
      <c r="H10623">
        <v>607</v>
      </c>
      <c r="I10623">
        <v>592</v>
      </c>
      <c r="J10623">
        <v>592</v>
      </c>
      <c r="K10623">
        <v>195</v>
      </c>
      <c r="L10623">
        <v>1</v>
      </c>
      <c r="M10623">
        <v>407</v>
      </c>
      <c r="N10623">
        <v>4</v>
      </c>
      <c r="O10623">
        <v>0</v>
      </c>
      <c r="P10623">
        <v>4</v>
      </c>
      <c r="Q10623">
        <v>0</v>
      </c>
    </row>
    <row r="10624" spans="1:17" x14ac:dyDescent="0.2">
      <c r="A10624" s="121">
        <v>42735</v>
      </c>
      <c r="B10624" t="s">
        <v>406</v>
      </c>
      <c r="C10624" t="s">
        <v>510</v>
      </c>
      <c r="D10624" t="s">
        <v>531</v>
      </c>
      <c r="E10624" t="s">
        <v>532</v>
      </c>
      <c r="F10624" t="s">
        <v>410</v>
      </c>
      <c r="G10624">
        <v>55</v>
      </c>
      <c r="I10624">
        <v>55</v>
      </c>
    </row>
    <row r="10625" spans="1:17" x14ac:dyDescent="0.2">
      <c r="A10625" s="121">
        <v>42735</v>
      </c>
      <c r="B10625" t="s">
        <v>406</v>
      </c>
      <c r="C10625" t="s">
        <v>510</v>
      </c>
      <c r="D10625" t="s">
        <v>533</v>
      </c>
      <c r="E10625" t="s">
        <v>534</v>
      </c>
      <c r="F10625" t="s">
        <v>413</v>
      </c>
      <c r="G10625">
        <v>2826</v>
      </c>
      <c r="H10625">
        <v>2826</v>
      </c>
      <c r="I10625">
        <v>2546</v>
      </c>
      <c r="J10625">
        <v>2546</v>
      </c>
      <c r="K10625">
        <v>835</v>
      </c>
      <c r="L10625">
        <v>5</v>
      </c>
      <c r="M10625">
        <v>1976</v>
      </c>
      <c r="N10625">
        <v>10</v>
      </c>
      <c r="O10625">
        <v>0</v>
      </c>
      <c r="P10625">
        <v>15</v>
      </c>
      <c r="Q10625">
        <v>2</v>
      </c>
    </row>
    <row r="10626" spans="1:17" x14ac:dyDescent="0.2">
      <c r="A10626" s="121">
        <v>42735</v>
      </c>
      <c r="B10626" t="s">
        <v>406</v>
      </c>
      <c r="C10626" t="s">
        <v>510</v>
      </c>
      <c r="D10626" t="s">
        <v>535</v>
      </c>
      <c r="E10626" t="s">
        <v>536</v>
      </c>
      <c r="F10626" t="s">
        <v>410</v>
      </c>
      <c r="G10626">
        <v>338</v>
      </c>
      <c r="I10626">
        <v>338</v>
      </c>
    </row>
    <row r="10627" spans="1:17" x14ac:dyDescent="0.2">
      <c r="A10627" s="121">
        <v>42735</v>
      </c>
      <c r="B10627" t="s">
        <v>406</v>
      </c>
      <c r="C10627" t="s">
        <v>510</v>
      </c>
      <c r="D10627" t="s">
        <v>537</v>
      </c>
      <c r="E10627" t="s">
        <v>538</v>
      </c>
      <c r="F10627" t="s">
        <v>410</v>
      </c>
      <c r="G10627">
        <v>78</v>
      </c>
      <c r="I10627">
        <v>78</v>
      </c>
    </row>
    <row r="10628" spans="1:17" x14ac:dyDescent="0.2">
      <c r="A10628" s="121">
        <v>42735</v>
      </c>
      <c r="B10628" t="s">
        <v>406</v>
      </c>
      <c r="C10628" t="s">
        <v>510</v>
      </c>
      <c r="D10628" t="s">
        <v>539</v>
      </c>
      <c r="E10628" t="s">
        <v>540</v>
      </c>
      <c r="F10628" t="s">
        <v>413</v>
      </c>
      <c r="G10628">
        <v>586</v>
      </c>
      <c r="H10628">
        <v>586</v>
      </c>
      <c r="I10628">
        <v>568</v>
      </c>
      <c r="J10628">
        <v>568</v>
      </c>
      <c r="K10628">
        <v>118</v>
      </c>
      <c r="L10628">
        <v>2</v>
      </c>
      <c r="M10628">
        <v>464</v>
      </c>
      <c r="N10628">
        <v>2</v>
      </c>
      <c r="O10628">
        <v>0</v>
      </c>
      <c r="P10628">
        <v>0</v>
      </c>
      <c r="Q10628">
        <v>0</v>
      </c>
    </row>
    <row r="10629" spans="1:17" x14ac:dyDescent="0.2">
      <c r="A10629" s="121">
        <v>42735</v>
      </c>
      <c r="B10629" t="s">
        <v>406</v>
      </c>
      <c r="C10629" t="s">
        <v>510</v>
      </c>
      <c r="D10629" t="s">
        <v>541</v>
      </c>
      <c r="E10629" t="s">
        <v>542</v>
      </c>
      <c r="F10629" t="s">
        <v>410</v>
      </c>
      <c r="G10629">
        <v>367</v>
      </c>
      <c r="I10629">
        <v>367</v>
      </c>
    </row>
    <row r="10630" spans="1:17" x14ac:dyDescent="0.2">
      <c r="A10630" s="121">
        <v>42735</v>
      </c>
      <c r="B10630" t="s">
        <v>406</v>
      </c>
      <c r="C10630" t="s">
        <v>510</v>
      </c>
      <c r="D10630" t="s">
        <v>543</v>
      </c>
      <c r="E10630" t="s">
        <v>544</v>
      </c>
      <c r="F10630" t="s">
        <v>410</v>
      </c>
      <c r="G10630">
        <v>200</v>
      </c>
      <c r="I10630">
        <v>200</v>
      </c>
    </row>
    <row r="10631" spans="1:17" x14ac:dyDescent="0.2">
      <c r="A10631" s="121">
        <v>42735</v>
      </c>
      <c r="B10631" t="s">
        <v>406</v>
      </c>
      <c r="C10631" t="s">
        <v>510</v>
      </c>
      <c r="D10631" t="s">
        <v>545</v>
      </c>
      <c r="E10631" t="s">
        <v>546</v>
      </c>
      <c r="F10631" t="s">
        <v>410</v>
      </c>
      <c r="G10631">
        <v>68</v>
      </c>
      <c r="I10631">
        <v>68</v>
      </c>
    </row>
    <row r="10632" spans="1:17" x14ac:dyDescent="0.2">
      <c r="A10632" s="121">
        <v>42735</v>
      </c>
      <c r="B10632" t="s">
        <v>406</v>
      </c>
      <c r="C10632" t="s">
        <v>510</v>
      </c>
      <c r="D10632" t="s">
        <v>547</v>
      </c>
      <c r="E10632" t="s">
        <v>548</v>
      </c>
      <c r="F10632" t="s">
        <v>410</v>
      </c>
      <c r="G10632">
        <v>110</v>
      </c>
      <c r="I10632">
        <v>110</v>
      </c>
    </row>
    <row r="10633" spans="1:17" x14ac:dyDescent="0.2">
      <c r="A10633" s="121">
        <v>42735</v>
      </c>
      <c r="B10633" t="s">
        <v>406</v>
      </c>
      <c r="C10633" t="s">
        <v>510</v>
      </c>
      <c r="D10633" t="s">
        <v>616</v>
      </c>
      <c r="E10633" t="s">
        <v>617</v>
      </c>
      <c r="F10633" t="s">
        <v>410</v>
      </c>
      <c r="G10633">
        <v>436</v>
      </c>
      <c r="I10633">
        <v>430</v>
      </c>
    </row>
    <row r="10634" spans="1:17" x14ac:dyDescent="0.2">
      <c r="A10634" s="121">
        <v>42735</v>
      </c>
      <c r="B10634" t="s">
        <v>406</v>
      </c>
      <c r="C10634" t="s">
        <v>510</v>
      </c>
      <c r="D10634" t="s">
        <v>549</v>
      </c>
      <c r="E10634" t="s">
        <v>550</v>
      </c>
      <c r="F10634" t="s">
        <v>410</v>
      </c>
      <c r="G10634">
        <v>134</v>
      </c>
      <c r="I10634">
        <v>134</v>
      </c>
    </row>
    <row r="10635" spans="1:17" x14ac:dyDescent="0.2">
      <c r="A10635" s="121">
        <v>42735</v>
      </c>
      <c r="B10635" t="s">
        <v>406</v>
      </c>
      <c r="C10635" t="s">
        <v>510</v>
      </c>
      <c r="D10635" t="s">
        <v>625</v>
      </c>
      <c r="E10635" t="s">
        <v>626</v>
      </c>
      <c r="F10635" t="s">
        <v>410</v>
      </c>
      <c r="G10635">
        <v>93</v>
      </c>
      <c r="I10635">
        <v>93</v>
      </c>
    </row>
    <row r="10636" spans="1:17" x14ac:dyDescent="0.2">
      <c r="A10636" s="121">
        <v>42735</v>
      </c>
      <c r="B10636" t="s">
        <v>406</v>
      </c>
      <c r="C10636" t="s">
        <v>551</v>
      </c>
      <c r="D10636" t="s">
        <v>552</v>
      </c>
      <c r="E10636" t="s">
        <v>553</v>
      </c>
      <c r="F10636" t="s">
        <v>413</v>
      </c>
      <c r="G10636">
        <v>5582</v>
      </c>
      <c r="H10636">
        <v>5582</v>
      </c>
      <c r="I10636">
        <v>5332</v>
      </c>
      <c r="J10636">
        <v>5332</v>
      </c>
      <c r="K10636">
        <v>1887</v>
      </c>
      <c r="L10636">
        <v>4</v>
      </c>
      <c r="M10636">
        <v>3555</v>
      </c>
      <c r="N10636">
        <v>85</v>
      </c>
      <c r="O10636">
        <v>51</v>
      </c>
      <c r="P10636">
        <v>15</v>
      </c>
      <c r="Q10636">
        <v>1</v>
      </c>
    </row>
    <row r="10637" spans="1:17" x14ac:dyDescent="0.2">
      <c r="A10637" s="121">
        <v>42735</v>
      </c>
      <c r="B10637" t="s">
        <v>406</v>
      </c>
      <c r="C10637" t="s">
        <v>551</v>
      </c>
      <c r="D10637" t="s">
        <v>554</v>
      </c>
      <c r="E10637" t="s">
        <v>555</v>
      </c>
      <c r="F10637" t="s">
        <v>410</v>
      </c>
      <c r="G10637">
        <v>68</v>
      </c>
      <c r="I10637">
        <v>68</v>
      </c>
    </row>
    <row r="10638" spans="1:17" x14ac:dyDescent="0.2">
      <c r="A10638" s="121">
        <v>42735</v>
      </c>
      <c r="B10638" t="s">
        <v>406</v>
      </c>
      <c r="C10638" t="s">
        <v>551</v>
      </c>
      <c r="D10638" t="s">
        <v>556</v>
      </c>
      <c r="E10638" t="s">
        <v>557</v>
      </c>
      <c r="F10638" t="s">
        <v>410</v>
      </c>
      <c r="G10638">
        <v>62</v>
      </c>
      <c r="I10638">
        <v>62</v>
      </c>
    </row>
    <row r="10639" spans="1:17" x14ac:dyDescent="0.2">
      <c r="A10639" s="121">
        <v>42735</v>
      </c>
      <c r="B10639" t="s">
        <v>406</v>
      </c>
      <c r="C10639" t="s">
        <v>551</v>
      </c>
      <c r="D10639" t="s">
        <v>558</v>
      </c>
      <c r="E10639" t="s">
        <v>559</v>
      </c>
      <c r="F10639" t="s">
        <v>413</v>
      </c>
      <c r="G10639">
        <v>5208</v>
      </c>
      <c r="H10639">
        <v>5208</v>
      </c>
      <c r="I10639">
        <v>4704</v>
      </c>
      <c r="J10639">
        <v>4704</v>
      </c>
      <c r="K10639">
        <v>1588</v>
      </c>
      <c r="L10639">
        <v>7</v>
      </c>
      <c r="M10639">
        <v>3518</v>
      </c>
      <c r="N10639">
        <v>80</v>
      </c>
      <c r="O10639">
        <v>15</v>
      </c>
      <c r="P10639">
        <v>74</v>
      </c>
      <c r="Q10639">
        <v>20</v>
      </c>
    </row>
    <row r="10640" spans="1:17" x14ac:dyDescent="0.2">
      <c r="A10640" s="121">
        <v>42735</v>
      </c>
      <c r="B10640" t="s">
        <v>406</v>
      </c>
      <c r="C10640" t="s">
        <v>551</v>
      </c>
      <c r="D10640" t="s">
        <v>560</v>
      </c>
      <c r="E10640" t="s">
        <v>561</v>
      </c>
      <c r="F10640" t="s">
        <v>413</v>
      </c>
      <c r="G10640">
        <v>5249</v>
      </c>
      <c r="H10640">
        <v>5249</v>
      </c>
      <c r="I10640">
        <v>4735</v>
      </c>
      <c r="J10640">
        <v>4735</v>
      </c>
      <c r="K10640">
        <v>1346</v>
      </c>
      <c r="L10640">
        <v>13</v>
      </c>
      <c r="M10640">
        <v>3755</v>
      </c>
      <c r="N10640">
        <v>57</v>
      </c>
      <c r="O10640">
        <v>78</v>
      </c>
      <c r="P10640">
        <v>50</v>
      </c>
      <c r="Q10640">
        <v>2</v>
      </c>
    </row>
    <row r="10641" spans="1:17" x14ac:dyDescent="0.2">
      <c r="A10641" s="121">
        <v>42735</v>
      </c>
      <c r="B10641" t="s">
        <v>406</v>
      </c>
      <c r="C10641" t="s">
        <v>562</v>
      </c>
      <c r="D10641" t="s">
        <v>605</v>
      </c>
      <c r="E10641" t="s">
        <v>606</v>
      </c>
      <c r="F10641" t="s">
        <v>410</v>
      </c>
      <c r="G10641">
        <v>139</v>
      </c>
      <c r="I10641">
        <v>139</v>
      </c>
    </row>
    <row r="10642" spans="1:17" x14ac:dyDescent="0.2">
      <c r="A10642" s="121">
        <v>42735</v>
      </c>
      <c r="B10642" t="s">
        <v>406</v>
      </c>
      <c r="C10642" t="s">
        <v>562</v>
      </c>
      <c r="D10642" t="s">
        <v>563</v>
      </c>
      <c r="E10642" t="s">
        <v>564</v>
      </c>
      <c r="F10642" t="s">
        <v>410</v>
      </c>
      <c r="G10642">
        <v>3614</v>
      </c>
      <c r="H10642">
        <v>3614</v>
      </c>
      <c r="I10642">
        <v>3127</v>
      </c>
      <c r="J10642">
        <v>3127</v>
      </c>
      <c r="K10642">
        <v>1138</v>
      </c>
      <c r="L10642">
        <v>0</v>
      </c>
      <c r="M10642">
        <v>2459</v>
      </c>
      <c r="N10642">
        <v>17</v>
      </c>
      <c r="O10642">
        <v>0</v>
      </c>
      <c r="P10642">
        <v>138</v>
      </c>
      <c r="Q10642">
        <v>65</v>
      </c>
    </row>
    <row r="10643" spans="1:17" x14ac:dyDescent="0.2">
      <c r="A10643" s="121">
        <v>42735</v>
      </c>
      <c r="B10643" t="s">
        <v>406</v>
      </c>
      <c r="C10643" t="s">
        <v>562</v>
      </c>
      <c r="D10643" t="s">
        <v>565</v>
      </c>
      <c r="E10643" t="s">
        <v>566</v>
      </c>
      <c r="F10643" t="s">
        <v>413</v>
      </c>
      <c r="G10643">
        <v>4500</v>
      </c>
      <c r="H10643">
        <v>4500</v>
      </c>
      <c r="I10643">
        <v>4249</v>
      </c>
      <c r="J10643">
        <v>4249</v>
      </c>
      <c r="K10643">
        <v>1070</v>
      </c>
      <c r="L10643">
        <v>8</v>
      </c>
      <c r="M10643">
        <v>3333</v>
      </c>
      <c r="N10643">
        <v>89</v>
      </c>
      <c r="O10643">
        <v>0</v>
      </c>
      <c r="P10643">
        <v>23</v>
      </c>
      <c r="Q10643">
        <v>2</v>
      </c>
    </row>
    <row r="10644" spans="1:17" x14ac:dyDescent="0.2">
      <c r="A10644" s="121">
        <v>42735</v>
      </c>
      <c r="B10644" t="s">
        <v>406</v>
      </c>
      <c r="C10644" t="s">
        <v>562</v>
      </c>
      <c r="D10644" t="s">
        <v>567</v>
      </c>
      <c r="E10644" t="s">
        <v>568</v>
      </c>
      <c r="F10644" t="s">
        <v>413</v>
      </c>
      <c r="G10644">
        <v>9548</v>
      </c>
      <c r="H10644">
        <v>9548</v>
      </c>
      <c r="I10644">
        <v>8728</v>
      </c>
      <c r="J10644">
        <v>8728</v>
      </c>
      <c r="K10644">
        <v>2704</v>
      </c>
      <c r="L10644">
        <v>16</v>
      </c>
      <c r="M10644">
        <v>6704</v>
      </c>
      <c r="N10644">
        <v>124</v>
      </c>
      <c r="O10644">
        <v>0</v>
      </c>
      <c r="P10644">
        <v>161</v>
      </c>
      <c r="Q10644">
        <v>37</v>
      </c>
    </row>
    <row r="10645" spans="1:17" x14ac:dyDescent="0.2">
      <c r="A10645" s="121">
        <v>42735</v>
      </c>
      <c r="B10645" t="s">
        <v>406</v>
      </c>
      <c r="C10645" t="s">
        <v>562</v>
      </c>
      <c r="D10645" t="s">
        <v>569</v>
      </c>
      <c r="E10645" t="s">
        <v>570</v>
      </c>
      <c r="F10645" t="s">
        <v>413</v>
      </c>
      <c r="G10645">
        <v>4279</v>
      </c>
      <c r="H10645">
        <v>4279</v>
      </c>
      <c r="I10645">
        <v>4175</v>
      </c>
      <c r="J10645">
        <v>4175</v>
      </c>
      <c r="K10645">
        <v>529</v>
      </c>
      <c r="L10645">
        <v>0</v>
      </c>
      <c r="M10645">
        <v>3602</v>
      </c>
      <c r="N10645">
        <v>148</v>
      </c>
      <c r="O10645">
        <v>0</v>
      </c>
      <c r="P10645">
        <v>4</v>
      </c>
      <c r="Q10645">
        <v>0</v>
      </c>
    </row>
    <row r="10646" spans="1:17" x14ac:dyDescent="0.2">
      <c r="A10646" s="121">
        <v>42735</v>
      </c>
      <c r="B10646" t="s">
        <v>406</v>
      </c>
      <c r="C10646" t="s">
        <v>571</v>
      </c>
      <c r="D10646" t="s">
        <v>572</v>
      </c>
      <c r="E10646" t="s">
        <v>627</v>
      </c>
      <c r="F10646" t="s">
        <v>413</v>
      </c>
      <c r="G10646">
        <v>452</v>
      </c>
      <c r="H10646">
        <v>452</v>
      </c>
      <c r="I10646">
        <v>441</v>
      </c>
      <c r="J10646">
        <v>441</v>
      </c>
      <c r="K10646">
        <v>121</v>
      </c>
      <c r="L10646">
        <v>3</v>
      </c>
      <c r="M10646">
        <v>327</v>
      </c>
      <c r="N10646">
        <v>0</v>
      </c>
      <c r="O10646">
        <v>1</v>
      </c>
      <c r="P10646">
        <v>0</v>
      </c>
      <c r="Q10646">
        <v>0</v>
      </c>
    </row>
    <row r="10647" spans="1:17" x14ac:dyDescent="0.2">
      <c r="A10647" s="121">
        <v>42735</v>
      </c>
      <c r="B10647" t="s">
        <v>406</v>
      </c>
      <c r="C10647" t="s">
        <v>574</v>
      </c>
      <c r="D10647" t="s">
        <v>575</v>
      </c>
      <c r="E10647" t="s">
        <v>576</v>
      </c>
      <c r="F10647" t="s">
        <v>413</v>
      </c>
      <c r="G10647">
        <v>646</v>
      </c>
      <c r="H10647">
        <v>646</v>
      </c>
      <c r="I10647">
        <v>631</v>
      </c>
      <c r="J10647">
        <v>631</v>
      </c>
      <c r="K10647">
        <v>156</v>
      </c>
      <c r="L10647">
        <v>1</v>
      </c>
      <c r="M10647">
        <v>480</v>
      </c>
      <c r="N10647">
        <v>3</v>
      </c>
      <c r="O10647">
        <v>6</v>
      </c>
      <c r="P10647">
        <v>0</v>
      </c>
      <c r="Q10647">
        <v>0</v>
      </c>
    </row>
    <row r="10648" spans="1:17" x14ac:dyDescent="0.2">
      <c r="A10648" s="121">
        <v>42735</v>
      </c>
      <c r="B10648" t="s">
        <v>406</v>
      </c>
      <c r="C10648" t="s">
        <v>577</v>
      </c>
      <c r="D10648" t="s">
        <v>578</v>
      </c>
      <c r="E10648" t="s">
        <v>579</v>
      </c>
      <c r="F10648" t="s">
        <v>413</v>
      </c>
      <c r="G10648">
        <v>3875</v>
      </c>
      <c r="H10648">
        <v>3875</v>
      </c>
      <c r="I10648">
        <v>3751</v>
      </c>
      <c r="J10648">
        <v>3751</v>
      </c>
      <c r="K10648">
        <v>1302</v>
      </c>
      <c r="L10648">
        <v>10</v>
      </c>
      <c r="M10648">
        <v>2306</v>
      </c>
      <c r="N10648">
        <v>256</v>
      </c>
      <c r="O10648">
        <v>1</v>
      </c>
      <c r="P10648">
        <v>3</v>
      </c>
      <c r="Q10648">
        <v>0</v>
      </c>
    </row>
    <row r="10649" spans="1:17" x14ac:dyDescent="0.2">
      <c r="A10649" s="121">
        <v>42735</v>
      </c>
      <c r="B10649" t="s">
        <v>406</v>
      </c>
      <c r="C10649" t="s">
        <v>577</v>
      </c>
      <c r="D10649" t="s">
        <v>580</v>
      </c>
      <c r="E10649" t="s">
        <v>581</v>
      </c>
      <c r="F10649" t="s">
        <v>413</v>
      </c>
      <c r="G10649">
        <v>1975</v>
      </c>
      <c r="H10649">
        <v>1975</v>
      </c>
      <c r="I10649">
        <v>1928</v>
      </c>
      <c r="J10649">
        <v>1928</v>
      </c>
      <c r="K10649">
        <v>374</v>
      </c>
      <c r="L10649">
        <v>2</v>
      </c>
      <c r="M10649">
        <v>1283</v>
      </c>
      <c r="N10649">
        <v>316</v>
      </c>
      <c r="O10649">
        <v>0</v>
      </c>
      <c r="P10649">
        <v>0</v>
      </c>
      <c r="Q10649">
        <v>0</v>
      </c>
    </row>
    <row r="10650" spans="1:17" x14ac:dyDescent="0.2">
      <c r="A10650" s="121">
        <v>42735</v>
      </c>
      <c r="B10650" t="s">
        <v>406</v>
      </c>
      <c r="C10650" t="s">
        <v>577</v>
      </c>
      <c r="D10650" t="s">
        <v>609</v>
      </c>
      <c r="E10650" t="s">
        <v>610</v>
      </c>
      <c r="F10650" t="s">
        <v>410</v>
      </c>
      <c r="G10650">
        <v>28</v>
      </c>
      <c r="H10650">
        <v>28</v>
      </c>
      <c r="I10650">
        <v>28</v>
      </c>
      <c r="J10650">
        <v>28</v>
      </c>
      <c r="K10650">
        <v>0</v>
      </c>
      <c r="L10650">
        <v>0</v>
      </c>
      <c r="M10650">
        <v>20</v>
      </c>
      <c r="N10650">
        <v>5</v>
      </c>
      <c r="O10650">
        <v>3</v>
      </c>
      <c r="P10650">
        <v>0</v>
      </c>
      <c r="Q10650">
        <v>0</v>
      </c>
    </row>
    <row r="10651" spans="1:17" x14ac:dyDescent="0.2">
      <c r="A10651" s="121">
        <v>42735</v>
      </c>
      <c r="B10651" t="s">
        <v>406</v>
      </c>
      <c r="C10651" t="s">
        <v>577</v>
      </c>
      <c r="D10651" t="s">
        <v>584</v>
      </c>
      <c r="E10651" t="s">
        <v>585</v>
      </c>
      <c r="F10651" t="s">
        <v>410</v>
      </c>
      <c r="G10651">
        <v>262</v>
      </c>
      <c r="H10651">
        <v>262</v>
      </c>
      <c r="I10651">
        <v>262</v>
      </c>
      <c r="J10651">
        <v>262</v>
      </c>
      <c r="K10651">
        <v>0</v>
      </c>
      <c r="L10651">
        <v>0</v>
      </c>
      <c r="M10651">
        <v>248</v>
      </c>
      <c r="N10651">
        <v>10</v>
      </c>
      <c r="O10651">
        <v>4</v>
      </c>
      <c r="P10651">
        <v>0</v>
      </c>
      <c r="Q10651">
        <v>0</v>
      </c>
    </row>
    <row r="10652" spans="1:17" x14ac:dyDescent="0.2">
      <c r="A10652" s="121">
        <v>42735</v>
      </c>
      <c r="B10652" t="s">
        <v>406</v>
      </c>
      <c r="C10652" t="s">
        <v>577</v>
      </c>
      <c r="D10652" t="s">
        <v>586</v>
      </c>
      <c r="E10652" t="s">
        <v>587</v>
      </c>
      <c r="F10652" t="s">
        <v>410</v>
      </c>
      <c r="G10652">
        <v>1095</v>
      </c>
      <c r="H10652">
        <v>1095</v>
      </c>
      <c r="I10652">
        <v>1092</v>
      </c>
      <c r="J10652">
        <v>1092</v>
      </c>
      <c r="K10652">
        <v>0</v>
      </c>
      <c r="L10652">
        <v>0</v>
      </c>
      <c r="M10652">
        <v>987</v>
      </c>
      <c r="N10652">
        <v>103</v>
      </c>
      <c r="O10652">
        <v>5</v>
      </c>
      <c r="P10652">
        <v>0</v>
      </c>
      <c r="Q10652">
        <v>0</v>
      </c>
    </row>
    <row r="10653" spans="1:17" x14ac:dyDescent="0.2">
      <c r="A10653" s="121">
        <v>42735</v>
      </c>
      <c r="B10653" t="s">
        <v>406</v>
      </c>
      <c r="C10653" t="s">
        <v>577</v>
      </c>
      <c r="D10653" t="s">
        <v>588</v>
      </c>
      <c r="E10653" t="s">
        <v>589</v>
      </c>
      <c r="F10653" t="s">
        <v>410</v>
      </c>
      <c r="G10653">
        <v>190</v>
      </c>
      <c r="H10653">
        <v>190</v>
      </c>
      <c r="I10653">
        <v>190</v>
      </c>
      <c r="J10653">
        <v>190</v>
      </c>
      <c r="K10653">
        <v>0</v>
      </c>
      <c r="L10653">
        <v>0</v>
      </c>
      <c r="M10653">
        <v>183</v>
      </c>
      <c r="N10653">
        <v>7</v>
      </c>
      <c r="O10653">
        <v>0</v>
      </c>
      <c r="P10653">
        <v>0</v>
      </c>
      <c r="Q10653">
        <v>0</v>
      </c>
    </row>
    <row r="10654" spans="1:17" x14ac:dyDescent="0.2">
      <c r="A10654" s="121">
        <v>42735</v>
      </c>
      <c r="B10654" t="s">
        <v>406</v>
      </c>
      <c r="C10654" t="s">
        <v>577</v>
      </c>
      <c r="D10654" t="s">
        <v>613</v>
      </c>
      <c r="E10654" t="s">
        <v>614</v>
      </c>
      <c r="F10654" t="s">
        <v>410</v>
      </c>
      <c r="G10654">
        <v>80</v>
      </c>
      <c r="H10654">
        <v>80</v>
      </c>
      <c r="I10654">
        <v>80</v>
      </c>
      <c r="J10654">
        <v>80</v>
      </c>
      <c r="K10654">
        <v>0</v>
      </c>
      <c r="L10654">
        <v>0</v>
      </c>
      <c r="M10654">
        <v>71</v>
      </c>
      <c r="N10654">
        <v>7</v>
      </c>
      <c r="O10654">
        <v>2</v>
      </c>
      <c r="P10654">
        <v>0</v>
      </c>
      <c r="Q10654">
        <v>0</v>
      </c>
    </row>
    <row r="10655" spans="1:17" x14ac:dyDescent="0.2">
      <c r="A10655" s="121">
        <v>42735</v>
      </c>
      <c r="B10655" t="s">
        <v>406</v>
      </c>
      <c r="C10655" t="s">
        <v>577</v>
      </c>
      <c r="D10655" t="s">
        <v>590</v>
      </c>
      <c r="E10655" t="s">
        <v>591</v>
      </c>
      <c r="F10655" t="s">
        <v>410</v>
      </c>
      <c r="G10655">
        <v>488</v>
      </c>
      <c r="H10655">
        <v>488</v>
      </c>
      <c r="I10655">
        <v>488</v>
      </c>
      <c r="J10655">
        <v>488</v>
      </c>
      <c r="K10655">
        <v>0</v>
      </c>
      <c r="L10655">
        <v>0</v>
      </c>
      <c r="M10655">
        <v>461</v>
      </c>
      <c r="N10655">
        <v>26</v>
      </c>
      <c r="O10655">
        <v>1</v>
      </c>
      <c r="P10655">
        <v>0</v>
      </c>
      <c r="Q10655">
        <v>0</v>
      </c>
    </row>
    <row r="10656" spans="1:17" x14ac:dyDescent="0.2">
      <c r="A10656" s="121">
        <v>42735</v>
      </c>
      <c r="B10656" t="s">
        <v>406</v>
      </c>
      <c r="C10656" t="s">
        <v>577</v>
      </c>
      <c r="D10656" t="s">
        <v>607</v>
      </c>
      <c r="E10656" t="s">
        <v>608</v>
      </c>
      <c r="F10656" t="s">
        <v>410</v>
      </c>
      <c r="G10656">
        <v>134</v>
      </c>
      <c r="H10656">
        <v>134</v>
      </c>
      <c r="I10656">
        <v>134</v>
      </c>
      <c r="J10656">
        <v>134</v>
      </c>
      <c r="K10656">
        <v>0</v>
      </c>
      <c r="L10656">
        <v>0</v>
      </c>
      <c r="M10656">
        <v>124</v>
      </c>
      <c r="N10656">
        <v>9</v>
      </c>
      <c r="O10656">
        <v>1</v>
      </c>
      <c r="P10656">
        <v>0</v>
      </c>
      <c r="Q10656">
        <v>0</v>
      </c>
    </row>
    <row r="10657" spans="1:17" x14ac:dyDescent="0.2">
      <c r="A10657" s="121">
        <v>42735</v>
      </c>
      <c r="B10657" t="s">
        <v>406</v>
      </c>
      <c r="C10657" t="s">
        <v>577</v>
      </c>
      <c r="D10657" t="s">
        <v>592</v>
      </c>
      <c r="E10657" t="s">
        <v>593</v>
      </c>
      <c r="F10657" t="s">
        <v>410</v>
      </c>
      <c r="G10657">
        <v>408</v>
      </c>
      <c r="H10657">
        <v>408</v>
      </c>
      <c r="I10657">
        <v>408</v>
      </c>
      <c r="J10657">
        <v>408</v>
      </c>
      <c r="K10657">
        <v>0</v>
      </c>
      <c r="L10657">
        <v>3</v>
      </c>
      <c r="M10657">
        <v>387</v>
      </c>
      <c r="N10657">
        <v>13</v>
      </c>
      <c r="O10657">
        <v>5</v>
      </c>
      <c r="P10657">
        <v>0</v>
      </c>
      <c r="Q10657">
        <v>0</v>
      </c>
    </row>
    <row r="10658" spans="1:17" x14ac:dyDescent="0.2">
      <c r="A10658" s="121">
        <v>42735</v>
      </c>
      <c r="B10658" t="s">
        <v>406</v>
      </c>
      <c r="C10658" t="s">
        <v>594</v>
      </c>
      <c r="D10658" t="s">
        <v>595</v>
      </c>
      <c r="E10658" t="s">
        <v>596</v>
      </c>
      <c r="F10658" t="s">
        <v>410</v>
      </c>
      <c r="G10658">
        <v>40</v>
      </c>
      <c r="I10658">
        <v>40</v>
      </c>
    </row>
    <row r="10659" spans="1:17" x14ac:dyDescent="0.2">
      <c r="A10659" s="121">
        <v>42735</v>
      </c>
      <c r="B10659" t="s">
        <v>406</v>
      </c>
      <c r="C10659" t="s">
        <v>594</v>
      </c>
      <c r="D10659" t="s">
        <v>597</v>
      </c>
      <c r="E10659" t="s">
        <v>598</v>
      </c>
      <c r="F10659" t="s">
        <v>413</v>
      </c>
      <c r="G10659">
        <v>561</v>
      </c>
      <c r="H10659">
        <v>561</v>
      </c>
      <c r="I10659">
        <v>558</v>
      </c>
      <c r="J10659">
        <v>558</v>
      </c>
      <c r="K10659">
        <v>132</v>
      </c>
      <c r="L10659">
        <v>0</v>
      </c>
      <c r="M10659">
        <v>413</v>
      </c>
      <c r="N10659">
        <v>8</v>
      </c>
      <c r="O10659">
        <v>8</v>
      </c>
      <c r="P10659">
        <v>0</v>
      </c>
      <c r="Q10659">
        <v>0</v>
      </c>
    </row>
    <row r="10660" spans="1:17" x14ac:dyDescent="0.2">
      <c r="A10660" s="121">
        <v>42735</v>
      </c>
      <c r="B10660" t="s">
        <v>406</v>
      </c>
      <c r="C10660" t="s">
        <v>594</v>
      </c>
      <c r="D10660" t="s">
        <v>599</v>
      </c>
      <c r="E10660" t="s">
        <v>600</v>
      </c>
      <c r="F10660" t="s">
        <v>410</v>
      </c>
      <c r="G10660">
        <v>113</v>
      </c>
      <c r="H10660">
        <v>113</v>
      </c>
      <c r="I10660">
        <v>113</v>
      </c>
      <c r="J10660">
        <v>113</v>
      </c>
      <c r="K10660">
        <v>6</v>
      </c>
      <c r="L10660">
        <v>0</v>
      </c>
      <c r="M10660">
        <v>106</v>
      </c>
      <c r="N10660">
        <v>0</v>
      </c>
      <c r="O10660">
        <v>1</v>
      </c>
      <c r="P10660">
        <v>0</v>
      </c>
      <c r="Q10660">
        <v>0</v>
      </c>
    </row>
    <row r="10661" spans="1:17" x14ac:dyDescent="0.2">
      <c r="A10661" s="121">
        <v>42766</v>
      </c>
      <c r="B10661" t="s">
        <v>406</v>
      </c>
      <c r="C10661" t="s">
        <v>407</v>
      </c>
      <c r="D10661" t="s">
        <v>408</v>
      </c>
      <c r="E10661" t="s">
        <v>409</v>
      </c>
      <c r="F10661" t="s">
        <v>410</v>
      </c>
      <c r="G10661">
        <v>186</v>
      </c>
      <c r="I10661">
        <v>184</v>
      </c>
    </row>
    <row r="10662" spans="1:17" x14ac:dyDescent="0.2">
      <c r="A10662" s="121">
        <v>42766</v>
      </c>
      <c r="B10662" t="s">
        <v>406</v>
      </c>
      <c r="C10662" t="s">
        <v>407</v>
      </c>
      <c r="D10662" t="s">
        <v>601</v>
      </c>
      <c r="E10662" t="s">
        <v>602</v>
      </c>
      <c r="F10662" t="s">
        <v>410</v>
      </c>
      <c r="G10662">
        <v>69</v>
      </c>
      <c r="I10662">
        <v>67</v>
      </c>
    </row>
    <row r="10663" spans="1:17" x14ac:dyDescent="0.2">
      <c r="A10663" s="121">
        <v>42766</v>
      </c>
      <c r="B10663" t="s">
        <v>406</v>
      </c>
      <c r="C10663" t="s">
        <v>407</v>
      </c>
      <c r="D10663" t="s">
        <v>411</v>
      </c>
      <c r="E10663" t="s">
        <v>412</v>
      </c>
      <c r="F10663" t="s">
        <v>413</v>
      </c>
      <c r="G10663">
        <v>5488</v>
      </c>
      <c r="H10663">
        <v>5488</v>
      </c>
      <c r="I10663">
        <v>4856</v>
      </c>
      <c r="J10663">
        <v>4856</v>
      </c>
      <c r="K10663">
        <v>2049</v>
      </c>
      <c r="L10663">
        <v>7</v>
      </c>
      <c r="M10663">
        <v>3107</v>
      </c>
      <c r="N10663">
        <v>120</v>
      </c>
      <c r="O10663">
        <v>205</v>
      </c>
      <c r="P10663">
        <v>172</v>
      </c>
      <c r="Q10663">
        <v>35</v>
      </c>
    </row>
    <row r="10664" spans="1:17" x14ac:dyDescent="0.2">
      <c r="A10664" s="121">
        <v>42766</v>
      </c>
      <c r="B10664" t="s">
        <v>406</v>
      </c>
      <c r="C10664" t="s">
        <v>407</v>
      </c>
      <c r="D10664" t="s">
        <v>416</v>
      </c>
      <c r="E10664" t="s">
        <v>417</v>
      </c>
      <c r="F10664" t="s">
        <v>413</v>
      </c>
      <c r="G10664">
        <v>3558</v>
      </c>
      <c r="H10664">
        <v>3558</v>
      </c>
      <c r="I10664">
        <v>3234</v>
      </c>
      <c r="J10664">
        <v>3234</v>
      </c>
      <c r="K10664">
        <v>1565</v>
      </c>
      <c r="L10664">
        <v>6</v>
      </c>
      <c r="M10664">
        <v>1787</v>
      </c>
      <c r="N10664">
        <v>100</v>
      </c>
      <c r="O10664">
        <v>100</v>
      </c>
      <c r="P10664">
        <v>69</v>
      </c>
      <c r="Q10664">
        <v>25</v>
      </c>
    </row>
    <row r="10665" spans="1:17" x14ac:dyDescent="0.2">
      <c r="A10665" s="121">
        <v>42766</v>
      </c>
      <c r="B10665" t="s">
        <v>406</v>
      </c>
      <c r="C10665" t="s">
        <v>407</v>
      </c>
      <c r="D10665" t="s">
        <v>618</v>
      </c>
      <c r="E10665" t="s">
        <v>619</v>
      </c>
      <c r="F10665" t="s">
        <v>410</v>
      </c>
      <c r="G10665">
        <v>71</v>
      </c>
      <c r="I10665">
        <v>71</v>
      </c>
    </row>
    <row r="10666" spans="1:17" x14ac:dyDescent="0.2">
      <c r="A10666" s="121">
        <v>42766</v>
      </c>
      <c r="B10666" t="s">
        <v>406</v>
      </c>
      <c r="C10666" t="s">
        <v>418</v>
      </c>
      <c r="D10666" t="s">
        <v>419</v>
      </c>
      <c r="E10666" t="s">
        <v>420</v>
      </c>
      <c r="F10666" t="s">
        <v>410</v>
      </c>
      <c r="G10666">
        <v>8</v>
      </c>
      <c r="I10666">
        <v>8</v>
      </c>
    </row>
    <row r="10667" spans="1:17" x14ac:dyDescent="0.2">
      <c r="A10667" s="121">
        <v>42766</v>
      </c>
      <c r="B10667" t="s">
        <v>406</v>
      </c>
      <c r="C10667" t="s">
        <v>418</v>
      </c>
      <c r="D10667" t="s">
        <v>421</v>
      </c>
      <c r="E10667" t="s">
        <v>422</v>
      </c>
      <c r="F10667" t="s">
        <v>410</v>
      </c>
      <c r="G10667">
        <v>56</v>
      </c>
      <c r="I10667">
        <v>56</v>
      </c>
    </row>
    <row r="10668" spans="1:17" x14ac:dyDescent="0.2">
      <c r="A10668" s="121">
        <v>42766</v>
      </c>
      <c r="B10668" t="s">
        <v>406</v>
      </c>
      <c r="C10668" t="s">
        <v>418</v>
      </c>
      <c r="D10668" t="s">
        <v>423</v>
      </c>
      <c r="E10668" t="s">
        <v>424</v>
      </c>
      <c r="F10668" t="s">
        <v>410</v>
      </c>
      <c r="G10668">
        <v>5</v>
      </c>
      <c r="I10668">
        <v>5</v>
      </c>
    </row>
    <row r="10669" spans="1:17" x14ac:dyDescent="0.2">
      <c r="A10669" s="121">
        <v>42766</v>
      </c>
      <c r="B10669" t="s">
        <v>406</v>
      </c>
      <c r="C10669" t="s">
        <v>418</v>
      </c>
      <c r="D10669" t="s">
        <v>425</v>
      </c>
      <c r="E10669" t="s">
        <v>426</v>
      </c>
      <c r="F10669" t="s">
        <v>410</v>
      </c>
      <c r="G10669">
        <v>36</v>
      </c>
      <c r="I10669">
        <v>36</v>
      </c>
    </row>
    <row r="10670" spans="1:17" x14ac:dyDescent="0.2">
      <c r="A10670" s="121">
        <v>42766</v>
      </c>
      <c r="B10670" t="s">
        <v>406</v>
      </c>
      <c r="C10670" t="s">
        <v>418</v>
      </c>
      <c r="D10670" t="s">
        <v>427</v>
      </c>
      <c r="E10670" t="s">
        <v>428</v>
      </c>
      <c r="F10670" t="s">
        <v>413</v>
      </c>
      <c r="G10670">
        <v>2323</v>
      </c>
      <c r="H10670">
        <v>2323</v>
      </c>
      <c r="I10670">
        <v>2097</v>
      </c>
      <c r="J10670">
        <v>2097</v>
      </c>
      <c r="K10670">
        <v>891</v>
      </c>
      <c r="L10670">
        <v>1</v>
      </c>
      <c r="M10670">
        <v>1237</v>
      </c>
      <c r="N10670">
        <v>178</v>
      </c>
      <c r="O10670">
        <v>16</v>
      </c>
      <c r="P10670">
        <v>14</v>
      </c>
      <c r="Q10670">
        <v>2</v>
      </c>
    </row>
    <row r="10671" spans="1:17" x14ac:dyDescent="0.2">
      <c r="A10671" s="121">
        <v>42766</v>
      </c>
      <c r="B10671" t="s">
        <v>406</v>
      </c>
      <c r="C10671" t="s">
        <v>429</v>
      </c>
      <c r="D10671" t="s">
        <v>430</v>
      </c>
      <c r="E10671" t="s">
        <v>431</v>
      </c>
      <c r="F10671" t="s">
        <v>410</v>
      </c>
      <c r="G10671">
        <v>17</v>
      </c>
      <c r="I10671">
        <v>17</v>
      </c>
    </row>
    <row r="10672" spans="1:17" x14ac:dyDescent="0.2">
      <c r="A10672" s="121">
        <v>42766</v>
      </c>
      <c r="B10672" t="s">
        <v>406</v>
      </c>
      <c r="C10672" t="s">
        <v>429</v>
      </c>
      <c r="D10672" t="s">
        <v>432</v>
      </c>
      <c r="E10672" t="s">
        <v>433</v>
      </c>
      <c r="F10672" t="s">
        <v>410</v>
      </c>
      <c r="G10672">
        <v>32</v>
      </c>
      <c r="I10672">
        <v>32</v>
      </c>
    </row>
    <row r="10673" spans="1:17" x14ac:dyDescent="0.2">
      <c r="A10673" s="121">
        <v>42766</v>
      </c>
      <c r="B10673" t="s">
        <v>406</v>
      </c>
      <c r="C10673" t="s">
        <v>429</v>
      </c>
      <c r="D10673" t="s">
        <v>434</v>
      </c>
      <c r="E10673" t="s">
        <v>435</v>
      </c>
      <c r="F10673" t="s">
        <v>410</v>
      </c>
      <c r="G10673">
        <v>5</v>
      </c>
      <c r="I10673">
        <v>5</v>
      </c>
    </row>
    <row r="10674" spans="1:17" x14ac:dyDescent="0.2">
      <c r="A10674" s="121">
        <v>42766</v>
      </c>
      <c r="B10674" t="s">
        <v>406</v>
      </c>
      <c r="C10674" t="s">
        <v>429</v>
      </c>
      <c r="D10674" t="s">
        <v>436</v>
      </c>
      <c r="E10674" t="s">
        <v>437</v>
      </c>
      <c r="F10674" t="s">
        <v>410</v>
      </c>
      <c r="G10674">
        <v>4</v>
      </c>
      <c r="H10674">
        <v>4</v>
      </c>
      <c r="I10674">
        <v>4</v>
      </c>
      <c r="J10674">
        <v>4</v>
      </c>
      <c r="K10674">
        <v>0</v>
      </c>
      <c r="L10674">
        <v>0</v>
      </c>
      <c r="M10674">
        <v>3</v>
      </c>
      <c r="N10674">
        <v>1</v>
      </c>
      <c r="O10674">
        <v>0</v>
      </c>
      <c r="P10674">
        <v>0</v>
      </c>
      <c r="Q10674">
        <v>0</v>
      </c>
    </row>
    <row r="10675" spans="1:17" x14ac:dyDescent="0.2">
      <c r="A10675" s="121">
        <v>42766</v>
      </c>
      <c r="B10675" t="s">
        <v>406</v>
      </c>
      <c r="C10675" t="s">
        <v>429</v>
      </c>
      <c r="D10675" t="s">
        <v>438</v>
      </c>
      <c r="E10675" t="s">
        <v>439</v>
      </c>
      <c r="F10675" t="s">
        <v>413</v>
      </c>
      <c r="G10675">
        <v>937</v>
      </c>
      <c r="H10675">
        <v>937</v>
      </c>
      <c r="I10675">
        <v>876</v>
      </c>
      <c r="J10675">
        <v>876</v>
      </c>
      <c r="K10675">
        <v>77</v>
      </c>
      <c r="L10675">
        <v>1</v>
      </c>
      <c r="M10675">
        <v>760</v>
      </c>
      <c r="N10675">
        <v>73</v>
      </c>
      <c r="O10675">
        <v>26</v>
      </c>
      <c r="P10675">
        <v>2</v>
      </c>
      <c r="Q10675">
        <v>0</v>
      </c>
    </row>
    <row r="10676" spans="1:17" x14ac:dyDescent="0.2">
      <c r="A10676" s="121">
        <v>42766</v>
      </c>
      <c r="B10676" t="s">
        <v>406</v>
      </c>
      <c r="C10676" t="s">
        <v>429</v>
      </c>
      <c r="D10676" t="s">
        <v>440</v>
      </c>
      <c r="E10676" t="s">
        <v>441</v>
      </c>
      <c r="F10676" t="s">
        <v>413</v>
      </c>
      <c r="G10676">
        <v>3048</v>
      </c>
      <c r="H10676">
        <v>3048</v>
      </c>
      <c r="I10676">
        <v>2749</v>
      </c>
      <c r="J10676">
        <v>2749</v>
      </c>
      <c r="K10676">
        <v>1223</v>
      </c>
      <c r="L10676">
        <v>8</v>
      </c>
      <c r="M10676">
        <v>1680</v>
      </c>
      <c r="N10676">
        <v>73</v>
      </c>
      <c r="O10676">
        <v>64</v>
      </c>
      <c r="P10676">
        <v>24</v>
      </c>
      <c r="Q10676">
        <v>4</v>
      </c>
    </row>
    <row r="10677" spans="1:17" x14ac:dyDescent="0.2">
      <c r="A10677" s="121">
        <v>42766</v>
      </c>
      <c r="B10677" t="s">
        <v>406</v>
      </c>
      <c r="C10677" t="s">
        <v>442</v>
      </c>
      <c r="D10677" t="s">
        <v>443</v>
      </c>
      <c r="E10677" t="s">
        <v>444</v>
      </c>
      <c r="F10677" t="s">
        <v>413</v>
      </c>
      <c r="G10677">
        <v>4946</v>
      </c>
      <c r="H10677">
        <v>4946</v>
      </c>
      <c r="I10677">
        <v>4500</v>
      </c>
      <c r="J10677">
        <v>4500</v>
      </c>
      <c r="K10677">
        <v>1327</v>
      </c>
      <c r="L10677">
        <v>11</v>
      </c>
      <c r="M10677">
        <v>3327</v>
      </c>
      <c r="N10677">
        <v>80</v>
      </c>
      <c r="O10677">
        <v>201</v>
      </c>
      <c r="P10677">
        <v>22</v>
      </c>
      <c r="Q10677">
        <v>0</v>
      </c>
    </row>
    <row r="10678" spans="1:17" x14ac:dyDescent="0.2">
      <c r="A10678" s="121">
        <v>42766</v>
      </c>
      <c r="B10678" t="s">
        <v>406</v>
      </c>
      <c r="C10678" t="s">
        <v>442</v>
      </c>
      <c r="D10678" t="s">
        <v>445</v>
      </c>
      <c r="E10678" t="s">
        <v>446</v>
      </c>
      <c r="F10678" t="s">
        <v>410</v>
      </c>
      <c r="G10678">
        <v>100</v>
      </c>
      <c r="H10678">
        <v>100</v>
      </c>
      <c r="I10678">
        <v>100</v>
      </c>
      <c r="J10678">
        <v>100</v>
      </c>
      <c r="K10678">
        <v>0</v>
      </c>
      <c r="L10678">
        <v>0</v>
      </c>
      <c r="M10678">
        <v>0</v>
      </c>
      <c r="N10678">
        <v>0</v>
      </c>
      <c r="O10678">
        <v>100</v>
      </c>
      <c r="P10678">
        <v>0</v>
      </c>
      <c r="Q10678">
        <v>0</v>
      </c>
    </row>
    <row r="10679" spans="1:17" x14ac:dyDescent="0.2">
      <c r="A10679" s="121">
        <v>42766</v>
      </c>
      <c r="B10679" t="s">
        <v>406</v>
      </c>
      <c r="C10679" t="s">
        <v>442</v>
      </c>
      <c r="D10679" t="s">
        <v>447</v>
      </c>
      <c r="E10679" t="s">
        <v>448</v>
      </c>
      <c r="F10679" t="s">
        <v>410</v>
      </c>
      <c r="G10679">
        <v>216</v>
      </c>
      <c r="I10679">
        <v>216</v>
      </c>
    </row>
    <row r="10680" spans="1:17" x14ac:dyDescent="0.2">
      <c r="A10680" s="121">
        <v>42766</v>
      </c>
      <c r="B10680" t="s">
        <v>406</v>
      </c>
      <c r="C10680" t="s">
        <v>442</v>
      </c>
      <c r="D10680" t="s">
        <v>449</v>
      </c>
      <c r="E10680" t="s">
        <v>624</v>
      </c>
      <c r="F10680" t="s">
        <v>410</v>
      </c>
      <c r="G10680">
        <v>1621</v>
      </c>
      <c r="H10680">
        <v>1621</v>
      </c>
      <c r="I10680">
        <v>1621</v>
      </c>
      <c r="J10680">
        <v>1621</v>
      </c>
      <c r="K10680">
        <v>6</v>
      </c>
      <c r="L10680">
        <v>0</v>
      </c>
      <c r="M10680">
        <v>1464</v>
      </c>
      <c r="N10680">
        <v>142</v>
      </c>
      <c r="O10680">
        <v>9</v>
      </c>
      <c r="P10680">
        <v>0</v>
      </c>
      <c r="Q10680">
        <v>0</v>
      </c>
    </row>
    <row r="10681" spans="1:17" x14ac:dyDescent="0.2">
      <c r="A10681" s="121">
        <v>42766</v>
      </c>
      <c r="B10681" t="s">
        <v>406</v>
      </c>
      <c r="C10681" t="s">
        <v>451</v>
      </c>
      <c r="D10681" t="s">
        <v>454</v>
      </c>
      <c r="E10681" t="s">
        <v>621</v>
      </c>
      <c r="F10681" t="s">
        <v>410</v>
      </c>
      <c r="G10681">
        <v>1084</v>
      </c>
      <c r="H10681">
        <v>1084</v>
      </c>
      <c r="I10681">
        <v>1084</v>
      </c>
      <c r="J10681">
        <v>1084</v>
      </c>
      <c r="K10681">
        <v>1</v>
      </c>
      <c r="L10681">
        <v>0</v>
      </c>
      <c r="M10681">
        <v>792</v>
      </c>
      <c r="N10681">
        <v>32</v>
      </c>
      <c r="O10681">
        <v>259</v>
      </c>
      <c r="P10681">
        <v>0</v>
      </c>
      <c r="Q10681">
        <v>0</v>
      </c>
    </row>
    <row r="10682" spans="1:17" x14ac:dyDescent="0.2">
      <c r="A10682" s="121">
        <v>42766</v>
      </c>
      <c r="B10682" t="s">
        <v>406</v>
      </c>
      <c r="C10682" t="s">
        <v>451</v>
      </c>
      <c r="D10682" t="s">
        <v>622</v>
      </c>
      <c r="E10682" t="s">
        <v>623</v>
      </c>
      <c r="F10682" t="s">
        <v>413</v>
      </c>
      <c r="G10682">
        <v>5097</v>
      </c>
      <c r="H10682">
        <v>5097</v>
      </c>
      <c r="I10682">
        <v>4530</v>
      </c>
      <c r="J10682">
        <v>4530</v>
      </c>
      <c r="K10682">
        <v>1628</v>
      </c>
      <c r="L10682">
        <v>13</v>
      </c>
      <c r="M10682">
        <v>2631</v>
      </c>
      <c r="N10682">
        <v>118</v>
      </c>
      <c r="O10682">
        <v>707</v>
      </c>
      <c r="P10682">
        <v>86</v>
      </c>
      <c r="Q10682">
        <v>3</v>
      </c>
    </row>
    <row r="10683" spans="1:17" x14ac:dyDescent="0.2">
      <c r="A10683" s="121">
        <v>42766</v>
      </c>
      <c r="B10683" t="s">
        <v>406</v>
      </c>
      <c r="C10683" t="s">
        <v>456</v>
      </c>
      <c r="D10683" t="s">
        <v>457</v>
      </c>
      <c r="E10683" t="s">
        <v>458</v>
      </c>
      <c r="F10683" t="s">
        <v>413</v>
      </c>
      <c r="G10683">
        <v>4638</v>
      </c>
      <c r="H10683">
        <v>4638</v>
      </c>
      <c r="I10683">
        <v>4200</v>
      </c>
      <c r="J10683">
        <v>4200</v>
      </c>
      <c r="K10683">
        <v>1405</v>
      </c>
      <c r="L10683">
        <v>13</v>
      </c>
      <c r="M10683">
        <v>2815</v>
      </c>
      <c r="N10683">
        <v>23</v>
      </c>
      <c r="O10683">
        <v>382</v>
      </c>
      <c r="P10683">
        <v>23</v>
      </c>
      <c r="Q10683">
        <v>0</v>
      </c>
    </row>
    <row r="10684" spans="1:17" x14ac:dyDescent="0.2">
      <c r="A10684" s="121">
        <v>42766</v>
      </c>
      <c r="B10684" t="s">
        <v>406</v>
      </c>
      <c r="C10684" t="s">
        <v>456</v>
      </c>
      <c r="D10684" t="s">
        <v>459</v>
      </c>
      <c r="E10684" t="s">
        <v>460</v>
      </c>
      <c r="F10684" t="s">
        <v>413</v>
      </c>
      <c r="G10684">
        <v>1182</v>
      </c>
      <c r="H10684">
        <v>1182</v>
      </c>
      <c r="I10684">
        <v>1172</v>
      </c>
      <c r="J10684">
        <v>1172</v>
      </c>
      <c r="K10684">
        <v>128</v>
      </c>
      <c r="L10684">
        <v>1</v>
      </c>
      <c r="M10684">
        <v>977</v>
      </c>
      <c r="N10684">
        <v>0</v>
      </c>
      <c r="O10684">
        <v>76</v>
      </c>
      <c r="P10684">
        <v>0</v>
      </c>
      <c r="Q10684">
        <v>0</v>
      </c>
    </row>
    <row r="10685" spans="1:17" x14ac:dyDescent="0.2">
      <c r="A10685" s="121">
        <v>42766</v>
      </c>
      <c r="B10685" t="s">
        <v>406</v>
      </c>
      <c r="C10685" t="s">
        <v>456</v>
      </c>
      <c r="D10685" t="s">
        <v>461</v>
      </c>
      <c r="E10685" t="s">
        <v>462</v>
      </c>
      <c r="F10685" t="s">
        <v>410</v>
      </c>
      <c r="G10685">
        <v>81</v>
      </c>
      <c r="I10685">
        <v>81</v>
      </c>
    </row>
    <row r="10686" spans="1:17" x14ac:dyDescent="0.2">
      <c r="A10686" s="121">
        <v>42766</v>
      </c>
      <c r="B10686" t="s">
        <v>406</v>
      </c>
      <c r="C10686" t="s">
        <v>456</v>
      </c>
      <c r="D10686" t="s">
        <v>463</v>
      </c>
      <c r="E10686" t="s">
        <v>464</v>
      </c>
      <c r="F10686" t="s">
        <v>410</v>
      </c>
      <c r="G10686">
        <v>12</v>
      </c>
      <c r="I10686">
        <v>12</v>
      </c>
    </row>
    <row r="10687" spans="1:17" x14ac:dyDescent="0.2">
      <c r="A10687" s="121">
        <v>42766</v>
      </c>
      <c r="B10687" t="s">
        <v>406</v>
      </c>
      <c r="C10687" t="s">
        <v>456</v>
      </c>
      <c r="D10687" t="s">
        <v>465</v>
      </c>
      <c r="E10687" t="s">
        <v>466</v>
      </c>
      <c r="F10687" t="s">
        <v>410</v>
      </c>
      <c r="G10687">
        <v>23</v>
      </c>
      <c r="I10687">
        <v>23</v>
      </c>
    </row>
    <row r="10688" spans="1:17" x14ac:dyDescent="0.2">
      <c r="A10688" s="121">
        <v>42766</v>
      </c>
      <c r="B10688" t="s">
        <v>406</v>
      </c>
      <c r="C10688" t="s">
        <v>456</v>
      </c>
      <c r="D10688" t="s">
        <v>467</v>
      </c>
      <c r="E10688" t="s">
        <v>468</v>
      </c>
      <c r="F10688" t="s">
        <v>410</v>
      </c>
      <c r="G10688">
        <v>1374</v>
      </c>
      <c r="I10688">
        <v>1372</v>
      </c>
    </row>
    <row r="10689" spans="1:17" x14ac:dyDescent="0.2">
      <c r="A10689" s="121">
        <v>42766</v>
      </c>
      <c r="B10689" t="s">
        <v>406</v>
      </c>
      <c r="C10689" t="s">
        <v>456</v>
      </c>
      <c r="D10689" t="s">
        <v>469</v>
      </c>
      <c r="E10689" t="s">
        <v>470</v>
      </c>
      <c r="F10689" t="s">
        <v>410</v>
      </c>
      <c r="G10689">
        <v>738</v>
      </c>
      <c r="I10689">
        <v>737</v>
      </c>
    </row>
    <row r="10690" spans="1:17" x14ac:dyDescent="0.2">
      <c r="A10690" s="121">
        <v>42766</v>
      </c>
      <c r="B10690" t="s">
        <v>406</v>
      </c>
      <c r="C10690" t="s">
        <v>456</v>
      </c>
      <c r="D10690" t="s">
        <v>471</v>
      </c>
      <c r="E10690" t="s">
        <v>472</v>
      </c>
      <c r="F10690" t="s">
        <v>410</v>
      </c>
      <c r="G10690">
        <v>255</v>
      </c>
      <c r="I10690">
        <v>253</v>
      </c>
    </row>
    <row r="10691" spans="1:17" x14ac:dyDescent="0.2">
      <c r="A10691" s="121">
        <v>42766</v>
      </c>
      <c r="B10691" t="s">
        <v>406</v>
      </c>
      <c r="C10691" t="s">
        <v>456</v>
      </c>
      <c r="D10691" t="s">
        <v>473</v>
      </c>
      <c r="E10691" t="s">
        <v>474</v>
      </c>
      <c r="F10691" t="s">
        <v>410</v>
      </c>
      <c r="G10691">
        <v>180</v>
      </c>
      <c r="I10691">
        <v>180</v>
      </c>
    </row>
    <row r="10692" spans="1:17" x14ac:dyDescent="0.2">
      <c r="A10692" s="121">
        <v>42766</v>
      </c>
      <c r="B10692" t="s">
        <v>406</v>
      </c>
      <c r="C10692" t="s">
        <v>456</v>
      </c>
      <c r="D10692" t="s">
        <v>475</v>
      </c>
      <c r="E10692" t="s">
        <v>476</v>
      </c>
      <c r="F10692" t="s">
        <v>410</v>
      </c>
      <c r="G10692">
        <v>241</v>
      </c>
      <c r="I10692">
        <v>231</v>
      </c>
    </row>
    <row r="10693" spans="1:17" x14ac:dyDescent="0.2">
      <c r="A10693" s="121">
        <v>42766</v>
      </c>
      <c r="B10693" t="s">
        <v>406</v>
      </c>
      <c r="C10693" t="s">
        <v>456</v>
      </c>
      <c r="D10693" t="s">
        <v>477</v>
      </c>
      <c r="E10693" t="s">
        <v>478</v>
      </c>
      <c r="F10693" t="s">
        <v>413</v>
      </c>
      <c r="G10693">
        <v>1799</v>
      </c>
      <c r="H10693">
        <v>1799</v>
      </c>
      <c r="I10693">
        <v>1718</v>
      </c>
      <c r="J10693">
        <v>1718</v>
      </c>
      <c r="K10693">
        <v>402</v>
      </c>
      <c r="L10693">
        <v>1</v>
      </c>
      <c r="M10693">
        <v>1343</v>
      </c>
      <c r="N10693">
        <v>14</v>
      </c>
      <c r="O10693">
        <v>39</v>
      </c>
      <c r="P10693">
        <v>6</v>
      </c>
      <c r="Q10693">
        <v>0</v>
      </c>
    </row>
    <row r="10694" spans="1:17" x14ac:dyDescent="0.2">
      <c r="A10694" s="121">
        <v>42766</v>
      </c>
      <c r="B10694" t="s">
        <v>406</v>
      </c>
      <c r="C10694" t="s">
        <v>456</v>
      </c>
      <c r="D10694" t="s">
        <v>479</v>
      </c>
      <c r="E10694" t="s">
        <v>480</v>
      </c>
      <c r="F10694" t="s">
        <v>410</v>
      </c>
      <c r="G10694">
        <v>59</v>
      </c>
      <c r="I10694">
        <v>59</v>
      </c>
    </row>
    <row r="10695" spans="1:17" x14ac:dyDescent="0.2">
      <c r="A10695" s="121">
        <v>42766</v>
      </c>
      <c r="B10695" t="s">
        <v>406</v>
      </c>
      <c r="C10695" t="s">
        <v>456</v>
      </c>
      <c r="D10695" t="s">
        <v>481</v>
      </c>
      <c r="E10695" t="s">
        <v>482</v>
      </c>
      <c r="F10695" t="s">
        <v>410</v>
      </c>
      <c r="G10695">
        <v>12</v>
      </c>
      <c r="I10695">
        <v>12</v>
      </c>
    </row>
    <row r="10696" spans="1:17" x14ac:dyDescent="0.2">
      <c r="A10696" s="121">
        <v>42766</v>
      </c>
      <c r="B10696" t="s">
        <v>406</v>
      </c>
      <c r="C10696" t="s">
        <v>456</v>
      </c>
      <c r="D10696" t="s">
        <v>483</v>
      </c>
      <c r="E10696" t="s">
        <v>484</v>
      </c>
      <c r="F10696" t="s">
        <v>410</v>
      </c>
      <c r="G10696">
        <v>78</v>
      </c>
      <c r="I10696">
        <v>78</v>
      </c>
    </row>
    <row r="10697" spans="1:17" x14ac:dyDescent="0.2">
      <c r="A10697" s="121">
        <v>42766</v>
      </c>
      <c r="B10697" t="s">
        <v>406</v>
      </c>
      <c r="C10697" t="s">
        <v>456</v>
      </c>
      <c r="D10697" t="s">
        <v>487</v>
      </c>
      <c r="E10697" t="s">
        <v>488</v>
      </c>
      <c r="F10697" t="s">
        <v>410</v>
      </c>
      <c r="G10697">
        <v>9</v>
      </c>
      <c r="I10697">
        <v>9</v>
      </c>
    </row>
    <row r="10698" spans="1:17" x14ac:dyDescent="0.2">
      <c r="A10698" s="121">
        <v>42766</v>
      </c>
      <c r="B10698" t="s">
        <v>406</v>
      </c>
      <c r="C10698" t="s">
        <v>456</v>
      </c>
      <c r="D10698" t="s">
        <v>489</v>
      </c>
      <c r="E10698" t="s">
        <v>490</v>
      </c>
      <c r="F10698" t="s">
        <v>410</v>
      </c>
      <c r="G10698">
        <v>53</v>
      </c>
      <c r="I10698">
        <v>53</v>
      </c>
    </row>
    <row r="10699" spans="1:17" x14ac:dyDescent="0.2">
      <c r="A10699" s="121">
        <v>42766</v>
      </c>
      <c r="B10699" t="s">
        <v>406</v>
      </c>
      <c r="C10699" t="s">
        <v>456</v>
      </c>
      <c r="D10699" t="s">
        <v>628</v>
      </c>
      <c r="E10699" t="s">
        <v>629</v>
      </c>
      <c r="F10699" t="s">
        <v>410</v>
      </c>
      <c r="G10699">
        <v>34</v>
      </c>
      <c r="I10699">
        <v>34</v>
      </c>
    </row>
    <row r="10700" spans="1:17" x14ac:dyDescent="0.2">
      <c r="A10700" s="121">
        <v>42766</v>
      </c>
      <c r="B10700" t="s">
        <v>406</v>
      </c>
      <c r="C10700" t="s">
        <v>491</v>
      </c>
      <c r="D10700" t="s">
        <v>492</v>
      </c>
      <c r="E10700" t="s">
        <v>493</v>
      </c>
      <c r="F10700" t="s">
        <v>410</v>
      </c>
      <c r="G10700">
        <v>1337</v>
      </c>
      <c r="H10700">
        <v>1337</v>
      </c>
      <c r="I10700">
        <v>1300</v>
      </c>
      <c r="J10700">
        <v>1300</v>
      </c>
      <c r="K10700">
        <v>205</v>
      </c>
      <c r="L10700">
        <v>1</v>
      </c>
      <c r="M10700">
        <v>1032</v>
      </c>
      <c r="N10700">
        <v>86</v>
      </c>
      <c r="O10700">
        <v>13</v>
      </c>
      <c r="P10700">
        <v>1</v>
      </c>
      <c r="Q10700">
        <v>0</v>
      </c>
    </row>
    <row r="10701" spans="1:17" x14ac:dyDescent="0.2">
      <c r="A10701" s="121">
        <v>42766</v>
      </c>
      <c r="B10701" t="s">
        <v>406</v>
      </c>
      <c r="C10701" t="s">
        <v>491</v>
      </c>
      <c r="D10701" t="s">
        <v>494</v>
      </c>
      <c r="E10701" t="s">
        <v>495</v>
      </c>
      <c r="F10701" t="s">
        <v>413</v>
      </c>
      <c r="G10701">
        <v>2529</v>
      </c>
      <c r="H10701">
        <v>2529</v>
      </c>
      <c r="I10701">
        <v>2413</v>
      </c>
      <c r="J10701">
        <v>2413</v>
      </c>
      <c r="K10701">
        <v>706</v>
      </c>
      <c r="L10701">
        <v>4</v>
      </c>
      <c r="M10701">
        <v>1575</v>
      </c>
      <c r="N10701">
        <v>42</v>
      </c>
      <c r="O10701">
        <v>202</v>
      </c>
      <c r="P10701">
        <v>6</v>
      </c>
      <c r="Q10701">
        <v>0</v>
      </c>
    </row>
    <row r="10702" spans="1:17" x14ac:dyDescent="0.2">
      <c r="A10702" s="121">
        <v>42766</v>
      </c>
      <c r="B10702" t="s">
        <v>406</v>
      </c>
      <c r="C10702" t="s">
        <v>491</v>
      </c>
      <c r="D10702" t="s">
        <v>496</v>
      </c>
      <c r="E10702" t="s">
        <v>497</v>
      </c>
      <c r="F10702" t="s">
        <v>413</v>
      </c>
      <c r="G10702">
        <v>5684</v>
      </c>
      <c r="H10702">
        <v>5684</v>
      </c>
      <c r="I10702">
        <v>4925</v>
      </c>
      <c r="J10702">
        <v>4925</v>
      </c>
      <c r="K10702">
        <v>2018</v>
      </c>
      <c r="L10702">
        <v>13</v>
      </c>
      <c r="M10702">
        <v>3444</v>
      </c>
      <c r="N10702">
        <v>123</v>
      </c>
      <c r="O10702">
        <v>86</v>
      </c>
      <c r="P10702">
        <v>36</v>
      </c>
      <c r="Q10702">
        <v>0</v>
      </c>
    </row>
    <row r="10703" spans="1:17" x14ac:dyDescent="0.2">
      <c r="A10703" s="121">
        <v>42766</v>
      </c>
      <c r="B10703" t="s">
        <v>406</v>
      </c>
      <c r="C10703" t="s">
        <v>491</v>
      </c>
      <c r="D10703" t="s">
        <v>498</v>
      </c>
      <c r="E10703" t="s">
        <v>499</v>
      </c>
      <c r="F10703" t="s">
        <v>413</v>
      </c>
      <c r="G10703">
        <v>7429</v>
      </c>
      <c r="H10703">
        <v>7429</v>
      </c>
      <c r="I10703">
        <v>6458</v>
      </c>
      <c r="J10703">
        <v>6458</v>
      </c>
      <c r="K10703">
        <v>2240</v>
      </c>
      <c r="L10703">
        <v>20</v>
      </c>
      <c r="M10703">
        <v>4767</v>
      </c>
      <c r="N10703">
        <v>141</v>
      </c>
      <c r="O10703">
        <v>261</v>
      </c>
      <c r="P10703">
        <v>82</v>
      </c>
      <c r="Q10703">
        <v>7</v>
      </c>
    </row>
    <row r="10704" spans="1:17" x14ac:dyDescent="0.2">
      <c r="A10704" s="121">
        <v>42766</v>
      </c>
      <c r="B10704" t="s">
        <v>406</v>
      </c>
      <c r="C10704" t="s">
        <v>491</v>
      </c>
      <c r="D10704" t="s">
        <v>500</v>
      </c>
      <c r="E10704" t="s">
        <v>620</v>
      </c>
      <c r="F10704" t="s">
        <v>410</v>
      </c>
      <c r="G10704">
        <v>1516</v>
      </c>
      <c r="H10704">
        <v>1516</v>
      </c>
      <c r="I10704">
        <v>1515</v>
      </c>
      <c r="J10704">
        <v>1515</v>
      </c>
      <c r="K10704">
        <v>0</v>
      </c>
      <c r="L10704">
        <v>0</v>
      </c>
      <c r="M10704">
        <v>1383</v>
      </c>
      <c r="N10704">
        <v>112</v>
      </c>
      <c r="O10704">
        <v>21</v>
      </c>
      <c r="P10704">
        <v>0</v>
      </c>
      <c r="Q10704">
        <v>0</v>
      </c>
    </row>
    <row r="10705" spans="1:17" x14ac:dyDescent="0.2">
      <c r="A10705" s="121">
        <v>42766</v>
      </c>
      <c r="B10705" t="s">
        <v>406</v>
      </c>
      <c r="C10705" t="s">
        <v>491</v>
      </c>
      <c r="D10705" t="s">
        <v>502</v>
      </c>
      <c r="E10705" t="s">
        <v>615</v>
      </c>
      <c r="F10705" t="s">
        <v>410</v>
      </c>
      <c r="G10705">
        <v>2524</v>
      </c>
      <c r="H10705">
        <v>2524</v>
      </c>
      <c r="I10705">
        <v>2524</v>
      </c>
      <c r="J10705">
        <v>2524</v>
      </c>
      <c r="K10705">
        <v>0</v>
      </c>
      <c r="L10705">
        <v>0</v>
      </c>
      <c r="M10705">
        <v>2235</v>
      </c>
      <c r="N10705">
        <v>264</v>
      </c>
      <c r="O10705">
        <v>25</v>
      </c>
      <c r="P10705">
        <v>0</v>
      </c>
      <c r="Q10705">
        <v>0</v>
      </c>
    </row>
    <row r="10706" spans="1:17" x14ac:dyDescent="0.2">
      <c r="A10706" s="121">
        <v>42766</v>
      </c>
      <c r="B10706" t="s">
        <v>406</v>
      </c>
      <c r="C10706" t="s">
        <v>491</v>
      </c>
      <c r="D10706" t="s">
        <v>504</v>
      </c>
      <c r="E10706" t="s">
        <v>630</v>
      </c>
      <c r="F10706" t="s">
        <v>413</v>
      </c>
      <c r="G10706">
        <v>7823</v>
      </c>
      <c r="H10706">
        <v>7823</v>
      </c>
      <c r="I10706">
        <v>6165</v>
      </c>
      <c r="J10706">
        <v>6165</v>
      </c>
      <c r="K10706">
        <v>2468</v>
      </c>
      <c r="L10706">
        <v>16</v>
      </c>
      <c r="M10706">
        <v>4976</v>
      </c>
      <c r="N10706">
        <v>120</v>
      </c>
      <c r="O10706">
        <v>243</v>
      </c>
      <c r="P10706">
        <v>220</v>
      </c>
      <c r="Q10706">
        <v>55</v>
      </c>
    </row>
    <row r="10707" spans="1:17" x14ac:dyDescent="0.2">
      <c r="A10707" s="121">
        <v>42766</v>
      </c>
      <c r="B10707" t="s">
        <v>406</v>
      </c>
      <c r="C10707" t="s">
        <v>491</v>
      </c>
      <c r="D10707" t="s">
        <v>506</v>
      </c>
      <c r="E10707" t="s">
        <v>507</v>
      </c>
      <c r="F10707" t="s">
        <v>413</v>
      </c>
      <c r="G10707">
        <v>4485</v>
      </c>
      <c r="H10707">
        <v>4485</v>
      </c>
      <c r="I10707">
        <v>4461</v>
      </c>
      <c r="J10707">
        <v>4461</v>
      </c>
      <c r="K10707">
        <v>821</v>
      </c>
      <c r="L10707">
        <v>0</v>
      </c>
      <c r="M10707">
        <v>3658</v>
      </c>
      <c r="N10707">
        <v>3</v>
      </c>
      <c r="O10707">
        <v>3</v>
      </c>
      <c r="P10707">
        <v>0</v>
      </c>
      <c r="Q10707">
        <v>0</v>
      </c>
    </row>
    <row r="10708" spans="1:17" x14ac:dyDescent="0.2">
      <c r="A10708" s="121">
        <v>42766</v>
      </c>
      <c r="B10708" t="s">
        <v>406</v>
      </c>
      <c r="C10708" t="s">
        <v>510</v>
      </c>
      <c r="D10708" t="s">
        <v>513</v>
      </c>
      <c r="E10708" t="s">
        <v>514</v>
      </c>
      <c r="F10708" t="s">
        <v>410</v>
      </c>
      <c r="G10708">
        <v>567</v>
      </c>
      <c r="I10708">
        <v>567</v>
      </c>
    </row>
    <row r="10709" spans="1:17" x14ac:dyDescent="0.2">
      <c r="A10709" s="121">
        <v>42766</v>
      </c>
      <c r="B10709" t="s">
        <v>406</v>
      </c>
      <c r="C10709" t="s">
        <v>510</v>
      </c>
      <c r="D10709" t="s">
        <v>515</v>
      </c>
      <c r="E10709" t="s">
        <v>516</v>
      </c>
      <c r="F10709" t="s">
        <v>410</v>
      </c>
      <c r="G10709">
        <v>102</v>
      </c>
      <c r="I10709">
        <v>102</v>
      </c>
    </row>
    <row r="10710" spans="1:17" x14ac:dyDescent="0.2">
      <c r="A10710" s="121">
        <v>42766</v>
      </c>
      <c r="B10710" t="s">
        <v>406</v>
      </c>
      <c r="C10710" t="s">
        <v>510</v>
      </c>
      <c r="D10710" t="s">
        <v>519</v>
      </c>
      <c r="E10710" t="s">
        <v>520</v>
      </c>
      <c r="F10710" t="s">
        <v>410</v>
      </c>
      <c r="G10710">
        <v>362</v>
      </c>
      <c r="I10710">
        <v>358</v>
      </c>
    </row>
    <row r="10711" spans="1:17" x14ac:dyDescent="0.2">
      <c r="A10711" s="121">
        <v>42766</v>
      </c>
      <c r="B10711" t="s">
        <v>406</v>
      </c>
      <c r="C10711" t="s">
        <v>510</v>
      </c>
      <c r="D10711" t="s">
        <v>523</v>
      </c>
      <c r="E10711" t="s">
        <v>524</v>
      </c>
      <c r="F10711" t="s">
        <v>413</v>
      </c>
      <c r="G10711">
        <v>611</v>
      </c>
      <c r="H10711">
        <v>611</v>
      </c>
      <c r="I10711">
        <v>591</v>
      </c>
      <c r="J10711">
        <v>591</v>
      </c>
      <c r="K10711">
        <v>194</v>
      </c>
      <c r="L10711">
        <v>1</v>
      </c>
      <c r="M10711">
        <v>403</v>
      </c>
      <c r="N10711">
        <v>13</v>
      </c>
      <c r="O10711">
        <v>0</v>
      </c>
      <c r="P10711">
        <v>1</v>
      </c>
      <c r="Q10711">
        <v>1</v>
      </c>
    </row>
    <row r="10712" spans="1:17" x14ac:dyDescent="0.2">
      <c r="A10712" s="121">
        <v>42766</v>
      </c>
      <c r="B10712" t="s">
        <v>406</v>
      </c>
      <c r="C10712" t="s">
        <v>510</v>
      </c>
      <c r="D10712" t="s">
        <v>525</v>
      </c>
      <c r="E10712" t="s">
        <v>526</v>
      </c>
      <c r="F10712" t="s">
        <v>410</v>
      </c>
      <c r="G10712">
        <v>442</v>
      </c>
      <c r="I10712">
        <v>441</v>
      </c>
    </row>
    <row r="10713" spans="1:17" x14ac:dyDescent="0.2">
      <c r="A10713" s="121">
        <v>42766</v>
      </c>
      <c r="B10713" t="s">
        <v>406</v>
      </c>
      <c r="C10713" t="s">
        <v>510</v>
      </c>
      <c r="D10713" t="s">
        <v>527</v>
      </c>
      <c r="E10713" t="s">
        <v>528</v>
      </c>
      <c r="F10713" t="s">
        <v>410</v>
      </c>
      <c r="G10713">
        <v>171</v>
      </c>
      <c r="I10713">
        <v>168</v>
      </c>
    </row>
    <row r="10714" spans="1:17" x14ac:dyDescent="0.2">
      <c r="A10714" s="121">
        <v>42766</v>
      </c>
      <c r="B10714" t="s">
        <v>406</v>
      </c>
      <c r="C10714" t="s">
        <v>510</v>
      </c>
      <c r="D10714" t="s">
        <v>529</v>
      </c>
      <c r="E10714" t="s">
        <v>530</v>
      </c>
      <c r="F10714" t="s">
        <v>413</v>
      </c>
      <c r="G10714">
        <v>570</v>
      </c>
      <c r="H10714">
        <v>570</v>
      </c>
      <c r="I10714">
        <v>538</v>
      </c>
      <c r="J10714">
        <v>538</v>
      </c>
      <c r="K10714">
        <v>187</v>
      </c>
      <c r="L10714">
        <v>0</v>
      </c>
      <c r="M10714">
        <v>383</v>
      </c>
      <c r="N10714">
        <v>0</v>
      </c>
      <c r="O10714">
        <v>0</v>
      </c>
      <c r="P10714">
        <v>2</v>
      </c>
      <c r="Q10714">
        <v>1</v>
      </c>
    </row>
    <row r="10715" spans="1:17" x14ac:dyDescent="0.2">
      <c r="A10715" s="121">
        <v>42766</v>
      </c>
      <c r="B10715" t="s">
        <v>406</v>
      </c>
      <c r="C10715" t="s">
        <v>510</v>
      </c>
      <c r="D10715" t="s">
        <v>531</v>
      </c>
      <c r="E10715" t="s">
        <v>532</v>
      </c>
      <c r="F10715" t="s">
        <v>410</v>
      </c>
      <c r="G10715">
        <v>51</v>
      </c>
      <c r="I10715">
        <v>51</v>
      </c>
    </row>
    <row r="10716" spans="1:17" x14ac:dyDescent="0.2">
      <c r="A10716" s="121">
        <v>42766</v>
      </c>
      <c r="B10716" t="s">
        <v>406</v>
      </c>
      <c r="C10716" t="s">
        <v>510</v>
      </c>
      <c r="D10716" t="s">
        <v>533</v>
      </c>
      <c r="E10716" t="s">
        <v>534</v>
      </c>
      <c r="F10716" t="s">
        <v>413</v>
      </c>
      <c r="G10716">
        <v>2625</v>
      </c>
      <c r="H10716">
        <v>2625</v>
      </c>
      <c r="I10716">
        <v>2379</v>
      </c>
      <c r="J10716">
        <v>2379</v>
      </c>
      <c r="K10716">
        <v>792</v>
      </c>
      <c r="L10716">
        <v>4</v>
      </c>
      <c r="M10716">
        <v>1811</v>
      </c>
      <c r="N10716">
        <v>18</v>
      </c>
      <c r="O10716">
        <v>0</v>
      </c>
      <c r="P10716">
        <v>7</v>
      </c>
      <c r="Q10716">
        <v>0</v>
      </c>
    </row>
    <row r="10717" spans="1:17" x14ac:dyDescent="0.2">
      <c r="A10717" s="121">
        <v>42766</v>
      </c>
      <c r="B10717" t="s">
        <v>406</v>
      </c>
      <c r="C10717" t="s">
        <v>510</v>
      </c>
      <c r="D10717" t="s">
        <v>535</v>
      </c>
      <c r="E10717" t="s">
        <v>536</v>
      </c>
      <c r="F10717" t="s">
        <v>410</v>
      </c>
      <c r="G10717">
        <v>478</v>
      </c>
      <c r="I10717">
        <v>478</v>
      </c>
    </row>
    <row r="10718" spans="1:17" x14ac:dyDescent="0.2">
      <c r="A10718" s="121">
        <v>42766</v>
      </c>
      <c r="B10718" t="s">
        <v>406</v>
      </c>
      <c r="C10718" t="s">
        <v>510</v>
      </c>
      <c r="D10718" t="s">
        <v>537</v>
      </c>
      <c r="E10718" t="s">
        <v>538</v>
      </c>
      <c r="F10718" t="s">
        <v>410</v>
      </c>
      <c r="G10718">
        <v>62</v>
      </c>
      <c r="I10718">
        <v>62</v>
      </c>
    </row>
    <row r="10719" spans="1:17" x14ac:dyDescent="0.2">
      <c r="A10719" s="121">
        <v>42766</v>
      </c>
      <c r="B10719" t="s">
        <v>406</v>
      </c>
      <c r="C10719" t="s">
        <v>510</v>
      </c>
      <c r="D10719" t="s">
        <v>539</v>
      </c>
      <c r="E10719" t="s">
        <v>540</v>
      </c>
      <c r="F10719" t="s">
        <v>413</v>
      </c>
      <c r="G10719">
        <v>615</v>
      </c>
      <c r="H10719">
        <v>615</v>
      </c>
      <c r="I10719">
        <v>597</v>
      </c>
      <c r="J10719">
        <v>597</v>
      </c>
      <c r="K10719">
        <v>143</v>
      </c>
      <c r="L10719">
        <v>1</v>
      </c>
      <c r="M10719">
        <v>468</v>
      </c>
      <c r="N10719">
        <v>3</v>
      </c>
      <c r="O10719">
        <v>0</v>
      </c>
      <c r="P10719">
        <v>0</v>
      </c>
      <c r="Q10719">
        <v>0</v>
      </c>
    </row>
    <row r="10720" spans="1:17" x14ac:dyDescent="0.2">
      <c r="A10720" s="121">
        <v>42766</v>
      </c>
      <c r="B10720" t="s">
        <v>406</v>
      </c>
      <c r="C10720" t="s">
        <v>510</v>
      </c>
      <c r="D10720" t="s">
        <v>541</v>
      </c>
      <c r="E10720" t="s">
        <v>542</v>
      </c>
      <c r="F10720" t="s">
        <v>410</v>
      </c>
      <c r="G10720">
        <v>328</v>
      </c>
      <c r="I10720">
        <v>328</v>
      </c>
    </row>
    <row r="10721" spans="1:17" x14ac:dyDescent="0.2">
      <c r="A10721" s="121">
        <v>42766</v>
      </c>
      <c r="B10721" t="s">
        <v>406</v>
      </c>
      <c r="C10721" t="s">
        <v>510</v>
      </c>
      <c r="D10721" t="s">
        <v>543</v>
      </c>
      <c r="E10721" t="s">
        <v>544</v>
      </c>
      <c r="F10721" t="s">
        <v>410</v>
      </c>
      <c r="G10721">
        <v>80</v>
      </c>
      <c r="I10721">
        <v>80</v>
      </c>
    </row>
    <row r="10722" spans="1:17" x14ac:dyDescent="0.2">
      <c r="A10722" s="121">
        <v>42766</v>
      </c>
      <c r="B10722" t="s">
        <v>406</v>
      </c>
      <c r="C10722" t="s">
        <v>510</v>
      </c>
      <c r="D10722" t="s">
        <v>545</v>
      </c>
      <c r="E10722" t="s">
        <v>546</v>
      </c>
      <c r="F10722" t="s">
        <v>410</v>
      </c>
      <c r="G10722">
        <v>81</v>
      </c>
      <c r="I10722">
        <v>81</v>
      </c>
    </row>
    <row r="10723" spans="1:17" x14ac:dyDescent="0.2">
      <c r="A10723" s="121">
        <v>42766</v>
      </c>
      <c r="B10723" t="s">
        <v>406</v>
      </c>
      <c r="C10723" t="s">
        <v>510</v>
      </c>
      <c r="D10723" t="s">
        <v>547</v>
      </c>
      <c r="E10723" t="s">
        <v>548</v>
      </c>
      <c r="F10723" t="s">
        <v>410</v>
      </c>
      <c r="G10723">
        <v>99</v>
      </c>
      <c r="I10723">
        <v>99</v>
      </c>
    </row>
    <row r="10724" spans="1:17" x14ac:dyDescent="0.2">
      <c r="A10724" s="121">
        <v>42766</v>
      </c>
      <c r="B10724" t="s">
        <v>406</v>
      </c>
      <c r="C10724" t="s">
        <v>510</v>
      </c>
      <c r="D10724" t="s">
        <v>616</v>
      </c>
      <c r="E10724" t="s">
        <v>617</v>
      </c>
      <c r="F10724" t="s">
        <v>410</v>
      </c>
      <c r="G10724">
        <v>392</v>
      </c>
      <c r="I10724">
        <v>382</v>
      </c>
    </row>
    <row r="10725" spans="1:17" x14ac:dyDescent="0.2">
      <c r="A10725" s="121">
        <v>42766</v>
      </c>
      <c r="B10725" t="s">
        <v>406</v>
      </c>
      <c r="C10725" t="s">
        <v>510</v>
      </c>
      <c r="D10725" t="s">
        <v>549</v>
      </c>
      <c r="E10725" t="s">
        <v>550</v>
      </c>
      <c r="F10725" t="s">
        <v>410</v>
      </c>
      <c r="G10725">
        <v>126</v>
      </c>
      <c r="I10725">
        <v>122</v>
      </c>
    </row>
    <row r="10726" spans="1:17" x14ac:dyDescent="0.2">
      <c r="A10726" s="121">
        <v>42766</v>
      </c>
      <c r="B10726" t="s">
        <v>406</v>
      </c>
      <c r="C10726" t="s">
        <v>510</v>
      </c>
      <c r="D10726" t="s">
        <v>625</v>
      </c>
      <c r="E10726" t="s">
        <v>626</v>
      </c>
      <c r="F10726" t="s">
        <v>410</v>
      </c>
      <c r="G10726">
        <v>126</v>
      </c>
      <c r="I10726">
        <v>122</v>
      </c>
    </row>
    <row r="10727" spans="1:17" x14ac:dyDescent="0.2">
      <c r="A10727" s="121">
        <v>42766</v>
      </c>
      <c r="B10727" t="s">
        <v>406</v>
      </c>
      <c r="C10727" t="s">
        <v>551</v>
      </c>
      <c r="D10727" t="s">
        <v>552</v>
      </c>
      <c r="E10727" t="s">
        <v>553</v>
      </c>
      <c r="F10727" t="s">
        <v>413</v>
      </c>
      <c r="G10727">
        <v>5566</v>
      </c>
      <c r="H10727">
        <v>5566</v>
      </c>
      <c r="I10727">
        <v>5326</v>
      </c>
      <c r="J10727">
        <v>5326</v>
      </c>
      <c r="K10727">
        <v>1892</v>
      </c>
      <c r="L10727">
        <v>12</v>
      </c>
      <c r="M10727">
        <v>3521</v>
      </c>
      <c r="N10727">
        <v>94</v>
      </c>
      <c r="O10727">
        <v>47</v>
      </c>
      <c r="P10727">
        <v>6</v>
      </c>
      <c r="Q10727">
        <v>1</v>
      </c>
    </row>
    <row r="10728" spans="1:17" x14ac:dyDescent="0.2">
      <c r="A10728" s="121">
        <v>42766</v>
      </c>
      <c r="B10728" t="s">
        <v>406</v>
      </c>
      <c r="C10728" t="s">
        <v>551</v>
      </c>
      <c r="D10728" t="s">
        <v>554</v>
      </c>
      <c r="E10728" t="s">
        <v>555</v>
      </c>
      <c r="F10728" t="s">
        <v>410</v>
      </c>
      <c r="G10728">
        <v>65</v>
      </c>
      <c r="I10728">
        <v>65</v>
      </c>
    </row>
    <row r="10729" spans="1:17" x14ac:dyDescent="0.2">
      <c r="A10729" s="121">
        <v>42766</v>
      </c>
      <c r="B10729" t="s">
        <v>406</v>
      </c>
      <c r="C10729" t="s">
        <v>551</v>
      </c>
      <c r="D10729" t="s">
        <v>556</v>
      </c>
      <c r="E10729" t="s">
        <v>557</v>
      </c>
      <c r="F10729" t="s">
        <v>410</v>
      </c>
      <c r="G10729">
        <v>78</v>
      </c>
      <c r="I10729">
        <v>78</v>
      </c>
    </row>
    <row r="10730" spans="1:17" x14ac:dyDescent="0.2">
      <c r="A10730" s="121">
        <v>42766</v>
      </c>
      <c r="B10730" t="s">
        <v>406</v>
      </c>
      <c r="C10730" t="s">
        <v>551</v>
      </c>
      <c r="D10730" t="s">
        <v>558</v>
      </c>
      <c r="E10730" t="s">
        <v>559</v>
      </c>
      <c r="F10730" t="s">
        <v>413</v>
      </c>
      <c r="G10730">
        <v>5186</v>
      </c>
      <c r="H10730">
        <v>5186</v>
      </c>
      <c r="I10730">
        <v>4406</v>
      </c>
      <c r="J10730">
        <v>4406</v>
      </c>
      <c r="K10730">
        <v>1650</v>
      </c>
      <c r="L10730">
        <v>2</v>
      </c>
      <c r="M10730">
        <v>3448</v>
      </c>
      <c r="N10730">
        <v>73</v>
      </c>
      <c r="O10730">
        <v>13</v>
      </c>
      <c r="P10730">
        <v>177</v>
      </c>
      <c r="Q10730">
        <v>54</v>
      </c>
    </row>
    <row r="10731" spans="1:17" x14ac:dyDescent="0.2">
      <c r="A10731" s="121">
        <v>42766</v>
      </c>
      <c r="B10731" t="s">
        <v>406</v>
      </c>
      <c r="C10731" t="s">
        <v>551</v>
      </c>
      <c r="D10731" t="s">
        <v>560</v>
      </c>
      <c r="E10731" t="s">
        <v>561</v>
      </c>
      <c r="F10731" t="s">
        <v>413</v>
      </c>
      <c r="G10731">
        <v>5300</v>
      </c>
      <c r="H10731">
        <v>5300</v>
      </c>
      <c r="I10731">
        <v>4572</v>
      </c>
      <c r="J10731">
        <v>4572</v>
      </c>
      <c r="K10731">
        <v>1431</v>
      </c>
      <c r="L10731">
        <v>6</v>
      </c>
      <c r="M10731">
        <v>3736</v>
      </c>
      <c r="N10731">
        <v>65</v>
      </c>
      <c r="O10731">
        <v>62</v>
      </c>
      <c r="P10731">
        <v>132</v>
      </c>
      <c r="Q10731">
        <v>35</v>
      </c>
    </row>
    <row r="10732" spans="1:17" x14ac:dyDescent="0.2">
      <c r="A10732" s="121">
        <v>42766</v>
      </c>
      <c r="B10732" t="s">
        <v>406</v>
      </c>
      <c r="C10732" t="s">
        <v>562</v>
      </c>
      <c r="D10732" t="s">
        <v>605</v>
      </c>
      <c r="E10732" t="s">
        <v>606</v>
      </c>
      <c r="F10732" t="s">
        <v>410</v>
      </c>
      <c r="G10732">
        <v>121</v>
      </c>
      <c r="I10732">
        <v>121</v>
      </c>
    </row>
    <row r="10733" spans="1:17" x14ac:dyDescent="0.2">
      <c r="A10733" s="121">
        <v>42766</v>
      </c>
      <c r="B10733" t="s">
        <v>406</v>
      </c>
      <c r="C10733" t="s">
        <v>562</v>
      </c>
      <c r="D10733" t="s">
        <v>563</v>
      </c>
      <c r="E10733" t="s">
        <v>564</v>
      </c>
      <c r="F10733" t="s">
        <v>410</v>
      </c>
      <c r="G10733">
        <v>3763</v>
      </c>
      <c r="H10733">
        <v>3763</v>
      </c>
      <c r="I10733">
        <v>3191</v>
      </c>
      <c r="J10733">
        <v>3191</v>
      </c>
      <c r="K10733">
        <v>1090</v>
      </c>
      <c r="L10733">
        <v>1</v>
      </c>
      <c r="M10733">
        <v>2655</v>
      </c>
      <c r="N10733">
        <v>17</v>
      </c>
      <c r="O10733">
        <v>0</v>
      </c>
      <c r="P10733">
        <v>216</v>
      </c>
      <c r="Q10733">
        <v>124</v>
      </c>
    </row>
    <row r="10734" spans="1:17" x14ac:dyDescent="0.2">
      <c r="A10734" s="121">
        <v>42766</v>
      </c>
      <c r="B10734" t="s">
        <v>406</v>
      </c>
      <c r="C10734" t="s">
        <v>562</v>
      </c>
      <c r="D10734" t="s">
        <v>565</v>
      </c>
      <c r="E10734" t="s">
        <v>566</v>
      </c>
      <c r="F10734" t="s">
        <v>413</v>
      </c>
      <c r="G10734">
        <v>4505</v>
      </c>
      <c r="H10734">
        <v>4505</v>
      </c>
      <c r="I10734">
        <v>4237</v>
      </c>
      <c r="J10734">
        <v>4237</v>
      </c>
      <c r="K10734">
        <v>1021</v>
      </c>
      <c r="L10734">
        <v>6</v>
      </c>
      <c r="M10734">
        <v>3399</v>
      </c>
      <c r="N10734">
        <v>79</v>
      </c>
      <c r="O10734">
        <v>0</v>
      </c>
      <c r="P10734">
        <v>26</v>
      </c>
      <c r="Q10734">
        <v>1</v>
      </c>
    </row>
    <row r="10735" spans="1:17" x14ac:dyDescent="0.2">
      <c r="A10735" s="121">
        <v>42766</v>
      </c>
      <c r="B10735" t="s">
        <v>406</v>
      </c>
      <c r="C10735" t="s">
        <v>562</v>
      </c>
      <c r="D10735" t="s">
        <v>567</v>
      </c>
      <c r="E10735" t="s">
        <v>568</v>
      </c>
      <c r="F10735" t="s">
        <v>413</v>
      </c>
      <c r="G10735">
        <v>9688</v>
      </c>
      <c r="H10735">
        <v>9688</v>
      </c>
      <c r="I10735">
        <v>9030</v>
      </c>
      <c r="J10735">
        <v>9030</v>
      </c>
      <c r="K10735">
        <v>2813</v>
      </c>
      <c r="L10735">
        <v>8</v>
      </c>
      <c r="M10735">
        <v>6729</v>
      </c>
      <c r="N10735">
        <v>138</v>
      </c>
      <c r="O10735">
        <v>0</v>
      </c>
      <c r="P10735">
        <v>147</v>
      </c>
      <c r="Q10735">
        <v>28</v>
      </c>
    </row>
    <row r="10736" spans="1:17" x14ac:dyDescent="0.2">
      <c r="A10736" s="121">
        <v>42766</v>
      </c>
      <c r="B10736" t="s">
        <v>406</v>
      </c>
      <c r="C10736" t="s">
        <v>562</v>
      </c>
      <c r="D10736" t="s">
        <v>569</v>
      </c>
      <c r="E10736" t="s">
        <v>570</v>
      </c>
      <c r="F10736" t="s">
        <v>413</v>
      </c>
      <c r="G10736">
        <v>3670</v>
      </c>
      <c r="H10736">
        <v>3670</v>
      </c>
      <c r="I10736">
        <v>3605</v>
      </c>
      <c r="J10736">
        <v>3605</v>
      </c>
      <c r="K10736">
        <v>470</v>
      </c>
      <c r="L10736">
        <v>0</v>
      </c>
      <c r="M10736">
        <v>3023</v>
      </c>
      <c r="N10736">
        <v>177</v>
      </c>
      <c r="O10736">
        <v>0</v>
      </c>
      <c r="P10736">
        <v>2</v>
      </c>
      <c r="Q10736">
        <v>0</v>
      </c>
    </row>
    <row r="10737" spans="1:17" x14ac:dyDescent="0.2">
      <c r="A10737" s="121">
        <v>42766</v>
      </c>
      <c r="B10737" t="s">
        <v>406</v>
      </c>
      <c r="C10737" t="s">
        <v>571</v>
      </c>
      <c r="D10737" t="s">
        <v>572</v>
      </c>
      <c r="E10737" t="s">
        <v>627</v>
      </c>
      <c r="F10737" t="s">
        <v>413</v>
      </c>
      <c r="G10737">
        <v>431</v>
      </c>
      <c r="H10737">
        <v>431</v>
      </c>
      <c r="I10737">
        <v>422</v>
      </c>
      <c r="J10737">
        <v>422</v>
      </c>
      <c r="K10737">
        <v>119</v>
      </c>
      <c r="L10737">
        <v>1</v>
      </c>
      <c r="M10737">
        <v>309</v>
      </c>
      <c r="N10737">
        <v>1</v>
      </c>
      <c r="O10737">
        <v>1</v>
      </c>
      <c r="P10737">
        <v>0</v>
      </c>
      <c r="Q10737">
        <v>0</v>
      </c>
    </row>
    <row r="10738" spans="1:17" x14ac:dyDescent="0.2">
      <c r="A10738" s="121">
        <v>42766</v>
      </c>
      <c r="B10738" t="s">
        <v>406</v>
      </c>
      <c r="C10738" t="s">
        <v>574</v>
      </c>
      <c r="D10738" t="s">
        <v>575</v>
      </c>
      <c r="E10738" t="s">
        <v>576</v>
      </c>
      <c r="F10738" t="s">
        <v>413</v>
      </c>
      <c r="G10738">
        <v>557</v>
      </c>
      <c r="H10738">
        <v>557</v>
      </c>
      <c r="I10738">
        <v>538</v>
      </c>
      <c r="J10738">
        <v>538</v>
      </c>
      <c r="K10738">
        <v>144</v>
      </c>
      <c r="L10738">
        <v>1</v>
      </c>
      <c r="M10738">
        <v>405</v>
      </c>
      <c r="N10738">
        <v>0</v>
      </c>
      <c r="O10738">
        <v>7</v>
      </c>
      <c r="P10738">
        <v>0</v>
      </c>
      <c r="Q10738">
        <v>0</v>
      </c>
    </row>
    <row r="10739" spans="1:17" x14ac:dyDescent="0.2">
      <c r="A10739" s="121">
        <v>42766</v>
      </c>
      <c r="B10739" t="s">
        <v>406</v>
      </c>
      <c r="C10739" t="s">
        <v>577</v>
      </c>
      <c r="D10739" t="s">
        <v>578</v>
      </c>
      <c r="E10739" t="s">
        <v>579</v>
      </c>
      <c r="F10739" t="s">
        <v>413</v>
      </c>
      <c r="G10739">
        <v>3737</v>
      </c>
      <c r="H10739">
        <v>3737</v>
      </c>
      <c r="I10739">
        <v>3650</v>
      </c>
      <c r="J10739">
        <v>3650</v>
      </c>
      <c r="K10739">
        <v>1255</v>
      </c>
      <c r="L10739">
        <v>16</v>
      </c>
      <c r="M10739">
        <v>2261</v>
      </c>
      <c r="N10739">
        <v>205</v>
      </c>
      <c r="O10739">
        <v>0</v>
      </c>
      <c r="P10739">
        <v>0</v>
      </c>
      <c r="Q10739">
        <v>0</v>
      </c>
    </row>
    <row r="10740" spans="1:17" x14ac:dyDescent="0.2">
      <c r="A10740" s="121">
        <v>42766</v>
      </c>
      <c r="B10740" t="s">
        <v>406</v>
      </c>
      <c r="C10740" t="s">
        <v>577</v>
      </c>
      <c r="D10740" t="s">
        <v>580</v>
      </c>
      <c r="E10740" t="s">
        <v>581</v>
      </c>
      <c r="F10740" t="s">
        <v>413</v>
      </c>
      <c r="G10740">
        <v>1866</v>
      </c>
      <c r="H10740">
        <v>1866</v>
      </c>
      <c r="I10740">
        <v>1826</v>
      </c>
      <c r="J10740">
        <v>1826</v>
      </c>
      <c r="K10740">
        <v>392</v>
      </c>
      <c r="L10740">
        <v>1</v>
      </c>
      <c r="M10740">
        <v>1179</v>
      </c>
      <c r="N10740">
        <v>280</v>
      </c>
      <c r="O10740">
        <v>14</v>
      </c>
      <c r="P10740">
        <v>1</v>
      </c>
      <c r="Q10740">
        <v>0</v>
      </c>
    </row>
    <row r="10741" spans="1:17" x14ac:dyDescent="0.2">
      <c r="A10741" s="121">
        <v>42766</v>
      </c>
      <c r="B10741" t="s">
        <v>406</v>
      </c>
      <c r="C10741" t="s">
        <v>577</v>
      </c>
      <c r="D10741" t="s">
        <v>609</v>
      </c>
      <c r="E10741" t="s">
        <v>610</v>
      </c>
      <c r="F10741" t="s">
        <v>410</v>
      </c>
      <c r="G10741">
        <v>25</v>
      </c>
      <c r="H10741">
        <v>25</v>
      </c>
      <c r="I10741">
        <v>25</v>
      </c>
      <c r="J10741">
        <v>25</v>
      </c>
      <c r="K10741">
        <v>0</v>
      </c>
      <c r="L10741">
        <v>0</v>
      </c>
      <c r="M10741">
        <v>22</v>
      </c>
      <c r="N10741">
        <v>3</v>
      </c>
      <c r="O10741">
        <v>0</v>
      </c>
      <c r="P10741">
        <v>0</v>
      </c>
      <c r="Q10741">
        <v>0</v>
      </c>
    </row>
    <row r="10742" spans="1:17" x14ac:dyDescent="0.2">
      <c r="A10742" s="121">
        <v>42766</v>
      </c>
      <c r="B10742" t="s">
        <v>406</v>
      </c>
      <c r="C10742" t="s">
        <v>577</v>
      </c>
      <c r="D10742" t="s">
        <v>584</v>
      </c>
      <c r="E10742" t="s">
        <v>585</v>
      </c>
      <c r="F10742" t="s">
        <v>410</v>
      </c>
      <c r="G10742">
        <v>224</v>
      </c>
      <c r="H10742">
        <v>224</v>
      </c>
      <c r="I10742">
        <v>224</v>
      </c>
      <c r="J10742">
        <v>224</v>
      </c>
      <c r="K10742">
        <v>0</v>
      </c>
      <c r="L10742">
        <v>0</v>
      </c>
      <c r="M10742">
        <v>203</v>
      </c>
      <c r="N10742">
        <v>17</v>
      </c>
      <c r="O10742">
        <v>4</v>
      </c>
      <c r="P10742">
        <v>0</v>
      </c>
      <c r="Q10742">
        <v>0</v>
      </c>
    </row>
    <row r="10743" spans="1:17" x14ac:dyDescent="0.2">
      <c r="A10743" s="121">
        <v>42766</v>
      </c>
      <c r="B10743" t="s">
        <v>406</v>
      </c>
      <c r="C10743" t="s">
        <v>577</v>
      </c>
      <c r="D10743" t="s">
        <v>586</v>
      </c>
      <c r="E10743" t="s">
        <v>587</v>
      </c>
      <c r="F10743" t="s">
        <v>410</v>
      </c>
      <c r="G10743">
        <v>1090</v>
      </c>
      <c r="H10743">
        <v>1090</v>
      </c>
      <c r="I10743">
        <v>1090</v>
      </c>
      <c r="J10743">
        <v>1090</v>
      </c>
      <c r="K10743">
        <v>0</v>
      </c>
      <c r="L10743">
        <v>0</v>
      </c>
      <c r="M10743">
        <v>985</v>
      </c>
      <c r="N10743">
        <v>101</v>
      </c>
      <c r="O10743">
        <v>4</v>
      </c>
      <c r="P10743">
        <v>0</v>
      </c>
      <c r="Q10743">
        <v>0</v>
      </c>
    </row>
    <row r="10744" spans="1:17" x14ac:dyDescent="0.2">
      <c r="A10744" s="121">
        <v>42766</v>
      </c>
      <c r="B10744" t="s">
        <v>406</v>
      </c>
      <c r="C10744" t="s">
        <v>577</v>
      </c>
      <c r="D10744" t="s">
        <v>588</v>
      </c>
      <c r="E10744" t="s">
        <v>589</v>
      </c>
      <c r="F10744" t="s">
        <v>410</v>
      </c>
      <c r="G10744">
        <v>170</v>
      </c>
      <c r="H10744">
        <v>170</v>
      </c>
      <c r="I10744">
        <v>170</v>
      </c>
      <c r="J10744">
        <v>170</v>
      </c>
      <c r="K10744">
        <v>0</v>
      </c>
      <c r="L10744">
        <v>0</v>
      </c>
      <c r="M10744">
        <v>163</v>
      </c>
      <c r="N10744">
        <v>7</v>
      </c>
      <c r="O10744">
        <v>0</v>
      </c>
      <c r="P10744">
        <v>0</v>
      </c>
      <c r="Q10744">
        <v>0</v>
      </c>
    </row>
    <row r="10745" spans="1:17" x14ac:dyDescent="0.2">
      <c r="A10745" s="121">
        <v>42766</v>
      </c>
      <c r="B10745" t="s">
        <v>406</v>
      </c>
      <c r="C10745" t="s">
        <v>577</v>
      </c>
      <c r="D10745" t="s">
        <v>613</v>
      </c>
      <c r="E10745" t="s">
        <v>614</v>
      </c>
      <c r="F10745" t="s">
        <v>410</v>
      </c>
      <c r="G10745">
        <v>96</v>
      </c>
      <c r="H10745">
        <v>96</v>
      </c>
      <c r="I10745">
        <v>96</v>
      </c>
      <c r="J10745">
        <v>96</v>
      </c>
      <c r="K10745">
        <v>0</v>
      </c>
      <c r="L10745">
        <v>0</v>
      </c>
      <c r="M10745">
        <v>88</v>
      </c>
      <c r="N10745">
        <v>7</v>
      </c>
      <c r="O10745">
        <v>1</v>
      </c>
      <c r="P10745">
        <v>0</v>
      </c>
      <c r="Q10745">
        <v>0</v>
      </c>
    </row>
    <row r="10746" spans="1:17" x14ac:dyDescent="0.2">
      <c r="A10746" s="121">
        <v>42766</v>
      </c>
      <c r="B10746" t="s">
        <v>406</v>
      </c>
      <c r="C10746" t="s">
        <v>577</v>
      </c>
      <c r="D10746" t="s">
        <v>590</v>
      </c>
      <c r="E10746" t="s">
        <v>591</v>
      </c>
      <c r="F10746" t="s">
        <v>410</v>
      </c>
      <c r="G10746">
        <v>468</v>
      </c>
      <c r="H10746">
        <v>468</v>
      </c>
      <c r="I10746">
        <v>468</v>
      </c>
      <c r="J10746">
        <v>468</v>
      </c>
      <c r="K10746">
        <v>0</v>
      </c>
      <c r="L10746">
        <v>0</v>
      </c>
      <c r="M10746">
        <v>433</v>
      </c>
      <c r="N10746">
        <v>34</v>
      </c>
      <c r="O10746">
        <v>1</v>
      </c>
      <c r="P10746">
        <v>0</v>
      </c>
      <c r="Q10746">
        <v>0</v>
      </c>
    </row>
    <row r="10747" spans="1:17" x14ac:dyDescent="0.2">
      <c r="A10747" s="121">
        <v>42766</v>
      </c>
      <c r="B10747" t="s">
        <v>406</v>
      </c>
      <c r="C10747" t="s">
        <v>577</v>
      </c>
      <c r="D10747" t="s">
        <v>607</v>
      </c>
      <c r="E10747" t="s">
        <v>608</v>
      </c>
      <c r="F10747" t="s">
        <v>410</v>
      </c>
      <c r="G10747">
        <v>132</v>
      </c>
      <c r="H10747">
        <v>132</v>
      </c>
      <c r="I10747">
        <v>132</v>
      </c>
      <c r="J10747">
        <v>132</v>
      </c>
      <c r="K10747">
        <v>0</v>
      </c>
      <c r="L10747">
        <v>0</v>
      </c>
      <c r="M10747">
        <v>126</v>
      </c>
      <c r="N10747">
        <v>6</v>
      </c>
      <c r="O10747">
        <v>0</v>
      </c>
      <c r="P10747">
        <v>0</v>
      </c>
      <c r="Q10747">
        <v>0</v>
      </c>
    </row>
    <row r="10748" spans="1:17" x14ac:dyDescent="0.2">
      <c r="A10748" s="121">
        <v>42766</v>
      </c>
      <c r="B10748" t="s">
        <v>406</v>
      </c>
      <c r="C10748" t="s">
        <v>577</v>
      </c>
      <c r="D10748" t="s">
        <v>592</v>
      </c>
      <c r="E10748" t="s">
        <v>593</v>
      </c>
      <c r="F10748" t="s">
        <v>410</v>
      </c>
      <c r="G10748">
        <v>383</v>
      </c>
      <c r="H10748">
        <v>383</v>
      </c>
      <c r="I10748">
        <v>383</v>
      </c>
      <c r="J10748">
        <v>383</v>
      </c>
      <c r="K10748">
        <v>0</v>
      </c>
      <c r="L10748">
        <v>0</v>
      </c>
      <c r="M10748">
        <v>355</v>
      </c>
      <c r="N10748">
        <v>26</v>
      </c>
      <c r="O10748">
        <v>2</v>
      </c>
      <c r="P10748">
        <v>0</v>
      </c>
      <c r="Q10748">
        <v>0</v>
      </c>
    </row>
    <row r="10749" spans="1:17" x14ac:dyDescent="0.2">
      <c r="A10749" s="121">
        <v>42766</v>
      </c>
      <c r="B10749" t="s">
        <v>406</v>
      </c>
      <c r="C10749" t="s">
        <v>594</v>
      </c>
      <c r="D10749" t="s">
        <v>595</v>
      </c>
      <c r="E10749" t="s">
        <v>596</v>
      </c>
      <c r="F10749" t="s">
        <v>410</v>
      </c>
      <c r="G10749">
        <v>33</v>
      </c>
      <c r="I10749">
        <v>33</v>
      </c>
    </row>
    <row r="10750" spans="1:17" x14ac:dyDescent="0.2">
      <c r="A10750" s="121">
        <v>42766</v>
      </c>
      <c r="B10750" t="s">
        <v>406</v>
      </c>
      <c r="C10750" t="s">
        <v>594</v>
      </c>
      <c r="D10750" t="s">
        <v>597</v>
      </c>
      <c r="E10750" t="s">
        <v>598</v>
      </c>
      <c r="F10750" t="s">
        <v>413</v>
      </c>
      <c r="G10750">
        <v>457</v>
      </c>
      <c r="H10750">
        <v>457</v>
      </c>
      <c r="I10750">
        <v>452</v>
      </c>
      <c r="J10750">
        <v>452</v>
      </c>
      <c r="K10750">
        <v>110</v>
      </c>
      <c r="L10750">
        <v>0</v>
      </c>
      <c r="M10750">
        <v>333</v>
      </c>
      <c r="N10750">
        <v>6</v>
      </c>
      <c r="O10750">
        <v>8</v>
      </c>
      <c r="P10750">
        <v>0</v>
      </c>
      <c r="Q10750">
        <v>0</v>
      </c>
    </row>
    <row r="10751" spans="1:17" x14ac:dyDescent="0.2">
      <c r="A10751" s="121">
        <v>42766</v>
      </c>
      <c r="B10751" t="s">
        <v>406</v>
      </c>
      <c r="C10751" t="s">
        <v>594</v>
      </c>
      <c r="D10751" t="s">
        <v>599</v>
      </c>
      <c r="E10751" t="s">
        <v>600</v>
      </c>
      <c r="F10751" t="s">
        <v>410</v>
      </c>
      <c r="G10751">
        <v>142</v>
      </c>
      <c r="H10751">
        <v>142</v>
      </c>
      <c r="I10751">
        <v>140</v>
      </c>
      <c r="J10751">
        <v>140</v>
      </c>
      <c r="K10751">
        <v>14</v>
      </c>
      <c r="L10751">
        <v>0</v>
      </c>
      <c r="M10751">
        <v>126</v>
      </c>
      <c r="N10751">
        <v>2</v>
      </c>
      <c r="O10751">
        <v>0</v>
      </c>
      <c r="P10751">
        <v>0</v>
      </c>
      <c r="Q10751">
        <v>0</v>
      </c>
    </row>
    <row r="10752" spans="1:17" x14ac:dyDescent="0.2">
      <c r="A10752" s="121">
        <v>42794</v>
      </c>
      <c r="B10752" t="s">
        <v>406</v>
      </c>
      <c r="C10752" t="s">
        <v>407</v>
      </c>
      <c r="D10752" t="s">
        <v>408</v>
      </c>
      <c r="E10752" t="s">
        <v>409</v>
      </c>
      <c r="F10752" t="s">
        <v>410</v>
      </c>
      <c r="G10752">
        <v>188</v>
      </c>
      <c r="I10752">
        <v>186</v>
      </c>
    </row>
    <row r="10753" spans="1:17" x14ac:dyDescent="0.2">
      <c r="A10753" s="121">
        <v>42794</v>
      </c>
      <c r="B10753" t="s">
        <v>406</v>
      </c>
      <c r="C10753" t="s">
        <v>407</v>
      </c>
      <c r="D10753" t="s">
        <v>601</v>
      </c>
      <c r="E10753" t="s">
        <v>602</v>
      </c>
      <c r="F10753" t="s">
        <v>410</v>
      </c>
      <c r="G10753">
        <v>69</v>
      </c>
      <c r="I10753">
        <v>68</v>
      </c>
    </row>
    <row r="10754" spans="1:17" x14ac:dyDescent="0.2">
      <c r="A10754" s="121">
        <v>42794</v>
      </c>
      <c r="B10754" t="s">
        <v>406</v>
      </c>
      <c r="C10754" t="s">
        <v>407</v>
      </c>
      <c r="D10754" t="s">
        <v>411</v>
      </c>
      <c r="E10754" t="s">
        <v>412</v>
      </c>
      <c r="F10754" t="s">
        <v>413</v>
      </c>
      <c r="G10754">
        <v>5104</v>
      </c>
      <c r="H10754">
        <v>5104</v>
      </c>
      <c r="I10754">
        <v>4676</v>
      </c>
      <c r="J10754">
        <v>4676</v>
      </c>
      <c r="K10754">
        <v>1873</v>
      </c>
      <c r="L10754">
        <v>5</v>
      </c>
      <c r="M10754">
        <v>2936</v>
      </c>
      <c r="N10754">
        <v>102</v>
      </c>
      <c r="O10754">
        <v>188</v>
      </c>
      <c r="P10754">
        <v>86</v>
      </c>
      <c r="Q10754">
        <v>28</v>
      </c>
    </row>
    <row r="10755" spans="1:17" x14ac:dyDescent="0.2">
      <c r="A10755" s="121">
        <v>42794</v>
      </c>
      <c r="B10755" t="s">
        <v>406</v>
      </c>
      <c r="C10755" t="s">
        <v>407</v>
      </c>
      <c r="D10755" t="s">
        <v>416</v>
      </c>
      <c r="E10755" t="s">
        <v>417</v>
      </c>
      <c r="F10755" t="s">
        <v>413</v>
      </c>
      <c r="G10755">
        <v>3253</v>
      </c>
      <c r="H10755">
        <v>3253</v>
      </c>
      <c r="I10755">
        <v>2912</v>
      </c>
      <c r="J10755">
        <v>2912</v>
      </c>
      <c r="K10755">
        <v>1364</v>
      </c>
      <c r="L10755">
        <v>5</v>
      </c>
      <c r="M10755">
        <v>1686</v>
      </c>
      <c r="N10755">
        <v>102</v>
      </c>
      <c r="O10755">
        <v>96</v>
      </c>
      <c r="P10755">
        <v>51</v>
      </c>
      <c r="Q10755">
        <v>6</v>
      </c>
    </row>
    <row r="10756" spans="1:17" x14ac:dyDescent="0.2">
      <c r="A10756" s="121">
        <v>42794</v>
      </c>
      <c r="B10756" t="s">
        <v>406</v>
      </c>
      <c r="C10756" t="s">
        <v>407</v>
      </c>
      <c r="D10756" t="s">
        <v>618</v>
      </c>
      <c r="E10756" t="s">
        <v>619</v>
      </c>
      <c r="F10756" t="s">
        <v>410</v>
      </c>
      <c r="G10756">
        <v>51</v>
      </c>
      <c r="I10756">
        <v>51</v>
      </c>
    </row>
    <row r="10757" spans="1:17" x14ac:dyDescent="0.2">
      <c r="A10757" s="121">
        <v>42794</v>
      </c>
      <c r="B10757" t="s">
        <v>406</v>
      </c>
      <c r="C10757" t="s">
        <v>418</v>
      </c>
      <c r="D10757" t="s">
        <v>419</v>
      </c>
      <c r="E10757" t="s">
        <v>420</v>
      </c>
      <c r="F10757" t="s">
        <v>410</v>
      </c>
      <c r="G10757">
        <v>13</v>
      </c>
      <c r="I10757">
        <v>13</v>
      </c>
    </row>
    <row r="10758" spans="1:17" x14ac:dyDescent="0.2">
      <c r="A10758" s="121">
        <v>42794</v>
      </c>
      <c r="B10758" t="s">
        <v>406</v>
      </c>
      <c r="C10758" t="s">
        <v>418</v>
      </c>
      <c r="D10758" t="s">
        <v>421</v>
      </c>
      <c r="E10758" t="s">
        <v>422</v>
      </c>
      <c r="F10758" t="s">
        <v>410</v>
      </c>
      <c r="G10758">
        <v>52</v>
      </c>
      <c r="I10758">
        <v>52</v>
      </c>
    </row>
    <row r="10759" spans="1:17" x14ac:dyDescent="0.2">
      <c r="A10759" s="121">
        <v>42794</v>
      </c>
      <c r="B10759" t="s">
        <v>406</v>
      </c>
      <c r="C10759" t="s">
        <v>418</v>
      </c>
      <c r="D10759" t="s">
        <v>423</v>
      </c>
      <c r="E10759" t="s">
        <v>424</v>
      </c>
      <c r="F10759" t="s">
        <v>410</v>
      </c>
      <c r="G10759">
        <v>5</v>
      </c>
      <c r="I10759">
        <v>5</v>
      </c>
    </row>
    <row r="10760" spans="1:17" x14ac:dyDescent="0.2">
      <c r="A10760" s="121">
        <v>42794</v>
      </c>
      <c r="B10760" t="s">
        <v>406</v>
      </c>
      <c r="C10760" t="s">
        <v>418</v>
      </c>
      <c r="D10760" t="s">
        <v>425</v>
      </c>
      <c r="E10760" t="s">
        <v>426</v>
      </c>
      <c r="F10760" t="s">
        <v>410</v>
      </c>
      <c r="G10760">
        <v>28</v>
      </c>
      <c r="I10760">
        <v>28</v>
      </c>
    </row>
    <row r="10761" spans="1:17" x14ac:dyDescent="0.2">
      <c r="A10761" s="121">
        <v>42794</v>
      </c>
      <c r="B10761" t="s">
        <v>406</v>
      </c>
      <c r="C10761" t="s">
        <v>418</v>
      </c>
      <c r="D10761" t="s">
        <v>427</v>
      </c>
      <c r="E10761" t="s">
        <v>428</v>
      </c>
      <c r="F10761" t="s">
        <v>413</v>
      </c>
      <c r="G10761">
        <v>2079</v>
      </c>
      <c r="H10761">
        <v>2079</v>
      </c>
      <c r="I10761">
        <v>1989</v>
      </c>
      <c r="J10761">
        <v>1989</v>
      </c>
      <c r="K10761">
        <v>773</v>
      </c>
      <c r="L10761">
        <v>3</v>
      </c>
      <c r="M10761">
        <v>1151</v>
      </c>
      <c r="N10761">
        <v>145</v>
      </c>
      <c r="O10761">
        <v>7</v>
      </c>
      <c r="P10761">
        <v>2</v>
      </c>
      <c r="Q10761">
        <v>0</v>
      </c>
    </row>
    <row r="10762" spans="1:17" x14ac:dyDescent="0.2">
      <c r="A10762" s="121">
        <v>42794</v>
      </c>
      <c r="B10762" t="s">
        <v>406</v>
      </c>
      <c r="C10762" t="s">
        <v>429</v>
      </c>
      <c r="D10762" t="s">
        <v>430</v>
      </c>
      <c r="E10762" t="s">
        <v>431</v>
      </c>
      <c r="F10762" t="s">
        <v>410</v>
      </c>
      <c r="G10762">
        <v>11</v>
      </c>
      <c r="I10762">
        <v>11</v>
      </c>
    </row>
    <row r="10763" spans="1:17" x14ac:dyDescent="0.2">
      <c r="A10763" s="121">
        <v>42794</v>
      </c>
      <c r="B10763" t="s">
        <v>406</v>
      </c>
      <c r="C10763" t="s">
        <v>429</v>
      </c>
      <c r="D10763" t="s">
        <v>432</v>
      </c>
      <c r="E10763" t="s">
        <v>433</v>
      </c>
      <c r="F10763" t="s">
        <v>410</v>
      </c>
      <c r="G10763">
        <v>24</v>
      </c>
      <c r="I10763">
        <v>24</v>
      </c>
    </row>
    <row r="10764" spans="1:17" x14ac:dyDescent="0.2">
      <c r="A10764" s="121">
        <v>42794</v>
      </c>
      <c r="B10764" t="s">
        <v>406</v>
      </c>
      <c r="C10764" t="s">
        <v>429</v>
      </c>
      <c r="D10764" t="s">
        <v>434</v>
      </c>
      <c r="E10764" t="s">
        <v>435</v>
      </c>
      <c r="F10764" t="s">
        <v>410</v>
      </c>
      <c r="G10764">
        <v>3</v>
      </c>
      <c r="I10764">
        <v>3</v>
      </c>
    </row>
    <row r="10765" spans="1:17" x14ac:dyDescent="0.2">
      <c r="A10765" s="121">
        <v>42794</v>
      </c>
      <c r="B10765" t="s">
        <v>406</v>
      </c>
      <c r="C10765" t="s">
        <v>429</v>
      </c>
      <c r="D10765" t="s">
        <v>436</v>
      </c>
      <c r="E10765" t="s">
        <v>437</v>
      </c>
      <c r="F10765" t="s">
        <v>410</v>
      </c>
      <c r="G10765">
        <v>6</v>
      </c>
      <c r="H10765">
        <v>6</v>
      </c>
      <c r="I10765">
        <v>6</v>
      </c>
      <c r="J10765">
        <v>6</v>
      </c>
      <c r="K10765">
        <v>0</v>
      </c>
      <c r="L10765">
        <v>0</v>
      </c>
      <c r="M10765">
        <v>6</v>
      </c>
      <c r="N10765">
        <v>0</v>
      </c>
      <c r="O10765">
        <v>0</v>
      </c>
      <c r="P10765">
        <v>0</v>
      </c>
      <c r="Q10765">
        <v>0</v>
      </c>
    </row>
    <row r="10766" spans="1:17" x14ac:dyDescent="0.2">
      <c r="A10766" s="121">
        <v>42794</v>
      </c>
      <c r="B10766" t="s">
        <v>406</v>
      </c>
      <c r="C10766" t="s">
        <v>429</v>
      </c>
      <c r="D10766" t="s">
        <v>438</v>
      </c>
      <c r="E10766" t="s">
        <v>439</v>
      </c>
      <c r="F10766" t="s">
        <v>413</v>
      </c>
      <c r="G10766">
        <v>869</v>
      </c>
      <c r="H10766">
        <v>869</v>
      </c>
      <c r="I10766">
        <v>812</v>
      </c>
      <c r="J10766">
        <v>812</v>
      </c>
      <c r="K10766">
        <v>75</v>
      </c>
      <c r="L10766">
        <v>0</v>
      </c>
      <c r="M10766">
        <v>692</v>
      </c>
      <c r="N10766">
        <v>80</v>
      </c>
      <c r="O10766">
        <v>22</v>
      </c>
      <c r="P10766">
        <v>8</v>
      </c>
      <c r="Q10766">
        <v>1</v>
      </c>
    </row>
    <row r="10767" spans="1:17" x14ac:dyDescent="0.2">
      <c r="A10767" s="121">
        <v>42794</v>
      </c>
      <c r="B10767" t="s">
        <v>406</v>
      </c>
      <c r="C10767" t="s">
        <v>429</v>
      </c>
      <c r="D10767" t="s">
        <v>440</v>
      </c>
      <c r="E10767" t="s">
        <v>441</v>
      </c>
      <c r="F10767" t="s">
        <v>413</v>
      </c>
      <c r="G10767">
        <v>2635</v>
      </c>
      <c r="H10767">
        <v>2635</v>
      </c>
      <c r="I10767">
        <v>2394</v>
      </c>
      <c r="J10767">
        <v>2394</v>
      </c>
      <c r="K10767">
        <v>1084</v>
      </c>
      <c r="L10767">
        <v>3</v>
      </c>
      <c r="M10767">
        <v>1442</v>
      </c>
      <c r="N10767">
        <v>58</v>
      </c>
      <c r="O10767">
        <v>48</v>
      </c>
      <c r="P10767">
        <v>5</v>
      </c>
      <c r="Q10767">
        <v>0</v>
      </c>
    </row>
    <row r="10768" spans="1:17" x14ac:dyDescent="0.2">
      <c r="A10768" s="121">
        <v>42794</v>
      </c>
      <c r="B10768" t="s">
        <v>406</v>
      </c>
      <c r="C10768" t="s">
        <v>442</v>
      </c>
      <c r="D10768" t="s">
        <v>443</v>
      </c>
      <c r="E10768" t="s">
        <v>444</v>
      </c>
      <c r="F10768" t="s">
        <v>413</v>
      </c>
      <c r="G10768">
        <v>4602</v>
      </c>
      <c r="H10768">
        <v>4602</v>
      </c>
      <c r="I10768">
        <v>4264</v>
      </c>
      <c r="J10768">
        <v>4264</v>
      </c>
      <c r="K10768">
        <v>1218</v>
      </c>
      <c r="L10768">
        <v>7</v>
      </c>
      <c r="M10768">
        <v>3121</v>
      </c>
      <c r="N10768">
        <v>61</v>
      </c>
      <c r="O10768">
        <v>195</v>
      </c>
      <c r="P10768">
        <v>36</v>
      </c>
      <c r="Q10768">
        <v>2</v>
      </c>
    </row>
    <row r="10769" spans="1:17" x14ac:dyDescent="0.2">
      <c r="A10769" s="121">
        <v>42794</v>
      </c>
      <c r="B10769" t="s">
        <v>406</v>
      </c>
      <c r="C10769" t="s">
        <v>442</v>
      </c>
      <c r="D10769" t="s">
        <v>445</v>
      </c>
      <c r="E10769" t="s">
        <v>446</v>
      </c>
      <c r="F10769" t="s">
        <v>410</v>
      </c>
      <c r="G10769">
        <v>116</v>
      </c>
      <c r="H10769">
        <v>116</v>
      </c>
      <c r="I10769">
        <v>116</v>
      </c>
      <c r="J10769">
        <v>116</v>
      </c>
      <c r="K10769">
        <v>0</v>
      </c>
      <c r="L10769">
        <v>0</v>
      </c>
      <c r="M10769">
        <v>0</v>
      </c>
      <c r="N10769">
        <v>0</v>
      </c>
      <c r="O10769">
        <v>116</v>
      </c>
      <c r="P10769">
        <v>0</v>
      </c>
      <c r="Q10769">
        <v>0</v>
      </c>
    </row>
    <row r="10770" spans="1:17" x14ac:dyDescent="0.2">
      <c r="A10770" s="121">
        <v>42794</v>
      </c>
      <c r="B10770" t="s">
        <v>406</v>
      </c>
      <c r="C10770" t="s">
        <v>442</v>
      </c>
      <c r="D10770" t="s">
        <v>447</v>
      </c>
      <c r="E10770" t="s">
        <v>448</v>
      </c>
      <c r="F10770" t="s">
        <v>410</v>
      </c>
      <c r="G10770">
        <v>234</v>
      </c>
      <c r="I10770">
        <v>234</v>
      </c>
    </row>
    <row r="10771" spans="1:17" x14ac:dyDescent="0.2">
      <c r="A10771" s="121">
        <v>42794</v>
      </c>
      <c r="B10771" t="s">
        <v>406</v>
      </c>
      <c r="C10771" t="s">
        <v>442</v>
      </c>
      <c r="D10771" t="s">
        <v>449</v>
      </c>
      <c r="E10771" t="s">
        <v>624</v>
      </c>
      <c r="F10771" t="s">
        <v>410</v>
      </c>
      <c r="G10771">
        <v>1501</v>
      </c>
      <c r="H10771">
        <v>1501</v>
      </c>
      <c r="I10771">
        <v>1499</v>
      </c>
      <c r="J10771">
        <v>1499</v>
      </c>
      <c r="K10771">
        <v>2</v>
      </c>
      <c r="L10771">
        <v>0</v>
      </c>
      <c r="M10771">
        <v>1384</v>
      </c>
      <c r="N10771">
        <v>106</v>
      </c>
      <c r="O10771">
        <v>9</v>
      </c>
      <c r="P10771">
        <v>0</v>
      </c>
      <c r="Q10771">
        <v>0</v>
      </c>
    </row>
    <row r="10772" spans="1:17" x14ac:dyDescent="0.2">
      <c r="A10772" s="121">
        <v>42794</v>
      </c>
      <c r="B10772" t="s">
        <v>406</v>
      </c>
      <c r="C10772" t="s">
        <v>451</v>
      </c>
      <c r="D10772" t="s">
        <v>454</v>
      </c>
      <c r="E10772" t="s">
        <v>621</v>
      </c>
      <c r="F10772" t="s">
        <v>410</v>
      </c>
      <c r="G10772">
        <v>1028</v>
      </c>
      <c r="H10772">
        <v>1028</v>
      </c>
      <c r="I10772">
        <v>1028</v>
      </c>
      <c r="J10772">
        <v>1028</v>
      </c>
      <c r="K10772">
        <v>0</v>
      </c>
      <c r="L10772">
        <v>0</v>
      </c>
      <c r="M10772">
        <v>813</v>
      </c>
      <c r="N10772">
        <v>31</v>
      </c>
      <c r="O10772">
        <v>184</v>
      </c>
      <c r="P10772">
        <v>0</v>
      </c>
      <c r="Q10772">
        <v>0</v>
      </c>
    </row>
    <row r="10773" spans="1:17" x14ac:dyDescent="0.2">
      <c r="A10773" s="121">
        <v>42794</v>
      </c>
      <c r="B10773" t="s">
        <v>406</v>
      </c>
      <c r="C10773" t="s">
        <v>451</v>
      </c>
      <c r="D10773" t="s">
        <v>622</v>
      </c>
      <c r="E10773" t="s">
        <v>623</v>
      </c>
      <c r="F10773" t="s">
        <v>413</v>
      </c>
      <c r="G10773">
        <v>4793</v>
      </c>
      <c r="H10773">
        <v>4793</v>
      </c>
      <c r="I10773">
        <v>4377</v>
      </c>
      <c r="J10773">
        <v>4377</v>
      </c>
      <c r="K10773">
        <v>1468</v>
      </c>
      <c r="L10773">
        <v>10</v>
      </c>
      <c r="M10773">
        <v>2664</v>
      </c>
      <c r="N10773">
        <v>91</v>
      </c>
      <c r="O10773">
        <v>560</v>
      </c>
      <c r="P10773">
        <v>17</v>
      </c>
      <c r="Q10773">
        <v>0</v>
      </c>
    </row>
    <row r="10774" spans="1:17" x14ac:dyDescent="0.2">
      <c r="A10774" s="121">
        <v>42794</v>
      </c>
      <c r="B10774" t="s">
        <v>406</v>
      </c>
      <c r="C10774" t="s">
        <v>456</v>
      </c>
      <c r="D10774" t="s">
        <v>457</v>
      </c>
      <c r="E10774" t="s">
        <v>458</v>
      </c>
      <c r="F10774" t="s">
        <v>413</v>
      </c>
      <c r="G10774">
        <v>4262</v>
      </c>
      <c r="H10774">
        <v>4262</v>
      </c>
      <c r="I10774">
        <v>3920</v>
      </c>
      <c r="J10774">
        <v>3920</v>
      </c>
      <c r="K10774">
        <v>1175</v>
      </c>
      <c r="L10774">
        <v>15</v>
      </c>
      <c r="M10774">
        <v>2673</v>
      </c>
      <c r="N10774">
        <v>22</v>
      </c>
      <c r="O10774">
        <v>377</v>
      </c>
      <c r="P10774">
        <v>7</v>
      </c>
      <c r="Q10774">
        <v>0</v>
      </c>
    </row>
    <row r="10775" spans="1:17" x14ac:dyDescent="0.2">
      <c r="A10775" s="121">
        <v>42794</v>
      </c>
      <c r="B10775" t="s">
        <v>406</v>
      </c>
      <c r="C10775" t="s">
        <v>456</v>
      </c>
      <c r="D10775" t="s">
        <v>459</v>
      </c>
      <c r="E10775" t="s">
        <v>460</v>
      </c>
      <c r="F10775" t="s">
        <v>413</v>
      </c>
      <c r="G10775">
        <v>1161</v>
      </c>
      <c r="H10775">
        <v>1161</v>
      </c>
      <c r="I10775">
        <v>1142</v>
      </c>
      <c r="J10775">
        <v>1142</v>
      </c>
      <c r="K10775">
        <v>129</v>
      </c>
      <c r="L10775">
        <v>1</v>
      </c>
      <c r="M10775">
        <v>975</v>
      </c>
      <c r="N10775">
        <v>0</v>
      </c>
      <c r="O10775">
        <v>56</v>
      </c>
      <c r="P10775">
        <v>0</v>
      </c>
      <c r="Q10775">
        <v>0</v>
      </c>
    </row>
    <row r="10776" spans="1:17" x14ac:dyDescent="0.2">
      <c r="A10776" s="121">
        <v>42794</v>
      </c>
      <c r="B10776" t="s">
        <v>406</v>
      </c>
      <c r="C10776" t="s">
        <v>456</v>
      </c>
      <c r="D10776" t="s">
        <v>461</v>
      </c>
      <c r="E10776" t="s">
        <v>462</v>
      </c>
      <c r="F10776" t="s">
        <v>410</v>
      </c>
      <c r="G10776">
        <v>63</v>
      </c>
      <c r="I10776">
        <v>63</v>
      </c>
    </row>
    <row r="10777" spans="1:17" x14ac:dyDescent="0.2">
      <c r="A10777" s="121">
        <v>42794</v>
      </c>
      <c r="B10777" t="s">
        <v>406</v>
      </c>
      <c r="C10777" t="s">
        <v>456</v>
      </c>
      <c r="D10777" t="s">
        <v>463</v>
      </c>
      <c r="E10777" t="s">
        <v>464</v>
      </c>
      <c r="F10777" t="s">
        <v>410</v>
      </c>
      <c r="G10777">
        <v>8</v>
      </c>
      <c r="I10777">
        <v>8</v>
      </c>
    </row>
    <row r="10778" spans="1:17" x14ac:dyDescent="0.2">
      <c r="A10778" s="121">
        <v>42794</v>
      </c>
      <c r="B10778" t="s">
        <v>406</v>
      </c>
      <c r="C10778" t="s">
        <v>456</v>
      </c>
      <c r="D10778" t="s">
        <v>465</v>
      </c>
      <c r="E10778" t="s">
        <v>466</v>
      </c>
      <c r="F10778" t="s">
        <v>410</v>
      </c>
      <c r="G10778">
        <v>34</v>
      </c>
      <c r="I10778">
        <v>34</v>
      </c>
    </row>
    <row r="10779" spans="1:17" x14ac:dyDescent="0.2">
      <c r="A10779" s="121">
        <v>42794</v>
      </c>
      <c r="B10779" t="s">
        <v>406</v>
      </c>
      <c r="C10779" t="s">
        <v>456</v>
      </c>
      <c r="D10779" t="s">
        <v>467</v>
      </c>
      <c r="E10779" t="s">
        <v>468</v>
      </c>
      <c r="F10779" t="s">
        <v>410</v>
      </c>
      <c r="G10779">
        <v>1133</v>
      </c>
      <c r="I10779">
        <v>1129</v>
      </c>
    </row>
    <row r="10780" spans="1:17" x14ac:dyDescent="0.2">
      <c r="A10780" s="121">
        <v>42794</v>
      </c>
      <c r="B10780" t="s">
        <v>406</v>
      </c>
      <c r="C10780" t="s">
        <v>456</v>
      </c>
      <c r="D10780" t="s">
        <v>469</v>
      </c>
      <c r="E10780" t="s">
        <v>470</v>
      </c>
      <c r="F10780" t="s">
        <v>410</v>
      </c>
      <c r="G10780">
        <v>588</v>
      </c>
      <c r="I10780">
        <v>586</v>
      </c>
    </row>
    <row r="10781" spans="1:17" x14ac:dyDescent="0.2">
      <c r="A10781" s="121">
        <v>42794</v>
      </c>
      <c r="B10781" t="s">
        <v>406</v>
      </c>
      <c r="C10781" t="s">
        <v>456</v>
      </c>
      <c r="D10781" t="s">
        <v>471</v>
      </c>
      <c r="E10781" t="s">
        <v>472</v>
      </c>
      <c r="F10781" t="s">
        <v>410</v>
      </c>
      <c r="G10781">
        <v>208</v>
      </c>
      <c r="I10781">
        <v>204</v>
      </c>
    </row>
    <row r="10782" spans="1:17" x14ac:dyDescent="0.2">
      <c r="A10782" s="121">
        <v>42794</v>
      </c>
      <c r="B10782" t="s">
        <v>406</v>
      </c>
      <c r="C10782" t="s">
        <v>456</v>
      </c>
      <c r="D10782" t="s">
        <v>473</v>
      </c>
      <c r="E10782" t="s">
        <v>474</v>
      </c>
      <c r="F10782" t="s">
        <v>410</v>
      </c>
      <c r="G10782">
        <v>177</v>
      </c>
      <c r="I10782">
        <v>177</v>
      </c>
    </row>
    <row r="10783" spans="1:17" x14ac:dyDescent="0.2">
      <c r="A10783" s="121">
        <v>42794</v>
      </c>
      <c r="B10783" t="s">
        <v>406</v>
      </c>
      <c r="C10783" t="s">
        <v>456</v>
      </c>
      <c r="D10783" t="s">
        <v>475</v>
      </c>
      <c r="E10783" t="s">
        <v>476</v>
      </c>
      <c r="F10783" t="s">
        <v>410</v>
      </c>
      <c r="G10783">
        <v>214</v>
      </c>
      <c r="I10783">
        <v>206</v>
      </c>
    </row>
    <row r="10784" spans="1:17" x14ac:dyDescent="0.2">
      <c r="A10784" s="121">
        <v>42794</v>
      </c>
      <c r="B10784" t="s">
        <v>406</v>
      </c>
      <c r="C10784" t="s">
        <v>456</v>
      </c>
      <c r="D10784" t="s">
        <v>477</v>
      </c>
      <c r="E10784" t="s">
        <v>478</v>
      </c>
      <c r="F10784" t="s">
        <v>413</v>
      </c>
      <c r="G10784">
        <v>1651</v>
      </c>
      <c r="H10784">
        <v>1651</v>
      </c>
      <c r="I10784">
        <v>1569</v>
      </c>
      <c r="J10784">
        <v>1569</v>
      </c>
      <c r="K10784">
        <v>349</v>
      </c>
      <c r="L10784">
        <v>2</v>
      </c>
      <c r="M10784">
        <v>1245</v>
      </c>
      <c r="N10784">
        <v>20</v>
      </c>
      <c r="O10784">
        <v>35</v>
      </c>
      <c r="P10784">
        <v>4</v>
      </c>
      <c r="Q10784">
        <v>2</v>
      </c>
    </row>
    <row r="10785" spans="1:17" x14ac:dyDescent="0.2">
      <c r="A10785" s="121">
        <v>42794</v>
      </c>
      <c r="B10785" t="s">
        <v>406</v>
      </c>
      <c r="C10785" t="s">
        <v>456</v>
      </c>
      <c r="D10785" t="s">
        <v>479</v>
      </c>
      <c r="E10785" t="s">
        <v>480</v>
      </c>
      <c r="F10785" t="s">
        <v>410</v>
      </c>
      <c r="G10785">
        <v>42</v>
      </c>
      <c r="I10785">
        <v>42</v>
      </c>
    </row>
    <row r="10786" spans="1:17" x14ac:dyDescent="0.2">
      <c r="A10786" s="121">
        <v>42794</v>
      </c>
      <c r="B10786" t="s">
        <v>406</v>
      </c>
      <c r="C10786" t="s">
        <v>456</v>
      </c>
      <c r="D10786" t="s">
        <v>481</v>
      </c>
      <c r="E10786" t="s">
        <v>482</v>
      </c>
      <c r="F10786" t="s">
        <v>410</v>
      </c>
      <c r="G10786">
        <v>12</v>
      </c>
      <c r="I10786">
        <v>12</v>
      </c>
    </row>
    <row r="10787" spans="1:17" x14ac:dyDescent="0.2">
      <c r="A10787" s="121">
        <v>42794</v>
      </c>
      <c r="B10787" t="s">
        <v>406</v>
      </c>
      <c r="C10787" t="s">
        <v>456</v>
      </c>
      <c r="D10787" t="s">
        <v>483</v>
      </c>
      <c r="E10787" t="s">
        <v>484</v>
      </c>
      <c r="F10787" t="s">
        <v>410</v>
      </c>
      <c r="G10787">
        <v>75</v>
      </c>
      <c r="I10787">
        <v>75</v>
      </c>
    </row>
    <row r="10788" spans="1:17" x14ac:dyDescent="0.2">
      <c r="A10788" s="121">
        <v>42794</v>
      </c>
      <c r="B10788" t="s">
        <v>406</v>
      </c>
      <c r="C10788" t="s">
        <v>456</v>
      </c>
      <c r="D10788" t="s">
        <v>487</v>
      </c>
      <c r="E10788" t="s">
        <v>488</v>
      </c>
      <c r="F10788" t="s">
        <v>410</v>
      </c>
      <c r="G10788">
        <v>13</v>
      </c>
      <c r="I10788">
        <v>13</v>
      </c>
    </row>
    <row r="10789" spans="1:17" x14ac:dyDescent="0.2">
      <c r="A10789" s="121">
        <v>42794</v>
      </c>
      <c r="B10789" t="s">
        <v>406</v>
      </c>
      <c r="C10789" t="s">
        <v>456</v>
      </c>
      <c r="D10789" t="s">
        <v>489</v>
      </c>
      <c r="E10789" t="s">
        <v>490</v>
      </c>
      <c r="F10789" t="s">
        <v>410</v>
      </c>
      <c r="G10789">
        <v>60</v>
      </c>
      <c r="I10789">
        <v>60</v>
      </c>
    </row>
    <row r="10790" spans="1:17" x14ac:dyDescent="0.2">
      <c r="A10790" s="121">
        <v>42794</v>
      </c>
      <c r="B10790" t="s">
        <v>406</v>
      </c>
      <c r="C10790" t="s">
        <v>456</v>
      </c>
      <c r="D10790" t="s">
        <v>628</v>
      </c>
      <c r="E10790" t="s">
        <v>629</v>
      </c>
      <c r="F10790" t="s">
        <v>410</v>
      </c>
      <c r="G10790">
        <v>28</v>
      </c>
      <c r="I10790">
        <v>28</v>
      </c>
    </row>
    <row r="10791" spans="1:17" x14ac:dyDescent="0.2">
      <c r="A10791" s="121">
        <v>42794</v>
      </c>
      <c r="B10791" t="s">
        <v>406</v>
      </c>
      <c r="C10791" t="s">
        <v>491</v>
      </c>
      <c r="D10791" t="s">
        <v>492</v>
      </c>
      <c r="E10791" t="s">
        <v>493</v>
      </c>
      <c r="F10791" t="s">
        <v>410</v>
      </c>
      <c r="G10791">
        <v>1248</v>
      </c>
      <c r="H10791">
        <v>1248</v>
      </c>
      <c r="I10791">
        <v>1208</v>
      </c>
      <c r="J10791">
        <v>1208</v>
      </c>
      <c r="K10791">
        <v>214</v>
      </c>
      <c r="L10791">
        <v>1</v>
      </c>
      <c r="M10791">
        <v>956</v>
      </c>
      <c r="N10791">
        <v>69</v>
      </c>
      <c r="O10791">
        <v>8</v>
      </c>
      <c r="P10791">
        <v>0</v>
      </c>
      <c r="Q10791">
        <v>0</v>
      </c>
    </row>
    <row r="10792" spans="1:17" x14ac:dyDescent="0.2">
      <c r="A10792" s="121">
        <v>42794</v>
      </c>
      <c r="B10792" t="s">
        <v>406</v>
      </c>
      <c r="C10792" t="s">
        <v>491</v>
      </c>
      <c r="D10792" t="s">
        <v>494</v>
      </c>
      <c r="E10792" t="s">
        <v>495</v>
      </c>
      <c r="F10792" t="s">
        <v>413</v>
      </c>
      <c r="G10792">
        <v>2258</v>
      </c>
      <c r="H10792">
        <v>2258</v>
      </c>
      <c r="I10792">
        <v>2145</v>
      </c>
      <c r="J10792">
        <v>2145</v>
      </c>
      <c r="K10792">
        <v>606</v>
      </c>
      <c r="L10792">
        <v>2</v>
      </c>
      <c r="M10792">
        <v>1453</v>
      </c>
      <c r="N10792">
        <v>32</v>
      </c>
      <c r="O10792">
        <v>165</v>
      </c>
      <c r="P10792">
        <v>6</v>
      </c>
      <c r="Q10792">
        <v>0</v>
      </c>
    </row>
    <row r="10793" spans="1:17" x14ac:dyDescent="0.2">
      <c r="A10793" s="121">
        <v>42794</v>
      </c>
      <c r="B10793" t="s">
        <v>406</v>
      </c>
      <c r="C10793" t="s">
        <v>491</v>
      </c>
      <c r="D10793" t="s">
        <v>496</v>
      </c>
      <c r="E10793" t="s">
        <v>497</v>
      </c>
      <c r="F10793" t="s">
        <v>413</v>
      </c>
      <c r="G10793">
        <v>5090</v>
      </c>
      <c r="H10793">
        <v>5090</v>
      </c>
      <c r="I10793">
        <v>4558</v>
      </c>
      <c r="J10793">
        <v>4558</v>
      </c>
      <c r="K10793">
        <v>1737</v>
      </c>
      <c r="L10793">
        <v>15</v>
      </c>
      <c r="M10793">
        <v>3131</v>
      </c>
      <c r="N10793">
        <v>99</v>
      </c>
      <c r="O10793">
        <v>108</v>
      </c>
      <c r="P10793">
        <v>35</v>
      </c>
      <c r="Q10793">
        <v>0</v>
      </c>
    </row>
    <row r="10794" spans="1:17" x14ac:dyDescent="0.2">
      <c r="A10794" s="121">
        <v>42794</v>
      </c>
      <c r="B10794" t="s">
        <v>406</v>
      </c>
      <c r="C10794" t="s">
        <v>491</v>
      </c>
      <c r="D10794" t="s">
        <v>498</v>
      </c>
      <c r="E10794" t="s">
        <v>499</v>
      </c>
      <c r="F10794" t="s">
        <v>413</v>
      </c>
      <c r="G10794">
        <v>6953</v>
      </c>
      <c r="H10794">
        <v>6953</v>
      </c>
      <c r="I10794">
        <v>6021</v>
      </c>
      <c r="J10794">
        <v>6021</v>
      </c>
      <c r="K10794">
        <v>2094</v>
      </c>
      <c r="L10794">
        <v>16</v>
      </c>
      <c r="M10794">
        <v>4369</v>
      </c>
      <c r="N10794">
        <v>174</v>
      </c>
      <c r="O10794">
        <v>300</v>
      </c>
      <c r="P10794">
        <v>41</v>
      </c>
      <c r="Q10794">
        <v>3</v>
      </c>
    </row>
    <row r="10795" spans="1:17" x14ac:dyDescent="0.2">
      <c r="A10795" s="121">
        <v>42794</v>
      </c>
      <c r="B10795" t="s">
        <v>406</v>
      </c>
      <c r="C10795" t="s">
        <v>491</v>
      </c>
      <c r="D10795" t="s">
        <v>500</v>
      </c>
      <c r="E10795" t="s">
        <v>620</v>
      </c>
      <c r="F10795" t="s">
        <v>410</v>
      </c>
      <c r="G10795">
        <v>1446</v>
      </c>
      <c r="H10795">
        <v>1446</v>
      </c>
      <c r="I10795">
        <v>1446</v>
      </c>
      <c r="J10795">
        <v>1446</v>
      </c>
      <c r="K10795">
        <v>0</v>
      </c>
      <c r="L10795">
        <v>0</v>
      </c>
      <c r="M10795">
        <v>1340</v>
      </c>
      <c r="N10795">
        <v>91</v>
      </c>
      <c r="O10795">
        <v>15</v>
      </c>
      <c r="P10795">
        <v>0</v>
      </c>
      <c r="Q10795">
        <v>0</v>
      </c>
    </row>
    <row r="10796" spans="1:17" x14ac:dyDescent="0.2">
      <c r="A10796" s="121">
        <v>42794</v>
      </c>
      <c r="B10796" t="s">
        <v>406</v>
      </c>
      <c r="C10796" t="s">
        <v>491</v>
      </c>
      <c r="D10796" t="s">
        <v>502</v>
      </c>
      <c r="E10796" t="s">
        <v>615</v>
      </c>
      <c r="F10796" t="s">
        <v>410</v>
      </c>
      <c r="G10796">
        <v>2302</v>
      </c>
      <c r="H10796">
        <v>2302</v>
      </c>
      <c r="I10796">
        <v>2299</v>
      </c>
      <c r="J10796">
        <v>2299</v>
      </c>
      <c r="K10796">
        <v>0</v>
      </c>
      <c r="L10796">
        <v>0</v>
      </c>
      <c r="M10796">
        <v>2051</v>
      </c>
      <c r="N10796">
        <v>237</v>
      </c>
      <c r="O10796">
        <v>14</v>
      </c>
      <c r="P10796">
        <v>0</v>
      </c>
      <c r="Q10796">
        <v>0</v>
      </c>
    </row>
    <row r="10797" spans="1:17" x14ac:dyDescent="0.2">
      <c r="A10797" s="121">
        <v>42794</v>
      </c>
      <c r="B10797" t="s">
        <v>406</v>
      </c>
      <c r="C10797" t="s">
        <v>491</v>
      </c>
      <c r="D10797" t="s">
        <v>504</v>
      </c>
      <c r="E10797" t="s">
        <v>630</v>
      </c>
      <c r="F10797" t="s">
        <v>413</v>
      </c>
      <c r="G10797">
        <v>7391</v>
      </c>
      <c r="H10797">
        <v>7391</v>
      </c>
      <c r="I10797">
        <v>6040</v>
      </c>
      <c r="J10797">
        <v>6040</v>
      </c>
      <c r="K10797">
        <v>2315</v>
      </c>
      <c r="L10797">
        <v>21</v>
      </c>
      <c r="M10797">
        <v>4719</v>
      </c>
      <c r="N10797">
        <v>97</v>
      </c>
      <c r="O10797">
        <v>239</v>
      </c>
      <c r="P10797">
        <v>165</v>
      </c>
      <c r="Q10797">
        <v>28</v>
      </c>
    </row>
    <row r="10798" spans="1:17" x14ac:dyDescent="0.2">
      <c r="A10798" s="121">
        <v>42794</v>
      </c>
      <c r="B10798" t="s">
        <v>406</v>
      </c>
      <c r="C10798" t="s">
        <v>491</v>
      </c>
      <c r="D10798" t="s">
        <v>506</v>
      </c>
      <c r="E10798" t="s">
        <v>507</v>
      </c>
      <c r="F10798" t="s">
        <v>413</v>
      </c>
      <c r="G10798">
        <v>4324</v>
      </c>
      <c r="H10798">
        <v>4324</v>
      </c>
      <c r="I10798">
        <v>4292</v>
      </c>
      <c r="J10798">
        <v>4292</v>
      </c>
      <c r="K10798">
        <v>785</v>
      </c>
      <c r="L10798">
        <v>3</v>
      </c>
      <c r="M10798">
        <v>3527</v>
      </c>
      <c r="N10798">
        <v>2</v>
      </c>
      <c r="O10798">
        <v>7</v>
      </c>
      <c r="P10798">
        <v>0</v>
      </c>
      <c r="Q10798">
        <v>0</v>
      </c>
    </row>
    <row r="10799" spans="1:17" x14ac:dyDescent="0.2">
      <c r="A10799" s="121">
        <v>42794</v>
      </c>
      <c r="B10799" t="s">
        <v>406</v>
      </c>
      <c r="C10799" t="s">
        <v>510</v>
      </c>
      <c r="D10799" t="s">
        <v>513</v>
      </c>
      <c r="E10799" t="s">
        <v>514</v>
      </c>
      <c r="F10799" t="s">
        <v>410</v>
      </c>
      <c r="G10799">
        <v>497</v>
      </c>
      <c r="I10799">
        <v>497</v>
      </c>
    </row>
    <row r="10800" spans="1:17" x14ac:dyDescent="0.2">
      <c r="A10800" s="121">
        <v>42794</v>
      </c>
      <c r="B10800" t="s">
        <v>406</v>
      </c>
      <c r="C10800" t="s">
        <v>510</v>
      </c>
      <c r="D10800" t="s">
        <v>515</v>
      </c>
      <c r="E10800" t="s">
        <v>516</v>
      </c>
      <c r="F10800" t="s">
        <v>410</v>
      </c>
      <c r="G10800">
        <v>80</v>
      </c>
      <c r="I10800">
        <v>80</v>
      </c>
    </row>
    <row r="10801" spans="1:17" x14ac:dyDescent="0.2">
      <c r="A10801" s="121">
        <v>42794</v>
      </c>
      <c r="B10801" t="s">
        <v>406</v>
      </c>
      <c r="C10801" t="s">
        <v>510</v>
      </c>
      <c r="D10801" t="s">
        <v>519</v>
      </c>
      <c r="E10801" t="s">
        <v>520</v>
      </c>
      <c r="F10801" t="s">
        <v>410</v>
      </c>
      <c r="G10801">
        <v>306</v>
      </c>
      <c r="I10801">
        <v>302</v>
      </c>
    </row>
    <row r="10802" spans="1:17" x14ac:dyDescent="0.2">
      <c r="A10802" s="121">
        <v>42794</v>
      </c>
      <c r="B10802" t="s">
        <v>406</v>
      </c>
      <c r="C10802" t="s">
        <v>510</v>
      </c>
      <c r="D10802" t="s">
        <v>523</v>
      </c>
      <c r="E10802" t="s">
        <v>524</v>
      </c>
      <c r="F10802" t="s">
        <v>413</v>
      </c>
      <c r="G10802">
        <v>488</v>
      </c>
      <c r="H10802">
        <v>488</v>
      </c>
      <c r="I10802">
        <v>485</v>
      </c>
      <c r="J10802">
        <v>485</v>
      </c>
      <c r="K10802">
        <v>142</v>
      </c>
      <c r="L10802">
        <v>0</v>
      </c>
      <c r="M10802">
        <v>331</v>
      </c>
      <c r="N10802">
        <v>15</v>
      </c>
      <c r="O10802">
        <v>0</v>
      </c>
      <c r="P10802">
        <v>1</v>
      </c>
      <c r="Q10802">
        <v>1</v>
      </c>
    </row>
    <row r="10803" spans="1:17" x14ac:dyDescent="0.2">
      <c r="A10803" s="121">
        <v>42794</v>
      </c>
      <c r="B10803" t="s">
        <v>406</v>
      </c>
      <c r="C10803" t="s">
        <v>510</v>
      </c>
      <c r="D10803" t="s">
        <v>525</v>
      </c>
      <c r="E10803" t="s">
        <v>526</v>
      </c>
      <c r="F10803" t="s">
        <v>410</v>
      </c>
      <c r="G10803">
        <v>313</v>
      </c>
      <c r="I10803">
        <v>311</v>
      </c>
    </row>
    <row r="10804" spans="1:17" x14ac:dyDescent="0.2">
      <c r="A10804" s="121">
        <v>42794</v>
      </c>
      <c r="B10804" t="s">
        <v>406</v>
      </c>
      <c r="C10804" t="s">
        <v>510</v>
      </c>
      <c r="D10804" t="s">
        <v>527</v>
      </c>
      <c r="E10804" t="s">
        <v>528</v>
      </c>
      <c r="F10804" t="s">
        <v>410</v>
      </c>
      <c r="G10804">
        <v>169</v>
      </c>
      <c r="I10804">
        <v>169</v>
      </c>
    </row>
    <row r="10805" spans="1:17" x14ac:dyDescent="0.2">
      <c r="A10805" s="121">
        <v>42794</v>
      </c>
      <c r="B10805" t="s">
        <v>406</v>
      </c>
      <c r="C10805" t="s">
        <v>510</v>
      </c>
      <c r="D10805" t="s">
        <v>529</v>
      </c>
      <c r="E10805" t="s">
        <v>530</v>
      </c>
      <c r="F10805" t="s">
        <v>413</v>
      </c>
      <c r="G10805">
        <v>501</v>
      </c>
      <c r="H10805">
        <v>501</v>
      </c>
      <c r="I10805">
        <v>453</v>
      </c>
      <c r="J10805">
        <v>453</v>
      </c>
      <c r="K10805">
        <v>153</v>
      </c>
      <c r="L10805">
        <v>1</v>
      </c>
      <c r="M10805">
        <v>346</v>
      </c>
      <c r="N10805">
        <v>1</v>
      </c>
      <c r="O10805">
        <v>0</v>
      </c>
      <c r="P10805">
        <v>8</v>
      </c>
      <c r="Q10805">
        <v>3</v>
      </c>
    </row>
    <row r="10806" spans="1:17" x14ac:dyDescent="0.2">
      <c r="A10806" s="121">
        <v>42794</v>
      </c>
      <c r="B10806" t="s">
        <v>406</v>
      </c>
      <c r="C10806" t="s">
        <v>510</v>
      </c>
      <c r="D10806" t="s">
        <v>531</v>
      </c>
      <c r="E10806" t="s">
        <v>532</v>
      </c>
      <c r="F10806" t="s">
        <v>410</v>
      </c>
      <c r="G10806">
        <v>48</v>
      </c>
      <c r="I10806">
        <v>48</v>
      </c>
    </row>
    <row r="10807" spans="1:17" x14ac:dyDescent="0.2">
      <c r="A10807" s="121">
        <v>42794</v>
      </c>
      <c r="B10807" t="s">
        <v>406</v>
      </c>
      <c r="C10807" t="s">
        <v>510</v>
      </c>
      <c r="D10807" t="s">
        <v>533</v>
      </c>
      <c r="E10807" t="s">
        <v>534</v>
      </c>
      <c r="F10807" t="s">
        <v>413</v>
      </c>
      <c r="G10807">
        <v>2476</v>
      </c>
      <c r="H10807">
        <v>2476</v>
      </c>
      <c r="I10807">
        <v>2195</v>
      </c>
      <c r="J10807">
        <v>2195</v>
      </c>
      <c r="K10807">
        <v>708</v>
      </c>
      <c r="L10807">
        <v>5</v>
      </c>
      <c r="M10807">
        <v>1748</v>
      </c>
      <c r="N10807">
        <v>15</v>
      </c>
      <c r="O10807">
        <v>0</v>
      </c>
      <c r="P10807">
        <v>16</v>
      </c>
      <c r="Q10807">
        <v>4</v>
      </c>
    </row>
    <row r="10808" spans="1:17" x14ac:dyDescent="0.2">
      <c r="A10808" s="121">
        <v>42794</v>
      </c>
      <c r="B10808" t="s">
        <v>406</v>
      </c>
      <c r="C10808" t="s">
        <v>510</v>
      </c>
      <c r="D10808" t="s">
        <v>535</v>
      </c>
      <c r="E10808" t="s">
        <v>536</v>
      </c>
      <c r="F10808" t="s">
        <v>410</v>
      </c>
      <c r="G10808">
        <v>365</v>
      </c>
      <c r="I10808">
        <v>364</v>
      </c>
    </row>
    <row r="10809" spans="1:17" x14ac:dyDescent="0.2">
      <c r="A10809" s="121">
        <v>42794</v>
      </c>
      <c r="B10809" t="s">
        <v>406</v>
      </c>
      <c r="C10809" t="s">
        <v>510</v>
      </c>
      <c r="D10809" t="s">
        <v>537</v>
      </c>
      <c r="E10809" t="s">
        <v>538</v>
      </c>
      <c r="F10809" t="s">
        <v>410</v>
      </c>
      <c r="G10809">
        <v>44</v>
      </c>
      <c r="I10809">
        <v>44</v>
      </c>
    </row>
    <row r="10810" spans="1:17" x14ac:dyDescent="0.2">
      <c r="A10810" s="121">
        <v>42794</v>
      </c>
      <c r="B10810" t="s">
        <v>406</v>
      </c>
      <c r="C10810" t="s">
        <v>510</v>
      </c>
      <c r="D10810" t="s">
        <v>539</v>
      </c>
      <c r="E10810" t="s">
        <v>540</v>
      </c>
      <c r="F10810" t="s">
        <v>413</v>
      </c>
      <c r="G10810">
        <v>582</v>
      </c>
      <c r="H10810">
        <v>582</v>
      </c>
      <c r="I10810">
        <v>556</v>
      </c>
      <c r="J10810">
        <v>556</v>
      </c>
      <c r="K10810">
        <v>132</v>
      </c>
      <c r="L10810">
        <v>1</v>
      </c>
      <c r="M10810">
        <v>444</v>
      </c>
      <c r="N10810">
        <v>5</v>
      </c>
      <c r="O10810">
        <v>0</v>
      </c>
      <c r="P10810">
        <v>0</v>
      </c>
      <c r="Q10810">
        <v>0</v>
      </c>
    </row>
    <row r="10811" spans="1:17" x14ac:dyDescent="0.2">
      <c r="A10811" s="121">
        <v>42794</v>
      </c>
      <c r="B10811" t="s">
        <v>406</v>
      </c>
      <c r="C10811" t="s">
        <v>510</v>
      </c>
      <c r="D10811" t="s">
        <v>541</v>
      </c>
      <c r="E10811" t="s">
        <v>542</v>
      </c>
      <c r="F10811" t="s">
        <v>410</v>
      </c>
      <c r="G10811">
        <v>265</v>
      </c>
      <c r="I10811">
        <v>265</v>
      </c>
    </row>
    <row r="10812" spans="1:17" x14ac:dyDescent="0.2">
      <c r="A10812" s="121">
        <v>42794</v>
      </c>
      <c r="B10812" t="s">
        <v>406</v>
      </c>
      <c r="C10812" t="s">
        <v>510</v>
      </c>
      <c r="D10812" t="s">
        <v>543</v>
      </c>
      <c r="E10812" t="s">
        <v>544</v>
      </c>
      <c r="F10812" t="s">
        <v>410</v>
      </c>
      <c r="G10812">
        <v>152</v>
      </c>
      <c r="I10812">
        <v>152</v>
      </c>
    </row>
    <row r="10813" spans="1:17" x14ac:dyDescent="0.2">
      <c r="A10813" s="121">
        <v>42794</v>
      </c>
      <c r="B10813" t="s">
        <v>406</v>
      </c>
      <c r="C10813" t="s">
        <v>510</v>
      </c>
      <c r="D10813" t="s">
        <v>545</v>
      </c>
      <c r="E10813" t="s">
        <v>546</v>
      </c>
      <c r="F10813" t="s">
        <v>410</v>
      </c>
      <c r="G10813">
        <v>50</v>
      </c>
      <c r="I10813">
        <v>50</v>
      </c>
    </row>
    <row r="10814" spans="1:17" x14ac:dyDescent="0.2">
      <c r="A10814" s="121">
        <v>42794</v>
      </c>
      <c r="B10814" t="s">
        <v>406</v>
      </c>
      <c r="C10814" t="s">
        <v>510</v>
      </c>
      <c r="D10814" t="s">
        <v>547</v>
      </c>
      <c r="E10814" t="s">
        <v>548</v>
      </c>
      <c r="F10814" t="s">
        <v>410</v>
      </c>
      <c r="G10814">
        <v>108</v>
      </c>
      <c r="I10814">
        <v>108</v>
      </c>
    </row>
    <row r="10815" spans="1:17" x14ac:dyDescent="0.2">
      <c r="A10815" s="121">
        <v>42794</v>
      </c>
      <c r="B10815" t="s">
        <v>406</v>
      </c>
      <c r="C10815" t="s">
        <v>510</v>
      </c>
      <c r="D10815" t="s">
        <v>616</v>
      </c>
      <c r="E10815" t="s">
        <v>617</v>
      </c>
      <c r="F10815" t="s">
        <v>410</v>
      </c>
      <c r="G10815">
        <v>287</v>
      </c>
      <c r="I10815">
        <v>280</v>
      </c>
    </row>
    <row r="10816" spans="1:17" x14ac:dyDescent="0.2">
      <c r="A10816" s="121">
        <v>42794</v>
      </c>
      <c r="B10816" t="s">
        <v>406</v>
      </c>
      <c r="C10816" t="s">
        <v>510</v>
      </c>
      <c r="D10816" t="s">
        <v>549</v>
      </c>
      <c r="E10816" t="s">
        <v>550</v>
      </c>
      <c r="F10816" t="s">
        <v>410</v>
      </c>
      <c r="G10816">
        <v>134</v>
      </c>
      <c r="I10816">
        <v>134</v>
      </c>
    </row>
    <row r="10817" spans="1:17" x14ac:dyDescent="0.2">
      <c r="A10817" s="121">
        <v>42794</v>
      </c>
      <c r="B10817" t="s">
        <v>406</v>
      </c>
      <c r="C10817" t="s">
        <v>510</v>
      </c>
      <c r="D10817" t="s">
        <v>625</v>
      </c>
      <c r="E10817" t="s">
        <v>626</v>
      </c>
      <c r="F10817" t="s">
        <v>410</v>
      </c>
      <c r="G10817">
        <v>88</v>
      </c>
      <c r="I10817">
        <v>88</v>
      </c>
    </row>
    <row r="10818" spans="1:17" x14ac:dyDescent="0.2">
      <c r="A10818" s="121">
        <v>42794</v>
      </c>
      <c r="B10818" t="s">
        <v>406</v>
      </c>
      <c r="C10818" t="s">
        <v>551</v>
      </c>
      <c r="D10818" t="s">
        <v>552</v>
      </c>
      <c r="E10818" t="s">
        <v>553</v>
      </c>
      <c r="F10818" t="s">
        <v>413</v>
      </c>
      <c r="G10818">
        <v>5084</v>
      </c>
      <c r="H10818">
        <v>5084</v>
      </c>
      <c r="I10818">
        <v>4899</v>
      </c>
      <c r="J10818">
        <v>4899</v>
      </c>
      <c r="K10818">
        <v>1736</v>
      </c>
      <c r="L10818">
        <v>1</v>
      </c>
      <c r="M10818">
        <v>3228</v>
      </c>
      <c r="N10818">
        <v>80</v>
      </c>
      <c r="O10818">
        <v>39</v>
      </c>
      <c r="P10818">
        <v>14</v>
      </c>
      <c r="Q10818">
        <v>2</v>
      </c>
    </row>
    <row r="10819" spans="1:17" x14ac:dyDescent="0.2">
      <c r="A10819" s="121">
        <v>42794</v>
      </c>
      <c r="B10819" t="s">
        <v>406</v>
      </c>
      <c r="C10819" t="s">
        <v>551</v>
      </c>
      <c r="D10819" t="s">
        <v>554</v>
      </c>
      <c r="E10819" t="s">
        <v>555</v>
      </c>
      <c r="F10819" t="s">
        <v>410</v>
      </c>
      <c r="G10819">
        <v>67</v>
      </c>
      <c r="I10819">
        <v>67</v>
      </c>
    </row>
    <row r="10820" spans="1:17" x14ac:dyDescent="0.2">
      <c r="A10820" s="121">
        <v>42794</v>
      </c>
      <c r="B10820" t="s">
        <v>406</v>
      </c>
      <c r="C10820" t="s">
        <v>551</v>
      </c>
      <c r="D10820" t="s">
        <v>556</v>
      </c>
      <c r="E10820" t="s">
        <v>557</v>
      </c>
      <c r="F10820" t="s">
        <v>410</v>
      </c>
      <c r="G10820">
        <v>80</v>
      </c>
      <c r="I10820">
        <v>80</v>
      </c>
    </row>
    <row r="10821" spans="1:17" x14ac:dyDescent="0.2">
      <c r="A10821" s="121">
        <v>42794</v>
      </c>
      <c r="B10821" t="s">
        <v>406</v>
      </c>
      <c r="C10821" t="s">
        <v>551</v>
      </c>
      <c r="D10821" t="s">
        <v>558</v>
      </c>
      <c r="E10821" t="s">
        <v>559</v>
      </c>
      <c r="F10821" t="s">
        <v>413</v>
      </c>
      <c r="G10821">
        <v>4821</v>
      </c>
      <c r="H10821">
        <v>4821</v>
      </c>
      <c r="I10821">
        <v>4198</v>
      </c>
      <c r="J10821">
        <v>4198</v>
      </c>
      <c r="K10821">
        <v>1514</v>
      </c>
      <c r="L10821">
        <v>3</v>
      </c>
      <c r="M10821">
        <v>3234</v>
      </c>
      <c r="N10821">
        <v>52</v>
      </c>
      <c r="O10821">
        <v>18</v>
      </c>
      <c r="P10821">
        <v>113</v>
      </c>
      <c r="Q10821">
        <v>48</v>
      </c>
    </row>
    <row r="10822" spans="1:17" x14ac:dyDescent="0.2">
      <c r="A10822" s="121">
        <v>42794</v>
      </c>
      <c r="B10822" t="s">
        <v>406</v>
      </c>
      <c r="C10822" t="s">
        <v>551</v>
      </c>
      <c r="D10822" t="s">
        <v>560</v>
      </c>
      <c r="E10822" t="s">
        <v>561</v>
      </c>
      <c r="F10822" t="s">
        <v>413</v>
      </c>
      <c r="G10822">
        <v>5114</v>
      </c>
      <c r="H10822">
        <v>5114</v>
      </c>
      <c r="I10822">
        <v>4299</v>
      </c>
      <c r="J10822">
        <v>4299</v>
      </c>
      <c r="K10822">
        <v>1405</v>
      </c>
      <c r="L10822">
        <v>7</v>
      </c>
      <c r="M10822">
        <v>3538</v>
      </c>
      <c r="N10822">
        <v>71</v>
      </c>
      <c r="O10822">
        <v>93</v>
      </c>
      <c r="P10822">
        <v>132</v>
      </c>
      <c r="Q10822">
        <v>31</v>
      </c>
    </row>
    <row r="10823" spans="1:17" x14ac:dyDescent="0.2">
      <c r="A10823" s="121">
        <v>42794</v>
      </c>
      <c r="B10823" t="s">
        <v>406</v>
      </c>
      <c r="C10823" t="s">
        <v>562</v>
      </c>
      <c r="D10823" t="s">
        <v>605</v>
      </c>
      <c r="E10823" t="s">
        <v>606</v>
      </c>
      <c r="F10823" t="s">
        <v>410</v>
      </c>
      <c r="G10823">
        <v>108</v>
      </c>
      <c r="I10823">
        <v>108</v>
      </c>
    </row>
    <row r="10824" spans="1:17" x14ac:dyDescent="0.2">
      <c r="A10824" s="121">
        <v>42794</v>
      </c>
      <c r="B10824" t="s">
        <v>406</v>
      </c>
      <c r="C10824" t="s">
        <v>562</v>
      </c>
      <c r="D10824" t="s">
        <v>563</v>
      </c>
      <c r="E10824" t="s">
        <v>564</v>
      </c>
      <c r="F10824" t="s">
        <v>410</v>
      </c>
      <c r="G10824">
        <v>3511</v>
      </c>
      <c r="H10824">
        <v>3511</v>
      </c>
      <c r="I10824">
        <v>2931</v>
      </c>
      <c r="J10824">
        <v>2931</v>
      </c>
      <c r="K10824">
        <v>1023</v>
      </c>
      <c r="L10824">
        <v>0</v>
      </c>
      <c r="M10824">
        <v>2467</v>
      </c>
      <c r="N10824">
        <v>21</v>
      </c>
      <c r="O10824">
        <v>0</v>
      </c>
      <c r="P10824">
        <v>217</v>
      </c>
      <c r="Q10824">
        <v>108</v>
      </c>
    </row>
    <row r="10825" spans="1:17" x14ac:dyDescent="0.2">
      <c r="A10825" s="121">
        <v>42794</v>
      </c>
      <c r="B10825" t="s">
        <v>406</v>
      </c>
      <c r="C10825" t="s">
        <v>562</v>
      </c>
      <c r="D10825" t="s">
        <v>565</v>
      </c>
      <c r="E10825" t="s">
        <v>566</v>
      </c>
      <c r="F10825" t="s">
        <v>413</v>
      </c>
      <c r="G10825">
        <v>4009</v>
      </c>
      <c r="H10825">
        <v>4009</v>
      </c>
      <c r="I10825">
        <v>3827</v>
      </c>
      <c r="J10825">
        <v>3827</v>
      </c>
      <c r="K10825">
        <v>907</v>
      </c>
      <c r="L10825">
        <v>6</v>
      </c>
      <c r="M10825">
        <v>3027</v>
      </c>
      <c r="N10825">
        <v>69</v>
      </c>
      <c r="O10825">
        <v>0</v>
      </c>
      <c r="P10825">
        <v>11</v>
      </c>
      <c r="Q10825">
        <v>0</v>
      </c>
    </row>
    <row r="10826" spans="1:17" x14ac:dyDescent="0.2">
      <c r="A10826" s="121">
        <v>42794</v>
      </c>
      <c r="B10826" t="s">
        <v>406</v>
      </c>
      <c r="C10826" t="s">
        <v>562</v>
      </c>
      <c r="D10826" t="s">
        <v>567</v>
      </c>
      <c r="E10826" t="s">
        <v>568</v>
      </c>
      <c r="F10826" t="s">
        <v>413</v>
      </c>
      <c r="G10826">
        <v>8904</v>
      </c>
      <c r="H10826">
        <v>8904</v>
      </c>
      <c r="I10826">
        <v>8391</v>
      </c>
      <c r="J10826">
        <v>8391</v>
      </c>
      <c r="K10826">
        <v>2559</v>
      </c>
      <c r="L10826">
        <v>5</v>
      </c>
      <c r="M10826">
        <v>6213</v>
      </c>
      <c r="N10826">
        <v>127</v>
      </c>
      <c r="O10826">
        <v>0</v>
      </c>
      <c r="P10826">
        <v>129</v>
      </c>
      <c r="Q10826">
        <v>19</v>
      </c>
    </row>
    <row r="10827" spans="1:17" x14ac:dyDescent="0.2">
      <c r="A10827" s="121">
        <v>42794</v>
      </c>
      <c r="B10827" t="s">
        <v>406</v>
      </c>
      <c r="C10827" t="s">
        <v>562</v>
      </c>
      <c r="D10827" t="s">
        <v>569</v>
      </c>
      <c r="E10827" t="s">
        <v>570</v>
      </c>
      <c r="F10827" t="s">
        <v>413</v>
      </c>
      <c r="G10827">
        <v>3531</v>
      </c>
      <c r="H10827">
        <v>3531</v>
      </c>
      <c r="I10827">
        <v>3450</v>
      </c>
      <c r="J10827">
        <v>3450</v>
      </c>
      <c r="K10827">
        <v>437</v>
      </c>
      <c r="L10827">
        <v>1</v>
      </c>
      <c r="M10827">
        <v>3019</v>
      </c>
      <c r="N10827">
        <v>74</v>
      </c>
      <c r="O10827">
        <v>0</v>
      </c>
      <c r="P10827">
        <v>2</v>
      </c>
      <c r="Q10827">
        <v>0</v>
      </c>
    </row>
    <row r="10828" spans="1:17" x14ac:dyDescent="0.2">
      <c r="A10828" s="121">
        <v>42794</v>
      </c>
      <c r="B10828" t="s">
        <v>406</v>
      </c>
      <c r="C10828" t="s">
        <v>571</v>
      </c>
      <c r="D10828" t="s">
        <v>572</v>
      </c>
      <c r="E10828" t="s">
        <v>627</v>
      </c>
      <c r="F10828" t="s">
        <v>413</v>
      </c>
      <c r="G10828">
        <v>428</v>
      </c>
      <c r="H10828">
        <v>428</v>
      </c>
      <c r="I10828">
        <v>402</v>
      </c>
      <c r="J10828">
        <v>402</v>
      </c>
      <c r="K10828">
        <v>116</v>
      </c>
      <c r="L10828">
        <v>1</v>
      </c>
      <c r="M10828">
        <v>310</v>
      </c>
      <c r="N10828">
        <v>1</v>
      </c>
      <c r="O10828">
        <v>0</v>
      </c>
      <c r="P10828">
        <v>1</v>
      </c>
      <c r="Q10828">
        <v>0</v>
      </c>
    </row>
    <row r="10829" spans="1:17" x14ac:dyDescent="0.2">
      <c r="A10829" s="121">
        <v>42794</v>
      </c>
      <c r="B10829" t="s">
        <v>406</v>
      </c>
      <c r="C10829" t="s">
        <v>574</v>
      </c>
      <c r="D10829" t="s">
        <v>575</v>
      </c>
      <c r="E10829" t="s">
        <v>576</v>
      </c>
      <c r="F10829" t="s">
        <v>413</v>
      </c>
      <c r="G10829">
        <v>584</v>
      </c>
      <c r="H10829">
        <v>584</v>
      </c>
      <c r="I10829">
        <v>576</v>
      </c>
      <c r="J10829">
        <v>576</v>
      </c>
      <c r="K10829">
        <v>135</v>
      </c>
      <c r="L10829">
        <v>2</v>
      </c>
      <c r="M10829">
        <v>439</v>
      </c>
      <c r="N10829">
        <v>2</v>
      </c>
      <c r="O10829">
        <v>6</v>
      </c>
      <c r="P10829">
        <v>0</v>
      </c>
      <c r="Q10829">
        <v>0</v>
      </c>
    </row>
    <row r="10830" spans="1:17" x14ac:dyDescent="0.2">
      <c r="A10830" s="121">
        <v>42794</v>
      </c>
      <c r="B10830" t="s">
        <v>406</v>
      </c>
      <c r="C10830" t="s">
        <v>577</v>
      </c>
      <c r="D10830" t="s">
        <v>578</v>
      </c>
      <c r="E10830" t="s">
        <v>579</v>
      </c>
      <c r="F10830" t="s">
        <v>413</v>
      </c>
      <c r="G10830">
        <v>3510</v>
      </c>
      <c r="H10830">
        <v>3510</v>
      </c>
      <c r="I10830">
        <v>3450</v>
      </c>
      <c r="J10830">
        <v>3450</v>
      </c>
      <c r="K10830">
        <v>1120</v>
      </c>
      <c r="L10830">
        <v>5</v>
      </c>
      <c r="M10830">
        <v>2175</v>
      </c>
      <c r="N10830">
        <v>196</v>
      </c>
      <c r="O10830">
        <v>14</v>
      </c>
      <c r="P10830">
        <v>3</v>
      </c>
      <c r="Q10830">
        <v>0</v>
      </c>
    </row>
    <row r="10831" spans="1:17" x14ac:dyDescent="0.2">
      <c r="A10831" s="121">
        <v>42794</v>
      </c>
      <c r="B10831" t="s">
        <v>406</v>
      </c>
      <c r="C10831" t="s">
        <v>577</v>
      </c>
      <c r="D10831" t="s">
        <v>580</v>
      </c>
      <c r="E10831" t="s">
        <v>581</v>
      </c>
      <c r="F10831" t="s">
        <v>413</v>
      </c>
      <c r="G10831">
        <v>1742</v>
      </c>
      <c r="H10831">
        <v>1742</v>
      </c>
      <c r="I10831">
        <v>1708</v>
      </c>
      <c r="J10831">
        <v>1708</v>
      </c>
      <c r="K10831">
        <v>358</v>
      </c>
      <c r="L10831">
        <v>6</v>
      </c>
      <c r="M10831">
        <v>1091</v>
      </c>
      <c r="N10831">
        <v>287</v>
      </c>
      <c r="O10831">
        <v>0</v>
      </c>
      <c r="P10831">
        <v>0</v>
      </c>
      <c r="Q10831">
        <v>0</v>
      </c>
    </row>
    <row r="10832" spans="1:17" x14ac:dyDescent="0.2">
      <c r="A10832" s="121">
        <v>42794</v>
      </c>
      <c r="B10832" t="s">
        <v>406</v>
      </c>
      <c r="C10832" t="s">
        <v>577</v>
      </c>
      <c r="D10832" t="s">
        <v>609</v>
      </c>
      <c r="E10832" t="s">
        <v>610</v>
      </c>
      <c r="F10832" t="s">
        <v>410</v>
      </c>
      <c r="G10832">
        <v>26</v>
      </c>
      <c r="H10832">
        <v>26</v>
      </c>
      <c r="I10832">
        <v>26</v>
      </c>
      <c r="J10832">
        <v>26</v>
      </c>
      <c r="K10832">
        <v>0</v>
      </c>
      <c r="L10832">
        <v>0</v>
      </c>
      <c r="M10832">
        <v>23</v>
      </c>
      <c r="N10832">
        <v>3</v>
      </c>
      <c r="O10832">
        <v>0</v>
      </c>
      <c r="P10832">
        <v>0</v>
      </c>
      <c r="Q10832">
        <v>0</v>
      </c>
    </row>
    <row r="10833" spans="1:17" x14ac:dyDescent="0.2">
      <c r="A10833" s="121">
        <v>42794</v>
      </c>
      <c r="B10833" t="s">
        <v>406</v>
      </c>
      <c r="C10833" t="s">
        <v>577</v>
      </c>
      <c r="D10833" t="s">
        <v>584</v>
      </c>
      <c r="E10833" t="s">
        <v>585</v>
      </c>
      <c r="F10833" t="s">
        <v>410</v>
      </c>
      <c r="G10833">
        <v>237</v>
      </c>
      <c r="H10833">
        <v>237</v>
      </c>
      <c r="I10833">
        <v>235</v>
      </c>
      <c r="J10833">
        <v>235</v>
      </c>
      <c r="K10833">
        <v>0</v>
      </c>
      <c r="L10833">
        <v>0</v>
      </c>
      <c r="M10833">
        <v>222</v>
      </c>
      <c r="N10833">
        <v>14</v>
      </c>
      <c r="O10833">
        <v>1</v>
      </c>
      <c r="P10833">
        <v>0</v>
      </c>
      <c r="Q10833">
        <v>0</v>
      </c>
    </row>
    <row r="10834" spans="1:17" x14ac:dyDescent="0.2">
      <c r="A10834" s="121">
        <v>42794</v>
      </c>
      <c r="B10834" t="s">
        <v>406</v>
      </c>
      <c r="C10834" t="s">
        <v>577</v>
      </c>
      <c r="D10834" t="s">
        <v>586</v>
      </c>
      <c r="E10834" t="s">
        <v>587</v>
      </c>
      <c r="F10834" t="s">
        <v>410</v>
      </c>
      <c r="G10834">
        <v>940</v>
      </c>
      <c r="H10834">
        <v>940</v>
      </c>
      <c r="I10834">
        <v>940</v>
      </c>
      <c r="J10834">
        <v>940</v>
      </c>
      <c r="K10834">
        <v>0</v>
      </c>
      <c r="L10834">
        <v>0</v>
      </c>
      <c r="M10834">
        <v>826</v>
      </c>
      <c r="N10834">
        <v>111</v>
      </c>
      <c r="O10834">
        <v>3</v>
      </c>
      <c r="P10834">
        <v>0</v>
      </c>
      <c r="Q10834">
        <v>0</v>
      </c>
    </row>
    <row r="10835" spans="1:17" x14ac:dyDescent="0.2">
      <c r="A10835" s="121">
        <v>42794</v>
      </c>
      <c r="B10835" t="s">
        <v>406</v>
      </c>
      <c r="C10835" t="s">
        <v>577</v>
      </c>
      <c r="D10835" t="s">
        <v>588</v>
      </c>
      <c r="E10835" t="s">
        <v>589</v>
      </c>
      <c r="F10835" t="s">
        <v>410</v>
      </c>
      <c r="G10835">
        <v>163</v>
      </c>
      <c r="H10835">
        <v>163</v>
      </c>
      <c r="I10835">
        <v>163</v>
      </c>
      <c r="J10835">
        <v>163</v>
      </c>
      <c r="K10835">
        <v>0</v>
      </c>
      <c r="L10835">
        <v>0</v>
      </c>
      <c r="M10835">
        <v>158</v>
      </c>
      <c r="N10835">
        <v>5</v>
      </c>
      <c r="O10835">
        <v>0</v>
      </c>
      <c r="P10835">
        <v>0</v>
      </c>
      <c r="Q10835">
        <v>0</v>
      </c>
    </row>
    <row r="10836" spans="1:17" x14ac:dyDescent="0.2">
      <c r="A10836" s="121">
        <v>42794</v>
      </c>
      <c r="B10836" t="s">
        <v>406</v>
      </c>
      <c r="C10836" t="s">
        <v>577</v>
      </c>
      <c r="D10836" t="s">
        <v>613</v>
      </c>
      <c r="E10836" t="s">
        <v>614</v>
      </c>
      <c r="F10836" t="s">
        <v>410</v>
      </c>
      <c r="G10836">
        <v>82</v>
      </c>
      <c r="H10836">
        <v>82</v>
      </c>
      <c r="I10836">
        <v>82</v>
      </c>
      <c r="J10836">
        <v>82</v>
      </c>
      <c r="K10836">
        <v>0</v>
      </c>
      <c r="L10836">
        <v>0</v>
      </c>
      <c r="M10836">
        <v>80</v>
      </c>
      <c r="N10836">
        <v>1</v>
      </c>
      <c r="O10836">
        <v>1</v>
      </c>
      <c r="P10836">
        <v>0</v>
      </c>
      <c r="Q10836">
        <v>0</v>
      </c>
    </row>
    <row r="10837" spans="1:17" x14ac:dyDescent="0.2">
      <c r="A10837" s="121">
        <v>42794</v>
      </c>
      <c r="B10837" t="s">
        <v>406</v>
      </c>
      <c r="C10837" t="s">
        <v>577</v>
      </c>
      <c r="D10837" t="s">
        <v>590</v>
      </c>
      <c r="E10837" t="s">
        <v>591</v>
      </c>
      <c r="F10837" t="s">
        <v>410</v>
      </c>
      <c r="G10837">
        <v>419</v>
      </c>
      <c r="H10837">
        <v>419</v>
      </c>
      <c r="I10837">
        <v>419</v>
      </c>
      <c r="J10837">
        <v>419</v>
      </c>
      <c r="K10837">
        <v>0</v>
      </c>
      <c r="L10837">
        <v>1</v>
      </c>
      <c r="M10837">
        <v>400</v>
      </c>
      <c r="N10837">
        <v>16</v>
      </c>
      <c r="O10837">
        <v>2</v>
      </c>
      <c r="P10837">
        <v>0</v>
      </c>
      <c r="Q10837">
        <v>0</v>
      </c>
    </row>
    <row r="10838" spans="1:17" x14ac:dyDescent="0.2">
      <c r="A10838" s="121">
        <v>42794</v>
      </c>
      <c r="B10838" t="s">
        <v>406</v>
      </c>
      <c r="C10838" t="s">
        <v>577</v>
      </c>
      <c r="D10838" t="s">
        <v>607</v>
      </c>
      <c r="E10838" t="s">
        <v>608</v>
      </c>
      <c r="F10838" t="s">
        <v>410</v>
      </c>
      <c r="G10838">
        <v>139</v>
      </c>
      <c r="H10838">
        <v>139</v>
      </c>
      <c r="I10838">
        <v>139</v>
      </c>
      <c r="J10838">
        <v>139</v>
      </c>
      <c r="K10838">
        <v>0</v>
      </c>
      <c r="L10838">
        <v>0</v>
      </c>
      <c r="M10838">
        <v>128</v>
      </c>
      <c r="N10838">
        <v>9</v>
      </c>
      <c r="O10838">
        <v>2</v>
      </c>
      <c r="P10838">
        <v>0</v>
      </c>
      <c r="Q10838">
        <v>0</v>
      </c>
    </row>
    <row r="10839" spans="1:17" x14ac:dyDescent="0.2">
      <c r="A10839" s="121">
        <v>42794</v>
      </c>
      <c r="B10839" t="s">
        <v>406</v>
      </c>
      <c r="C10839" t="s">
        <v>577</v>
      </c>
      <c r="D10839" t="s">
        <v>592</v>
      </c>
      <c r="E10839" t="s">
        <v>593</v>
      </c>
      <c r="F10839" t="s">
        <v>410</v>
      </c>
      <c r="G10839">
        <v>335</v>
      </c>
      <c r="H10839">
        <v>335</v>
      </c>
      <c r="I10839">
        <v>335</v>
      </c>
      <c r="J10839">
        <v>335</v>
      </c>
      <c r="K10839">
        <v>0</v>
      </c>
      <c r="L10839">
        <v>0</v>
      </c>
      <c r="M10839">
        <v>318</v>
      </c>
      <c r="N10839">
        <v>16</v>
      </c>
      <c r="O10839">
        <v>1</v>
      </c>
      <c r="P10839">
        <v>0</v>
      </c>
      <c r="Q10839">
        <v>0</v>
      </c>
    </row>
    <row r="10840" spans="1:17" x14ac:dyDescent="0.2">
      <c r="A10840" s="121">
        <v>42794</v>
      </c>
      <c r="B10840" t="s">
        <v>406</v>
      </c>
      <c r="C10840" t="s">
        <v>594</v>
      </c>
      <c r="D10840" t="s">
        <v>595</v>
      </c>
      <c r="E10840" t="s">
        <v>596</v>
      </c>
      <c r="F10840" t="s">
        <v>410</v>
      </c>
      <c r="G10840">
        <v>34</v>
      </c>
      <c r="I10840">
        <v>34</v>
      </c>
    </row>
    <row r="10841" spans="1:17" x14ac:dyDescent="0.2">
      <c r="A10841" s="121">
        <v>42794</v>
      </c>
      <c r="B10841" t="s">
        <v>406</v>
      </c>
      <c r="C10841" t="s">
        <v>594</v>
      </c>
      <c r="D10841" t="s">
        <v>597</v>
      </c>
      <c r="E10841" t="s">
        <v>598</v>
      </c>
      <c r="F10841" t="s">
        <v>413</v>
      </c>
      <c r="G10841">
        <v>481</v>
      </c>
      <c r="H10841">
        <v>481</v>
      </c>
      <c r="I10841">
        <v>481</v>
      </c>
      <c r="J10841">
        <v>481</v>
      </c>
      <c r="K10841">
        <v>117</v>
      </c>
      <c r="L10841">
        <v>2</v>
      </c>
      <c r="M10841">
        <v>339</v>
      </c>
      <c r="N10841">
        <v>11</v>
      </c>
      <c r="O10841">
        <v>12</v>
      </c>
      <c r="P10841">
        <v>0</v>
      </c>
      <c r="Q10841">
        <v>0</v>
      </c>
    </row>
    <row r="10842" spans="1:17" x14ac:dyDescent="0.2">
      <c r="A10842" s="121">
        <v>42794</v>
      </c>
      <c r="B10842" t="s">
        <v>406</v>
      </c>
      <c r="C10842" t="s">
        <v>594</v>
      </c>
      <c r="D10842" t="s">
        <v>599</v>
      </c>
      <c r="E10842" t="s">
        <v>600</v>
      </c>
      <c r="F10842" t="s">
        <v>410</v>
      </c>
      <c r="G10842">
        <v>85</v>
      </c>
      <c r="H10842">
        <v>85</v>
      </c>
      <c r="I10842">
        <v>85</v>
      </c>
      <c r="J10842">
        <v>85</v>
      </c>
      <c r="K10842">
        <v>12</v>
      </c>
      <c r="L10842">
        <v>0</v>
      </c>
      <c r="M10842">
        <v>71</v>
      </c>
      <c r="N10842">
        <v>1</v>
      </c>
      <c r="O10842">
        <v>1</v>
      </c>
      <c r="P10842">
        <v>0</v>
      </c>
      <c r="Q10842">
        <v>0</v>
      </c>
    </row>
    <row r="10843" spans="1:17" x14ac:dyDescent="0.2">
      <c r="A10843" s="121">
        <v>42825</v>
      </c>
      <c r="B10843" t="s">
        <v>406</v>
      </c>
      <c r="C10843" t="s">
        <v>407</v>
      </c>
      <c r="D10843" t="s">
        <v>408</v>
      </c>
      <c r="E10843" t="s">
        <v>409</v>
      </c>
      <c r="F10843" t="s">
        <v>410</v>
      </c>
      <c r="G10843">
        <v>213</v>
      </c>
      <c r="I10843">
        <v>210</v>
      </c>
    </row>
    <row r="10844" spans="1:17" x14ac:dyDescent="0.2">
      <c r="A10844" s="121">
        <v>42825</v>
      </c>
      <c r="B10844" t="s">
        <v>406</v>
      </c>
      <c r="C10844" t="s">
        <v>407</v>
      </c>
      <c r="D10844" t="s">
        <v>601</v>
      </c>
      <c r="E10844" t="s">
        <v>602</v>
      </c>
      <c r="F10844" t="s">
        <v>410</v>
      </c>
      <c r="G10844">
        <v>58</v>
      </c>
      <c r="I10844">
        <v>58</v>
      </c>
    </row>
    <row r="10845" spans="1:17" x14ac:dyDescent="0.2">
      <c r="A10845" s="121">
        <v>42825</v>
      </c>
      <c r="B10845" t="s">
        <v>406</v>
      </c>
      <c r="C10845" t="s">
        <v>407</v>
      </c>
      <c r="D10845" t="s">
        <v>411</v>
      </c>
      <c r="E10845" t="s">
        <v>412</v>
      </c>
      <c r="F10845" t="s">
        <v>413</v>
      </c>
      <c r="G10845">
        <v>5991</v>
      </c>
      <c r="H10845">
        <v>5991</v>
      </c>
      <c r="I10845">
        <v>5523</v>
      </c>
      <c r="J10845">
        <v>5523</v>
      </c>
      <c r="K10845">
        <v>2129</v>
      </c>
      <c r="L10845">
        <v>6</v>
      </c>
      <c r="M10845">
        <v>3520</v>
      </c>
      <c r="N10845">
        <v>141</v>
      </c>
      <c r="O10845">
        <v>195</v>
      </c>
      <c r="P10845">
        <v>73</v>
      </c>
      <c r="Q10845">
        <v>21</v>
      </c>
    </row>
    <row r="10846" spans="1:17" x14ac:dyDescent="0.2">
      <c r="A10846" s="121">
        <v>42825</v>
      </c>
      <c r="B10846" t="s">
        <v>406</v>
      </c>
      <c r="C10846" t="s">
        <v>407</v>
      </c>
      <c r="D10846" t="s">
        <v>416</v>
      </c>
      <c r="E10846" t="s">
        <v>417</v>
      </c>
      <c r="F10846" t="s">
        <v>413</v>
      </c>
      <c r="G10846">
        <v>3833</v>
      </c>
      <c r="H10846">
        <v>3833</v>
      </c>
      <c r="I10846">
        <v>3665</v>
      </c>
      <c r="J10846">
        <v>3665</v>
      </c>
      <c r="K10846">
        <v>1499</v>
      </c>
      <c r="L10846">
        <v>9</v>
      </c>
      <c r="M10846">
        <v>2101</v>
      </c>
      <c r="N10846">
        <v>122</v>
      </c>
      <c r="O10846">
        <v>102</v>
      </c>
      <c r="P10846">
        <v>21</v>
      </c>
      <c r="Q10846">
        <v>2</v>
      </c>
    </row>
    <row r="10847" spans="1:17" x14ac:dyDescent="0.2">
      <c r="A10847" s="121">
        <v>42825</v>
      </c>
      <c r="B10847" t="s">
        <v>406</v>
      </c>
      <c r="C10847" t="s">
        <v>407</v>
      </c>
      <c r="D10847" t="s">
        <v>618</v>
      </c>
      <c r="E10847" t="s">
        <v>619</v>
      </c>
      <c r="F10847" t="s">
        <v>410</v>
      </c>
      <c r="G10847">
        <v>85</v>
      </c>
      <c r="I10847">
        <v>85</v>
      </c>
    </row>
    <row r="10848" spans="1:17" x14ac:dyDescent="0.2">
      <c r="A10848" s="121">
        <v>42825</v>
      </c>
      <c r="B10848" t="s">
        <v>406</v>
      </c>
      <c r="C10848" t="s">
        <v>418</v>
      </c>
      <c r="D10848" t="s">
        <v>419</v>
      </c>
      <c r="E10848" t="s">
        <v>420</v>
      </c>
      <c r="F10848" t="s">
        <v>410</v>
      </c>
      <c r="G10848">
        <v>7</v>
      </c>
      <c r="I10848">
        <v>7</v>
      </c>
    </row>
    <row r="10849" spans="1:17" x14ac:dyDescent="0.2">
      <c r="A10849" s="121">
        <v>42825</v>
      </c>
      <c r="B10849" t="s">
        <v>406</v>
      </c>
      <c r="C10849" t="s">
        <v>418</v>
      </c>
      <c r="D10849" t="s">
        <v>421</v>
      </c>
      <c r="E10849" t="s">
        <v>422</v>
      </c>
      <c r="F10849" t="s">
        <v>410</v>
      </c>
      <c r="G10849">
        <v>84</v>
      </c>
      <c r="I10849">
        <v>84</v>
      </c>
    </row>
    <row r="10850" spans="1:17" x14ac:dyDescent="0.2">
      <c r="A10850" s="121">
        <v>42825</v>
      </c>
      <c r="B10850" t="s">
        <v>406</v>
      </c>
      <c r="C10850" t="s">
        <v>418</v>
      </c>
      <c r="D10850" t="s">
        <v>423</v>
      </c>
      <c r="E10850" t="s">
        <v>424</v>
      </c>
      <c r="F10850" t="s">
        <v>410</v>
      </c>
      <c r="G10850">
        <v>6</v>
      </c>
      <c r="I10850">
        <v>6</v>
      </c>
    </row>
    <row r="10851" spans="1:17" x14ac:dyDescent="0.2">
      <c r="A10851" s="121">
        <v>42825</v>
      </c>
      <c r="B10851" t="s">
        <v>406</v>
      </c>
      <c r="C10851" t="s">
        <v>418</v>
      </c>
      <c r="D10851" t="s">
        <v>425</v>
      </c>
      <c r="E10851" t="s">
        <v>426</v>
      </c>
      <c r="F10851" t="s">
        <v>410</v>
      </c>
      <c r="G10851">
        <v>33</v>
      </c>
      <c r="I10851">
        <v>33</v>
      </c>
    </row>
    <row r="10852" spans="1:17" x14ac:dyDescent="0.2">
      <c r="A10852" s="121">
        <v>42825</v>
      </c>
      <c r="B10852" t="s">
        <v>406</v>
      </c>
      <c r="C10852" t="s">
        <v>418</v>
      </c>
      <c r="D10852" t="s">
        <v>427</v>
      </c>
      <c r="E10852" t="s">
        <v>428</v>
      </c>
      <c r="F10852" t="s">
        <v>413</v>
      </c>
      <c r="G10852">
        <v>2401</v>
      </c>
      <c r="H10852">
        <v>2401</v>
      </c>
      <c r="I10852">
        <v>2229</v>
      </c>
      <c r="J10852">
        <v>2229</v>
      </c>
      <c r="K10852">
        <v>808</v>
      </c>
      <c r="L10852">
        <v>7</v>
      </c>
      <c r="M10852">
        <v>1415</v>
      </c>
      <c r="N10852">
        <v>165</v>
      </c>
      <c r="O10852">
        <v>6</v>
      </c>
      <c r="P10852">
        <v>9</v>
      </c>
      <c r="Q10852">
        <v>3</v>
      </c>
    </row>
    <row r="10853" spans="1:17" x14ac:dyDescent="0.2">
      <c r="A10853" s="121">
        <v>42825</v>
      </c>
      <c r="B10853" t="s">
        <v>406</v>
      </c>
      <c r="C10853" t="s">
        <v>429</v>
      </c>
      <c r="D10853" t="s">
        <v>430</v>
      </c>
      <c r="E10853" t="s">
        <v>431</v>
      </c>
      <c r="F10853" t="s">
        <v>410</v>
      </c>
      <c r="G10853">
        <v>20</v>
      </c>
      <c r="I10853">
        <v>20</v>
      </c>
    </row>
    <row r="10854" spans="1:17" x14ac:dyDescent="0.2">
      <c r="A10854" s="121">
        <v>42825</v>
      </c>
      <c r="B10854" t="s">
        <v>406</v>
      </c>
      <c r="C10854" t="s">
        <v>429</v>
      </c>
      <c r="D10854" t="s">
        <v>432</v>
      </c>
      <c r="E10854" t="s">
        <v>433</v>
      </c>
      <c r="F10854" t="s">
        <v>410</v>
      </c>
      <c r="G10854">
        <v>36</v>
      </c>
      <c r="I10854">
        <v>36</v>
      </c>
    </row>
    <row r="10855" spans="1:17" x14ac:dyDescent="0.2">
      <c r="A10855" s="121">
        <v>42825</v>
      </c>
      <c r="B10855" t="s">
        <v>406</v>
      </c>
      <c r="C10855" t="s">
        <v>429</v>
      </c>
      <c r="D10855" t="s">
        <v>434</v>
      </c>
      <c r="E10855" t="s">
        <v>435</v>
      </c>
      <c r="F10855" t="s">
        <v>410</v>
      </c>
      <c r="G10855">
        <v>1</v>
      </c>
      <c r="I10855">
        <v>1</v>
      </c>
    </row>
    <row r="10856" spans="1:17" x14ac:dyDescent="0.2">
      <c r="A10856" s="121">
        <v>42825</v>
      </c>
      <c r="B10856" t="s">
        <v>406</v>
      </c>
      <c r="C10856" t="s">
        <v>429</v>
      </c>
      <c r="D10856" t="s">
        <v>436</v>
      </c>
      <c r="E10856" t="s">
        <v>437</v>
      </c>
      <c r="F10856" t="s">
        <v>410</v>
      </c>
      <c r="G10856">
        <v>4</v>
      </c>
      <c r="H10856">
        <v>4</v>
      </c>
      <c r="I10856">
        <v>4</v>
      </c>
      <c r="J10856">
        <v>4</v>
      </c>
      <c r="K10856">
        <v>0</v>
      </c>
      <c r="L10856">
        <v>0</v>
      </c>
      <c r="M10856">
        <v>4</v>
      </c>
      <c r="N10856">
        <v>0</v>
      </c>
      <c r="O10856">
        <v>0</v>
      </c>
      <c r="P10856">
        <v>0</v>
      </c>
      <c r="Q10856">
        <v>0</v>
      </c>
    </row>
    <row r="10857" spans="1:17" x14ac:dyDescent="0.2">
      <c r="A10857" s="121">
        <v>42825</v>
      </c>
      <c r="B10857" t="s">
        <v>406</v>
      </c>
      <c r="C10857" t="s">
        <v>429</v>
      </c>
      <c r="D10857" t="s">
        <v>438</v>
      </c>
      <c r="E10857" t="s">
        <v>439</v>
      </c>
      <c r="F10857" t="s">
        <v>413</v>
      </c>
      <c r="G10857">
        <v>939</v>
      </c>
      <c r="H10857">
        <v>939</v>
      </c>
      <c r="I10857">
        <v>904</v>
      </c>
      <c r="J10857">
        <v>904</v>
      </c>
      <c r="K10857">
        <v>76</v>
      </c>
      <c r="L10857">
        <v>0</v>
      </c>
      <c r="M10857">
        <v>756</v>
      </c>
      <c r="N10857">
        <v>80</v>
      </c>
      <c r="O10857">
        <v>27</v>
      </c>
      <c r="P10857">
        <v>5</v>
      </c>
      <c r="Q10857">
        <v>0</v>
      </c>
    </row>
    <row r="10858" spans="1:17" x14ac:dyDescent="0.2">
      <c r="A10858" s="121">
        <v>42825</v>
      </c>
      <c r="B10858" t="s">
        <v>406</v>
      </c>
      <c r="C10858" t="s">
        <v>429</v>
      </c>
      <c r="D10858" t="s">
        <v>440</v>
      </c>
      <c r="E10858" t="s">
        <v>441</v>
      </c>
      <c r="F10858" t="s">
        <v>413</v>
      </c>
      <c r="G10858">
        <v>3163</v>
      </c>
      <c r="H10858">
        <v>3163</v>
      </c>
      <c r="I10858">
        <v>2936</v>
      </c>
      <c r="J10858">
        <v>2936</v>
      </c>
      <c r="K10858">
        <v>1168</v>
      </c>
      <c r="L10858">
        <v>6</v>
      </c>
      <c r="M10858">
        <v>1859</v>
      </c>
      <c r="N10858">
        <v>65</v>
      </c>
      <c r="O10858">
        <v>65</v>
      </c>
      <c r="P10858">
        <v>5</v>
      </c>
      <c r="Q10858">
        <v>0</v>
      </c>
    </row>
    <row r="10859" spans="1:17" x14ac:dyDescent="0.2">
      <c r="A10859" s="121">
        <v>42825</v>
      </c>
      <c r="B10859" t="s">
        <v>406</v>
      </c>
      <c r="C10859" t="s">
        <v>442</v>
      </c>
      <c r="D10859" t="s">
        <v>443</v>
      </c>
      <c r="E10859" t="s">
        <v>444</v>
      </c>
      <c r="F10859" t="s">
        <v>413</v>
      </c>
      <c r="G10859">
        <v>5324</v>
      </c>
      <c r="H10859">
        <v>5324</v>
      </c>
      <c r="I10859">
        <v>4958</v>
      </c>
      <c r="J10859">
        <v>4958</v>
      </c>
      <c r="K10859">
        <v>1405</v>
      </c>
      <c r="L10859">
        <v>9</v>
      </c>
      <c r="M10859">
        <v>3577</v>
      </c>
      <c r="N10859">
        <v>92</v>
      </c>
      <c r="O10859">
        <v>241</v>
      </c>
      <c r="P10859">
        <v>35</v>
      </c>
      <c r="Q10859">
        <v>5</v>
      </c>
    </row>
    <row r="10860" spans="1:17" x14ac:dyDescent="0.2">
      <c r="A10860" s="121">
        <v>42825</v>
      </c>
      <c r="B10860" t="s">
        <v>406</v>
      </c>
      <c r="C10860" t="s">
        <v>442</v>
      </c>
      <c r="D10860" t="s">
        <v>445</v>
      </c>
      <c r="E10860" t="s">
        <v>446</v>
      </c>
      <c r="F10860" t="s">
        <v>410</v>
      </c>
      <c r="G10860">
        <v>178</v>
      </c>
      <c r="H10860">
        <v>178</v>
      </c>
      <c r="I10860">
        <v>178</v>
      </c>
      <c r="J10860">
        <v>178</v>
      </c>
      <c r="K10860">
        <v>0</v>
      </c>
      <c r="L10860">
        <v>0</v>
      </c>
      <c r="M10860">
        <v>0</v>
      </c>
      <c r="N10860">
        <v>0</v>
      </c>
      <c r="O10860">
        <v>178</v>
      </c>
      <c r="P10860">
        <v>0</v>
      </c>
      <c r="Q10860">
        <v>0</v>
      </c>
    </row>
    <row r="10861" spans="1:17" x14ac:dyDescent="0.2">
      <c r="A10861" s="121">
        <v>42825</v>
      </c>
      <c r="B10861" t="s">
        <v>406</v>
      </c>
      <c r="C10861" t="s">
        <v>442</v>
      </c>
      <c r="D10861" t="s">
        <v>447</v>
      </c>
      <c r="E10861" t="s">
        <v>448</v>
      </c>
      <c r="F10861" t="s">
        <v>410</v>
      </c>
      <c r="G10861">
        <v>263</v>
      </c>
      <c r="I10861">
        <v>263</v>
      </c>
    </row>
    <row r="10862" spans="1:17" x14ac:dyDescent="0.2">
      <c r="A10862" s="121">
        <v>42825</v>
      </c>
      <c r="B10862" t="s">
        <v>406</v>
      </c>
      <c r="C10862" t="s">
        <v>442</v>
      </c>
      <c r="D10862" t="s">
        <v>449</v>
      </c>
      <c r="E10862" t="s">
        <v>624</v>
      </c>
      <c r="F10862" t="s">
        <v>410</v>
      </c>
      <c r="G10862">
        <v>1895</v>
      </c>
      <c r="H10862">
        <v>1895</v>
      </c>
      <c r="I10862">
        <v>1894</v>
      </c>
      <c r="J10862">
        <v>1894</v>
      </c>
      <c r="K10862">
        <v>6</v>
      </c>
      <c r="L10862">
        <v>0</v>
      </c>
      <c r="M10862">
        <v>1739</v>
      </c>
      <c r="N10862">
        <v>117</v>
      </c>
      <c r="O10862">
        <v>33</v>
      </c>
      <c r="P10862">
        <v>0</v>
      </c>
      <c r="Q10862">
        <v>0</v>
      </c>
    </row>
    <row r="10863" spans="1:17" x14ac:dyDescent="0.2">
      <c r="A10863" s="121">
        <v>42825</v>
      </c>
      <c r="B10863" t="s">
        <v>406</v>
      </c>
      <c r="C10863" t="s">
        <v>451</v>
      </c>
      <c r="D10863" t="s">
        <v>454</v>
      </c>
      <c r="E10863" t="s">
        <v>621</v>
      </c>
      <c r="F10863" t="s">
        <v>410</v>
      </c>
      <c r="G10863">
        <v>1315</v>
      </c>
      <c r="H10863">
        <v>1315</v>
      </c>
      <c r="I10863">
        <v>1312</v>
      </c>
      <c r="J10863">
        <v>1312</v>
      </c>
      <c r="K10863">
        <v>4</v>
      </c>
      <c r="L10863">
        <v>0</v>
      </c>
      <c r="M10863">
        <v>961</v>
      </c>
      <c r="N10863">
        <v>53</v>
      </c>
      <c r="O10863">
        <v>297</v>
      </c>
      <c r="P10863">
        <v>0</v>
      </c>
      <c r="Q10863">
        <v>0</v>
      </c>
    </row>
    <row r="10864" spans="1:17" x14ac:dyDescent="0.2">
      <c r="A10864" s="121">
        <v>42825</v>
      </c>
      <c r="B10864" t="s">
        <v>406</v>
      </c>
      <c r="C10864" t="s">
        <v>451</v>
      </c>
      <c r="D10864" t="s">
        <v>622</v>
      </c>
      <c r="E10864" t="s">
        <v>623</v>
      </c>
      <c r="F10864" t="s">
        <v>413</v>
      </c>
      <c r="G10864">
        <v>5493</v>
      </c>
      <c r="H10864">
        <v>5493</v>
      </c>
      <c r="I10864">
        <v>5302</v>
      </c>
      <c r="J10864">
        <v>5302</v>
      </c>
      <c r="K10864">
        <v>1516</v>
      </c>
      <c r="L10864">
        <v>11</v>
      </c>
      <c r="M10864">
        <v>3173</v>
      </c>
      <c r="N10864">
        <v>116</v>
      </c>
      <c r="O10864">
        <v>677</v>
      </c>
      <c r="P10864">
        <v>2</v>
      </c>
      <c r="Q10864">
        <v>0</v>
      </c>
    </row>
    <row r="10865" spans="1:17" x14ac:dyDescent="0.2">
      <c r="A10865" s="121">
        <v>42825</v>
      </c>
      <c r="B10865" t="s">
        <v>406</v>
      </c>
      <c r="C10865" t="s">
        <v>456</v>
      </c>
      <c r="D10865" t="s">
        <v>457</v>
      </c>
      <c r="E10865" t="s">
        <v>458</v>
      </c>
      <c r="F10865" t="s">
        <v>413</v>
      </c>
      <c r="G10865">
        <v>4856</v>
      </c>
      <c r="H10865">
        <v>4856</v>
      </c>
      <c r="I10865">
        <v>4522</v>
      </c>
      <c r="J10865">
        <v>4522</v>
      </c>
      <c r="K10865">
        <v>1313</v>
      </c>
      <c r="L10865">
        <v>14</v>
      </c>
      <c r="M10865">
        <v>3155</v>
      </c>
      <c r="N10865">
        <v>16</v>
      </c>
      <c r="O10865">
        <v>358</v>
      </c>
      <c r="P10865">
        <v>8</v>
      </c>
      <c r="Q10865">
        <v>0</v>
      </c>
    </row>
    <row r="10866" spans="1:17" x14ac:dyDescent="0.2">
      <c r="A10866" s="121">
        <v>42825</v>
      </c>
      <c r="B10866" t="s">
        <v>406</v>
      </c>
      <c r="C10866" t="s">
        <v>456</v>
      </c>
      <c r="D10866" t="s">
        <v>459</v>
      </c>
      <c r="E10866" t="s">
        <v>460</v>
      </c>
      <c r="F10866" t="s">
        <v>413</v>
      </c>
      <c r="G10866">
        <v>1489</v>
      </c>
      <c r="H10866">
        <v>1489</v>
      </c>
      <c r="I10866">
        <v>1459</v>
      </c>
      <c r="J10866">
        <v>1459</v>
      </c>
      <c r="K10866">
        <v>152</v>
      </c>
      <c r="L10866">
        <v>1</v>
      </c>
      <c r="M10866">
        <v>1258</v>
      </c>
      <c r="N10866">
        <v>0</v>
      </c>
      <c r="O10866">
        <v>78</v>
      </c>
      <c r="P10866">
        <v>0</v>
      </c>
      <c r="Q10866">
        <v>0</v>
      </c>
    </row>
    <row r="10867" spans="1:17" x14ac:dyDescent="0.2">
      <c r="A10867" s="121">
        <v>42825</v>
      </c>
      <c r="B10867" t="s">
        <v>406</v>
      </c>
      <c r="C10867" t="s">
        <v>456</v>
      </c>
      <c r="D10867" t="s">
        <v>461</v>
      </c>
      <c r="E10867" t="s">
        <v>462</v>
      </c>
      <c r="F10867" t="s">
        <v>410</v>
      </c>
      <c r="G10867">
        <v>80</v>
      </c>
      <c r="I10867">
        <v>80</v>
      </c>
    </row>
    <row r="10868" spans="1:17" x14ac:dyDescent="0.2">
      <c r="A10868" s="121">
        <v>42825</v>
      </c>
      <c r="B10868" t="s">
        <v>406</v>
      </c>
      <c r="C10868" t="s">
        <v>456</v>
      </c>
      <c r="D10868" t="s">
        <v>463</v>
      </c>
      <c r="E10868" t="s">
        <v>464</v>
      </c>
      <c r="F10868" t="s">
        <v>410</v>
      </c>
      <c r="G10868">
        <v>7</v>
      </c>
      <c r="I10868">
        <v>7</v>
      </c>
    </row>
    <row r="10869" spans="1:17" x14ac:dyDescent="0.2">
      <c r="A10869" s="121">
        <v>42825</v>
      </c>
      <c r="B10869" t="s">
        <v>406</v>
      </c>
      <c r="C10869" t="s">
        <v>456</v>
      </c>
      <c r="D10869" t="s">
        <v>465</v>
      </c>
      <c r="E10869" t="s">
        <v>466</v>
      </c>
      <c r="F10869" t="s">
        <v>410</v>
      </c>
      <c r="G10869">
        <v>30</v>
      </c>
      <c r="I10869">
        <v>30</v>
      </c>
    </row>
    <row r="10870" spans="1:17" x14ac:dyDescent="0.2">
      <c r="A10870" s="121">
        <v>42825</v>
      </c>
      <c r="B10870" t="s">
        <v>406</v>
      </c>
      <c r="C10870" t="s">
        <v>456</v>
      </c>
      <c r="D10870" t="s">
        <v>467</v>
      </c>
      <c r="E10870" t="s">
        <v>468</v>
      </c>
      <c r="F10870" t="s">
        <v>410</v>
      </c>
      <c r="G10870">
        <v>1325</v>
      </c>
      <c r="I10870">
        <v>1322</v>
      </c>
    </row>
    <row r="10871" spans="1:17" x14ac:dyDescent="0.2">
      <c r="A10871" s="121">
        <v>42825</v>
      </c>
      <c r="B10871" t="s">
        <v>406</v>
      </c>
      <c r="C10871" t="s">
        <v>456</v>
      </c>
      <c r="D10871" t="s">
        <v>469</v>
      </c>
      <c r="E10871" t="s">
        <v>470</v>
      </c>
      <c r="F10871" t="s">
        <v>410</v>
      </c>
      <c r="G10871">
        <v>685</v>
      </c>
      <c r="I10871">
        <v>683</v>
      </c>
    </row>
    <row r="10872" spans="1:17" x14ac:dyDescent="0.2">
      <c r="A10872" s="121">
        <v>42825</v>
      </c>
      <c r="B10872" t="s">
        <v>406</v>
      </c>
      <c r="C10872" t="s">
        <v>456</v>
      </c>
      <c r="D10872" t="s">
        <v>471</v>
      </c>
      <c r="E10872" t="s">
        <v>472</v>
      </c>
      <c r="F10872" t="s">
        <v>410</v>
      </c>
      <c r="G10872">
        <v>260</v>
      </c>
      <c r="I10872">
        <v>256</v>
      </c>
    </row>
    <row r="10873" spans="1:17" x14ac:dyDescent="0.2">
      <c r="A10873" s="121">
        <v>42825</v>
      </c>
      <c r="B10873" t="s">
        <v>406</v>
      </c>
      <c r="C10873" t="s">
        <v>456</v>
      </c>
      <c r="D10873" t="s">
        <v>473</v>
      </c>
      <c r="E10873" t="s">
        <v>474</v>
      </c>
      <c r="F10873" t="s">
        <v>410</v>
      </c>
      <c r="G10873">
        <v>176</v>
      </c>
      <c r="I10873">
        <v>176</v>
      </c>
    </row>
    <row r="10874" spans="1:17" x14ac:dyDescent="0.2">
      <c r="A10874" s="121">
        <v>42825</v>
      </c>
      <c r="B10874" t="s">
        <v>406</v>
      </c>
      <c r="C10874" t="s">
        <v>456</v>
      </c>
      <c r="D10874" t="s">
        <v>475</v>
      </c>
      <c r="E10874" t="s">
        <v>476</v>
      </c>
      <c r="F10874" t="s">
        <v>410</v>
      </c>
      <c r="G10874">
        <v>285</v>
      </c>
      <c r="I10874">
        <v>280</v>
      </c>
    </row>
    <row r="10875" spans="1:17" x14ac:dyDescent="0.2">
      <c r="A10875" s="121">
        <v>42825</v>
      </c>
      <c r="B10875" t="s">
        <v>406</v>
      </c>
      <c r="C10875" t="s">
        <v>456</v>
      </c>
      <c r="D10875" t="s">
        <v>477</v>
      </c>
      <c r="E10875" t="s">
        <v>478</v>
      </c>
      <c r="F10875" t="s">
        <v>413</v>
      </c>
      <c r="G10875">
        <v>2137</v>
      </c>
      <c r="H10875">
        <v>2137</v>
      </c>
      <c r="I10875">
        <v>2057</v>
      </c>
      <c r="J10875">
        <v>2057</v>
      </c>
      <c r="K10875">
        <v>437</v>
      </c>
      <c r="L10875">
        <v>2</v>
      </c>
      <c r="M10875">
        <v>1617</v>
      </c>
      <c r="N10875">
        <v>27</v>
      </c>
      <c r="O10875">
        <v>54</v>
      </c>
      <c r="P10875">
        <v>1</v>
      </c>
      <c r="Q10875">
        <v>0</v>
      </c>
    </row>
    <row r="10876" spans="1:17" x14ac:dyDescent="0.2">
      <c r="A10876" s="121">
        <v>42825</v>
      </c>
      <c r="B10876" t="s">
        <v>406</v>
      </c>
      <c r="C10876" t="s">
        <v>456</v>
      </c>
      <c r="D10876" t="s">
        <v>479</v>
      </c>
      <c r="E10876" t="s">
        <v>480</v>
      </c>
      <c r="F10876" t="s">
        <v>410</v>
      </c>
      <c r="G10876">
        <v>59</v>
      </c>
      <c r="I10876">
        <v>59</v>
      </c>
    </row>
    <row r="10877" spans="1:17" x14ac:dyDescent="0.2">
      <c r="A10877" s="121">
        <v>42825</v>
      </c>
      <c r="B10877" t="s">
        <v>406</v>
      </c>
      <c r="C10877" t="s">
        <v>456</v>
      </c>
      <c r="D10877" t="s">
        <v>481</v>
      </c>
      <c r="E10877" t="s">
        <v>482</v>
      </c>
      <c r="F10877" t="s">
        <v>410</v>
      </c>
      <c r="G10877">
        <v>18</v>
      </c>
      <c r="I10877">
        <v>18</v>
      </c>
    </row>
    <row r="10878" spans="1:17" x14ac:dyDescent="0.2">
      <c r="A10878" s="121">
        <v>42825</v>
      </c>
      <c r="B10878" t="s">
        <v>406</v>
      </c>
      <c r="C10878" t="s">
        <v>456</v>
      </c>
      <c r="D10878" t="s">
        <v>483</v>
      </c>
      <c r="E10878" t="s">
        <v>484</v>
      </c>
      <c r="F10878" t="s">
        <v>410</v>
      </c>
      <c r="G10878">
        <v>93</v>
      </c>
      <c r="I10878">
        <v>93</v>
      </c>
    </row>
    <row r="10879" spans="1:17" x14ac:dyDescent="0.2">
      <c r="A10879" s="121">
        <v>42825</v>
      </c>
      <c r="B10879" t="s">
        <v>406</v>
      </c>
      <c r="C10879" t="s">
        <v>456</v>
      </c>
      <c r="D10879" t="s">
        <v>487</v>
      </c>
      <c r="E10879" t="s">
        <v>488</v>
      </c>
      <c r="F10879" t="s">
        <v>410</v>
      </c>
      <c r="G10879">
        <v>12</v>
      </c>
      <c r="I10879">
        <v>12</v>
      </c>
    </row>
    <row r="10880" spans="1:17" x14ac:dyDescent="0.2">
      <c r="A10880" s="121">
        <v>42825</v>
      </c>
      <c r="B10880" t="s">
        <v>406</v>
      </c>
      <c r="C10880" t="s">
        <v>456</v>
      </c>
      <c r="D10880" t="s">
        <v>489</v>
      </c>
      <c r="E10880" t="s">
        <v>490</v>
      </c>
      <c r="F10880" t="s">
        <v>410</v>
      </c>
      <c r="G10880">
        <v>93</v>
      </c>
      <c r="I10880">
        <v>93</v>
      </c>
    </row>
    <row r="10881" spans="1:17" x14ac:dyDescent="0.2">
      <c r="A10881" s="121">
        <v>42825</v>
      </c>
      <c r="B10881" t="s">
        <v>406</v>
      </c>
      <c r="C10881" t="s">
        <v>456</v>
      </c>
      <c r="D10881" t="s">
        <v>628</v>
      </c>
      <c r="E10881" t="s">
        <v>629</v>
      </c>
      <c r="F10881" t="s">
        <v>410</v>
      </c>
      <c r="G10881">
        <v>38</v>
      </c>
      <c r="I10881">
        <v>38</v>
      </c>
    </row>
    <row r="10882" spans="1:17" x14ac:dyDescent="0.2">
      <c r="A10882" s="121">
        <v>42825</v>
      </c>
      <c r="B10882" t="s">
        <v>406</v>
      </c>
      <c r="C10882" t="s">
        <v>491</v>
      </c>
      <c r="D10882" t="s">
        <v>492</v>
      </c>
      <c r="E10882" t="s">
        <v>493</v>
      </c>
      <c r="F10882" t="s">
        <v>410</v>
      </c>
      <c r="G10882">
        <v>1532</v>
      </c>
      <c r="H10882">
        <v>1532</v>
      </c>
      <c r="I10882">
        <v>1501</v>
      </c>
      <c r="J10882">
        <v>1501</v>
      </c>
      <c r="K10882">
        <v>211</v>
      </c>
      <c r="L10882">
        <v>0</v>
      </c>
      <c r="M10882">
        <v>1210</v>
      </c>
      <c r="N10882">
        <v>95</v>
      </c>
      <c r="O10882">
        <v>16</v>
      </c>
      <c r="P10882">
        <v>0</v>
      </c>
      <c r="Q10882">
        <v>0</v>
      </c>
    </row>
    <row r="10883" spans="1:17" x14ac:dyDescent="0.2">
      <c r="A10883" s="121">
        <v>42825</v>
      </c>
      <c r="B10883" t="s">
        <v>406</v>
      </c>
      <c r="C10883" t="s">
        <v>491</v>
      </c>
      <c r="D10883" t="s">
        <v>494</v>
      </c>
      <c r="E10883" t="s">
        <v>495</v>
      </c>
      <c r="F10883" t="s">
        <v>413</v>
      </c>
      <c r="G10883">
        <v>2769</v>
      </c>
      <c r="H10883">
        <v>2769</v>
      </c>
      <c r="I10883">
        <v>2637</v>
      </c>
      <c r="J10883">
        <v>2637</v>
      </c>
      <c r="K10883">
        <v>678</v>
      </c>
      <c r="L10883">
        <v>2</v>
      </c>
      <c r="M10883">
        <v>1823</v>
      </c>
      <c r="N10883">
        <v>45</v>
      </c>
      <c r="O10883">
        <v>221</v>
      </c>
      <c r="P10883">
        <v>5</v>
      </c>
      <c r="Q10883">
        <v>0</v>
      </c>
    </row>
    <row r="10884" spans="1:17" x14ac:dyDescent="0.2">
      <c r="A10884" s="121">
        <v>42825</v>
      </c>
      <c r="B10884" t="s">
        <v>406</v>
      </c>
      <c r="C10884" t="s">
        <v>491</v>
      </c>
      <c r="D10884" t="s">
        <v>496</v>
      </c>
      <c r="E10884" t="s">
        <v>497</v>
      </c>
      <c r="F10884" t="s">
        <v>413</v>
      </c>
      <c r="G10884">
        <v>5821</v>
      </c>
      <c r="H10884">
        <v>5821</v>
      </c>
      <c r="I10884">
        <v>5208</v>
      </c>
      <c r="J10884">
        <v>5208</v>
      </c>
      <c r="K10884">
        <v>1906</v>
      </c>
      <c r="L10884">
        <v>16</v>
      </c>
      <c r="M10884">
        <v>3677</v>
      </c>
      <c r="N10884">
        <v>127</v>
      </c>
      <c r="O10884">
        <v>95</v>
      </c>
      <c r="P10884">
        <v>23</v>
      </c>
      <c r="Q10884">
        <v>1</v>
      </c>
    </row>
    <row r="10885" spans="1:17" x14ac:dyDescent="0.2">
      <c r="A10885" s="121">
        <v>42825</v>
      </c>
      <c r="B10885" t="s">
        <v>406</v>
      </c>
      <c r="C10885" t="s">
        <v>491</v>
      </c>
      <c r="D10885" t="s">
        <v>498</v>
      </c>
      <c r="E10885" t="s">
        <v>499</v>
      </c>
      <c r="F10885" t="s">
        <v>413</v>
      </c>
      <c r="G10885">
        <v>7715</v>
      </c>
      <c r="H10885">
        <v>7715</v>
      </c>
      <c r="I10885">
        <v>6658</v>
      </c>
      <c r="J10885">
        <v>6658</v>
      </c>
      <c r="K10885">
        <v>2243</v>
      </c>
      <c r="L10885">
        <v>20</v>
      </c>
      <c r="M10885">
        <v>4912</v>
      </c>
      <c r="N10885">
        <v>165</v>
      </c>
      <c r="O10885">
        <v>375</v>
      </c>
      <c r="P10885">
        <v>20</v>
      </c>
      <c r="Q10885">
        <v>0</v>
      </c>
    </row>
    <row r="10886" spans="1:17" x14ac:dyDescent="0.2">
      <c r="A10886" s="121">
        <v>42825</v>
      </c>
      <c r="B10886" t="s">
        <v>406</v>
      </c>
      <c r="C10886" t="s">
        <v>491</v>
      </c>
      <c r="D10886" t="s">
        <v>500</v>
      </c>
      <c r="E10886" t="s">
        <v>620</v>
      </c>
      <c r="F10886" t="s">
        <v>410</v>
      </c>
      <c r="G10886">
        <v>1847</v>
      </c>
      <c r="H10886">
        <v>1847</v>
      </c>
      <c r="I10886">
        <v>1847</v>
      </c>
      <c r="J10886">
        <v>1847</v>
      </c>
      <c r="K10886">
        <v>0</v>
      </c>
      <c r="L10886">
        <v>0</v>
      </c>
      <c r="M10886">
        <v>1682</v>
      </c>
      <c r="N10886">
        <v>124</v>
      </c>
      <c r="O10886">
        <v>41</v>
      </c>
      <c r="P10886">
        <v>0</v>
      </c>
      <c r="Q10886">
        <v>0</v>
      </c>
    </row>
    <row r="10887" spans="1:17" x14ac:dyDescent="0.2">
      <c r="A10887" s="121">
        <v>42825</v>
      </c>
      <c r="B10887" t="s">
        <v>406</v>
      </c>
      <c r="C10887" t="s">
        <v>491</v>
      </c>
      <c r="D10887" t="s">
        <v>502</v>
      </c>
      <c r="E10887" t="s">
        <v>615</v>
      </c>
      <c r="F10887" t="s">
        <v>410</v>
      </c>
      <c r="G10887">
        <v>2837</v>
      </c>
      <c r="H10887">
        <v>2837</v>
      </c>
      <c r="I10887">
        <v>2836</v>
      </c>
      <c r="J10887">
        <v>2836</v>
      </c>
      <c r="K10887">
        <v>0</v>
      </c>
      <c r="L10887">
        <v>1</v>
      </c>
      <c r="M10887">
        <v>2513</v>
      </c>
      <c r="N10887">
        <v>272</v>
      </c>
      <c r="O10887">
        <v>51</v>
      </c>
      <c r="P10887">
        <v>0</v>
      </c>
      <c r="Q10887">
        <v>0</v>
      </c>
    </row>
    <row r="10888" spans="1:17" x14ac:dyDescent="0.2">
      <c r="A10888" s="121">
        <v>42825</v>
      </c>
      <c r="B10888" t="s">
        <v>406</v>
      </c>
      <c r="C10888" t="s">
        <v>491</v>
      </c>
      <c r="D10888" t="s">
        <v>504</v>
      </c>
      <c r="E10888" t="s">
        <v>630</v>
      </c>
      <c r="F10888" t="s">
        <v>413</v>
      </c>
      <c r="G10888">
        <v>8367</v>
      </c>
      <c r="H10888">
        <v>8367</v>
      </c>
      <c r="I10888">
        <v>6848</v>
      </c>
      <c r="J10888">
        <v>6848</v>
      </c>
      <c r="K10888">
        <v>2646</v>
      </c>
      <c r="L10888">
        <v>22</v>
      </c>
      <c r="M10888">
        <v>5334</v>
      </c>
      <c r="N10888">
        <v>99</v>
      </c>
      <c r="O10888">
        <v>266</v>
      </c>
      <c r="P10888">
        <v>105</v>
      </c>
      <c r="Q10888">
        <v>13</v>
      </c>
    </row>
    <row r="10889" spans="1:17" x14ac:dyDescent="0.2">
      <c r="A10889" s="121">
        <v>42825</v>
      </c>
      <c r="B10889" t="s">
        <v>406</v>
      </c>
      <c r="C10889" t="s">
        <v>491</v>
      </c>
      <c r="D10889" t="s">
        <v>506</v>
      </c>
      <c r="E10889" t="s">
        <v>507</v>
      </c>
      <c r="F10889" t="s">
        <v>413</v>
      </c>
      <c r="G10889">
        <v>5424</v>
      </c>
      <c r="H10889">
        <v>5424</v>
      </c>
      <c r="I10889">
        <v>5402</v>
      </c>
      <c r="J10889">
        <v>5402</v>
      </c>
      <c r="K10889">
        <v>934</v>
      </c>
      <c r="L10889">
        <v>1</v>
      </c>
      <c r="M10889">
        <v>4479</v>
      </c>
      <c r="N10889">
        <v>1</v>
      </c>
      <c r="O10889">
        <v>9</v>
      </c>
      <c r="P10889">
        <v>0</v>
      </c>
      <c r="Q10889">
        <v>0</v>
      </c>
    </row>
    <row r="10890" spans="1:17" x14ac:dyDescent="0.2">
      <c r="A10890" s="121">
        <v>42825</v>
      </c>
      <c r="B10890" t="s">
        <v>406</v>
      </c>
      <c r="C10890" t="s">
        <v>510</v>
      </c>
      <c r="D10890" t="s">
        <v>513</v>
      </c>
      <c r="E10890" t="s">
        <v>514</v>
      </c>
      <c r="F10890" t="s">
        <v>410</v>
      </c>
      <c r="G10890">
        <v>591</v>
      </c>
      <c r="I10890">
        <v>591</v>
      </c>
    </row>
    <row r="10891" spans="1:17" x14ac:dyDescent="0.2">
      <c r="A10891" s="121">
        <v>42825</v>
      </c>
      <c r="B10891" t="s">
        <v>406</v>
      </c>
      <c r="C10891" t="s">
        <v>510</v>
      </c>
      <c r="D10891" t="s">
        <v>515</v>
      </c>
      <c r="E10891" t="s">
        <v>516</v>
      </c>
      <c r="F10891" t="s">
        <v>410</v>
      </c>
      <c r="G10891">
        <v>99</v>
      </c>
      <c r="I10891">
        <v>99</v>
      </c>
    </row>
    <row r="10892" spans="1:17" x14ac:dyDescent="0.2">
      <c r="A10892" s="121">
        <v>42825</v>
      </c>
      <c r="B10892" t="s">
        <v>406</v>
      </c>
      <c r="C10892" t="s">
        <v>510</v>
      </c>
      <c r="D10892" t="s">
        <v>519</v>
      </c>
      <c r="E10892" t="s">
        <v>520</v>
      </c>
      <c r="F10892" t="s">
        <v>410</v>
      </c>
      <c r="G10892">
        <v>312</v>
      </c>
      <c r="I10892">
        <v>308</v>
      </c>
    </row>
    <row r="10893" spans="1:17" x14ac:dyDescent="0.2">
      <c r="A10893" s="121">
        <v>42825</v>
      </c>
      <c r="B10893" t="s">
        <v>406</v>
      </c>
      <c r="C10893" t="s">
        <v>510</v>
      </c>
      <c r="D10893" t="s">
        <v>523</v>
      </c>
      <c r="E10893" t="s">
        <v>524</v>
      </c>
      <c r="F10893" t="s">
        <v>413</v>
      </c>
      <c r="G10893">
        <v>605</v>
      </c>
      <c r="H10893">
        <v>605</v>
      </c>
      <c r="I10893">
        <v>592</v>
      </c>
      <c r="J10893">
        <v>592</v>
      </c>
      <c r="K10893">
        <v>178</v>
      </c>
      <c r="L10893">
        <v>1</v>
      </c>
      <c r="M10893">
        <v>413</v>
      </c>
      <c r="N10893">
        <v>13</v>
      </c>
      <c r="O10893">
        <v>0</v>
      </c>
      <c r="P10893">
        <v>2</v>
      </c>
      <c r="Q10893">
        <v>0</v>
      </c>
    </row>
    <row r="10894" spans="1:17" x14ac:dyDescent="0.2">
      <c r="A10894" s="121">
        <v>42825</v>
      </c>
      <c r="B10894" t="s">
        <v>406</v>
      </c>
      <c r="C10894" t="s">
        <v>510</v>
      </c>
      <c r="D10894" t="s">
        <v>525</v>
      </c>
      <c r="E10894" t="s">
        <v>526</v>
      </c>
      <c r="F10894" t="s">
        <v>410</v>
      </c>
      <c r="G10894">
        <v>464</v>
      </c>
      <c r="I10894">
        <v>463</v>
      </c>
    </row>
    <row r="10895" spans="1:17" x14ac:dyDescent="0.2">
      <c r="A10895" s="121">
        <v>42825</v>
      </c>
      <c r="B10895" t="s">
        <v>406</v>
      </c>
      <c r="C10895" t="s">
        <v>510</v>
      </c>
      <c r="D10895" t="s">
        <v>527</v>
      </c>
      <c r="E10895" t="s">
        <v>528</v>
      </c>
      <c r="F10895" t="s">
        <v>410</v>
      </c>
      <c r="G10895">
        <v>154</v>
      </c>
      <c r="I10895">
        <v>154</v>
      </c>
    </row>
    <row r="10896" spans="1:17" x14ac:dyDescent="0.2">
      <c r="A10896" s="121">
        <v>42825</v>
      </c>
      <c r="B10896" t="s">
        <v>406</v>
      </c>
      <c r="C10896" t="s">
        <v>510</v>
      </c>
      <c r="D10896" t="s">
        <v>529</v>
      </c>
      <c r="E10896" t="s">
        <v>530</v>
      </c>
      <c r="F10896" t="s">
        <v>413</v>
      </c>
      <c r="G10896">
        <v>627</v>
      </c>
      <c r="H10896">
        <v>627</v>
      </c>
      <c r="I10896">
        <v>598</v>
      </c>
      <c r="J10896">
        <v>598</v>
      </c>
      <c r="K10896">
        <v>182</v>
      </c>
      <c r="L10896">
        <v>1</v>
      </c>
      <c r="M10896">
        <v>441</v>
      </c>
      <c r="N10896">
        <v>3</v>
      </c>
      <c r="O10896">
        <v>0</v>
      </c>
      <c r="P10896">
        <v>6</v>
      </c>
      <c r="Q10896">
        <v>0</v>
      </c>
    </row>
    <row r="10897" spans="1:17" x14ac:dyDescent="0.2">
      <c r="A10897" s="121">
        <v>42825</v>
      </c>
      <c r="B10897" t="s">
        <v>406</v>
      </c>
      <c r="C10897" t="s">
        <v>510</v>
      </c>
      <c r="D10897" t="s">
        <v>531</v>
      </c>
      <c r="E10897" t="s">
        <v>532</v>
      </c>
      <c r="F10897" t="s">
        <v>410</v>
      </c>
      <c r="G10897">
        <v>45</v>
      </c>
      <c r="I10897">
        <v>45</v>
      </c>
    </row>
    <row r="10898" spans="1:17" x14ac:dyDescent="0.2">
      <c r="A10898" s="121">
        <v>42825</v>
      </c>
      <c r="B10898" t="s">
        <v>406</v>
      </c>
      <c r="C10898" t="s">
        <v>510</v>
      </c>
      <c r="D10898" t="s">
        <v>533</v>
      </c>
      <c r="E10898" t="s">
        <v>534</v>
      </c>
      <c r="F10898" t="s">
        <v>413</v>
      </c>
      <c r="G10898">
        <v>2806</v>
      </c>
      <c r="H10898">
        <v>2806</v>
      </c>
      <c r="I10898">
        <v>2621</v>
      </c>
      <c r="J10898">
        <v>2621</v>
      </c>
      <c r="K10898">
        <v>717</v>
      </c>
      <c r="L10898">
        <v>1</v>
      </c>
      <c r="M10898">
        <v>2077</v>
      </c>
      <c r="N10898">
        <v>11</v>
      </c>
      <c r="O10898">
        <v>0</v>
      </c>
      <c r="P10898">
        <v>6</v>
      </c>
      <c r="Q10898">
        <v>0</v>
      </c>
    </row>
    <row r="10899" spans="1:17" x14ac:dyDescent="0.2">
      <c r="A10899" s="121">
        <v>42825</v>
      </c>
      <c r="B10899" t="s">
        <v>406</v>
      </c>
      <c r="C10899" t="s">
        <v>510</v>
      </c>
      <c r="D10899" t="s">
        <v>535</v>
      </c>
      <c r="E10899" t="s">
        <v>536</v>
      </c>
      <c r="F10899" t="s">
        <v>410</v>
      </c>
      <c r="G10899">
        <v>417</v>
      </c>
      <c r="I10899">
        <v>417</v>
      </c>
    </row>
    <row r="10900" spans="1:17" x14ac:dyDescent="0.2">
      <c r="A10900" s="121">
        <v>42825</v>
      </c>
      <c r="B10900" t="s">
        <v>406</v>
      </c>
      <c r="C10900" t="s">
        <v>510</v>
      </c>
      <c r="D10900" t="s">
        <v>537</v>
      </c>
      <c r="E10900" t="s">
        <v>538</v>
      </c>
      <c r="F10900" t="s">
        <v>410</v>
      </c>
      <c r="G10900">
        <v>72</v>
      </c>
      <c r="I10900">
        <v>72</v>
      </c>
    </row>
    <row r="10901" spans="1:17" x14ac:dyDescent="0.2">
      <c r="A10901" s="121">
        <v>42825</v>
      </c>
      <c r="B10901" t="s">
        <v>406</v>
      </c>
      <c r="C10901" t="s">
        <v>510</v>
      </c>
      <c r="D10901" t="s">
        <v>539</v>
      </c>
      <c r="E10901" t="s">
        <v>540</v>
      </c>
      <c r="F10901" t="s">
        <v>413</v>
      </c>
      <c r="G10901">
        <v>670</v>
      </c>
      <c r="H10901">
        <v>670</v>
      </c>
      <c r="I10901">
        <v>651</v>
      </c>
      <c r="J10901">
        <v>651</v>
      </c>
      <c r="K10901">
        <v>148</v>
      </c>
      <c r="L10901">
        <v>1</v>
      </c>
      <c r="M10901">
        <v>518</v>
      </c>
      <c r="N10901">
        <v>3</v>
      </c>
      <c r="O10901">
        <v>0</v>
      </c>
      <c r="P10901">
        <v>0</v>
      </c>
      <c r="Q10901">
        <v>0</v>
      </c>
    </row>
    <row r="10902" spans="1:17" x14ac:dyDescent="0.2">
      <c r="A10902" s="121">
        <v>42825</v>
      </c>
      <c r="B10902" t="s">
        <v>406</v>
      </c>
      <c r="C10902" t="s">
        <v>510</v>
      </c>
      <c r="D10902" t="s">
        <v>541</v>
      </c>
      <c r="E10902" t="s">
        <v>542</v>
      </c>
      <c r="F10902" t="s">
        <v>410</v>
      </c>
      <c r="G10902">
        <v>366</v>
      </c>
      <c r="I10902">
        <v>366</v>
      </c>
    </row>
    <row r="10903" spans="1:17" x14ac:dyDescent="0.2">
      <c r="A10903" s="121">
        <v>42825</v>
      </c>
      <c r="B10903" t="s">
        <v>406</v>
      </c>
      <c r="C10903" t="s">
        <v>510</v>
      </c>
      <c r="D10903" t="s">
        <v>543</v>
      </c>
      <c r="E10903" t="s">
        <v>544</v>
      </c>
      <c r="F10903" t="s">
        <v>410</v>
      </c>
      <c r="G10903">
        <v>181</v>
      </c>
      <c r="I10903">
        <v>181</v>
      </c>
    </row>
    <row r="10904" spans="1:17" x14ac:dyDescent="0.2">
      <c r="A10904" s="121">
        <v>42825</v>
      </c>
      <c r="B10904" t="s">
        <v>406</v>
      </c>
      <c r="C10904" t="s">
        <v>510</v>
      </c>
      <c r="D10904" t="s">
        <v>545</v>
      </c>
      <c r="E10904" t="s">
        <v>546</v>
      </c>
      <c r="F10904" t="s">
        <v>410</v>
      </c>
      <c r="G10904">
        <v>45</v>
      </c>
      <c r="I10904">
        <v>45</v>
      </c>
    </row>
    <row r="10905" spans="1:17" x14ac:dyDescent="0.2">
      <c r="A10905" s="121">
        <v>42825</v>
      </c>
      <c r="B10905" t="s">
        <v>406</v>
      </c>
      <c r="C10905" t="s">
        <v>510</v>
      </c>
      <c r="D10905" t="s">
        <v>547</v>
      </c>
      <c r="E10905" t="s">
        <v>548</v>
      </c>
      <c r="F10905" t="s">
        <v>410</v>
      </c>
      <c r="G10905">
        <v>128</v>
      </c>
      <c r="I10905">
        <v>128</v>
      </c>
    </row>
    <row r="10906" spans="1:17" x14ac:dyDescent="0.2">
      <c r="A10906" s="121">
        <v>42825</v>
      </c>
      <c r="B10906" t="s">
        <v>406</v>
      </c>
      <c r="C10906" t="s">
        <v>510</v>
      </c>
      <c r="D10906" t="s">
        <v>616</v>
      </c>
      <c r="E10906" t="s">
        <v>617</v>
      </c>
      <c r="F10906" t="s">
        <v>410</v>
      </c>
      <c r="G10906">
        <v>343</v>
      </c>
      <c r="I10906">
        <v>336</v>
      </c>
    </row>
    <row r="10907" spans="1:17" x14ac:dyDescent="0.2">
      <c r="A10907" s="121">
        <v>42825</v>
      </c>
      <c r="B10907" t="s">
        <v>406</v>
      </c>
      <c r="C10907" t="s">
        <v>510</v>
      </c>
      <c r="D10907" t="s">
        <v>549</v>
      </c>
      <c r="E10907" t="s">
        <v>550</v>
      </c>
      <c r="F10907" t="s">
        <v>410</v>
      </c>
      <c r="G10907">
        <v>178</v>
      </c>
      <c r="I10907">
        <v>178</v>
      </c>
    </row>
    <row r="10908" spans="1:17" x14ac:dyDescent="0.2">
      <c r="A10908" s="121">
        <v>42825</v>
      </c>
      <c r="B10908" t="s">
        <v>406</v>
      </c>
      <c r="C10908" t="s">
        <v>510</v>
      </c>
      <c r="D10908" t="s">
        <v>625</v>
      </c>
      <c r="E10908" t="s">
        <v>626</v>
      </c>
      <c r="F10908" t="s">
        <v>410</v>
      </c>
      <c r="G10908">
        <v>115</v>
      </c>
      <c r="I10908">
        <v>114</v>
      </c>
    </row>
    <row r="10909" spans="1:17" x14ac:dyDescent="0.2">
      <c r="A10909" s="121">
        <v>42825</v>
      </c>
      <c r="B10909" t="s">
        <v>406</v>
      </c>
      <c r="C10909" t="s">
        <v>551</v>
      </c>
      <c r="D10909" t="s">
        <v>552</v>
      </c>
      <c r="E10909" t="s">
        <v>553</v>
      </c>
      <c r="F10909" t="s">
        <v>413</v>
      </c>
      <c r="G10909">
        <v>5896</v>
      </c>
      <c r="H10909">
        <v>5896</v>
      </c>
      <c r="I10909">
        <v>5615</v>
      </c>
      <c r="J10909">
        <v>5615</v>
      </c>
      <c r="K10909">
        <v>1920</v>
      </c>
      <c r="L10909">
        <v>6</v>
      </c>
      <c r="M10909">
        <v>3832</v>
      </c>
      <c r="N10909">
        <v>93</v>
      </c>
      <c r="O10909">
        <v>45</v>
      </c>
      <c r="P10909">
        <v>7</v>
      </c>
      <c r="Q10909">
        <v>1</v>
      </c>
    </row>
    <row r="10910" spans="1:17" x14ac:dyDescent="0.2">
      <c r="A10910" s="121">
        <v>42825</v>
      </c>
      <c r="B10910" t="s">
        <v>406</v>
      </c>
      <c r="C10910" t="s">
        <v>551</v>
      </c>
      <c r="D10910" t="s">
        <v>554</v>
      </c>
      <c r="E10910" t="s">
        <v>555</v>
      </c>
      <c r="F10910" t="s">
        <v>410</v>
      </c>
      <c r="G10910">
        <v>55</v>
      </c>
      <c r="I10910">
        <v>55</v>
      </c>
    </row>
    <row r="10911" spans="1:17" x14ac:dyDescent="0.2">
      <c r="A10911" s="121">
        <v>42825</v>
      </c>
      <c r="B10911" t="s">
        <v>406</v>
      </c>
      <c r="C10911" t="s">
        <v>551</v>
      </c>
      <c r="D10911" t="s">
        <v>556</v>
      </c>
      <c r="E10911" t="s">
        <v>557</v>
      </c>
      <c r="F10911" t="s">
        <v>410</v>
      </c>
      <c r="G10911">
        <v>79</v>
      </c>
      <c r="I10911">
        <v>79</v>
      </c>
    </row>
    <row r="10912" spans="1:17" x14ac:dyDescent="0.2">
      <c r="A10912" s="121">
        <v>42825</v>
      </c>
      <c r="B10912" t="s">
        <v>406</v>
      </c>
      <c r="C10912" t="s">
        <v>551</v>
      </c>
      <c r="D10912" t="s">
        <v>558</v>
      </c>
      <c r="E10912" t="s">
        <v>559</v>
      </c>
      <c r="F10912" t="s">
        <v>413</v>
      </c>
      <c r="G10912">
        <v>5493</v>
      </c>
      <c r="H10912">
        <v>5493</v>
      </c>
      <c r="I10912">
        <v>4842</v>
      </c>
      <c r="J10912">
        <v>4842</v>
      </c>
      <c r="K10912">
        <v>1628</v>
      </c>
      <c r="L10912">
        <v>5</v>
      </c>
      <c r="M10912">
        <v>3773</v>
      </c>
      <c r="N10912">
        <v>61</v>
      </c>
      <c r="O10912">
        <v>26</v>
      </c>
      <c r="P10912">
        <v>95</v>
      </c>
      <c r="Q10912">
        <v>13</v>
      </c>
    </row>
    <row r="10913" spans="1:17" x14ac:dyDescent="0.2">
      <c r="A10913" s="121">
        <v>42825</v>
      </c>
      <c r="B10913" t="s">
        <v>406</v>
      </c>
      <c r="C10913" t="s">
        <v>551</v>
      </c>
      <c r="D10913" t="s">
        <v>560</v>
      </c>
      <c r="E10913" t="s">
        <v>561</v>
      </c>
      <c r="F10913" t="s">
        <v>413</v>
      </c>
      <c r="G10913">
        <v>5696</v>
      </c>
      <c r="H10913">
        <v>5696</v>
      </c>
      <c r="I10913">
        <v>4913</v>
      </c>
      <c r="J10913">
        <v>4913</v>
      </c>
      <c r="K10913">
        <v>1381</v>
      </c>
      <c r="L10913">
        <v>8</v>
      </c>
      <c r="M10913">
        <v>4122</v>
      </c>
      <c r="N10913">
        <v>67</v>
      </c>
      <c r="O10913">
        <v>118</v>
      </c>
      <c r="P10913">
        <v>109</v>
      </c>
      <c r="Q10913">
        <v>25</v>
      </c>
    </row>
    <row r="10914" spans="1:17" x14ac:dyDescent="0.2">
      <c r="A10914" s="121">
        <v>42825</v>
      </c>
      <c r="B10914" t="s">
        <v>406</v>
      </c>
      <c r="C10914" t="s">
        <v>562</v>
      </c>
      <c r="D10914" t="s">
        <v>605</v>
      </c>
      <c r="E10914" t="s">
        <v>606</v>
      </c>
      <c r="F10914" t="s">
        <v>410</v>
      </c>
      <c r="G10914">
        <v>147</v>
      </c>
      <c r="I10914">
        <v>147</v>
      </c>
    </row>
    <row r="10915" spans="1:17" x14ac:dyDescent="0.2">
      <c r="A10915" s="121">
        <v>42825</v>
      </c>
      <c r="B10915" t="s">
        <v>406</v>
      </c>
      <c r="C10915" t="s">
        <v>562</v>
      </c>
      <c r="D10915" t="s">
        <v>563</v>
      </c>
      <c r="E10915" t="s">
        <v>564</v>
      </c>
      <c r="F10915" t="s">
        <v>410</v>
      </c>
      <c r="G10915">
        <v>3959</v>
      </c>
      <c r="H10915">
        <v>3959</v>
      </c>
      <c r="I10915">
        <v>3688</v>
      </c>
      <c r="J10915">
        <v>3688</v>
      </c>
      <c r="K10915">
        <v>1179</v>
      </c>
      <c r="L10915">
        <v>0</v>
      </c>
      <c r="M10915">
        <v>2768</v>
      </c>
      <c r="N10915">
        <v>12</v>
      </c>
      <c r="O10915">
        <v>0</v>
      </c>
      <c r="P10915">
        <v>49</v>
      </c>
      <c r="Q10915">
        <v>14</v>
      </c>
    </row>
    <row r="10916" spans="1:17" x14ac:dyDescent="0.2">
      <c r="A10916" s="121">
        <v>42825</v>
      </c>
      <c r="B10916" t="s">
        <v>406</v>
      </c>
      <c r="C10916" t="s">
        <v>562</v>
      </c>
      <c r="D10916" t="s">
        <v>565</v>
      </c>
      <c r="E10916" t="s">
        <v>566</v>
      </c>
      <c r="F10916" t="s">
        <v>413</v>
      </c>
      <c r="G10916">
        <v>4759</v>
      </c>
      <c r="H10916">
        <v>4759</v>
      </c>
      <c r="I10916">
        <v>4543</v>
      </c>
      <c r="J10916">
        <v>4543</v>
      </c>
      <c r="K10916">
        <v>1012</v>
      </c>
      <c r="L10916">
        <v>4</v>
      </c>
      <c r="M10916">
        <v>3646</v>
      </c>
      <c r="N10916">
        <v>97</v>
      </c>
      <c r="O10916">
        <v>0</v>
      </c>
      <c r="P10916">
        <v>6</v>
      </c>
      <c r="Q10916">
        <v>0</v>
      </c>
    </row>
    <row r="10917" spans="1:17" x14ac:dyDescent="0.2">
      <c r="A10917" s="121">
        <v>42825</v>
      </c>
      <c r="B10917" t="s">
        <v>406</v>
      </c>
      <c r="C10917" t="s">
        <v>562</v>
      </c>
      <c r="D10917" t="s">
        <v>567</v>
      </c>
      <c r="E10917" t="s">
        <v>568</v>
      </c>
      <c r="F10917" t="s">
        <v>413</v>
      </c>
      <c r="G10917">
        <v>9959</v>
      </c>
      <c r="H10917">
        <v>9959</v>
      </c>
      <c r="I10917">
        <v>9546</v>
      </c>
      <c r="J10917">
        <v>9546</v>
      </c>
      <c r="K10917">
        <v>2700</v>
      </c>
      <c r="L10917">
        <v>14</v>
      </c>
      <c r="M10917">
        <v>7104</v>
      </c>
      <c r="N10917">
        <v>141</v>
      </c>
      <c r="O10917">
        <v>0</v>
      </c>
      <c r="P10917">
        <v>66</v>
      </c>
      <c r="Q10917">
        <v>5</v>
      </c>
    </row>
    <row r="10918" spans="1:17" x14ac:dyDescent="0.2">
      <c r="A10918" s="121">
        <v>42825</v>
      </c>
      <c r="B10918" t="s">
        <v>406</v>
      </c>
      <c r="C10918" t="s">
        <v>562</v>
      </c>
      <c r="D10918" t="s">
        <v>569</v>
      </c>
      <c r="E10918" t="s">
        <v>570</v>
      </c>
      <c r="F10918" t="s">
        <v>413</v>
      </c>
      <c r="G10918">
        <v>4652</v>
      </c>
      <c r="H10918">
        <v>4652</v>
      </c>
      <c r="I10918">
        <v>4547</v>
      </c>
      <c r="J10918">
        <v>4547</v>
      </c>
      <c r="K10918">
        <v>535</v>
      </c>
      <c r="L10918">
        <v>1</v>
      </c>
      <c r="M10918">
        <v>4047</v>
      </c>
      <c r="N10918">
        <v>69</v>
      </c>
      <c r="O10918">
        <v>0</v>
      </c>
      <c r="P10918">
        <v>0</v>
      </c>
      <c r="Q10918">
        <v>0</v>
      </c>
    </row>
    <row r="10919" spans="1:17" x14ac:dyDescent="0.2">
      <c r="A10919" s="121">
        <v>42825</v>
      </c>
      <c r="B10919" t="s">
        <v>406</v>
      </c>
      <c r="C10919" t="s">
        <v>571</v>
      </c>
      <c r="D10919" t="s">
        <v>572</v>
      </c>
      <c r="E10919" t="s">
        <v>627</v>
      </c>
      <c r="F10919" t="s">
        <v>413</v>
      </c>
      <c r="G10919">
        <v>477</v>
      </c>
      <c r="H10919">
        <v>477</v>
      </c>
      <c r="I10919">
        <v>465</v>
      </c>
      <c r="J10919">
        <v>465</v>
      </c>
      <c r="K10919">
        <v>117</v>
      </c>
      <c r="L10919">
        <v>0</v>
      </c>
      <c r="M10919">
        <v>355</v>
      </c>
      <c r="N10919">
        <v>4</v>
      </c>
      <c r="O10919">
        <v>1</v>
      </c>
      <c r="P10919">
        <v>0</v>
      </c>
      <c r="Q10919">
        <v>0</v>
      </c>
    </row>
    <row r="10920" spans="1:17" x14ac:dyDescent="0.2">
      <c r="A10920" s="121">
        <v>42825</v>
      </c>
      <c r="B10920" t="s">
        <v>406</v>
      </c>
      <c r="C10920" t="s">
        <v>574</v>
      </c>
      <c r="D10920" t="s">
        <v>575</v>
      </c>
      <c r="E10920" t="s">
        <v>576</v>
      </c>
      <c r="F10920" t="s">
        <v>413</v>
      </c>
      <c r="G10920">
        <v>591</v>
      </c>
      <c r="H10920">
        <v>591</v>
      </c>
      <c r="I10920">
        <v>574</v>
      </c>
      <c r="J10920">
        <v>574</v>
      </c>
      <c r="K10920">
        <v>151</v>
      </c>
      <c r="L10920">
        <v>0</v>
      </c>
      <c r="M10920">
        <v>429</v>
      </c>
      <c r="N10920">
        <v>6</v>
      </c>
      <c r="O10920">
        <v>5</v>
      </c>
      <c r="P10920">
        <v>0</v>
      </c>
      <c r="Q10920">
        <v>0</v>
      </c>
    </row>
    <row r="10921" spans="1:17" x14ac:dyDescent="0.2">
      <c r="A10921" s="121">
        <v>42825</v>
      </c>
      <c r="B10921" t="s">
        <v>406</v>
      </c>
      <c r="C10921" t="s">
        <v>577</v>
      </c>
      <c r="D10921" t="s">
        <v>578</v>
      </c>
      <c r="E10921" t="s">
        <v>579</v>
      </c>
      <c r="F10921" t="s">
        <v>413</v>
      </c>
      <c r="G10921">
        <v>3986</v>
      </c>
      <c r="H10921">
        <v>3986</v>
      </c>
      <c r="I10921">
        <v>3934</v>
      </c>
      <c r="J10921">
        <v>3934</v>
      </c>
      <c r="K10921">
        <v>1242</v>
      </c>
      <c r="L10921">
        <v>13</v>
      </c>
      <c r="M10921">
        <v>2456</v>
      </c>
      <c r="N10921">
        <v>262</v>
      </c>
      <c r="O10921">
        <v>13</v>
      </c>
      <c r="P10921">
        <v>1</v>
      </c>
      <c r="Q10921">
        <v>0</v>
      </c>
    </row>
    <row r="10922" spans="1:17" x14ac:dyDescent="0.2">
      <c r="A10922" s="121">
        <v>42825</v>
      </c>
      <c r="B10922" t="s">
        <v>406</v>
      </c>
      <c r="C10922" t="s">
        <v>577</v>
      </c>
      <c r="D10922" t="s">
        <v>580</v>
      </c>
      <c r="E10922" t="s">
        <v>581</v>
      </c>
      <c r="F10922" t="s">
        <v>413</v>
      </c>
      <c r="G10922">
        <v>2090</v>
      </c>
      <c r="H10922">
        <v>2090</v>
      </c>
      <c r="I10922">
        <v>2024</v>
      </c>
      <c r="J10922">
        <v>2024</v>
      </c>
      <c r="K10922">
        <v>420</v>
      </c>
      <c r="L10922">
        <v>3</v>
      </c>
      <c r="M10922">
        <v>1330</v>
      </c>
      <c r="N10922">
        <v>315</v>
      </c>
      <c r="O10922">
        <v>22</v>
      </c>
      <c r="P10922">
        <v>2</v>
      </c>
      <c r="Q10922">
        <v>0</v>
      </c>
    </row>
    <row r="10923" spans="1:17" x14ac:dyDescent="0.2">
      <c r="A10923" s="121">
        <v>42825</v>
      </c>
      <c r="B10923" t="s">
        <v>406</v>
      </c>
      <c r="C10923" t="s">
        <v>577</v>
      </c>
      <c r="D10923" t="s">
        <v>609</v>
      </c>
      <c r="E10923" t="s">
        <v>610</v>
      </c>
      <c r="F10923" t="s">
        <v>410</v>
      </c>
      <c r="G10923">
        <v>38</v>
      </c>
      <c r="H10923">
        <v>38</v>
      </c>
      <c r="I10923">
        <v>38</v>
      </c>
      <c r="J10923">
        <v>38</v>
      </c>
      <c r="K10923">
        <v>0</v>
      </c>
      <c r="L10923">
        <v>0</v>
      </c>
      <c r="M10923">
        <v>34</v>
      </c>
      <c r="N10923">
        <v>4</v>
      </c>
      <c r="O10923">
        <v>0</v>
      </c>
      <c r="P10923">
        <v>0</v>
      </c>
      <c r="Q10923">
        <v>0</v>
      </c>
    </row>
    <row r="10924" spans="1:17" x14ac:dyDescent="0.2">
      <c r="A10924" s="121">
        <v>42825</v>
      </c>
      <c r="B10924" t="s">
        <v>406</v>
      </c>
      <c r="C10924" t="s">
        <v>577</v>
      </c>
      <c r="D10924" t="s">
        <v>584</v>
      </c>
      <c r="E10924" t="s">
        <v>585</v>
      </c>
      <c r="F10924" t="s">
        <v>410</v>
      </c>
      <c r="G10924">
        <v>284</v>
      </c>
      <c r="H10924">
        <v>284</v>
      </c>
      <c r="I10924">
        <v>280</v>
      </c>
      <c r="J10924">
        <v>280</v>
      </c>
      <c r="K10924">
        <v>0</v>
      </c>
      <c r="L10924">
        <v>0</v>
      </c>
      <c r="M10924">
        <v>269</v>
      </c>
      <c r="N10924">
        <v>15</v>
      </c>
      <c r="O10924">
        <v>0</v>
      </c>
      <c r="P10924">
        <v>0</v>
      </c>
      <c r="Q10924">
        <v>0</v>
      </c>
    </row>
    <row r="10925" spans="1:17" x14ac:dyDescent="0.2">
      <c r="A10925" s="121">
        <v>42825</v>
      </c>
      <c r="B10925" t="s">
        <v>406</v>
      </c>
      <c r="C10925" t="s">
        <v>577</v>
      </c>
      <c r="D10925" t="s">
        <v>586</v>
      </c>
      <c r="E10925" t="s">
        <v>587</v>
      </c>
      <c r="F10925" t="s">
        <v>410</v>
      </c>
      <c r="G10925">
        <v>1102</v>
      </c>
      <c r="H10925">
        <v>1102</v>
      </c>
      <c r="I10925">
        <v>1101</v>
      </c>
      <c r="J10925">
        <v>1101</v>
      </c>
      <c r="K10925">
        <v>0</v>
      </c>
      <c r="L10925">
        <v>1</v>
      </c>
      <c r="M10925">
        <v>1006</v>
      </c>
      <c r="N10925">
        <v>92</v>
      </c>
      <c r="O10925">
        <v>3</v>
      </c>
      <c r="P10925">
        <v>0</v>
      </c>
      <c r="Q10925">
        <v>0</v>
      </c>
    </row>
    <row r="10926" spans="1:17" x14ac:dyDescent="0.2">
      <c r="A10926" s="121">
        <v>42825</v>
      </c>
      <c r="B10926" t="s">
        <v>406</v>
      </c>
      <c r="C10926" t="s">
        <v>577</v>
      </c>
      <c r="D10926" t="s">
        <v>588</v>
      </c>
      <c r="E10926" t="s">
        <v>589</v>
      </c>
      <c r="F10926" t="s">
        <v>410</v>
      </c>
      <c r="G10926">
        <v>181</v>
      </c>
      <c r="H10926">
        <v>181</v>
      </c>
      <c r="I10926">
        <v>181</v>
      </c>
      <c r="J10926">
        <v>181</v>
      </c>
      <c r="K10926">
        <v>0</v>
      </c>
      <c r="L10926">
        <v>0</v>
      </c>
      <c r="M10926">
        <v>172</v>
      </c>
      <c r="N10926">
        <v>9</v>
      </c>
      <c r="O10926">
        <v>0</v>
      </c>
      <c r="P10926">
        <v>0</v>
      </c>
      <c r="Q10926">
        <v>0</v>
      </c>
    </row>
    <row r="10927" spans="1:17" x14ac:dyDescent="0.2">
      <c r="A10927" s="121">
        <v>42825</v>
      </c>
      <c r="B10927" t="s">
        <v>406</v>
      </c>
      <c r="C10927" t="s">
        <v>577</v>
      </c>
      <c r="D10927" t="s">
        <v>613</v>
      </c>
      <c r="E10927" t="s">
        <v>614</v>
      </c>
      <c r="F10927" t="s">
        <v>410</v>
      </c>
      <c r="G10927">
        <v>88</v>
      </c>
      <c r="H10927">
        <v>88</v>
      </c>
      <c r="I10927">
        <v>88</v>
      </c>
      <c r="J10927">
        <v>88</v>
      </c>
      <c r="K10927">
        <v>1</v>
      </c>
      <c r="L10927">
        <v>0</v>
      </c>
      <c r="M10927">
        <v>77</v>
      </c>
      <c r="N10927">
        <v>8</v>
      </c>
      <c r="O10927">
        <v>2</v>
      </c>
      <c r="P10927">
        <v>0</v>
      </c>
      <c r="Q10927">
        <v>0</v>
      </c>
    </row>
    <row r="10928" spans="1:17" x14ac:dyDescent="0.2">
      <c r="A10928" s="121">
        <v>42825</v>
      </c>
      <c r="B10928" t="s">
        <v>406</v>
      </c>
      <c r="C10928" t="s">
        <v>577</v>
      </c>
      <c r="D10928" t="s">
        <v>590</v>
      </c>
      <c r="E10928" t="s">
        <v>591</v>
      </c>
      <c r="F10928" t="s">
        <v>410</v>
      </c>
      <c r="G10928">
        <v>545</v>
      </c>
      <c r="H10928">
        <v>545</v>
      </c>
      <c r="I10928">
        <v>545</v>
      </c>
      <c r="J10928">
        <v>545</v>
      </c>
      <c r="K10928">
        <v>0</v>
      </c>
      <c r="L10928">
        <v>0</v>
      </c>
      <c r="M10928">
        <v>515</v>
      </c>
      <c r="N10928">
        <v>29</v>
      </c>
      <c r="O10928">
        <v>1</v>
      </c>
      <c r="P10928">
        <v>0</v>
      </c>
      <c r="Q10928">
        <v>0</v>
      </c>
    </row>
    <row r="10929" spans="1:17" x14ac:dyDescent="0.2">
      <c r="A10929" s="121">
        <v>42825</v>
      </c>
      <c r="B10929" t="s">
        <v>406</v>
      </c>
      <c r="C10929" t="s">
        <v>577</v>
      </c>
      <c r="D10929" t="s">
        <v>607</v>
      </c>
      <c r="E10929" t="s">
        <v>608</v>
      </c>
      <c r="F10929" t="s">
        <v>410</v>
      </c>
      <c r="G10929">
        <v>164</v>
      </c>
      <c r="H10929">
        <v>164</v>
      </c>
      <c r="I10929">
        <v>164</v>
      </c>
      <c r="J10929">
        <v>164</v>
      </c>
      <c r="K10929">
        <v>0</v>
      </c>
      <c r="L10929">
        <v>0</v>
      </c>
      <c r="M10929">
        <v>153</v>
      </c>
      <c r="N10929">
        <v>10</v>
      </c>
      <c r="O10929">
        <v>1</v>
      </c>
      <c r="P10929">
        <v>0</v>
      </c>
      <c r="Q10929">
        <v>0</v>
      </c>
    </row>
    <row r="10930" spans="1:17" x14ac:dyDescent="0.2">
      <c r="A10930" s="121">
        <v>42825</v>
      </c>
      <c r="B10930" t="s">
        <v>406</v>
      </c>
      <c r="C10930" t="s">
        <v>577</v>
      </c>
      <c r="D10930" t="s">
        <v>592</v>
      </c>
      <c r="E10930" t="s">
        <v>593</v>
      </c>
      <c r="F10930" t="s">
        <v>410</v>
      </c>
      <c r="G10930">
        <v>383</v>
      </c>
      <c r="H10930">
        <v>383</v>
      </c>
      <c r="I10930">
        <v>383</v>
      </c>
      <c r="J10930">
        <v>383</v>
      </c>
      <c r="K10930">
        <v>0</v>
      </c>
      <c r="L10930">
        <v>0</v>
      </c>
      <c r="M10930">
        <v>364</v>
      </c>
      <c r="N10930">
        <v>16</v>
      </c>
      <c r="O10930">
        <v>3</v>
      </c>
      <c r="P10930">
        <v>0</v>
      </c>
      <c r="Q10930">
        <v>0</v>
      </c>
    </row>
    <row r="10931" spans="1:17" x14ac:dyDescent="0.2">
      <c r="A10931" s="121">
        <v>42825</v>
      </c>
      <c r="B10931" t="s">
        <v>406</v>
      </c>
      <c r="C10931" t="s">
        <v>594</v>
      </c>
      <c r="D10931" t="s">
        <v>595</v>
      </c>
      <c r="E10931" t="s">
        <v>596</v>
      </c>
      <c r="F10931" t="s">
        <v>410</v>
      </c>
      <c r="G10931">
        <v>35</v>
      </c>
      <c r="I10931">
        <v>35</v>
      </c>
    </row>
    <row r="10932" spans="1:17" x14ac:dyDescent="0.2">
      <c r="A10932" s="121">
        <v>42825</v>
      </c>
      <c r="B10932" t="s">
        <v>406</v>
      </c>
      <c r="C10932" t="s">
        <v>594</v>
      </c>
      <c r="D10932" t="s">
        <v>597</v>
      </c>
      <c r="E10932" t="s">
        <v>598</v>
      </c>
      <c r="F10932" t="s">
        <v>413</v>
      </c>
      <c r="G10932">
        <v>511</v>
      </c>
      <c r="H10932">
        <v>511</v>
      </c>
      <c r="I10932">
        <v>506</v>
      </c>
      <c r="J10932">
        <v>506</v>
      </c>
      <c r="K10932">
        <v>148</v>
      </c>
      <c r="L10932">
        <v>1</v>
      </c>
      <c r="M10932">
        <v>347</v>
      </c>
      <c r="N10932">
        <v>5</v>
      </c>
      <c r="O10932">
        <v>10</v>
      </c>
      <c r="P10932">
        <v>0</v>
      </c>
      <c r="Q10932">
        <v>0</v>
      </c>
    </row>
    <row r="10933" spans="1:17" x14ac:dyDescent="0.2">
      <c r="A10933" s="121">
        <v>42825</v>
      </c>
      <c r="B10933" t="s">
        <v>406</v>
      </c>
      <c r="C10933" t="s">
        <v>594</v>
      </c>
      <c r="D10933" t="s">
        <v>599</v>
      </c>
      <c r="E10933" t="s">
        <v>600</v>
      </c>
      <c r="F10933" t="s">
        <v>410</v>
      </c>
      <c r="G10933">
        <v>122</v>
      </c>
      <c r="H10933">
        <v>122</v>
      </c>
      <c r="I10933">
        <v>122</v>
      </c>
      <c r="J10933">
        <v>122</v>
      </c>
      <c r="K10933">
        <v>13</v>
      </c>
      <c r="L10933">
        <v>0</v>
      </c>
      <c r="M10933">
        <v>109</v>
      </c>
      <c r="N10933">
        <v>0</v>
      </c>
      <c r="O10933">
        <v>0</v>
      </c>
      <c r="P10933">
        <v>0</v>
      </c>
      <c r="Q10933">
        <v>0</v>
      </c>
    </row>
    <row r="10934" spans="1:17" x14ac:dyDescent="0.2">
      <c r="A10934" s="121">
        <v>42855</v>
      </c>
      <c r="B10934" t="s">
        <v>406</v>
      </c>
      <c r="C10934" t="s">
        <v>407</v>
      </c>
      <c r="D10934" t="s">
        <v>408</v>
      </c>
      <c r="E10934" t="s">
        <v>409</v>
      </c>
      <c r="F10934" t="s">
        <v>410</v>
      </c>
      <c r="G10934">
        <v>230</v>
      </c>
      <c r="I10934">
        <v>224</v>
      </c>
    </row>
    <row r="10935" spans="1:17" x14ac:dyDescent="0.2">
      <c r="A10935" s="121">
        <v>42855</v>
      </c>
      <c r="B10935" t="s">
        <v>406</v>
      </c>
      <c r="C10935" t="s">
        <v>407</v>
      </c>
      <c r="D10935" t="s">
        <v>601</v>
      </c>
      <c r="E10935" t="s">
        <v>602</v>
      </c>
      <c r="F10935" t="s">
        <v>410</v>
      </c>
      <c r="G10935">
        <v>79</v>
      </c>
      <c r="I10935">
        <v>79</v>
      </c>
    </row>
    <row r="10936" spans="1:17" x14ac:dyDescent="0.2">
      <c r="A10936" s="121">
        <v>42855</v>
      </c>
      <c r="B10936" t="s">
        <v>406</v>
      </c>
      <c r="C10936" t="s">
        <v>407</v>
      </c>
      <c r="D10936" t="s">
        <v>411</v>
      </c>
      <c r="E10936" t="s">
        <v>412</v>
      </c>
      <c r="F10936" t="s">
        <v>413</v>
      </c>
      <c r="G10936">
        <v>5797</v>
      </c>
      <c r="H10936">
        <v>5797</v>
      </c>
      <c r="I10936">
        <v>5540</v>
      </c>
      <c r="J10936">
        <v>5540</v>
      </c>
      <c r="K10936">
        <v>2088</v>
      </c>
      <c r="L10936">
        <v>7</v>
      </c>
      <c r="M10936">
        <v>3329</v>
      </c>
      <c r="N10936">
        <v>140</v>
      </c>
      <c r="O10936">
        <v>233</v>
      </c>
      <c r="P10936">
        <v>20</v>
      </c>
      <c r="Q10936">
        <v>3</v>
      </c>
    </row>
    <row r="10937" spans="1:17" x14ac:dyDescent="0.2">
      <c r="A10937" s="121">
        <v>42855</v>
      </c>
      <c r="B10937" t="s">
        <v>406</v>
      </c>
      <c r="C10937" t="s">
        <v>407</v>
      </c>
      <c r="D10937" t="s">
        <v>416</v>
      </c>
      <c r="E10937" t="s">
        <v>417</v>
      </c>
      <c r="F10937" t="s">
        <v>413</v>
      </c>
      <c r="G10937">
        <v>3850</v>
      </c>
      <c r="H10937">
        <v>3850</v>
      </c>
      <c r="I10937">
        <v>3719</v>
      </c>
      <c r="J10937">
        <v>3719</v>
      </c>
      <c r="K10937">
        <v>1369</v>
      </c>
      <c r="L10937">
        <v>4</v>
      </c>
      <c r="M10937">
        <v>2214</v>
      </c>
      <c r="N10937">
        <v>135</v>
      </c>
      <c r="O10937">
        <v>128</v>
      </c>
      <c r="P10937">
        <v>10</v>
      </c>
      <c r="Q10937">
        <v>0</v>
      </c>
    </row>
    <row r="10938" spans="1:17" x14ac:dyDescent="0.2">
      <c r="A10938" s="121">
        <v>42855</v>
      </c>
      <c r="B10938" t="s">
        <v>406</v>
      </c>
      <c r="C10938" t="s">
        <v>407</v>
      </c>
      <c r="D10938" t="s">
        <v>618</v>
      </c>
      <c r="E10938" t="s">
        <v>619</v>
      </c>
      <c r="F10938" t="s">
        <v>410</v>
      </c>
      <c r="G10938">
        <v>84</v>
      </c>
      <c r="I10938">
        <v>84</v>
      </c>
    </row>
    <row r="10939" spans="1:17" x14ac:dyDescent="0.2">
      <c r="A10939" s="121">
        <v>42855</v>
      </c>
      <c r="B10939" t="s">
        <v>406</v>
      </c>
      <c r="C10939" t="s">
        <v>418</v>
      </c>
      <c r="D10939" t="s">
        <v>419</v>
      </c>
      <c r="E10939" t="s">
        <v>420</v>
      </c>
      <c r="F10939" t="s">
        <v>410</v>
      </c>
      <c r="G10939">
        <v>8</v>
      </c>
      <c r="I10939">
        <v>8</v>
      </c>
    </row>
    <row r="10940" spans="1:17" x14ac:dyDescent="0.2">
      <c r="A10940" s="121">
        <v>42855</v>
      </c>
      <c r="B10940" t="s">
        <v>406</v>
      </c>
      <c r="C10940" t="s">
        <v>418</v>
      </c>
      <c r="D10940" t="s">
        <v>421</v>
      </c>
      <c r="E10940" t="s">
        <v>422</v>
      </c>
      <c r="F10940" t="s">
        <v>410</v>
      </c>
      <c r="G10940">
        <v>68</v>
      </c>
      <c r="I10940">
        <v>68</v>
      </c>
    </row>
    <row r="10941" spans="1:17" x14ac:dyDescent="0.2">
      <c r="A10941" s="121">
        <v>42855</v>
      </c>
      <c r="B10941" t="s">
        <v>406</v>
      </c>
      <c r="C10941" t="s">
        <v>418</v>
      </c>
      <c r="D10941" t="s">
        <v>423</v>
      </c>
      <c r="E10941" t="s">
        <v>424</v>
      </c>
      <c r="F10941" t="s">
        <v>410</v>
      </c>
      <c r="G10941">
        <v>6</v>
      </c>
      <c r="I10941">
        <v>6</v>
      </c>
    </row>
    <row r="10942" spans="1:17" x14ac:dyDescent="0.2">
      <c r="A10942" s="121">
        <v>42855</v>
      </c>
      <c r="B10942" t="s">
        <v>406</v>
      </c>
      <c r="C10942" t="s">
        <v>418</v>
      </c>
      <c r="D10942" t="s">
        <v>425</v>
      </c>
      <c r="E10942" t="s">
        <v>426</v>
      </c>
      <c r="F10942" t="s">
        <v>410</v>
      </c>
      <c r="G10942">
        <v>39</v>
      </c>
      <c r="I10942">
        <v>39</v>
      </c>
    </row>
    <row r="10943" spans="1:17" x14ac:dyDescent="0.2">
      <c r="A10943" s="121">
        <v>42855</v>
      </c>
      <c r="B10943" t="s">
        <v>406</v>
      </c>
      <c r="C10943" t="s">
        <v>418</v>
      </c>
      <c r="D10943" t="s">
        <v>427</v>
      </c>
      <c r="E10943" t="s">
        <v>428</v>
      </c>
      <c r="F10943" t="s">
        <v>413</v>
      </c>
      <c r="G10943">
        <v>2567</v>
      </c>
      <c r="H10943">
        <v>2567</v>
      </c>
      <c r="I10943">
        <v>2395</v>
      </c>
      <c r="J10943">
        <v>2395</v>
      </c>
      <c r="K10943">
        <v>844</v>
      </c>
      <c r="L10943">
        <v>3</v>
      </c>
      <c r="M10943">
        <v>1514</v>
      </c>
      <c r="N10943">
        <v>191</v>
      </c>
      <c r="O10943">
        <v>15</v>
      </c>
      <c r="P10943">
        <v>7</v>
      </c>
      <c r="Q10943">
        <v>0</v>
      </c>
    </row>
    <row r="10944" spans="1:17" x14ac:dyDescent="0.2">
      <c r="A10944" s="121">
        <v>42855</v>
      </c>
      <c r="B10944" t="s">
        <v>406</v>
      </c>
      <c r="C10944" t="s">
        <v>429</v>
      </c>
      <c r="D10944" t="s">
        <v>430</v>
      </c>
      <c r="E10944" t="s">
        <v>431</v>
      </c>
      <c r="F10944" t="s">
        <v>410</v>
      </c>
      <c r="G10944">
        <v>18</v>
      </c>
      <c r="I10944">
        <v>18</v>
      </c>
    </row>
    <row r="10945" spans="1:17" x14ac:dyDescent="0.2">
      <c r="A10945" s="121">
        <v>42855</v>
      </c>
      <c r="B10945" t="s">
        <v>406</v>
      </c>
      <c r="C10945" t="s">
        <v>429</v>
      </c>
      <c r="D10945" t="s">
        <v>432</v>
      </c>
      <c r="E10945" t="s">
        <v>433</v>
      </c>
      <c r="F10945" t="s">
        <v>410</v>
      </c>
      <c r="G10945">
        <v>32</v>
      </c>
      <c r="I10945">
        <v>32</v>
      </c>
    </row>
    <row r="10946" spans="1:17" x14ac:dyDescent="0.2">
      <c r="A10946" s="121">
        <v>42855</v>
      </c>
      <c r="B10946" t="s">
        <v>406</v>
      </c>
      <c r="C10946" t="s">
        <v>429</v>
      </c>
      <c r="D10946" t="s">
        <v>434</v>
      </c>
      <c r="E10946" t="s">
        <v>435</v>
      </c>
      <c r="F10946" t="s">
        <v>410</v>
      </c>
      <c r="G10946">
        <v>3</v>
      </c>
      <c r="I10946">
        <v>3</v>
      </c>
    </row>
    <row r="10947" spans="1:17" x14ac:dyDescent="0.2">
      <c r="A10947" s="121">
        <v>42855</v>
      </c>
      <c r="B10947" t="s">
        <v>406</v>
      </c>
      <c r="C10947" t="s">
        <v>429</v>
      </c>
      <c r="D10947" t="s">
        <v>436</v>
      </c>
      <c r="E10947" t="s">
        <v>437</v>
      </c>
      <c r="F10947" t="s">
        <v>410</v>
      </c>
      <c r="G10947">
        <v>13</v>
      </c>
      <c r="H10947">
        <v>13</v>
      </c>
      <c r="I10947">
        <v>13</v>
      </c>
      <c r="J10947">
        <v>13</v>
      </c>
      <c r="K10947">
        <v>0</v>
      </c>
      <c r="L10947">
        <v>0</v>
      </c>
      <c r="M10947">
        <v>13</v>
      </c>
      <c r="N10947">
        <v>0</v>
      </c>
      <c r="O10947">
        <v>0</v>
      </c>
      <c r="P10947">
        <v>0</v>
      </c>
      <c r="Q10947">
        <v>0</v>
      </c>
    </row>
    <row r="10948" spans="1:17" x14ac:dyDescent="0.2">
      <c r="A10948" s="121">
        <v>42855</v>
      </c>
      <c r="B10948" t="s">
        <v>406</v>
      </c>
      <c r="C10948" t="s">
        <v>429</v>
      </c>
      <c r="D10948" t="s">
        <v>438</v>
      </c>
      <c r="E10948" t="s">
        <v>439</v>
      </c>
      <c r="F10948" t="s">
        <v>413</v>
      </c>
      <c r="G10948">
        <v>1028</v>
      </c>
      <c r="H10948">
        <v>1028</v>
      </c>
      <c r="I10948">
        <v>980</v>
      </c>
      <c r="J10948">
        <v>980</v>
      </c>
      <c r="K10948">
        <v>77</v>
      </c>
      <c r="L10948">
        <v>0</v>
      </c>
      <c r="M10948">
        <v>860</v>
      </c>
      <c r="N10948">
        <v>64</v>
      </c>
      <c r="O10948">
        <v>27</v>
      </c>
      <c r="P10948">
        <v>2</v>
      </c>
      <c r="Q10948">
        <v>1</v>
      </c>
    </row>
    <row r="10949" spans="1:17" x14ac:dyDescent="0.2">
      <c r="A10949" s="121">
        <v>42855</v>
      </c>
      <c r="B10949" t="s">
        <v>406</v>
      </c>
      <c r="C10949" t="s">
        <v>429</v>
      </c>
      <c r="D10949" t="s">
        <v>440</v>
      </c>
      <c r="E10949" t="s">
        <v>441</v>
      </c>
      <c r="F10949" t="s">
        <v>413</v>
      </c>
      <c r="G10949">
        <v>3079</v>
      </c>
      <c r="H10949">
        <v>3079</v>
      </c>
      <c r="I10949">
        <v>2870</v>
      </c>
      <c r="J10949">
        <v>2870</v>
      </c>
      <c r="K10949">
        <v>1121</v>
      </c>
      <c r="L10949">
        <v>4</v>
      </c>
      <c r="M10949">
        <v>1816</v>
      </c>
      <c r="N10949">
        <v>82</v>
      </c>
      <c r="O10949">
        <v>56</v>
      </c>
      <c r="P10949">
        <v>1</v>
      </c>
      <c r="Q10949">
        <v>0</v>
      </c>
    </row>
    <row r="10950" spans="1:17" x14ac:dyDescent="0.2">
      <c r="A10950" s="121">
        <v>42855</v>
      </c>
      <c r="B10950" t="s">
        <v>406</v>
      </c>
      <c r="C10950" t="s">
        <v>442</v>
      </c>
      <c r="D10950" t="s">
        <v>443</v>
      </c>
      <c r="E10950" t="s">
        <v>444</v>
      </c>
      <c r="F10950" t="s">
        <v>413</v>
      </c>
      <c r="G10950">
        <v>5375</v>
      </c>
      <c r="H10950">
        <v>5375</v>
      </c>
      <c r="I10950">
        <v>4852</v>
      </c>
      <c r="J10950">
        <v>4852</v>
      </c>
      <c r="K10950">
        <v>1533</v>
      </c>
      <c r="L10950">
        <v>20</v>
      </c>
      <c r="M10950">
        <v>3623</v>
      </c>
      <c r="N10950">
        <v>145</v>
      </c>
      <c r="O10950">
        <v>54</v>
      </c>
      <c r="P10950">
        <v>61</v>
      </c>
      <c r="Q10950">
        <v>10</v>
      </c>
    </row>
    <row r="10951" spans="1:17" x14ac:dyDescent="0.2">
      <c r="A10951" s="121">
        <v>42855</v>
      </c>
      <c r="B10951" t="s">
        <v>406</v>
      </c>
      <c r="C10951" t="s">
        <v>442</v>
      </c>
      <c r="D10951" t="s">
        <v>445</v>
      </c>
      <c r="E10951" t="s">
        <v>446</v>
      </c>
      <c r="F10951" t="s">
        <v>410</v>
      </c>
      <c r="G10951">
        <v>128</v>
      </c>
      <c r="H10951">
        <v>128</v>
      </c>
      <c r="I10951">
        <v>128</v>
      </c>
      <c r="J10951">
        <v>128</v>
      </c>
      <c r="K10951">
        <v>0</v>
      </c>
      <c r="L10951">
        <v>0</v>
      </c>
      <c r="M10951">
        <v>117</v>
      </c>
      <c r="N10951">
        <v>8</v>
      </c>
      <c r="O10951">
        <v>3</v>
      </c>
      <c r="P10951">
        <v>0</v>
      </c>
      <c r="Q10951">
        <v>0</v>
      </c>
    </row>
    <row r="10952" spans="1:17" x14ac:dyDescent="0.2">
      <c r="A10952" s="121">
        <v>42855</v>
      </c>
      <c r="B10952" t="s">
        <v>406</v>
      </c>
      <c r="C10952" t="s">
        <v>442</v>
      </c>
      <c r="D10952" t="s">
        <v>447</v>
      </c>
      <c r="E10952" t="s">
        <v>448</v>
      </c>
      <c r="F10952" t="s">
        <v>410</v>
      </c>
      <c r="G10952">
        <v>225</v>
      </c>
      <c r="I10952">
        <v>225</v>
      </c>
    </row>
    <row r="10953" spans="1:17" x14ac:dyDescent="0.2">
      <c r="A10953" s="121">
        <v>42855</v>
      </c>
      <c r="B10953" t="s">
        <v>406</v>
      </c>
      <c r="C10953" t="s">
        <v>442</v>
      </c>
      <c r="D10953" t="s">
        <v>449</v>
      </c>
      <c r="E10953" t="s">
        <v>624</v>
      </c>
      <c r="F10953" t="s">
        <v>410</v>
      </c>
      <c r="G10953">
        <v>1818</v>
      </c>
      <c r="H10953">
        <v>1818</v>
      </c>
      <c r="I10953">
        <v>1817</v>
      </c>
      <c r="J10953">
        <v>1817</v>
      </c>
      <c r="K10953">
        <v>24</v>
      </c>
      <c r="L10953">
        <v>0</v>
      </c>
      <c r="M10953">
        <v>1637</v>
      </c>
      <c r="N10953">
        <v>135</v>
      </c>
      <c r="O10953">
        <v>22</v>
      </c>
      <c r="P10953">
        <v>1</v>
      </c>
      <c r="Q10953">
        <v>1</v>
      </c>
    </row>
    <row r="10954" spans="1:17" x14ac:dyDescent="0.2">
      <c r="A10954" s="121">
        <v>42855</v>
      </c>
      <c r="B10954" t="s">
        <v>406</v>
      </c>
      <c r="C10954" t="s">
        <v>451</v>
      </c>
      <c r="D10954" t="s">
        <v>454</v>
      </c>
      <c r="E10954" t="s">
        <v>621</v>
      </c>
      <c r="F10954" t="s">
        <v>410</v>
      </c>
      <c r="G10954">
        <v>1438</v>
      </c>
      <c r="H10954">
        <v>1438</v>
      </c>
      <c r="I10954">
        <v>1433</v>
      </c>
      <c r="J10954">
        <v>1433</v>
      </c>
      <c r="K10954">
        <v>3</v>
      </c>
      <c r="L10954">
        <v>0</v>
      </c>
      <c r="M10954">
        <v>959</v>
      </c>
      <c r="N10954">
        <v>83</v>
      </c>
      <c r="O10954">
        <v>393</v>
      </c>
      <c r="P10954">
        <v>0</v>
      </c>
      <c r="Q10954">
        <v>0</v>
      </c>
    </row>
    <row r="10955" spans="1:17" x14ac:dyDescent="0.2">
      <c r="A10955" s="121">
        <v>42855</v>
      </c>
      <c r="B10955" t="s">
        <v>406</v>
      </c>
      <c r="C10955" t="s">
        <v>451</v>
      </c>
      <c r="D10955" t="s">
        <v>622</v>
      </c>
      <c r="E10955" t="s">
        <v>623</v>
      </c>
      <c r="F10955" t="s">
        <v>413</v>
      </c>
      <c r="G10955">
        <v>5476</v>
      </c>
      <c r="H10955">
        <v>5476</v>
      </c>
      <c r="I10955">
        <v>4851</v>
      </c>
      <c r="J10955">
        <v>4851</v>
      </c>
      <c r="K10955">
        <v>1535</v>
      </c>
      <c r="L10955">
        <v>9</v>
      </c>
      <c r="M10955">
        <v>3002</v>
      </c>
      <c r="N10955">
        <v>106</v>
      </c>
      <c r="O10955">
        <v>824</v>
      </c>
      <c r="P10955">
        <v>11</v>
      </c>
      <c r="Q10955">
        <v>0</v>
      </c>
    </row>
    <row r="10956" spans="1:17" x14ac:dyDescent="0.2">
      <c r="A10956" s="121">
        <v>42855</v>
      </c>
      <c r="B10956" t="s">
        <v>406</v>
      </c>
      <c r="C10956" t="s">
        <v>456</v>
      </c>
      <c r="D10956" t="s">
        <v>457</v>
      </c>
      <c r="E10956" t="s">
        <v>458</v>
      </c>
      <c r="F10956" t="s">
        <v>413</v>
      </c>
      <c r="G10956">
        <v>4739</v>
      </c>
      <c r="H10956">
        <v>4739</v>
      </c>
      <c r="I10956">
        <v>4393</v>
      </c>
      <c r="J10956">
        <v>4393</v>
      </c>
      <c r="K10956">
        <v>1330</v>
      </c>
      <c r="L10956">
        <v>15</v>
      </c>
      <c r="M10956">
        <v>3017</v>
      </c>
      <c r="N10956">
        <v>18</v>
      </c>
      <c r="O10956">
        <v>359</v>
      </c>
      <c r="P10956">
        <v>9</v>
      </c>
      <c r="Q10956">
        <v>0</v>
      </c>
    </row>
    <row r="10957" spans="1:17" x14ac:dyDescent="0.2">
      <c r="A10957" s="121">
        <v>42855</v>
      </c>
      <c r="B10957" t="s">
        <v>406</v>
      </c>
      <c r="C10957" t="s">
        <v>456</v>
      </c>
      <c r="D10957" t="s">
        <v>459</v>
      </c>
      <c r="E10957" t="s">
        <v>460</v>
      </c>
      <c r="F10957" t="s">
        <v>413</v>
      </c>
      <c r="G10957">
        <v>1262</v>
      </c>
      <c r="H10957">
        <v>1262</v>
      </c>
      <c r="I10957">
        <v>1245</v>
      </c>
      <c r="J10957">
        <v>1245</v>
      </c>
      <c r="K10957">
        <v>134</v>
      </c>
      <c r="L10957">
        <v>0</v>
      </c>
      <c r="M10957">
        <v>1038</v>
      </c>
      <c r="N10957">
        <v>0</v>
      </c>
      <c r="O10957">
        <v>90</v>
      </c>
      <c r="P10957">
        <v>0</v>
      </c>
      <c r="Q10957">
        <v>0</v>
      </c>
    </row>
    <row r="10958" spans="1:17" x14ac:dyDescent="0.2">
      <c r="A10958" s="121">
        <v>42855</v>
      </c>
      <c r="B10958" t="s">
        <v>406</v>
      </c>
      <c r="C10958" t="s">
        <v>456</v>
      </c>
      <c r="D10958" t="s">
        <v>461</v>
      </c>
      <c r="E10958" t="s">
        <v>462</v>
      </c>
      <c r="F10958" t="s">
        <v>410</v>
      </c>
      <c r="G10958">
        <v>99</v>
      </c>
      <c r="I10958">
        <v>99</v>
      </c>
    </row>
    <row r="10959" spans="1:17" x14ac:dyDescent="0.2">
      <c r="A10959" s="121">
        <v>42855</v>
      </c>
      <c r="B10959" t="s">
        <v>406</v>
      </c>
      <c r="C10959" t="s">
        <v>456</v>
      </c>
      <c r="D10959" t="s">
        <v>463</v>
      </c>
      <c r="E10959" t="s">
        <v>464</v>
      </c>
      <c r="F10959" t="s">
        <v>410</v>
      </c>
      <c r="G10959">
        <v>9</v>
      </c>
      <c r="I10959">
        <v>9</v>
      </c>
    </row>
    <row r="10960" spans="1:17" x14ac:dyDescent="0.2">
      <c r="A10960" s="121">
        <v>42855</v>
      </c>
      <c r="B10960" t="s">
        <v>406</v>
      </c>
      <c r="C10960" t="s">
        <v>456</v>
      </c>
      <c r="D10960" t="s">
        <v>465</v>
      </c>
      <c r="E10960" t="s">
        <v>466</v>
      </c>
      <c r="F10960" t="s">
        <v>410</v>
      </c>
      <c r="G10960">
        <v>26</v>
      </c>
      <c r="I10960">
        <v>26</v>
      </c>
    </row>
    <row r="10961" spans="1:17" x14ac:dyDescent="0.2">
      <c r="A10961" s="121">
        <v>42855</v>
      </c>
      <c r="B10961" t="s">
        <v>406</v>
      </c>
      <c r="C10961" t="s">
        <v>456</v>
      </c>
      <c r="D10961" t="s">
        <v>467</v>
      </c>
      <c r="E10961" t="s">
        <v>468</v>
      </c>
      <c r="F10961" t="s">
        <v>410</v>
      </c>
      <c r="G10961">
        <v>1315</v>
      </c>
      <c r="I10961">
        <v>1315</v>
      </c>
    </row>
    <row r="10962" spans="1:17" x14ac:dyDescent="0.2">
      <c r="A10962" s="121">
        <v>42855</v>
      </c>
      <c r="B10962" t="s">
        <v>406</v>
      </c>
      <c r="C10962" t="s">
        <v>456</v>
      </c>
      <c r="D10962" t="s">
        <v>469</v>
      </c>
      <c r="E10962" t="s">
        <v>470</v>
      </c>
      <c r="F10962" t="s">
        <v>410</v>
      </c>
      <c r="G10962">
        <v>705</v>
      </c>
      <c r="I10962">
        <v>703</v>
      </c>
    </row>
    <row r="10963" spans="1:17" x14ac:dyDescent="0.2">
      <c r="A10963" s="121">
        <v>42855</v>
      </c>
      <c r="B10963" t="s">
        <v>406</v>
      </c>
      <c r="C10963" t="s">
        <v>456</v>
      </c>
      <c r="D10963" t="s">
        <v>471</v>
      </c>
      <c r="E10963" t="s">
        <v>472</v>
      </c>
      <c r="F10963" t="s">
        <v>410</v>
      </c>
      <c r="G10963">
        <v>233</v>
      </c>
      <c r="I10963">
        <v>232</v>
      </c>
    </row>
    <row r="10964" spans="1:17" x14ac:dyDescent="0.2">
      <c r="A10964" s="121">
        <v>42855</v>
      </c>
      <c r="B10964" t="s">
        <v>406</v>
      </c>
      <c r="C10964" t="s">
        <v>456</v>
      </c>
      <c r="D10964" t="s">
        <v>473</v>
      </c>
      <c r="E10964" t="s">
        <v>474</v>
      </c>
      <c r="F10964" t="s">
        <v>410</v>
      </c>
      <c r="G10964">
        <v>192</v>
      </c>
      <c r="I10964">
        <v>192</v>
      </c>
    </row>
    <row r="10965" spans="1:17" x14ac:dyDescent="0.2">
      <c r="A10965" s="121">
        <v>42855</v>
      </c>
      <c r="B10965" t="s">
        <v>406</v>
      </c>
      <c r="C10965" t="s">
        <v>456</v>
      </c>
      <c r="D10965" t="s">
        <v>475</v>
      </c>
      <c r="E10965" t="s">
        <v>476</v>
      </c>
      <c r="F10965" t="s">
        <v>410</v>
      </c>
      <c r="G10965">
        <v>260</v>
      </c>
      <c r="I10965">
        <v>252</v>
      </c>
    </row>
    <row r="10966" spans="1:17" x14ac:dyDescent="0.2">
      <c r="A10966" s="121">
        <v>42855</v>
      </c>
      <c r="B10966" t="s">
        <v>406</v>
      </c>
      <c r="C10966" t="s">
        <v>456</v>
      </c>
      <c r="D10966" t="s">
        <v>477</v>
      </c>
      <c r="E10966" t="s">
        <v>478</v>
      </c>
      <c r="F10966" t="s">
        <v>413</v>
      </c>
      <c r="G10966">
        <v>2071</v>
      </c>
      <c r="H10966">
        <v>2071</v>
      </c>
      <c r="I10966">
        <v>2012</v>
      </c>
      <c r="J10966">
        <v>2012</v>
      </c>
      <c r="K10966">
        <v>377</v>
      </c>
      <c r="L10966">
        <v>3</v>
      </c>
      <c r="M10966">
        <v>1643</v>
      </c>
      <c r="N10966">
        <v>17</v>
      </c>
      <c r="O10966">
        <v>31</v>
      </c>
      <c r="P10966">
        <v>1</v>
      </c>
      <c r="Q10966">
        <v>1</v>
      </c>
    </row>
    <row r="10967" spans="1:17" x14ac:dyDescent="0.2">
      <c r="A10967" s="121">
        <v>42855</v>
      </c>
      <c r="B10967" t="s">
        <v>406</v>
      </c>
      <c r="C10967" t="s">
        <v>456</v>
      </c>
      <c r="D10967" t="s">
        <v>479</v>
      </c>
      <c r="E10967" t="s">
        <v>480</v>
      </c>
      <c r="F10967" t="s">
        <v>410</v>
      </c>
      <c r="G10967">
        <v>55</v>
      </c>
      <c r="I10967">
        <v>55</v>
      </c>
    </row>
    <row r="10968" spans="1:17" x14ac:dyDescent="0.2">
      <c r="A10968" s="121">
        <v>42855</v>
      </c>
      <c r="B10968" t="s">
        <v>406</v>
      </c>
      <c r="C10968" t="s">
        <v>456</v>
      </c>
      <c r="D10968" t="s">
        <v>481</v>
      </c>
      <c r="E10968" t="s">
        <v>482</v>
      </c>
      <c r="F10968" t="s">
        <v>410</v>
      </c>
      <c r="G10968">
        <v>17</v>
      </c>
      <c r="I10968">
        <v>17</v>
      </c>
    </row>
    <row r="10969" spans="1:17" x14ac:dyDescent="0.2">
      <c r="A10969" s="121">
        <v>42855</v>
      </c>
      <c r="B10969" t="s">
        <v>406</v>
      </c>
      <c r="C10969" t="s">
        <v>456</v>
      </c>
      <c r="D10969" t="s">
        <v>483</v>
      </c>
      <c r="E10969" t="s">
        <v>484</v>
      </c>
      <c r="F10969" t="s">
        <v>410</v>
      </c>
      <c r="G10969">
        <v>88</v>
      </c>
      <c r="I10969">
        <v>88</v>
      </c>
    </row>
    <row r="10970" spans="1:17" x14ac:dyDescent="0.2">
      <c r="A10970" s="121">
        <v>42855</v>
      </c>
      <c r="B10970" t="s">
        <v>406</v>
      </c>
      <c r="C10970" t="s">
        <v>456</v>
      </c>
      <c r="D10970" t="s">
        <v>487</v>
      </c>
      <c r="E10970" t="s">
        <v>488</v>
      </c>
      <c r="F10970" t="s">
        <v>410</v>
      </c>
      <c r="G10970">
        <v>19</v>
      </c>
      <c r="I10970">
        <v>19</v>
      </c>
    </row>
    <row r="10971" spans="1:17" x14ac:dyDescent="0.2">
      <c r="A10971" s="121">
        <v>42855</v>
      </c>
      <c r="B10971" t="s">
        <v>406</v>
      </c>
      <c r="C10971" t="s">
        <v>456</v>
      </c>
      <c r="D10971" t="s">
        <v>489</v>
      </c>
      <c r="E10971" t="s">
        <v>490</v>
      </c>
      <c r="F10971" t="s">
        <v>410</v>
      </c>
      <c r="G10971">
        <v>96</v>
      </c>
      <c r="I10971">
        <v>96</v>
      </c>
    </row>
    <row r="10972" spans="1:17" x14ac:dyDescent="0.2">
      <c r="A10972" s="121">
        <v>42855</v>
      </c>
      <c r="B10972" t="s">
        <v>406</v>
      </c>
      <c r="C10972" t="s">
        <v>456</v>
      </c>
      <c r="D10972" t="s">
        <v>628</v>
      </c>
      <c r="E10972" t="s">
        <v>629</v>
      </c>
      <c r="F10972" t="s">
        <v>410</v>
      </c>
      <c r="G10972">
        <v>24</v>
      </c>
      <c r="I10972">
        <v>24</v>
      </c>
    </row>
    <row r="10973" spans="1:17" x14ac:dyDescent="0.2">
      <c r="A10973" s="121">
        <v>42855</v>
      </c>
      <c r="B10973" t="s">
        <v>406</v>
      </c>
      <c r="C10973" t="s">
        <v>491</v>
      </c>
      <c r="D10973" t="s">
        <v>492</v>
      </c>
      <c r="E10973" t="s">
        <v>493</v>
      </c>
      <c r="F10973" t="s">
        <v>410</v>
      </c>
      <c r="G10973">
        <v>1424</v>
      </c>
      <c r="H10973">
        <v>1424</v>
      </c>
      <c r="I10973">
        <v>1380</v>
      </c>
      <c r="J10973">
        <v>1380</v>
      </c>
      <c r="K10973">
        <v>203</v>
      </c>
      <c r="L10973">
        <v>3</v>
      </c>
      <c r="M10973">
        <v>1118</v>
      </c>
      <c r="N10973">
        <v>90</v>
      </c>
      <c r="O10973">
        <v>10</v>
      </c>
      <c r="P10973">
        <v>0</v>
      </c>
      <c r="Q10973">
        <v>0</v>
      </c>
    </row>
    <row r="10974" spans="1:17" x14ac:dyDescent="0.2">
      <c r="A10974" s="121">
        <v>42855</v>
      </c>
      <c r="B10974" t="s">
        <v>406</v>
      </c>
      <c r="C10974" t="s">
        <v>491</v>
      </c>
      <c r="D10974" t="s">
        <v>494</v>
      </c>
      <c r="E10974" t="s">
        <v>495</v>
      </c>
      <c r="F10974" t="s">
        <v>413</v>
      </c>
      <c r="G10974">
        <v>2716</v>
      </c>
      <c r="H10974">
        <v>2716</v>
      </c>
      <c r="I10974">
        <v>2543</v>
      </c>
      <c r="J10974">
        <v>2543</v>
      </c>
      <c r="K10974">
        <v>671</v>
      </c>
      <c r="L10974">
        <v>7</v>
      </c>
      <c r="M10974">
        <v>1805</v>
      </c>
      <c r="N10974">
        <v>38</v>
      </c>
      <c r="O10974">
        <v>195</v>
      </c>
      <c r="P10974">
        <v>4</v>
      </c>
      <c r="Q10974">
        <v>0</v>
      </c>
    </row>
    <row r="10975" spans="1:17" x14ac:dyDescent="0.2">
      <c r="A10975" s="121">
        <v>42855</v>
      </c>
      <c r="B10975" t="s">
        <v>406</v>
      </c>
      <c r="C10975" t="s">
        <v>491</v>
      </c>
      <c r="D10975" t="s">
        <v>496</v>
      </c>
      <c r="E10975" t="s">
        <v>497</v>
      </c>
      <c r="F10975" t="s">
        <v>413</v>
      </c>
      <c r="G10975">
        <v>5575</v>
      </c>
      <c r="H10975">
        <v>5575</v>
      </c>
      <c r="I10975">
        <v>5052</v>
      </c>
      <c r="J10975">
        <v>5052</v>
      </c>
      <c r="K10975">
        <v>1646</v>
      </c>
      <c r="L10975">
        <v>9</v>
      </c>
      <c r="M10975">
        <v>3698</v>
      </c>
      <c r="N10975">
        <v>103</v>
      </c>
      <c r="O10975">
        <v>119</v>
      </c>
      <c r="P10975">
        <v>29</v>
      </c>
      <c r="Q10975">
        <v>0</v>
      </c>
    </row>
    <row r="10976" spans="1:17" x14ac:dyDescent="0.2">
      <c r="A10976" s="121">
        <v>42855</v>
      </c>
      <c r="B10976" t="s">
        <v>406</v>
      </c>
      <c r="C10976" t="s">
        <v>491</v>
      </c>
      <c r="D10976" t="s">
        <v>498</v>
      </c>
      <c r="E10976" t="s">
        <v>499</v>
      </c>
      <c r="F10976" t="s">
        <v>413</v>
      </c>
      <c r="G10976">
        <v>7707</v>
      </c>
      <c r="H10976">
        <v>7707</v>
      </c>
      <c r="I10976">
        <v>6405</v>
      </c>
      <c r="J10976">
        <v>6405</v>
      </c>
      <c r="K10976">
        <v>2280</v>
      </c>
      <c r="L10976">
        <v>26</v>
      </c>
      <c r="M10976">
        <v>4839</v>
      </c>
      <c r="N10976">
        <v>167</v>
      </c>
      <c r="O10976">
        <v>395</v>
      </c>
      <c r="P10976">
        <v>61</v>
      </c>
      <c r="Q10976">
        <v>1</v>
      </c>
    </row>
    <row r="10977" spans="1:17" x14ac:dyDescent="0.2">
      <c r="A10977" s="121">
        <v>42855</v>
      </c>
      <c r="B10977" t="s">
        <v>406</v>
      </c>
      <c r="C10977" t="s">
        <v>491</v>
      </c>
      <c r="D10977" t="s">
        <v>500</v>
      </c>
      <c r="E10977" t="s">
        <v>620</v>
      </c>
      <c r="F10977" t="s">
        <v>410</v>
      </c>
      <c r="G10977">
        <v>1714</v>
      </c>
      <c r="H10977">
        <v>1714</v>
      </c>
      <c r="I10977">
        <v>1711</v>
      </c>
      <c r="J10977">
        <v>1711</v>
      </c>
      <c r="K10977">
        <v>1</v>
      </c>
      <c r="L10977">
        <v>0</v>
      </c>
      <c r="M10977">
        <v>1569</v>
      </c>
      <c r="N10977">
        <v>115</v>
      </c>
      <c r="O10977">
        <v>29</v>
      </c>
      <c r="P10977">
        <v>0</v>
      </c>
      <c r="Q10977">
        <v>0</v>
      </c>
    </row>
    <row r="10978" spans="1:17" x14ac:dyDescent="0.2">
      <c r="A10978" s="121">
        <v>42855</v>
      </c>
      <c r="B10978" t="s">
        <v>406</v>
      </c>
      <c r="C10978" t="s">
        <v>491</v>
      </c>
      <c r="D10978" t="s">
        <v>502</v>
      </c>
      <c r="E10978" t="s">
        <v>615</v>
      </c>
      <c r="F10978" t="s">
        <v>410</v>
      </c>
      <c r="G10978">
        <v>2703</v>
      </c>
      <c r="H10978">
        <v>2703</v>
      </c>
      <c r="I10978">
        <v>2703</v>
      </c>
      <c r="J10978">
        <v>2703</v>
      </c>
      <c r="K10978">
        <v>0</v>
      </c>
      <c r="L10978">
        <v>1</v>
      </c>
      <c r="M10978">
        <v>2428</v>
      </c>
      <c r="N10978">
        <v>230</v>
      </c>
      <c r="O10978">
        <v>44</v>
      </c>
      <c r="P10978">
        <v>0</v>
      </c>
      <c r="Q10978">
        <v>0</v>
      </c>
    </row>
    <row r="10979" spans="1:17" x14ac:dyDescent="0.2">
      <c r="A10979" s="121">
        <v>42855</v>
      </c>
      <c r="B10979" t="s">
        <v>406</v>
      </c>
      <c r="C10979" t="s">
        <v>491</v>
      </c>
      <c r="D10979" t="s">
        <v>504</v>
      </c>
      <c r="E10979" t="s">
        <v>630</v>
      </c>
      <c r="F10979" t="s">
        <v>413</v>
      </c>
      <c r="G10979">
        <v>8233</v>
      </c>
      <c r="H10979">
        <v>8233</v>
      </c>
      <c r="I10979">
        <v>6553</v>
      </c>
      <c r="J10979">
        <v>6553</v>
      </c>
      <c r="K10979">
        <v>2514</v>
      </c>
      <c r="L10979">
        <v>28</v>
      </c>
      <c r="M10979">
        <v>5289</v>
      </c>
      <c r="N10979">
        <v>97</v>
      </c>
      <c r="O10979">
        <v>305</v>
      </c>
      <c r="P10979">
        <v>117</v>
      </c>
      <c r="Q10979">
        <v>3</v>
      </c>
    </row>
    <row r="10980" spans="1:17" x14ac:dyDescent="0.2">
      <c r="A10980" s="121">
        <v>42855</v>
      </c>
      <c r="B10980" t="s">
        <v>406</v>
      </c>
      <c r="C10980" t="s">
        <v>491</v>
      </c>
      <c r="D10980" t="s">
        <v>506</v>
      </c>
      <c r="E10980" t="s">
        <v>507</v>
      </c>
      <c r="F10980" t="s">
        <v>413</v>
      </c>
      <c r="G10980">
        <v>4918</v>
      </c>
      <c r="H10980">
        <v>4918</v>
      </c>
      <c r="I10980">
        <v>4889</v>
      </c>
      <c r="J10980">
        <v>4889</v>
      </c>
      <c r="K10980">
        <v>807</v>
      </c>
      <c r="L10980">
        <v>0</v>
      </c>
      <c r="M10980">
        <v>4103</v>
      </c>
      <c r="N10980">
        <v>2</v>
      </c>
      <c r="O10980">
        <v>6</v>
      </c>
      <c r="P10980">
        <v>0</v>
      </c>
      <c r="Q10980">
        <v>0</v>
      </c>
    </row>
    <row r="10981" spans="1:17" x14ac:dyDescent="0.2">
      <c r="A10981" s="121">
        <v>42855</v>
      </c>
      <c r="B10981" t="s">
        <v>406</v>
      </c>
      <c r="C10981" t="s">
        <v>510</v>
      </c>
      <c r="D10981" t="s">
        <v>513</v>
      </c>
      <c r="E10981" t="s">
        <v>514</v>
      </c>
      <c r="F10981" t="s">
        <v>410</v>
      </c>
      <c r="G10981">
        <v>634</v>
      </c>
      <c r="I10981">
        <v>634</v>
      </c>
    </row>
    <row r="10982" spans="1:17" x14ac:dyDescent="0.2">
      <c r="A10982" s="121">
        <v>42855</v>
      </c>
      <c r="B10982" t="s">
        <v>406</v>
      </c>
      <c r="C10982" t="s">
        <v>510</v>
      </c>
      <c r="D10982" t="s">
        <v>515</v>
      </c>
      <c r="E10982" t="s">
        <v>516</v>
      </c>
      <c r="F10982" t="s">
        <v>410</v>
      </c>
      <c r="G10982">
        <v>100</v>
      </c>
      <c r="I10982">
        <v>100</v>
      </c>
    </row>
    <row r="10983" spans="1:17" x14ac:dyDescent="0.2">
      <c r="A10983" s="121">
        <v>42855</v>
      </c>
      <c r="B10983" t="s">
        <v>406</v>
      </c>
      <c r="C10983" t="s">
        <v>510</v>
      </c>
      <c r="D10983" t="s">
        <v>519</v>
      </c>
      <c r="E10983" t="s">
        <v>520</v>
      </c>
      <c r="F10983" t="s">
        <v>410</v>
      </c>
      <c r="G10983">
        <v>340</v>
      </c>
      <c r="I10983">
        <v>337</v>
      </c>
    </row>
    <row r="10984" spans="1:17" x14ac:dyDescent="0.2">
      <c r="A10984" s="121">
        <v>42855</v>
      </c>
      <c r="B10984" t="s">
        <v>406</v>
      </c>
      <c r="C10984" t="s">
        <v>510</v>
      </c>
      <c r="D10984" t="s">
        <v>523</v>
      </c>
      <c r="E10984" t="s">
        <v>524</v>
      </c>
      <c r="F10984" t="s">
        <v>413</v>
      </c>
      <c r="G10984">
        <v>641</v>
      </c>
      <c r="H10984">
        <v>641</v>
      </c>
      <c r="I10984">
        <v>629</v>
      </c>
      <c r="J10984">
        <v>629</v>
      </c>
      <c r="K10984">
        <v>174</v>
      </c>
      <c r="L10984">
        <v>0</v>
      </c>
      <c r="M10984">
        <v>446</v>
      </c>
      <c r="N10984">
        <v>21</v>
      </c>
      <c r="O10984">
        <v>0</v>
      </c>
      <c r="P10984">
        <v>3</v>
      </c>
      <c r="Q10984">
        <v>1</v>
      </c>
    </row>
    <row r="10985" spans="1:17" x14ac:dyDescent="0.2">
      <c r="A10985" s="121">
        <v>42855</v>
      </c>
      <c r="B10985" t="s">
        <v>406</v>
      </c>
      <c r="C10985" t="s">
        <v>510</v>
      </c>
      <c r="D10985" t="s">
        <v>525</v>
      </c>
      <c r="E10985" t="s">
        <v>526</v>
      </c>
      <c r="F10985" t="s">
        <v>410</v>
      </c>
      <c r="G10985">
        <v>460</v>
      </c>
      <c r="I10985">
        <v>460</v>
      </c>
    </row>
    <row r="10986" spans="1:17" x14ac:dyDescent="0.2">
      <c r="A10986" s="121">
        <v>42855</v>
      </c>
      <c r="B10986" t="s">
        <v>406</v>
      </c>
      <c r="C10986" t="s">
        <v>510</v>
      </c>
      <c r="D10986" t="s">
        <v>527</v>
      </c>
      <c r="E10986" t="s">
        <v>528</v>
      </c>
      <c r="F10986" t="s">
        <v>410</v>
      </c>
      <c r="G10986">
        <v>168</v>
      </c>
      <c r="I10986">
        <v>168</v>
      </c>
    </row>
    <row r="10987" spans="1:17" x14ac:dyDescent="0.2">
      <c r="A10987" s="121">
        <v>42855</v>
      </c>
      <c r="B10987" t="s">
        <v>406</v>
      </c>
      <c r="C10987" t="s">
        <v>510</v>
      </c>
      <c r="D10987" t="s">
        <v>529</v>
      </c>
      <c r="E10987" t="s">
        <v>530</v>
      </c>
      <c r="F10987" t="s">
        <v>413</v>
      </c>
      <c r="G10987">
        <v>558</v>
      </c>
      <c r="H10987">
        <v>558</v>
      </c>
      <c r="I10987">
        <v>540</v>
      </c>
      <c r="J10987">
        <v>540</v>
      </c>
      <c r="K10987">
        <v>169</v>
      </c>
      <c r="L10987">
        <v>1</v>
      </c>
      <c r="M10987">
        <v>385</v>
      </c>
      <c r="N10987">
        <v>3</v>
      </c>
      <c r="O10987">
        <v>0</v>
      </c>
      <c r="P10987">
        <v>2</v>
      </c>
      <c r="Q10987">
        <v>1</v>
      </c>
    </row>
    <row r="10988" spans="1:17" x14ac:dyDescent="0.2">
      <c r="A10988" s="121">
        <v>42855</v>
      </c>
      <c r="B10988" t="s">
        <v>406</v>
      </c>
      <c r="C10988" t="s">
        <v>510</v>
      </c>
      <c r="D10988" t="s">
        <v>531</v>
      </c>
      <c r="E10988" t="s">
        <v>532</v>
      </c>
      <c r="F10988" t="s">
        <v>410</v>
      </c>
      <c r="G10988">
        <v>42</v>
      </c>
      <c r="I10988">
        <v>42</v>
      </c>
    </row>
    <row r="10989" spans="1:17" x14ac:dyDescent="0.2">
      <c r="A10989" s="121">
        <v>42855</v>
      </c>
      <c r="B10989" t="s">
        <v>406</v>
      </c>
      <c r="C10989" t="s">
        <v>510</v>
      </c>
      <c r="D10989" t="s">
        <v>533</v>
      </c>
      <c r="E10989" t="s">
        <v>534</v>
      </c>
      <c r="F10989" t="s">
        <v>413</v>
      </c>
      <c r="G10989">
        <v>2800</v>
      </c>
      <c r="H10989">
        <v>2800</v>
      </c>
      <c r="I10989">
        <v>2595</v>
      </c>
      <c r="J10989">
        <v>2595</v>
      </c>
      <c r="K10989">
        <v>737</v>
      </c>
      <c r="L10989">
        <v>4</v>
      </c>
      <c r="M10989">
        <v>2048</v>
      </c>
      <c r="N10989">
        <v>11</v>
      </c>
      <c r="O10989">
        <v>0</v>
      </c>
      <c r="P10989">
        <v>7</v>
      </c>
      <c r="Q10989">
        <v>0</v>
      </c>
    </row>
    <row r="10990" spans="1:17" x14ac:dyDescent="0.2">
      <c r="A10990" s="121">
        <v>42855</v>
      </c>
      <c r="B10990" t="s">
        <v>406</v>
      </c>
      <c r="C10990" t="s">
        <v>510</v>
      </c>
      <c r="D10990" t="s">
        <v>535</v>
      </c>
      <c r="E10990" t="s">
        <v>536</v>
      </c>
      <c r="F10990" t="s">
        <v>410</v>
      </c>
      <c r="G10990">
        <v>414</v>
      </c>
      <c r="I10990">
        <v>414</v>
      </c>
    </row>
    <row r="10991" spans="1:17" x14ac:dyDescent="0.2">
      <c r="A10991" s="121">
        <v>42855</v>
      </c>
      <c r="B10991" t="s">
        <v>406</v>
      </c>
      <c r="C10991" t="s">
        <v>510</v>
      </c>
      <c r="D10991" t="s">
        <v>537</v>
      </c>
      <c r="E10991" t="s">
        <v>538</v>
      </c>
      <c r="F10991" t="s">
        <v>410</v>
      </c>
      <c r="G10991">
        <v>60</v>
      </c>
      <c r="I10991">
        <v>60</v>
      </c>
    </row>
    <row r="10992" spans="1:17" x14ac:dyDescent="0.2">
      <c r="A10992" s="121">
        <v>42855</v>
      </c>
      <c r="B10992" t="s">
        <v>406</v>
      </c>
      <c r="C10992" t="s">
        <v>510</v>
      </c>
      <c r="D10992" t="s">
        <v>539</v>
      </c>
      <c r="E10992" t="s">
        <v>540</v>
      </c>
      <c r="F10992" t="s">
        <v>413</v>
      </c>
      <c r="G10992">
        <v>751</v>
      </c>
      <c r="H10992">
        <v>751</v>
      </c>
      <c r="I10992">
        <v>731</v>
      </c>
      <c r="J10992">
        <v>731</v>
      </c>
      <c r="K10992">
        <v>118</v>
      </c>
      <c r="L10992">
        <v>0</v>
      </c>
      <c r="M10992">
        <v>626</v>
      </c>
      <c r="N10992">
        <v>7</v>
      </c>
      <c r="O10992">
        <v>0</v>
      </c>
      <c r="P10992">
        <v>2</v>
      </c>
      <c r="Q10992">
        <v>0</v>
      </c>
    </row>
    <row r="10993" spans="1:17" x14ac:dyDescent="0.2">
      <c r="A10993" s="121">
        <v>42855</v>
      </c>
      <c r="B10993" t="s">
        <v>406</v>
      </c>
      <c r="C10993" t="s">
        <v>510</v>
      </c>
      <c r="D10993" t="s">
        <v>541</v>
      </c>
      <c r="E10993" t="s">
        <v>542</v>
      </c>
      <c r="F10993" t="s">
        <v>410</v>
      </c>
      <c r="G10993">
        <v>364</v>
      </c>
      <c r="I10993">
        <v>364</v>
      </c>
    </row>
    <row r="10994" spans="1:17" x14ac:dyDescent="0.2">
      <c r="A10994" s="121">
        <v>42855</v>
      </c>
      <c r="B10994" t="s">
        <v>406</v>
      </c>
      <c r="C10994" t="s">
        <v>510</v>
      </c>
      <c r="D10994" t="s">
        <v>543</v>
      </c>
      <c r="E10994" t="s">
        <v>544</v>
      </c>
      <c r="F10994" t="s">
        <v>410</v>
      </c>
      <c r="G10994">
        <v>209</v>
      </c>
      <c r="I10994">
        <v>209</v>
      </c>
    </row>
    <row r="10995" spans="1:17" x14ac:dyDescent="0.2">
      <c r="A10995" s="121">
        <v>42855</v>
      </c>
      <c r="B10995" t="s">
        <v>406</v>
      </c>
      <c r="C10995" t="s">
        <v>510</v>
      </c>
      <c r="D10995" t="s">
        <v>545</v>
      </c>
      <c r="E10995" t="s">
        <v>546</v>
      </c>
      <c r="F10995" t="s">
        <v>410</v>
      </c>
      <c r="G10995">
        <v>9</v>
      </c>
      <c r="I10995">
        <v>9</v>
      </c>
    </row>
    <row r="10996" spans="1:17" x14ac:dyDescent="0.2">
      <c r="A10996" s="121">
        <v>42855</v>
      </c>
      <c r="B10996" t="s">
        <v>406</v>
      </c>
      <c r="C10996" t="s">
        <v>510</v>
      </c>
      <c r="D10996" t="s">
        <v>547</v>
      </c>
      <c r="E10996" t="s">
        <v>548</v>
      </c>
      <c r="F10996" t="s">
        <v>410</v>
      </c>
      <c r="G10996">
        <v>102</v>
      </c>
      <c r="I10996">
        <v>102</v>
      </c>
    </row>
    <row r="10997" spans="1:17" x14ac:dyDescent="0.2">
      <c r="A10997" s="121">
        <v>42855</v>
      </c>
      <c r="B10997" t="s">
        <v>406</v>
      </c>
      <c r="C10997" t="s">
        <v>510</v>
      </c>
      <c r="D10997" t="s">
        <v>616</v>
      </c>
      <c r="E10997" t="s">
        <v>617</v>
      </c>
      <c r="F10997" t="s">
        <v>410</v>
      </c>
      <c r="G10997">
        <v>388</v>
      </c>
      <c r="I10997">
        <v>383</v>
      </c>
    </row>
    <row r="10998" spans="1:17" x14ac:dyDescent="0.2">
      <c r="A10998" s="121">
        <v>42855</v>
      </c>
      <c r="B10998" t="s">
        <v>406</v>
      </c>
      <c r="C10998" t="s">
        <v>510</v>
      </c>
      <c r="D10998" t="s">
        <v>549</v>
      </c>
      <c r="E10998" t="s">
        <v>550</v>
      </c>
      <c r="F10998" t="s">
        <v>410</v>
      </c>
      <c r="G10998">
        <v>109</v>
      </c>
      <c r="I10998">
        <v>109</v>
      </c>
    </row>
    <row r="10999" spans="1:17" x14ac:dyDescent="0.2">
      <c r="A10999" s="121">
        <v>42855</v>
      </c>
      <c r="B10999" t="s">
        <v>406</v>
      </c>
      <c r="C10999" t="s">
        <v>510</v>
      </c>
      <c r="D10999" t="s">
        <v>625</v>
      </c>
      <c r="E10999" t="s">
        <v>626</v>
      </c>
      <c r="F10999" t="s">
        <v>410</v>
      </c>
      <c r="G10999">
        <v>128</v>
      </c>
      <c r="I10999">
        <v>128</v>
      </c>
    </row>
    <row r="11000" spans="1:17" x14ac:dyDescent="0.2">
      <c r="A11000" s="121">
        <v>42855</v>
      </c>
      <c r="B11000" t="s">
        <v>406</v>
      </c>
      <c r="C11000" t="s">
        <v>551</v>
      </c>
      <c r="D11000" t="s">
        <v>552</v>
      </c>
      <c r="E11000" t="s">
        <v>553</v>
      </c>
      <c r="F11000" t="s">
        <v>413</v>
      </c>
      <c r="G11000">
        <v>5695</v>
      </c>
      <c r="H11000">
        <v>5695</v>
      </c>
      <c r="I11000">
        <v>5422</v>
      </c>
      <c r="J11000">
        <v>5422</v>
      </c>
      <c r="K11000">
        <v>1795</v>
      </c>
      <c r="L11000">
        <v>4</v>
      </c>
      <c r="M11000">
        <v>3719</v>
      </c>
      <c r="N11000">
        <v>125</v>
      </c>
      <c r="O11000">
        <v>52</v>
      </c>
      <c r="P11000">
        <v>5</v>
      </c>
      <c r="Q11000">
        <v>0</v>
      </c>
    </row>
    <row r="11001" spans="1:17" x14ac:dyDescent="0.2">
      <c r="A11001" s="121">
        <v>42855</v>
      </c>
      <c r="B11001" t="s">
        <v>406</v>
      </c>
      <c r="C11001" t="s">
        <v>551</v>
      </c>
      <c r="D11001" t="s">
        <v>554</v>
      </c>
      <c r="E11001" t="s">
        <v>555</v>
      </c>
      <c r="F11001" t="s">
        <v>410</v>
      </c>
      <c r="G11001">
        <v>69</v>
      </c>
      <c r="I11001">
        <v>69</v>
      </c>
    </row>
    <row r="11002" spans="1:17" x14ac:dyDescent="0.2">
      <c r="A11002" s="121">
        <v>42855</v>
      </c>
      <c r="B11002" t="s">
        <v>406</v>
      </c>
      <c r="C11002" t="s">
        <v>551</v>
      </c>
      <c r="D11002" t="s">
        <v>556</v>
      </c>
      <c r="E11002" t="s">
        <v>557</v>
      </c>
      <c r="F11002" t="s">
        <v>410</v>
      </c>
      <c r="G11002">
        <v>99</v>
      </c>
      <c r="I11002">
        <v>99</v>
      </c>
    </row>
    <row r="11003" spans="1:17" x14ac:dyDescent="0.2">
      <c r="A11003" s="121">
        <v>42855</v>
      </c>
      <c r="B11003" t="s">
        <v>406</v>
      </c>
      <c r="C11003" t="s">
        <v>551</v>
      </c>
      <c r="D11003" t="s">
        <v>558</v>
      </c>
      <c r="E11003" t="s">
        <v>559</v>
      </c>
      <c r="F11003" t="s">
        <v>413</v>
      </c>
      <c r="G11003">
        <v>5293</v>
      </c>
      <c r="H11003">
        <v>5293</v>
      </c>
      <c r="I11003">
        <v>4802</v>
      </c>
      <c r="J11003">
        <v>4802</v>
      </c>
      <c r="K11003">
        <v>1487</v>
      </c>
      <c r="L11003">
        <v>5</v>
      </c>
      <c r="M11003">
        <v>3720</v>
      </c>
      <c r="N11003">
        <v>61</v>
      </c>
      <c r="O11003">
        <v>20</v>
      </c>
      <c r="P11003">
        <v>87</v>
      </c>
      <c r="Q11003">
        <v>27</v>
      </c>
    </row>
    <row r="11004" spans="1:17" x14ac:dyDescent="0.2">
      <c r="A11004" s="121">
        <v>42855</v>
      </c>
      <c r="B11004" t="s">
        <v>406</v>
      </c>
      <c r="C11004" t="s">
        <v>551</v>
      </c>
      <c r="D11004" t="s">
        <v>560</v>
      </c>
      <c r="E11004" t="s">
        <v>561</v>
      </c>
      <c r="F11004" t="s">
        <v>413</v>
      </c>
      <c r="G11004">
        <v>5523</v>
      </c>
      <c r="H11004">
        <v>5523</v>
      </c>
      <c r="I11004">
        <v>4939</v>
      </c>
      <c r="J11004">
        <v>4939</v>
      </c>
      <c r="K11004">
        <v>1339</v>
      </c>
      <c r="L11004">
        <v>12</v>
      </c>
      <c r="M11004">
        <v>4041</v>
      </c>
      <c r="N11004">
        <v>55</v>
      </c>
      <c r="O11004">
        <v>76</v>
      </c>
      <c r="P11004">
        <v>79</v>
      </c>
      <c r="Q11004">
        <v>16</v>
      </c>
    </row>
    <row r="11005" spans="1:17" x14ac:dyDescent="0.2">
      <c r="A11005" s="121">
        <v>42855</v>
      </c>
      <c r="B11005" t="s">
        <v>406</v>
      </c>
      <c r="C11005" t="s">
        <v>562</v>
      </c>
      <c r="D11005" t="s">
        <v>605</v>
      </c>
      <c r="E11005" t="s">
        <v>606</v>
      </c>
      <c r="F11005" t="s">
        <v>410</v>
      </c>
      <c r="G11005">
        <v>157</v>
      </c>
      <c r="I11005">
        <v>157</v>
      </c>
    </row>
    <row r="11006" spans="1:17" x14ac:dyDescent="0.2">
      <c r="A11006" s="121">
        <v>42855</v>
      </c>
      <c r="B11006" t="s">
        <v>406</v>
      </c>
      <c r="C11006" t="s">
        <v>562</v>
      </c>
      <c r="D11006" t="s">
        <v>563</v>
      </c>
      <c r="E11006" t="s">
        <v>564</v>
      </c>
      <c r="F11006" t="s">
        <v>410</v>
      </c>
      <c r="G11006">
        <v>3736</v>
      </c>
      <c r="H11006">
        <v>3736</v>
      </c>
      <c r="I11006">
        <v>3417</v>
      </c>
      <c r="J11006">
        <v>3417</v>
      </c>
      <c r="K11006">
        <v>1067</v>
      </c>
      <c r="L11006">
        <v>0</v>
      </c>
      <c r="M11006">
        <v>2642</v>
      </c>
      <c r="N11006">
        <v>27</v>
      </c>
      <c r="O11006">
        <v>0</v>
      </c>
      <c r="P11006">
        <v>33</v>
      </c>
      <c r="Q11006">
        <v>7</v>
      </c>
    </row>
    <row r="11007" spans="1:17" x14ac:dyDescent="0.2">
      <c r="A11007" s="121">
        <v>42855</v>
      </c>
      <c r="B11007" t="s">
        <v>406</v>
      </c>
      <c r="C11007" t="s">
        <v>562</v>
      </c>
      <c r="D11007" t="s">
        <v>565</v>
      </c>
      <c r="E11007" t="s">
        <v>566</v>
      </c>
      <c r="F11007" t="s">
        <v>413</v>
      </c>
      <c r="G11007">
        <v>4560</v>
      </c>
      <c r="H11007">
        <v>4560</v>
      </c>
      <c r="I11007">
        <v>4414</v>
      </c>
      <c r="J11007">
        <v>4414</v>
      </c>
      <c r="K11007">
        <v>907</v>
      </c>
      <c r="L11007">
        <v>2</v>
      </c>
      <c r="M11007">
        <v>3558</v>
      </c>
      <c r="N11007">
        <v>93</v>
      </c>
      <c r="O11007">
        <v>0</v>
      </c>
      <c r="P11007">
        <v>7</v>
      </c>
      <c r="Q11007">
        <v>0</v>
      </c>
    </row>
    <row r="11008" spans="1:17" x14ac:dyDescent="0.2">
      <c r="A11008" s="121">
        <v>42855</v>
      </c>
      <c r="B11008" t="s">
        <v>406</v>
      </c>
      <c r="C11008" t="s">
        <v>562</v>
      </c>
      <c r="D11008" t="s">
        <v>567</v>
      </c>
      <c r="E11008" t="s">
        <v>568</v>
      </c>
      <c r="F11008" t="s">
        <v>413</v>
      </c>
      <c r="G11008">
        <v>9711</v>
      </c>
      <c r="H11008">
        <v>9711</v>
      </c>
      <c r="I11008">
        <v>9189</v>
      </c>
      <c r="J11008">
        <v>9189</v>
      </c>
      <c r="K11008">
        <v>2663</v>
      </c>
      <c r="L11008">
        <v>18</v>
      </c>
      <c r="M11008">
        <v>6863</v>
      </c>
      <c r="N11008">
        <v>167</v>
      </c>
      <c r="O11008">
        <v>0</v>
      </c>
      <c r="P11008">
        <v>128</v>
      </c>
      <c r="Q11008">
        <v>27</v>
      </c>
    </row>
    <row r="11009" spans="1:17" x14ac:dyDescent="0.2">
      <c r="A11009" s="121">
        <v>42855</v>
      </c>
      <c r="B11009" t="s">
        <v>406</v>
      </c>
      <c r="C11009" t="s">
        <v>562</v>
      </c>
      <c r="D11009" t="s">
        <v>569</v>
      </c>
      <c r="E11009" t="s">
        <v>570</v>
      </c>
      <c r="F11009" t="s">
        <v>413</v>
      </c>
      <c r="G11009">
        <v>4132</v>
      </c>
      <c r="H11009">
        <v>4132</v>
      </c>
      <c r="I11009">
        <v>4060</v>
      </c>
      <c r="J11009">
        <v>4060</v>
      </c>
      <c r="K11009">
        <v>433</v>
      </c>
      <c r="L11009">
        <v>0</v>
      </c>
      <c r="M11009">
        <v>3534</v>
      </c>
      <c r="N11009">
        <v>165</v>
      </c>
      <c r="O11009">
        <v>0</v>
      </c>
      <c r="P11009">
        <v>1</v>
      </c>
      <c r="Q11009">
        <v>0</v>
      </c>
    </row>
    <row r="11010" spans="1:17" x14ac:dyDescent="0.2">
      <c r="A11010" s="121">
        <v>42855</v>
      </c>
      <c r="B11010" t="s">
        <v>406</v>
      </c>
      <c r="C11010" t="s">
        <v>571</v>
      </c>
      <c r="D11010" t="s">
        <v>572</v>
      </c>
      <c r="E11010" t="s">
        <v>627</v>
      </c>
      <c r="F11010" t="s">
        <v>413</v>
      </c>
      <c r="G11010">
        <v>521</v>
      </c>
      <c r="H11010">
        <v>521</v>
      </c>
      <c r="I11010">
        <v>497</v>
      </c>
      <c r="J11010">
        <v>497</v>
      </c>
      <c r="K11010">
        <v>122</v>
      </c>
      <c r="L11010">
        <v>0</v>
      </c>
      <c r="M11010">
        <v>390</v>
      </c>
      <c r="N11010">
        <v>6</v>
      </c>
      <c r="O11010">
        <v>3</v>
      </c>
      <c r="P11010">
        <v>0</v>
      </c>
      <c r="Q11010">
        <v>0</v>
      </c>
    </row>
    <row r="11011" spans="1:17" x14ac:dyDescent="0.2">
      <c r="A11011" s="121">
        <v>42855</v>
      </c>
      <c r="B11011" t="s">
        <v>406</v>
      </c>
      <c r="C11011" t="s">
        <v>574</v>
      </c>
      <c r="D11011" t="s">
        <v>575</v>
      </c>
      <c r="E11011" t="s">
        <v>576</v>
      </c>
      <c r="F11011" t="s">
        <v>413</v>
      </c>
      <c r="G11011">
        <v>619</v>
      </c>
      <c r="H11011">
        <v>619</v>
      </c>
      <c r="I11011">
        <v>603</v>
      </c>
      <c r="J11011">
        <v>603</v>
      </c>
      <c r="K11011">
        <v>146</v>
      </c>
      <c r="L11011">
        <v>1</v>
      </c>
      <c r="M11011">
        <v>460</v>
      </c>
      <c r="N11011">
        <v>5</v>
      </c>
      <c r="O11011">
        <v>7</v>
      </c>
      <c r="P11011">
        <v>0</v>
      </c>
      <c r="Q11011">
        <v>0</v>
      </c>
    </row>
    <row r="11012" spans="1:17" x14ac:dyDescent="0.2">
      <c r="A11012" s="121">
        <v>42855</v>
      </c>
      <c r="B11012" t="s">
        <v>406</v>
      </c>
      <c r="C11012" t="s">
        <v>577</v>
      </c>
      <c r="D11012" t="s">
        <v>578</v>
      </c>
      <c r="E11012" t="s">
        <v>579</v>
      </c>
      <c r="F11012" t="s">
        <v>413</v>
      </c>
      <c r="G11012">
        <v>4149</v>
      </c>
      <c r="H11012">
        <v>4149</v>
      </c>
      <c r="I11012">
        <v>4071</v>
      </c>
      <c r="J11012">
        <v>4071</v>
      </c>
      <c r="K11012">
        <v>1220</v>
      </c>
      <c r="L11012">
        <v>7</v>
      </c>
      <c r="M11012">
        <v>2653</v>
      </c>
      <c r="N11012">
        <v>247</v>
      </c>
      <c r="O11012">
        <v>22</v>
      </c>
      <c r="P11012">
        <v>0</v>
      </c>
      <c r="Q11012">
        <v>0</v>
      </c>
    </row>
    <row r="11013" spans="1:17" x14ac:dyDescent="0.2">
      <c r="A11013" s="121">
        <v>42855</v>
      </c>
      <c r="B11013" t="s">
        <v>406</v>
      </c>
      <c r="C11013" t="s">
        <v>577</v>
      </c>
      <c r="D11013" t="s">
        <v>580</v>
      </c>
      <c r="E11013" t="s">
        <v>581</v>
      </c>
      <c r="F11013" t="s">
        <v>413</v>
      </c>
      <c r="G11013">
        <v>2074</v>
      </c>
      <c r="H11013">
        <v>2074</v>
      </c>
      <c r="I11013">
        <v>2019</v>
      </c>
      <c r="J11013">
        <v>2019</v>
      </c>
      <c r="K11013">
        <v>355</v>
      </c>
      <c r="L11013">
        <v>0</v>
      </c>
      <c r="M11013">
        <v>1367</v>
      </c>
      <c r="N11013">
        <v>338</v>
      </c>
      <c r="O11013">
        <v>14</v>
      </c>
      <c r="P11013">
        <v>1</v>
      </c>
      <c r="Q11013">
        <v>0</v>
      </c>
    </row>
    <row r="11014" spans="1:17" x14ac:dyDescent="0.2">
      <c r="A11014" s="121">
        <v>42855</v>
      </c>
      <c r="B11014" t="s">
        <v>406</v>
      </c>
      <c r="C11014" t="s">
        <v>577</v>
      </c>
      <c r="D11014" t="s">
        <v>609</v>
      </c>
      <c r="E11014" t="s">
        <v>610</v>
      </c>
      <c r="F11014" t="s">
        <v>410</v>
      </c>
      <c r="G11014">
        <v>37</v>
      </c>
      <c r="H11014">
        <v>37</v>
      </c>
      <c r="I11014">
        <v>37</v>
      </c>
      <c r="J11014">
        <v>37</v>
      </c>
      <c r="K11014">
        <v>0</v>
      </c>
      <c r="L11014">
        <v>0</v>
      </c>
      <c r="M11014">
        <v>35</v>
      </c>
      <c r="N11014">
        <v>2</v>
      </c>
      <c r="O11014">
        <v>0</v>
      </c>
      <c r="P11014">
        <v>0</v>
      </c>
      <c r="Q11014">
        <v>0</v>
      </c>
    </row>
    <row r="11015" spans="1:17" x14ac:dyDescent="0.2">
      <c r="A11015" s="121">
        <v>42855</v>
      </c>
      <c r="B11015" t="s">
        <v>406</v>
      </c>
      <c r="C11015" t="s">
        <v>577</v>
      </c>
      <c r="D11015" t="s">
        <v>584</v>
      </c>
      <c r="E11015" t="s">
        <v>585</v>
      </c>
      <c r="F11015" t="s">
        <v>410</v>
      </c>
      <c r="G11015">
        <v>280</v>
      </c>
      <c r="H11015">
        <v>280</v>
      </c>
      <c r="I11015">
        <v>279</v>
      </c>
      <c r="J11015">
        <v>279</v>
      </c>
      <c r="K11015">
        <v>0</v>
      </c>
      <c r="L11015">
        <v>0</v>
      </c>
      <c r="M11015">
        <v>270</v>
      </c>
      <c r="N11015">
        <v>7</v>
      </c>
      <c r="O11015">
        <v>3</v>
      </c>
      <c r="P11015">
        <v>0</v>
      </c>
      <c r="Q11015">
        <v>0</v>
      </c>
    </row>
    <row r="11016" spans="1:17" x14ac:dyDescent="0.2">
      <c r="A11016" s="121">
        <v>42855</v>
      </c>
      <c r="B11016" t="s">
        <v>406</v>
      </c>
      <c r="C11016" t="s">
        <v>577</v>
      </c>
      <c r="D11016" t="s">
        <v>586</v>
      </c>
      <c r="E11016" t="s">
        <v>587</v>
      </c>
      <c r="F11016" t="s">
        <v>410</v>
      </c>
      <c r="G11016">
        <v>1302</v>
      </c>
      <c r="H11016">
        <v>1302</v>
      </c>
      <c r="I11016">
        <v>1302</v>
      </c>
      <c r="J11016">
        <v>1302</v>
      </c>
      <c r="K11016">
        <v>0</v>
      </c>
      <c r="L11016">
        <v>0</v>
      </c>
      <c r="M11016">
        <v>1172</v>
      </c>
      <c r="N11016">
        <v>125</v>
      </c>
      <c r="O11016">
        <v>5</v>
      </c>
      <c r="P11016">
        <v>0</v>
      </c>
      <c r="Q11016">
        <v>0</v>
      </c>
    </row>
    <row r="11017" spans="1:17" x14ac:dyDescent="0.2">
      <c r="A11017" s="121">
        <v>42855</v>
      </c>
      <c r="B11017" t="s">
        <v>406</v>
      </c>
      <c r="C11017" t="s">
        <v>577</v>
      </c>
      <c r="D11017" t="s">
        <v>588</v>
      </c>
      <c r="E11017" t="s">
        <v>589</v>
      </c>
      <c r="F11017" t="s">
        <v>410</v>
      </c>
      <c r="G11017">
        <v>211</v>
      </c>
      <c r="H11017">
        <v>211</v>
      </c>
      <c r="I11017">
        <v>211</v>
      </c>
      <c r="J11017">
        <v>211</v>
      </c>
      <c r="K11017">
        <v>0</v>
      </c>
      <c r="L11017">
        <v>0</v>
      </c>
      <c r="M11017">
        <v>199</v>
      </c>
      <c r="N11017">
        <v>10</v>
      </c>
      <c r="O11017">
        <v>2</v>
      </c>
      <c r="P11017">
        <v>0</v>
      </c>
      <c r="Q11017">
        <v>0</v>
      </c>
    </row>
    <row r="11018" spans="1:17" x14ac:dyDescent="0.2">
      <c r="A11018" s="121">
        <v>42855</v>
      </c>
      <c r="B11018" t="s">
        <v>406</v>
      </c>
      <c r="C11018" t="s">
        <v>577</v>
      </c>
      <c r="D11018" t="s">
        <v>613</v>
      </c>
      <c r="E11018" t="s">
        <v>614</v>
      </c>
      <c r="F11018" t="s">
        <v>410</v>
      </c>
      <c r="G11018">
        <v>114</v>
      </c>
      <c r="H11018">
        <v>114</v>
      </c>
      <c r="I11018">
        <v>114</v>
      </c>
      <c r="J11018">
        <v>114</v>
      </c>
      <c r="K11018">
        <v>0</v>
      </c>
      <c r="L11018">
        <v>0</v>
      </c>
      <c r="M11018">
        <v>95</v>
      </c>
      <c r="N11018">
        <v>18</v>
      </c>
      <c r="O11018">
        <v>1</v>
      </c>
      <c r="P11018">
        <v>0</v>
      </c>
      <c r="Q11018">
        <v>0</v>
      </c>
    </row>
    <row r="11019" spans="1:17" x14ac:dyDescent="0.2">
      <c r="A11019" s="121">
        <v>42855</v>
      </c>
      <c r="B11019" t="s">
        <v>406</v>
      </c>
      <c r="C11019" t="s">
        <v>577</v>
      </c>
      <c r="D11019" t="s">
        <v>590</v>
      </c>
      <c r="E11019" t="s">
        <v>591</v>
      </c>
      <c r="F11019" t="s">
        <v>410</v>
      </c>
      <c r="G11019">
        <v>540</v>
      </c>
      <c r="H11019">
        <v>540</v>
      </c>
      <c r="I11019">
        <v>540</v>
      </c>
      <c r="J11019">
        <v>540</v>
      </c>
      <c r="K11019">
        <v>0</v>
      </c>
      <c r="L11019">
        <v>0</v>
      </c>
      <c r="M11019">
        <v>512</v>
      </c>
      <c r="N11019">
        <v>27</v>
      </c>
      <c r="O11019">
        <v>1</v>
      </c>
      <c r="P11019">
        <v>0</v>
      </c>
      <c r="Q11019">
        <v>0</v>
      </c>
    </row>
    <row r="11020" spans="1:17" x14ac:dyDescent="0.2">
      <c r="A11020" s="121">
        <v>42855</v>
      </c>
      <c r="B11020" t="s">
        <v>406</v>
      </c>
      <c r="C11020" t="s">
        <v>577</v>
      </c>
      <c r="D11020" t="s">
        <v>607</v>
      </c>
      <c r="E11020" t="s">
        <v>608</v>
      </c>
      <c r="F11020" t="s">
        <v>410</v>
      </c>
      <c r="G11020">
        <v>215</v>
      </c>
      <c r="H11020">
        <v>215</v>
      </c>
      <c r="I11020">
        <v>215</v>
      </c>
      <c r="J11020">
        <v>215</v>
      </c>
      <c r="K11020">
        <v>0</v>
      </c>
      <c r="L11020">
        <v>0</v>
      </c>
      <c r="M11020">
        <v>203</v>
      </c>
      <c r="N11020">
        <v>10</v>
      </c>
      <c r="O11020">
        <v>2</v>
      </c>
      <c r="P11020">
        <v>0</v>
      </c>
      <c r="Q11020">
        <v>0</v>
      </c>
    </row>
    <row r="11021" spans="1:17" x14ac:dyDescent="0.2">
      <c r="A11021" s="121">
        <v>42855</v>
      </c>
      <c r="B11021" t="s">
        <v>406</v>
      </c>
      <c r="C11021" t="s">
        <v>577</v>
      </c>
      <c r="D11021" t="s">
        <v>592</v>
      </c>
      <c r="E11021" t="s">
        <v>593</v>
      </c>
      <c r="F11021" t="s">
        <v>410</v>
      </c>
      <c r="G11021">
        <v>466</v>
      </c>
      <c r="H11021">
        <v>466</v>
      </c>
      <c r="I11021">
        <v>466</v>
      </c>
      <c r="J11021">
        <v>466</v>
      </c>
      <c r="K11021">
        <v>0</v>
      </c>
      <c r="L11021">
        <v>0</v>
      </c>
      <c r="M11021">
        <v>440</v>
      </c>
      <c r="N11021">
        <v>24</v>
      </c>
      <c r="O11021">
        <v>2</v>
      </c>
      <c r="P11021">
        <v>0</v>
      </c>
      <c r="Q11021">
        <v>0</v>
      </c>
    </row>
    <row r="11022" spans="1:17" x14ac:dyDescent="0.2">
      <c r="A11022" s="121">
        <v>42855</v>
      </c>
      <c r="B11022" t="s">
        <v>406</v>
      </c>
      <c r="C11022" t="s">
        <v>594</v>
      </c>
      <c r="D11022" t="s">
        <v>595</v>
      </c>
      <c r="E11022" t="s">
        <v>596</v>
      </c>
      <c r="F11022" t="s">
        <v>410</v>
      </c>
      <c r="G11022">
        <v>53</v>
      </c>
      <c r="I11022">
        <v>53</v>
      </c>
    </row>
    <row r="11023" spans="1:17" x14ac:dyDescent="0.2">
      <c r="A11023" s="121">
        <v>42855</v>
      </c>
      <c r="B11023" t="s">
        <v>406</v>
      </c>
      <c r="C11023" t="s">
        <v>594</v>
      </c>
      <c r="D11023" t="s">
        <v>597</v>
      </c>
      <c r="E11023" t="s">
        <v>598</v>
      </c>
      <c r="F11023" t="s">
        <v>413</v>
      </c>
      <c r="G11023">
        <v>532</v>
      </c>
      <c r="H11023">
        <v>532</v>
      </c>
      <c r="I11023">
        <v>529</v>
      </c>
      <c r="J11023">
        <v>529</v>
      </c>
      <c r="K11023">
        <v>143</v>
      </c>
      <c r="L11023">
        <v>1</v>
      </c>
      <c r="M11023">
        <v>363</v>
      </c>
      <c r="N11023">
        <v>13</v>
      </c>
      <c r="O11023">
        <v>12</v>
      </c>
      <c r="P11023">
        <v>0</v>
      </c>
      <c r="Q11023">
        <v>0</v>
      </c>
    </row>
    <row r="11024" spans="1:17" x14ac:dyDescent="0.2">
      <c r="A11024" s="121">
        <v>42855</v>
      </c>
      <c r="B11024" t="s">
        <v>406</v>
      </c>
      <c r="C11024" t="s">
        <v>594</v>
      </c>
      <c r="D11024" t="s">
        <v>599</v>
      </c>
      <c r="E11024" t="s">
        <v>600</v>
      </c>
      <c r="F11024" t="s">
        <v>410</v>
      </c>
      <c r="G11024">
        <v>147</v>
      </c>
      <c r="H11024">
        <v>147</v>
      </c>
      <c r="I11024">
        <v>147</v>
      </c>
      <c r="J11024">
        <v>147</v>
      </c>
      <c r="K11024">
        <v>11</v>
      </c>
      <c r="L11024">
        <v>0</v>
      </c>
      <c r="M11024">
        <v>134</v>
      </c>
      <c r="N11024">
        <v>1</v>
      </c>
      <c r="O11024">
        <v>1</v>
      </c>
      <c r="P11024">
        <v>0</v>
      </c>
      <c r="Q11024">
        <v>0</v>
      </c>
    </row>
    <row r="11025" spans="1:17" x14ac:dyDescent="0.2">
      <c r="A11025" s="121">
        <v>42886</v>
      </c>
      <c r="B11025" t="s">
        <v>406</v>
      </c>
      <c r="C11025" t="s">
        <v>407</v>
      </c>
      <c r="D11025" t="s">
        <v>408</v>
      </c>
      <c r="E11025" t="s">
        <v>409</v>
      </c>
      <c r="F11025" t="s">
        <v>410</v>
      </c>
      <c r="G11025">
        <v>276</v>
      </c>
      <c r="I11025">
        <v>271</v>
      </c>
    </row>
    <row r="11026" spans="1:17" x14ac:dyDescent="0.2">
      <c r="A11026" s="121">
        <v>42886</v>
      </c>
      <c r="B11026" t="s">
        <v>406</v>
      </c>
      <c r="C11026" t="s">
        <v>407</v>
      </c>
      <c r="D11026" t="s">
        <v>601</v>
      </c>
      <c r="E11026" t="s">
        <v>602</v>
      </c>
      <c r="F11026" t="s">
        <v>410</v>
      </c>
      <c r="G11026">
        <v>119</v>
      </c>
      <c r="I11026">
        <v>119</v>
      </c>
    </row>
    <row r="11027" spans="1:17" x14ac:dyDescent="0.2">
      <c r="A11027" s="121">
        <v>42886</v>
      </c>
      <c r="B11027" t="s">
        <v>406</v>
      </c>
      <c r="C11027" t="s">
        <v>407</v>
      </c>
      <c r="D11027" t="s">
        <v>411</v>
      </c>
      <c r="E11027" t="s">
        <v>412</v>
      </c>
      <c r="F11027" t="s">
        <v>413</v>
      </c>
      <c r="G11027">
        <v>6507</v>
      </c>
      <c r="H11027">
        <v>6507</v>
      </c>
      <c r="I11027">
        <v>6117</v>
      </c>
      <c r="J11027">
        <v>6117</v>
      </c>
      <c r="K11027">
        <v>2180</v>
      </c>
      <c r="L11027">
        <v>6</v>
      </c>
      <c r="M11027">
        <v>3818</v>
      </c>
      <c r="N11027">
        <v>199</v>
      </c>
      <c r="O11027">
        <v>304</v>
      </c>
      <c r="P11027">
        <v>52</v>
      </c>
      <c r="Q11027">
        <v>11</v>
      </c>
    </row>
    <row r="11028" spans="1:17" x14ac:dyDescent="0.2">
      <c r="A11028" s="121">
        <v>42886</v>
      </c>
      <c r="B11028" t="s">
        <v>406</v>
      </c>
      <c r="C11028" t="s">
        <v>407</v>
      </c>
      <c r="D11028" t="s">
        <v>416</v>
      </c>
      <c r="E11028" t="s">
        <v>417</v>
      </c>
      <c r="F11028" t="s">
        <v>413</v>
      </c>
      <c r="G11028">
        <v>4257</v>
      </c>
      <c r="H11028">
        <v>4257</v>
      </c>
      <c r="I11028">
        <v>4127</v>
      </c>
      <c r="J11028">
        <v>4127</v>
      </c>
      <c r="K11028">
        <v>1451</v>
      </c>
      <c r="L11028">
        <v>3</v>
      </c>
      <c r="M11028">
        <v>2562</v>
      </c>
      <c r="N11028">
        <v>160</v>
      </c>
      <c r="O11028">
        <v>81</v>
      </c>
      <c r="P11028">
        <v>10</v>
      </c>
      <c r="Q11028">
        <v>1</v>
      </c>
    </row>
    <row r="11029" spans="1:17" x14ac:dyDescent="0.2">
      <c r="A11029" s="121">
        <v>42886</v>
      </c>
      <c r="B11029" t="s">
        <v>406</v>
      </c>
      <c r="C11029" t="s">
        <v>407</v>
      </c>
      <c r="D11029" t="s">
        <v>618</v>
      </c>
      <c r="E11029" t="s">
        <v>619</v>
      </c>
      <c r="F11029" t="s">
        <v>410</v>
      </c>
      <c r="G11029">
        <v>110</v>
      </c>
      <c r="I11029">
        <v>110</v>
      </c>
    </row>
    <row r="11030" spans="1:17" x14ac:dyDescent="0.2">
      <c r="A11030" s="121">
        <v>42886</v>
      </c>
      <c r="B11030" t="s">
        <v>406</v>
      </c>
      <c r="C11030" t="s">
        <v>418</v>
      </c>
      <c r="D11030" t="s">
        <v>419</v>
      </c>
      <c r="E11030" t="s">
        <v>420</v>
      </c>
      <c r="F11030" t="s">
        <v>410</v>
      </c>
      <c r="G11030">
        <v>9</v>
      </c>
      <c r="I11030">
        <v>9</v>
      </c>
    </row>
    <row r="11031" spans="1:17" x14ac:dyDescent="0.2">
      <c r="A11031" s="121">
        <v>42886</v>
      </c>
      <c r="B11031" t="s">
        <v>406</v>
      </c>
      <c r="C11031" t="s">
        <v>418</v>
      </c>
      <c r="D11031" t="s">
        <v>421</v>
      </c>
      <c r="E11031" t="s">
        <v>422</v>
      </c>
      <c r="F11031" t="s">
        <v>410</v>
      </c>
      <c r="G11031">
        <v>106</v>
      </c>
      <c r="I11031">
        <v>106</v>
      </c>
    </row>
    <row r="11032" spans="1:17" x14ac:dyDescent="0.2">
      <c r="A11032" s="121">
        <v>42886</v>
      </c>
      <c r="B11032" t="s">
        <v>406</v>
      </c>
      <c r="C11032" t="s">
        <v>418</v>
      </c>
      <c r="D11032" t="s">
        <v>423</v>
      </c>
      <c r="E11032" t="s">
        <v>424</v>
      </c>
      <c r="F11032" t="s">
        <v>410</v>
      </c>
      <c r="G11032">
        <v>11</v>
      </c>
      <c r="I11032">
        <v>11</v>
      </c>
    </row>
    <row r="11033" spans="1:17" x14ac:dyDescent="0.2">
      <c r="A11033" s="121">
        <v>42886</v>
      </c>
      <c r="B11033" t="s">
        <v>406</v>
      </c>
      <c r="C11033" t="s">
        <v>418</v>
      </c>
      <c r="D11033" t="s">
        <v>425</v>
      </c>
      <c r="E11033" t="s">
        <v>426</v>
      </c>
      <c r="F11033" t="s">
        <v>410</v>
      </c>
      <c r="G11033">
        <v>73</v>
      </c>
      <c r="I11033">
        <v>73</v>
      </c>
    </row>
    <row r="11034" spans="1:17" x14ac:dyDescent="0.2">
      <c r="A11034" s="121">
        <v>42886</v>
      </c>
      <c r="B11034" t="s">
        <v>406</v>
      </c>
      <c r="C11034" t="s">
        <v>418</v>
      </c>
      <c r="D11034" t="s">
        <v>427</v>
      </c>
      <c r="E11034" t="s">
        <v>428</v>
      </c>
      <c r="F11034" t="s">
        <v>413</v>
      </c>
      <c r="G11034">
        <v>2678</v>
      </c>
      <c r="H11034">
        <v>2678</v>
      </c>
      <c r="I11034">
        <v>2490</v>
      </c>
      <c r="J11034">
        <v>2490</v>
      </c>
      <c r="K11034">
        <v>890</v>
      </c>
      <c r="L11034">
        <v>7</v>
      </c>
      <c r="M11034">
        <v>1570</v>
      </c>
      <c r="N11034">
        <v>195</v>
      </c>
      <c r="O11034">
        <v>16</v>
      </c>
      <c r="P11034">
        <v>13</v>
      </c>
      <c r="Q11034">
        <v>1</v>
      </c>
    </row>
    <row r="11035" spans="1:17" x14ac:dyDescent="0.2">
      <c r="A11035" s="121">
        <v>42886</v>
      </c>
      <c r="B11035" t="s">
        <v>406</v>
      </c>
      <c r="C11035" t="s">
        <v>429</v>
      </c>
      <c r="D11035" t="s">
        <v>430</v>
      </c>
      <c r="E11035" t="s">
        <v>431</v>
      </c>
      <c r="F11035" t="s">
        <v>410</v>
      </c>
      <c r="G11035">
        <v>28</v>
      </c>
      <c r="I11035">
        <v>28</v>
      </c>
    </row>
    <row r="11036" spans="1:17" x14ac:dyDescent="0.2">
      <c r="A11036" s="121">
        <v>42886</v>
      </c>
      <c r="B11036" t="s">
        <v>406</v>
      </c>
      <c r="C11036" t="s">
        <v>429</v>
      </c>
      <c r="D11036" t="s">
        <v>432</v>
      </c>
      <c r="E11036" t="s">
        <v>433</v>
      </c>
      <c r="F11036" t="s">
        <v>410</v>
      </c>
      <c r="G11036">
        <v>29</v>
      </c>
      <c r="I11036">
        <v>29</v>
      </c>
    </row>
    <row r="11037" spans="1:17" x14ac:dyDescent="0.2">
      <c r="A11037" s="121">
        <v>42886</v>
      </c>
      <c r="B11037" t="s">
        <v>406</v>
      </c>
      <c r="C11037" t="s">
        <v>429</v>
      </c>
      <c r="D11037" t="s">
        <v>434</v>
      </c>
      <c r="E11037" t="s">
        <v>435</v>
      </c>
      <c r="F11037" t="s">
        <v>410</v>
      </c>
      <c r="G11037">
        <v>3</v>
      </c>
      <c r="I11037">
        <v>3</v>
      </c>
    </row>
    <row r="11038" spans="1:17" x14ac:dyDescent="0.2">
      <c r="A11038" s="121">
        <v>42886</v>
      </c>
      <c r="B11038" t="s">
        <v>406</v>
      </c>
      <c r="C11038" t="s">
        <v>429</v>
      </c>
      <c r="D11038" t="s">
        <v>436</v>
      </c>
      <c r="E11038" t="s">
        <v>437</v>
      </c>
      <c r="F11038" t="s">
        <v>410</v>
      </c>
      <c r="G11038">
        <v>7</v>
      </c>
      <c r="H11038">
        <v>7</v>
      </c>
      <c r="I11038">
        <v>7</v>
      </c>
      <c r="J11038">
        <v>7</v>
      </c>
      <c r="K11038">
        <v>0</v>
      </c>
      <c r="L11038">
        <v>0</v>
      </c>
      <c r="M11038">
        <v>7</v>
      </c>
      <c r="N11038">
        <v>0</v>
      </c>
      <c r="O11038">
        <v>0</v>
      </c>
      <c r="P11038">
        <v>0</v>
      </c>
      <c r="Q11038">
        <v>0</v>
      </c>
    </row>
    <row r="11039" spans="1:17" x14ac:dyDescent="0.2">
      <c r="A11039" s="121">
        <v>42886</v>
      </c>
      <c r="B11039" t="s">
        <v>406</v>
      </c>
      <c r="C11039" t="s">
        <v>429</v>
      </c>
      <c r="D11039" t="s">
        <v>438</v>
      </c>
      <c r="E11039" t="s">
        <v>439</v>
      </c>
      <c r="F11039" t="s">
        <v>413</v>
      </c>
      <c r="G11039">
        <v>1125</v>
      </c>
      <c r="H11039">
        <v>1125</v>
      </c>
      <c r="I11039">
        <v>1076</v>
      </c>
      <c r="J11039">
        <v>1076</v>
      </c>
      <c r="K11039">
        <v>78</v>
      </c>
      <c r="L11039">
        <v>2</v>
      </c>
      <c r="M11039">
        <v>942</v>
      </c>
      <c r="N11039">
        <v>71</v>
      </c>
      <c r="O11039">
        <v>32</v>
      </c>
      <c r="P11039">
        <v>3</v>
      </c>
      <c r="Q11039">
        <v>1</v>
      </c>
    </row>
    <row r="11040" spans="1:17" x14ac:dyDescent="0.2">
      <c r="A11040" s="121">
        <v>42886</v>
      </c>
      <c r="B11040" t="s">
        <v>406</v>
      </c>
      <c r="C11040" t="s">
        <v>429</v>
      </c>
      <c r="D11040" t="s">
        <v>440</v>
      </c>
      <c r="E11040" t="s">
        <v>441</v>
      </c>
      <c r="F11040" t="s">
        <v>413</v>
      </c>
      <c r="G11040">
        <v>3372</v>
      </c>
      <c r="H11040">
        <v>3372</v>
      </c>
      <c r="I11040">
        <v>3211</v>
      </c>
      <c r="J11040">
        <v>3211</v>
      </c>
      <c r="K11040">
        <v>1163</v>
      </c>
      <c r="L11040">
        <v>2</v>
      </c>
      <c r="M11040">
        <v>2097</v>
      </c>
      <c r="N11040">
        <v>58</v>
      </c>
      <c r="O11040">
        <v>52</v>
      </c>
      <c r="P11040">
        <v>0</v>
      </c>
      <c r="Q11040">
        <v>0</v>
      </c>
    </row>
    <row r="11041" spans="1:17" x14ac:dyDescent="0.2">
      <c r="A11041" s="121">
        <v>42886</v>
      </c>
      <c r="B11041" t="s">
        <v>406</v>
      </c>
      <c r="C11041" t="s">
        <v>442</v>
      </c>
      <c r="D11041" t="s">
        <v>443</v>
      </c>
      <c r="E11041" t="s">
        <v>444</v>
      </c>
      <c r="F11041" t="s">
        <v>413</v>
      </c>
      <c r="G11041">
        <v>5675</v>
      </c>
      <c r="H11041">
        <v>5675</v>
      </c>
      <c r="I11041">
        <v>5235</v>
      </c>
      <c r="J11041">
        <v>5235</v>
      </c>
      <c r="K11041">
        <v>1595</v>
      </c>
      <c r="L11041">
        <v>10</v>
      </c>
      <c r="M11041">
        <v>3869</v>
      </c>
      <c r="N11041">
        <v>134</v>
      </c>
      <c r="O11041">
        <v>67</v>
      </c>
      <c r="P11041">
        <v>51</v>
      </c>
      <c r="Q11041">
        <v>7</v>
      </c>
    </row>
    <row r="11042" spans="1:17" x14ac:dyDescent="0.2">
      <c r="A11042" s="121">
        <v>42886</v>
      </c>
      <c r="B11042" t="s">
        <v>406</v>
      </c>
      <c r="C11042" t="s">
        <v>442</v>
      </c>
      <c r="D11042" t="s">
        <v>445</v>
      </c>
      <c r="E11042" t="s">
        <v>446</v>
      </c>
      <c r="F11042" t="s">
        <v>410</v>
      </c>
      <c r="G11042">
        <v>194</v>
      </c>
      <c r="H11042">
        <v>194</v>
      </c>
      <c r="I11042">
        <v>194</v>
      </c>
      <c r="J11042">
        <v>194</v>
      </c>
      <c r="K11042">
        <v>3</v>
      </c>
      <c r="L11042">
        <v>0</v>
      </c>
      <c r="M11042">
        <v>180</v>
      </c>
      <c r="N11042">
        <v>3</v>
      </c>
      <c r="O11042">
        <v>8</v>
      </c>
      <c r="P11042">
        <v>0</v>
      </c>
      <c r="Q11042">
        <v>0</v>
      </c>
    </row>
    <row r="11043" spans="1:17" x14ac:dyDescent="0.2">
      <c r="A11043" s="121">
        <v>42886</v>
      </c>
      <c r="B11043" t="s">
        <v>406</v>
      </c>
      <c r="C11043" t="s">
        <v>442</v>
      </c>
      <c r="D11043" t="s">
        <v>447</v>
      </c>
      <c r="E11043" t="s">
        <v>448</v>
      </c>
      <c r="F11043" t="s">
        <v>410</v>
      </c>
      <c r="G11043">
        <v>305</v>
      </c>
      <c r="I11043">
        <v>305</v>
      </c>
    </row>
    <row r="11044" spans="1:17" x14ac:dyDescent="0.2">
      <c r="A11044" s="121">
        <v>42886</v>
      </c>
      <c r="B11044" t="s">
        <v>406</v>
      </c>
      <c r="C11044" t="s">
        <v>442</v>
      </c>
      <c r="D11044" t="s">
        <v>449</v>
      </c>
      <c r="E11044" t="s">
        <v>624</v>
      </c>
      <c r="F11044" t="s">
        <v>410</v>
      </c>
      <c r="G11044">
        <v>2101</v>
      </c>
      <c r="H11044">
        <v>2101</v>
      </c>
      <c r="I11044">
        <v>2099</v>
      </c>
      <c r="J11044">
        <v>2099</v>
      </c>
      <c r="K11044">
        <v>15</v>
      </c>
      <c r="L11044">
        <v>0</v>
      </c>
      <c r="M11044">
        <v>1854</v>
      </c>
      <c r="N11044">
        <v>189</v>
      </c>
      <c r="O11044">
        <v>43</v>
      </c>
      <c r="P11044">
        <v>0</v>
      </c>
      <c r="Q11044">
        <v>0</v>
      </c>
    </row>
    <row r="11045" spans="1:17" x14ac:dyDescent="0.2">
      <c r="A11045" s="121">
        <v>42886</v>
      </c>
      <c r="B11045" t="s">
        <v>406</v>
      </c>
      <c r="C11045" t="s">
        <v>451</v>
      </c>
      <c r="D11045" t="s">
        <v>454</v>
      </c>
      <c r="E11045" t="s">
        <v>621</v>
      </c>
      <c r="F11045" t="s">
        <v>410</v>
      </c>
      <c r="G11045">
        <v>1589</v>
      </c>
      <c r="H11045">
        <v>1589</v>
      </c>
      <c r="I11045">
        <v>1588</v>
      </c>
      <c r="J11045">
        <v>1588</v>
      </c>
      <c r="K11045">
        <v>1</v>
      </c>
      <c r="L11045">
        <v>0</v>
      </c>
      <c r="M11045">
        <v>1101</v>
      </c>
      <c r="N11045">
        <v>55</v>
      </c>
      <c r="O11045">
        <v>432</v>
      </c>
      <c r="P11045">
        <v>0</v>
      </c>
      <c r="Q11045">
        <v>0</v>
      </c>
    </row>
    <row r="11046" spans="1:17" x14ac:dyDescent="0.2">
      <c r="A11046" s="121">
        <v>42886</v>
      </c>
      <c r="B11046" t="s">
        <v>406</v>
      </c>
      <c r="C11046" t="s">
        <v>451</v>
      </c>
      <c r="D11046" t="s">
        <v>622</v>
      </c>
      <c r="E11046" t="s">
        <v>623</v>
      </c>
      <c r="F11046" t="s">
        <v>413</v>
      </c>
      <c r="G11046">
        <v>5995</v>
      </c>
      <c r="H11046">
        <v>5995</v>
      </c>
      <c r="I11046">
        <v>5373</v>
      </c>
      <c r="J11046">
        <v>5373</v>
      </c>
      <c r="K11046">
        <v>1653</v>
      </c>
      <c r="L11046">
        <v>9</v>
      </c>
      <c r="M11046">
        <v>3360</v>
      </c>
      <c r="N11046">
        <v>99</v>
      </c>
      <c r="O11046">
        <v>874</v>
      </c>
      <c r="P11046">
        <v>60</v>
      </c>
      <c r="Q11046">
        <v>7</v>
      </c>
    </row>
    <row r="11047" spans="1:17" x14ac:dyDescent="0.2">
      <c r="A11047" s="121">
        <v>42886</v>
      </c>
      <c r="B11047" t="s">
        <v>406</v>
      </c>
      <c r="C11047" t="s">
        <v>456</v>
      </c>
      <c r="D11047" t="s">
        <v>457</v>
      </c>
      <c r="E11047" t="s">
        <v>458</v>
      </c>
      <c r="F11047" t="s">
        <v>413</v>
      </c>
      <c r="G11047">
        <v>5086</v>
      </c>
      <c r="H11047">
        <v>5086</v>
      </c>
      <c r="I11047">
        <v>4775</v>
      </c>
      <c r="J11047">
        <v>4775</v>
      </c>
      <c r="K11047">
        <v>1281</v>
      </c>
      <c r="L11047">
        <v>9</v>
      </c>
      <c r="M11047">
        <v>3380</v>
      </c>
      <c r="N11047">
        <v>20</v>
      </c>
      <c r="O11047">
        <v>396</v>
      </c>
      <c r="P11047">
        <v>9</v>
      </c>
      <c r="Q11047">
        <v>1</v>
      </c>
    </row>
    <row r="11048" spans="1:17" x14ac:dyDescent="0.2">
      <c r="A11048" s="121">
        <v>42886</v>
      </c>
      <c r="B11048" t="s">
        <v>406</v>
      </c>
      <c r="C11048" t="s">
        <v>456</v>
      </c>
      <c r="D11048" t="s">
        <v>459</v>
      </c>
      <c r="E11048" t="s">
        <v>460</v>
      </c>
      <c r="F11048" t="s">
        <v>413</v>
      </c>
      <c r="G11048">
        <v>1615</v>
      </c>
      <c r="H11048">
        <v>1615</v>
      </c>
      <c r="I11048">
        <v>1591</v>
      </c>
      <c r="J11048">
        <v>1591</v>
      </c>
      <c r="K11048">
        <v>161</v>
      </c>
      <c r="L11048">
        <v>0</v>
      </c>
      <c r="M11048">
        <v>1387</v>
      </c>
      <c r="N11048">
        <v>0</v>
      </c>
      <c r="O11048">
        <v>67</v>
      </c>
      <c r="P11048">
        <v>0</v>
      </c>
      <c r="Q11048">
        <v>0</v>
      </c>
    </row>
    <row r="11049" spans="1:17" x14ac:dyDescent="0.2">
      <c r="A11049" s="121">
        <v>42886</v>
      </c>
      <c r="B11049" t="s">
        <v>406</v>
      </c>
      <c r="C11049" t="s">
        <v>456</v>
      </c>
      <c r="D11049" t="s">
        <v>461</v>
      </c>
      <c r="E11049" t="s">
        <v>462</v>
      </c>
      <c r="F11049" t="s">
        <v>410</v>
      </c>
      <c r="G11049">
        <v>128</v>
      </c>
      <c r="I11049">
        <v>128</v>
      </c>
    </row>
    <row r="11050" spans="1:17" x14ac:dyDescent="0.2">
      <c r="A11050" s="121">
        <v>42886</v>
      </c>
      <c r="B11050" t="s">
        <v>406</v>
      </c>
      <c r="C11050" t="s">
        <v>456</v>
      </c>
      <c r="D11050" t="s">
        <v>463</v>
      </c>
      <c r="E11050" t="s">
        <v>464</v>
      </c>
      <c r="F11050" t="s">
        <v>410</v>
      </c>
      <c r="G11050">
        <v>19</v>
      </c>
      <c r="I11050">
        <v>19</v>
      </c>
    </row>
    <row r="11051" spans="1:17" x14ac:dyDescent="0.2">
      <c r="A11051" s="121">
        <v>42886</v>
      </c>
      <c r="B11051" t="s">
        <v>406</v>
      </c>
      <c r="C11051" t="s">
        <v>456</v>
      </c>
      <c r="D11051" t="s">
        <v>465</v>
      </c>
      <c r="E11051" t="s">
        <v>466</v>
      </c>
      <c r="F11051" t="s">
        <v>410</v>
      </c>
      <c r="G11051">
        <v>44</v>
      </c>
      <c r="I11051">
        <v>44</v>
      </c>
    </row>
    <row r="11052" spans="1:17" x14ac:dyDescent="0.2">
      <c r="A11052" s="121">
        <v>42886</v>
      </c>
      <c r="B11052" t="s">
        <v>406</v>
      </c>
      <c r="C11052" t="s">
        <v>456</v>
      </c>
      <c r="D11052" t="s">
        <v>467</v>
      </c>
      <c r="E11052" t="s">
        <v>468</v>
      </c>
      <c r="F11052" t="s">
        <v>410</v>
      </c>
      <c r="G11052">
        <v>1434</v>
      </c>
      <c r="I11052">
        <v>1432</v>
      </c>
    </row>
    <row r="11053" spans="1:17" x14ac:dyDescent="0.2">
      <c r="A11053" s="121">
        <v>42886</v>
      </c>
      <c r="B11053" t="s">
        <v>406</v>
      </c>
      <c r="C11053" t="s">
        <v>456</v>
      </c>
      <c r="D11053" t="s">
        <v>469</v>
      </c>
      <c r="E11053" t="s">
        <v>470</v>
      </c>
      <c r="F11053" t="s">
        <v>410</v>
      </c>
      <c r="G11053">
        <v>762</v>
      </c>
      <c r="I11053">
        <v>759</v>
      </c>
    </row>
    <row r="11054" spans="1:17" x14ac:dyDescent="0.2">
      <c r="A11054" s="121">
        <v>42886</v>
      </c>
      <c r="B11054" t="s">
        <v>406</v>
      </c>
      <c r="C11054" t="s">
        <v>456</v>
      </c>
      <c r="D11054" t="s">
        <v>471</v>
      </c>
      <c r="E11054" t="s">
        <v>472</v>
      </c>
      <c r="F11054" t="s">
        <v>410</v>
      </c>
      <c r="G11054">
        <v>294</v>
      </c>
      <c r="I11054">
        <v>291</v>
      </c>
    </row>
    <row r="11055" spans="1:17" x14ac:dyDescent="0.2">
      <c r="A11055" s="121">
        <v>42886</v>
      </c>
      <c r="B11055" t="s">
        <v>406</v>
      </c>
      <c r="C11055" t="s">
        <v>456</v>
      </c>
      <c r="D11055" t="s">
        <v>473</v>
      </c>
      <c r="E11055" t="s">
        <v>474</v>
      </c>
      <c r="F11055" t="s">
        <v>410</v>
      </c>
      <c r="G11055">
        <v>208</v>
      </c>
      <c r="I11055">
        <v>208</v>
      </c>
    </row>
    <row r="11056" spans="1:17" x14ac:dyDescent="0.2">
      <c r="A11056" s="121">
        <v>42886</v>
      </c>
      <c r="B11056" t="s">
        <v>406</v>
      </c>
      <c r="C11056" t="s">
        <v>456</v>
      </c>
      <c r="D11056" t="s">
        <v>475</v>
      </c>
      <c r="E11056" t="s">
        <v>476</v>
      </c>
      <c r="F11056" t="s">
        <v>410</v>
      </c>
      <c r="G11056">
        <v>291</v>
      </c>
      <c r="I11056">
        <v>283</v>
      </c>
    </row>
    <row r="11057" spans="1:17" x14ac:dyDescent="0.2">
      <c r="A11057" s="121">
        <v>42886</v>
      </c>
      <c r="B11057" t="s">
        <v>406</v>
      </c>
      <c r="C11057" t="s">
        <v>456</v>
      </c>
      <c r="D11057" t="s">
        <v>477</v>
      </c>
      <c r="E11057" t="s">
        <v>478</v>
      </c>
      <c r="F11057" t="s">
        <v>413</v>
      </c>
      <c r="G11057">
        <v>2268</v>
      </c>
      <c r="H11057">
        <v>2268</v>
      </c>
      <c r="I11057">
        <v>2223</v>
      </c>
      <c r="J11057">
        <v>2223</v>
      </c>
      <c r="K11057">
        <v>420</v>
      </c>
      <c r="L11057">
        <v>4</v>
      </c>
      <c r="M11057">
        <v>1796</v>
      </c>
      <c r="N11057">
        <v>22</v>
      </c>
      <c r="O11057">
        <v>26</v>
      </c>
      <c r="P11057">
        <v>1</v>
      </c>
      <c r="Q11057">
        <v>0</v>
      </c>
    </row>
    <row r="11058" spans="1:17" x14ac:dyDescent="0.2">
      <c r="A11058" s="121">
        <v>42886</v>
      </c>
      <c r="B11058" t="s">
        <v>406</v>
      </c>
      <c r="C11058" t="s">
        <v>456</v>
      </c>
      <c r="D11058" t="s">
        <v>479</v>
      </c>
      <c r="E11058" t="s">
        <v>480</v>
      </c>
      <c r="F11058" t="s">
        <v>410</v>
      </c>
      <c r="G11058">
        <v>62</v>
      </c>
      <c r="I11058">
        <v>62</v>
      </c>
    </row>
    <row r="11059" spans="1:17" x14ac:dyDescent="0.2">
      <c r="A11059" s="121">
        <v>42886</v>
      </c>
      <c r="B11059" t="s">
        <v>406</v>
      </c>
      <c r="C11059" t="s">
        <v>456</v>
      </c>
      <c r="D11059" t="s">
        <v>481</v>
      </c>
      <c r="E11059" t="s">
        <v>482</v>
      </c>
      <c r="F11059" t="s">
        <v>410</v>
      </c>
      <c r="G11059">
        <v>25</v>
      </c>
      <c r="I11059">
        <v>25</v>
      </c>
    </row>
    <row r="11060" spans="1:17" x14ac:dyDescent="0.2">
      <c r="A11060" s="121">
        <v>42886</v>
      </c>
      <c r="B11060" t="s">
        <v>406</v>
      </c>
      <c r="C11060" t="s">
        <v>456</v>
      </c>
      <c r="D11060" t="s">
        <v>483</v>
      </c>
      <c r="E11060" t="s">
        <v>484</v>
      </c>
      <c r="F11060" t="s">
        <v>410</v>
      </c>
      <c r="G11060">
        <v>83</v>
      </c>
      <c r="I11060">
        <v>83</v>
      </c>
    </row>
    <row r="11061" spans="1:17" x14ac:dyDescent="0.2">
      <c r="A11061" s="121">
        <v>42886</v>
      </c>
      <c r="B11061" t="s">
        <v>406</v>
      </c>
      <c r="C11061" t="s">
        <v>456</v>
      </c>
      <c r="D11061" t="s">
        <v>487</v>
      </c>
      <c r="E11061" t="s">
        <v>488</v>
      </c>
      <c r="F11061" t="s">
        <v>410</v>
      </c>
      <c r="G11061">
        <v>19</v>
      </c>
      <c r="I11061">
        <v>19</v>
      </c>
    </row>
    <row r="11062" spans="1:17" x14ac:dyDescent="0.2">
      <c r="A11062" s="121">
        <v>42886</v>
      </c>
      <c r="B11062" t="s">
        <v>406</v>
      </c>
      <c r="C11062" t="s">
        <v>456</v>
      </c>
      <c r="D11062" t="s">
        <v>489</v>
      </c>
      <c r="E11062" t="s">
        <v>490</v>
      </c>
      <c r="F11062" t="s">
        <v>410</v>
      </c>
      <c r="G11062">
        <v>108</v>
      </c>
      <c r="I11062">
        <v>108</v>
      </c>
    </row>
    <row r="11063" spans="1:17" x14ac:dyDescent="0.2">
      <c r="A11063" s="121">
        <v>42886</v>
      </c>
      <c r="B11063" t="s">
        <v>406</v>
      </c>
      <c r="C11063" t="s">
        <v>456</v>
      </c>
      <c r="D11063" t="s">
        <v>628</v>
      </c>
      <c r="E11063" t="s">
        <v>629</v>
      </c>
      <c r="F11063" t="s">
        <v>410</v>
      </c>
      <c r="G11063">
        <v>69</v>
      </c>
      <c r="I11063">
        <v>69</v>
      </c>
    </row>
    <row r="11064" spans="1:17" x14ac:dyDescent="0.2">
      <c r="A11064" s="121">
        <v>42886</v>
      </c>
      <c r="B11064" t="s">
        <v>406</v>
      </c>
      <c r="C11064" t="s">
        <v>491</v>
      </c>
      <c r="D11064" t="s">
        <v>492</v>
      </c>
      <c r="E11064" t="s">
        <v>493</v>
      </c>
      <c r="F11064" t="s">
        <v>410</v>
      </c>
      <c r="G11064">
        <v>1698</v>
      </c>
      <c r="H11064">
        <v>1698</v>
      </c>
      <c r="I11064">
        <v>1662</v>
      </c>
      <c r="J11064">
        <v>1662</v>
      </c>
      <c r="K11064">
        <v>217</v>
      </c>
      <c r="L11064">
        <v>0</v>
      </c>
      <c r="M11064">
        <v>1361</v>
      </c>
      <c r="N11064">
        <v>103</v>
      </c>
      <c r="O11064">
        <v>17</v>
      </c>
      <c r="P11064">
        <v>0</v>
      </c>
      <c r="Q11064">
        <v>0</v>
      </c>
    </row>
    <row r="11065" spans="1:17" x14ac:dyDescent="0.2">
      <c r="A11065" s="121">
        <v>42886</v>
      </c>
      <c r="B11065" t="s">
        <v>406</v>
      </c>
      <c r="C11065" t="s">
        <v>491</v>
      </c>
      <c r="D11065" t="s">
        <v>494</v>
      </c>
      <c r="E11065" t="s">
        <v>495</v>
      </c>
      <c r="F11065" t="s">
        <v>413</v>
      </c>
      <c r="G11065">
        <v>2939</v>
      </c>
      <c r="H11065">
        <v>2939</v>
      </c>
      <c r="I11065">
        <v>2792</v>
      </c>
      <c r="J11065">
        <v>2792</v>
      </c>
      <c r="K11065">
        <v>636</v>
      </c>
      <c r="L11065">
        <v>2</v>
      </c>
      <c r="M11065">
        <v>2081</v>
      </c>
      <c r="N11065">
        <v>35</v>
      </c>
      <c r="O11065">
        <v>185</v>
      </c>
      <c r="P11065">
        <v>6</v>
      </c>
      <c r="Q11065">
        <v>0</v>
      </c>
    </row>
    <row r="11066" spans="1:17" x14ac:dyDescent="0.2">
      <c r="A11066" s="121">
        <v>42886</v>
      </c>
      <c r="B11066" t="s">
        <v>406</v>
      </c>
      <c r="C11066" t="s">
        <v>491</v>
      </c>
      <c r="D11066" t="s">
        <v>496</v>
      </c>
      <c r="E11066" t="s">
        <v>497</v>
      </c>
      <c r="F11066" t="s">
        <v>413</v>
      </c>
      <c r="G11066">
        <v>5851</v>
      </c>
      <c r="H11066">
        <v>5851</v>
      </c>
      <c r="I11066">
        <v>5207</v>
      </c>
      <c r="J11066">
        <v>5207</v>
      </c>
      <c r="K11066">
        <v>1409</v>
      </c>
      <c r="L11066">
        <v>16</v>
      </c>
      <c r="M11066">
        <v>4152</v>
      </c>
      <c r="N11066">
        <v>124</v>
      </c>
      <c r="O11066">
        <v>150</v>
      </c>
      <c r="P11066">
        <v>46</v>
      </c>
      <c r="Q11066">
        <v>0</v>
      </c>
    </row>
    <row r="11067" spans="1:17" x14ac:dyDescent="0.2">
      <c r="A11067" s="121">
        <v>42886</v>
      </c>
      <c r="B11067" t="s">
        <v>406</v>
      </c>
      <c r="C11067" t="s">
        <v>491</v>
      </c>
      <c r="D11067" t="s">
        <v>498</v>
      </c>
      <c r="E11067" t="s">
        <v>499</v>
      </c>
      <c r="F11067" t="s">
        <v>413</v>
      </c>
      <c r="G11067">
        <v>8351</v>
      </c>
      <c r="H11067">
        <v>8351</v>
      </c>
      <c r="I11067">
        <v>7055</v>
      </c>
      <c r="J11067">
        <v>7055</v>
      </c>
      <c r="K11067">
        <v>2253</v>
      </c>
      <c r="L11067">
        <v>17</v>
      </c>
      <c r="M11067">
        <v>5425</v>
      </c>
      <c r="N11067">
        <v>193</v>
      </c>
      <c r="O11067">
        <v>463</v>
      </c>
      <c r="P11067">
        <v>77</v>
      </c>
      <c r="Q11067">
        <v>1</v>
      </c>
    </row>
    <row r="11068" spans="1:17" x14ac:dyDescent="0.2">
      <c r="A11068" s="121">
        <v>42886</v>
      </c>
      <c r="B11068" t="s">
        <v>406</v>
      </c>
      <c r="C11068" t="s">
        <v>491</v>
      </c>
      <c r="D11068" t="s">
        <v>500</v>
      </c>
      <c r="E11068" t="s">
        <v>620</v>
      </c>
      <c r="F11068" t="s">
        <v>410</v>
      </c>
      <c r="G11068">
        <v>1995</v>
      </c>
      <c r="H11068">
        <v>1995</v>
      </c>
      <c r="I11068">
        <v>1992</v>
      </c>
      <c r="J11068">
        <v>1992</v>
      </c>
      <c r="K11068">
        <v>0</v>
      </c>
      <c r="L11068">
        <v>0</v>
      </c>
      <c r="M11068">
        <v>1803</v>
      </c>
      <c r="N11068">
        <v>156</v>
      </c>
      <c r="O11068">
        <v>36</v>
      </c>
      <c r="P11068">
        <v>0</v>
      </c>
      <c r="Q11068">
        <v>0</v>
      </c>
    </row>
    <row r="11069" spans="1:17" x14ac:dyDescent="0.2">
      <c r="A11069" s="121">
        <v>42886</v>
      </c>
      <c r="B11069" t="s">
        <v>406</v>
      </c>
      <c r="C11069" t="s">
        <v>491</v>
      </c>
      <c r="D11069" t="s">
        <v>502</v>
      </c>
      <c r="E11069" t="s">
        <v>615</v>
      </c>
      <c r="F11069" t="s">
        <v>410</v>
      </c>
      <c r="G11069">
        <v>3270</v>
      </c>
      <c r="H11069">
        <v>3270</v>
      </c>
      <c r="I11069">
        <v>3268</v>
      </c>
      <c r="J11069">
        <v>3268</v>
      </c>
      <c r="K11069">
        <v>0</v>
      </c>
      <c r="L11069">
        <v>1</v>
      </c>
      <c r="M11069">
        <v>2914</v>
      </c>
      <c r="N11069">
        <v>298</v>
      </c>
      <c r="O11069">
        <v>57</v>
      </c>
      <c r="P11069">
        <v>0</v>
      </c>
      <c r="Q11069">
        <v>0</v>
      </c>
    </row>
    <row r="11070" spans="1:17" x14ac:dyDescent="0.2">
      <c r="A11070" s="121">
        <v>42886</v>
      </c>
      <c r="B11070" t="s">
        <v>406</v>
      </c>
      <c r="C11070" t="s">
        <v>491</v>
      </c>
      <c r="D11070" t="s">
        <v>504</v>
      </c>
      <c r="E11070" t="s">
        <v>630</v>
      </c>
      <c r="F11070" t="s">
        <v>413</v>
      </c>
      <c r="G11070">
        <v>8950</v>
      </c>
      <c r="H11070">
        <v>8950</v>
      </c>
      <c r="I11070">
        <v>7541</v>
      </c>
      <c r="J11070">
        <v>7541</v>
      </c>
      <c r="K11070">
        <v>2735</v>
      </c>
      <c r="L11070">
        <v>31</v>
      </c>
      <c r="M11070">
        <v>5773</v>
      </c>
      <c r="N11070">
        <v>81</v>
      </c>
      <c r="O11070">
        <v>330</v>
      </c>
      <c r="P11070">
        <v>53</v>
      </c>
      <c r="Q11070">
        <v>0</v>
      </c>
    </row>
    <row r="11071" spans="1:17" x14ac:dyDescent="0.2">
      <c r="A11071" s="121">
        <v>42886</v>
      </c>
      <c r="B11071" t="s">
        <v>406</v>
      </c>
      <c r="C11071" t="s">
        <v>491</v>
      </c>
      <c r="D11071" t="s">
        <v>506</v>
      </c>
      <c r="E11071" t="s">
        <v>507</v>
      </c>
      <c r="F11071" t="s">
        <v>413</v>
      </c>
      <c r="G11071">
        <v>5475</v>
      </c>
      <c r="H11071">
        <v>5475</v>
      </c>
      <c r="I11071">
        <v>5440</v>
      </c>
      <c r="J11071">
        <v>5440</v>
      </c>
      <c r="K11071">
        <v>915</v>
      </c>
      <c r="L11071">
        <v>4</v>
      </c>
      <c r="M11071">
        <v>4539</v>
      </c>
      <c r="N11071">
        <v>7</v>
      </c>
      <c r="O11071">
        <v>10</v>
      </c>
      <c r="P11071">
        <v>1</v>
      </c>
      <c r="Q11071">
        <v>0</v>
      </c>
    </row>
    <row r="11072" spans="1:17" x14ac:dyDescent="0.2">
      <c r="A11072" s="121">
        <v>42886</v>
      </c>
      <c r="B11072" t="s">
        <v>406</v>
      </c>
      <c r="C11072" t="s">
        <v>510</v>
      </c>
      <c r="D11072" t="s">
        <v>513</v>
      </c>
      <c r="E11072" t="s">
        <v>514</v>
      </c>
      <c r="F11072" t="s">
        <v>410</v>
      </c>
      <c r="G11072">
        <v>741</v>
      </c>
      <c r="I11072">
        <v>741</v>
      </c>
    </row>
    <row r="11073" spans="1:17" x14ac:dyDescent="0.2">
      <c r="A11073" s="121">
        <v>42886</v>
      </c>
      <c r="B11073" t="s">
        <v>406</v>
      </c>
      <c r="C11073" t="s">
        <v>510</v>
      </c>
      <c r="D11073" t="s">
        <v>515</v>
      </c>
      <c r="E11073" t="s">
        <v>516</v>
      </c>
      <c r="F11073" t="s">
        <v>410</v>
      </c>
      <c r="G11073">
        <v>125</v>
      </c>
      <c r="I11073">
        <v>125</v>
      </c>
    </row>
    <row r="11074" spans="1:17" x14ac:dyDescent="0.2">
      <c r="A11074" s="121">
        <v>42886</v>
      </c>
      <c r="B11074" t="s">
        <v>406</v>
      </c>
      <c r="C11074" t="s">
        <v>510</v>
      </c>
      <c r="D11074" t="s">
        <v>519</v>
      </c>
      <c r="E11074" t="s">
        <v>520</v>
      </c>
      <c r="F11074" t="s">
        <v>410</v>
      </c>
      <c r="G11074">
        <v>408</v>
      </c>
      <c r="I11074">
        <v>405</v>
      </c>
    </row>
    <row r="11075" spans="1:17" x14ac:dyDescent="0.2">
      <c r="A11075" s="121">
        <v>42886</v>
      </c>
      <c r="B11075" t="s">
        <v>406</v>
      </c>
      <c r="C11075" t="s">
        <v>510</v>
      </c>
      <c r="D11075" t="s">
        <v>523</v>
      </c>
      <c r="E11075" t="s">
        <v>524</v>
      </c>
      <c r="F11075" t="s">
        <v>413</v>
      </c>
      <c r="G11075">
        <v>797</v>
      </c>
      <c r="H11075">
        <v>797</v>
      </c>
      <c r="I11075">
        <v>789</v>
      </c>
      <c r="J11075">
        <v>789</v>
      </c>
      <c r="K11075">
        <v>188</v>
      </c>
      <c r="L11075">
        <v>1</v>
      </c>
      <c r="M11075">
        <v>577</v>
      </c>
      <c r="N11075">
        <v>31</v>
      </c>
      <c r="O11075">
        <v>0</v>
      </c>
      <c r="P11075">
        <v>0</v>
      </c>
      <c r="Q11075">
        <v>0</v>
      </c>
    </row>
    <row r="11076" spans="1:17" x14ac:dyDescent="0.2">
      <c r="A11076" s="121">
        <v>42886</v>
      </c>
      <c r="B11076" t="s">
        <v>406</v>
      </c>
      <c r="C11076" t="s">
        <v>510</v>
      </c>
      <c r="D11076" t="s">
        <v>525</v>
      </c>
      <c r="E11076" t="s">
        <v>526</v>
      </c>
      <c r="F11076" t="s">
        <v>410</v>
      </c>
      <c r="G11076">
        <v>503</v>
      </c>
      <c r="I11076">
        <v>501</v>
      </c>
    </row>
    <row r="11077" spans="1:17" x14ac:dyDescent="0.2">
      <c r="A11077" s="121">
        <v>42886</v>
      </c>
      <c r="B11077" t="s">
        <v>406</v>
      </c>
      <c r="C11077" t="s">
        <v>510</v>
      </c>
      <c r="D11077" t="s">
        <v>527</v>
      </c>
      <c r="E11077" t="s">
        <v>528</v>
      </c>
      <c r="F11077" t="s">
        <v>410</v>
      </c>
      <c r="G11077">
        <v>219</v>
      </c>
      <c r="I11077">
        <v>219</v>
      </c>
    </row>
    <row r="11078" spans="1:17" x14ac:dyDescent="0.2">
      <c r="A11078" s="121">
        <v>42886</v>
      </c>
      <c r="B11078" t="s">
        <v>406</v>
      </c>
      <c r="C11078" t="s">
        <v>510</v>
      </c>
      <c r="D11078" t="s">
        <v>529</v>
      </c>
      <c r="E11078" t="s">
        <v>530</v>
      </c>
      <c r="F11078" t="s">
        <v>413</v>
      </c>
      <c r="G11078">
        <v>637</v>
      </c>
      <c r="H11078">
        <v>637</v>
      </c>
      <c r="I11078">
        <v>632</v>
      </c>
      <c r="J11078">
        <v>632</v>
      </c>
      <c r="K11078">
        <v>186</v>
      </c>
      <c r="L11078">
        <v>1</v>
      </c>
      <c r="M11078">
        <v>448</v>
      </c>
      <c r="N11078">
        <v>2</v>
      </c>
      <c r="O11078">
        <v>0</v>
      </c>
      <c r="P11078">
        <v>0</v>
      </c>
      <c r="Q11078">
        <v>0</v>
      </c>
    </row>
    <row r="11079" spans="1:17" x14ac:dyDescent="0.2">
      <c r="A11079" s="121">
        <v>42886</v>
      </c>
      <c r="B11079" t="s">
        <v>406</v>
      </c>
      <c r="C11079" t="s">
        <v>510</v>
      </c>
      <c r="D11079" t="s">
        <v>531</v>
      </c>
      <c r="E11079" t="s">
        <v>532</v>
      </c>
      <c r="F11079" t="s">
        <v>410</v>
      </c>
      <c r="G11079">
        <v>71</v>
      </c>
      <c r="I11079">
        <v>71</v>
      </c>
    </row>
    <row r="11080" spans="1:17" x14ac:dyDescent="0.2">
      <c r="A11080" s="121">
        <v>42886</v>
      </c>
      <c r="B11080" t="s">
        <v>406</v>
      </c>
      <c r="C11080" t="s">
        <v>510</v>
      </c>
      <c r="D11080" t="s">
        <v>533</v>
      </c>
      <c r="E11080" t="s">
        <v>534</v>
      </c>
      <c r="F11080" t="s">
        <v>413</v>
      </c>
      <c r="G11080">
        <v>3214</v>
      </c>
      <c r="H11080">
        <v>3214</v>
      </c>
      <c r="I11080">
        <v>3017</v>
      </c>
      <c r="J11080">
        <v>3017</v>
      </c>
      <c r="K11080">
        <v>728</v>
      </c>
      <c r="L11080">
        <v>1</v>
      </c>
      <c r="M11080">
        <v>2472</v>
      </c>
      <c r="N11080">
        <v>13</v>
      </c>
      <c r="O11080">
        <v>0</v>
      </c>
      <c r="P11080">
        <v>5</v>
      </c>
      <c r="Q11080">
        <v>0</v>
      </c>
    </row>
    <row r="11081" spans="1:17" x14ac:dyDescent="0.2">
      <c r="A11081" s="121">
        <v>42886</v>
      </c>
      <c r="B11081" t="s">
        <v>406</v>
      </c>
      <c r="C11081" t="s">
        <v>510</v>
      </c>
      <c r="D11081" t="s">
        <v>535</v>
      </c>
      <c r="E11081" t="s">
        <v>536</v>
      </c>
      <c r="F11081" t="s">
        <v>410</v>
      </c>
      <c r="G11081">
        <v>469</v>
      </c>
      <c r="I11081">
        <v>469</v>
      </c>
    </row>
    <row r="11082" spans="1:17" x14ac:dyDescent="0.2">
      <c r="A11082" s="121">
        <v>42886</v>
      </c>
      <c r="B11082" t="s">
        <v>406</v>
      </c>
      <c r="C11082" t="s">
        <v>510</v>
      </c>
      <c r="D11082" t="s">
        <v>537</v>
      </c>
      <c r="E11082" t="s">
        <v>538</v>
      </c>
      <c r="F11082" t="s">
        <v>410</v>
      </c>
      <c r="G11082">
        <v>109</v>
      </c>
      <c r="I11082">
        <v>109</v>
      </c>
    </row>
    <row r="11083" spans="1:17" x14ac:dyDescent="0.2">
      <c r="A11083" s="121">
        <v>42886</v>
      </c>
      <c r="B11083" t="s">
        <v>406</v>
      </c>
      <c r="C11083" t="s">
        <v>510</v>
      </c>
      <c r="D11083" t="s">
        <v>539</v>
      </c>
      <c r="E11083" t="s">
        <v>540</v>
      </c>
      <c r="F11083" t="s">
        <v>413</v>
      </c>
      <c r="G11083">
        <v>932</v>
      </c>
      <c r="H11083">
        <v>932</v>
      </c>
      <c r="I11083">
        <v>899</v>
      </c>
      <c r="J11083">
        <v>899</v>
      </c>
      <c r="K11083">
        <v>144</v>
      </c>
      <c r="L11083">
        <v>0</v>
      </c>
      <c r="M11083">
        <v>783</v>
      </c>
      <c r="N11083">
        <v>5</v>
      </c>
      <c r="O11083">
        <v>0</v>
      </c>
      <c r="P11083">
        <v>2</v>
      </c>
      <c r="Q11083">
        <v>0</v>
      </c>
    </row>
    <row r="11084" spans="1:17" x14ac:dyDescent="0.2">
      <c r="A11084" s="121">
        <v>42886</v>
      </c>
      <c r="B11084" t="s">
        <v>406</v>
      </c>
      <c r="C11084" t="s">
        <v>510</v>
      </c>
      <c r="D11084" t="s">
        <v>541</v>
      </c>
      <c r="E11084" t="s">
        <v>542</v>
      </c>
      <c r="F11084" t="s">
        <v>410</v>
      </c>
      <c r="G11084">
        <v>486</v>
      </c>
      <c r="I11084">
        <v>486</v>
      </c>
    </row>
    <row r="11085" spans="1:17" x14ac:dyDescent="0.2">
      <c r="A11085" s="121">
        <v>42886</v>
      </c>
      <c r="B11085" t="s">
        <v>406</v>
      </c>
      <c r="C11085" t="s">
        <v>510</v>
      </c>
      <c r="D11085" t="s">
        <v>543</v>
      </c>
      <c r="E11085" t="s">
        <v>544</v>
      </c>
      <c r="F11085" t="s">
        <v>410</v>
      </c>
      <c r="G11085">
        <v>232</v>
      </c>
      <c r="I11085">
        <v>232</v>
      </c>
    </row>
    <row r="11086" spans="1:17" x14ac:dyDescent="0.2">
      <c r="A11086" s="121">
        <v>42886</v>
      </c>
      <c r="B11086" t="s">
        <v>406</v>
      </c>
      <c r="C11086" t="s">
        <v>510</v>
      </c>
      <c r="D11086" t="s">
        <v>545</v>
      </c>
      <c r="E11086" t="s">
        <v>546</v>
      </c>
      <c r="F11086" t="s">
        <v>410</v>
      </c>
      <c r="G11086">
        <v>34</v>
      </c>
      <c r="I11086">
        <v>34</v>
      </c>
    </row>
    <row r="11087" spans="1:17" x14ac:dyDescent="0.2">
      <c r="A11087" s="121">
        <v>42886</v>
      </c>
      <c r="B11087" t="s">
        <v>406</v>
      </c>
      <c r="C11087" t="s">
        <v>510</v>
      </c>
      <c r="D11087" t="s">
        <v>547</v>
      </c>
      <c r="E11087" t="s">
        <v>548</v>
      </c>
      <c r="F11087" t="s">
        <v>410</v>
      </c>
      <c r="G11087">
        <v>136</v>
      </c>
      <c r="I11087">
        <v>136</v>
      </c>
    </row>
    <row r="11088" spans="1:17" x14ac:dyDescent="0.2">
      <c r="A11088" s="121">
        <v>42886</v>
      </c>
      <c r="B11088" t="s">
        <v>406</v>
      </c>
      <c r="C11088" t="s">
        <v>510</v>
      </c>
      <c r="D11088" t="s">
        <v>616</v>
      </c>
      <c r="E11088" t="s">
        <v>617</v>
      </c>
      <c r="F11088" t="s">
        <v>410</v>
      </c>
      <c r="G11088">
        <v>433</v>
      </c>
      <c r="I11088">
        <v>428</v>
      </c>
    </row>
    <row r="11089" spans="1:17" x14ac:dyDescent="0.2">
      <c r="A11089" s="121">
        <v>42886</v>
      </c>
      <c r="B11089" t="s">
        <v>406</v>
      </c>
      <c r="C11089" t="s">
        <v>510</v>
      </c>
      <c r="D11089" t="s">
        <v>549</v>
      </c>
      <c r="E11089" t="s">
        <v>550</v>
      </c>
      <c r="F11089" t="s">
        <v>410</v>
      </c>
      <c r="G11089">
        <v>148</v>
      </c>
      <c r="I11089">
        <v>148</v>
      </c>
    </row>
    <row r="11090" spans="1:17" x14ac:dyDescent="0.2">
      <c r="A11090" s="121">
        <v>42886</v>
      </c>
      <c r="B11090" t="s">
        <v>406</v>
      </c>
      <c r="C11090" t="s">
        <v>510</v>
      </c>
      <c r="D11090" t="s">
        <v>625</v>
      </c>
      <c r="E11090" t="s">
        <v>626</v>
      </c>
      <c r="F11090" t="s">
        <v>410</v>
      </c>
      <c r="G11090">
        <v>109</v>
      </c>
      <c r="I11090">
        <v>106</v>
      </c>
    </row>
    <row r="11091" spans="1:17" x14ac:dyDescent="0.2">
      <c r="A11091" s="121">
        <v>42886</v>
      </c>
      <c r="B11091" t="s">
        <v>406</v>
      </c>
      <c r="C11091" t="s">
        <v>551</v>
      </c>
      <c r="D11091" t="s">
        <v>552</v>
      </c>
      <c r="E11091" t="s">
        <v>553</v>
      </c>
      <c r="F11091" t="s">
        <v>413</v>
      </c>
      <c r="G11091">
        <v>6165</v>
      </c>
      <c r="H11091">
        <v>6165</v>
      </c>
      <c r="I11091">
        <v>5895</v>
      </c>
      <c r="J11091">
        <v>5895</v>
      </c>
      <c r="K11091">
        <v>1938</v>
      </c>
      <c r="L11091">
        <v>4</v>
      </c>
      <c r="M11091">
        <v>4056</v>
      </c>
      <c r="N11091">
        <v>117</v>
      </c>
      <c r="O11091">
        <v>50</v>
      </c>
      <c r="P11091">
        <v>24</v>
      </c>
      <c r="Q11091">
        <v>1</v>
      </c>
    </row>
    <row r="11092" spans="1:17" x14ac:dyDescent="0.2">
      <c r="A11092" s="121">
        <v>42886</v>
      </c>
      <c r="B11092" t="s">
        <v>406</v>
      </c>
      <c r="C11092" t="s">
        <v>551</v>
      </c>
      <c r="D11092" t="s">
        <v>554</v>
      </c>
      <c r="E11092" t="s">
        <v>555</v>
      </c>
      <c r="F11092" t="s">
        <v>410</v>
      </c>
      <c r="G11092">
        <v>57</v>
      </c>
      <c r="I11092">
        <v>57</v>
      </c>
    </row>
    <row r="11093" spans="1:17" x14ac:dyDescent="0.2">
      <c r="A11093" s="121">
        <v>42886</v>
      </c>
      <c r="B11093" t="s">
        <v>406</v>
      </c>
      <c r="C11093" t="s">
        <v>551</v>
      </c>
      <c r="D11093" t="s">
        <v>556</v>
      </c>
      <c r="E11093" t="s">
        <v>557</v>
      </c>
      <c r="F11093" t="s">
        <v>410</v>
      </c>
      <c r="G11093">
        <v>115</v>
      </c>
      <c r="I11093">
        <v>115</v>
      </c>
    </row>
    <row r="11094" spans="1:17" x14ac:dyDescent="0.2">
      <c r="A11094" s="121">
        <v>42886</v>
      </c>
      <c r="B11094" t="s">
        <v>406</v>
      </c>
      <c r="C11094" t="s">
        <v>551</v>
      </c>
      <c r="D11094" t="s">
        <v>558</v>
      </c>
      <c r="E11094" t="s">
        <v>559</v>
      </c>
      <c r="F11094" t="s">
        <v>413</v>
      </c>
      <c r="G11094">
        <v>5876</v>
      </c>
      <c r="H11094">
        <v>5876</v>
      </c>
      <c r="I11094">
        <v>5307</v>
      </c>
      <c r="J11094">
        <v>5307</v>
      </c>
      <c r="K11094">
        <v>1622</v>
      </c>
      <c r="L11094">
        <v>6</v>
      </c>
      <c r="M11094">
        <v>4150</v>
      </c>
      <c r="N11094">
        <v>79</v>
      </c>
      <c r="O11094">
        <v>19</v>
      </c>
      <c r="P11094">
        <v>88</v>
      </c>
      <c r="Q11094">
        <v>26</v>
      </c>
    </row>
    <row r="11095" spans="1:17" x14ac:dyDescent="0.2">
      <c r="A11095" s="121">
        <v>42886</v>
      </c>
      <c r="B11095" t="s">
        <v>406</v>
      </c>
      <c r="C11095" t="s">
        <v>551</v>
      </c>
      <c r="D11095" t="s">
        <v>560</v>
      </c>
      <c r="E11095" t="s">
        <v>561</v>
      </c>
      <c r="F11095" t="s">
        <v>413</v>
      </c>
      <c r="G11095">
        <v>6510</v>
      </c>
      <c r="H11095">
        <v>6510</v>
      </c>
      <c r="I11095">
        <v>5920</v>
      </c>
      <c r="J11095">
        <v>5920</v>
      </c>
      <c r="K11095">
        <v>1742</v>
      </c>
      <c r="L11095">
        <v>8</v>
      </c>
      <c r="M11095">
        <v>4582</v>
      </c>
      <c r="N11095">
        <v>58</v>
      </c>
      <c r="O11095">
        <v>120</v>
      </c>
      <c r="P11095">
        <v>33</v>
      </c>
      <c r="Q11095">
        <v>1</v>
      </c>
    </row>
    <row r="11096" spans="1:17" x14ac:dyDescent="0.2">
      <c r="A11096" s="121">
        <v>42886</v>
      </c>
      <c r="B11096" t="s">
        <v>406</v>
      </c>
      <c r="C11096" t="s">
        <v>562</v>
      </c>
      <c r="D11096" t="s">
        <v>605</v>
      </c>
      <c r="E11096" t="s">
        <v>606</v>
      </c>
      <c r="F11096" t="s">
        <v>410</v>
      </c>
      <c r="G11096">
        <v>166</v>
      </c>
      <c r="I11096">
        <v>166</v>
      </c>
    </row>
    <row r="11097" spans="1:17" x14ac:dyDescent="0.2">
      <c r="A11097" s="121">
        <v>42886</v>
      </c>
      <c r="B11097" t="s">
        <v>406</v>
      </c>
      <c r="C11097" t="s">
        <v>562</v>
      </c>
      <c r="D11097" t="s">
        <v>563</v>
      </c>
      <c r="E11097" t="s">
        <v>564</v>
      </c>
      <c r="F11097" t="s">
        <v>410</v>
      </c>
      <c r="G11097">
        <v>4208</v>
      </c>
      <c r="H11097">
        <v>4208</v>
      </c>
      <c r="I11097">
        <v>3856</v>
      </c>
      <c r="J11097">
        <v>3856</v>
      </c>
      <c r="K11097">
        <v>1146</v>
      </c>
      <c r="L11097">
        <v>0</v>
      </c>
      <c r="M11097">
        <v>3043</v>
      </c>
      <c r="N11097">
        <v>19</v>
      </c>
      <c r="O11097">
        <v>0</v>
      </c>
      <c r="P11097">
        <v>74</v>
      </c>
      <c r="Q11097">
        <v>33</v>
      </c>
    </row>
    <row r="11098" spans="1:17" x14ac:dyDescent="0.2">
      <c r="A11098" s="121">
        <v>42886</v>
      </c>
      <c r="B11098" t="s">
        <v>406</v>
      </c>
      <c r="C11098" t="s">
        <v>562</v>
      </c>
      <c r="D11098" t="s">
        <v>565</v>
      </c>
      <c r="E11098" t="s">
        <v>566</v>
      </c>
      <c r="F11098" t="s">
        <v>413</v>
      </c>
      <c r="G11098">
        <v>4872</v>
      </c>
      <c r="H11098">
        <v>4872</v>
      </c>
      <c r="I11098">
        <v>4752</v>
      </c>
      <c r="J11098">
        <v>4752</v>
      </c>
      <c r="K11098">
        <v>990</v>
      </c>
      <c r="L11098">
        <v>5</v>
      </c>
      <c r="M11098">
        <v>3798</v>
      </c>
      <c r="N11098">
        <v>79</v>
      </c>
      <c r="O11098">
        <v>0</v>
      </c>
      <c r="P11098">
        <v>5</v>
      </c>
      <c r="Q11098">
        <v>0</v>
      </c>
    </row>
    <row r="11099" spans="1:17" x14ac:dyDescent="0.2">
      <c r="A11099" s="121">
        <v>42886</v>
      </c>
      <c r="B11099" t="s">
        <v>406</v>
      </c>
      <c r="C11099" t="s">
        <v>562</v>
      </c>
      <c r="D11099" t="s">
        <v>567</v>
      </c>
      <c r="E11099" t="s">
        <v>568</v>
      </c>
      <c r="F11099" t="s">
        <v>413</v>
      </c>
      <c r="G11099">
        <v>10455</v>
      </c>
      <c r="H11099">
        <v>10455</v>
      </c>
      <c r="I11099">
        <v>9848</v>
      </c>
      <c r="J11099">
        <v>9848</v>
      </c>
      <c r="K11099">
        <v>2859</v>
      </c>
      <c r="L11099">
        <v>20</v>
      </c>
      <c r="M11099">
        <v>7429</v>
      </c>
      <c r="N11099">
        <v>147</v>
      </c>
      <c r="O11099">
        <v>0</v>
      </c>
      <c r="P11099">
        <v>83</v>
      </c>
      <c r="Q11099">
        <v>5</v>
      </c>
    </row>
    <row r="11100" spans="1:17" x14ac:dyDescent="0.2">
      <c r="A11100" s="121">
        <v>42886</v>
      </c>
      <c r="B11100" t="s">
        <v>406</v>
      </c>
      <c r="C11100" t="s">
        <v>562</v>
      </c>
      <c r="D11100" t="s">
        <v>569</v>
      </c>
      <c r="E11100" t="s">
        <v>570</v>
      </c>
      <c r="F11100" t="s">
        <v>413</v>
      </c>
      <c r="G11100">
        <v>4424</v>
      </c>
      <c r="H11100">
        <v>4424</v>
      </c>
      <c r="I11100">
        <v>4327</v>
      </c>
      <c r="J11100">
        <v>4327</v>
      </c>
      <c r="K11100">
        <v>529</v>
      </c>
      <c r="L11100">
        <v>2</v>
      </c>
      <c r="M11100">
        <v>3800</v>
      </c>
      <c r="N11100">
        <v>93</v>
      </c>
      <c r="O11100">
        <v>0</v>
      </c>
      <c r="P11100">
        <v>4</v>
      </c>
      <c r="Q11100">
        <v>0</v>
      </c>
    </row>
    <row r="11101" spans="1:17" x14ac:dyDescent="0.2">
      <c r="A11101" s="121">
        <v>42886</v>
      </c>
      <c r="B11101" t="s">
        <v>406</v>
      </c>
      <c r="C11101" t="s">
        <v>571</v>
      </c>
      <c r="D11101" t="s">
        <v>572</v>
      </c>
      <c r="E11101" t="s">
        <v>627</v>
      </c>
      <c r="F11101" t="s">
        <v>413</v>
      </c>
      <c r="G11101">
        <v>563</v>
      </c>
      <c r="H11101">
        <v>563</v>
      </c>
      <c r="I11101">
        <v>543</v>
      </c>
      <c r="J11101">
        <v>543</v>
      </c>
      <c r="K11101">
        <v>139</v>
      </c>
      <c r="L11101">
        <v>0</v>
      </c>
      <c r="M11101">
        <v>418</v>
      </c>
      <c r="N11101">
        <v>2</v>
      </c>
      <c r="O11101">
        <v>4</v>
      </c>
      <c r="P11101">
        <v>3</v>
      </c>
      <c r="Q11101">
        <v>0</v>
      </c>
    </row>
    <row r="11102" spans="1:17" x14ac:dyDescent="0.2">
      <c r="A11102" s="121">
        <v>42886</v>
      </c>
      <c r="B11102" t="s">
        <v>406</v>
      </c>
      <c r="C11102" t="s">
        <v>574</v>
      </c>
      <c r="D11102" t="s">
        <v>575</v>
      </c>
      <c r="E11102" t="s">
        <v>576</v>
      </c>
      <c r="F11102" t="s">
        <v>413</v>
      </c>
      <c r="G11102">
        <v>680</v>
      </c>
      <c r="H11102">
        <v>680</v>
      </c>
      <c r="I11102">
        <v>656</v>
      </c>
      <c r="J11102">
        <v>656</v>
      </c>
      <c r="K11102">
        <v>176</v>
      </c>
      <c r="L11102">
        <v>3</v>
      </c>
      <c r="M11102">
        <v>488</v>
      </c>
      <c r="N11102">
        <v>5</v>
      </c>
      <c r="O11102">
        <v>8</v>
      </c>
      <c r="P11102">
        <v>1</v>
      </c>
      <c r="Q11102">
        <v>0</v>
      </c>
    </row>
    <row r="11103" spans="1:17" x14ac:dyDescent="0.2">
      <c r="A11103" s="121">
        <v>42886</v>
      </c>
      <c r="B11103" t="s">
        <v>406</v>
      </c>
      <c r="C11103" t="s">
        <v>577</v>
      </c>
      <c r="D11103" t="s">
        <v>578</v>
      </c>
      <c r="E11103" t="s">
        <v>579</v>
      </c>
      <c r="F11103" t="s">
        <v>413</v>
      </c>
      <c r="G11103">
        <v>4393</v>
      </c>
      <c r="H11103">
        <v>4393</v>
      </c>
      <c r="I11103">
        <v>4254</v>
      </c>
      <c r="J11103">
        <v>4254</v>
      </c>
      <c r="K11103">
        <v>1370</v>
      </c>
      <c r="L11103">
        <v>7</v>
      </c>
      <c r="M11103">
        <v>2783</v>
      </c>
      <c r="N11103">
        <v>224</v>
      </c>
      <c r="O11103">
        <v>9</v>
      </c>
      <c r="P11103">
        <v>0</v>
      </c>
      <c r="Q11103">
        <v>0</v>
      </c>
    </row>
    <row r="11104" spans="1:17" x14ac:dyDescent="0.2">
      <c r="A11104" s="121">
        <v>42886</v>
      </c>
      <c r="B11104" t="s">
        <v>406</v>
      </c>
      <c r="C11104" t="s">
        <v>577</v>
      </c>
      <c r="D11104" t="s">
        <v>580</v>
      </c>
      <c r="E11104" t="s">
        <v>581</v>
      </c>
      <c r="F11104" t="s">
        <v>413</v>
      </c>
      <c r="G11104">
        <v>2344</v>
      </c>
      <c r="H11104">
        <v>2344</v>
      </c>
      <c r="I11104">
        <v>2259</v>
      </c>
      <c r="J11104">
        <v>2259</v>
      </c>
      <c r="K11104">
        <v>431</v>
      </c>
      <c r="L11104">
        <v>5</v>
      </c>
      <c r="M11104">
        <v>1532</v>
      </c>
      <c r="N11104">
        <v>376</v>
      </c>
      <c r="O11104">
        <v>0</v>
      </c>
      <c r="P11104">
        <v>0</v>
      </c>
      <c r="Q11104">
        <v>0</v>
      </c>
    </row>
    <row r="11105" spans="1:17" x14ac:dyDescent="0.2">
      <c r="A11105" s="121">
        <v>42886</v>
      </c>
      <c r="B11105" t="s">
        <v>406</v>
      </c>
      <c r="C11105" t="s">
        <v>577</v>
      </c>
      <c r="D11105" t="s">
        <v>609</v>
      </c>
      <c r="E11105" t="s">
        <v>610</v>
      </c>
      <c r="F11105" t="s">
        <v>410</v>
      </c>
      <c r="G11105">
        <v>34</v>
      </c>
      <c r="H11105">
        <v>34</v>
      </c>
      <c r="I11105">
        <v>34</v>
      </c>
      <c r="J11105">
        <v>34</v>
      </c>
      <c r="K11105">
        <v>1</v>
      </c>
      <c r="L11105">
        <v>0</v>
      </c>
      <c r="M11105">
        <v>27</v>
      </c>
      <c r="N11105">
        <v>6</v>
      </c>
      <c r="O11105">
        <v>0</v>
      </c>
      <c r="P11105">
        <v>0</v>
      </c>
      <c r="Q11105">
        <v>0</v>
      </c>
    </row>
    <row r="11106" spans="1:17" x14ac:dyDescent="0.2">
      <c r="A11106" s="121">
        <v>42886</v>
      </c>
      <c r="B11106" t="s">
        <v>406</v>
      </c>
      <c r="C11106" t="s">
        <v>577</v>
      </c>
      <c r="D11106" t="s">
        <v>584</v>
      </c>
      <c r="E11106" t="s">
        <v>585</v>
      </c>
      <c r="F11106" t="s">
        <v>410</v>
      </c>
      <c r="G11106">
        <v>320</v>
      </c>
      <c r="H11106">
        <v>320</v>
      </c>
      <c r="I11106">
        <v>320</v>
      </c>
      <c r="J11106">
        <v>320</v>
      </c>
      <c r="K11106">
        <v>0</v>
      </c>
      <c r="L11106">
        <v>0</v>
      </c>
      <c r="M11106">
        <v>300</v>
      </c>
      <c r="N11106">
        <v>16</v>
      </c>
      <c r="O11106">
        <v>4</v>
      </c>
      <c r="P11106">
        <v>0</v>
      </c>
      <c r="Q11106">
        <v>0</v>
      </c>
    </row>
    <row r="11107" spans="1:17" x14ac:dyDescent="0.2">
      <c r="A11107" s="121">
        <v>42886</v>
      </c>
      <c r="B11107" t="s">
        <v>406</v>
      </c>
      <c r="C11107" t="s">
        <v>577</v>
      </c>
      <c r="D11107" t="s">
        <v>586</v>
      </c>
      <c r="E11107" t="s">
        <v>587</v>
      </c>
      <c r="F11107" t="s">
        <v>410</v>
      </c>
      <c r="G11107">
        <v>1421</v>
      </c>
      <c r="H11107">
        <v>1421</v>
      </c>
      <c r="I11107">
        <v>1421</v>
      </c>
      <c r="J11107">
        <v>1421</v>
      </c>
      <c r="K11107">
        <v>0</v>
      </c>
      <c r="L11107">
        <v>1</v>
      </c>
      <c r="M11107">
        <v>1315</v>
      </c>
      <c r="N11107">
        <v>100</v>
      </c>
      <c r="O11107">
        <v>5</v>
      </c>
      <c r="P11107">
        <v>0</v>
      </c>
      <c r="Q11107">
        <v>0</v>
      </c>
    </row>
    <row r="11108" spans="1:17" x14ac:dyDescent="0.2">
      <c r="A11108" s="121">
        <v>42886</v>
      </c>
      <c r="B11108" t="s">
        <v>406</v>
      </c>
      <c r="C11108" t="s">
        <v>577</v>
      </c>
      <c r="D11108" t="s">
        <v>588</v>
      </c>
      <c r="E11108" t="s">
        <v>589</v>
      </c>
      <c r="F11108" t="s">
        <v>410</v>
      </c>
      <c r="G11108">
        <v>190</v>
      </c>
      <c r="H11108">
        <v>190</v>
      </c>
      <c r="I11108">
        <v>190</v>
      </c>
      <c r="J11108">
        <v>190</v>
      </c>
      <c r="K11108">
        <v>0</v>
      </c>
      <c r="L11108">
        <v>0</v>
      </c>
      <c r="M11108">
        <v>182</v>
      </c>
      <c r="N11108">
        <v>8</v>
      </c>
      <c r="O11108">
        <v>0</v>
      </c>
      <c r="P11108">
        <v>0</v>
      </c>
      <c r="Q11108">
        <v>0</v>
      </c>
    </row>
    <row r="11109" spans="1:17" x14ac:dyDescent="0.2">
      <c r="A11109" s="121">
        <v>42886</v>
      </c>
      <c r="B11109" t="s">
        <v>406</v>
      </c>
      <c r="C11109" t="s">
        <v>577</v>
      </c>
      <c r="D11109" t="s">
        <v>613</v>
      </c>
      <c r="E11109" t="s">
        <v>614</v>
      </c>
      <c r="F11109" t="s">
        <v>410</v>
      </c>
      <c r="G11109">
        <v>107</v>
      </c>
      <c r="H11109">
        <v>107</v>
      </c>
      <c r="I11109">
        <v>107</v>
      </c>
      <c r="J11109">
        <v>107</v>
      </c>
      <c r="K11109">
        <v>0</v>
      </c>
      <c r="L11109">
        <v>0</v>
      </c>
      <c r="M11109">
        <v>97</v>
      </c>
      <c r="N11109">
        <v>9</v>
      </c>
      <c r="O11109">
        <v>1</v>
      </c>
      <c r="P11109">
        <v>0</v>
      </c>
      <c r="Q11109">
        <v>0</v>
      </c>
    </row>
    <row r="11110" spans="1:17" x14ac:dyDescent="0.2">
      <c r="A11110" s="121">
        <v>42886</v>
      </c>
      <c r="B11110" t="s">
        <v>406</v>
      </c>
      <c r="C11110" t="s">
        <v>577</v>
      </c>
      <c r="D11110" t="s">
        <v>590</v>
      </c>
      <c r="E11110" t="s">
        <v>591</v>
      </c>
      <c r="F11110" t="s">
        <v>410</v>
      </c>
      <c r="G11110">
        <v>590</v>
      </c>
      <c r="H11110">
        <v>590</v>
      </c>
      <c r="I11110">
        <v>590</v>
      </c>
      <c r="J11110">
        <v>590</v>
      </c>
      <c r="K11110">
        <v>0</v>
      </c>
      <c r="L11110">
        <v>0</v>
      </c>
      <c r="M11110">
        <v>561</v>
      </c>
      <c r="N11110">
        <v>29</v>
      </c>
      <c r="O11110">
        <v>0</v>
      </c>
      <c r="P11110">
        <v>0</v>
      </c>
      <c r="Q11110">
        <v>0</v>
      </c>
    </row>
    <row r="11111" spans="1:17" x14ac:dyDescent="0.2">
      <c r="A11111" s="121">
        <v>42886</v>
      </c>
      <c r="B11111" t="s">
        <v>406</v>
      </c>
      <c r="C11111" t="s">
        <v>577</v>
      </c>
      <c r="D11111" t="s">
        <v>607</v>
      </c>
      <c r="E11111" t="s">
        <v>608</v>
      </c>
      <c r="F11111" t="s">
        <v>410</v>
      </c>
      <c r="G11111">
        <v>206</v>
      </c>
      <c r="H11111">
        <v>206</v>
      </c>
      <c r="I11111">
        <v>206</v>
      </c>
      <c r="J11111">
        <v>206</v>
      </c>
      <c r="K11111">
        <v>0</v>
      </c>
      <c r="L11111">
        <v>0</v>
      </c>
      <c r="M11111">
        <v>194</v>
      </c>
      <c r="N11111">
        <v>12</v>
      </c>
      <c r="O11111">
        <v>0</v>
      </c>
      <c r="P11111">
        <v>0</v>
      </c>
      <c r="Q11111">
        <v>0</v>
      </c>
    </row>
    <row r="11112" spans="1:17" x14ac:dyDescent="0.2">
      <c r="A11112" s="121">
        <v>42886</v>
      </c>
      <c r="B11112" t="s">
        <v>406</v>
      </c>
      <c r="C11112" t="s">
        <v>577</v>
      </c>
      <c r="D11112" t="s">
        <v>592</v>
      </c>
      <c r="E11112" t="s">
        <v>593</v>
      </c>
      <c r="F11112" t="s">
        <v>410</v>
      </c>
      <c r="G11112">
        <v>464</v>
      </c>
      <c r="H11112">
        <v>464</v>
      </c>
      <c r="I11112">
        <v>464</v>
      </c>
      <c r="J11112">
        <v>464</v>
      </c>
      <c r="K11112">
        <v>0</v>
      </c>
      <c r="L11112">
        <v>0</v>
      </c>
      <c r="M11112">
        <v>438</v>
      </c>
      <c r="N11112">
        <v>21</v>
      </c>
      <c r="O11112">
        <v>5</v>
      </c>
      <c r="P11112">
        <v>0</v>
      </c>
      <c r="Q11112">
        <v>0</v>
      </c>
    </row>
    <row r="11113" spans="1:17" x14ac:dyDescent="0.2">
      <c r="A11113" s="121">
        <v>42886</v>
      </c>
      <c r="B11113" t="s">
        <v>406</v>
      </c>
      <c r="C11113" t="s">
        <v>594</v>
      </c>
      <c r="D11113" t="s">
        <v>595</v>
      </c>
      <c r="E11113" t="s">
        <v>596</v>
      </c>
      <c r="F11113" t="s">
        <v>410</v>
      </c>
      <c r="G11113">
        <v>85</v>
      </c>
      <c r="I11113">
        <v>85</v>
      </c>
    </row>
    <row r="11114" spans="1:17" x14ac:dyDescent="0.2">
      <c r="A11114" s="121">
        <v>42886</v>
      </c>
      <c r="B11114" t="s">
        <v>406</v>
      </c>
      <c r="C11114" t="s">
        <v>594</v>
      </c>
      <c r="D11114" t="s">
        <v>597</v>
      </c>
      <c r="E11114" t="s">
        <v>598</v>
      </c>
      <c r="F11114" t="s">
        <v>413</v>
      </c>
      <c r="G11114">
        <v>584</v>
      </c>
      <c r="H11114">
        <v>584</v>
      </c>
      <c r="I11114">
        <v>579</v>
      </c>
      <c r="J11114">
        <v>579</v>
      </c>
      <c r="K11114">
        <v>130</v>
      </c>
      <c r="L11114">
        <v>1</v>
      </c>
      <c r="M11114">
        <v>430</v>
      </c>
      <c r="N11114">
        <v>11</v>
      </c>
      <c r="O11114">
        <v>12</v>
      </c>
      <c r="P11114">
        <v>0</v>
      </c>
      <c r="Q11114">
        <v>0</v>
      </c>
    </row>
    <row r="11115" spans="1:17" x14ac:dyDescent="0.2">
      <c r="A11115" s="121">
        <v>42886</v>
      </c>
      <c r="B11115" t="s">
        <v>406</v>
      </c>
      <c r="C11115" t="s">
        <v>594</v>
      </c>
      <c r="D11115" t="s">
        <v>599</v>
      </c>
      <c r="E11115" t="s">
        <v>600</v>
      </c>
      <c r="F11115" t="s">
        <v>410</v>
      </c>
      <c r="G11115">
        <v>174</v>
      </c>
      <c r="H11115">
        <v>174</v>
      </c>
      <c r="I11115">
        <v>173</v>
      </c>
      <c r="J11115">
        <v>173</v>
      </c>
      <c r="K11115">
        <v>18</v>
      </c>
      <c r="L11115">
        <v>0</v>
      </c>
      <c r="M11115">
        <v>154</v>
      </c>
      <c r="N11115">
        <v>1</v>
      </c>
      <c r="O11115">
        <v>1</v>
      </c>
      <c r="P11115">
        <v>0</v>
      </c>
      <c r="Q11115">
        <v>0</v>
      </c>
    </row>
    <row r="11116" spans="1:17" x14ac:dyDescent="0.2">
      <c r="A11116" s="121">
        <v>42916</v>
      </c>
      <c r="B11116" t="s">
        <v>406</v>
      </c>
      <c r="C11116" t="s">
        <v>407</v>
      </c>
      <c r="D11116" t="s">
        <v>408</v>
      </c>
      <c r="E11116" t="s">
        <v>409</v>
      </c>
      <c r="F11116" t="s">
        <v>410</v>
      </c>
      <c r="G11116">
        <v>233</v>
      </c>
      <c r="I11116">
        <v>217</v>
      </c>
    </row>
    <row r="11117" spans="1:17" x14ac:dyDescent="0.2">
      <c r="A11117" s="121">
        <v>42916</v>
      </c>
      <c r="B11117" t="s">
        <v>406</v>
      </c>
      <c r="C11117" t="s">
        <v>407</v>
      </c>
      <c r="D11117" t="s">
        <v>601</v>
      </c>
      <c r="E11117" t="s">
        <v>602</v>
      </c>
      <c r="F11117" t="s">
        <v>410</v>
      </c>
      <c r="G11117">
        <v>101</v>
      </c>
      <c r="I11117">
        <v>100</v>
      </c>
    </row>
    <row r="11118" spans="1:17" x14ac:dyDescent="0.2">
      <c r="A11118" s="121">
        <v>42916</v>
      </c>
      <c r="B11118" t="s">
        <v>406</v>
      </c>
      <c r="C11118" t="s">
        <v>407</v>
      </c>
      <c r="D11118" t="s">
        <v>411</v>
      </c>
      <c r="E11118" t="s">
        <v>412</v>
      </c>
      <c r="F11118" t="s">
        <v>413</v>
      </c>
      <c r="G11118">
        <v>5740</v>
      </c>
      <c r="H11118">
        <v>5740</v>
      </c>
      <c r="I11118">
        <v>5555</v>
      </c>
      <c r="J11118">
        <v>5555</v>
      </c>
      <c r="K11118">
        <v>1921</v>
      </c>
      <c r="L11118">
        <v>5</v>
      </c>
      <c r="M11118">
        <v>3487</v>
      </c>
      <c r="N11118">
        <v>47</v>
      </c>
      <c r="O11118">
        <v>280</v>
      </c>
      <c r="P11118">
        <v>29</v>
      </c>
      <c r="Q11118">
        <v>8</v>
      </c>
    </row>
    <row r="11119" spans="1:17" x14ac:dyDescent="0.2">
      <c r="A11119" s="121">
        <v>42916</v>
      </c>
      <c r="B11119" t="s">
        <v>406</v>
      </c>
      <c r="C11119" t="s">
        <v>407</v>
      </c>
      <c r="D11119" t="s">
        <v>416</v>
      </c>
      <c r="E11119" t="s">
        <v>417</v>
      </c>
      <c r="F11119" t="s">
        <v>413</v>
      </c>
      <c r="G11119">
        <v>3702</v>
      </c>
      <c r="H11119">
        <v>3702</v>
      </c>
      <c r="I11119">
        <v>3591</v>
      </c>
      <c r="J11119">
        <v>3591</v>
      </c>
      <c r="K11119">
        <v>1158</v>
      </c>
      <c r="L11119">
        <v>1</v>
      </c>
      <c r="M11119">
        <v>2347</v>
      </c>
      <c r="N11119">
        <v>88</v>
      </c>
      <c r="O11119">
        <v>108</v>
      </c>
      <c r="P11119">
        <v>14</v>
      </c>
      <c r="Q11119">
        <v>0</v>
      </c>
    </row>
    <row r="11120" spans="1:17" x14ac:dyDescent="0.2">
      <c r="A11120" s="121">
        <v>42916</v>
      </c>
      <c r="B11120" t="s">
        <v>406</v>
      </c>
      <c r="C11120" t="s">
        <v>407</v>
      </c>
      <c r="D11120" t="s">
        <v>618</v>
      </c>
      <c r="E11120" t="s">
        <v>619</v>
      </c>
      <c r="F11120" t="s">
        <v>410</v>
      </c>
      <c r="G11120">
        <v>78</v>
      </c>
      <c r="I11120">
        <v>78</v>
      </c>
    </row>
    <row r="11121" spans="1:17" x14ac:dyDescent="0.2">
      <c r="A11121" s="121">
        <v>42916</v>
      </c>
      <c r="B11121" t="s">
        <v>406</v>
      </c>
      <c r="C11121" t="s">
        <v>418</v>
      </c>
      <c r="D11121" t="s">
        <v>419</v>
      </c>
      <c r="E11121" t="s">
        <v>420</v>
      </c>
      <c r="F11121" t="s">
        <v>410</v>
      </c>
      <c r="G11121">
        <v>15</v>
      </c>
      <c r="I11121">
        <v>15</v>
      </c>
    </row>
    <row r="11122" spans="1:17" x14ac:dyDescent="0.2">
      <c r="A11122" s="121">
        <v>42916</v>
      </c>
      <c r="B11122" t="s">
        <v>406</v>
      </c>
      <c r="C11122" t="s">
        <v>418</v>
      </c>
      <c r="D11122" t="s">
        <v>421</v>
      </c>
      <c r="E11122" t="s">
        <v>422</v>
      </c>
      <c r="F11122" t="s">
        <v>410</v>
      </c>
      <c r="G11122">
        <v>97</v>
      </c>
      <c r="I11122">
        <v>97</v>
      </c>
    </row>
    <row r="11123" spans="1:17" x14ac:dyDescent="0.2">
      <c r="A11123" s="121">
        <v>42916</v>
      </c>
      <c r="B11123" t="s">
        <v>406</v>
      </c>
      <c r="C11123" t="s">
        <v>418</v>
      </c>
      <c r="D11123" t="s">
        <v>423</v>
      </c>
      <c r="E11123" t="s">
        <v>424</v>
      </c>
      <c r="F11123" t="s">
        <v>410</v>
      </c>
      <c r="G11123">
        <v>16</v>
      </c>
      <c r="I11123">
        <v>16</v>
      </c>
    </row>
    <row r="11124" spans="1:17" x14ac:dyDescent="0.2">
      <c r="A11124" s="121">
        <v>42916</v>
      </c>
      <c r="B11124" t="s">
        <v>406</v>
      </c>
      <c r="C11124" t="s">
        <v>418</v>
      </c>
      <c r="D11124" t="s">
        <v>425</v>
      </c>
      <c r="E11124" t="s">
        <v>426</v>
      </c>
      <c r="F11124" t="s">
        <v>410</v>
      </c>
      <c r="G11124">
        <v>60</v>
      </c>
      <c r="I11124">
        <v>60</v>
      </c>
    </row>
    <row r="11125" spans="1:17" x14ac:dyDescent="0.2">
      <c r="A11125" s="121">
        <v>42916</v>
      </c>
      <c r="B11125" t="s">
        <v>406</v>
      </c>
      <c r="C11125" t="s">
        <v>418</v>
      </c>
      <c r="D11125" t="s">
        <v>427</v>
      </c>
      <c r="E11125" t="s">
        <v>428</v>
      </c>
      <c r="F11125" t="s">
        <v>413</v>
      </c>
      <c r="G11125">
        <v>2555</v>
      </c>
      <c r="H11125">
        <v>2555</v>
      </c>
      <c r="I11125">
        <v>2478</v>
      </c>
      <c r="J11125">
        <v>2478</v>
      </c>
      <c r="K11125">
        <v>787</v>
      </c>
      <c r="L11125">
        <v>2</v>
      </c>
      <c r="M11125">
        <v>1577</v>
      </c>
      <c r="N11125">
        <v>181</v>
      </c>
      <c r="O11125">
        <v>8</v>
      </c>
      <c r="P11125">
        <v>2</v>
      </c>
      <c r="Q11125">
        <v>0</v>
      </c>
    </row>
    <row r="11126" spans="1:17" x14ac:dyDescent="0.2">
      <c r="A11126" s="121">
        <v>42916</v>
      </c>
      <c r="B11126" t="s">
        <v>406</v>
      </c>
      <c r="C11126" t="s">
        <v>429</v>
      </c>
      <c r="D11126" t="s">
        <v>430</v>
      </c>
      <c r="E11126" t="s">
        <v>431</v>
      </c>
      <c r="F11126" t="s">
        <v>410</v>
      </c>
      <c r="G11126">
        <v>23</v>
      </c>
      <c r="I11126">
        <v>23</v>
      </c>
    </row>
    <row r="11127" spans="1:17" x14ac:dyDescent="0.2">
      <c r="A11127" s="121">
        <v>42916</v>
      </c>
      <c r="B11127" t="s">
        <v>406</v>
      </c>
      <c r="C11127" t="s">
        <v>429</v>
      </c>
      <c r="D11127" t="s">
        <v>432</v>
      </c>
      <c r="E11127" t="s">
        <v>433</v>
      </c>
      <c r="F11127" t="s">
        <v>410</v>
      </c>
      <c r="G11127">
        <v>33</v>
      </c>
      <c r="I11127">
        <v>33</v>
      </c>
    </row>
    <row r="11128" spans="1:17" x14ac:dyDescent="0.2">
      <c r="A11128" s="121">
        <v>42916</v>
      </c>
      <c r="B11128" t="s">
        <v>406</v>
      </c>
      <c r="C11128" t="s">
        <v>429</v>
      </c>
      <c r="D11128" t="s">
        <v>434</v>
      </c>
      <c r="E11128" t="s">
        <v>435</v>
      </c>
      <c r="F11128" t="s">
        <v>410</v>
      </c>
      <c r="G11128">
        <v>2</v>
      </c>
      <c r="I11128">
        <v>2</v>
      </c>
    </row>
    <row r="11129" spans="1:17" x14ac:dyDescent="0.2">
      <c r="A11129" s="121">
        <v>42916</v>
      </c>
      <c r="B11129" t="s">
        <v>406</v>
      </c>
      <c r="C11129" t="s">
        <v>429</v>
      </c>
      <c r="D11129" t="s">
        <v>436</v>
      </c>
      <c r="E11129" t="s">
        <v>437</v>
      </c>
      <c r="F11129" t="s">
        <v>410</v>
      </c>
      <c r="G11129">
        <v>9</v>
      </c>
      <c r="H11129">
        <v>9</v>
      </c>
      <c r="I11129">
        <v>9</v>
      </c>
      <c r="J11129">
        <v>9</v>
      </c>
      <c r="K11129">
        <v>0</v>
      </c>
      <c r="L11129">
        <v>0</v>
      </c>
      <c r="M11129">
        <v>9</v>
      </c>
      <c r="N11129">
        <v>0</v>
      </c>
      <c r="O11129">
        <v>0</v>
      </c>
      <c r="P11129">
        <v>0</v>
      </c>
      <c r="Q11129">
        <v>0</v>
      </c>
    </row>
    <row r="11130" spans="1:17" x14ac:dyDescent="0.2">
      <c r="A11130" s="121">
        <v>42916</v>
      </c>
      <c r="B11130" t="s">
        <v>406</v>
      </c>
      <c r="C11130" t="s">
        <v>429</v>
      </c>
      <c r="D11130" t="s">
        <v>438</v>
      </c>
      <c r="E11130" t="s">
        <v>439</v>
      </c>
      <c r="F11130" t="s">
        <v>413</v>
      </c>
      <c r="G11130">
        <v>1031</v>
      </c>
      <c r="H11130">
        <v>1031</v>
      </c>
      <c r="I11130">
        <v>983</v>
      </c>
      <c r="J11130">
        <v>983</v>
      </c>
      <c r="K11130">
        <v>68</v>
      </c>
      <c r="L11130">
        <v>2</v>
      </c>
      <c r="M11130">
        <v>858</v>
      </c>
      <c r="N11130">
        <v>78</v>
      </c>
      <c r="O11130">
        <v>25</v>
      </c>
      <c r="P11130">
        <v>0</v>
      </c>
      <c r="Q11130">
        <v>0</v>
      </c>
    </row>
    <row r="11131" spans="1:17" x14ac:dyDescent="0.2">
      <c r="A11131" s="121">
        <v>42916</v>
      </c>
      <c r="B11131" t="s">
        <v>406</v>
      </c>
      <c r="C11131" t="s">
        <v>429</v>
      </c>
      <c r="D11131" t="s">
        <v>440</v>
      </c>
      <c r="E11131" t="s">
        <v>441</v>
      </c>
      <c r="F11131" t="s">
        <v>413</v>
      </c>
      <c r="G11131">
        <v>3145</v>
      </c>
      <c r="H11131">
        <v>3145</v>
      </c>
      <c r="I11131">
        <v>3008</v>
      </c>
      <c r="J11131">
        <v>3008</v>
      </c>
      <c r="K11131">
        <v>1134</v>
      </c>
      <c r="L11131">
        <v>3</v>
      </c>
      <c r="M11131">
        <v>1905</v>
      </c>
      <c r="N11131">
        <v>52</v>
      </c>
      <c r="O11131">
        <v>51</v>
      </c>
      <c r="P11131">
        <v>1</v>
      </c>
      <c r="Q11131">
        <v>0</v>
      </c>
    </row>
    <row r="11132" spans="1:17" x14ac:dyDescent="0.2">
      <c r="A11132" s="121">
        <v>42916</v>
      </c>
      <c r="B11132" t="s">
        <v>406</v>
      </c>
      <c r="C11132" t="s">
        <v>442</v>
      </c>
      <c r="D11132" t="s">
        <v>443</v>
      </c>
      <c r="E11132" t="s">
        <v>444</v>
      </c>
      <c r="F11132" t="s">
        <v>413</v>
      </c>
      <c r="G11132">
        <v>5350</v>
      </c>
      <c r="H11132">
        <v>5350</v>
      </c>
      <c r="I11132">
        <v>5056</v>
      </c>
      <c r="J11132">
        <v>5056</v>
      </c>
      <c r="K11132">
        <v>1523</v>
      </c>
      <c r="L11132">
        <v>5</v>
      </c>
      <c r="M11132">
        <v>3666</v>
      </c>
      <c r="N11132">
        <v>82</v>
      </c>
      <c r="O11132">
        <v>74</v>
      </c>
      <c r="P11132">
        <v>12</v>
      </c>
      <c r="Q11132">
        <v>1</v>
      </c>
    </row>
    <row r="11133" spans="1:17" x14ac:dyDescent="0.2">
      <c r="A11133" s="121">
        <v>42916</v>
      </c>
      <c r="B11133" t="s">
        <v>406</v>
      </c>
      <c r="C11133" t="s">
        <v>442</v>
      </c>
      <c r="D11133" t="s">
        <v>445</v>
      </c>
      <c r="E11133" t="s">
        <v>446</v>
      </c>
      <c r="F11133" t="s">
        <v>410</v>
      </c>
      <c r="G11133">
        <v>178</v>
      </c>
      <c r="H11133">
        <v>178</v>
      </c>
      <c r="I11133">
        <v>178</v>
      </c>
      <c r="J11133">
        <v>178</v>
      </c>
      <c r="K11133">
        <v>0</v>
      </c>
      <c r="L11133">
        <v>0</v>
      </c>
      <c r="M11133">
        <v>169</v>
      </c>
      <c r="N11133">
        <v>5</v>
      </c>
      <c r="O11133">
        <v>4</v>
      </c>
      <c r="P11133">
        <v>0</v>
      </c>
      <c r="Q11133">
        <v>0</v>
      </c>
    </row>
    <row r="11134" spans="1:17" x14ac:dyDescent="0.2">
      <c r="A11134" s="121">
        <v>42916</v>
      </c>
      <c r="B11134" t="s">
        <v>406</v>
      </c>
      <c r="C11134" t="s">
        <v>442</v>
      </c>
      <c r="D11134" t="s">
        <v>447</v>
      </c>
      <c r="E11134" t="s">
        <v>448</v>
      </c>
      <c r="F11134" t="s">
        <v>410</v>
      </c>
      <c r="G11134">
        <v>251</v>
      </c>
      <c r="I11134">
        <v>251</v>
      </c>
    </row>
    <row r="11135" spans="1:17" x14ac:dyDescent="0.2">
      <c r="A11135" s="121">
        <v>42916</v>
      </c>
      <c r="B11135" t="s">
        <v>406</v>
      </c>
      <c r="C11135" t="s">
        <v>442</v>
      </c>
      <c r="D11135" t="s">
        <v>449</v>
      </c>
      <c r="E11135" t="s">
        <v>624</v>
      </c>
      <c r="F11135" t="s">
        <v>410</v>
      </c>
      <c r="G11135">
        <v>1992</v>
      </c>
      <c r="H11135">
        <v>1992</v>
      </c>
      <c r="I11135">
        <v>1989</v>
      </c>
      <c r="J11135">
        <v>1989</v>
      </c>
      <c r="K11135">
        <v>24</v>
      </c>
      <c r="L11135">
        <v>0</v>
      </c>
      <c r="M11135">
        <v>1787</v>
      </c>
      <c r="N11135">
        <v>150</v>
      </c>
      <c r="O11135">
        <v>31</v>
      </c>
      <c r="P11135">
        <v>0</v>
      </c>
      <c r="Q11135">
        <v>0</v>
      </c>
    </row>
    <row r="11136" spans="1:17" x14ac:dyDescent="0.2">
      <c r="A11136" s="121">
        <v>42916</v>
      </c>
      <c r="B11136" t="s">
        <v>406</v>
      </c>
      <c r="C11136" t="s">
        <v>451</v>
      </c>
      <c r="D11136" t="s">
        <v>454</v>
      </c>
      <c r="E11136" t="s">
        <v>621</v>
      </c>
      <c r="F11136" t="s">
        <v>410</v>
      </c>
      <c r="G11136">
        <v>1506</v>
      </c>
      <c r="H11136">
        <v>1506</v>
      </c>
      <c r="I11136">
        <v>1504</v>
      </c>
      <c r="J11136">
        <v>1504</v>
      </c>
      <c r="K11136">
        <v>2</v>
      </c>
      <c r="L11136">
        <v>0</v>
      </c>
      <c r="M11136">
        <v>1014</v>
      </c>
      <c r="N11136">
        <v>92</v>
      </c>
      <c r="O11136">
        <v>398</v>
      </c>
      <c r="P11136">
        <v>0</v>
      </c>
      <c r="Q11136">
        <v>0</v>
      </c>
    </row>
    <row r="11137" spans="1:17" x14ac:dyDescent="0.2">
      <c r="A11137" s="121">
        <v>42916</v>
      </c>
      <c r="B11137" t="s">
        <v>406</v>
      </c>
      <c r="C11137" t="s">
        <v>451</v>
      </c>
      <c r="D11137" t="s">
        <v>622</v>
      </c>
      <c r="E11137" t="s">
        <v>623</v>
      </c>
      <c r="F11137" t="s">
        <v>413</v>
      </c>
      <c r="G11137">
        <v>5571</v>
      </c>
      <c r="H11137">
        <v>5571</v>
      </c>
      <c r="I11137">
        <v>5193</v>
      </c>
      <c r="J11137">
        <v>5193</v>
      </c>
      <c r="K11137">
        <v>1486</v>
      </c>
      <c r="L11137">
        <v>9</v>
      </c>
      <c r="M11137">
        <v>3257</v>
      </c>
      <c r="N11137">
        <v>57</v>
      </c>
      <c r="O11137">
        <v>762</v>
      </c>
      <c r="P11137">
        <v>2</v>
      </c>
      <c r="Q11137">
        <v>0</v>
      </c>
    </row>
    <row r="11138" spans="1:17" x14ac:dyDescent="0.2">
      <c r="A11138" s="121">
        <v>42916</v>
      </c>
      <c r="B11138" t="s">
        <v>406</v>
      </c>
      <c r="C11138" t="s">
        <v>456</v>
      </c>
      <c r="D11138" t="s">
        <v>457</v>
      </c>
      <c r="E11138" t="s">
        <v>458</v>
      </c>
      <c r="F11138" t="s">
        <v>413</v>
      </c>
      <c r="G11138">
        <v>4780</v>
      </c>
      <c r="H11138">
        <v>4780</v>
      </c>
      <c r="I11138">
        <v>4539</v>
      </c>
      <c r="J11138">
        <v>4539</v>
      </c>
      <c r="K11138">
        <v>1199</v>
      </c>
      <c r="L11138">
        <v>8</v>
      </c>
      <c r="M11138">
        <v>3139</v>
      </c>
      <c r="N11138">
        <v>21</v>
      </c>
      <c r="O11138">
        <v>413</v>
      </c>
      <c r="P11138">
        <v>4</v>
      </c>
      <c r="Q11138">
        <v>0</v>
      </c>
    </row>
    <row r="11139" spans="1:17" x14ac:dyDescent="0.2">
      <c r="A11139" s="121">
        <v>42916</v>
      </c>
      <c r="B11139" t="s">
        <v>406</v>
      </c>
      <c r="C11139" t="s">
        <v>456</v>
      </c>
      <c r="D11139" t="s">
        <v>459</v>
      </c>
      <c r="E11139" t="s">
        <v>460</v>
      </c>
      <c r="F11139" t="s">
        <v>413</v>
      </c>
      <c r="G11139">
        <v>1432</v>
      </c>
      <c r="H11139">
        <v>1432</v>
      </c>
      <c r="I11139">
        <v>1405</v>
      </c>
      <c r="J11139">
        <v>1405</v>
      </c>
      <c r="K11139">
        <v>119</v>
      </c>
      <c r="L11139">
        <v>0</v>
      </c>
      <c r="M11139">
        <v>1260</v>
      </c>
      <c r="N11139">
        <v>0</v>
      </c>
      <c r="O11139">
        <v>53</v>
      </c>
      <c r="P11139">
        <v>0</v>
      </c>
      <c r="Q11139">
        <v>0</v>
      </c>
    </row>
    <row r="11140" spans="1:17" x14ac:dyDescent="0.2">
      <c r="A11140" s="121">
        <v>42916</v>
      </c>
      <c r="B11140" t="s">
        <v>406</v>
      </c>
      <c r="C11140" t="s">
        <v>456</v>
      </c>
      <c r="D11140" t="s">
        <v>461</v>
      </c>
      <c r="E11140" t="s">
        <v>462</v>
      </c>
      <c r="F11140" t="s">
        <v>410</v>
      </c>
      <c r="G11140">
        <v>118</v>
      </c>
      <c r="I11140">
        <v>118</v>
      </c>
    </row>
    <row r="11141" spans="1:17" x14ac:dyDescent="0.2">
      <c r="A11141" s="121">
        <v>42916</v>
      </c>
      <c r="B11141" t="s">
        <v>406</v>
      </c>
      <c r="C11141" t="s">
        <v>456</v>
      </c>
      <c r="D11141" t="s">
        <v>463</v>
      </c>
      <c r="E11141" t="s">
        <v>464</v>
      </c>
      <c r="F11141" t="s">
        <v>410</v>
      </c>
      <c r="G11141">
        <v>14</v>
      </c>
      <c r="I11141">
        <v>14</v>
      </c>
    </row>
    <row r="11142" spans="1:17" x14ac:dyDescent="0.2">
      <c r="A11142" s="121">
        <v>42916</v>
      </c>
      <c r="B11142" t="s">
        <v>406</v>
      </c>
      <c r="C11142" t="s">
        <v>456</v>
      </c>
      <c r="D11142" t="s">
        <v>465</v>
      </c>
      <c r="E11142" t="s">
        <v>466</v>
      </c>
      <c r="F11142" t="s">
        <v>410</v>
      </c>
      <c r="G11142">
        <v>37</v>
      </c>
      <c r="I11142">
        <v>37</v>
      </c>
    </row>
    <row r="11143" spans="1:17" x14ac:dyDescent="0.2">
      <c r="A11143" s="121">
        <v>42916</v>
      </c>
      <c r="B11143" t="s">
        <v>406</v>
      </c>
      <c r="C11143" t="s">
        <v>456</v>
      </c>
      <c r="D11143" t="s">
        <v>467</v>
      </c>
      <c r="E11143" t="s">
        <v>468</v>
      </c>
      <c r="F11143" t="s">
        <v>410</v>
      </c>
      <c r="G11143">
        <v>1304</v>
      </c>
      <c r="I11143">
        <v>1302</v>
      </c>
    </row>
    <row r="11144" spans="1:17" x14ac:dyDescent="0.2">
      <c r="A11144" s="121">
        <v>42916</v>
      </c>
      <c r="B11144" t="s">
        <v>406</v>
      </c>
      <c r="C11144" t="s">
        <v>456</v>
      </c>
      <c r="D11144" t="s">
        <v>469</v>
      </c>
      <c r="E11144" t="s">
        <v>470</v>
      </c>
      <c r="F11144" t="s">
        <v>410</v>
      </c>
      <c r="G11144">
        <v>711</v>
      </c>
      <c r="I11144">
        <v>707</v>
      </c>
    </row>
    <row r="11145" spans="1:17" x14ac:dyDescent="0.2">
      <c r="A11145" s="121">
        <v>42916</v>
      </c>
      <c r="B11145" t="s">
        <v>406</v>
      </c>
      <c r="C11145" t="s">
        <v>456</v>
      </c>
      <c r="D11145" t="s">
        <v>471</v>
      </c>
      <c r="E11145" t="s">
        <v>472</v>
      </c>
      <c r="F11145" t="s">
        <v>410</v>
      </c>
      <c r="G11145">
        <v>291</v>
      </c>
      <c r="I11145">
        <v>290</v>
      </c>
    </row>
    <row r="11146" spans="1:17" x14ac:dyDescent="0.2">
      <c r="A11146" s="121">
        <v>42916</v>
      </c>
      <c r="B11146" t="s">
        <v>406</v>
      </c>
      <c r="C11146" t="s">
        <v>456</v>
      </c>
      <c r="D11146" t="s">
        <v>473</v>
      </c>
      <c r="E11146" t="s">
        <v>474</v>
      </c>
      <c r="F11146" t="s">
        <v>410</v>
      </c>
      <c r="G11146">
        <v>194</v>
      </c>
      <c r="I11146">
        <v>194</v>
      </c>
    </row>
    <row r="11147" spans="1:17" x14ac:dyDescent="0.2">
      <c r="A11147" s="121">
        <v>42916</v>
      </c>
      <c r="B11147" t="s">
        <v>406</v>
      </c>
      <c r="C11147" t="s">
        <v>456</v>
      </c>
      <c r="D11147" t="s">
        <v>475</v>
      </c>
      <c r="E11147" t="s">
        <v>476</v>
      </c>
      <c r="F11147" t="s">
        <v>410</v>
      </c>
      <c r="G11147">
        <v>281</v>
      </c>
      <c r="I11147">
        <v>273</v>
      </c>
    </row>
    <row r="11148" spans="1:17" x14ac:dyDescent="0.2">
      <c r="A11148" s="121">
        <v>42916</v>
      </c>
      <c r="B11148" t="s">
        <v>406</v>
      </c>
      <c r="C11148" t="s">
        <v>456</v>
      </c>
      <c r="D11148" t="s">
        <v>477</v>
      </c>
      <c r="E11148" t="s">
        <v>478</v>
      </c>
      <c r="F11148" t="s">
        <v>413</v>
      </c>
      <c r="G11148">
        <v>2157</v>
      </c>
      <c r="H11148">
        <v>2157</v>
      </c>
      <c r="I11148">
        <v>2105</v>
      </c>
      <c r="J11148">
        <v>2105</v>
      </c>
      <c r="K11148">
        <v>431</v>
      </c>
      <c r="L11148">
        <v>0</v>
      </c>
      <c r="M11148">
        <v>1667</v>
      </c>
      <c r="N11148">
        <v>14</v>
      </c>
      <c r="O11148">
        <v>45</v>
      </c>
      <c r="P11148">
        <v>4</v>
      </c>
      <c r="Q11148">
        <v>0</v>
      </c>
    </row>
    <row r="11149" spans="1:17" x14ac:dyDescent="0.2">
      <c r="A11149" s="121">
        <v>42916</v>
      </c>
      <c r="B11149" t="s">
        <v>406</v>
      </c>
      <c r="C11149" t="s">
        <v>456</v>
      </c>
      <c r="D11149" t="s">
        <v>479</v>
      </c>
      <c r="E11149" t="s">
        <v>480</v>
      </c>
      <c r="F11149" t="s">
        <v>410</v>
      </c>
      <c r="G11149">
        <v>51</v>
      </c>
      <c r="I11149">
        <v>51</v>
      </c>
    </row>
    <row r="11150" spans="1:17" x14ac:dyDescent="0.2">
      <c r="A11150" s="121">
        <v>42916</v>
      </c>
      <c r="B11150" t="s">
        <v>406</v>
      </c>
      <c r="C11150" t="s">
        <v>456</v>
      </c>
      <c r="D11150" t="s">
        <v>481</v>
      </c>
      <c r="E11150" t="s">
        <v>482</v>
      </c>
      <c r="F11150" t="s">
        <v>410</v>
      </c>
      <c r="G11150">
        <v>19</v>
      </c>
      <c r="I11150">
        <v>19</v>
      </c>
    </row>
    <row r="11151" spans="1:17" x14ac:dyDescent="0.2">
      <c r="A11151" s="121">
        <v>42916</v>
      </c>
      <c r="B11151" t="s">
        <v>406</v>
      </c>
      <c r="C11151" t="s">
        <v>456</v>
      </c>
      <c r="D11151" t="s">
        <v>483</v>
      </c>
      <c r="E11151" t="s">
        <v>484</v>
      </c>
      <c r="F11151" t="s">
        <v>410</v>
      </c>
      <c r="G11151">
        <v>89</v>
      </c>
      <c r="I11151">
        <v>89</v>
      </c>
    </row>
    <row r="11152" spans="1:17" x14ac:dyDescent="0.2">
      <c r="A11152" s="121">
        <v>42916</v>
      </c>
      <c r="B11152" t="s">
        <v>406</v>
      </c>
      <c r="C11152" t="s">
        <v>456</v>
      </c>
      <c r="D11152" t="s">
        <v>487</v>
      </c>
      <c r="E11152" t="s">
        <v>488</v>
      </c>
      <c r="F11152" t="s">
        <v>410</v>
      </c>
      <c r="G11152">
        <v>15</v>
      </c>
      <c r="I11152">
        <v>15</v>
      </c>
    </row>
    <row r="11153" spans="1:17" x14ac:dyDescent="0.2">
      <c r="A11153" s="121">
        <v>42916</v>
      </c>
      <c r="B11153" t="s">
        <v>406</v>
      </c>
      <c r="C11153" t="s">
        <v>456</v>
      </c>
      <c r="D11153" t="s">
        <v>489</v>
      </c>
      <c r="E11153" t="s">
        <v>490</v>
      </c>
      <c r="F11153" t="s">
        <v>410</v>
      </c>
      <c r="G11153">
        <v>92</v>
      </c>
      <c r="I11153">
        <v>92</v>
      </c>
    </row>
    <row r="11154" spans="1:17" x14ac:dyDescent="0.2">
      <c r="A11154" s="121">
        <v>42916</v>
      </c>
      <c r="B11154" t="s">
        <v>406</v>
      </c>
      <c r="C11154" t="s">
        <v>456</v>
      </c>
      <c r="D11154" t="s">
        <v>628</v>
      </c>
      <c r="E11154" t="s">
        <v>629</v>
      </c>
      <c r="F11154" t="s">
        <v>410</v>
      </c>
      <c r="G11154">
        <v>44</v>
      </c>
      <c r="I11154">
        <v>44</v>
      </c>
    </row>
    <row r="11155" spans="1:17" x14ac:dyDescent="0.2">
      <c r="A11155" s="121">
        <v>42916</v>
      </c>
      <c r="B11155" t="s">
        <v>406</v>
      </c>
      <c r="C11155" t="s">
        <v>491</v>
      </c>
      <c r="D11155" t="s">
        <v>492</v>
      </c>
      <c r="E11155" t="s">
        <v>493</v>
      </c>
      <c r="F11155" t="s">
        <v>410</v>
      </c>
      <c r="G11155">
        <v>1484</v>
      </c>
      <c r="H11155">
        <v>1484</v>
      </c>
      <c r="I11155">
        <v>1458</v>
      </c>
      <c r="J11155">
        <v>1458</v>
      </c>
      <c r="K11155">
        <v>212</v>
      </c>
      <c r="L11155">
        <v>0</v>
      </c>
      <c r="M11155">
        <v>1168</v>
      </c>
      <c r="N11155">
        <v>86</v>
      </c>
      <c r="O11155">
        <v>18</v>
      </c>
      <c r="P11155">
        <v>0</v>
      </c>
      <c r="Q11155">
        <v>0</v>
      </c>
    </row>
    <row r="11156" spans="1:17" x14ac:dyDescent="0.2">
      <c r="A11156" s="121">
        <v>42916</v>
      </c>
      <c r="B11156" t="s">
        <v>406</v>
      </c>
      <c r="C11156" t="s">
        <v>491</v>
      </c>
      <c r="D11156" t="s">
        <v>494</v>
      </c>
      <c r="E11156" t="s">
        <v>495</v>
      </c>
      <c r="F11156" t="s">
        <v>413</v>
      </c>
      <c r="G11156">
        <v>2691</v>
      </c>
      <c r="H11156">
        <v>2691</v>
      </c>
      <c r="I11156">
        <v>2529</v>
      </c>
      <c r="J11156">
        <v>2529</v>
      </c>
      <c r="K11156">
        <v>632</v>
      </c>
      <c r="L11156">
        <v>3</v>
      </c>
      <c r="M11156">
        <v>1861</v>
      </c>
      <c r="N11156">
        <v>32</v>
      </c>
      <c r="O11156">
        <v>163</v>
      </c>
      <c r="P11156">
        <v>7</v>
      </c>
      <c r="Q11156">
        <v>0</v>
      </c>
    </row>
    <row r="11157" spans="1:17" x14ac:dyDescent="0.2">
      <c r="A11157" s="121">
        <v>42916</v>
      </c>
      <c r="B11157" t="s">
        <v>406</v>
      </c>
      <c r="C11157" t="s">
        <v>491</v>
      </c>
      <c r="D11157" t="s">
        <v>496</v>
      </c>
      <c r="E11157" t="s">
        <v>497</v>
      </c>
      <c r="F11157" t="s">
        <v>413</v>
      </c>
      <c r="G11157">
        <v>5350</v>
      </c>
      <c r="H11157">
        <v>5350</v>
      </c>
      <c r="I11157">
        <v>4908</v>
      </c>
      <c r="J11157">
        <v>4908</v>
      </c>
      <c r="K11157">
        <v>1371</v>
      </c>
      <c r="L11157">
        <v>7</v>
      </c>
      <c r="M11157">
        <v>3741</v>
      </c>
      <c r="N11157">
        <v>118</v>
      </c>
      <c r="O11157">
        <v>113</v>
      </c>
      <c r="P11157">
        <v>27</v>
      </c>
      <c r="Q11157">
        <v>0</v>
      </c>
    </row>
    <row r="11158" spans="1:17" x14ac:dyDescent="0.2">
      <c r="A11158" s="121">
        <v>42916</v>
      </c>
      <c r="B11158" t="s">
        <v>406</v>
      </c>
      <c r="C11158" t="s">
        <v>491</v>
      </c>
      <c r="D11158" t="s">
        <v>498</v>
      </c>
      <c r="E11158" t="s">
        <v>499</v>
      </c>
      <c r="F11158" t="s">
        <v>413</v>
      </c>
      <c r="G11158">
        <v>7709</v>
      </c>
      <c r="H11158">
        <v>7709</v>
      </c>
      <c r="I11158">
        <v>6710</v>
      </c>
      <c r="J11158">
        <v>6710</v>
      </c>
      <c r="K11158">
        <v>2234</v>
      </c>
      <c r="L11158">
        <v>10</v>
      </c>
      <c r="M11158">
        <v>4879</v>
      </c>
      <c r="N11158">
        <v>162</v>
      </c>
      <c r="O11158">
        <v>424</v>
      </c>
      <c r="P11158">
        <v>27</v>
      </c>
      <c r="Q11158">
        <v>0</v>
      </c>
    </row>
    <row r="11159" spans="1:17" x14ac:dyDescent="0.2">
      <c r="A11159" s="121">
        <v>42916</v>
      </c>
      <c r="B11159" t="s">
        <v>406</v>
      </c>
      <c r="C11159" t="s">
        <v>491</v>
      </c>
      <c r="D11159" t="s">
        <v>500</v>
      </c>
      <c r="E11159" t="s">
        <v>620</v>
      </c>
      <c r="F11159" t="s">
        <v>410</v>
      </c>
      <c r="G11159">
        <v>1716</v>
      </c>
      <c r="H11159">
        <v>1716</v>
      </c>
      <c r="I11159">
        <v>1716</v>
      </c>
      <c r="J11159">
        <v>1716</v>
      </c>
      <c r="K11159">
        <v>0</v>
      </c>
      <c r="L11159">
        <v>0</v>
      </c>
      <c r="M11159">
        <v>1580</v>
      </c>
      <c r="N11159">
        <v>109</v>
      </c>
      <c r="O11159">
        <v>27</v>
      </c>
      <c r="P11159">
        <v>0</v>
      </c>
      <c r="Q11159">
        <v>0</v>
      </c>
    </row>
    <row r="11160" spans="1:17" x14ac:dyDescent="0.2">
      <c r="A11160" s="121">
        <v>42916</v>
      </c>
      <c r="B11160" t="s">
        <v>406</v>
      </c>
      <c r="C11160" t="s">
        <v>491</v>
      </c>
      <c r="D11160" t="s">
        <v>502</v>
      </c>
      <c r="E11160" t="s">
        <v>615</v>
      </c>
      <c r="F11160" t="s">
        <v>410</v>
      </c>
      <c r="G11160">
        <v>2928</v>
      </c>
      <c r="H11160">
        <v>2928</v>
      </c>
      <c r="I11160">
        <v>2928</v>
      </c>
      <c r="J11160">
        <v>2928</v>
      </c>
      <c r="K11160">
        <v>0</v>
      </c>
      <c r="L11160">
        <v>0</v>
      </c>
      <c r="M11160">
        <v>2626</v>
      </c>
      <c r="N11160">
        <v>276</v>
      </c>
      <c r="O11160">
        <v>26</v>
      </c>
      <c r="P11160">
        <v>0</v>
      </c>
      <c r="Q11160">
        <v>0</v>
      </c>
    </row>
    <row r="11161" spans="1:17" x14ac:dyDescent="0.2">
      <c r="A11161" s="121">
        <v>42916</v>
      </c>
      <c r="B11161" t="s">
        <v>406</v>
      </c>
      <c r="C11161" t="s">
        <v>491</v>
      </c>
      <c r="D11161" t="s">
        <v>504</v>
      </c>
      <c r="E11161" t="s">
        <v>630</v>
      </c>
      <c r="F11161" t="s">
        <v>413</v>
      </c>
      <c r="G11161">
        <v>8283</v>
      </c>
      <c r="H11161">
        <v>8283</v>
      </c>
      <c r="I11161">
        <v>7516</v>
      </c>
      <c r="J11161">
        <v>7516</v>
      </c>
      <c r="K11161">
        <v>2508</v>
      </c>
      <c r="L11161">
        <v>20</v>
      </c>
      <c r="M11161">
        <v>5438</v>
      </c>
      <c r="N11161">
        <v>92</v>
      </c>
      <c r="O11161">
        <v>225</v>
      </c>
      <c r="P11161">
        <v>18</v>
      </c>
      <c r="Q11161">
        <v>0</v>
      </c>
    </row>
    <row r="11162" spans="1:17" x14ac:dyDescent="0.2">
      <c r="A11162" s="121">
        <v>42916</v>
      </c>
      <c r="B11162" t="s">
        <v>406</v>
      </c>
      <c r="C11162" t="s">
        <v>491</v>
      </c>
      <c r="D11162" t="s">
        <v>506</v>
      </c>
      <c r="E11162" t="s">
        <v>507</v>
      </c>
      <c r="F11162" t="s">
        <v>413</v>
      </c>
      <c r="G11162">
        <v>4765</v>
      </c>
      <c r="H11162">
        <v>4765</v>
      </c>
      <c r="I11162">
        <v>4745</v>
      </c>
      <c r="J11162">
        <v>4745</v>
      </c>
      <c r="K11162">
        <v>801</v>
      </c>
      <c r="L11162">
        <v>1</v>
      </c>
      <c r="M11162">
        <v>3954</v>
      </c>
      <c r="N11162">
        <v>4</v>
      </c>
      <c r="O11162">
        <v>5</v>
      </c>
      <c r="P11162">
        <v>0</v>
      </c>
      <c r="Q11162">
        <v>0</v>
      </c>
    </row>
    <row r="11163" spans="1:17" x14ac:dyDescent="0.2">
      <c r="A11163" s="121">
        <v>42916</v>
      </c>
      <c r="B11163" t="s">
        <v>406</v>
      </c>
      <c r="C11163" t="s">
        <v>510</v>
      </c>
      <c r="D11163" t="s">
        <v>513</v>
      </c>
      <c r="E11163" t="s">
        <v>514</v>
      </c>
      <c r="F11163" t="s">
        <v>410</v>
      </c>
      <c r="G11163">
        <v>669</v>
      </c>
      <c r="I11163">
        <v>669</v>
      </c>
    </row>
    <row r="11164" spans="1:17" x14ac:dyDescent="0.2">
      <c r="A11164" s="121">
        <v>42916</v>
      </c>
      <c r="B11164" t="s">
        <v>406</v>
      </c>
      <c r="C11164" t="s">
        <v>510</v>
      </c>
      <c r="D11164" t="s">
        <v>515</v>
      </c>
      <c r="E11164" t="s">
        <v>516</v>
      </c>
      <c r="F11164" t="s">
        <v>410</v>
      </c>
      <c r="G11164">
        <v>102</v>
      </c>
      <c r="I11164">
        <v>102</v>
      </c>
    </row>
    <row r="11165" spans="1:17" x14ac:dyDescent="0.2">
      <c r="A11165" s="121">
        <v>42916</v>
      </c>
      <c r="B11165" t="s">
        <v>406</v>
      </c>
      <c r="C11165" t="s">
        <v>510</v>
      </c>
      <c r="D11165" t="s">
        <v>519</v>
      </c>
      <c r="E11165" t="s">
        <v>520</v>
      </c>
      <c r="F11165" t="s">
        <v>410</v>
      </c>
      <c r="G11165">
        <v>422</v>
      </c>
      <c r="I11165">
        <v>415</v>
      </c>
    </row>
    <row r="11166" spans="1:17" x14ac:dyDescent="0.2">
      <c r="A11166" s="121">
        <v>42916</v>
      </c>
      <c r="B11166" t="s">
        <v>406</v>
      </c>
      <c r="C11166" t="s">
        <v>510</v>
      </c>
      <c r="D11166" t="s">
        <v>523</v>
      </c>
      <c r="E11166" t="s">
        <v>524</v>
      </c>
      <c r="F11166" t="s">
        <v>413</v>
      </c>
      <c r="G11166">
        <v>726</v>
      </c>
      <c r="H11166">
        <v>726</v>
      </c>
      <c r="I11166">
        <v>708</v>
      </c>
      <c r="J11166">
        <v>708</v>
      </c>
      <c r="K11166">
        <v>175</v>
      </c>
      <c r="L11166">
        <v>1</v>
      </c>
      <c r="M11166">
        <v>539</v>
      </c>
      <c r="N11166">
        <v>11</v>
      </c>
      <c r="O11166">
        <v>0</v>
      </c>
      <c r="P11166">
        <v>0</v>
      </c>
      <c r="Q11166">
        <v>0</v>
      </c>
    </row>
    <row r="11167" spans="1:17" x14ac:dyDescent="0.2">
      <c r="A11167" s="121">
        <v>42916</v>
      </c>
      <c r="B11167" t="s">
        <v>406</v>
      </c>
      <c r="C11167" t="s">
        <v>510</v>
      </c>
      <c r="D11167" t="s">
        <v>525</v>
      </c>
      <c r="E11167" t="s">
        <v>526</v>
      </c>
      <c r="F11167" t="s">
        <v>410</v>
      </c>
      <c r="G11167">
        <v>500</v>
      </c>
      <c r="I11167">
        <v>498</v>
      </c>
    </row>
    <row r="11168" spans="1:17" x14ac:dyDescent="0.2">
      <c r="A11168" s="121">
        <v>42916</v>
      </c>
      <c r="B11168" t="s">
        <v>406</v>
      </c>
      <c r="C11168" t="s">
        <v>510</v>
      </c>
      <c r="D11168" t="s">
        <v>527</v>
      </c>
      <c r="E11168" t="s">
        <v>528</v>
      </c>
      <c r="F11168" t="s">
        <v>410</v>
      </c>
      <c r="G11168">
        <v>217</v>
      </c>
      <c r="I11168">
        <v>217</v>
      </c>
    </row>
    <row r="11169" spans="1:17" x14ac:dyDescent="0.2">
      <c r="A11169" s="121">
        <v>42916</v>
      </c>
      <c r="B11169" t="s">
        <v>406</v>
      </c>
      <c r="C11169" t="s">
        <v>510</v>
      </c>
      <c r="D11169" t="s">
        <v>529</v>
      </c>
      <c r="E11169" t="s">
        <v>530</v>
      </c>
      <c r="F11169" t="s">
        <v>413</v>
      </c>
      <c r="G11169">
        <v>621</v>
      </c>
      <c r="H11169">
        <v>621</v>
      </c>
      <c r="I11169">
        <v>609</v>
      </c>
      <c r="J11169">
        <v>609</v>
      </c>
      <c r="K11169">
        <v>169</v>
      </c>
      <c r="L11169">
        <v>2</v>
      </c>
      <c r="M11169">
        <v>446</v>
      </c>
      <c r="N11169">
        <v>4</v>
      </c>
      <c r="O11169">
        <v>0</v>
      </c>
      <c r="P11169">
        <v>0</v>
      </c>
      <c r="Q11169">
        <v>0</v>
      </c>
    </row>
    <row r="11170" spans="1:17" x14ac:dyDescent="0.2">
      <c r="A11170" s="121">
        <v>42916</v>
      </c>
      <c r="B11170" t="s">
        <v>406</v>
      </c>
      <c r="C11170" t="s">
        <v>510</v>
      </c>
      <c r="D11170" t="s">
        <v>531</v>
      </c>
      <c r="E11170" t="s">
        <v>532</v>
      </c>
      <c r="F11170" t="s">
        <v>410</v>
      </c>
      <c r="G11170">
        <v>51</v>
      </c>
      <c r="I11170">
        <v>51</v>
      </c>
    </row>
    <row r="11171" spans="1:17" x14ac:dyDescent="0.2">
      <c r="A11171" s="121">
        <v>42916</v>
      </c>
      <c r="B11171" t="s">
        <v>406</v>
      </c>
      <c r="C11171" t="s">
        <v>510</v>
      </c>
      <c r="D11171" t="s">
        <v>533</v>
      </c>
      <c r="E11171" t="s">
        <v>534</v>
      </c>
      <c r="F11171" t="s">
        <v>413</v>
      </c>
      <c r="G11171">
        <v>3038</v>
      </c>
      <c r="H11171">
        <v>3038</v>
      </c>
      <c r="I11171">
        <v>2868</v>
      </c>
      <c r="J11171">
        <v>2868</v>
      </c>
      <c r="K11171">
        <v>721</v>
      </c>
      <c r="L11171">
        <v>6</v>
      </c>
      <c r="M11171">
        <v>2296</v>
      </c>
      <c r="N11171">
        <v>15</v>
      </c>
      <c r="O11171">
        <v>0</v>
      </c>
      <c r="P11171">
        <v>3</v>
      </c>
      <c r="Q11171">
        <v>0</v>
      </c>
    </row>
    <row r="11172" spans="1:17" x14ac:dyDescent="0.2">
      <c r="A11172" s="121">
        <v>42916</v>
      </c>
      <c r="B11172" t="s">
        <v>406</v>
      </c>
      <c r="C11172" t="s">
        <v>510</v>
      </c>
      <c r="D11172" t="s">
        <v>535</v>
      </c>
      <c r="E11172" t="s">
        <v>536</v>
      </c>
      <c r="F11172" t="s">
        <v>410</v>
      </c>
      <c r="G11172">
        <v>434</v>
      </c>
      <c r="I11172">
        <v>434</v>
      </c>
    </row>
    <row r="11173" spans="1:17" x14ac:dyDescent="0.2">
      <c r="A11173" s="121">
        <v>42916</v>
      </c>
      <c r="B11173" t="s">
        <v>406</v>
      </c>
      <c r="C11173" t="s">
        <v>510</v>
      </c>
      <c r="D11173" t="s">
        <v>537</v>
      </c>
      <c r="E11173" t="s">
        <v>538</v>
      </c>
      <c r="F11173" t="s">
        <v>410</v>
      </c>
      <c r="G11173">
        <v>94</v>
      </c>
      <c r="I11173">
        <v>94</v>
      </c>
    </row>
    <row r="11174" spans="1:17" x14ac:dyDescent="0.2">
      <c r="A11174" s="121">
        <v>42916</v>
      </c>
      <c r="B11174" t="s">
        <v>406</v>
      </c>
      <c r="C11174" t="s">
        <v>510</v>
      </c>
      <c r="D11174" t="s">
        <v>539</v>
      </c>
      <c r="E11174" t="s">
        <v>540</v>
      </c>
      <c r="F11174" t="s">
        <v>413</v>
      </c>
      <c r="G11174">
        <v>904</v>
      </c>
      <c r="H11174">
        <v>904</v>
      </c>
      <c r="I11174">
        <v>871</v>
      </c>
      <c r="J11174">
        <v>871</v>
      </c>
      <c r="K11174">
        <v>154</v>
      </c>
      <c r="L11174">
        <v>3</v>
      </c>
      <c r="M11174">
        <v>741</v>
      </c>
      <c r="N11174">
        <v>6</v>
      </c>
      <c r="O11174">
        <v>0</v>
      </c>
      <c r="P11174">
        <v>1</v>
      </c>
      <c r="Q11174">
        <v>0</v>
      </c>
    </row>
    <row r="11175" spans="1:17" x14ac:dyDescent="0.2">
      <c r="A11175" s="121">
        <v>42916</v>
      </c>
      <c r="B11175" t="s">
        <v>406</v>
      </c>
      <c r="C11175" t="s">
        <v>510</v>
      </c>
      <c r="D11175" t="s">
        <v>541</v>
      </c>
      <c r="E11175" t="s">
        <v>542</v>
      </c>
      <c r="F11175" t="s">
        <v>410</v>
      </c>
      <c r="G11175">
        <v>432</v>
      </c>
      <c r="I11175">
        <v>432</v>
      </c>
    </row>
    <row r="11176" spans="1:17" x14ac:dyDescent="0.2">
      <c r="A11176" s="121">
        <v>42916</v>
      </c>
      <c r="B11176" t="s">
        <v>406</v>
      </c>
      <c r="C11176" t="s">
        <v>510</v>
      </c>
      <c r="D11176" t="s">
        <v>543</v>
      </c>
      <c r="E11176" t="s">
        <v>544</v>
      </c>
      <c r="F11176" t="s">
        <v>410</v>
      </c>
      <c r="G11176">
        <v>265</v>
      </c>
      <c r="I11176">
        <v>265</v>
      </c>
    </row>
    <row r="11177" spans="1:17" x14ac:dyDescent="0.2">
      <c r="A11177" s="121">
        <v>42916</v>
      </c>
      <c r="B11177" t="s">
        <v>406</v>
      </c>
      <c r="C11177" t="s">
        <v>510</v>
      </c>
      <c r="D11177" t="s">
        <v>545</v>
      </c>
      <c r="E11177" t="s">
        <v>546</v>
      </c>
      <c r="F11177" t="s">
        <v>410</v>
      </c>
      <c r="G11177">
        <v>40</v>
      </c>
      <c r="I11177">
        <v>40</v>
      </c>
    </row>
    <row r="11178" spans="1:17" x14ac:dyDescent="0.2">
      <c r="A11178" s="121">
        <v>42916</v>
      </c>
      <c r="B11178" t="s">
        <v>406</v>
      </c>
      <c r="C11178" t="s">
        <v>510</v>
      </c>
      <c r="D11178" t="s">
        <v>547</v>
      </c>
      <c r="E11178" t="s">
        <v>548</v>
      </c>
      <c r="F11178" t="s">
        <v>410</v>
      </c>
      <c r="G11178">
        <v>175</v>
      </c>
      <c r="I11178">
        <v>175</v>
      </c>
    </row>
    <row r="11179" spans="1:17" x14ac:dyDescent="0.2">
      <c r="A11179" s="121">
        <v>42916</v>
      </c>
      <c r="B11179" t="s">
        <v>406</v>
      </c>
      <c r="C11179" t="s">
        <v>510</v>
      </c>
      <c r="D11179" t="s">
        <v>616</v>
      </c>
      <c r="E11179" t="s">
        <v>617</v>
      </c>
      <c r="F11179" t="s">
        <v>410</v>
      </c>
      <c r="G11179">
        <v>379</v>
      </c>
      <c r="I11179">
        <v>376</v>
      </c>
    </row>
    <row r="11180" spans="1:17" x14ac:dyDescent="0.2">
      <c r="A11180" s="121">
        <v>42916</v>
      </c>
      <c r="B11180" t="s">
        <v>406</v>
      </c>
      <c r="C11180" t="s">
        <v>510</v>
      </c>
      <c r="D11180" t="s">
        <v>549</v>
      </c>
      <c r="E11180" t="s">
        <v>550</v>
      </c>
      <c r="F11180" t="s">
        <v>410</v>
      </c>
      <c r="G11180">
        <v>150</v>
      </c>
      <c r="I11180">
        <v>150</v>
      </c>
    </row>
    <row r="11181" spans="1:17" x14ac:dyDescent="0.2">
      <c r="A11181" s="121">
        <v>42916</v>
      </c>
      <c r="B11181" t="s">
        <v>406</v>
      </c>
      <c r="C11181" t="s">
        <v>510</v>
      </c>
      <c r="D11181" t="s">
        <v>625</v>
      </c>
      <c r="E11181" t="s">
        <v>626</v>
      </c>
      <c r="F11181" t="s">
        <v>410</v>
      </c>
      <c r="G11181">
        <v>150</v>
      </c>
      <c r="I11181">
        <v>150</v>
      </c>
    </row>
    <row r="11182" spans="1:17" x14ac:dyDescent="0.2">
      <c r="A11182" s="121">
        <v>42916</v>
      </c>
      <c r="B11182" t="s">
        <v>406</v>
      </c>
      <c r="C11182" t="s">
        <v>551</v>
      </c>
      <c r="D11182" t="s">
        <v>552</v>
      </c>
      <c r="E11182" t="s">
        <v>553</v>
      </c>
      <c r="F11182" t="s">
        <v>413</v>
      </c>
      <c r="G11182">
        <v>5805</v>
      </c>
      <c r="H11182">
        <v>5805</v>
      </c>
      <c r="I11182">
        <v>5624</v>
      </c>
      <c r="J11182">
        <v>5624</v>
      </c>
      <c r="K11182">
        <v>1784</v>
      </c>
      <c r="L11182">
        <v>6</v>
      </c>
      <c r="M11182">
        <v>3854</v>
      </c>
      <c r="N11182">
        <v>116</v>
      </c>
      <c r="O11182">
        <v>45</v>
      </c>
      <c r="P11182">
        <v>6</v>
      </c>
      <c r="Q11182">
        <v>0</v>
      </c>
    </row>
    <row r="11183" spans="1:17" x14ac:dyDescent="0.2">
      <c r="A11183" s="121">
        <v>42916</v>
      </c>
      <c r="B11183" t="s">
        <v>406</v>
      </c>
      <c r="C11183" t="s">
        <v>551</v>
      </c>
      <c r="D11183" t="s">
        <v>554</v>
      </c>
      <c r="E11183" t="s">
        <v>555</v>
      </c>
      <c r="F11183" t="s">
        <v>410</v>
      </c>
      <c r="G11183">
        <v>92</v>
      </c>
      <c r="I11183">
        <v>92</v>
      </c>
    </row>
    <row r="11184" spans="1:17" x14ac:dyDescent="0.2">
      <c r="A11184" s="121">
        <v>42916</v>
      </c>
      <c r="B11184" t="s">
        <v>406</v>
      </c>
      <c r="C11184" t="s">
        <v>551</v>
      </c>
      <c r="D11184" t="s">
        <v>556</v>
      </c>
      <c r="E11184" t="s">
        <v>557</v>
      </c>
      <c r="F11184" t="s">
        <v>410</v>
      </c>
      <c r="G11184">
        <v>109</v>
      </c>
      <c r="I11184">
        <v>109</v>
      </c>
    </row>
    <row r="11185" spans="1:17" x14ac:dyDescent="0.2">
      <c r="A11185" s="121">
        <v>42916</v>
      </c>
      <c r="B11185" t="s">
        <v>406</v>
      </c>
      <c r="C11185" t="s">
        <v>551</v>
      </c>
      <c r="D11185" t="s">
        <v>558</v>
      </c>
      <c r="E11185" t="s">
        <v>559</v>
      </c>
      <c r="F11185" t="s">
        <v>413</v>
      </c>
      <c r="G11185">
        <v>5250</v>
      </c>
      <c r="H11185">
        <v>5250</v>
      </c>
      <c r="I11185">
        <v>4834</v>
      </c>
      <c r="J11185">
        <v>4834</v>
      </c>
      <c r="K11185">
        <v>1516</v>
      </c>
      <c r="L11185">
        <v>8</v>
      </c>
      <c r="M11185">
        <v>3635</v>
      </c>
      <c r="N11185">
        <v>66</v>
      </c>
      <c r="O11185">
        <v>25</v>
      </c>
      <c r="P11185">
        <v>59</v>
      </c>
      <c r="Q11185">
        <v>28</v>
      </c>
    </row>
    <row r="11186" spans="1:17" x14ac:dyDescent="0.2">
      <c r="A11186" s="121">
        <v>42916</v>
      </c>
      <c r="B11186" t="s">
        <v>406</v>
      </c>
      <c r="C11186" t="s">
        <v>551</v>
      </c>
      <c r="D11186" t="s">
        <v>560</v>
      </c>
      <c r="E11186" t="s">
        <v>561</v>
      </c>
      <c r="F11186" t="s">
        <v>413</v>
      </c>
      <c r="G11186">
        <v>5997</v>
      </c>
      <c r="H11186">
        <v>5997</v>
      </c>
      <c r="I11186">
        <v>5641</v>
      </c>
      <c r="J11186">
        <v>5641</v>
      </c>
      <c r="K11186">
        <v>1690</v>
      </c>
      <c r="L11186">
        <v>8</v>
      </c>
      <c r="M11186">
        <v>4163</v>
      </c>
      <c r="N11186">
        <v>48</v>
      </c>
      <c r="O11186">
        <v>88</v>
      </c>
      <c r="P11186">
        <v>16</v>
      </c>
      <c r="Q11186">
        <v>0</v>
      </c>
    </row>
    <row r="11187" spans="1:17" x14ac:dyDescent="0.2">
      <c r="A11187" s="121">
        <v>42916</v>
      </c>
      <c r="B11187" t="s">
        <v>406</v>
      </c>
      <c r="C11187" t="s">
        <v>562</v>
      </c>
      <c r="D11187" t="s">
        <v>605</v>
      </c>
      <c r="E11187" t="s">
        <v>606</v>
      </c>
      <c r="F11187" t="s">
        <v>410</v>
      </c>
      <c r="G11187">
        <v>201</v>
      </c>
      <c r="I11187">
        <v>201</v>
      </c>
    </row>
    <row r="11188" spans="1:17" x14ac:dyDescent="0.2">
      <c r="A11188" s="121">
        <v>42916</v>
      </c>
      <c r="B11188" t="s">
        <v>406</v>
      </c>
      <c r="C11188" t="s">
        <v>562</v>
      </c>
      <c r="D11188" t="s">
        <v>563</v>
      </c>
      <c r="E11188" t="s">
        <v>564</v>
      </c>
      <c r="F11188" t="s">
        <v>410</v>
      </c>
      <c r="G11188">
        <v>3944</v>
      </c>
      <c r="H11188">
        <v>3944</v>
      </c>
      <c r="I11188">
        <v>3577</v>
      </c>
      <c r="J11188">
        <v>3577</v>
      </c>
      <c r="K11188">
        <v>1143</v>
      </c>
      <c r="L11188">
        <v>0</v>
      </c>
      <c r="M11188">
        <v>2763</v>
      </c>
      <c r="N11188">
        <v>38</v>
      </c>
      <c r="O11188">
        <v>0</v>
      </c>
      <c r="P11188">
        <v>80</v>
      </c>
      <c r="Q11188">
        <v>31</v>
      </c>
    </row>
    <row r="11189" spans="1:17" x14ac:dyDescent="0.2">
      <c r="A11189" s="121">
        <v>42916</v>
      </c>
      <c r="B11189" t="s">
        <v>406</v>
      </c>
      <c r="C11189" t="s">
        <v>562</v>
      </c>
      <c r="D11189" t="s">
        <v>565</v>
      </c>
      <c r="E11189" t="s">
        <v>566</v>
      </c>
      <c r="F11189" t="s">
        <v>413</v>
      </c>
      <c r="G11189">
        <v>4584</v>
      </c>
      <c r="H11189">
        <v>4584</v>
      </c>
      <c r="I11189">
        <v>4440</v>
      </c>
      <c r="J11189">
        <v>4440</v>
      </c>
      <c r="K11189">
        <v>960</v>
      </c>
      <c r="L11189">
        <v>1</v>
      </c>
      <c r="M11189">
        <v>3535</v>
      </c>
      <c r="N11189">
        <v>88</v>
      </c>
      <c r="O11189">
        <v>0</v>
      </c>
      <c r="P11189">
        <v>4</v>
      </c>
      <c r="Q11189">
        <v>0</v>
      </c>
    </row>
    <row r="11190" spans="1:17" x14ac:dyDescent="0.2">
      <c r="A11190" s="121">
        <v>42916</v>
      </c>
      <c r="B11190" t="s">
        <v>406</v>
      </c>
      <c r="C11190" t="s">
        <v>562</v>
      </c>
      <c r="D11190" t="s">
        <v>567</v>
      </c>
      <c r="E11190" t="s">
        <v>568</v>
      </c>
      <c r="F11190" t="s">
        <v>413</v>
      </c>
      <c r="G11190">
        <v>9872</v>
      </c>
      <c r="H11190">
        <v>9872</v>
      </c>
      <c r="I11190">
        <v>9485</v>
      </c>
      <c r="J11190">
        <v>9485</v>
      </c>
      <c r="K11190">
        <v>2824</v>
      </c>
      <c r="L11190">
        <v>14</v>
      </c>
      <c r="M11190">
        <v>6927</v>
      </c>
      <c r="N11190">
        <v>107</v>
      </c>
      <c r="O11190">
        <v>0</v>
      </c>
      <c r="P11190">
        <v>50</v>
      </c>
      <c r="Q11190">
        <v>4</v>
      </c>
    </row>
    <row r="11191" spans="1:17" x14ac:dyDescent="0.2">
      <c r="A11191" s="121">
        <v>42916</v>
      </c>
      <c r="B11191" t="s">
        <v>406</v>
      </c>
      <c r="C11191" t="s">
        <v>562</v>
      </c>
      <c r="D11191" t="s">
        <v>569</v>
      </c>
      <c r="E11191" t="s">
        <v>570</v>
      </c>
      <c r="F11191" t="s">
        <v>413</v>
      </c>
      <c r="G11191">
        <v>4101</v>
      </c>
      <c r="H11191">
        <v>4101</v>
      </c>
      <c r="I11191">
        <v>4028</v>
      </c>
      <c r="J11191">
        <v>4028</v>
      </c>
      <c r="K11191">
        <v>466</v>
      </c>
      <c r="L11191">
        <v>0</v>
      </c>
      <c r="M11191">
        <v>3468</v>
      </c>
      <c r="N11191">
        <v>167</v>
      </c>
      <c r="O11191">
        <v>0</v>
      </c>
      <c r="P11191">
        <v>3</v>
      </c>
      <c r="Q11191">
        <v>0</v>
      </c>
    </row>
    <row r="11192" spans="1:17" x14ac:dyDescent="0.2">
      <c r="A11192" s="121">
        <v>42916</v>
      </c>
      <c r="B11192" t="s">
        <v>406</v>
      </c>
      <c r="C11192" t="s">
        <v>571</v>
      </c>
      <c r="D11192" t="s">
        <v>572</v>
      </c>
      <c r="E11192" t="s">
        <v>627</v>
      </c>
      <c r="F11192" t="s">
        <v>413</v>
      </c>
      <c r="G11192">
        <v>516</v>
      </c>
      <c r="H11192">
        <v>516</v>
      </c>
      <c r="I11192">
        <v>511</v>
      </c>
      <c r="J11192">
        <v>511</v>
      </c>
      <c r="K11192">
        <v>117</v>
      </c>
      <c r="L11192">
        <v>2</v>
      </c>
      <c r="M11192">
        <v>394</v>
      </c>
      <c r="N11192">
        <v>1</v>
      </c>
      <c r="O11192">
        <v>2</v>
      </c>
      <c r="P11192">
        <v>0</v>
      </c>
      <c r="Q11192">
        <v>0</v>
      </c>
    </row>
    <row r="11193" spans="1:17" x14ac:dyDescent="0.2">
      <c r="A11193" s="121">
        <v>42916</v>
      </c>
      <c r="B11193" t="s">
        <v>406</v>
      </c>
      <c r="C11193" t="s">
        <v>574</v>
      </c>
      <c r="D11193" t="s">
        <v>575</v>
      </c>
      <c r="E11193" t="s">
        <v>576</v>
      </c>
      <c r="F11193" t="s">
        <v>413</v>
      </c>
      <c r="G11193">
        <v>665</v>
      </c>
      <c r="H11193">
        <v>665</v>
      </c>
      <c r="I11193">
        <v>652</v>
      </c>
      <c r="J11193">
        <v>652</v>
      </c>
      <c r="K11193">
        <v>137</v>
      </c>
      <c r="L11193">
        <v>1</v>
      </c>
      <c r="M11193">
        <v>520</v>
      </c>
      <c r="N11193">
        <v>1</v>
      </c>
      <c r="O11193">
        <v>6</v>
      </c>
      <c r="P11193">
        <v>1</v>
      </c>
      <c r="Q11193">
        <v>1</v>
      </c>
    </row>
    <row r="11194" spans="1:17" x14ac:dyDescent="0.2">
      <c r="A11194" s="121">
        <v>42916</v>
      </c>
      <c r="B11194" t="s">
        <v>406</v>
      </c>
      <c r="C11194" t="s">
        <v>577</v>
      </c>
      <c r="D11194" t="s">
        <v>578</v>
      </c>
      <c r="E11194" t="s">
        <v>579</v>
      </c>
      <c r="F11194" t="s">
        <v>413</v>
      </c>
      <c r="G11194">
        <v>4080</v>
      </c>
      <c r="H11194">
        <v>4080</v>
      </c>
      <c r="I11194">
        <v>4040</v>
      </c>
      <c r="J11194">
        <v>4040</v>
      </c>
      <c r="K11194">
        <v>1224</v>
      </c>
      <c r="L11194">
        <v>6</v>
      </c>
      <c r="M11194">
        <v>2592</v>
      </c>
      <c r="N11194">
        <v>258</v>
      </c>
      <c r="O11194">
        <v>0</v>
      </c>
      <c r="P11194">
        <v>0</v>
      </c>
      <c r="Q11194">
        <v>0</v>
      </c>
    </row>
    <row r="11195" spans="1:17" x14ac:dyDescent="0.2">
      <c r="A11195" s="121">
        <v>42916</v>
      </c>
      <c r="B11195" t="s">
        <v>406</v>
      </c>
      <c r="C11195" t="s">
        <v>577</v>
      </c>
      <c r="D11195" t="s">
        <v>580</v>
      </c>
      <c r="E11195" t="s">
        <v>581</v>
      </c>
      <c r="F11195" t="s">
        <v>413</v>
      </c>
      <c r="G11195">
        <v>2098</v>
      </c>
      <c r="H11195">
        <v>2098</v>
      </c>
      <c r="I11195">
        <v>2020</v>
      </c>
      <c r="J11195">
        <v>2020</v>
      </c>
      <c r="K11195">
        <v>362</v>
      </c>
      <c r="L11195">
        <v>1</v>
      </c>
      <c r="M11195">
        <v>1442</v>
      </c>
      <c r="N11195">
        <v>279</v>
      </c>
      <c r="O11195">
        <v>14</v>
      </c>
      <c r="P11195">
        <v>1</v>
      </c>
      <c r="Q11195">
        <v>0</v>
      </c>
    </row>
    <row r="11196" spans="1:17" x14ac:dyDescent="0.2">
      <c r="A11196" s="121">
        <v>42916</v>
      </c>
      <c r="B11196" t="s">
        <v>406</v>
      </c>
      <c r="C11196" t="s">
        <v>577</v>
      </c>
      <c r="D11196" t="s">
        <v>609</v>
      </c>
      <c r="E11196" t="s">
        <v>610</v>
      </c>
      <c r="F11196" t="s">
        <v>410</v>
      </c>
      <c r="G11196">
        <v>44</v>
      </c>
      <c r="H11196">
        <v>44</v>
      </c>
      <c r="I11196">
        <v>44</v>
      </c>
      <c r="J11196">
        <v>44</v>
      </c>
      <c r="K11196">
        <v>0</v>
      </c>
      <c r="L11196">
        <v>0</v>
      </c>
      <c r="M11196">
        <v>38</v>
      </c>
      <c r="N11196">
        <v>4</v>
      </c>
      <c r="O11196">
        <v>2</v>
      </c>
      <c r="P11196">
        <v>0</v>
      </c>
      <c r="Q11196">
        <v>0</v>
      </c>
    </row>
    <row r="11197" spans="1:17" x14ac:dyDescent="0.2">
      <c r="A11197" s="121">
        <v>42916</v>
      </c>
      <c r="B11197" t="s">
        <v>406</v>
      </c>
      <c r="C11197" t="s">
        <v>577</v>
      </c>
      <c r="D11197" t="s">
        <v>584</v>
      </c>
      <c r="E11197" t="s">
        <v>585</v>
      </c>
      <c r="F11197" t="s">
        <v>410</v>
      </c>
      <c r="G11197">
        <v>287</v>
      </c>
      <c r="H11197">
        <v>287</v>
      </c>
      <c r="I11197">
        <v>287</v>
      </c>
      <c r="J11197">
        <v>287</v>
      </c>
      <c r="K11197">
        <v>0</v>
      </c>
      <c r="L11197">
        <v>0</v>
      </c>
      <c r="M11197">
        <v>262</v>
      </c>
      <c r="N11197">
        <v>23</v>
      </c>
      <c r="O11197">
        <v>2</v>
      </c>
      <c r="P11197">
        <v>0</v>
      </c>
      <c r="Q11197">
        <v>0</v>
      </c>
    </row>
    <row r="11198" spans="1:17" x14ac:dyDescent="0.2">
      <c r="A11198" s="121">
        <v>42916</v>
      </c>
      <c r="B11198" t="s">
        <v>406</v>
      </c>
      <c r="C11198" t="s">
        <v>577</v>
      </c>
      <c r="D11198" t="s">
        <v>586</v>
      </c>
      <c r="E11198" t="s">
        <v>587</v>
      </c>
      <c r="F11198" t="s">
        <v>410</v>
      </c>
      <c r="G11198">
        <v>1308</v>
      </c>
      <c r="H11198">
        <v>1308</v>
      </c>
      <c r="I11198">
        <v>1308</v>
      </c>
      <c r="J11198">
        <v>1308</v>
      </c>
      <c r="K11198">
        <v>0</v>
      </c>
      <c r="L11198">
        <v>0</v>
      </c>
      <c r="M11198">
        <v>1189</v>
      </c>
      <c r="N11198">
        <v>114</v>
      </c>
      <c r="O11198">
        <v>5</v>
      </c>
      <c r="P11198">
        <v>0</v>
      </c>
      <c r="Q11198">
        <v>0</v>
      </c>
    </row>
    <row r="11199" spans="1:17" x14ac:dyDescent="0.2">
      <c r="A11199" s="121">
        <v>42916</v>
      </c>
      <c r="B11199" t="s">
        <v>406</v>
      </c>
      <c r="C11199" t="s">
        <v>577</v>
      </c>
      <c r="D11199" t="s">
        <v>588</v>
      </c>
      <c r="E11199" t="s">
        <v>589</v>
      </c>
      <c r="F11199" t="s">
        <v>410</v>
      </c>
      <c r="G11199">
        <v>172</v>
      </c>
      <c r="H11199">
        <v>172</v>
      </c>
      <c r="I11199">
        <v>172</v>
      </c>
      <c r="J11199">
        <v>172</v>
      </c>
      <c r="K11199">
        <v>0</v>
      </c>
      <c r="L11199">
        <v>0</v>
      </c>
      <c r="M11199">
        <v>163</v>
      </c>
      <c r="N11199">
        <v>8</v>
      </c>
      <c r="O11199">
        <v>1</v>
      </c>
      <c r="P11199">
        <v>0</v>
      </c>
      <c r="Q11199">
        <v>0</v>
      </c>
    </row>
    <row r="11200" spans="1:17" x14ac:dyDescent="0.2">
      <c r="A11200" s="121">
        <v>42916</v>
      </c>
      <c r="B11200" t="s">
        <v>406</v>
      </c>
      <c r="C11200" t="s">
        <v>577</v>
      </c>
      <c r="D11200" t="s">
        <v>613</v>
      </c>
      <c r="E11200" t="s">
        <v>614</v>
      </c>
      <c r="F11200" t="s">
        <v>410</v>
      </c>
      <c r="G11200">
        <v>101</v>
      </c>
      <c r="H11200">
        <v>101</v>
      </c>
      <c r="I11200">
        <v>101</v>
      </c>
      <c r="J11200">
        <v>101</v>
      </c>
      <c r="K11200">
        <v>0</v>
      </c>
      <c r="L11200">
        <v>0</v>
      </c>
      <c r="M11200">
        <v>91</v>
      </c>
      <c r="N11200">
        <v>7</v>
      </c>
      <c r="O11200">
        <v>3</v>
      </c>
      <c r="P11200">
        <v>0</v>
      </c>
      <c r="Q11200">
        <v>0</v>
      </c>
    </row>
    <row r="11201" spans="1:17" x14ac:dyDescent="0.2">
      <c r="A11201" s="121">
        <v>42916</v>
      </c>
      <c r="B11201" t="s">
        <v>406</v>
      </c>
      <c r="C11201" t="s">
        <v>577</v>
      </c>
      <c r="D11201" t="s">
        <v>590</v>
      </c>
      <c r="E11201" t="s">
        <v>591</v>
      </c>
      <c r="F11201" t="s">
        <v>410</v>
      </c>
      <c r="G11201">
        <v>560</v>
      </c>
      <c r="H11201">
        <v>560</v>
      </c>
      <c r="I11201">
        <v>560</v>
      </c>
      <c r="J11201">
        <v>560</v>
      </c>
      <c r="K11201">
        <v>0</v>
      </c>
      <c r="L11201">
        <v>0</v>
      </c>
      <c r="M11201">
        <v>530</v>
      </c>
      <c r="N11201">
        <v>29</v>
      </c>
      <c r="O11201">
        <v>1</v>
      </c>
      <c r="P11201">
        <v>0</v>
      </c>
      <c r="Q11201">
        <v>0</v>
      </c>
    </row>
    <row r="11202" spans="1:17" x14ac:dyDescent="0.2">
      <c r="A11202" s="121">
        <v>42916</v>
      </c>
      <c r="B11202" t="s">
        <v>406</v>
      </c>
      <c r="C11202" t="s">
        <v>577</v>
      </c>
      <c r="D11202" t="s">
        <v>607</v>
      </c>
      <c r="E11202" t="s">
        <v>608</v>
      </c>
      <c r="F11202" t="s">
        <v>410</v>
      </c>
      <c r="G11202">
        <v>234</v>
      </c>
      <c r="H11202">
        <v>234</v>
      </c>
      <c r="I11202">
        <v>232</v>
      </c>
      <c r="J11202">
        <v>232</v>
      </c>
      <c r="K11202">
        <v>0</v>
      </c>
      <c r="L11202">
        <v>0</v>
      </c>
      <c r="M11202">
        <v>223</v>
      </c>
      <c r="N11202">
        <v>11</v>
      </c>
      <c r="O11202">
        <v>0</v>
      </c>
      <c r="P11202">
        <v>0</v>
      </c>
      <c r="Q11202">
        <v>0</v>
      </c>
    </row>
    <row r="11203" spans="1:17" x14ac:dyDescent="0.2">
      <c r="A11203" s="121">
        <v>42916</v>
      </c>
      <c r="B11203" t="s">
        <v>406</v>
      </c>
      <c r="C11203" t="s">
        <v>577</v>
      </c>
      <c r="D11203" t="s">
        <v>592</v>
      </c>
      <c r="E11203" t="s">
        <v>593</v>
      </c>
      <c r="F11203" t="s">
        <v>410</v>
      </c>
      <c r="G11203">
        <v>410</v>
      </c>
      <c r="H11203">
        <v>410</v>
      </c>
      <c r="I11203">
        <v>410</v>
      </c>
      <c r="J11203">
        <v>410</v>
      </c>
      <c r="K11203">
        <v>0</v>
      </c>
      <c r="L11203">
        <v>0</v>
      </c>
      <c r="M11203">
        <v>398</v>
      </c>
      <c r="N11203">
        <v>12</v>
      </c>
      <c r="O11203">
        <v>0</v>
      </c>
      <c r="P11203">
        <v>0</v>
      </c>
      <c r="Q11203">
        <v>0</v>
      </c>
    </row>
    <row r="11204" spans="1:17" x14ac:dyDescent="0.2">
      <c r="A11204" s="121">
        <v>42916</v>
      </c>
      <c r="B11204" t="s">
        <v>406</v>
      </c>
      <c r="C11204" t="s">
        <v>594</v>
      </c>
      <c r="D11204" t="s">
        <v>595</v>
      </c>
      <c r="E11204" t="s">
        <v>596</v>
      </c>
      <c r="F11204" t="s">
        <v>410</v>
      </c>
      <c r="G11204">
        <v>54</v>
      </c>
      <c r="I11204">
        <v>54</v>
      </c>
    </row>
    <row r="11205" spans="1:17" x14ac:dyDescent="0.2">
      <c r="A11205" s="121">
        <v>42916</v>
      </c>
      <c r="B11205" t="s">
        <v>406</v>
      </c>
      <c r="C11205" t="s">
        <v>594</v>
      </c>
      <c r="D11205" t="s">
        <v>597</v>
      </c>
      <c r="E11205" t="s">
        <v>598</v>
      </c>
      <c r="F11205" t="s">
        <v>413</v>
      </c>
      <c r="G11205">
        <v>556</v>
      </c>
      <c r="H11205">
        <v>556</v>
      </c>
      <c r="I11205">
        <v>554</v>
      </c>
      <c r="J11205">
        <v>554</v>
      </c>
      <c r="K11205">
        <v>129</v>
      </c>
      <c r="L11205">
        <v>0</v>
      </c>
      <c r="M11205">
        <v>409</v>
      </c>
      <c r="N11205">
        <v>8</v>
      </c>
      <c r="O11205">
        <v>10</v>
      </c>
      <c r="P11205">
        <v>0</v>
      </c>
      <c r="Q11205">
        <v>0</v>
      </c>
    </row>
    <row r="11206" spans="1:17" x14ac:dyDescent="0.2">
      <c r="A11206" s="121">
        <v>42916</v>
      </c>
      <c r="B11206" t="s">
        <v>406</v>
      </c>
      <c r="C11206" t="s">
        <v>594</v>
      </c>
      <c r="D11206" t="s">
        <v>599</v>
      </c>
      <c r="E11206" t="s">
        <v>600</v>
      </c>
      <c r="F11206" t="s">
        <v>410</v>
      </c>
      <c r="G11206">
        <v>149</v>
      </c>
      <c r="H11206">
        <v>149</v>
      </c>
      <c r="I11206">
        <v>148</v>
      </c>
      <c r="J11206">
        <v>148</v>
      </c>
      <c r="K11206">
        <v>21</v>
      </c>
      <c r="L11206">
        <v>0</v>
      </c>
      <c r="M11206">
        <v>126</v>
      </c>
      <c r="N11206">
        <v>1</v>
      </c>
      <c r="O11206">
        <v>1</v>
      </c>
      <c r="P11206">
        <v>0</v>
      </c>
      <c r="Q11206">
        <v>0</v>
      </c>
    </row>
    <row r="11207" spans="1:17" x14ac:dyDescent="0.2">
      <c r="A11207" s="121">
        <v>42947</v>
      </c>
      <c r="B11207" t="s">
        <v>406</v>
      </c>
      <c r="C11207" t="s">
        <v>407</v>
      </c>
      <c r="D11207" t="s">
        <v>408</v>
      </c>
      <c r="E11207" t="s">
        <v>409</v>
      </c>
      <c r="F11207" t="s">
        <v>410</v>
      </c>
      <c r="G11207">
        <v>268</v>
      </c>
      <c r="I11207">
        <v>267</v>
      </c>
    </row>
    <row r="11208" spans="1:17" x14ac:dyDescent="0.2">
      <c r="A11208" s="121">
        <v>42947</v>
      </c>
      <c r="B11208" t="s">
        <v>406</v>
      </c>
      <c r="C11208" t="s">
        <v>407</v>
      </c>
      <c r="D11208" t="s">
        <v>601</v>
      </c>
      <c r="E11208" t="s">
        <v>602</v>
      </c>
      <c r="F11208" t="s">
        <v>410</v>
      </c>
      <c r="G11208">
        <v>84</v>
      </c>
      <c r="I11208">
        <v>84</v>
      </c>
    </row>
    <row r="11209" spans="1:17" x14ac:dyDescent="0.2">
      <c r="A11209" s="121">
        <v>42947</v>
      </c>
      <c r="B11209" t="s">
        <v>406</v>
      </c>
      <c r="C11209" t="s">
        <v>407</v>
      </c>
      <c r="D11209" t="s">
        <v>411</v>
      </c>
      <c r="E11209" t="s">
        <v>412</v>
      </c>
      <c r="F11209" t="s">
        <v>413</v>
      </c>
      <c r="G11209">
        <v>5769</v>
      </c>
      <c r="H11209">
        <v>5769</v>
      </c>
      <c r="I11209">
        <v>5583</v>
      </c>
      <c r="J11209">
        <v>5583</v>
      </c>
      <c r="K11209">
        <v>1869</v>
      </c>
      <c r="L11209">
        <v>8</v>
      </c>
      <c r="M11209">
        <v>3609</v>
      </c>
      <c r="N11209">
        <v>43</v>
      </c>
      <c r="O11209">
        <v>240</v>
      </c>
      <c r="P11209">
        <v>19</v>
      </c>
      <c r="Q11209">
        <v>0</v>
      </c>
    </row>
    <row r="11210" spans="1:17" x14ac:dyDescent="0.2">
      <c r="A11210" s="121">
        <v>42947</v>
      </c>
      <c r="B11210" t="s">
        <v>406</v>
      </c>
      <c r="C11210" t="s">
        <v>407</v>
      </c>
      <c r="D11210" t="s">
        <v>416</v>
      </c>
      <c r="E11210" t="s">
        <v>417</v>
      </c>
      <c r="F11210" t="s">
        <v>413</v>
      </c>
      <c r="G11210">
        <v>3235</v>
      </c>
      <c r="H11210">
        <v>3235</v>
      </c>
      <c r="I11210">
        <v>3106</v>
      </c>
      <c r="J11210">
        <v>3106</v>
      </c>
      <c r="K11210">
        <v>896</v>
      </c>
      <c r="L11210">
        <v>7</v>
      </c>
      <c r="M11210">
        <v>2137</v>
      </c>
      <c r="N11210">
        <v>74</v>
      </c>
      <c r="O11210">
        <v>121</v>
      </c>
      <c r="P11210">
        <v>27</v>
      </c>
      <c r="Q11210">
        <v>8</v>
      </c>
    </row>
    <row r="11211" spans="1:17" x14ac:dyDescent="0.2">
      <c r="A11211" s="121">
        <v>42947</v>
      </c>
      <c r="B11211" t="s">
        <v>406</v>
      </c>
      <c r="C11211" t="s">
        <v>407</v>
      </c>
      <c r="D11211" t="s">
        <v>618</v>
      </c>
      <c r="E11211" t="s">
        <v>619</v>
      </c>
      <c r="F11211" t="s">
        <v>410</v>
      </c>
      <c r="G11211">
        <v>101</v>
      </c>
      <c r="I11211">
        <v>101</v>
      </c>
    </row>
    <row r="11212" spans="1:17" x14ac:dyDescent="0.2">
      <c r="A11212" s="121">
        <v>42947</v>
      </c>
      <c r="B11212" t="s">
        <v>406</v>
      </c>
      <c r="C11212" t="s">
        <v>418</v>
      </c>
      <c r="D11212" t="s">
        <v>419</v>
      </c>
      <c r="E11212" t="s">
        <v>420</v>
      </c>
      <c r="F11212" t="s">
        <v>410</v>
      </c>
      <c r="G11212">
        <v>6</v>
      </c>
      <c r="I11212">
        <v>6</v>
      </c>
    </row>
    <row r="11213" spans="1:17" x14ac:dyDescent="0.2">
      <c r="A11213" s="121">
        <v>42947</v>
      </c>
      <c r="B11213" t="s">
        <v>406</v>
      </c>
      <c r="C11213" t="s">
        <v>418</v>
      </c>
      <c r="D11213" t="s">
        <v>421</v>
      </c>
      <c r="E11213" t="s">
        <v>422</v>
      </c>
      <c r="F11213" t="s">
        <v>410</v>
      </c>
      <c r="G11213">
        <v>75</v>
      </c>
      <c r="I11213">
        <v>75</v>
      </c>
    </row>
    <row r="11214" spans="1:17" x14ac:dyDescent="0.2">
      <c r="A11214" s="121">
        <v>42947</v>
      </c>
      <c r="B11214" t="s">
        <v>406</v>
      </c>
      <c r="C11214" t="s">
        <v>418</v>
      </c>
      <c r="D11214" t="s">
        <v>423</v>
      </c>
      <c r="E11214" t="s">
        <v>424</v>
      </c>
      <c r="F11214" t="s">
        <v>410</v>
      </c>
      <c r="G11214">
        <v>7</v>
      </c>
      <c r="I11214">
        <v>7</v>
      </c>
    </row>
    <row r="11215" spans="1:17" x14ac:dyDescent="0.2">
      <c r="A11215" s="121">
        <v>42947</v>
      </c>
      <c r="B11215" t="s">
        <v>406</v>
      </c>
      <c r="C11215" t="s">
        <v>418</v>
      </c>
      <c r="D11215" t="s">
        <v>425</v>
      </c>
      <c r="E11215" t="s">
        <v>426</v>
      </c>
      <c r="F11215" t="s">
        <v>410</v>
      </c>
      <c r="G11215">
        <v>51</v>
      </c>
      <c r="I11215">
        <v>51</v>
      </c>
    </row>
    <row r="11216" spans="1:17" x14ac:dyDescent="0.2">
      <c r="A11216" s="121">
        <v>42947</v>
      </c>
      <c r="B11216" t="s">
        <v>406</v>
      </c>
      <c r="C11216" t="s">
        <v>418</v>
      </c>
      <c r="D11216" t="s">
        <v>427</v>
      </c>
      <c r="E11216" t="s">
        <v>428</v>
      </c>
      <c r="F11216" t="s">
        <v>413</v>
      </c>
      <c r="G11216">
        <v>2514</v>
      </c>
      <c r="H11216">
        <v>2514</v>
      </c>
      <c r="I11216">
        <v>2408</v>
      </c>
      <c r="J11216">
        <v>2408</v>
      </c>
      <c r="K11216">
        <v>796</v>
      </c>
      <c r="L11216">
        <v>3</v>
      </c>
      <c r="M11216">
        <v>1552</v>
      </c>
      <c r="N11216">
        <v>150</v>
      </c>
      <c r="O11216">
        <v>13</v>
      </c>
      <c r="P11216">
        <v>3</v>
      </c>
      <c r="Q11216">
        <v>0</v>
      </c>
    </row>
    <row r="11217" spans="1:17" x14ac:dyDescent="0.2">
      <c r="A11217" s="121">
        <v>42947</v>
      </c>
      <c r="B11217" t="s">
        <v>406</v>
      </c>
      <c r="C11217" t="s">
        <v>429</v>
      </c>
      <c r="D11217" t="s">
        <v>430</v>
      </c>
      <c r="E11217" t="s">
        <v>431</v>
      </c>
      <c r="F11217" t="s">
        <v>410</v>
      </c>
      <c r="G11217">
        <v>38</v>
      </c>
      <c r="I11217">
        <v>38</v>
      </c>
    </row>
    <row r="11218" spans="1:17" x14ac:dyDescent="0.2">
      <c r="A11218" s="121">
        <v>42947</v>
      </c>
      <c r="B11218" t="s">
        <v>406</v>
      </c>
      <c r="C11218" t="s">
        <v>429</v>
      </c>
      <c r="D11218" t="s">
        <v>432</v>
      </c>
      <c r="E11218" t="s">
        <v>433</v>
      </c>
      <c r="F11218" t="s">
        <v>410</v>
      </c>
      <c r="G11218">
        <v>41</v>
      </c>
      <c r="I11218">
        <v>41</v>
      </c>
    </row>
    <row r="11219" spans="1:17" x14ac:dyDescent="0.2">
      <c r="A11219" s="121">
        <v>42947</v>
      </c>
      <c r="B11219" t="s">
        <v>406</v>
      </c>
      <c r="C11219" t="s">
        <v>429</v>
      </c>
      <c r="D11219" t="s">
        <v>434</v>
      </c>
      <c r="E11219" t="s">
        <v>435</v>
      </c>
      <c r="F11219" t="s">
        <v>410</v>
      </c>
      <c r="G11219">
        <v>3</v>
      </c>
      <c r="I11219">
        <v>3</v>
      </c>
    </row>
    <row r="11220" spans="1:17" x14ac:dyDescent="0.2">
      <c r="A11220" s="121">
        <v>42947</v>
      </c>
      <c r="B11220" t="s">
        <v>406</v>
      </c>
      <c r="C11220" t="s">
        <v>429</v>
      </c>
      <c r="D11220" t="s">
        <v>436</v>
      </c>
      <c r="E11220" t="s">
        <v>437</v>
      </c>
      <c r="F11220" t="s">
        <v>410</v>
      </c>
      <c r="G11220">
        <v>9</v>
      </c>
      <c r="H11220">
        <v>9</v>
      </c>
      <c r="I11220">
        <v>9</v>
      </c>
      <c r="J11220">
        <v>9</v>
      </c>
      <c r="K11220">
        <v>0</v>
      </c>
      <c r="L11220">
        <v>0</v>
      </c>
      <c r="M11220">
        <v>8</v>
      </c>
      <c r="N11220">
        <v>1</v>
      </c>
      <c r="O11220">
        <v>0</v>
      </c>
      <c r="P11220">
        <v>0</v>
      </c>
      <c r="Q11220">
        <v>0</v>
      </c>
    </row>
    <row r="11221" spans="1:17" x14ac:dyDescent="0.2">
      <c r="A11221" s="121">
        <v>42947</v>
      </c>
      <c r="B11221" t="s">
        <v>406</v>
      </c>
      <c r="C11221" t="s">
        <v>429</v>
      </c>
      <c r="D11221" t="s">
        <v>438</v>
      </c>
      <c r="E11221" t="s">
        <v>439</v>
      </c>
      <c r="F11221" t="s">
        <v>413</v>
      </c>
      <c r="G11221">
        <v>1101</v>
      </c>
      <c r="H11221">
        <v>1101</v>
      </c>
      <c r="I11221">
        <v>1033</v>
      </c>
      <c r="J11221">
        <v>1033</v>
      </c>
      <c r="K11221">
        <v>61</v>
      </c>
      <c r="L11221">
        <v>0</v>
      </c>
      <c r="M11221">
        <v>915</v>
      </c>
      <c r="N11221">
        <v>94</v>
      </c>
      <c r="O11221">
        <v>31</v>
      </c>
      <c r="P11221">
        <v>1</v>
      </c>
      <c r="Q11221">
        <v>0</v>
      </c>
    </row>
    <row r="11222" spans="1:17" x14ac:dyDescent="0.2">
      <c r="A11222" s="121">
        <v>42947</v>
      </c>
      <c r="B11222" t="s">
        <v>406</v>
      </c>
      <c r="C11222" t="s">
        <v>429</v>
      </c>
      <c r="D11222" t="s">
        <v>440</v>
      </c>
      <c r="E11222" t="s">
        <v>441</v>
      </c>
      <c r="F11222" t="s">
        <v>413</v>
      </c>
      <c r="G11222">
        <v>3296</v>
      </c>
      <c r="H11222">
        <v>3296</v>
      </c>
      <c r="I11222">
        <v>3129</v>
      </c>
      <c r="J11222">
        <v>3129</v>
      </c>
      <c r="K11222">
        <v>1201</v>
      </c>
      <c r="L11222">
        <v>3</v>
      </c>
      <c r="M11222">
        <v>1973</v>
      </c>
      <c r="N11222">
        <v>68</v>
      </c>
      <c r="O11222">
        <v>51</v>
      </c>
      <c r="P11222">
        <v>4</v>
      </c>
      <c r="Q11222">
        <v>0</v>
      </c>
    </row>
    <row r="11223" spans="1:17" x14ac:dyDescent="0.2">
      <c r="A11223" s="121">
        <v>42947</v>
      </c>
      <c r="B11223" t="s">
        <v>406</v>
      </c>
      <c r="C11223" t="s">
        <v>442</v>
      </c>
      <c r="D11223" t="s">
        <v>443</v>
      </c>
      <c r="E11223" t="s">
        <v>444</v>
      </c>
      <c r="F11223" t="s">
        <v>413</v>
      </c>
      <c r="G11223">
        <v>5493</v>
      </c>
      <c r="H11223">
        <v>5493</v>
      </c>
      <c r="I11223">
        <v>5210</v>
      </c>
      <c r="J11223">
        <v>5210</v>
      </c>
      <c r="K11223">
        <v>1542</v>
      </c>
      <c r="L11223">
        <v>19</v>
      </c>
      <c r="M11223">
        <v>3759</v>
      </c>
      <c r="N11223">
        <v>106</v>
      </c>
      <c r="O11223">
        <v>67</v>
      </c>
      <c r="P11223">
        <v>9</v>
      </c>
      <c r="Q11223">
        <v>0</v>
      </c>
    </row>
    <row r="11224" spans="1:17" x14ac:dyDescent="0.2">
      <c r="A11224" s="121">
        <v>42947</v>
      </c>
      <c r="B11224" t="s">
        <v>406</v>
      </c>
      <c r="C11224" t="s">
        <v>442</v>
      </c>
      <c r="D11224" t="s">
        <v>445</v>
      </c>
      <c r="E11224" t="s">
        <v>446</v>
      </c>
      <c r="F11224" t="s">
        <v>410</v>
      </c>
      <c r="G11224">
        <v>130</v>
      </c>
      <c r="H11224">
        <v>130</v>
      </c>
      <c r="I11224">
        <v>130</v>
      </c>
      <c r="J11224">
        <v>130</v>
      </c>
      <c r="K11224">
        <v>2</v>
      </c>
      <c r="L11224">
        <v>0</v>
      </c>
      <c r="M11224">
        <v>123</v>
      </c>
      <c r="N11224">
        <v>2</v>
      </c>
      <c r="O11224">
        <v>3</v>
      </c>
      <c r="P11224">
        <v>0</v>
      </c>
      <c r="Q11224">
        <v>0</v>
      </c>
    </row>
    <row r="11225" spans="1:17" x14ac:dyDescent="0.2">
      <c r="A11225" s="121">
        <v>42947</v>
      </c>
      <c r="B11225" t="s">
        <v>406</v>
      </c>
      <c r="C11225" t="s">
        <v>442</v>
      </c>
      <c r="D11225" t="s">
        <v>447</v>
      </c>
      <c r="E11225" t="s">
        <v>448</v>
      </c>
      <c r="F11225" t="s">
        <v>410</v>
      </c>
      <c r="G11225">
        <v>296</v>
      </c>
      <c r="H11225">
        <v>296</v>
      </c>
      <c r="I11225">
        <v>295</v>
      </c>
      <c r="J11225">
        <v>295</v>
      </c>
      <c r="K11225">
        <v>1</v>
      </c>
      <c r="L11225">
        <v>0</v>
      </c>
      <c r="M11225">
        <v>287</v>
      </c>
      <c r="N11225">
        <v>8</v>
      </c>
      <c r="O11225">
        <v>0</v>
      </c>
      <c r="P11225">
        <v>0</v>
      </c>
      <c r="Q11225">
        <v>0</v>
      </c>
    </row>
    <row r="11226" spans="1:17" x14ac:dyDescent="0.2">
      <c r="A11226" s="121">
        <v>42947</v>
      </c>
      <c r="B11226" t="s">
        <v>406</v>
      </c>
      <c r="C11226" t="s">
        <v>442</v>
      </c>
      <c r="D11226" t="s">
        <v>449</v>
      </c>
      <c r="E11226" t="s">
        <v>624</v>
      </c>
      <c r="F11226" t="s">
        <v>410</v>
      </c>
      <c r="G11226">
        <v>1749</v>
      </c>
      <c r="H11226">
        <v>1749</v>
      </c>
      <c r="I11226">
        <v>1746</v>
      </c>
      <c r="J11226">
        <v>1746</v>
      </c>
      <c r="K11226">
        <v>20</v>
      </c>
      <c r="L11226">
        <v>0</v>
      </c>
      <c r="M11226">
        <v>1551</v>
      </c>
      <c r="N11226">
        <v>165</v>
      </c>
      <c r="O11226">
        <v>13</v>
      </c>
      <c r="P11226">
        <v>0</v>
      </c>
      <c r="Q11226">
        <v>0</v>
      </c>
    </row>
    <row r="11227" spans="1:17" x14ac:dyDescent="0.2">
      <c r="A11227" s="121">
        <v>42947</v>
      </c>
      <c r="B11227" t="s">
        <v>406</v>
      </c>
      <c r="C11227" t="s">
        <v>451</v>
      </c>
      <c r="D11227" t="s">
        <v>454</v>
      </c>
      <c r="E11227" t="s">
        <v>621</v>
      </c>
      <c r="F11227" t="s">
        <v>410</v>
      </c>
      <c r="G11227">
        <v>1442</v>
      </c>
      <c r="H11227">
        <v>1442</v>
      </c>
      <c r="I11227">
        <v>1442</v>
      </c>
      <c r="J11227">
        <v>1442</v>
      </c>
      <c r="K11227">
        <v>3</v>
      </c>
      <c r="L11227">
        <v>0</v>
      </c>
      <c r="M11227">
        <v>1059</v>
      </c>
      <c r="N11227">
        <v>100</v>
      </c>
      <c r="O11227">
        <v>280</v>
      </c>
      <c r="P11227">
        <v>0</v>
      </c>
      <c r="Q11227">
        <v>0</v>
      </c>
    </row>
    <row r="11228" spans="1:17" x14ac:dyDescent="0.2">
      <c r="A11228" s="121">
        <v>42947</v>
      </c>
      <c r="B11228" t="s">
        <v>406</v>
      </c>
      <c r="C11228" t="s">
        <v>451</v>
      </c>
      <c r="D11228" t="s">
        <v>622</v>
      </c>
      <c r="E11228" t="s">
        <v>623</v>
      </c>
      <c r="F11228" t="s">
        <v>413</v>
      </c>
      <c r="G11228">
        <v>5562</v>
      </c>
      <c r="H11228">
        <v>5562</v>
      </c>
      <c r="I11228">
        <v>5089</v>
      </c>
      <c r="J11228">
        <v>5089</v>
      </c>
      <c r="K11228">
        <v>1585</v>
      </c>
      <c r="L11228">
        <v>6</v>
      </c>
      <c r="M11228">
        <v>3121</v>
      </c>
      <c r="N11228">
        <v>111</v>
      </c>
      <c r="O11228">
        <v>739</v>
      </c>
      <c r="P11228">
        <v>6</v>
      </c>
      <c r="Q11228">
        <v>0</v>
      </c>
    </row>
    <row r="11229" spans="1:17" x14ac:dyDescent="0.2">
      <c r="A11229" s="121">
        <v>42947</v>
      </c>
      <c r="B11229" t="s">
        <v>406</v>
      </c>
      <c r="C11229" t="s">
        <v>456</v>
      </c>
      <c r="D11229" t="s">
        <v>457</v>
      </c>
      <c r="E11229" t="s">
        <v>458</v>
      </c>
      <c r="F11229" t="s">
        <v>413</v>
      </c>
      <c r="G11229">
        <v>4884</v>
      </c>
      <c r="H11229">
        <v>4884</v>
      </c>
      <c r="I11229">
        <v>4503</v>
      </c>
      <c r="J11229">
        <v>4503</v>
      </c>
      <c r="K11229">
        <v>1310</v>
      </c>
      <c r="L11229">
        <v>9</v>
      </c>
      <c r="M11229">
        <v>3081</v>
      </c>
      <c r="N11229">
        <v>17</v>
      </c>
      <c r="O11229">
        <v>467</v>
      </c>
      <c r="P11229">
        <v>9</v>
      </c>
      <c r="Q11229">
        <v>0</v>
      </c>
    </row>
    <row r="11230" spans="1:17" x14ac:dyDescent="0.2">
      <c r="A11230" s="121">
        <v>42947</v>
      </c>
      <c r="B11230" t="s">
        <v>406</v>
      </c>
      <c r="C11230" t="s">
        <v>456</v>
      </c>
      <c r="D11230" t="s">
        <v>459</v>
      </c>
      <c r="E11230" t="s">
        <v>460</v>
      </c>
      <c r="F11230" t="s">
        <v>413</v>
      </c>
      <c r="G11230">
        <v>1146</v>
      </c>
      <c r="H11230">
        <v>1146</v>
      </c>
      <c r="I11230">
        <v>1133</v>
      </c>
      <c r="J11230">
        <v>1133</v>
      </c>
      <c r="K11230">
        <v>123</v>
      </c>
      <c r="L11230">
        <v>0</v>
      </c>
      <c r="M11230">
        <v>975</v>
      </c>
      <c r="N11230">
        <v>0</v>
      </c>
      <c r="O11230">
        <v>48</v>
      </c>
      <c r="P11230">
        <v>0</v>
      </c>
      <c r="Q11230">
        <v>0</v>
      </c>
    </row>
    <row r="11231" spans="1:17" x14ac:dyDescent="0.2">
      <c r="A11231" s="121">
        <v>42947</v>
      </c>
      <c r="B11231" t="s">
        <v>406</v>
      </c>
      <c r="C11231" t="s">
        <v>456</v>
      </c>
      <c r="D11231" t="s">
        <v>461</v>
      </c>
      <c r="E11231" t="s">
        <v>462</v>
      </c>
      <c r="F11231" t="s">
        <v>410</v>
      </c>
      <c r="G11231">
        <v>99</v>
      </c>
      <c r="I11231">
        <v>99</v>
      </c>
    </row>
    <row r="11232" spans="1:17" x14ac:dyDescent="0.2">
      <c r="A11232" s="121">
        <v>42947</v>
      </c>
      <c r="B11232" t="s">
        <v>406</v>
      </c>
      <c r="C11232" t="s">
        <v>456</v>
      </c>
      <c r="D11232" t="s">
        <v>463</v>
      </c>
      <c r="E11232" t="s">
        <v>464</v>
      </c>
      <c r="F11232" t="s">
        <v>410</v>
      </c>
      <c r="G11232">
        <v>13</v>
      </c>
      <c r="I11232">
        <v>13</v>
      </c>
    </row>
    <row r="11233" spans="1:17" x14ac:dyDescent="0.2">
      <c r="A11233" s="121">
        <v>42947</v>
      </c>
      <c r="B11233" t="s">
        <v>406</v>
      </c>
      <c r="C11233" t="s">
        <v>456</v>
      </c>
      <c r="D11233" t="s">
        <v>465</v>
      </c>
      <c r="E11233" t="s">
        <v>466</v>
      </c>
      <c r="F11233" t="s">
        <v>410</v>
      </c>
      <c r="G11233">
        <v>25</v>
      </c>
      <c r="I11233">
        <v>25</v>
      </c>
    </row>
    <row r="11234" spans="1:17" x14ac:dyDescent="0.2">
      <c r="A11234" s="121">
        <v>42947</v>
      </c>
      <c r="B11234" t="s">
        <v>406</v>
      </c>
      <c r="C11234" t="s">
        <v>456</v>
      </c>
      <c r="D11234" t="s">
        <v>467</v>
      </c>
      <c r="E11234" t="s">
        <v>468</v>
      </c>
      <c r="F11234" t="s">
        <v>410</v>
      </c>
      <c r="G11234">
        <v>1397</v>
      </c>
      <c r="I11234">
        <v>1395</v>
      </c>
    </row>
    <row r="11235" spans="1:17" x14ac:dyDescent="0.2">
      <c r="A11235" s="121">
        <v>42947</v>
      </c>
      <c r="B11235" t="s">
        <v>406</v>
      </c>
      <c r="C11235" t="s">
        <v>456</v>
      </c>
      <c r="D11235" t="s">
        <v>469</v>
      </c>
      <c r="E11235" t="s">
        <v>470</v>
      </c>
      <c r="F11235" t="s">
        <v>410</v>
      </c>
      <c r="G11235">
        <v>707</v>
      </c>
      <c r="I11235">
        <v>701</v>
      </c>
    </row>
    <row r="11236" spans="1:17" x14ac:dyDescent="0.2">
      <c r="A11236" s="121">
        <v>42947</v>
      </c>
      <c r="B11236" t="s">
        <v>406</v>
      </c>
      <c r="C11236" t="s">
        <v>456</v>
      </c>
      <c r="D11236" t="s">
        <v>471</v>
      </c>
      <c r="E11236" t="s">
        <v>472</v>
      </c>
      <c r="F11236" t="s">
        <v>410</v>
      </c>
      <c r="G11236">
        <v>298</v>
      </c>
      <c r="I11236">
        <v>297</v>
      </c>
    </row>
    <row r="11237" spans="1:17" x14ac:dyDescent="0.2">
      <c r="A11237" s="121">
        <v>42947</v>
      </c>
      <c r="B11237" t="s">
        <v>406</v>
      </c>
      <c r="C11237" t="s">
        <v>456</v>
      </c>
      <c r="D11237" t="s">
        <v>473</v>
      </c>
      <c r="E11237" t="s">
        <v>474</v>
      </c>
      <c r="F11237" t="s">
        <v>410</v>
      </c>
      <c r="G11237">
        <v>156</v>
      </c>
      <c r="I11237">
        <v>156</v>
      </c>
    </row>
    <row r="11238" spans="1:17" x14ac:dyDescent="0.2">
      <c r="A11238" s="121">
        <v>42947</v>
      </c>
      <c r="B11238" t="s">
        <v>406</v>
      </c>
      <c r="C11238" t="s">
        <v>456</v>
      </c>
      <c r="D11238" t="s">
        <v>475</v>
      </c>
      <c r="E11238" t="s">
        <v>476</v>
      </c>
      <c r="F11238" t="s">
        <v>410</v>
      </c>
      <c r="G11238">
        <v>280</v>
      </c>
      <c r="I11238">
        <v>274</v>
      </c>
    </row>
    <row r="11239" spans="1:17" x14ac:dyDescent="0.2">
      <c r="A11239" s="121">
        <v>42947</v>
      </c>
      <c r="B11239" t="s">
        <v>406</v>
      </c>
      <c r="C11239" t="s">
        <v>456</v>
      </c>
      <c r="D11239" t="s">
        <v>477</v>
      </c>
      <c r="E11239" t="s">
        <v>478</v>
      </c>
      <c r="F11239" t="s">
        <v>413</v>
      </c>
      <c r="G11239">
        <v>2205</v>
      </c>
      <c r="H11239">
        <v>2205</v>
      </c>
      <c r="I11239">
        <v>2168</v>
      </c>
      <c r="J11239">
        <v>2168</v>
      </c>
      <c r="K11239">
        <v>397</v>
      </c>
      <c r="L11239">
        <v>3</v>
      </c>
      <c r="M11239">
        <v>1750</v>
      </c>
      <c r="N11239">
        <v>14</v>
      </c>
      <c r="O11239">
        <v>41</v>
      </c>
      <c r="P11239">
        <v>0</v>
      </c>
      <c r="Q11239">
        <v>0</v>
      </c>
    </row>
    <row r="11240" spans="1:17" x14ac:dyDescent="0.2">
      <c r="A11240" s="121">
        <v>42947</v>
      </c>
      <c r="B11240" t="s">
        <v>406</v>
      </c>
      <c r="C11240" t="s">
        <v>456</v>
      </c>
      <c r="D11240" t="s">
        <v>479</v>
      </c>
      <c r="E11240" t="s">
        <v>480</v>
      </c>
      <c r="F11240" t="s">
        <v>410</v>
      </c>
      <c r="G11240">
        <v>67</v>
      </c>
      <c r="I11240">
        <v>67</v>
      </c>
    </row>
    <row r="11241" spans="1:17" x14ac:dyDescent="0.2">
      <c r="A11241" s="121">
        <v>42947</v>
      </c>
      <c r="B11241" t="s">
        <v>406</v>
      </c>
      <c r="C11241" t="s">
        <v>456</v>
      </c>
      <c r="D11241" t="s">
        <v>481</v>
      </c>
      <c r="E11241" t="s">
        <v>482</v>
      </c>
      <c r="F11241" t="s">
        <v>410</v>
      </c>
      <c r="G11241">
        <v>26</v>
      </c>
      <c r="I11241">
        <v>26</v>
      </c>
    </row>
    <row r="11242" spans="1:17" x14ac:dyDescent="0.2">
      <c r="A11242" s="121">
        <v>42947</v>
      </c>
      <c r="B11242" t="s">
        <v>406</v>
      </c>
      <c r="C11242" t="s">
        <v>456</v>
      </c>
      <c r="D11242" t="s">
        <v>483</v>
      </c>
      <c r="E11242" t="s">
        <v>484</v>
      </c>
      <c r="F11242" t="s">
        <v>410</v>
      </c>
      <c r="G11242">
        <v>93</v>
      </c>
      <c r="I11242">
        <v>93</v>
      </c>
    </row>
    <row r="11243" spans="1:17" x14ac:dyDescent="0.2">
      <c r="A11243" s="121">
        <v>42947</v>
      </c>
      <c r="B11243" t="s">
        <v>406</v>
      </c>
      <c r="C11243" t="s">
        <v>456</v>
      </c>
      <c r="D11243" t="s">
        <v>487</v>
      </c>
      <c r="E11243" t="s">
        <v>488</v>
      </c>
      <c r="F11243" t="s">
        <v>410</v>
      </c>
      <c r="G11243">
        <v>19</v>
      </c>
      <c r="I11243">
        <v>19</v>
      </c>
    </row>
    <row r="11244" spans="1:17" x14ac:dyDescent="0.2">
      <c r="A11244" s="121">
        <v>42947</v>
      </c>
      <c r="B11244" t="s">
        <v>406</v>
      </c>
      <c r="C11244" t="s">
        <v>456</v>
      </c>
      <c r="D11244" t="s">
        <v>489</v>
      </c>
      <c r="E11244" t="s">
        <v>490</v>
      </c>
      <c r="F11244" t="s">
        <v>410</v>
      </c>
      <c r="G11244">
        <v>93</v>
      </c>
      <c r="I11244">
        <v>93</v>
      </c>
    </row>
    <row r="11245" spans="1:17" x14ac:dyDescent="0.2">
      <c r="A11245" s="121">
        <v>42947</v>
      </c>
      <c r="B11245" t="s">
        <v>406</v>
      </c>
      <c r="C11245" t="s">
        <v>456</v>
      </c>
      <c r="D11245" t="s">
        <v>628</v>
      </c>
      <c r="E11245" t="s">
        <v>629</v>
      </c>
      <c r="F11245" t="s">
        <v>410</v>
      </c>
      <c r="G11245">
        <v>39</v>
      </c>
      <c r="I11245">
        <v>39</v>
      </c>
    </row>
    <row r="11246" spans="1:17" x14ac:dyDescent="0.2">
      <c r="A11246" s="121">
        <v>42947</v>
      </c>
      <c r="B11246" t="s">
        <v>406</v>
      </c>
      <c r="C11246" t="s">
        <v>491</v>
      </c>
      <c r="D11246" t="s">
        <v>492</v>
      </c>
      <c r="E11246" t="s">
        <v>493</v>
      </c>
      <c r="F11246" t="s">
        <v>410</v>
      </c>
      <c r="G11246">
        <v>1468</v>
      </c>
      <c r="H11246">
        <v>1468</v>
      </c>
      <c r="I11246">
        <v>1451</v>
      </c>
      <c r="J11246">
        <v>1451</v>
      </c>
      <c r="K11246">
        <v>216</v>
      </c>
      <c r="L11246">
        <v>0</v>
      </c>
      <c r="M11246">
        <v>1153</v>
      </c>
      <c r="N11246">
        <v>83</v>
      </c>
      <c r="O11246">
        <v>16</v>
      </c>
      <c r="P11246">
        <v>0</v>
      </c>
      <c r="Q11246">
        <v>0</v>
      </c>
    </row>
    <row r="11247" spans="1:17" x14ac:dyDescent="0.2">
      <c r="A11247" s="121">
        <v>42947</v>
      </c>
      <c r="B11247" t="s">
        <v>406</v>
      </c>
      <c r="C11247" t="s">
        <v>491</v>
      </c>
      <c r="D11247" t="s">
        <v>494</v>
      </c>
      <c r="E11247" t="s">
        <v>495</v>
      </c>
      <c r="F11247" t="s">
        <v>413</v>
      </c>
      <c r="G11247">
        <v>2784</v>
      </c>
      <c r="H11247">
        <v>2784</v>
      </c>
      <c r="I11247">
        <v>2600</v>
      </c>
      <c r="J11247">
        <v>2600</v>
      </c>
      <c r="K11247">
        <v>639</v>
      </c>
      <c r="L11247">
        <v>3</v>
      </c>
      <c r="M11247">
        <v>1891</v>
      </c>
      <c r="N11247">
        <v>44</v>
      </c>
      <c r="O11247">
        <v>207</v>
      </c>
      <c r="P11247">
        <v>7</v>
      </c>
      <c r="Q11247">
        <v>0</v>
      </c>
    </row>
    <row r="11248" spans="1:17" x14ac:dyDescent="0.2">
      <c r="A11248" s="121">
        <v>42947</v>
      </c>
      <c r="B11248" t="s">
        <v>406</v>
      </c>
      <c r="C11248" t="s">
        <v>491</v>
      </c>
      <c r="D11248" t="s">
        <v>496</v>
      </c>
      <c r="E11248" t="s">
        <v>497</v>
      </c>
      <c r="F11248" t="s">
        <v>413</v>
      </c>
      <c r="G11248">
        <v>5305</v>
      </c>
      <c r="H11248">
        <v>5305</v>
      </c>
      <c r="I11248">
        <v>4842</v>
      </c>
      <c r="J11248">
        <v>4842</v>
      </c>
      <c r="K11248">
        <v>1382</v>
      </c>
      <c r="L11248">
        <v>14</v>
      </c>
      <c r="M11248">
        <v>3702</v>
      </c>
      <c r="N11248">
        <v>109</v>
      </c>
      <c r="O11248">
        <v>98</v>
      </c>
      <c r="P11248">
        <v>17</v>
      </c>
      <c r="Q11248">
        <v>1</v>
      </c>
    </row>
    <row r="11249" spans="1:17" x14ac:dyDescent="0.2">
      <c r="A11249" s="121">
        <v>42947</v>
      </c>
      <c r="B11249" t="s">
        <v>406</v>
      </c>
      <c r="C11249" t="s">
        <v>491</v>
      </c>
      <c r="D11249" t="s">
        <v>498</v>
      </c>
      <c r="E11249" t="s">
        <v>499</v>
      </c>
      <c r="F11249" t="s">
        <v>413</v>
      </c>
      <c r="G11249">
        <v>7779</v>
      </c>
      <c r="H11249">
        <v>7779</v>
      </c>
      <c r="I11249">
        <v>7200</v>
      </c>
      <c r="J11249">
        <v>7200</v>
      </c>
      <c r="K11249">
        <v>2224</v>
      </c>
      <c r="L11249">
        <v>18</v>
      </c>
      <c r="M11249">
        <v>4957</v>
      </c>
      <c r="N11249">
        <v>178</v>
      </c>
      <c r="O11249">
        <v>402</v>
      </c>
      <c r="P11249">
        <v>12</v>
      </c>
      <c r="Q11249">
        <v>0</v>
      </c>
    </row>
    <row r="11250" spans="1:17" x14ac:dyDescent="0.2">
      <c r="A11250" s="121">
        <v>42947</v>
      </c>
      <c r="B11250" t="s">
        <v>406</v>
      </c>
      <c r="C11250" t="s">
        <v>491</v>
      </c>
      <c r="D11250" t="s">
        <v>500</v>
      </c>
      <c r="E11250" t="s">
        <v>620</v>
      </c>
      <c r="F11250" t="s">
        <v>410</v>
      </c>
      <c r="G11250">
        <v>1552</v>
      </c>
      <c r="H11250">
        <v>1552</v>
      </c>
      <c r="I11250">
        <v>1551</v>
      </c>
      <c r="J11250">
        <v>1551</v>
      </c>
      <c r="K11250">
        <v>1</v>
      </c>
      <c r="L11250">
        <v>1</v>
      </c>
      <c r="M11250">
        <v>1445</v>
      </c>
      <c r="N11250">
        <v>85</v>
      </c>
      <c r="O11250">
        <v>20</v>
      </c>
      <c r="P11250">
        <v>0</v>
      </c>
      <c r="Q11250">
        <v>0</v>
      </c>
    </row>
    <row r="11251" spans="1:17" x14ac:dyDescent="0.2">
      <c r="A11251" s="121">
        <v>42947</v>
      </c>
      <c r="B11251" t="s">
        <v>406</v>
      </c>
      <c r="C11251" t="s">
        <v>491</v>
      </c>
      <c r="D11251" t="s">
        <v>502</v>
      </c>
      <c r="E11251" t="s">
        <v>615</v>
      </c>
      <c r="F11251" t="s">
        <v>410</v>
      </c>
      <c r="G11251">
        <v>2747</v>
      </c>
      <c r="H11251">
        <v>2747</v>
      </c>
      <c r="I11251">
        <v>2747</v>
      </c>
      <c r="J11251">
        <v>2747</v>
      </c>
      <c r="K11251">
        <v>1</v>
      </c>
      <c r="L11251">
        <v>0</v>
      </c>
      <c r="M11251">
        <v>2481</v>
      </c>
      <c r="N11251">
        <v>222</v>
      </c>
      <c r="O11251">
        <v>43</v>
      </c>
      <c r="P11251">
        <v>0</v>
      </c>
      <c r="Q11251">
        <v>0</v>
      </c>
    </row>
    <row r="11252" spans="1:17" x14ac:dyDescent="0.2">
      <c r="A11252" s="121">
        <v>42947</v>
      </c>
      <c r="B11252" t="s">
        <v>406</v>
      </c>
      <c r="C11252" t="s">
        <v>491</v>
      </c>
      <c r="D11252" t="s">
        <v>504</v>
      </c>
      <c r="E11252" t="s">
        <v>630</v>
      </c>
      <c r="F11252" t="s">
        <v>413</v>
      </c>
      <c r="G11252">
        <v>8689</v>
      </c>
      <c r="H11252">
        <v>8689</v>
      </c>
      <c r="I11252">
        <v>8013</v>
      </c>
      <c r="J11252">
        <v>8013</v>
      </c>
      <c r="K11252">
        <v>2634</v>
      </c>
      <c r="L11252">
        <v>23</v>
      </c>
      <c r="M11252">
        <v>5709</v>
      </c>
      <c r="N11252">
        <v>68</v>
      </c>
      <c r="O11252">
        <v>255</v>
      </c>
      <c r="P11252">
        <v>6</v>
      </c>
      <c r="Q11252">
        <v>0</v>
      </c>
    </row>
    <row r="11253" spans="1:17" x14ac:dyDescent="0.2">
      <c r="A11253" s="121">
        <v>42947</v>
      </c>
      <c r="B11253" t="s">
        <v>406</v>
      </c>
      <c r="C11253" t="s">
        <v>491</v>
      </c>
      <c r="D11253" t="s">
        <v>506</v>
      </c>
      <c r="E11253" t="s">
        <v>507</v>
      </c>
      <c r="F11253" t="s">
        <v>413</v>
      </c>
      <c r="G11253">
        <v>4137</v>
      </c>
      <c r="H11253">
        <v>4137</v>
      </c>
      <c r="I11253">
        <v>4123</v>
      </c>
      <c r="J11253">
        <v>4123</v>
      </c>
      <c r="K11253">
        <v>652</v>
      </c>
      <c r="L11253">
        <v>1</v>
      </c>
      <c r="M11253">
        <v>3477</v>
      </c>
      <c r="N11253">
        <v>3</v>
      </c>
      <c r="O11253">
        <v>4</v>
      </c>
      <c r="P11253">
        <v>0</v>
      </c>
      <c r="Q11253">
        <v>0</v>
      </c>
    </row>
    <row r="11254" spans="1:17" x14ac:dyDescent="0.2">
      <c r="A11254" s="121">
        <v>42947</v>
      </c>
      <c r="B11254" t="s">
        <v>406</v>
      </c>
      <c r="C11254" t="s">
        <v>510</v>
      </c>
      <c r="D11254" t="s">
        <v>513</v>
      </c>
      <c r="E11254" t="s">
        <v>514</v>
      </c>
      <c r="F11254" t="s">
        <v>410</v>
      </c>
      <c r="G11254">
        <v>743</v>
      </c>
      <c r="I11254">
        <v>743</v>
      </c>
    </row>
    <row r="11255" spans="1:17" x14ac:dyDescent="0.2">
      <c r="A11255" s="121">
        <v>42947</v>
      </c>
      <c r="B11255" t="s">
        <v>406</v>
      </c>
      <c r="C11255" t="s">
        <v>510</v>
      </c>
      <c r="D11255" t="s">
        <v>515</v>
      </c>
      <c r="E11255" t="s">
        <v>516</v>
      </c>
      <c r="F11255" t="s">
        <v>410</v>
      </c>
      <c r="G11255">
        <v>110</v>
      </c>
      <c r="I11255">
        <v>110</v>
      </c>
    </row>
    <row r="11256" spans="1:17" x14ac:dyDescent="0.2">
      <c r="A11256" s="121">
        <v>42947</v>
      </c>
      <c r="B11256" t="s">
        <v>406</v>
      </c>
      <c r="C11256" t="s">
        <v>510</v>
      </c>
      <c r="D11256" t="s">
        <v>519</v>
      </c>
      <c r="E11256" t="s">
        <v>520</v>
      </c>
      <c r="F11256" t="s">
        <v>410</v>
      </c>
      <c r="G11256">
        <v>424</v>
      </c>
      <c r="I11256">
        <v>422</v>
      </c>
    </row>
    <row r="11257" spans="1:17" x14ac:dyDescent="0.2">
      <c r="A11257" s="121">
        <v>42947</v>
      </c>
      <c r="B11257" t="s">
        <v>406</v>
      </c>
      <c r="C11257" t="s">
        <v>510</v>
      </c>
      <c r="D11257" t="s">
        <v>523</v>
      </c>
      <c r="E11257" t="s">
        <v>524</v>
      </c>
      <c r="F11257" t="s">
        <v>413</v>
      </c>
      <c r="G11257">
        <v>742</v>
      </c>
      <c r="H11257">
        <v>742</v>
      </c>
      <c r="I11257">
        <v>729</v>
      </c>
      <c r="J11257">
        <v>729</v>
      </c>
      <c r="K11257">
        <v>161</v>
      </c>
      <c r="L11257">
        <v>3</v>
      </c>
      <c r="M11257">
        <v>564</v>
      </c>
      <c r="N11257">
        <v>14</v>
      </c>
      <c r="O11257">
        <v>0</v>
      </c>
      <c r="P11257">
        <v>1</v>
      </c>
      <c r="Q11257">
        <v>1</v>
      </c>
    </row>
    <row r="11258" spans="1:17" x14ac:dyDescent="0.2">
      <c r="A11258" s="121">
        <v>42947</v>
      </c>
      <c r="B11258" t="s">
        <v>406</v>
      </c>
      <c r="C11258" t="s">
        <v>510</v>
      </c>
      <c r="D11258" t="s">
        <v>525</v>
      </c>
      <c r="E11258" t="s">
        <v>526</v>
      </c>
      <c r="F11258" t="s">
        <v>410</v>
      </c>
      <c r="G11258">
        <v>494</v>
      </c>
      <c r="I11258">
        <v>489</v>
      </c>
    </row>
    <row r="11259" spans="1:17" x14ac:dyDescent="0.2">
      <c r="A11259" s="121">
        <v>42947</v>
      </c>
      <c r="B11259" t="s">
        <v>406</v>
      </c>
      <c r="C11259" t="s">
        <v>510</v>
      </c>
      <c r="D11259" t="s">
        <v>527</v>
      </c>
      <c r="E11259" t="s">
        <v>528</v>
      </c>
      <c r="F11259" t="s">
        <v>410</v>
      </c>
      <c r="G11259">
        <v>245</v>
      </c>
      <c r="I11259">
        <v>245</v>
      </c>
    </row>
    <row r="11260" spans="1:17" x14ac:dyDescent="0.2">
      <c r="A11260" s="121">
        <v>42947</v>
      </c>
      <c r="B11260" t="s">
        <v>406</v>
      </c>
      <c r="C11260" t="s">
        <v>510</v>
      </c>
      <c r="D11260" t="s">
        <v>529</v>
      </c>
      <c r="E11260" t="s">
        <v>530</v>
      </c>
      <c r="F11260" t="s">
        <v>413</v>
      </c>
      <c r="G11260">
        <v>683</v>
      </c>
      <c r="H11260">
        <v>683</v>
      </c>
      <c r="I11260">
        <v>674</v>
      </c>
      <c r="J11260">
        <v>674</v>
      </c>
      <c r="K11260">
        <v>188</v>
      </c>
      <c r="L11260">
        <v>3</v>
      </c>
      <c r="M11260">
        <v>489</v>
      </c>
      <c r="N11260">
        <v>3</v>
      </c>
      <c r="O11260">
        <v>0</v>
      </c>
      <c r="P11260">
        <v>1</v>
      </c>
      <c r="Q11260">
        <v>0</v>
      </c>
    </row>
    <row r="11261" spans="1:17" x14ac:dyDescent="0.2">
      <c r="A11261" s="121">
        <v>42947</v>
      </c>
      <c r="B11261" t="s">
        <v>406</v>
      </c>
      <c r="C11261" t="s">
        <v>510</v>
      </c>
      <c r="D11261" t="s">
        <v>531</v>
      </c>
      <c r="E11261" t="s">
        <v>532</v>
      </c>
      <c r="F11261" t="s">
        <v>410</v>
      </c>
      <c r="G11261">
        <v>76</v>
      </c>
      <c r="I11261">
        <v>76</v>
      </c>
    </row>
    <row r="11262" spans="1:17" x14ac:dyDescent="0.2">
      <c r="A11262" s="121">
        <v>42947</v>
      </c>
      <c r="B11262" t="s">
        <v>406</v>
      </c>
      <c r="C11262" t="s">
        <v>510</v>
      </c>
      <c r="D11262" t="s">
        <v>533</v>
      </c>
      <c r="E11262" t="s">
        <v>534</v>
      </c>
      <c r="F11262" t="s">
        <v>413</v>
      </c>
      <c r="G11262">
        <v>3080</v>
      </c>
      <c r="H11262">
        <v>3080</v>
      </c>
      <c r="I11262">
        <v>2920</v>
      </c>
      <c r="J11262">
        <v>2920</v>
      </c>
      <c r="K11262">
        <v>694</v>
      </c>
      <c r="L11262">
        <v>4</v>
      </c>
      <c r="M11262">
        <v>2374</v>
      </c>
      <c r="N11262">
        <v>8</v>
      </c>
      <c r="O11262">
        <v>0</v>
      </c>
      <c r="P11262">
        <v>6</v>
      </c>
      <c r="Q11262">
        <v>0</v>
      </c>
    </row>
    <row r="11263" spans="1:17" x14ac:dyDescent="0.2">
      <c r="A11263" s="121">
        <v>42947</v>
      </c>
      <c r="B11263" t="s">
        <v>406</v>
      </c>
      <c r="C11263" t="s">
        <v>510</v>
      </c>
      <c r="D11263" t="s">
        <v>535</v>
      </c>
      <c r="E11263" t="s">
        <v>536</v>
      </c>
      <c r="F11263" t="s">
        <v>410</v>
      </c>
      <c r="G11263">
        <v>430</v>
      </c>
      <c r="I11263">
        <v>430</v>
      </c>
    </row>
    <row r="11264" spans="1:17" x14ac:dyDescent="0.2">
      <c r="A11264" s="121">
        <v>42947</v>
      </c>
      <c r="B11264" t="s">
        <v>406</v>
      </c>
      <c r="C11264" t="s">
        <v>510</v>
      </c>
      <c r="D11264" t="s">
        <v>537</v>
      </c>
      <c r="E11264" t="s">
        <v>538</v>
      </c>
      <c r="F11264" t="s">
        <v>410</v>
      </c>
      <c r="G11264">
        <v>89</v>
      </c>
      <c r="I11264">
        <v>89</v>
      </c>
    </row>
    <row r="11265" spans="1:17" x14ac:dyDescent="0.2">
      <c r="A11265" s="121">
        <v>42947</v>
      </c>
      <c r="B11265" t="s">
        <v>406</v>
      </c>
      <c r="C11265" t="s">
        <v>510</v>
      </c>
      <c r="D11265" t="s">
        <v>539</v>
      </c>
      <c r="E11265" t="s">
        <v>540</v>
      </c>
      <c r="F11265" t="s">
        <v>413</v>
      </c>
      <c r="G11265">
        <v>943</v>
      </c>
      <c r="H11265">
        <v>943</v>
      </c>
      <c r="I11265">
        <v>912</v>
      </c>
      <c r="J11265">
        <v>912</v>
      </c>
      <c r="K11265">
        <v>144</v>
      </c>
      <c r="L11265">
        <v>2</v>
      </c>
      <c r="M11265">
        <v>789</v>
      </c>
      <c r="N11265">
        <v>8</v>
      </c>
      <c r="O11265">
        <v>0</v>
      </c>
      <c r="P11265">
        <v>2</v>
      </c>
      <c r="Q11265">
        <v>0</v>
      </c>
    </row>
    <row r="11266" spans="1:17" x14ac:dyDescent="0.2">
      <c r="A11266" s="121">
        <v>42947</v>
      </c>
      <c r="B11266" t="s">
        <v>406</v>
      </c>
      <c r="C11266" t="s">
        <v>510</v>
      </c>
      <c r="D11266" t="s">
        <v>541</v>
      </c>
      <c r="E11266" t="s">
        <v>542</v>
      </c>
      <c r="F11266" t="s">
        <v>410</v>
      </c>
      <c r="G11266">
        <v>472</v>
      </c>
      <c r="I11266">
        <v>472</v>
      </c>
    </row>
    <row r="11267" spans="1:17" x14ac:dyDescent="0.2">
      <c r="A11267" s="121">
        <v>42947</v>
      </c>
      <c r="B11267" t="s">
        <v>406</v>
      </c>
      <c r="C11267" t="s">
        <v>510</v>
      </c>
      <c r="D11267" t="s">
        <v>543</v>
      </c>
      <c r="E11267" t="s">
        <v>544</v>
      </c>
      <c r="F11267" t="s">
        <v>410</v>
      </c>
      <c r="G11267">
        <v>293</v>
      </c>
      <c r="I11267">
        <v>293</v>
      </c>
    </row>
    <row r="11268" spans="1:17" x14ac:dyDescent="0.2">
      <c r="A11268" s="121">
        <v>42947</v>
      </c>
      <c r="B11268" t="s">
        <v>406</v>
      </c>
      <c r="C11268" t="s">
        <v>510</v>
      </c>
      <c r="D11268" t="s">
        <v>545</v>
      </c>
      <c r="E11268" t="s">
        <v>546</v>
      </c>
      <c r="F11268" t="s">
        <v>410</v>
      </c>
      <c r="G11268">
        <v>80</v>
      </c>
      <c r="I11268">
        <v>80</v>
      </c>
    </row>
    <row r="11269" spans="1:17" x14ac:dyDescent="0.2">
      <c r="A11269" s="121">
        <v>42947</v>
      </c>
      <c r="B11269" t="s">
        <v>406</v>
      </c>
      <c r="C11269" t="s">
        <v>510</v>
      </c>
      <c r="D11269" t="s">
        <v>547</v>
      </c>
      <c r="E11269" t="s">
        <v>548</v>
      </c>
      <c r="F11269" t="s">
        <v>410</v>
      </c>
      <c r="G11269">
        <v>167</v>
      </c>
      <c r="I11269">
        <v>167</v>
      </c>
    </row>
    <row r="11270" spans="1:17" x14ac:dyDescent="0.2">
      <c r="A11270" s="121">
        <v>42947</v>
      </c>
      <c r="B11270" t="s">
        <v>406</v>
      </c>
      <c r="C11270" t="s">
        <v>510</v>
      </c>
      <c r="D11270" t="s">
        <v>616</v>
      </c>
      <c r="E11270" t="s">
        <v>617</v>
      </c>
      <c r="F11270" t="s">
        <v>410</v>
      </c>
      <c r="G11270">
        <v>384</v>
      </c>
      <c r="I11270">
        <v>380</v>
      </c>
    </row>
    <row r="11271" spans="1:17" x14ac:dyDescent="0.2">
      <c r="A11271" s="121">
        <v>42947</v>
      </c>
      <c r="B11271" t="s">
        <v>406</v>
      </c>
      <c r="C11271" t="s">
        <v>510</v>
      </c>
      <c r="D11271" t="s">
        <v>549</v>
      </c>
      <c r="E11271" t="s">
        <v>550</v>
      </c>
      <c r="F11271" t="s">
        <v>410</v>
      </c>
      <c r="G11271">
        <v>167</v>
      </c>
      <c r="I11271">
        <v>167</v>
      </c>
    </row>
    <row r="11272" spans="1:17" x14ac:dyDescent="0.2">
      <c r="A11272" s="121">
        <v>42947</v>
      </c>
      <c r="B11272" t="s">
        <v>406</v>
      </c>
      <c r="C11272" t="s">
        <v>510</v>
      </c>
      <c r="D11272" t="s">
        <v>625</v>
      </c>
      <c r="E11272" t="s">
        <v>626</v>
      </c>
      <c r="F11272" t="s">
        <v>410</v>
      </c>
      <c r="G11272">
        <v>150</v>
      </c>
      <c r="I11272">
        <v>149</v>
      </c>
    </row>
    <row r="11273" spans="1:17" x14ac:dyDescent="0.2">
      <c r="A11273" s="121">
        <v>42947</v>
      </c>
      <c r="B11273" t="s">
        <v>406</v>
      </c>
      <c r="C11273" t="s">
        <v>551</v>
      </c>
      <c r="D11273" t="s">
        <v>552</v>
      </c>
      <c r="E11273" t="s">
        <v>553</v>
      </c>
      <c r="F11273" t="s">
        <v>413</v>
      </c>
      <c r="G11273">
        <v>5616</v>
      </c>
      <c r="H11273">
        <v>5616</v>
      </c>
      <c r="I11273">
        <v>5443</v>
      </c>
      <c r="J11273">
        <v>5443</v>
      </c>
      <c r="K11273">
        <v>1765</v>
      </c>
      <c r="L11273">
        <v>6</v>
      </c>
      <c r="M11273">
        <v>3703</v>
      </c>
      <c r="N11273">
        <v>96</v>
      </c>
      <c r="O11273">
        <v>46</v>
      </c>
      <c r="P11273">
        <v>6</v>
      </c>
      <c r="Q11273">
        <v>0</v>
      </c>
    </row>
    <row r="11274" spans="1:17" x14ac:dyDescent="0.2">
      <c r="A11274" s="121">
        <v>42947</v>
      </c>
      <c r="B11274" t="s">
        <v>406</v>
      </c>
      <c r="C11274" t="s">
        <v>551</v>
      </c>
      <c r="D11274" t="s">
        <v>554</v>
      </c>
      <c r="E11274" t="s">
        <v>555</v>
      </c>
      <c r="F11274" t="s">
        <v>410</v>
      </c>
      <c r="G11274">
        <v>68</v>
      </c>
      <c r="I11274">
        <v>68</v>
      </c>
    </row>
    <row r="11275" spans="1:17" x14ac:dyDescent="0.2">
      <c r="A11275" s="121">
        <v>42947</v>
      </c>
      <c r="B11275" t="s">
        <v>406</v>
      </c>
      <c r="C11275" t="s">
        <v>551</v>
      </c>
      <c r="D11275" t="s">
        <v>556</v>
      </c>
      <c r="E11275" t="s">
        <v>557</v>
      </c>
      <c r="F11275" t="s">
        <v>410</v>
      </c>
      <c r="G11275">
        <v>75</v>
      </c>
      <c r="I11275">
        <v>75</v>
      </c>
    </row>
    <row r="11276" spans="1:17" x14ac:dyDescent="0.2">
      <c r="A11276" s="121">
        <v>42947</v>
      </c>
      <c r="B11276" t="s">
        <v>406</v>
      </c>
      <c r="C11276" t="s">
        <v>551</v>
      </c>
      <c r="D11276" t="s">
        <v>558</v>
      </c>
      <c r="E11276" t="s">
        <v>559</v>
      </c>
      <c r="F11276" t="s">
        <v>413</v>
      </c>
      <c r="G11276">
        <v>5466</v>
      </c>
      <c r="H11276">
        <v>5466</v>
      </c>
      <c r="I11276">
        <v>5116</v>
      </c>
      <c r="J11276">
        <v>5116</v>
      </c>
      <c r="K11276">
        <v>1632</v>
      </c>
      <c r="L11276">
        <v>10</v>
      </c>
      <c r="M11276">
        <v>3732</v>
      </c>
      <c r="N11276">
        <v>69</v>
      </c>
      <c r="O11276">
        <v>23</v>
      </c>
      <c r="P11276">
        <v>25</v>
      </c>
      <c r="Q11276">
        <v>4</v>
      </c>
    </row>
    <row r="11277" spans="1:17" x14ac:dyDescent="0.2">
      <c r="A11277" s="121">
        <v>42947</v>
      </c>
      <c r="B11277" t="s">
        <v>406</v>
      </c>
      <c r="C11277" t="s">
        <v>551</v>
      </c>
      <c r="D11277" t="s">
        <v>560</v>
      </c>
      <c r="E11277" t="s">
        <v>561</v>
      </c>
      <c r="F11277" t="s">
        <v>413</v>
      </c>
      <c r="G11277">
        <v>5773</v>
      </c>
      <c r="H11277">
        <v>5773</v>
      </c>
      <c r="I11277">
        <v>5519</v>
      </c>
      <c r="J11277">
        <v>5519</v>
      </c>
      <c r="K11277">
        <v>1566</v>
      </c>
      <c r="L11277">
        <v>9</v>
      </c>
      <c r="M11277">
        <v>4054</v>
      </c>
      <c r="N11277">
        <v>78</v>
      </c>
      <c r="O11277">
        <v>66</v>
      </c>
      <c r="P11277">
        <v>12</v>
      </c>
      <c r="Q11277">
        <v>0</v>
      </c>
    </row>
    <row r="11278" spans="1:17" x14ac:dyDescent="0.2">
      <c r="A11278" s="121">
        <v>42947</v>
      </c>
      <c r="B11278" t="s">
        <v>406</v>
      </c>
      <c r="C11278" t="s">
        <v>562</v>
      </c>
      <c r="D11278" t="s">
        <v>605</v>
      </c>
      <c r="E11278" t="s">
        <v>606</v>
      </c>
      <c r="F11278" t="s">
        <v>410</v>
      </c>
      <c r="G11278">
        <v>183</v>
      </c>
      <c r="I11278">
        <v>183</v>
      </c>
    </row>
    <row r="11279" spans="1:17" x14ac:dyDescent="0.2">
      <c r="A11279" s="121">
        <v>42947</v>
      </c>
      <c r="B11279" t="s">
        <v>406</v>
      </c>
      <c r="C11279" t="s">
        <v>562</v>
      </c>
      <c r="D11279" t="s">
        <v>563</v>
      </c>
      <c r="E11279" t="s">
        <v>564</v>
      </c>
      <c r="F11279" t="s">
        <v>410</v>
      </c>
      <c r="G11279">
        <v>3919</v>
      </c>
      <c r="H11279">
        <v>3919</v>
      </c>
      <c r="I11279">
        <v>3665</v>
      </c>
      <c r="J11279">
        <v>3665</v>
      </c>
      <c r="K11279">
        <v>1206</v>
      </c>
      <c r="L11279">
        <v>0</v>
      </c>
      <c r="M11279">
        <v>2684</v>
      </c>
      <c r="N11279">
        <v>29</v>
      </c>
      <c r="O11279">
        <v>0</v>
      </c>
      <c r="P11279">
        <v>30</v>
      </c>
      <c r="Q11279">
        <v>7</v>
      </c>
    </row>
    <row r="11280" spans="1:17" x14ac:dyDescent="0.2">
      <c r="A11280" s="121">
        <v>42947</v>
      </c>
      <c r="B11280" t="s">
        <v>406</v>
      </c>
      <c r="C11280" t="s">
        <v>562</v>
      </c>
      <c r="D11280" t="s">
        <v>565</v>
      </c>
      <c r="E11280" t="s">
        <v>566</v>
      </c>
      <c r="F11280" t="s">
        <v>413</v>
      </c>
      <c r="G11280">
        <v>4411</v>
      </c>
      <c r="H11280">
        <v>4411</v>
      </c>
      <c r="I11280">
        <v>4311</v>
      </c>
      <c r="J11280">
        <v>4311</v>
      </c>
      <c r="K11280">
        <v>889</v>
      </c>
      <c r="L11280">
        <v>11</v>
      </c>
      <c r="M11280">
        <v>3422</v>
      </c>
      <c r="N11280">
        <v>89</v>
      </c>
      <c r="O11280">
        <v>0</v>
      </c>
      <c r="P11280">
        <v>6</v>
      </c>
      <c r="Q11280">
        <v>0</v>
      </c>
    </row>
    <row r="11281" spans="1:17" x14ac:dyDescent="0.2">
      <c r="A11281" s="121">
        <v>42947</v>
      </c>
      <c r="B11281" t="s">
        <v>406</v>
      </c>
      <c r="C11281" t="s">
        <v>562</v>
      </c>
      <c r="D11281" t="s">
        <v>567</v>
      </c>
      <c r="E11281" t="s">
        <v>568</v>
      </c>
      <c r="F11281" t="s">
        <v>413</v>
      </c>
      <c r="G11281">
        <v>10069</v>
      </c>
      <c r="H11281">
        <v>10069</v>
      </c>
      <c r="I11281">
        <v>9598</v>
      </c>
      <c r="J11281">
        <v>9598</v>
      </c>
      <c r="K11281">
        <v>2870</v>
      </c>
      <c r="L11281">
        <v>17</v>
      </c>
      <c r="M11281">
        <v>7044</v>
      </c>
      <c r="N11281">
        <v>138</v>
      </c>
      <c r="O11281">
        <v>0</v>
      </c>
      <c r="P11281">
        <v>67</v>
      </c>
      <c r="Q11281">
        <v>6</v>
      </c>
    </row>
    <row r="11282" spans="1:17" x14ac:dyDescent="0.2">
      <c r="A11282" s="121">
        <v>42947</v>
      </c>
      <c r="B11282" t="s">
        <v>406</v>
      </c>
      <c r="C11282" t="s">
        <v>562</v>
      </c>
      <c r="D11282" t="s">
        <v>569</v>
      </c>
      <c r="E11282" t="s">
        <v>570</v>
      </c>
      <c r="F11282" t="s">
        <v>413</v>
      </c>
      <c r="G11282">
        <v>3311</v>
      </c>
      <c r="H11282">
        <v>3311</v>
      </c>
      <c r="I11282">
        <v>3278</v>
      </c>
      <c r="J11282">
        <v>3278</v>
      </c>
      <c r="K11282">
        <v>417</v>
      </c>
      <c r="L11282">
        <v>0</v>
      </c>
      <c r="M11282">
        <v>2724</v>
      </c>
      <c r="N11282">
        <v>170</v>
      </c>
      <c r="O11282">
        <v>0</v>
      </c>
      <c r="P11282">
        <v>1</v>
      </c>
      <c r="Q11282">
        <v>0</v>
      </c>
    </row>
    <row r="11283" spans="1:17" x14ac:dyDescent="0.2">
      <c r="A11283" s="121">
        <v>42947</v>
      </c>
      <c r="B11283" t="s">
        <v>406</v>
      </c>
      <c r="C11283" t="s">
        <v>571</v>
      </c>
      <c r="D11283" t="s">
        <v>572</v>
      </c>
      <c r="E11283" t="s">
        <v>627</v>
      </c>
      <c r="F11283" t="s">
        <v>413</v>
      </c>
      <c r="G11283">
        <v>519</v>
      </c>
      <c r="H11283">
        <v>519</v>
      </c>
      <c r="I11283">
        <v>493</v>
      </c>
      <c r="J11283">
        <v>493</v>
      </c>
      <c r="K11283">
        <v>112</v>
      </c>
      <c r="L11283">
        <v>1</v>
      </c>
      <c r="M11283">
        <v>401</v>
      </c>
      <c r="N11283">
        <v>4</v>
      </c>
      <c r="O11283">
        <v>1</v>
      </c>
      <c r="P11283">
        <v>0</v>
      </c>
      <c r="Q11283">
        <v>0</v>
      </c>
    </row>
    <row r="11284" spans="1:17" x14ac:dyDescent="0.2">
      <c r="A11284" s="121">
        <v>42947</v>
      </c>
      <c r="B11284" t="s">
        <v>406</v>
      </c>
      <c r="C11284" t="s">
        <v>574</v>
      </c>
      <c r="D11284" t="s">
        <v>575</v>
      </c>
      <c r="E11284" t="s">
        <v>576</v>
      </c>
      <c r="F11284" t="s">
        <v>413</v>
      </c>
      <c r="G11284">
        <v>682</v>
      </c>
      <c r="H11284">
        <v>682</v>
      </c>
      <c r="I11284">
        <v>662</v>
      </c>
      <c r="J11284">
        <v>662</v>
      </c>
      <c r="K11284">
        <v>177</v>
      </c>
      <c r="L11284">
        <v>0</v>
      </c>
      <c r="M11284">
        <v>496</v>
      </c>
      <c r="N11284">
        <v>2</v>
      </c>
      <c r="O11284">
        <v>7</v>
      </c>
      <c r="P11284">
        <v>0</v>
      </c>
      <c r="Q11284">
        <v>0</v>
      </c>
    </row>
    <row r="11285" spans="1:17" x14ac:dyDescent="0.2">
      <c r="A11285" s="121">
        <v>42947</v>
      </c>
      <c r="B11285" t="s">
        <v>406</v>
      </c>
      <c r="C11285" t="s">
        <v>577</v>
      </c>
      <c r="D11285" t="s">
        <v>578</v>
      </c>
      <c r="E11285" t="s">
        <v>579</v>
      </c>
      <c r="F11285" t="s">
        <v>413</v>
      </c>
      <c r="G11285">
        <v>4092</v>
      </c>
      <c r="H11285">
        <v>4092</v>
      </c>
      <c r="I11285">
        <v>3993</v>
      </c>
      <c r="J11285">
        <v>3993</v>
      </c>
      <c r="K11285">
        <v>1197</v>
      </c>
      <c r="L11285">
        <v>9</v>
      </c>
      <c r="M11285">
        <v>2602</v>
      </c>
      <c r="N11285">
        <v>240</v>
      </c>
      <c r="O11285">
        <v>44</v>
      </c>
      <c r="P11285">
        <v>1</v>
      </c>
      <c r="Q11285">
        <v>0</v>
      </c>
    </row>
    <row r="11286" spans="1:17" x14ac:dyDescent="0.2">
      <c r="A11286" s="121">
        <v>42947</v>
      </c>
      <c r="B11286" t="s">
        <v>406</v>
      </c>
      <c r="C11286" t="s">
        <v>577</v>
      </c>
      <c r="D11286" t="s">
        <v>580</v>
      </c>
      <c r="E11286" t="s">
        <v>581</v>
      </c>
      <c r="F11286" t="s">
        <v>413</v>
      </c>
      <c r="G11286">
        <v>2214</v>
      </c>
      <c r="H11286">
        <v>2214</v>
      </c>
      <c r="I11286">
        <v>2164</v>
      </c>
      <c r="J11286">
        <v>2164</v>
      </c>
      <c r="K11286">
        <v>403</v>
      </c>
      <c r="L11286">
        <v>0</v>
      </c>
      <c r="M11286">
        <v>1422</v>
      </c>
      <c r="N11286">
        <v>346</v>
      </c>
      <c r="O11286">
        <v>43</v>
      </c>
      <c r="P11286">
        <v>0</v>
      </c>
      <c r="Q11286">
        <v>0</v>
      </c>
    </row>
    <row r="11287" spans="1:17" x14ac:dyDescent="0.2">
      <c r="A11287" s="121">
        <v>42947</v>
      </c>
      <c r="B11287" t="s">
        <v>406</v>
      </c>
      <c r="C11287" t="s">
        <v>577</v>
      </c>
      <c r="D11287" t="s">
        <v>609</v>
      </c>
      <c r="E11287" t="s">
        <v>610</v>
      </c>
      <c r="F11287" t="s">
        <v>410</v>
      </c>
      <c r="G11287">
        <v>28</v>
      </c>
      <c r="H11287">
        <v>28</v>
      </c>
      <c r="I11287">
        <v>28</v>
      </c>
      <c r="J11287">
        <v>28</v>
      </c>
      <c r="K11287">
        <v>0</v>
      </c>
      <c r="L11287">
        <v>0</v>
      </c>
      <c r="M11287">
        <v>26</v>
      </c>
      <c r="N11287">
        <v>2</v>
      </c>
      <c r="O11287">
        <v>0</v>
      </c>
      <c r="P11287">
        <v>0</v>
      </c>
      <c r="Q11287">
        <v>0</v>
      </c>
    </row>
    <row r="11288" spans="1:17" x14ac:dyDescent="0.2">
      <c r="A11288" s="121">
        <v>42947</v>
      </c>
      <c r="B11288" t="s">
        <v>406</v>
      </c>
      <c r="C11288" t="s">
        <v>577</v>
      </c>
      <c r="D11288" t="s">
        <v>584</v>
      </c>
      <c r="E11288" t="s">
        <v>585</v>
      </c>
      <c r="F11288" t="s">
        <v>410</v>
      </c>
      <c r="G11288">
        <v>285</v>
      </c>
      <c r="H11288">
        <v>285</v>
      </c>
      <c r="I11288">
        <v>285</v>
      </c>
      <c r="J11288">
        <v>285</v>
      </c>
      <c r="K11288">
        <v>0</v>
      </c>
      <c r="L11288">
        <v>0</v>
      </c>
      <c r="M11288">
        <v>272</v>
      </c>
      <c r="N11288">
        <v>12</v>
      </c>
      <c r="O11288">
        <v>1</v>
      </c>
      <c r="P11288">
        <v>0</v>
      </c>
      <c r="Q11288">
        <v>0</v>
      </c>
    </row>
    <row r="11289" spans="1:17" x14ac:dyDescent="0.2">
      <c r="A11289" s="121">
        <v>42947</v>
      </c>
      <c r="B11289" t="s">
        <v>406</v>
      </c>
      <c r="C11289" t="s">
        <v>577</v>
      </c>
      <c r="D11289" t="s">
        <v>586</v>
      </c>
      <c r="E11289" t="s">
        <v>587</v>
      </c>
      <c r="F11289" t="s">
        <v>410</v>
      </c>
      <c r="G11289">
        <v>1391</v>
      </c>
      <c r="H11289">
        <v>1391</v>
      </c>
      <c r="I11289">
        <v>1389</v>
      </c>
      <c r="J11289">
        <v>1389</v>
      </c>
      <c r="K11289">
        <v>0</v>
      </c>
      <c r="L11289">
        <v>0</v>
      </c>
      <c r="M11289">
        <v>1280</v>
      </c>
      <c r="N11289">
        <v>109</v>
      </c>
      <c r="O11289">
        <v>2</v>
      </c>
      <c r="P11289">
        <v>0</v>
      </c>
      <c r="Q11289">
        <v>0</v>
      </c>
    </row>
    <row r="11290" spans="1:17" x14ac:dyDescent="0.2">
      <c r="A11290" s="121">
        <v>42947</v>
      </c>
      <c r="B11290" t="s">
        <v>406</v>
      </c>
      <c r="C11290" t="s">
        <v>577</v>
      </c>
      <c r="D11290" t="s">
        <v>588</v>
      </c>
      <c r="E11290" t="s">
        <v>589</v>
      </c>
      <c r="F11290" t="s">
        <v>410</v>
      </c>
      <c r="G11290">
        <v>205</v>
      </c>
      <c r="H11290">
        <v>205</v>
      </c>
      <c r="I11290">
        <v>205</v>
      </c>
      <c r="J11290">
        <v>205</v>
      </c>
      <c r="K11290">
        <v>0</v>
      </c>
      <c r="L11290">
        <v>0</v>
      </c>
      <c r="M11290">
        <v>197</v>
      </c>
      <c r="N11290">
        <v>8</v>
      </c>
      <c r="O11290">
        <v>0</v>
      </c>
      <c r="P11290">
        <v>0</v>
      </c>
      <c r="Q11290">
        <v>0</v>
      </c>
    </row>
    <row r="11291" spans="1:17" x14ac:dyDescent="0.2">
      <c r="A11291" s="121">
        <v>42947</v>
      </c>
      <c r="B11291" t="s">
        <v>406</v>
      </c>
      <c r="C11291" t="s">
        <v>577</v>
      </c>
      <c r="D11291" t="s">
        <v>613</v>
      </c>
      <c r="E11291" t="s">
        <v>614</v>
      </c>
      <c r="F11291" t="s">
        <v>410</v>
      </c>
      <c r="G11291">
        <v>59</v>
      </c>
      <c r="H11291">
        <v>59</v>
      </c>
      <c r="I11291">
        <v>59</v>
      </c>
      <c r="J11291">
        <v>59</v>
      </c>
      <c r="K11291">
        <v>0</v>
      </c>
      <c r="L11291">
        <v>0</v>
      </c>
      <c r="M11291">
        <v>56</v>
      </c>
      <c r="N11291">
        <v>3</v>
      </c>
      <c r="O11291">
        <v>0</v>
      </c>
      <c r="P11291">
        <v>0</v>
      </c>
      <c r="Q11291">
        <v>0</v>
      </c>
    </row>
    <row r="11292" spans="1:17" x14ac:dyDescent="0.2">
      <c r="A11292" s="121">
        <v>42947</v>
      </c>
      <c r="B11292" t="s">
        <v>406</v>
      </c>
      <c r="C11292" t="s">
        <v>577</v>
      </c>
      <c r="D11292" t="s">
        <v>590</v>
      </c>
      <c r="E11292" t="s">
        <v>591</v>
      </c>
      <c r="F11292" t="s">
        <v>410</v>
      </c>
      <c r="G11292">
        <v>562</v>
      </c>
      <c r="H11292">
        <v>562</v>
      </c>
      <c r="I11292">
        <v>562</v>
      </c>
      <c r="J11292">
        <v>562</v>
      </c>
      <c r="K11292">
        <v>0</v>
      </c>
      <c r="L11292">
        <v>0</v>
      </c>
      <c r="M11292">
        <v>538</v>
      </c>
      <c r="N11292">
        <v>24</v>
      </c>
      <c r="O11292">
        <v>0</v>
      </c>
      <c r="P11292">
        <v>0</v>
      </c>
      <c r="Q11292">
        <v>0</v>
      </c>
    </row>
    <row r="11293" spans="1:17" x14ac:dyDescent="0.2">
      <c r="A11293" s="121">
        <v>42947</v>
      </c>
      <c r="B11293" t="s">
        <v>406</v>
      </c>
      <c r="C11293" t="s">
        <v>577</v>
      </c>
      <c r="D11293" t="s">
        <v>607</v>
      </c>
      <c r="E11293" t="s">
        <v>608</v>
      </c>
      <c r="F11293" t="s">
        <v>410</v>
      </c>
      <c r="G11293">
        <v>274</v>
      </c>
      <c r="H11293">
        <v>274</v>
      </c>
      <c r="I11293">
        <v>274</v>
      </c>
      <c r="J11293">
        <v>274</v>
      </c>
      <c r="K11293">
        <v>0</v>
      </c>
      <c r="L11293">
        <v>0</v>
      </c>
      <c r="M11293">
        <v>255</v>
      </c>
      <c r="N11293">
        <v>19</v>
      </c>
      <c r="O11293">
        <v>0</v>
      </c>
      <c r="P11293">
        <v>0</v>
      </c>
      <c r="Q11293">
        <v>0</v>
      </c>
    </row>
    <row r="11294" spans="1:17" x14ac:dyDescent="0.2">
      <c r="A11294" s="121">
        <v>42947</v>
      </c>
      <c r="B11294" t="s">
        <v>406</v>
      </c>
      <c r="C11294" t="s">
        <v>577</v>
      </c>
      <c r="D11294" t="s">
        <v>592</v>
      </c>
      <c r="E11294" t="s">
        <v>593</v>
      </c>
      <c r="F11294" t="s">
        <v>410</v>
      </c>
      <c r="G11294">
        <v>413</v>
      </c>
      <c r="H11294">
        <v>413</v>
      </c>
      <c r="I11294">
        <v>413</v>
      </c>
      <c r="J11294">
        <v>413</v>
      </c>
      <c r="K11294">
        <v>0</v>
      </c>
      <c r="L11294">
        <v>2</v>
      </c>
      <c r="M11294">
        <v>395</v>
      </c>
      <c r="N11294">
        <v>14</v>
      </c>
      <c r="O11294">
        <v>2</v>
      </c>
      <c r="P11294">
        <v>0</v>
      </c>
      <c r="Q11294">
        <v>0</v>
      </c>
    </row>
    <row r="11295" spans="1:17" x14ac:dyDescent="0.2">
      <c r="A11295" s="121">
        <v>42947</v>
      </c>
      <c r="B11295" t="s">
        <v>406</v>
      </c>
      <c r="C11295" t="s">
        <v>594</v>
      </c>
      <c r="D11295" t="s">
        <v>595</v>
      </c>
      <c r="E11295" t="s">
        <v>596</v>
      </c>
      <c r="F11295" t="s">
        <v>410</v>
      </c>
      <c r="G11295">
        <v>95</v>
      </c>
      <c r="I11295">
        <v>95</v>
      </c>
    </row>
    <row r="11296" spans="1:17" x14ac:dyDescent="0.2">
      <c r="A11296" s="121">
        <v>42947</v>
      </c>
      <c r="B11296" t="s">
        <v>406</v>
      </c>
      <c r="C11296" t="s">
        <v>594</v>
      </c>
      <c r="D11296" t="s">
        <v>597</v>
      </c>
      <c r="E11296" t="s">
        <v>598</v>
      </c>
      <c r="F11296" t="s">
        <v>413</v>
      </c>
      <c r="G11296">
        <v>694</v>
      </c>
      <c r="H11296">
        <v>694</v>
      </c>
      <c r="I11296">
        <v>689</v>
      </c>
      <c r="J11296">
        <v>689</v>
      </c>
      <c r="K11296">
        <v>165</v>
      </c>
      <c r="L11296">
        <v>1</v>
      </c>
      <c r="M11296">
        <v>510</v>
      </c>
      <c r="N11296">
        <v>10</v>
      </c>
      <c r="O11296">
        <v>8</v>
      </c>
      <c r="P11296">
        <v>0</v>
      </c>
      <c r="Q11296">
        <v>0</v>
      </c>
    </row>
    <row r="11297" spans="1:17" x14ac:dyDescent="0.2">
      <c r="A11297" s="121">
        <v>42947</v>
      </c>
      <c r="B11297" t="s">
        <v>406</v>
      </c>
      <c r="C11297" t="s">
        <v>594</v>
      </c>
      <c r="D11297" t="s">
        <v>599</v>
      </c>
      <c r="E11297" t="s">
        <v>600</v>
      </c>
      <c r="F11297" t="s">
        <v>410</v>
      </c>
      <c r="G11297">
        <v>173</v>
      </c>
      <c r="H11297">
        <v>173</v>
      </c>
      <c r="I11297">
        <v>173</v>
      </c>
      <c r="J11297">
        <v>173</v>
      </c>
      <c r="K11297">
        <v>15</v>
      </c>
      <c r="L11297">
        <v>0</v>
      </c>
      <c r="M11297">
        <v>157</v>
      </c>
      <c r="N11297">
        <v>1</v>
      </c>
      <c r="O11297">
        <v>0</v>
      </c>
      <c r="P11297">
        <v>0</v>
      </c>
      <c r="Q11297">
        <v>0</v>
      </c>
    </row>
    <row r="11298" spans="1:17" x14ac:dyDescent="0.2">
      <c r="A11298" s="121">
        <v>42978</v>
      </c>
      <c r="B11298" t="s">
        <v>406</v>
      </c>
      <c r="C11298" t="s">
        <v>407</v>
      </c>
      <c r="D11298" t="s">
        <v>408</v>
      </c>
      <c r="E11298" t="s">
        <v>409</v>
      </c>
      <c r="F11298" t="s">
        <v>410</v>
      </c>
      <c r="G11298">
        <v>243</v>
      </c>
      <c r="I11298">
        <v>238</v>
      </c>
    </row>
    <row r="11299" spans="1:17" x14ac:dyDescent="0.2">
      <c r="A11299" s="121">
        <v>42978</v>
      </c>
      <c r="B11299" t="s">
        <v>406</v>
      </c>
      <c r="C11299" t="s">
        <v>407</v>
      </c>
      <c r="D11299" t="s">
        <v>601</v>
      </c>
      <c r="E11299" t="s">
        <v>602</v>
      </c>
      <c r="F11299" t="s">
        <v>410</v>
      </c>
      <c r="G11299">
        <v>71</v>
      </c>
      <c r="I11299">
        <v>71</v>
      </c>
    </row>
    <row r="11300" spans="1:17" x14ac:dyDescent="0.2">
      <c r="A11300" s="121">
        <v>42978</v>
      </c>
      <c r="B11300" t="s">
        <v>406</v>
      </c>
      <c r="C11300" t="s">
        <v>407</v>
      </c>
      <c r="D11300" t="s">
        <v>411</v>
      </c>
      <c r="E11300" t="s">
        <v>412</v>
      </c>
      <c r="F11300" t="s">
        <v>413</v>
      </c>
      <c r="G11300">
        <v>5784</v>
      </c>
      <c r="H11300">
        <v>5784</v>
      </c>
      <c r="I11300">
        <v>5417</v>
      </c>
      <c r="J11300">
        <v>5417</v>
      </c>
      <c r="K11300">
        <v>1884</v>
      </c>
      <c r="L11300">
        <v>9</v>
      </c>
      <c r="M11300">
        <v>3567</v>
      </c>
      <c r="N11300">
        <v>52</v>
      </c>
      <c r="O11300">
        <v>272</v>
      </c>
      <c r="P11300">
        <v>63</v>
      </c>
      <c r="Q11300">
        <v>10</v>
      </c>
    </row>
    <row r="11301" spans="1:17" x14ac:dyDescent="0.2">
      <c r="A11301" s="121">
        <v>42978</v>
      </c>
      <c r="B11301" t="s">
        <v>406</v>
      </c>
      <c r="C11301" t="s">
        <v>407</v>
      </c>
      <c r="D11301" t="s">
        <v>416</v>
      </c>
      <c r="E11301" t="s">
        <v>417</v>
      </c>
      <c r="F11301" t="s">
        <v>413</v>
      </c>
      <c r="G11301">
        <v>3153</v>
      </c>
      <c r="H11301">
        <v>3153</v>
      </c>
      <c r="I11301">
        <v>3030</v>
      </c>
      <c r="J11301">
        <v>3030</v>
      </c>
      <c r="K11301">
        <v>885</v>
      </c>
      <c r="L11301">
        <v>3</v>
      </c>
      <c r="M11301">
        <v>2097</v>
      </c>
      <c r="N11301">
        <v>97</v>
      </c>
      <c r="O11301">
        <v>71</v>
      </c>
      <c r="P11301">
        <v>7</v>
      </c>
      <c r="Q11301">
        <v>0</v>
      </c>
    </row>
    <row r="11302" spans="1:17" x14ac:dyDescent="0.2">
      <c r="A11302" s="121">
        <v>42978</v>
      </c>
      <c r="B11302" t="s">
        <v>406</v>
      </c>
      <c r="C11302" t="s">
        <v>407</v>
      </c>
      <c r="D11302" t="s">
        <v>618</v>
      </c>
      <c r="E11302" t="s">
        <v>619</v>
      </c>
      <c r="F11302" t="s">
        <v>410</v>
      </c>
      <c r="G11302">
        <v>99</v>
      </c>
      <c r="I11302">
        <v>99</v>
      </c>
    </row>
    <row r="11303" spans="1:17" x14ac:dyDescent="0.2">
      <c r="A11303" s="121">
        <v>42978</v>
      </c>
      <c r="B11303" t="s">
        <v>406</v>
      </c>
      <c r="C11303" t="s">
        <v>418</v>
      </c>
      <c r="D11303" t="s">
        <v>419</v>
      </c>
      <c r="E11303" t="s">
        <v>420</v>
      </c>
      <c r="F11303" t="s">
        <v>410</v>
      </c>
      <c r="G11303">
        <v>14</v>
      </c>
      <c r="I11303">
        <v>14</v>
      </c>
    </row>
    <row r="11304" spans="1:17" x14ac:dyDescent="0.2">
      <c r="A11304" s="121">
        <v>42978</v>
      </c>
      <c r="B11304" t="s">
        <v>406</v>
      </c>
      <c r="C11304" t="s">
        <v>418</v>
      </c>
      <c r="D11304" t="s">
        <v>421</v>
      </c>
      <c r="E11304" t="s">
        <v>422</v>
      </c>
      <c r="F11304" t="s">
        <v>410</v>
      </c>
      <c r="G11304">
        <v>86</v>
      </c>
      <c r="I11304">
        <v>86</v>
      </c>
    </row>
    <row r="11305" spans="1:17" x14ac:dyDescent="0.2">
      <c r="A11305" s="121">
        <v>42978</v>
      </c>
      <c r="B11305" t="s">
        <v>406</v>
      </c>
      <c r="C11305" t="s">
        <v>418</v>
      </c>
      <c r="D11305" t="s">
        <v>423</v>
      </c>
      <c r="E11305" t="s">
        <v>424</v>
      </c>
      <c r="F11305" t="s">
        <v>410</v>
      </c>
      <c r="G11305">
        <v>14</v>
      </c>
      <c r="I11305">
        <v>14</v>
      </c>
    </row>
    <row r="11306" spans="1:17" x14ac:dyDescent="0.2">
      <c r="A11306" s="121">
        <v>42978</v>
      </c>
      <c r="B11306" t="s">
        <v>406</v>
      </c>
      <c r="C11306" t="s">
        <v>418</v>
      </c>
      <c r="D11306" t="s">
        <v>425</v>
      </c>
      <c r="E11306" t="s">
        <v>426</v>
      </c>
      <c r="F11306" t="s">
        <v>410</v>
      </c>
      <c r="G11306">
        <v>58</v>
      </c>
      <c r="I11306">
        <v>58</v>
      </c>
    </row>
    <row r="11307" spans="1:17" x14ac:dyDescent="0.2">
      <c r="A11307" s="121">
        <v>42978</v>
      </c>
      <c r="B11307" t="s">
        <v>406</v>
      </c>
      <c r="C11307" t="s">
        <v>418</v>
      </c>
      <c r="D11307" t="s">
        <v>427</v>
      </c>
      <c r="E11307" t="s">
        <v>428</v>
      </c>
      <c r="F11307" t="s">
        <v>413</v>
      </c>
      <c r="G11307">
        <v>2571</v>
      </c>
      <c r="H11307">
        <v>2571</v>
      </c>
      <c r="I11307">
        <v>2483</v>
      </c>
      <c r="J11307">
        <v>2483</v>
      </c>
      <c r="K11307">
        <v>787</v>
      </c>
      <c r="L11307">
        <v>0</v>
      </c>
      <c r="M11307">
        <v>1566</v>
      </c>
      <c r="N11307">
        <v>203</v>
      </c>
      <c r="O11307">
        <v>15</v>
      </c>
      <c r="P11307">
        <v>1</v>
      </c>
      <c r="Q11307">
        <v>0</v>
      </c>
    </row>
    <row r="11308" spans="1:17" x14ac:dyDescent="0.2">
      <c r="A11308" s="121">
        <v>42978</v>
      </c>
      <c r="B11308" t="s">
        <v>406</v>
      </c>
      <c r="C11308" t="s">
        <v>429</v>
      </c>
      <c r="D11308" t="s">
        <v>430</v>
      </c>
      <c r="E11308" t="s">
        <v>431</v>
      </c>
      <c r="F11308" t="s">
        <v>410</v>
      </c>
      <c r="G11308">
        <v>35</v>
      </c>
      <c r="I11308">
        <v>35</v>
      </c>
    </row>
    <row r="11309" spans="1:17" x14ac:dyDescent="0.2">
      <c r="A11309" s="121">
        <v>42978</v>
      </c>
      <c r="B11309" t="s">
        <v>406</v>
      </c>
      <c r="C11309" t="s">
        <v>429</v>
      </c>
      <c r="D11309" t="s">
        <v>432</v>
      </c>
      <c r="E11309" t="s">
        <v>433</v>
      </c>
      <c r="F11309" t="s">
        <v>410</v>
      </c>
      <c r="G11309">
        <v>49</v>
      </c>
      <c r="I11309">
        <v>49</v>
      </c>
    </row>
    <row r="11310" spans="1:17" x14ac:dyDescent="0.2">
      <c r="A11310" s="121">
        <v>42978</v>
      </c>
      <c r="B11310" t="s">
        <v>406</v>
      </c>
      <c r="C11310" t="s">
        <v>429</v>
      </c>
      <c r="D11310" t="s">
        <v>434</v>
      </c>
      <c r="E11310" t="s">
        <v>435</v>
      </c>
      <c r="F11310" t="s">
        <v>410</v>
      </c>
      <c r="G11310">
        <v>2</v>
      </c>
      <c r="I11310">
        <v>2</v>
      </c>
    </row>
    <row r="11311" spans="1:17" x14ac:dyDescent="0.2">
      <c r="A11311" s="121">
        <v>42978</v>
      </c>
      <c r="B11311" t="s">
        <v>406</v>
      </c>
      <c r="C11311" t="s">
        <v>429</v>
      </c>
      <c r="D11311" t="s">
        <v>436</v>
      </c>
      <c r="E11311" t="s">
        <v>437</v>
      </c>
      <c r="F11311" t="s">
        <v>410</v>
      </c>
      <c r="G11311">
        <v>16</v>
      </c>
      <c r="H11311">
        <v>16</v>
      </c>
      <c r="I11311">
        <v>16</v>
      </c>
      <c r="J11311">
        <v>16</v>
      </c>
      <c r="K11311">
        <v>0</v>
      </c>
      <c r="L11311">
        <v>0</v>
      </c>
      <c r="M11311">
        <v>10</v>
      </c>
      <c r="N11311">
        <v>4</v>
      </c>
      <c r="O11311">
        <v>2</v>
      </c>
      <c r="P11311">
        <v>0</v>
      </c>
      <c r="Q11311">
        <v>0</v>
      </c>
    </row>
    <row r="11312" spans="1:17" x14ac:dyDescent="0.2">
      <c r="A11312" s="121">
        <v>42978</v>
      </c>
      <c r="B11312" t="s">
        <v>406</v>
      </c>
      <c r="C11312" t="s">
        <v>429</v>
      </c>
      <c r="D11312" t="s">
        <v>438</v>
      </c>
      <c r="E11312" t="s">
        <v>439</v>
      </c>
      <c r="F11312" t="s">
        <v>413</v>
      </c>
      <c r="G11312">
        <v>1087</v>
      </c>
      <c r="H11312">
        <v>1087</v>
      </c>
      <c r="I11312">
        <v>1031</v>
      </c>
      <c r="J11312">
        <v>1031</v>
      </c>
      <c r="K11312">
        <v>79</v>
      </c>
      <c r="L11312">
        <v>1</v>
      </c>
      <c r="M11312">
        <v>901</v>
      </c>
      <c r="N11312">
        <v>77</v>
      </c>
      <c r="O11312">
        <v>29</v>
      </c>
      <c r="P11312">
        <v>6</v>
      </c>
      <c r="Q11312">
        <v>1</v>
      </c>
    </row>
    <row r="11313" spans="1:17" x14ac:dyDescent="0.2">
      <c r="A11313" s="121">
        <v>42978</v>
      </c>
      <c r="B11313" t="s">
        <v>406</v>
      </c>
      <c r="C11313" t="s">
        <v>429</v>
      </c>
      <c r="D11313" t="s">
        <v>440</v>
      </c>
      <c r="E11313" t="s">
        <v>441</v>
      </c>
      <c r="F11313" t="s">
        <v>413</v>
      </c>
      <c r="G11313">
        <v>3172</v>
      </c>
      <c r="H11313">
        <v>3172</v>
      </c>
      <c r="I11313">
        <v>2961</v>
      </c>
      <c r="J11313">
        <v>2961</v>
      </c>
      <c r="K11313">
        <v>1137</v>
      </c>
      <c r="L11313">
        <v>2</v>
      </c>
      <c r="M11313">
        <v>1925</v>
      </c>
      <c r="N11313">
        <v>59</v>
      </c>
      <c r="O11313">
        <v>49</v>
      </c>
      <c r="P11313">
        <v>2</v>
      </c>
      <c r="Q11313">
        <v>0</v>
      </c>
    </row>
    <row r="11314" spans="1:17" x14ac:dyDescent="0.2">
      <c r="A11314" s="121">
        <v>42978</v>
      </c>
      <c r="B11314" t="s">
        <v>406</v>
      </c>
      <c r="C11314" t="s">
        <v>442</v>
      </c>
      <c r="D11314" t="s">
        <v>443</v>
      </c>
      <c r="E11314" t="s">
        <v>444</v>
      </c>
      <c r="F11314" t="s">
        <v>413</v>
      </c>
      <c r="G11314">
        <v>5562</v>
      </c>
      <c r="H11314">
        <v>5562</v>
      </c>
      <c r="I11314">
        <v>5308</v>
      </c>
      <c r="J11314">
        <v>5308</v>
      </c>
      <c r="K11314">
        <v>1610</v>
      </c>
      <c r="L11314">
        <v>6</v>
      </c>
      <c r="M11314">
        <v>3788</v>
      </c>
      <c r="N11314">
        <v>104</v>
      </c>
      <c r="O11314">
        <v>54</v>
      </c>
      <c r="P11314">
        <v>8</v>
      </c>
      <c r="Q11314">
        <v>0</v>
      </c>
    </row>
    <row r="11315" spans="1:17" x14ac:dyDescent="0.2">
      <c r="A11315" s="121">
        <v>42978</v>
      </c>
      <c r="B11315" t="s">
        <v>406</v>
      </c>
      <c r="C11315" t="s">
        <v>442</v>
      </c>
      <c r="D11315" t="s">
        <v>445</v>
      </c>
      <c r="E11315" t="s">
        <v>446</v>
      </c>
      <c r="F11315" t="s">
        <v>410</v>
      </c>
      <c r="G11315">
        <v>153</v>
      </c>
      <c r="H11315">
        <v>153</v>
      </c>
      <c r="I11315">
        <v>153</v>
      </c>
      <c r="J11315">
        <v>153</v>
      </c>
      <c r="K11315">
        <v>0</v>
      </c>
      <c r="L11315">
        <v>0</v>
      </c>
      <c r="M11315">
        <v>146</v>
      </c>
      <c r="N11315">
        <v>2</v>
      </c>
      <c r="O11315">
        <v>5</v>
      </c>
      <c r="P11315">
        <v>0</v>
      </c>
      <c r="Q11315">
        <v>0</v>
      </c>
    </row>
    <row r="11316" spans="1:17" x14ac:dyDescent="0.2">
      <c r="A11316" s="121">
        <v>42978</v>
      </c>
      <c r="B11316" t="s">
        <v>406</v>
      </c>
      <c r="C11316" t="s">
        <v>442</v>
      </c>
      <c r="D11316" t="s">
        <v>447</v>
      </c>
      <c r="E11316" t="s">
        <v>448</v>
      </c>
      <c r="F11316" t="s">
        <v>410</v>
      </c>
      <c r="G11316">
        <v>316</v>
      </c>
      <c r="H11316">
        <v>316</v>
      </c>
      <c r="I11316">
        <v>316</v>
      </c>
      <c r="J11316">
        <v>316</v>
      </c>
      <c r="K11316">
        <v>2</v>
      </c>
      <c r="L11316">
        <v>0</v>
      </c>
      <c r="M11316">
        <v>305</v>
      </c>
      <c r="N11316">
        <v>9</v>
      </c>
      <c r="O11316">
        <v>0</v>
      </c>
      <c r="P11316">
        <v>0</v>
      </c>
      <c r="Q11316">
        <v>0</v>
      </c>
    </row>
    <row r="11317" spans="1:17" x14ac:dyDescent="0.2">
      <c r="A11317" s="121">
        <v>42978</v>
      </c>
      <c r="B11317" t="s">
        <v>406</v>
      </c>
      <c r="C11317" t="s">
        <v>442</v>
      </c>
      <c r="D11317" t="s">
        <v>449</v>
      </c>
      <c r="E11317" t="s">
        <v>624</v>
      </c>
      <c r="F11317" t="s">
        <v>410</v>
      </c>
      <c r="G11317">
        <v>1906</v>
      </c>
      <c r="H11317">
        <v>1906</v>
      </c>
      <c r="I11317">
        <v>1903</v>
      </c>
      <c r="J11317">
        <v>1903</v>
      </c>
      <c r="K11317">
        <v>13</v>
      </c>
      <c r="L11317">
        <v>0</v>
      </c>
      <c r="M11317">
        <v>1722</v>
      </c>
      <c r="N11317">
        <v>142</v>
      </c>
      <c r="O11317">
        <v>29</v>
      </c>
      <c r="P11317">
        <v>0</v>
      </c>
      <c r="Q11317">
        <v>0</v>
      </c>
    </row>
    <row r="11318" spans="1:17" x14ac:dyDescent="0.2">
      <c r="A11318" s="121">
        <v>42978</v>
      </c>
      <c r="B11318" t="s">
        <v>406</v>
      </c>
      <c r="C11318" t="s">
        <v>451</v>
      </c>
      <c r="D11318" t="s">
        <v>454</v>
      </c>
      <c r="E11318" t="s">
        <v>621</v>
      </c>
      <c r="F11318" t="s">
        <v>410</v>
      </c>
      <c r="G11318">
        <v>1535</v>
      </c>
      <c r="H11318">
        <v>1535</v>
      </c>
      <c r="I11318">
        <v>1534</v>
      </c>
      <c r="J11318">
        <v>1534</v>
      </c>
      <c r="K11318">
        <v>2</v>
      </c>
      <c r="L11318">
        <v>0</v>
      </c>
      <c r="M11318">
        <v>1114</v>
      </c>
      <c r="N11318">
        <v>108</v>
      </c>
      <c r="O11318">
        <v>311</v>
      </c>
      <c r="P11318">
        <v>0</v>
      </c>
      <c r="Q11318">
        <v>0</v>
      </c>
    </row>
    <row r="11319" spans="1:17" x14ac:dyDescent="0.2">
      <c r="A11319" s="121">
        <v>42978</v>
      </c>
      <c r="B11319" t="s">
        <v>406</v>
      </c>
      <c r="C11319" t="s">
        <v>451</v>
      </c>
      <c r="D11319" t="s">
        <v>622</v>
      </c>
      <c r="E11319" t="s">
        <v>623</v>
      </c>
      <c r="F11319" t="s">
        <v>413</v>
      </c>
      <c r="G11319">
        <v>5536</v>
      </c>
      <c r="H11319">
        <v>5536</v>
      </c>
      <c r="I11319">
        <v>5079</v>
      </c>
      <c r="J11319">
        <v>5079</v>
      </c>
      <c r="K11319">
        <v>1466</v>
      </c>
      <c r="L11319">
        <v>4</v>
      </c>
      <c r="M11319">
        <v>3237</v>
      </c>
      <c r="N11319">
        <v>112</v>
      </c>
      <c r="O11319">
        <v>717</v>
      </c>
      <c r="P11319">
        <v>7</v>
      </c>
      <c r="Q11319">
        <v>0</v>
      </c>
    </row>
    <row r="11320" spans="1:17" x14ac:dyDescent="0.2">
      <c r="A11320" s="121">
        <v>42978</v>
      </c>
      <c r="B11320" t="s">
        <v>406</v>
      </c>
      <c r="C11320" t="s">
        <v>456</v>
      </c>
      <c r="D11320" t="s">
        <v>457</v>
      </c>
      <c r="E11320" t="s">
        <v>458</v>
      </c>
      <c r="F11320" t="s">
        <v>413</v>
      </c>
      <c r="G11320">
        <v>4977</v>
      </c>
      <c r="H11320">
        <v>4977</v>
      </c>
      <c r="I11320">
        <v>4541</v>
      </c>
      <c r="J11320">
        <v>4541</v>
      </c>
      <c r="K11320">
        <v>1223</v>
      </c>
      <c r="L11320">
        <v>10</v>
      </c>
      <c r="M11320">
        <v>3389</v>
      </c>
      <c r="N11320">
        <v>17</v>
      </c>
      <c r="O11320">
        <v>338</v>
      </c>
      <c r="P11320">
        <v>14</v>
      </c>
      <c r="Q11320">
        <v>0</v>
      </c>
    </row>
    <row r="11321" spans="1:17" x14ac:dyDescent="0.2">
      <c r="A11321" s="121">
        <v>42978</v>
      </c>
      <c r="B11321" t="s">
        <v>406</v>
      </c>
      <c r="C11321" t="s">
        <v>456</v>
      </c>
      <c r="D11321" t="s">
        <v>459</v>
      </c>
      <c r="E11321" t="s">
        <v>460</v>
      </c>
      <c r="F11321" t="s">
        <v>413</v>
      </c>
      <c r="G11321">
        <v>1262</v>
      </c>
      <c r="H11321">
        <v>1262</v>
      </c>
      <c r="I11321">
        <v>1259</v>
      </c>
      <c r="J11321">
        <v>1259</v>
      </c>
      <c r="K11321">
        <v>116</v>
      </c>
      <c r="L11321">
        <v>0</v>
      </c>
      <c r="M11321">
        <v>1090</v>
      </c>
      <c r="N11321">
        <v>0</v>
      </c>
      <c r="O11321">
        <v>56</v>
      </c>
      <c r="P11321">
        <v>0</v>
      </c>
      <c r="Q11321">
        <v>0</v>
      </c>
    </row>
    <row r="11322" spans="1:17" x14ac:dyDescent="0.2">
      <c r="A11322" s="121">
        <v>42978</v>
      </c>
      <c r="B11322" t="s">
        <v>406</v>
      </c>
      <c r="C11322" t="s">
        <v>456</v>
      </c>
      <c r="D11322" t="s">
        <v>461</v>
      </c>
      <c r="E11322" t="s">
        <v>462</v>
      </c>
      <c r="F11322" t="s">
        <v>410</v>
      </c>
      <c r="G11322">
        <v>139</v>
      </c>
      <c r="I11322">
        <v>139</v>
      </c>
    </row>
    <row r="11323" spans="1:17" x14ac:dyDescent="0.2">
      <c r="A11323" s="121">
        <v>42978</v>
      </c>
      <c r="B11323" t="s">
        <v>406</v>
      </c>
      <c r="C11323" t="s">
        <v>456</v>
      </c>
      <c r="D11323" t="s">
        <v>463</v>
      </c>
      <c r="E11323" t="s">
        <v>464</v>
      </c>
      <c r="F11323" t="s">
        <v>410</v>
      </c>
      <c r="G11323">
        <v>10</v>
      </c>
      <c r="I11323">
        <v>10</v>
      </c>
    </row>
    <row r="11324" spans="1:17" x14ac:dyDescent="0.2">
      <c r="A11324" s="121">
        <v>42978</v>
      </c>
      <c r="B11324" t="s">
        <v>406</v>
      </c>
      <c r="C11324" t="s">
        <v>456</v>
      </c>
      <c r="D11324" t="s">
        <v>465</v>
      </c>
      <c r="E11324" t="s">
        <v>466</v>
      </c>
      <c r="F11324" t="s">
        <v>410</v>
      </c>
      <c r="G11324">
        <v>27</v>
      </c>
      <c r="I11324">
        <v>27</v>
      </c>
    </row>
    <row r="11325" spans="1:17" x14ac:dyDescent="0.2">
      <c r="A11325" s="121">
        <v>42978</v>
      </c>
      <c r="B11325" t="s">
        <v>406</v>
      </c>
      <c r="C11325" t="s">
        <v>456</v>
      </c>
      <c r="D11325" t="s">
        <v>467</v>
      </c>
      <c r="E11325" t="s">
        <v>468</v>
      </c>
      <c r="F11325" t="s">
        <v>410</v>
      </c>
      <c r="G11325">
        <v>1286</v>
      </c>
      <c r="I11325">
        <v>1284</v>
      </c>
    </row>
    <row r="11326" spans="1:17" x14ac:dyDescent="0.2">
      <c r="A11326" s="121">
        <v>42978</v>
      </c>
      <c r="B11326" t="s">
        <v>406</v>
      </c>
      <c r="C11326" t="s">
        <v>456</v>
      </c>
      <c r="D11326" t="s">
        <v>469</v>
      </c>
      <c r="E11326" t="s">
        <v>470</v>
      </c>
      <c r="F11326" t="s">
        <v>410</v>
      </c>
      <c r="G11326">
        <v>669</v>
      </c>
      <c r="I11326">
        <v>669</v>
      </c>
    </row>
    <row r="11327" spans="1:17" x14ac:dyDescent="0.2">
      <c r="A11327" s="121">
        <v>42978</v>
      </c>
      <c r="B11327" t="s">
        <v>406</v>
      </c>
      <c r="C11327" t="s">
        <v>456</v>
      </c>
      <c r="D11327" t="s">
        <v>471</v>
      </c>
      <c r="E11327" t="s">
        <v>472</v>
      </c>
      <c r="F11327" t="s">
        <v>410</v>
      </c>
      <c r="G11327">
        <v>320</v>
      </c>
      <c r="I11327">
        <v>320</v>
      </c>
    </row>
    <row r="11328" spans="1:17" x14ac:dyDescent="0.2">
      <c r="A11328" s="121">
        <v>42978</v>
      </c>
      <c r="B11328" t="s">
        <v>406</v>
      </c>
      <c r="C11328" t="s">
        <v>456</v>
      </c>
      <c r="D11328" t="s">
        <v>473</v>
      </c>
      <c r="E11328" t="s">
        <v>474</v>
      </c>
      <c r="F11328" t="s">
        <v>410</v>
      </c>
      <c r="G11328">
        <v>171</v>
      </c>
      <c r="I11328">
        <v>171</v>
      </c>
    </row>
    <row r="11329" spans="1:17" x14ac:dyDescent="0.2">
      <c r="A11329" s="121">
        <v>42978</v>
      </c>
      <c r="B11329" t="s">
        <v>406</v>
      </c>
      <c r="C11329" t="s">
        <v>456</v>
      </c>
      <c r="D11329" t="s">
        <v>475</v>
      </c>
      <c r="E11329" t="s">
        <v>476</v>
      </c>
      <c r="F11329" t="s">
        <v>410</v>
      </c>
      <c r="G11329">
        <v>300</v>
      </c>
      <c r="I11329">
        <v>294</v>
      </c>
    </row>
    <row r="11330" spans="1:17" x14ac:dyDescent="0.2">
      <c r="A11330" s="121">
        <v>42978</v>
      </c>
      <c r="B11330" t="s">
        <v>406</v>
      </c>
      <c r="C11330" t="s">
        <v>456</v>
      </c>
      <c r="D11330" t="s">
        <v>477</v>
      </c>
      <c r="E11330" t="s">
        <v>478</v>
      </c>
      <c r="F11330" t="s">
        <v>413</v>
      </c>
      <c r="G11330">
        <v>2171</v>
      </c>
      <c r="H11330">
        <v>2171</v>
      </c>
      <c r="I11330">
        <v>2104</v>
      </c>
      <c r="J11330">
        <v>2104</v>
      </c>
      <c r="K11330">
        <v>380</v>
      </c>
      <c r="L11330">
        <v>0</v>
      </c>
      <c r="M11330">
        <v>1718</v>
      </c>
      <c r="N11330">
        <v>25</v>
      </c>
      <c r="O11330">
        <v>48</v>
      </c>
      <c r="P11330">
        <v>2</v>
      </c>
      <c r="Q11330">
        <v>0</v>
      </c>
    </row>
    <row r="11331" spans="1:17" x14ac:dyDescent="0.2">
      <c r="A11331" s="121">
        <v>42978</v>
      </c>
      <c r="B11331" t="s">
        <v>406</v>
      </c>
      <c r="C11331" t="s">
        <v>456</v>
      </c>
      <c r="D11331" t="s">
        <v>479</v>
      </c>
      <c r="E11331" t="s">
        <v>480</v>
      </c>
      <c r="F11331" t="s">
        <v>410</v>
      </c>
      <c r="G11331">
        <v>78</v>
      </c>
      <c r="I11331">
        <v>78</v>
      </c>
    </row>
    <row r="11332" spans="1:17" x14ac:dyDescent="0.2">
      <c r="A11332" s="121">
        <v>42978</v>
      </c>
      <c r="B11332" t="s">
        <v>406</v>
      </c>
      <c r="C11332" t="s">
        <v>456</v>
      </c>
      <c r="D11332" t="s">
        <v>481</v>
      </c>
      <c r="E11332" t="s">
        <v>482</v>
      </c>
      <c r="F11332" t="s">
        <v>410</v>
      </c>
      <c r="G11332">
        <v>21</v>
      </c>
      <c r="I11332">
        <v>21</v>
      </c>
    </row>
    <row r="11333" spans="1:17" x14ac:dyDescent="0.2">
      <c r="A11333" s="121">
        <v>42978</v>
      </c>
      <c r="B11333" t="s">
        <v>406</v>
      </c>
      <c r="C11333" t="s">
        <v>456</v>
      </c>
      <c r="D11333" t="s">
        <v>483</v>
      </c>
      <c r="E11333" t="s">
        <v>484</v>
      </c>
      <c r="F11333" t="s">
        <v>410</v>
      </c>
      <c r="G11333">
        <v>119</v>
      </c>
      <c r="I11333">
        <v>119</v>
      </c>
    </row>
    <row r="11334" spans="1:17" x14ac:dyDescent="0.2">
      <c r="A11334" s="121">
        <v>42978</v>
      </c>
      <c r="B11334" t="s">
        <v>406</v>
      </c>
      <c r="C11334" t="s">
        <v>456</v>
      </c>
      <c r="D11334" t="s">
        <v>487</v>
      </c>
      <c r="E11334" t="s">
        <v>488</v>
      </c>
      <c r="F11334" t="s">
        <v>410</v>
      </c>
      <c r="G11334">
        <v>12</v>
      </c>
      <c r="I11334">
        <v>12</v>
      </c>
    </row>
    <row r="11335" spans="1:17" x14ac:dyDescent="0.2">
      <c r="A11335" s="121">
        <v>42978</v>
      </c>
      <c r="B11335" t="s">
        <v>406</v>
      </c>
      <c r="C11335" t="s">
        <v>456</v>
      </c>
      <c r="D11335" t="s">
        <v>489</v>
      </c>
      <c r="E11335" t="s">
        <v>490</v>
      </c>
      <c r="F11335" t="s">
        <v>410</v>
      </c>
      <c r="G11335">
        <v>121</v>
      </c>
      <c r="I11335">
        <v>121</v>
      </c>
    </row>
    <row r="11336" spans="1:17" x14ac:dyDescent="0.2">
      <c r="A11336" s="121">
        <v>42978</v>
      </c>
      <c r="B11336" t="s">
        <v>406</v>
      </c>
      <c r="C11336" t="s">
        <v>456</v>
      </c>
      <c r="D11336" t="s">
        <v>628</v>
      </c>
      <c r="E11336" t="s">
        <v>629</v>
      </c>
      <c r="F11336" t="s">
        <v>410</v>
      </c>
      <c r="G11336">
        <v>42</v>
      </c>
      <c r="I11336">
        <v>42</v>
      </c>
    </row>
    <row r="11337" spans="1:17" x14ac:dyDescent="0.2">
      <c r="A11337" s="121">
        <v>42978</v>
      </c>
      <c r="B11337" t="s">
        <v>406</v>
      </c>
      <c r="C11337" t="s">
        <v>491</v>
      </c>
      <c r="D11337" t="s">
        <v>492</v>
      </c>
      <c r="E11337" t="s">
        <v>493</v>
      </c>
      <c r="F11337" t="s">
        <v>410</v>
      </c>
      <c r="G11337">
        <v>1526</v>
      </c>
      <c r="H11337">
        <v>1526</v>
      </c>
      <c r="I11337">
        <v>1508</v>
      </c>
      <c r="J11337">
        <v>1508</v>
      </c>
      <c r="K11337">
        <v>201</v>
      </c>
      <c r="L11337">
        <v>2</v>
      </c>
      <c r="M11337">
        <v>1236</v>
      </c>
      <c r="N11337">
        <v>74</v>
      </c>
      <c r="O11337">
        <v>13</v>
      </c>
      <c r="P11337">
        <v>0</v>
      </c>
      <c r="Q11337">
        <v>0</v>
      </c>
    </row>
    <row r="11338" spans="1:17" x14ac:dyDescent="0.2">
      <c r="A11338" s="121">
        <v>42978</v>
      </c>
      <c r="B11338" t="s">
        <v>406</v>
      </c>
      <c r="C11338" t="s">
        <v>491</v>
      </c>
      <c r="D11338" t="s">
        <v>494</v>
      </c>
      <c r="E11338" t="s">
        <v>495</v>
      </c>
      <c r="F11338" t="s">
        <v>413</v>
      </c>
      <c r="G11338">
        <v>2762</v>
      </c>
      <c r="H11338">
        <v>2762</v>
      </c>
      <c r="I11338">
        <v>2541</v>
      </c>
      <c r="J11338">
        <v>2541</v>
      </c>
      <c r="K11338">
        <v>647</v>
      </c>
      <c r="L11338">
        <v>4</v>
      </c>
      <c r="M11338">
        <v>1827</v>
      </c>
      <c r="N11338">
        <v>42</v>
      </c>
      <c r="O11338">
        <v>242</v>
      </c>
      <c r="P11338">
        <v>8</v>
      </c>
      <c r="Q11338">
        <v>0</v>
      </c>
    </row>
    <row r="11339" spans="1:17" x14ac:dyDescent="0.2">
      <c r="A11339" s="121">
        <v>42978</v>
      </c>
      <c r="B11339" t="s">
        <v>406</v>
      </c>
      <c r="C11339" t="s">
        <v>491</v>
      </c>
      <c r="D11339" t="s">
        <v>496</v>
      </c>
      <c r="E11339" t="s">
        <v>497</v>
      </c>
      <c r="F11339" t="s">
        <v>413</v>
      </c>
      <c r="G11339">
        <v>5421</v>
      </c>
      <c r="H11339">
        <v>5421</v>
      </c>
      <c r="I11339">
        <v>4884</v>
      </c>
      <c r="J11339">
        <v>4884</v>
      </c>
      <c r="K11339">
        <v>1382</v>
      </c>
      <c r="L11339">
        <v>11</v>
      </c>
      <c r="M11339">
        <v>3795</v>
      </c>
      <c r="N11339">
        <v>129</v>
      </c>
      <c r="O11339">
        <v>104</v>
      </c>
      <c r="P11339">
        <v>30</v>
      </c>
      <c r="Q11339">
        <v>0</v>
      </c>
    </row>
    <row r="11340" spans="1:17" x14ac:dyDescent="0.2">
      <c r="A11340" s="121">
        <v>42978</v>
      </c>
      <c r="B11340" t="s">
        <v>406</v>
      </c>
      <c r="C11340" t="s">
        <v>491</v>
      </c>
      <c r="D11340" t="s">
        <v>498</v>
      </c>
      <c r="E11340" t="s">
        <v>499</v>
      </c>
      <c r="F11340" t="s">
        <v>413</v>
      </c>
      <c r="G11340">
        <v>7792</v>
      </c>
      <c r="H11340">
        <v>7792</v>
      </c>
      <c r="I11340">
        <v>7387</v>
      </c>
      <c r="J11340">
        <v>7387</v>
      </c>
      <c r="K11340">
        <v>2270</v>
      </c>
      <c r="L11340">
        <v>11</v>
      </c>
      <c r="M11340">
        <v>4961</v>
      </c>
      <c r="N11340">
        <v>151</v>
      </c>
      <c r="O11340">
        <v>399</v>
      </c>
      <c r="P11340">
        <v>2</v>
      </c>
      <c r="Q11340">
        <v>0</v>
      </c>
    </row>
    <row r="11341" spans="1:17" x14ac:dyDescent="0.2">
      <c r="A11341" s="121">
        <v>42978</v>
      </c>
      <c r="B11341" t="s">
        <v>406</v>
      </c>
      <c r="C11341" t="s">
        <v>491</v>
      </c>
      <c r="D11341" t="s">
        <v>500</v>
      </c>
      <c r="E11341" t="s">
        <v>620</v>
      </c>
      <c r="F11341" t="s">
        <v>410</v>
      </c>
      <c r="G11341">
        <v>1723</v>
      </c>
      <c r="H11341">
        <v>1723</v>
      </c>
      <c r="I11341">
        <v>1723</v>
      </c>
      <c r="J11341">
        <v>1723</v>
      </c>
      <c r="K11341">
        <v>0</v>
      </c>
      <c r="L11341">
        <v>0</v>
      </c>
      <c r="M11341">
        <v>1590</v>
      </c>
      <c r="N11341">
        <v>114</v>
      </c>
      <c r="O11341">
        <v>19</v>
      </c>
      <c r="P11341">
        <v>0</v>
      </c>
      <c r="Q11341">
        <v>0</v>
      </c>
    </row>
    <row r="11342" spans="1:17" x14ac:dyDescent="0.2">
      <c r="A11342" s="121">
        <v>42978</v>
      </c>
      <c r="B11342" t="s">
        <v>406</v>
      </c>
      <c r="C11342" t="s">
        <v>491</v>
      </c>
      <c r="D11342" t="s">
        <v>502</v>
      </c>
      <c r="E11342" t="s">
        <v>615</v>
      </c>
      <c r="F11342" t="s">
        <v>410</v>
      </c>
      <c r="G11342">
        <v>2882</v>
      </c>
      <c r="H11342">
        <v>2882</v>
      </c>
      <c r="I11342">
        <v>2882</v>
      </c>
      <c r="J11342">
        <v>2882</v>
      </c>
      <c r="K11342">
        <v>0</v>
      </c>
      <c r="L11342">
        <v>0</v>
      </c>
      <c r="M11342">
        <v>2568</v>
      </c>
      <c r="N11342">
        <v>247</v>
      </c>
      <c r="O11342">
        <v>67</v>
      </c>
      <c r="P11342">
        <v>0</v>
      </c>
      <c r="Q11342">
        <v>0</v>
      </c>
    </row>
    <row r="11343" spans="1:17" x14ac:dyDescent="0.2">
      <c r="A11343" s="121">
        <v>42978</v>
      </c>
      <c r="B11343" t="s">
        <v>406</v>
      </c>
      <c r="C11343" t="s">
        <v>491</v>
      </c>
      <c r="D11343" t="s">
        <v>504</v>
      </c>
      <c r="E11343" t="s">
        <v>630</v>
      </c>
      <c r="F11343" t="s">
        <v>413</v>
      </c>
      <c r="G11343">
        <v>8726</v>
      </c>
      <c r="H11343">
        <v>8726</v>
      </c>
      <c r="I11343">
        <v>7692</v>
      </c>
      <c r="J11343">
        <v>7692</v>
      </c>
      <c r="K11343">
        <v>2649</v>
      </c>
      <c r="L11343">
        <v>19</v>
      </c>
      <c r="M11343">
        <v>5768</v>
      </c>
      <c r="N11343">
        <v>89</v>
      </c>
      <c r="O11343">
        <v>201</v>
      </c>
      <c r="P11343">
        <v>12</v>
      </c>
      <c r="Q11343">
        <v>0</v>
      </c>
    </row>
    <row r="11344" spans="1:17" x14ac:dyDescent="0.2">
      <c r="A11344" s="121">
        <v>42978</v>
      </c>
      <c r="B11344" t="s">
        <v>406</v>
      </c>
      <c r="C11344" t="s">
        <v>491</v>
      </c>
      <c r="D11344" t="s">
        <v>506</v>
      </c>
      <c r="E11344" t="s">
        <v>507</v>
      </c>
      <c r="F11344" t="s">
        <v>413</v>
      </c>
      <c r="G11344">
        <v>4863</v>
      </c>
      <c r="H11344">
        <v>4863</v>
      </c>
      <c r="I11344">
        <v>4778</v>
      </c>
      <c r="J11344">
        <v>4778</v>
      </c>
      <c r="K11344">
        <v>946</v>
      </c>
      <c r="L11344">
        <v>3</v>
      </c>
      <c r="M11344">
        <v>3901</v>
      </c>
      <c r="N11344">
        <v>1</v>
      </c>
      <c r="O11344">
        <v>12</v>
      </c>
      <c r="P11344">
        <v>0</v>
      </c>
      <c r="Q11344">
        <v>0</v>
      </c>
    </row>
    <row r="11345" spans="1:17" x14ac:dyDescent="0.2">
      <c r="A11345" s="121">
        <v>42978</v>
      </c>
      <c r="B11345" t="s">
        <v>406</v>
      </c>
      <c r="C11345" t="s">
        <v>510</v>
      </c>
      <c r="D11345" t="s">
        <v>513</v>
      </c>
      <c r="E11345" t="s">
        <v>514</v>
      </c>
      <c r="F11345" t="s">
        <v>410</v>
      </c>
      <c r="G11345">
        <v>713</v>
      </c>
      <c r="I11345">
        <v>713</v>
      </c>
    </row>
    <row r="11346" spans="1:17" x14ac:dyDescent="0.2">
      <c r="A11346" s="121">
        <v>42978</v>
      </c>
      <c r="B11346" t="s">
        <v>406</v>
      </c>
      <c r="C11346" t="s">
        <v>510</v>
      </c>
      <c r="D11346" t="s">
        <v>515</v>
      </c>
      <c r="E11346" t="s">
        <v>516</v>
      </c>
      <c r="F11346" t="s">
        <v>410</v>
      </c>
      <c r="G11346">
        <v>132</v>
      </c>
      <c r="I11346">
        <v>132</v>
      </c>
    </row>
    <row r="11347" spans="1:17" x14ac:dyDescent="0.2">
      <c r="A11347" s="121">
        <v>42978</v>
      </c>
      <c r="B11347" t="s">
        <v>406</v>
      </c>
      <c r="C11347" t="s">
        <v>510</v>
      </c>
      <c r="D11347" t="s">
        <v>519</v>
      </c>
      <c r="E11347" t="s">
        <v>520</v>
      </c>
      <c r="F11347" t="s">
        <v>410</v>
      </c>
      <c r="G11347">
        <v>392</v>
      </c>
      <c r="I11347">
        <v>390</v>
      </c>
    </row>
    <row r="11348" spans="1:17" x14ac:dyDescent="0.2">
      <c r="A11348" s="121">
        <v>42978</v>
      </c>
      <c r="B11348" t="s">
        <v>406</v>
      </c>
      <c r="C11348" t="s">
        <v>510</v>
      </c>
      <c r="D11348" t="s">
        <v>523</v>
      </c>
      <c r="E11348" t="s">
        <v>524</v>
      </c>
      <c r="F11348" t="s">
        <v>413</v>
      </c>
      <c r="G11348">
        <v>727</v>
      </c>
      <c r="H11348">
        <v>727</v>
      </c>
      <c r="I11348">
        <v>717</v>
      </c>
      <c r="J11348">
        <v>717</v>
      </c>
      <c r="K11348">
        <v>180</v>
      </c>
      <c r="L11348">
        <v>1</v>
      </c>
      <c r="M11348">
        <v>536</v>
      </c>
      <c r="N11348">
        <v>10</v>
      </c>
      <c r="O11348">
        <v>0</v>
      </c>
      <c r="P11348">
        <v>0</v>
      </c>
      <c r="Q11348">
        <v>0</v>
      </c>
    </row>
    <row r="11349" spans="1:17" x14ac:dyDescent="0.2">
      <c r="A11349" s="121">
        <v>42978</v>
      </c>
      <c r="B11349" t="s">
        <v>406</v>
      </c>
      <c r="C11349" t="s">
        <v>510</v>
      </c>
      <c r="D11349" t="s">
        <v>525</v>
      </c>
      <c r="E11349" t="s">
        <v>526</v>
      </c>
      <c r="F11349" t="s">
        <v>410</v>
      </c>
      <c r="G11349">
        <v>549</v>
      </c>
      <c r="I11349">
        <v>547</v>
      </c>
    </row>
    <row r="11350" spans="1:17" x14ac:dyDescent="0.2">
      <c r="A11350" s="121">
        <v>42978</v>
      </c>
      <c r="B11350" t="s">
        <v>406</v>
      </c>
      <c r="C11350" t="s">
        <v>510</v>
      </c>
      <c r="D11350" t="s">
        <v>527</v>
      </c>
      <c r="E11350" t="s">
        <v>528</v>
      </c>
      <c r="F11350" t="s">
        <v>410</v>
      </c>
      <c r="G11350">
        <v>207</v>
      </c>
      <c r="I11350">
        <v>207</v>
      </c>
    </row>
    <row r="11351" spans="1:17" x14ac:dyDescent="0.2">
      <c r="A11351" s="121">
        <v>42978</v>
      </c>
      <c r="B11351" t="s">
        <v>406</v>
      </c>
      <c r="C11351" t="s">
        <v>510</v>
      </c>
      <c r="D11351" t="s">
        <v>529</v>
      </c>
      <c r="E11351" t="s">
        <v>530</v>
      </c>
      <c r="F11351" t="s">
        <v>413</v>
      </c>
      <c r="G11351">
        <v>661</v>
      </c>
      <c r="H11351">
        <v>661</v>
      </c>
      <c r="I11351">
        <v>647</v>
      </c>
      <c r="J11351">
        <v>647</v>
      </c>
      <c r="K11351">
        <v>165</v>
      </c>
      <c r="L11351">
        <v>2</v>
      </c>
      <c r="M11351">
        <v>493</v>
      </c>
      <c r="N11351">
        <v>1</v>
      </c>
      <c r="O11351">
        <v>0</v>
      </c>
      <c r="P11351">
        <v>0</v>
      </c>
      <c r="Q11351">
        <v>0</v>
      </c>
    </row>
    <row r="11352" spans="1:17" x14ac:dyDescent="0.2">
      <c r="A11352" s="121">
        <v>42978</v>
      </c>
      <c r="B11352" t="s">
        <v>406</v>
      </c>
      <c r="C11352" t="s">
        <v>510</v>
      </c>
      <c r="D11352" t="s">
        <v>531</v>
      </c>
      <c r="E11352" t="s">
        <v>532</v>
      </c>
      <c r="F11352" t="s">
        <v>410</v>
      </c>
      <c r="G11352">
        <v>85</v>
      </c>
      <c r="I11352">
        <v>85</v>
      </c>
    </row>
    <row r="11353" spans="1:17" x14ac:dyDescent="0.2">
      <c r="A11353" s="121">
        <v>42978</v>
      </c>
      <c r="B11353" t="s">
        <v>406</v>
      </c>
      <c r="C11353" t="s">
        <v>510</v>
      </c>
      <c r="D11353" t="s">
        <v>533</v>
      </c>
      <c r="E11353" t="s">
        <v>534</v>
      </c>
      <c r="F11353" t="s">
        <v>413</v>
      </c>
      <c r="G11353">
        <v>3219</v>
      </c>
      <c r="H11353">
        <v>3219</v>
      </c>
      <c r="I11353">
        <v>2972</v>
      </c>
      <c r="J11353">
        <v>2972</v>
      </c>
      <c r="K11353">
        <v>682</v>
      </c>
      <c r="L11353">
        <v>3</v>
      </c>
      <c r="M11353">
        <v>2521</v>
      </c>
      <c r="N11353">
        <v>13</v>
      </c>
      <c r="O11353">
        <v>0</v>
      </c>
      <c r="P11353">
        <v>13</v>
      </c>
      <c r="Q11353">
        <v>1</v>
      </c>
    </row>
    <row r="11354" spans="1:17" x14ac:dyDescent="0.2">
      <c r="A11354" s="121">
        <v>42978</v>
      </c>
      <c r="B11354" t="s">
        <v>406</v>
      </c>
      <c r="C11354" t="s">
        <v>510</v>
      </c>
      <c r="D11354" t="s">
        <v>535</v>
      </c>
      <c r="E11354" t="s">
        <v>536</v>
      </c>
      <c r="F11354" t="s">
        <v>410</v>
      </c>
      <c r="G11354">
        <v>397</v>
      </c>
      <c r="I11354">
        <v>397</v>
      </c>
    </row>
    <row r="11355" spans="1:17" x14ac:dyDescent="0.2">
      <c r="A11355" s="121">
        <v>42978</v>
      </c>
      <c r="B11355" t="s">
        <v>406</v>
      </c>
      <c r="C11355" t="s">
        <v>510</v>
      </c>
      <c r="D11355" t="s">
        <v>537</v>
      </c>
      <c r="E11355" t="s">
        <v>538</v>
      </c>
      <c r="F11355" t="s">
        <v>410</v>
      </c>
      <c r="G11355">
        <v>103</v>
      </c>
      <c r="I11355">
        <v>103</v>
      </c>
    </row>
    <row r="11356" spans="1:17" x14ac:dyDescent="0.2">
      <c r="A11356" s="121">
        <v>42978</v>
      </c>
      <c r="B11356" t="s">
        <v>406</v>
      </c>
      <c r="C11356" t="s">
        <v>510</v>
      </c>
      <c r="D11356" t="s">
        <v>539</v>
      </c>
      <c r="E11356" t="s">
        <v>540</v>
      </c>
      <c r="F11356" t="s">
        <v>413</v>
      </c>
      <c r="G11356">
        <v>987</v>
      </c>
      <c r="H11356">
        <v>987</v>
      </c>
      <c r="I11356">
        <v>948</v>
      </c>
      <c r="J11356">
        <v>948</v>
      </c>
      <c r="K11356">
        <v>154</v>
      </c>
      <c r="L11356">
        <v>1</v>
      </c>
      <c r="M11356">
        <v>823</v>
      </c>
      <c r="N11356">
        <v>9</v>
      </c>
      <c r="O11356">
        <v>0</v>
      </c>
      <c r="P11356">
        <v>1</v>
      </c>
      <c r="Q11356">
        <v>0</v>
      </c>
    </row>
    <row r="11357" spans="1:17" x14ac:dyDescent="0.2">
      <c r="A11357" s="121">
        <v>42978</v>
      </c>
      <c r="B11357" t="s">
        <v>406</v>
      </c>
      <c r="C11357" t="s">
        <v>510</v>
      </c>
      <c r="D11357" t="s">
        <v>541</v>
      </c>
      <c r="E11357" t="s">
        <v>542</v>
      </c>
      <c r="F11357" t="s">
        <v>410</v>
      </c>
      <c r="G11357">
        <v>437</v>
      </c>
      <c r="I11357">
        <v>429</v>
      </c>
    </row>
    <row r="11358" spans="1:17" x14ac:dyDescent="0.2">
      <c r="A11358" s="121">
        <v>42978</v>
      </c>
      <c r="B11358" t="s">
        <v>406</v>
      </c>
      <c r="C11358" t="s">
        <v>510</v>
      </c>
      <c r="D11358" t="s">
        <v>543</v>
      </c>
      <c r="E11358" t="s">
        <v>544</v>
      </c>
      <c r="F11358" t="s">
        <v>410</v>
      </c>
      <c r="G11358">
        <v>242</v>
      </c>
      <c r="I11358">
        <v>241</v>
      </c>
    </row>
    <row r="11359" spans="1:17" x14ac:dyDescent="0.2">
      <c r="A11359" s="121">
        <v>42978</v>
      </c>
      <c r="B11359" t="s">
        <v>406</v>
      </c>
      <c r="C11359" t="s">
        <v>510</v>
      </c>
      <c r="D11359" t="s">
        <v>545</v>
      </c>
      <c r="E11359" t="s">
        <v>546</v>
      </c>
      <c r="F11359" t="s">
        <v>410</v>
      </c>
      <c r="G11359">
        <v>108</v>
      </c>
      <c r="I11359">
        <v>108</v>
      </c>
    </row>
    <row r="11360" spans="1:17" x14ac:dyDescent="0.2">
      <c r="A11360" s="121">
        <v>42978</v>
      </c>
      <c r="B11360" t="s">
        <v>406</v>
      </c>
      <c r="C11360" t="s">
        <v>510</v>
      </c>
      <c r="D11360" t="s">
        <v>547</v>
      </c>
      <c r="E11360" t="s">
        <v>548</v>
      </c>
      <c r="F11360" t="s">
        <v>410</v>
      </c>
      <c r="G11360">
        <v>157</v>
      </c>
      <c r="I11360">
        <v>157</v>
      </c>
    </row>
    <row r="11361" spans="1:17" x14ac:dyDescent="0.2">
      <c r="A11361" s="121">
        <v>42978</v>
      </c>
      <c r="B11361" t="s">
        <v>406</v>
      </c>
      <c r="C11361" t="s">
        <v>510</v>
      </c>
      <c r="D11361" t="s">
        <v>616</v>
      </c>
      <c r="E11361" t="s">
        <v>617</v>
      </c>
      <c r="F11361" t="s">
        <v>410</v>
      </c>
      <c r="G11361">
        <v>387</v>
      </c>
      <c r="I11361">
        <v>383</v>
      </c>
    </row>
    <row r="11362" spans="1:17" x14ac:dyDescent="0.2">
      <c r="A11362" s="121">
        <v>42978</v>
      </c>
      <c r="B11362" t="s">
        <v>406</v>
      </c>
      <c r="C11362" t="s">
        <v>510</v>
      </c>
      <c r="D11362" t="s">
        <v>549</v>
      </c>
      <c r="E11362" t="s">
        <v>550</v>
      </c>
      <c r="F11362" t="s">
        <v>410</v>
      </c>
      <c r="G11362">
        <v>209</v>
      </c>
      <c r="I11362">
        <v>209</v>
      </c>
    </row>
    <row r="11363" spans="1:17" x14ac:dyDescent="0.2">
      <c r="A11363" s="121">
        <v>42978</v>
      </c>
      <c r="B11363" t="s">
        <v>406</v>
      </c>
      <c r="C11363" t="s">
        <v>510</v>
      </c>
      <c r="D11363" t="s">
        <v>625</v>
      </c>
      <c r="E11363" t="s">
        <v>626</v>
      </c>
      <c r="F11363" t="s">
        <v>410</v>
      </c>
      <c r="G11363">
        <v>175</v>
      </c>
      <c r="I11363">
        <v>174</v>
      </c>
    </row>
    <row r="11364" spans="1:17" x14ac:dyDescent="0.2">
      <c r="A11364" s="121">
        <v>42978</v>
      </c>
      <c r="B11364" t="s">
        <v>406</v>
      </c>
      <c r="C11364" t="s">
        <v>551</v>
      </c>
      <c r="D11364" t="s">
        <v>552</v>
      </c>
      <c r="E11364" t="s">
        <v>553</v>
      </c>
      <c r="F11364" t="s">
        <v>413</v>
      </c>
      <c r="G11364">
        <v>5777</v>
      </c>
      <c r="H11364">
        <v>5777</v>
      </c>
      <c r="I11364">
        <v>5600</v>
      </c>
      <c r="J11364">
        <v>5600</v>
      </c>
      <c r="K11364">
        <v>1805</v>
      </c>
      <c r="L11364">
        <v>10</v>
      </c>
      <c r="M11364">
        <v>3825</v>
      </c>
      <c r="N11364">
        <v>99</v>
      </c>
      <c r="O11364">
        <v>38</v>
      </c>
      <c r="P11364">
        <v>7</v>
      </c>
      <c r="Q11364">
        <v>0</v>
      </c>
    </row>
    <row r="11365" spans="1:17" x14ac:dyDescent="0.2">
      <c r="A11365" s="121">
        <v>42978</v>
      </c>
      <c r="B11365" t="s">
        <v>406</v>
      </c>
      <c r="C11365" t="s">
        <v>551</v>
      </c>
      <c r="D11365" t="s">
        <v>554</v>
      </c>
      <c r="E11365" t="s">
        <v>555</v>
      </c>
      <c r="F11365" t="s">
        <v>410</v>
      </c>
      <c r="G11365">
        <v>67</v>
      </c>
      <c r="I11365">
        <v>67</v>
      </c>
    </row>
    <row r="11366" spans="1:17" x14ac:dyDescent="0.2">
      <c r="A11366" s="121">
        <v>42978</v>
      </c>
      <c r="B11366" t="s">
        <v>406</v>
      </c>
      <c r="C11366" t="s">
        <v>551</v>
      </c>
      <c r="D11366" t="s">
        <v>556</v>
      </c>
      <c r="E11366" t="s">
        <v>557</v>
      </c>
      <c r="F11366" t="s">
        <v>410</v>
      </c>
      <c r="G11366">
        <v>98</v>
      </c>
      <c r="I11366">
        <v>98</v>
      </c>
    </row>
    <row r="11367" spans="1:17" x14ac:dyDescent="0.2">
      <c r="A11367" s="121">
        <v>42978</v>
      </c>
      <c r="B11367" t="s">
        <v>406</v>
      </c>
      <c r="C11367" t="s">
        <v>551</v>
      </c>
      <c r="D11367" t="s">
        <v>558</v>
      </c>
      <c r="E11367" t="s">
        <v>559</v>
      </c>
      <c r="F11367" t="s">
        <v>413</v>
      </c>
      <c r="G11367">
        <v>5537</v>
      </c>
      <c r="H11367">
        <v>5537</v>
      </c>
      <c r="I11367">
        <v>5127</v>
      </c>
      <c r="J11367">
        <v>5127</v>
      </c>
      <c r="K11367">
        <v>1606</v>
      </c>
      <c r="L11367">
        <v>4</v>
      </c>
      <c r="M11367">
        <v>3833</v>
      </c>
      <c r="N11367">
        <v>69</v>
      </c>
      <c r="O11367">
        <v>25</v>
      </c>
      <c r="P11367">
        <v>39</v>
      </c>
      <c r="Q11367">
        <v>13</v>
      </c>
    </row>
    <row r="11368" spans="1:17" x14ac:dyDescent="0.2">
      <c r="A11368" s="121">
        <v>42978</v>
      </c>
      <c r="B11368" t="s">
        <v>406</v>
      </c>
      <c r="C11368" t="s">
        <v>551</v>
      </c>
      <c r="D11368" t="s">
        <v>560</v>
      </c>
      <c r="E11368" t="s">
        <v>561</v>
      </c>
      <c r="F11368" t="s">
        <v>413</v>
      </c>
      <c r="G11368">
        <v>5993</v>
      </c>
      <c r="H11368">
        <v>5993</v>
      </c>
      <c r="I11368">
        <v>5624</v>
      </c>
      <c r="J11368">
        <v>5624</v>
      </c>
      <c r="K11368">
        <v>1690</v>
      </c>
      <c r="L11368">
        <v>9</v>
      </c>
      <c r="M11368">
        <v>4163</v>
      </c>
      <c r="N11368">
        <v>49</v>
      </c>
      <c r="O11368">
        <v>82</v>
      </c>
      <c r="P11368">
        <v>10</v>
      </c>
      <c r="Q11368">
        <v>0</v>
      </c>
    </row>
    <row r="11369" spans="1:17" x14ac:dyDescent="0.2">
      <c r="A11369" s="121">
        <v>42978</v>
      </c>
      <c r="B11369" t="s">
        <v>406</v>
      </c>
      <c r="C11369" t="s">
        <v>562</v>
      </c>
      <c r="D11369" t="s">
        <v>605</v>
      </c>
      <c r="E11369" t="s">
        <v>606</v>
      </c>
      <c r="F11369" t="s">
        <v>410</v>
      </c>
      <c r="G11369">
        <v>216</v>
      </c>
      <c r="I11369">
        <v>216</v>
      </c>
    </row>
    <row r="11370" spans="1:17" x14ac:dyDescent="0.2">
      <c r="A11370" s="121">
        <v>42978</v>
      </c>
      <c r="B11370" t="s">
        <v>406</v>
      </c>
      <c r="C11370" t="s">
        <v>562</v>
      </c>
      <c r="D11370" t="s">
        <v>563</v>
      </c>
      <c r="E11370" t="s">
        <v>564</v>
      </c>
      <c r="F11370" t="s">
        <v>410</v>
      </c>
      <c r="G11370">
        <v>4178</v>
      </c>
      <c r="H11370">
        <v>4178</v>
      </c>
      <c r="I11370">
        <v>3970</v>
      </c>
      <c r="J11370">
        <v>3970</v>
      </c>
      <c r="K11370">
        <v>1103</v>
      </c>
      <c r="L11370">
        <v>1</v>
      </c>
      <c r="M11370">
        <v>3032</v>
      </c>
      <c r="N11370">
        <v>42</v>
      </c>
      <c r="O11370">
        <v>0</v>
      </c>
      <c r="P11370">
        <v>9</v>
      </c>
      <c r="Q11370">
        <v>1</v>
      </c>
    </row>
    <row r="11371" spans="1:17" x14ac:dyDescent="0.2">
      <c r="A11371" s="121">
        <v>42978</v>
      </c>
      <c r="B11371" t="s">
        <v>406</v>
      </c>
      <c r="C11371" t="s">
        <v>562</v>
      </c>
      <c r="D11371" t="s">
        <v>565</v>
      </c>
      <c r="E11371" t="s">
        <v>566</v>
      </c>
      <c r="F11371" t="s">
        <v>413</v>
      </c>
      <c r="G11371">
        <v>4714</v>
      </c>
      <c r="H11371">
        <v>4714</v>
      </c>
      <c r="I11371">
        <v>4544</v>
      </c>
      <c r="J11371">
        <v>4544</v>
      </c>
      <c r="K11371">
        <v>886</v>
      </c>
      <c r="L11371">
        <v>2</v>
      </c>
      <c r="M11371">
        <v>3758</v>
      </c>
      <c r="N11371">
        <v>68</v>
      </c>
      <c r="O11371">
        <v>0</v>
      </c>
      <c r="P11371">
        <v>13</v>
      </c>
      <c r="Q11371">
        <v>3</v>
      </c>
    </row>
    <row r="11372" spans="1:17" x14ac:dyDescent="0.2">
      <c r="A11372" s="121">
        <v>42978</v>
      </c>
      <c r="B11372" t="s">
        <v>406</v>
      </c>
      <c r="C11372" t="s">
        <v>562</v>
      </c>
      <c r="D11372" t="s">
        <v>567</v>
      </c>
      <c r="E11372" t="s">
        <v>568</v>
      </c>
      <c r="F11372" t="s">
        <v>413</v>
      </c>
      <c r="G11372">
        <v>10312</v>
      </c>
      <c r="H11372">
        <v>10312</v>
      </c>
      <c r="I11372">
        <v>9654</v>
      </c>
      <c r="J11372">
        <v>9654</v>
      </c>
      <c r="K11372">
        <v>2969</v>
      </c>
      <c r="L11372">
        <v>25</v>
      </c>
      <c r="M11372">
        <v>7201</v>
      </c>
      <c r="N11372">
        <v>117</v>
      </c>
      <c r="O11372">
        <v>0</v>
      </c>
      <c r="P11372">
        <v>98</v>
      </c>
      <c r="Q11372">
        <v>14</v>
      </c>
    </row>
    <row r="11373" spans="1:17" x14ac:dyDescent="0.2">
      <c r="A11373" s="121">
        <v>42978</v>
      </c>
      <c r="B11373" t="s">
        <v>406</v>
      </c>
      <c r="C11373" t="s">
        <v>562</v>
      </c>
      <c r="D11373" t="s">
        <v>569</v>
      </c>
      <c r="E11373" t="s">
        <v>570</v>
      </c>
      <c r="F11373" t="s">
        <v>413</v>
      </c>
      <c r="G11373">
        <v>3772</v>
      </c>
      <c r="H11373">
        <v>3772</v>
      </c>
      <c r="I11373">
        <v>3692</v>
      </c>
      <c r="J11373">
        <v>3692</v>
      </c>
      <c r="K11373">
        <v>487</v>
      </c>
      <c r="L11373">
        <v>0</v>
      </c>
      <c r="M11373">
        <v>3226</v>
      </c>
      <c r="N11373">
        <v>59</v>
      </c>
      <c r="O11373">
        <v>0</v>
      </c>
      <c r="P11373">
        <v>2</v>
      </c>
      <c r="Q11373">
        <v>0</v>
      </c>
    </row>
    <row r="11374" spans="1:17" x14ac:dyDescent="0.2">
      <c r="A11374" s="121">
        <v>42978</v>
      </c>
      <c r="B11374" t="s">
        <v>406</v>
      </c>
      <c r="C11374" t="s">
        <v>571</v>
      </c>
      <c r="D11374" t="s">
        <v>572</v>
      </c>
      <c r="E11374" t="s">
        <v>627</v>
      </c>
      <c r="F11374" t="s">
        <v>413</v>
      </c>
      <c r="G11374">
        <v>607</v>
      </c>
      <c r="H11374">
        <v>607</v>
      </c>
      <c r="I11374">
        <v>593</v>
      </c>
      <c r="J11374">
        <v>593</v>
      </c>
      <c r="K11374">
        <v>133</v>
      </c>
      <c r="L11374">
        <v>0</v>
      </c>
      <c r="M11374">
        <v>467</v>
      </c>
      <c r="N11374">
        <v>2</v>
      </c>
      <c r="O11374">
        <v>5</v>
      </c>
      <c r="P11374">
        <v>0</v>
      </c>
      <c r="Q11374">
        <v>0</v>
      </c>
    </row>
    <row r="11375" spans="1:17" x14ac:dyDescent="0.2">
      <c r="A11375" s="121">
        <v>42978</v>
      </c>
      <c r="B11375" t="s">
        <v>406</v>
      </c>
      <c r="C11375" t="s">
        <v>574</v>
      </c>
      <c r="D11375" t="s">
        <v>575</v>
      </c>
      <c r="E11375" t="s">
        <v>576</v>
      </c>
      <c r="F11375" t="s">
        <v>413</v>
      </c>
      <c r="G11375">
        <v>663</v>
      </c>
      <c r="H11375">
        <v>663</v>
      </c>
      <c r="I11375">
        <v>622</v>
      </c>
      <c r="J11375">
        <v>622</v>
      </c>
      <c r="K11375">
        <v>148</v>
      </c>
      <c r="L11375">
        <v>0</v>
      </c>
      <c r="M11375">
        <v>511</v>
      </c>
      <c r="N11375">
        <v>2</v>
      </c>
      <c r="O11375">
        <v>2</v>
      </c>
      <c r="P11375">
        <v>0</v>
      </c>
      <c r="Q11375">
        <v>0</v>
      </c>
    </row>
    <row r="11376" spans="1:17" x14ac:dyDescent="0.2">
      <c r="A11376" s="121">
        <v>42978</v>
      </c>
      <c r="B11376" t="s">
        <v>406</v>
      </c>
      <c r="C11376" t="s">
        <v>577</v>
      </c>
      <c r="D11376" t="s">
        <v>578</v>
      </c>
      <c r="E11376" t="s">
        <v>579</v>
      </c>
      <c r="F11376" t="s">
        <v>413</v>
      </c>
      <c r="G11376">
        <v>4359</v>
      </c>
      <c r="H11376">
        <v>4359</v>
      </c>
      <c r="I11376">
        <v>4231</v>
      </c>
      <c r="J11376">
        <v>4231</v>
      </c>
      <c r="K11376">
        <v>1298</v>
      </c>
      <c r="L11376">
        <v>5</v>
      </c>
      <c r="M11376">
        <v>2735</v>
      </c>
      <c r="N11376">
        <v>235</v>
      </c>
      <c r="O11376">
        <v>86</v>
      </c>
      <c r="P11376">
        <v>1</v>
      </c>
      <c r="Q11376">
        <v>0</v>
      </c>
    </row>
    <row r="11377" spans="1:17" x14ac:dyDescent="0.2">
      <c r="A11377" s="121">
        <v>42978</v>
      </c>
      <c r="B11377" t="s">
        <v>406</v>
      </c>
      <c r="C11377" t="s">
        <v>577</v>
      </c>
      <c r="D11377" t="s">
        <v>580</v>
      </c>
      <c r="E11377" t="s">
        <v>581</v>
      </c>
      <c r="F11377" t="s">
        <v>413</v>
      </c>
      <c r="G11377">
        <v>2238</v>
      </c>
      <c r="H11377">
        <v>2238</v>
      </c>
      <c r="I11377">
        <v>2202</v>
      </c>
      <c r="J11377">
        <v>2202</v>
      </c>
      <c r="K11377">
        <v>392</v>
      </c>
      <c r="L11377">
        <v>3</v>
      </c>
      <c r="M11377">
        <v>1511</v>
      </c>
      <c r="N11377">
        <v>306</v>
      </c>
      <c r="O11377">
        <v>26</v>
      </c>
      <c r="P11377">
        <v>1</v>
      </c>
      <c r="Q11377">
        <v>0</v>
      </c>
    </row>
    <row r="11378" spans="1:17" x14ac:dyDescent="0.2">
      <c r="A11378" s="121">
        <v>42978</v>
      </c>
      <c r="B11378" t="s">
        <v>406</v>
      </c>
      <c r="C11378" t="s">
        <v>577</v>
      </c>
      <c r="D11378" t="s">
        <v>609</v>
      </c>
      <c r="E11378" t="s">
        <v>610</v>
      </c>
      <c r="F11378" t="s">
        <v>410</v>
      </c>
      <c r="G11378">
        <v>45</v>
      </c>
      <c r="H11378">
        <v>45</v>
      </c>
      <c r="I11378">
        <v>45</v>
      </c>
      <c r="J11378">
        <v>45</v>
      </c>
      <c r="K11378">
        <v>0</v>
      </c>
      <c r="L11378">
        <v>0</v>
      </c>
      <c r="M11378">
        <v>41</v>
      </c>
      <c r="N11378">
        <v>2</v>
      </c>
      <c r="O11378">
        <v>2</v>
      </c>
      <c r="P11378">
        <v>0</v>
      </c>
      <c r="Q11378">
        <v>0</v>
      </c>
    </row>
    <row r="11379" spans="1:17" x14ac:dyDescent="0.2">
      <c r="A11379" s="121">
        <v>42978</v>
      </c>
      <c r="B11379" t="s">
        <v>406</v>
      </c>
      <c r="C11379" t="s">
        <v>577</v>
      </c>
      <c r="D11379" t="s">
        <v>584</v>
      </c>
      <c r="E11379" t="s">
        <v>585</v>
      </c>
      <c r="F11379" t="s">
        <v>410</v>
      </c>
      <c r="G11379">
        <v>313</v>
      </c>
      <c r="H11379">
        <v>313</v>
      </c>
      <c r="I11379">
        <v>312</v>
      </c>
      <c r="J11379">
        <v>312</v>
      </c>
      <c r="K11379">
        <v>0</v>
      </c>
      <c r="L11379">
        <v>0</v>
      </c>
      <c r="M11379">
        <v>293</v>
      </c>
      <c r="N11379">
        <v>16</v>
      </c>
      <c r="O11379">
        <v>4</v>
      </c>
      <c r="P11379">
        <v>0</v>
      </c>
      <c r="Q11379">
        <v>0</v>
      </c>
    </row>
    <row r="11380" spans="1:17" x14ac:dyDescent="0.2">
      <c r="A11380" s="121">
        <v>42978</v>
      </c>
      <c r="B11380" t="s">
        <v>406</v>
      </c>
      <c r="C11380" t="s">
        <v>577</v>
      </c>
      <c r="D11380" t="s">
        <v>586</v>
      </c>
      <c r="E11380" t="s">
        <v>587</v>
      </c>
      <c r="F11380" t="s">
        <v>410</v>
      </c>
      <c r="G11380">
        <v>1288</v>
      </c>
      <c r="H11380">
        <v>1288</v>
      </c>
      <c r="I11380">
        <v>1288</v>
      </c>
      <c r="J11380">
        <v>1288</v>
      </c>
      <c r="K11380">
        <v>0</v>
      </c>
      <c r="L11380">
        <v>0</v>
      </c>
      <c r="M11380">
        <v>1188</v>
      </c>
      <c r="N11380">
        <v>97</v>
      </c>
      <c r="O11380">
        <v>3</v>
      </c>
      <c r="P11380">
        <v>0</v>
      </c>
      <c r="Q11380">
        <v>0</v>
      </c>
    </row>
    <row r="11381" spans="1:17" x14ac:dyDescent="0.2">
      <c r="A11381" s="121">
        <v>42978</v>
      </c>
      <c r="B11381" t="s">
        <v>406</v>
      </c>
      <c r="C11381" t="s">
        <v>577</v>
      </c>
      <c r="D11381" t="s">
        <v>588</v>
      </c>
      <c r="E11381" t="s">
        <v>589</v>
      </c>
      <c r="F11381" t="s">
        <v>410</v>
      </c>
      <c r="G11381">
        <v>186</v>
      </c>
      <c r="H11381">
        <v>186</v>
      </c>
      <c r="I11381">
        <v>186</v>
      </c>
      <c r="J11381">
        <v>186</v>
      </c>
      <c r="K11381">
        <v>0</v>
      </c>
      <c r="L11381">
        <v>0</v>
      </c>
      <c r="M11381">
        <v>171</v>
      </c>
      <c r="N11381">
        <v>14</v>
      </c>
      <c r="O11381">
        <v>1</v>
      </c>
      <c r="P11381">
        <v>0</v>
      </c>
      <c r="Q11381">
        <v>0</v>
      </c>
    </row>
    <row r="11382" spans="1:17" x14ac:dyDescent="0.2">
      <c r="A11382" s="121">
        <v>42978</v>
      </c>
      <c r="B11382" t="s">
        <v>406</v>
      </c>
      <c r="C11382" t="s">
        <v>577</v>
      </c>
      <c r="D11382" t="s">
        <v>613</v>
      </c>
      <c r="E11382" t="s">
        <v>614</v>
      </c>
      <c r="F11382" t="s">
        <v>410</v>
      </c>
      <c r="G11382">
        <v>109</v>
      </c>
      <c r="H11382">
        <v>109</v>
      </c>
      <c r="I11382">
        <v>108</v>
      </c>
      <c r="J11382">
        <v>108</v>
      </c>
      <c r="K11382">
        <v>0</v>
      </c>
      <c r="L11382">
        <v>0</v>
      </c>
      <c r="M11382">
        <v>94</v>
      </c>
      <c r="N11382">
        <v>13</v>
      </c>
      <c r="O11382">
        <v>2</v>
      </c>
      <c r="P11382">
        <v>0</v>
      </c>
      <c r="Q11382">
        <v>0</v>
      </c>
    </row>
    <row r="11383" spans="1:17" x14ac:dyDescent="0.2">
      <c r="A11383" s="121">
        <v>42978</v>
      </c>
      <c r="B11383" t="s">
        <v>406</v>
      </c>
      <c r="C11383" t="s">
        <v>577</v>
      </c>
      <c r="D11383" t="s">
        <v>590</v>
      </c>
      <c r="E11383" t="s">
        <v>591</v>
      </c>
      <c r="F11383" t="s">
        <v>410</v>
      </c>
      <c r="G11383">
        <v>556</v>
      </c>
      <c r="H11383">
        <v>556</v>
      </c>
      <c r="I11383">
        <v>556</v>
      </c>
      <c r="J11383">
        <v>556</v>
      </c>
      <c r="K11383">
        <v>0</v>
      </c>
      <c r="L11383">
        <v>0</v>
      </c>
      <c r="M11383">
        <v>525</v>
      </c>
      <c r="N11383">
        <v>31</v>
      </c>
      <c r="O11383">
        <v>0</v>
      </c>
      <c r="P11383">
        <v>0</v>
      </c>
      <c r="Q11383">
        <v>0</v>
      </c>
    </row>
    <row r="11384" spans="1:17" x14ac:dyDescent="0.2">
      <c r="A11384" s="121">
        <v>42978</v>
      </c>
      <c r="B11384" t="s">
        <v>406</v>
      </c>
      <c r="C11384" t="s">
        <v>577</v>
      </c>
      <c r="D11384" t="s">
        <v>607</v>
      </c>
      <c r="E11384" t="s">
        <v>608</v>
      </c>
      <c r="F11384" t="s">
        <v>410</v>
      </c>
      <c r="G11384">
        <v>249</v>
      </c>
      <c r="H11384">
        <v>249</v>
      </c>
      <c r="I11384">
        <v>249</v>
      </c>
      <c r="J11384">
        <v>249</v>
      </c>
      <c r="K11384">
        <v>0</v>
      </c>
      <c r="L11384">
        <v>0</v>
      </c>
      <c r="M11384">
        <v>238</v>
      </c>
      <c r="N11384">
        <v>10</v>
      </c>
      <c r="O11384">
        <v>1</v>
      </c>
      <c r="P11384">
        <v>0</v>
      </c>
      <c r="Q11384">
        <v>0</v>
      </c>
    </row>
    <row r="11385" spans="1:17" x14ac:dyDescent="0.2">
      <c r="A11385" s="121">
        <v>42978</v>
      </c>
      <c r="B11385" t="s">
        <v>406</v>
      </c>
      <c r="C11385" t="s">
        <v>577</v>
      </c>
      <c r="D11385" t="s">
        <v>592</v>
      </c>
      <c r="E11385" t="s">
        <v>593</v>
      </c>
      <c r="F11385" t="s">
        <v>410</v>
      </c>
      <c r="G11385">
        <v>431</v>
      </c>
      <c r="H11385">
        <v>431</v>
      </c>
      <c r="I11385">
        <v>431</v>
      </c>
      <c r="J11385">
        <v>431</v>
      </c>
      <c r="K11385">
        <v>0</v>
      </c>
      <c r="L11385">
        <v>1</v>
      </c>
      <c r="M11385">
        <v>394</v>
      </c>
      <c r="N11385">
        <v>30</v>
      </c>
      <c r="O11385">
        <v>6</v>
      </c>
      <c r="P11385">
        <v>0</v>
      </c>
      <c r="Q11385">
        <v>0</v>
      </c>
    </row>
    <row r="11386" spans="1:17" x14ac:dyDescent="0.2">
      <c r="A11386" s="121">
        <v>42978</v>
      </c>
      <c r="B11386" t="s">
        <v>406</v>
      </c>
      <c r="C11386" t="s">
        <v>594</v>
      </c>
      <c r="D11386" t="s">
        <v>595</v>
      </c>
      <c r="E11386" t="s">
        <v>596</v>
      </c>
      <c r="F11386" t="s">
        <v>410</v>
      </c>
      <c r="G11386">
        <v>81</v>
      </c>
      <c r="I11386">
        <v>81</v>
      </c>
    </row>
    <row r="11387" spans="1:17" x14ac:dyDescent="0.2">
      <c r="A11387" s="121">
        <v>42978</v>
      </c>
      <c r="B11387" t="s">
        <v>406</v>
      </c>
      <c r="C11387" t="s">
        <v>594</v>
      </c>
      <c r="D11387" t="s">
        <v>597</v>
      </c>
      <c r="E11387" t="s">
        <v>598</v>
      </c>
      <c r="F11387" t="s">
        <v>413</v>
      </c>
      <c r="G11387">
        <v>655</v>
      </c>
      <c r="H11387">
        <v>655</v>
      </c>
      <c r="I11387">
        <v>649</v>
      </c>
      <c r="J11387">
        <v>649</v>
      </c>
      <c r="K11387">
        <v>131</v>
      </c>
      <c r="L11387">
        <v>0</v>
      </c>
      <c r="M11387">
        <v>506</v>
      </c>
      <c r="N11387">
        <v>14</v>
      </c>
      <c r="O11387">
        <v>4</v>
      </c>
      <c r="P11387">
        <v>0</v>
      </c>
      <c r="Q11387">
        <v>0</v>
      </c>
    </row>
    <row r="11388" spans="1:17" x14ac:dyDescent="0.2">
      <c r="A11388" s="121">
        <v>42978</v>
      </c>
      <c r="B11388" t="s">
        <v>406</v>
      </c>
      <c r="C11388" t="s">
        <v>594</v>
      </c>
      <c r="D11388" t="s">
        <v>599</v>
      </c>
      <c r="E11388" t="s">
        <v>600</v>
      </c>
      <c r="F11388" t="s">
        <v>410</v>
      </c>
      <c r="G11388">
        <v>135</v>
      </c>
      <c r="H11388">
        <v>135</v>
      </c>
      <c r="I11388">
        <v>135</v>
      </c>
      <c r="J11388">
        <v>135</v>
      </c>
      <c r="K11388">
        <v>8</v>
      </c>
      <c r="L11388">
        <v>0</v>
      </c>
      <c r="M11388">
        <v>126</v>
      </c>
      <c r="N11388">
        <v>0</v>
      </c>
      <c r="O11388">
        <v>1</v>
      </c>
      <c r="P11388">
        <v>0</v>
      </c>
      <c r="Q11388">
        <v>0</v>
      </c>
    </row>
    <row r="11389" spans="1:17" x14ac:dyDescent="0.2">
      <c r="A11389" s="121">
        <v>43008</v>
      </c>
      <c r="B11389" t="s">
        <v>406</v>
      </c>
      <c r="C11389" t="s">
        <v>407</v>
      </c>
      <c r="D11389" t="s">
        <v>408</v>
      </c>
      <c r="E11389" t="s">
        <v>409</v>
      </c>
      <c r="F11389" t="s">
        <v>410</v>
      </c>
      <c r="G11389">
        <v>233</v>
      </c>
      <c r="I11389">
        <v>227</v>
      </c>
    </row>
    <row r="11390" spans="1:17" x14ac:dyDescent="0.2">
      <c r="A11390" s="121">
        <v>43008</v>
      </c>
      <c r="B11390" t="s">
        <v>406</v>
      </c>
      <c r="C11390" t="s">
        <v>407</v>
      </c>
      <c r="D11390" t="s">
        <v>601</v>
      </c>
      <c r="E11390" t="s">
        <v>602</v>
      </c>
      <c r="F11390" t="s">
        <v>410</v>
      </c>
      <c r="G11390">
        <v>80</v>
      </c>
      <c r="I11390">
        <v>79</v>
      </c>
    </row>
    <row r="11391" spans="1:17" x14ac:dyDescent="0.2">
      <c r="A11391" s="121">
        <v>43008</v>
      </c>
      <c r="B11391" t="s">
        <v>406</v>
      </c>
      <c r="C11391" t="s">
        <v>407</v>
      </c>
      <c r="D11391" t="s">
        <v>411</v>
      </c>
      <c r="E11391" t="s">
        <v>412</v>
      </c>
      <c r="F11391" t="s">
        <v>413</v>
      </c>
      <c r="G11391">
        <v>6054</v>
      </c>
      <c r="H11391">
        <v>6054</v>
      </c>
      <c r="I11391">
        <v>5460</v>
      </c>
      <c r="J11391">
        <v>5460</v>
      </c>
      <c r="K11391">
        <v>2032</v>
      </c>
      <c r="L11391">
        <v>9</v>
      </c>
      <c r="M11391">
        <v>3708</v>
      </c>
      <c r="N11391">
        <v>33</v>
      </c>
      <c r="O11391">
        <v>272</v>
      </c>
      <c r="P11391">
        <v>160</v>
      </c>
      <c r="Q11391">
        <v>74</v>
      </c>
    </row>
    <row r="11392" spans="1:17" x14ac:dyDescent="0.2">
      <c r="A11392" s="121">
        <v>43008</v>
      </c>
      <c r="B11392" t="s">
        <v>406</v>
      </c>
      <c r="C11392" t="s">
        <v>407</v>
      </c>
      <c r="D11392" t="s">
        <v>416</v>
      </c>
      <c r="E11392" t="s">
        <v>417</v>
      </c>
      <c r="F11392" t="s">
        <v>413</v>
      </c>
      <c r="G11392">
        <v>3158</v>
      </c>
      <c r="H11392">
        <v>3158</v>
      </c>
      <c r="I11392">
        <v>2896</v>
      </c>
      <c r="J11392">
        <v>2896</v>
      </c>
      <c r="K11392">
        <v>930</v>
      </c>
      <c r="L11392">
        <v>3</v>
      </c>
      <c r="M11392">
        <v>2037</v>
      </c>
      <c r="N11392">
        <v>127</v>
      </c>
      <c r="O11392">
        <v>61</v>
      </c>
      <c r="P11392">
        <v>50</v>
      </c>
      <c r="Q11392">
        <v>10</v>
      </c>
    </row>
    <row r="11393" spans="1:17" x14ac:dyDescent="0.2">
      <c r="A11393" s="121">
        <v>43008</v>
      </c>
      <c r="B11393" t="s">
        <v>406</v>
      </c>
      <c r="C11393" t="s">
        <v>407</v>
      </c>
      <c r="D11393" t="s">
        <v>618</v>
      </c>
      <c r="E11393" t="s">
        <v>619</v>
      </c>
      <c r="F11393" t="s">
        <v>410</v>
      </c>
      <c r="G11393">
        <v>87</v>
      </c>
      <c r="I11393">
        <v>87</v>
      </c>
    </row>
    <row r="11394" spans="1:17" x14ac:dyDescent="0.2">
      <c r="A11394" s="121">
        <v>43008</v>
      </c>
      <c r="B11394" t="s">
        <v>406</v>
      </c>
      <c r="C11394" t="s">
        <v>418</v>
      </c>
      <c r="D11394" t="s">
        <v>419</v>
      </c>
      <c r="E11394" t="s">
        <v>420</v>
      </c>
      <c r="F11394" t="s">
        <v>410</v>
      </c>
      <c r="G11394">
        <v>5</v>
      </c>
      <c r="I11394">
        <v>5</v>
      </c>
    </row>
    <row r="11395" spans="1:17" x14ac:dyDescent="0.2">
      <c r="A11395" s="121">
        <v>43008</v>
      </c>
      <c r="B11395" t="s">
        <v>406</v>
      </c>
      <c r="C11395" t="s">
        <v>418</v>
      </c>
      <c r="D11395" t="s">
        <v>421</v>
      </c>
      <c r="E11395" t="s">
        <v>422</v>
      </c>
      <c r="F11395" t="s">
        <v>410</v>
      </c>
      <c r="G11395">
        <v>111</v>
      </c>
      <c r="I11395">
        <v>111</v>
      </c>
    </row>
    <row r="11396" spans="1:17" x14ac:dyDescent="0.2">
      <c r="A11396" s="121">
        <v>43008</v>
      </c>
      <c r="B11396" t="s">
        <v>406</v>
      </c>
      <c r="C11396" t="s">
        <v>418</v>
      </c>
      <c r="D11396" t="s">
        <v>423</v>
      </c>
      <c r="E11396" t="s">
        <v>424</v>
      </c>
      <c r="F11396" t="s">
        <v>410</v>
      </c>
      <c r="G11396">
        <v>12</v>
      </c>
      <c r="I11396">
        <v>12</v>
      </c>
    </row>
    <row r="11397" spans="1:17" x14ac:dyDescent="0.2">
      <c r="A11397" s="121">
        <v>43008</v>
      </c>
      <c r="B11397" t="s">
        <v>406</v>
      </c>
      <c r="C11397" t="s">
        <v>418</v>
      </c>
      <c r="D11397" t="s">
        <v>425</v>
      </c>
      <c r="E11397" t="s">
        <v>426</v>
      </c>
      <c r="F11397" t="s">
        <v>410</v>
      </c>
      <c r="G11397">
        <v>45</v>
      </c>
      <c r="I11397">
        <v>45</v>
      </c>
    </row>
    <row r="11398" spans="1:17" x14ac:dyDescent="0.2">
      <c r="A11398" s="121">
        <v>43008</v>
      </c>
      <c r="B11398" t="s">
        <v>406</v>
      </c>
      <c r="C11398" t="s">
        <v>418</v>
      </c>
      <c r="D11398" t="s">
        <v>427</v>
      </c>
      <c r="E11398" t="s">
        <v>428</v>
      </c>
      <c r="F11398" t="s">
        <v>413</v>
      </c>
      <c r="G11398">
        <v>2661</v>
      </c>
      <c r="H11398">
        <v>2661</v>
      </c>
      <c r="I11398">
        <v>2518</v>
      </c>
      <c r="J11398">
        <v>2518</v>
      </c>
      <c r="K11398">
        <v>823</v>
      </c>
      <c r="L11398">
        <v>3</v>
      </c>
      <c r="M11398">
        <v>1628</v>
      </c>
      <c r="N11398">
        <v>197</v>
      </c>
      <c r="O11398">
        <v>10</v>
      </c>
      <c r="P11398">
        <v>6</v>
      </c>
      <c r="Q11398">
        <v>0</v>
      </c>
    </row>
    <row r="11399" spans="1:17" x14ac:dyDescent="0.2">
      <c r="A11399" s="121">
        <v>43008</v>
      </c>
      <c r="B11399" t="s">
        <v>406</v>
      </c>
      <c r="C11399" t="s">
        <v>429</v>
      </c>
      <c r="D11399" t="s">
        <v>430</v>
      </c>
      <c r="E11399" t="s">
        <v>431</v>
      </c>
      <c r="F11399" t="s">
        <v>410</v>
      </c>
      <c r="G11399">
        <v>28</v>
      </c>
      <c r="I11399">
        <v>28</v>
      </c>
    </row>
    <row r="11400" spans="1:17" x14ac:dyDescent="0.2">
      <c r="A11400" s="121">
        <v>43008</v>
      </c>
      <c r="B11400" t="s">
        <v>406</v>
      </c>
      <c r="C11400" t="s">
        <v>429</v>
      </c>
      <c r="D11400" t="s">
        <v>432</v>
      </c>
      <c r="E11400" t="s">
        <v>433</v>
      </c>
      <c r="F11400" t="s">
        <v>410</v>
      </c>
      <c r="G11400">
        <v>36</v>
      </c>
      <c r="I11400">
        <v>36</v>
      </c>
    </row>
    <row r="11401" spans="1:17" x14ac:dyDescent="0.2">
      <c r="A11401" s="121">
        <v>43008</v>
      </c>
      <c r="B11401" t="s">
        <v>406</v>
      </c>
      <c r="C11401" t="s">
        <v>429</v>
      </c>
      <c r="D11401" t="s">
        <v>434</v>
      </c>
      <c r="E11401" t="s">
        <v>435</v>
      </c>
      <c r="F11401" t="s">
        <v>410</v>
      </c>
      <c r="G11401">
        <v>2</v>
      </c>
      <c r="I11401">
        <v>2</v>
      </c>
    </row>
    <row r="11402" spans="1:17" x14ac:dyDescent="0.2">
      <c r="A11402" s="121">
        <v>43008</v>
      </c>
      <c r="B11402" t="s">
        <v>406</v>
      </c>
      <c r="C11402" t="s">
        <v>429</v>
      </c>
      <c r="D11402" t="s">
        <v>436</v>
      </c>
      <c r="E11402" t="s">
        <v>437</v>
      </c>
      <c r="F11402" t="s">
        <v>410</v>
      </c>
      <c r="G11402">
        <v>9</v>
      </c>
      <c r="H11402">
        <v>9</v>
      </c>
      <c r="I11402">
        <v>9</v>
      </c>
      <c r="J11402">
        <v>9</v>
      </c>
      <c r="K11402">
        <v>0</v>
      </c>
      <c r="L11402">
        <v>0</v>
      </c>
      <c r="M11402">
        <v>6</v>
      </c>
      <c r="N11402">
        <v>2</v>
      </c>
      <c r="O11402">
        <v>1</v>
      </c>
      <c r="P11402">
        <v>0</v>
      </c>
      <c r="Q11402">
        <v>0</v>
      </c>
    </row>
    <row r="11403" spans="1:17" x14ac:dyDescent="0.2">
      <c r="A11403" s="121">
        <v>43008</v>
      </c>
      <c r="B11403" t="s">
        <v>406</v>
      </c>
      <c r="C11403" t="s">
        <v>429</v>
      </c>
      <c r="D11403" t="s">
        <v>438</v>
      </c>
      <c r="E11403" t="s">
        <v>439</v>
      </c>
      <c r="F11403" t="s">
        <v>413</v>
      </c>
      <c r="G11403">
        <v>1075</v>
      </c>
      <c r="H11403">
        <v>1075</v>
      </c>
      <c r="I11403">
        <v>1003</v>
      </c>
      <c r="J11403">
        <v>1003</v>
      </c>
      <c r="K11403">
        <v>82</v>
      </c>
      <c r="L11403">
        <v>0</v>
      </c>
      <c r="M11403">
        <v>904</v>
      </c>
      <c r="N11403">
        <v>57</v>
      </c>
      <c r="O11403">
        <v>32</v>
      </c>
      <c r="P11403">
        <v>5</v>
      </c>
      <c r="Q11403">
        <v>0</v>
      </c>
    </row>
    <row r="11404" spans="1:17" x14ac:dyDescent="0.2">
      <c r="A11404" s="121">
        <v>43008</v>
      </c>
      <c r="B11404" t="s">
        <v>406</v>
      </c>
      <c r="C11404" t="s">
        <v>429</v>
      </c>
      <c r="D11404" t="s">
        <v>440</v>
      </c>
      <c r="E11404" t="s">
        <v>441</v>
      </c>
      <c r="F11404" t="s">
        <v>413</v>
      </c>
      <c r="G11404">
        <v>3316</v>
      </c>
      <c r="H11404">
        <v>3316</v>
      </c>
      <c r="I11404">
        <v>3048</v>
      </c>
      <c r="J11404">
        <v>3048</v>
      </c>
      <c r="K11404">
        <v>1225</v>
      </c>
      <c r="L11404">
        <v>3</v>
      </c>
      <c r="M11404">
        <v>1972</v>
      </c>
      <c r="N11404">
        <v>61</v>
      </c>
      <c r="O11404">
        <v>55</v>
      </c>
      <c r="P11404">
        <v>8</v>
      </c>
      <c r="Q11404">
        <v>0</v>
      </c>
    </row>
    <row r="11405" spans="1:17" x14ac:dyDescent="0.2">
      <c r="A11405" s="121">
        <v>43008</v>
      </c>
      <c r="B11405" t="s">
        <v>406</v>
      </c>
      <c r="C11405" t="s">
        <v>442</v>
      </c>
      <c r="D11405" t="s">
        <v>443</v>
      </c>
      <c r="E11405" t="s">
        <v>444</v>
      </c>
      <c r="F11405" t="s">
        <v>413</v>
      </c>
      <c r="G11405">
        <v>5592</v>
      </c>
      <c r="H11405">
        <v>5592</v>
      </c>
      <c r="I11405">
        <v>5262</v>
      </c>
      <c r="J11405">
        <v>5262</v>
      </c>
      <c r="K11405">
        <v>1614</v>
      </c>
      <c r="L11405">
        <v>5</v>
      </c>
      <c r="M11405">
        <v>3774</v>
      </c>
      <c r="N11405">
        <v>127</v>
      </c>
      <c r="O11405">
        <v>72</v>
      </c>
      <c r="P11405">
        <v>20</v>
      </c>
      <c r="Q11405">
        <v>0</v>
      </c>
    </row>
    <row r="11406" spans="1:17" x14ac:dyDescent="0.2">
      <c r="A11406" s="121">
        <v>43008</v>
      </c>
      <c r="B11406" t="s">
        <v>406</v>
      </c>
      <c r="C11406" t="s">
        <v>442</v>
      </c>
      <c r="D11406" t="s">
        <v>445</v>
      </c>
      <c r="E11406" t="s">
        <v>446</v>
      </c>
      <c r="F11406" t="s">
        <v>410</v>
      </c>
      <c r="G11406">
        <v>173</v>
      </c>
      <c r="H11406">
        <v>173</v>
      </c>
      <c r="I11406">
        <v>173</v>
      </c>
      <c r="J11406">
        <v>173</v>
      </c>
      <c r="K11406">
        <v>0</v>
      </c>
      <c r="L11406">
        <v>0</v>
      </c>
      <c r="M11406">
        <v>165</v>
      </c>
      <c r="N11406">
        <v>5</v>
      </c>
      <c r="O11406">
        <v>3</v>
      </c>
      <c r="P11406">
        <v>0</v>
      </c>
      <c r="Q11406">
        <v>0</v>
      </c>
    </row>
    <row r="11407" spans="1:17" x14ac:dyDescent="0.2">
      <c r="A11407" s="121">
        <v>43008</v>
      </c>
      <c r="B11407" t="s">
        <v>406</v>
      </c>
      <c r="C11407" t="s">
        <v>442</v>
      </c>
      <c r="D11407" t="s">
        <v>447</v>
      </c>
      <c r="E11407" t="s">
        <v>448</v>
      </c>
      <c r="F11407" t="s">
        <v>410</v>
      </c>
      <c r="G11407">
        <v>305</v>
      </c>
      <c r="H11407">
        <v>305</v>
      </c>
      <c r="I11407">
        <v>304</v>
      </c>
      <c r="J11407">
        <v>304</v>
      </c>
      <c r="K11407">
        <v>2</v>
      </c>
      <c r="L11407">
        <v>0</v>
      </c>
      <c r="M11407">
        <v>289</v>
      </c>
      <c r="N11407">
        <v>11</v>
      </c>
      <c r="O11407">
        <v>3</v>
      </c>
      <c r="P11407">
        <v>0</v>
      </c>
      <c r="Q11407">
        <v>0</v>
      </c>
    </row>
    <row r="11408" spans="1:17" x14ac:dyDescent="0.2">
      <c r="A11408" s="121">
        <v>43008</v>
      </c>
      <c r="B11408" t="s">
        <v>406</v>
      </c>
      <c r="C11408" t="s">
        <v>442</v>
      </c>
      <c r="D11408" t="s">
        <v>449</v>
      </c>
      <c r="E11408" t="s">
        <v>624</v>
      </c>
      <c r="F11408" t="s">
        <v>410</v>
      </c>
      <c r="G11408">
        <v>1893</v>
      </c>
      <c r="H11408">
        <v>1893</v>
      </c>
      <c r="I11408">
        <v>1879</v>
      </c>
      <c r="J11408">
        <v>1879</v>
      </c>
      <c r="K11408">
        <v>23</v>
      </c>
      <c r="L11408">
        <v>0</v>
      </c>
      <c r="M11408">
        <v>1697</v>
      </c>
      <c r="N11408">
        <v>144</v>
      </c>
      <c r="O11408">
        <v>29</v>
      </c>
      <c r="P11408">
        <v>0</v>
      </c>
      <c r="Q11408">
        <v>0</v>
      </c>
    </row>
    <row r="11409" spans="1:17" x14ac:dyDescent="0.2">
      <c r="A11409" s="121">
        <v>43008</v>
      </c>
      <c r="B11409" t="s">
        <v>406</v>
      </c>
      <c r="C11409" t="s">
        <v>451</v>
      </c>
      <c r="D11409" t="s">
        <v>454</v>
      </c>
      <c r="E11409" t="s">
        <v>621</v>
      </c>
      <c r="F11409" t="s">
        <v>410</v>
      </c>
      <c r="G11409">
        <v>1544</v>
      </c>
      <c r="H11409">
        <v>1544</v>
      </c>
      <c r="I11409">
        <v>1544</v>
      </c>
      <c r="J11409">
        <v>1544</v>
      </c>
      <c r="K11409">
        <v>1</v>
      </c>
      <c r="L11409">
        <v>0</v>
      </c>
      <c r="M11409">
        <v>1167</v>
      </c>
      <c r="N11409">
        <v>124</v>
      </c>
      <c r="O11409">
        <v>252</v>
      </c>
      <c r="P11409">
        <v>0</v>
      </c>
      <c r="Q11409">
        <v>0</v>
      </c>
    </row>
    <row r="11410" spans="1:17" x14ac:dyDescent="0.2">
      <c r="A11410" s="121">
        <v>43008</v>
      </c>
      <c r="B11410" t="s">
        <v>406</v>
      </c>
      <c r="C11410" t="s">
        <v>451</v>
      </c>
      <c r="D11410" t="s">
        <v>622</v>
      </c>
      <c r="E11410" t="s">
        <v>623</v>
      </c>
      <c r="F11410" t="s">
        <v>413</v>
      </c>
      <c r="G11410">
        <v>5349</v>
      </c>
      <c r="H11410">
        <v>5349</v>
      </c>
      <c r="I11410">
        <v>4859</v>
      </c>
      <c r="J11410">
        <v>4859</v>
      </c>
      <c r="K11410">
        <v>1440</v>
      </c>
      <c r="L11410">
        <v>6</v>
      </c>
      <c r="M11410">
        <v>3025</v>
      </c>
      <c r="N11410">
        <v>123</v>
      </c>
      <c r="O11410">
        <v>755</v>
      </c>
      <c r="P11410">
        <v>9</v>
      </c>
      <c r="Q11410">
        <v>0</v>
      </c>
    </row>
    <row r="11411" spans="1:17" x14ac:dyDescent="0.2">
      <c r="A11411" s="121">
        <v>43008</v>
      </c>
      <c r="B11411" t="s">
        <v>406</v>
      </c>
      <c r="C11411" t="s">
        <v>456</v>
      </c>
      <c r="D11411" t="s">
        <v>457</v>
      </c>
      <c r="E11411" t="s">
        <v>458</v>
      </c>
      <c r="F11411" t="s">
        <v>413</v>
      </c>
      <c r="G11411">
        <v>5043</v>
      </c>
      <c r="H11411">
        <v>5043</v>
      </c>
      <c r="I11411">
        <v>4480</v>
      </c>
      <c r="J11411">
        <v>4480</v>
      </c>
      <c r="K11411">
        <v>1294</v>
      </c>
      <c r="L11411">
        <v>10</v>
      </c>
      <c r="M11411">
        <v>3262</v>
      </c>
      <c r="N11411">
        <v>24</v>
      </c>
      <c r="O11411">
        <v>453</v>
      </c>
      <c r="P11411">
        <v>22</v>
      </c>
      <c r="Q11411">
        <v>0</v>
      </c>
    </row>
    <row r="11412" spans="1:17" x14ac:dyDescent="0.2">
      <c r="A11412" s="121">
        <v>43008</v>
      </c>
      <c r="B11412" t="s">
        <v>406</v>
      </c>
      <c r="C11412" t="s">
        <v>456</v>
      </c>
      <c r="D11412" t="s">
        <v>459</v>
      </c>
      <c r="E11412" t="s">
        <v>460</v>
      </c>
      <c r="F11412" t="s">
        <v>413</v>
      </c>
      <c r="G11412">
        <v>1380</v>
      </c>
      <c r="H11412">
        <v>1380</v>
      </c>
      <c r="I11412">
        <v>1358</v>
      </c>
      <c r="J11412">
        <v>1358</v>
      </c>
      <c r="K11412">
        <v>143</v>
      </c>
      <c r="L11412">
        <v>0</v>
      </c>
      <c r="M11412">
        <v>1184</v>
      </c>
      <c r="N11412">
        <v>0</v>
      </c>
      <c r="O11412">
        <v>53</v>
      </c>
      <c r="P11412">
        <v>0</v>
      </c>
      <c r="Q11412">
        <v>0</v>
      </c>
    </row>
    <row r="11413" spans="1:17" x14ac:dyDescent="0.2">
      <c r="A11413" s="121">
        <v>43008</v>
      </c>
      <c r="B11413" t="s">
        <v>406</v>
      </c>
      <c r="C11413" t="s">
        <v>456</v>
      </c>
      <c r="D11413" t="s">
        <v>461</v>
      </c>
      <c r="E11413" t="s">
        <v>462</v>
      </c>
      <c r="F11413" t="s">
        <v>410</v>
      </c>
      <c r="G11413">
        <v>109</v>
      </c>
      <c r="I11413">
        <v>109</v>
      </c>
    </row>
    <row r="11414" spans="1:17" x14ac:dyDescent="0.2">
      <c r="A11414" s="121">
        <v>43008</v>
      </c>
      <c r="B11414" t="s">
        <v>406</v>
      </c>
      <c r="C11414" t="s">
        <v>456</v>
      </c>
      <c r="D11414" t="s">
        <v>463</v>
      </c>
      <c r="E11414" t="s">
        <v>464</v>
      </c>
      <c r="F11414" t="s">
        <v>410</v>
      </c>
      <c r="G11414">
        <v>7</v>
      </c>
      <c r="I11414">
        <v>7</v>
      </c>
    </row>
    <row r="11415" spans="1:17" x14ac:dyDescent="0.2">
      <c r="A11415" s="121">
        <v>43008</v>
      </c>
      <c r="B11415" t="s">
        <v>406</v>
      </c>
      <c r="C11415" t="s">
        <v>456</v>
      </c>
      <c r="D11415" t="s">
        <v>465</v>
      </c>
      <c r="E11415" t="s">
        <v>466</v>
      </c>
      <c r="F11415" t="s">
        <v>410</v>
      </c>
      <c r="G11415">
        <v>35</v>
      </c>
      <c r="I11415">
        <v>35</v>
      </c>
    </row>
    <row r="11416" spans="1:17" x14ac:dyDescent="0.2">
      <c r="A11416" s="121">
        <v>43008</v>
      </c>
      <c r="B11416" t="s">
        <v>406</v>
      </c>
      <c r="C11416" t="s">
        <v>456</v>
      </c>
      <c r="D11416" t="s">
        <v>467</v>
      </c>
      <c r="E11416" t="s">
        <v>468</v>
      </c>
      <c r="F11416" t="s">
        <v>410</v>
      </c>
      <c r="G11416">
        <v>1469</v>
      </c>
      <c r="I11416">
        <v>1469</v>
      </c>
    </row>
    <row r="11417" spans="1:17" x14ac:dyDescent="0.2">
      <c r="A11417" s="121">
        <v>43008</v>
      </c>
      <c r="B11417" t="s">
        <v>406</v>
      </c>
      <c r="C11417" t="s">
        <v>456</v>
      </c>
      <c r="D11417" t="s">
        <v>469</v>
      </c>
      <c r="E11417" t="s">
        <v>470</v>
      </c>
      <c r="F11417" t="s">
        <v>410</v>
      </c>
      <c r="G11417">
        <v>726</v>
      </c>
      <c r="I11417">
        <v>726</v>
      </c>
    </row>
    <row r="11418" spans="1:17" x14ac:dyDescent="0.2">
      <c r="A11418" s="121">
        <v>43008</v>
      </c>
      <c r="B11418" t="s">
        <v>406</v>
      </c>
      <c r="C11418" t="s">
        <v>456</v>
      </c>
      <c r="D11418" t="s">
        <v>471</v>
      </c>
      <c r="E11418" t="s">
        <v>472</v>
      </c>
      <c r="F11418" t="s">
        <v>410</v>
      </c>
      <c r="G11418">
        <v>257</v>
      </c>
      <c r="I11418">
        <v>257</v>
      </c>
    </row>
    <row r="11419" spans="1:17" x14ac:dyDescent="0.2">
      <c r="A11419" s="121">
        <v>43008</v>
      </c>
      <c r="B11419" t="s">
        <v>406</v>
      </c>
      <c r="C11419" t="s">
        <v>456</v>
      </c>
      <c r="D11419" t="s">
        <v>473</v>
      </c>
      <c r="E11419" t="s">
        <v>474</v>
      </c>
      <c r="F11419" t="s">
        <v>410</v>
      </c>
      <c r="G11419">
        <v>146</v>
      </c>
      <c r="I11419">
        <v>146</v>
      </c>
    </row>
    <row r="11420" spans="1:17" x14ac:dyDescent="0.2">
      <c r="A11420" s="121">
        <v>43008</v>
      </c>
      <c r="B11420" t="s">
        <v>406</v>
      </c>
      <c r="C11420" t="s">
        <v>456</v>
      </c>
      <c r="D11420" t="s">
        <v>475</v>
      </c>
      <c r="E11420" t="s">
        <v>476</v>
      </c>
      <c r="F11420" t="s">
        <v>410</v>
      </c>
      <c r="G11420">
        <v>243</v>
      </c>
      <c r="I11420">
        <v>243</v>
      </c>
    </row>
    <row r="11421" spans="1:17" x14ac:dyDescent="0.2">
      <c r="A11421" s="121">
        <v>43008</v>
      </c>
      <c r="B11421" t="s">
        <v>406</v>
      </c>
      <c r="C11421" t="s">
        <v>456</v>
      </c>
      <c r="D11421" t="s">
        <v>477</v>
      </c>
      <c r="E11421" t="s">
        <v>478</v>
      </c>
      <c r="F11421" t="s">
        <v>413</v>
      </c>
      <c r="G11421">
        <v>2104</v>
      </c>
      <c r="H11421">
        <v>2104</v>
      </c>
      <c r="I11421">
        <v>2022</v>
      </c>
      <c r="J11421">
        <v>2022</v>
      </c>
      <c r="K11421">
        <v>383</v>
      </c>
      <c r="L11421">
        <v>3</v>
      </c>
      <c r="M11421">
        <v>1661</v>
      </c>
      <c r="N11421">
        <v>13</v>
      </c>
      <c r="O11421">
        <v>44</v>
      </c>
      <c r="P11421">
        <v>1</v>
      </c>
      <c r="Q11421">
        <v>0</v>
      </c>
    </row>
    <row r="11422" spans="1:17" x14ac:dyDescent="0.2">
      <c r="A11422" s="121">
        <v>43008</v>
      </c>
      <c r="B11422" t="s">
        <v>406</v>
      </c>
      <c r="C11422" t="s">
        <v>456</v>
      </c>
      <c r="D11422" t="s">
        <v>479</v>
      </c>
      <c r="E11422" t="s">
        <v>480</v>
      </c>
      <c r="F11422" t="s">
        <v>410</v>
      </c>
      <c r="G11422">
        <v>47</v>
      </c>
      <c r="I11422">
        <v>47</v>
      </c>
    </row>
    <row r="11423" spans="1:17" x14ac:dyDescent="0.2">
      <c r="A11423" s="121">
        <v>43008</v>
      </c>
      <c r="B11423" t="s">
        <v>406</v>
      </c>
      <c r="C11423" t="s">
        <v>456</v>
      </c>
      <c r="D11423" t="s">
        <v>481</v>
      </c>
      <c r="E11423" t="s">
        <v>482</v>
      </c>
      <c r="F11423" t="s">
        <v>410</v>
      </c>
      <c r="G11423">
        <v>15</v>
      </c>
      <c r="I11423">
        <v>15</v>
      </c>
    </row>
    <row r="11424" spans="1:17" x14ac:dyDescent="0.2">
      <c r="A11424" s="121">
        <v>43008</v>
      </c>
      <c r="B11424" t="s">
        <v>406</v>
      </c>
      <c r="C11424" t="s">
        <v>456</v>
      </c>
      <c r="D11424" t="s">
        <v>483</v>
      </c>
      <c r="E11424" t="s">
        <v>484</v>
      </c>
      <c r="F11424" t="s">
        <v>410</v>
      </c>
      <c r="G11424">
        <v>91</v>
      </c>
      <c r="I11424">
        <v>91</v>
      </c>
    </row>
    <row r="11425" spans="1:17" x14ac:dyDescent="0.2">
      <c r="A11425" s="121">
        <v>43008</v>
      </c>
      <c r="B11425" t="s">
        <v>406</v>
      </c>
      <c r="C11425" t="s">
        <v>456</v>
      </c>
      <c r="D11425" t="s">
        <v>487</v>
      </c>
      <c r="E11425" t="s">
        <v>488</v>
      </c>
      <c r="F11425" t="s">
        <v>410</v>
      </c>
      <c r="G11425">
        <v>17</v>
      </c>
      <c r="I11425">
        <v>17</v>
      </c>
    </row>
    <row r="11426" spans="1:17" x14ac:dyDescent="0.2">
      <c r="A11426" s="121">
        <v>43008</v>
      </c>
      <c r="B11426" t="s">
        <v>406</v>
      </c>
      <c r="C11426" t="s">
        <v>456</v>
      </c>
      <c r="D11426" t="s">
        <v>489</v>
      </c>
      <c r="E11426" t="s">
        <v>490</v>
      </c>
      <c r="F11426" t="s">
        <v>410</v>
      </c>
      <c r="G11426">
        <v>104</v>
      </c>
      <c r="I11426">
        <v>104</v>
      </c>
    </row>
    <row r="11427" spans="1:17" x14ac:dyDescent="0.2">
      <c r="A11427" s="121">
        <v>43008</v>
      </c>
      <c r="B11427" t="s">
        <v>406</v>
      </c>
      <c r="C11427" t="s">
        <v>456</v>
      </c>
      <c r="D11427" t="s">
        <v>628</v>
      </c>
      <c r="E11427" t="s">
        <v>629</v>
      </c>
      <c r="F11427" t="s">
        <v>410</v>
      </c>
      <c r="G11427">
        <v>43</v>
      </c>
      <c r="I11427">
        <v>43</v>
      </c>
    </row>
    <row r="11428" spans="1:17" x14ac:dyDescent="0.2">
      <c r="A11428" s="121">
        <v>43008</v>
      </c>
      <c r="B11428" t="s">
        <v>406</v>
      </c>
      <c r="C11428" t="s">
        <v>491</v>
      </c>
      <c r="D11428" t="s">
        <v>492</v>
      </c>
      <c r="E11428" t="s">
        <v>493</v>
      </c>
      <c r="F11428" t="s">
        <v>410</v>
      </c>
      <c r="G11428">
        <v>1467</v>
      </c>
      <c r="H11428">
        <v>1467</v>
      </c>
      <c r="I11428">
        <v>1438</v>
      </c>
      <c r="J11428">
        <v>1438</v>
      </c>
      <c r="K11428">
        <v>213</v>
      </c>
      <c r="L11428">
        <v>4</v>
      </c>
      <c r="M11428">
        <v>1171</v>
      </c>
      <c r="N11428">
        <v>69</v>
      </c>
      <c r="O11428">
        <v>10</v>
      </c>
      <c r="P11428">
        <v>0</v>
      </c>
      <c r="Q11428">
        <v>0</v>
      </c>
    </row>
    <row r="11429" spans="1:17" x14ac:dyDescent="0.2">
      <c r="A11429" s="121">
        <v>43008</v>
      </c>
      <c r="B11429" t="s">
        <v>406</v>
      </c>
      <c r="C11429" t="s">
        <v>491</v>
      </c>
      <c r="D11429" t="s">
        <v>494</v>
      </c>
      <c r="E11429" t="s">
        <v>495</v>
      </c>
      <c r="F11429" t="s">
        <v>413</v>
      </c>
      <c r="G11429">
        <v>2623</v>
      </c>
      <c r="H11429">
        <v>2623</v>
      </c>
      <c r="I11429">
        <v>2507</v>
      </c>
      <c r="J11429">
        <v>2507</v>
      </c>
      <c r="K11429">
        <v>668</v>
      </c>
      <c r="L11429">
        <v>6</v>
      </c>
      <c r="M11429">
        <v>1738</v>
      </c>
      <c r="N11429">
        <v>53</v>
      </c>
      <c r="O11429">
        <v>158</v>
      </c>
      <c r="P11429">
        <v>1</v>
      </c>
      <c r="Q11429">
        <v>0</v>
      </c>
    </row>
    <row r="11430" spans="1:17" x14ac:dyDescent="0.2">
      <c r="A11430" s="121">
        <v>43008</v>
      </c>
      <c r="B11430" t="s">
        <v>406</v>
      </c>
      <c r="C11430" t="s">
        <v>491</v>
      </c>
      <c r="D11430" t="s">
        <v>496</v>
      </c>
      <c r="E11430" t="s">
        <v>497</v>
      </c>
      <c r="F11430" t="s">
        <v>413</v>
      </c>
      <c r="G11430">
        <v>5285</v>
      </c>
      <c r="H11430">
        <v>5285</v>
      </c>
      <c r="I11430">
        <v>4746</v>
      </c>
      <c r="J11430">
        <v>4746</v>
      </c>
      <c r="K11430">
        <v>1368</v>
      </c>
      <c r="L11430">
        <v>9</v>
      </c>
      <c r="M11430">
        <v>3645</v>
      </c>
      <c r="N11430">
        <v>136</v>
      </c>
      <c r="O11430">
        <v>127</v>
      </c>
      <c r="P11430">
        <v>37</v>
      </c>
      <c r="Q11430">
        <v>0</v>
      </c>
    </row>
    <row r="11431" spans="1:17" x14ac:dyDescent="0.2">
      <c r="A11431" s="121">
        <v>43008</v>
      </c>
      <c r="B11431" t="s">
        <v>406</v>
      </c>
      <c r="C11431" t="s">
        <v>491</v>
      </c>
      <c r="D11431" t="s">
        <v>498</v>
      </c>
      <c r="E11431" t="s">
        <v>499</v>
      </c>
      <c r="F11431" t="s">
        <v>413</v>
      </c>
      <c r="G11431">
        <v>7947</v>
      </c>
      <c r="H11431">
        <v>7947</v>
      </c>
      <c r="I11431">
        <v>7277</v>
      </c>
      <c r="J11431">
        <v>7277</v>
      </c>
      <c r="K11431">
        <v>2302</v>
      </c>
      <c r="L11431">
        <v>12</v>
      </c>
      <c r="M11431">
        <v>5053</v>
      </c>
      <c r="N11431">
        <v>151</v>
      </c>
      <c r="O11431">
        <v>429</v>
      </c>
      <c r="P11431">
        <v>23</v>
      </c>
      <c r="Q11431">
        <v>0</v>
      </c>
    </row>
    <row r="11432" spans="1:17" x14ac:dyDescent="0.2">
      <c r="A11432" s="121">
        <v>43008</v>
      </c>
      <c r="B11432" t="s">
        <v>406</v>
      </c>
      <c r="C11432" t="s">
        <v>491</v>
      </c>
      <c r="D11432" t="s">
        <v>500</v>
      </c>
      <c r="E11432" t="s">
        <v>620</v>
      </c>
      <c r="F11432" t="s">
        <v>410</v>
      </c>
      <c r="G11432">
        <v>1813</v>
      </c>
      <c r="H11432">
        <v>1813</v>
      </c>
      <c r="I11432">
        <v>1812</v>
      </c>
      <c r="J11432">
        <v>1812</v>
      </c>
      <c r="K11432">
        <v>0</v>
      </c>
      <c r="L11432">
        <v>0</v>
      </c>
      <c r="M11432">
        <v>1677</v>
      </c>
      <c r="N11432">
        <v>109</v>
      </c>
      <c r="O11432">
        <v>27</v>
      </c>
      <c r="P11432">
        <v>0</v>
      </c>
      <c r="Q11432">
        <v>0</v>
      </c>
    </row>
    <row r="11433" spans="1:17" x14ac:dyDescent="0.2">
      <c r="A11433" s="121">
        <v>43008</v>
      </c>
      <c r="B11433" t="s">
        <v>406</v>
      </c>
      <c r="C11433" t="s">
        <v>491</v>
      </c>
      <c r="D11433" t="s">
        <v>502</v>
      </c>
      <c r="E11433" t="s">
        <v>615</v>
      </c>
      <c r="F11433" t="s">
        <v>410</v>
      </c>
      <c r="G11433">
        <v>2932</v>
      </c>
      <c r="H11433">
        <v>2932</v>
      </c>
      <c r="I11433">
        <v>2932</v>
      </c>
      <c r="J11433">
        <v>2932</v>
      </c>
      <c r="K11433">
        <v>1</v>
      </c>
      <c r="L11433">
        <v>1</v>
      </c>
      <c r="M11433">
        <v>2630</v>
      </c>
      <c r="N11433">
        <v>259</v>
      </c>
      <c r="O11433">
        <v>41</v>
      </c>
      <c r="P11433">
        <v>0</v>
      </c>
      <c r="Q11433">
        <v>0</v>
      </c>
    </row>
    <row r="11434" spans="1:17" x14ac:dyDescent="0.2">
      <c r="A11434" s="121">
        <v>43008</v>
      </c>
      <c r="B11434" t="s">
        <v>406</v>
      </c>
      <c r="C11434" t="s">
        <v>491</v>
      </c>
      <c r="D11434" t="s">
        <v>504</v>
      </c>
      <c r="E11434" t="s">
        <v>630</v>
      </c>
      <c r="F11434" t="s">
        <v>413</v>
      </c>
      <c r="G11434">
        <v>8639</v>
      </c>
      <c r="H11434">
        <v>8639</v>
      </c>
      <c r="I11434">
        <v>7082</v>
      </c>
      <c r="J11434">
        <v>7082</v>
      </c>
      <c r="K11434">
        <v>2687</v>
      </c>
      <c r="L11434">
        <v>23</v>
      </c>
      <c r="M11434">
        <v>5610</v>
      </c>
      <c r="N11434">
        <v>92</v>
      </c>
      <c r="O11434">
        <v>227</v>
      </c>
      <c r="P11434">
        <v>90</v>
      </c>
      <c r="Q11434">
        <v>0</v>
      </c>
    </row>
    <row r="11435" spans="1:17" x14ac:dyDescent="0.2">
      <c r="A11435" s="121">
        <v>43008</v>
      </c>
      <c r="B11435" t="s">
        <v>406</v>
      </c>
      <c r="C11435" t="s">
        <v>491</v>
      </c>
      <c r="D11435" t="s">
        <v>506</v>
      </c>
      <c r="E11435" t="s">
        <v>507</v>
      </c>
      <c r="F11435" t="s">
        <v>413</v>
      </c>
      <c r="G11435">
        <v>5537</v>
      </c>
      <c r="H11435">
        <v>5537</v>
      </c>
      <c r="I11435">
        <v>5365</v>
      </c>
      <c r="J11435">
        <v>5365</v>
      </c>
      <c r="K11435">
        <v>1039</v>
      </c>
      <c r="L11435">
        <v>1</v>
      </c>
      <c r="M11435">
        <v>4475</v>
      </c>
      <c r="N11435">
        <v>4</v>
      </c>
      <c r="O11435">
        <v>18</v>
      </c>
      <c r="P11435">
        <v>1</v>
      </c>
      <c r="Q11435">
        <v>0</v>
      </c>
    </row>
    <row r="11436" spans="1:17" x14ac:dyDescent="0.2">
      <c r="A11436" s="121">
        <v>43008</v>
      </c>
      <c r="B11436" t="s">
        <v>406</v>
      </c>
      <c r="C11436" t="s">
        <v>510</v>
      </c>
      <c r="D11436" t="s">
        <v>513</v>
      </c>
      <c r="E11436" t="s">
        <v>514</v>
      </c>
      <c r="F11436" t="s">
        <v>410</v>
      </c>
      <c r="G11436">
        <v>678</v>
      </c>
      <c r="I11436">
        <v>678</v>
      </c>
    </row>
    <row r="11437" spans="1:17" x14ac:dyDescent="0.2">
      <c r="A11437" s="121">
        <v>43008</v>
      </c>
      <c r="B11437" t="s">
        <v>406</v>
      </c>
      <c r="C11437" t="s">
        <v>510</v>
      </c>
      <c r="D11437" t="s">
        <v>515</v>
      </c>
      <c r="E11437" t="s">
        <v>516</v>
      </c>
      <c r="F11437" t="s">
        <v>410</v>
      </c>
      <c r="G11437">
        <v>101</v>
      </c>
      <c r="I11437">
        <v>100</v>
      </c>
    </row>
    <row r="11438" spans="1:17" x14ac:dyDescent="0.2">
      <c r="A11438" s="121">
        <v>43008</v>
      </c>
      <c r="B11438" t="s">
        <v>406</v>
      </c>
      <c r="C11438" t="s">
        <v>510</v>
      </c>
      <c r="D11438" t="s">
        <v>519</v>
      </c>
      <c r="E11438" t="s">
        <v>520</v>
      </c>
      <c r="F11438" t="s">
        <v>410</v>
      </c>
      <c r="G11438">
        <v>321</v>
      </c>
      <c r="I11438">
        <v>315</v>
      </c>
    </row>
    <row r="11439" spans="1:17" x14ac:dyDescent="0.2">
      <c r="A11439" s="121">
        <v>43008</v>
      </c>
      <c r="B11439" t="s">
        <v>406</v>
      </c>
      <c r="C11439" t="s">
        <v>510</v>
      </c>
      <c r="D11439" t="s">
        <v>523</v>
      </c>
      <c r="E11439" t="s">
        <v>524</v>
      </c>
      <c r="F11439" t="s">
        <v>413</v>
      </c>
      <c r="G11439">
        <v>690</v>
      </c>
      <c r="H11439">
        <v>690</v>
      </c>
      <c r="I11439">
        <v>676</v>
      </c>
      <c r="J11439">
        <v>676</v>
      </c>
      <c r="K11439">
        <v>185</v>
      </c>
      <c r="L11439">
        <v>0</v>
      </c>
      <c r="M11439">
        <v>486</v>
      </c>
      <c r="N11439">
        <v>19</v>
      </c>
      <c r="O11439">
        <v>0</v>
      </c>
      <c r="P11439">
        <v>0</v>
      </c>
      <c r="Q11439">
        <v>0</v>
      </c>
    </row>
    <row r="11440" spans="1:17" x14ac:dyDescent="0.2">
      <c r="A11440" s="121">
        <v>43008</v>
      </c>
      <c r="B11440" t="s">
        <v>406</v>
      </c>
      <c r="C11440" t="s">
        <v>510</v>
      </c>
      <c r="D11440" t="s">
        <v>525</v>
      </c>
      <c r="E11440" t="s">
        <v>526</v>
      </c>
      <c r="F11440" t="s">
        <v>410</v>
      </c>
      <c r="G11440">
        <v>519</v>
      </c>
      <c r="I11440">
        <v>517</v>
      </c>
    </row>
    <row r="11441" spans="1:17" x14ac:dyDescent="0.2">
      <c r="A11441" s="121">
        <v>43008</v>
      </c>
      <c r="B11441" t="s">
        <v>406</v>
      </c>
      <c r="C11441" t="s">
        <v>510</v>
      </c>
      <c r="D11441" t="s">
        <v>527</v>
      </c>
      <c r="E11441" t="s">
        <v>528</v>
      </c>
      <c r="F11441" t="s">
        <v>410</v>
      </c>
      <c r="G11441">
        <v>197</v>
      </c>
      <c r="I11441">
        <v>196</v>
      </c>
    </row>
    <row r="11442" spans="1:17" x14ac:dyDescent="0.2">
      <c r="A11442" s="121">
        <v>43008</v>
      </c>
      <c r="B11442" t="s">
        <v>406</v>
      </c>
      <c r="C11442" t="s">
        <v>510</v>
      </c>
      <c r="D11442" t="s">
        <v>529</v>
      </c>
      <c r="E11442" t="s">
        <v>530</v>
      </c>
      <c r="F11442" t="s">
        <v>413</v>
      </c>
      <c r="G11442">
        <v>576</v>
      </c>
      <c r="H11442">
        <v>576</v>
      </c>
      <c r="I11442">
        <v>567</v>
      </c>
      <c r="J11442">
        <v>567</v>
      </c>
      <c r="K11442">
        <v>165</v>
      </c>
      <c r="L11442">
        <v>0</v>
      </c>
      <c r="M11442">
        <v>408</v>
      </c>
      <c r="N11442">
        <v>3</v>
      </c>
      <c r="O11442">
        <v>0</v>
      </c>
      <c r="P11442">
        <v>0</v>
      </c>
      <c r="Q11442">
        <v>0</v>
      </c>
    </row>
    <row r="11443" spans="1:17" x14ac:dyDescent="0.2">
      <c r="A11443" s="121">
        <v>43008</v>
      </c>
      <c r="B11443" t="s">
        <v>406</v>
      </c>
      <c r="C11443" t="s">
        <v>510</v>
      </c>
      <c r="D11443" t="s">
        <v>531</v>
      </c>
      <c r="E11443" t="s">
        <v>532</v>
      </c>
      <c r="F11443" t="s">
        <v>410</v>
      </c>
      <c r="G11443">
        <v>44</v>
      </c>
      <c r="I11443">
        <v>44</v>
      </c>
    </row>
    <row r="11444" spans="1:17" x14ac:dyDescent="0.2">
      <c r="A11444" s="121">
        <v>43008</v>
      </c>
      <c r="B11444" t="s">
        <v>406</v>
      </c>
      <c r="C11444" t="s">
        <v>510</v>
      </c>
      <c r="D11444" t="s">
        <v>533</v>
      </c>
      <c r="E11444" t="s">
        <v>534</v>
      </c>
      <c r="F11444" t="s">
        <v>413</v>
      </c>
      <c r="G11444">
        <v>3046</v>
      </c>
      <c r="H11444">
        <v>3046</v>
      </c>
      <c r="I11444">
        <v>2762</v>
      </c>
      <c r="J11444">
        <v>2762</v>
      </c>
      <c r="K11444">
        <v>803</v>
      </c>
      <c r="L11444">
        <v>7</v>
      </c>
      <c r="M11444">
        <v>2227</v>
      </c>
      <c r="N11444">
        <v>9</v>
      </c>
      <c r="O11444">
        <v>0</v>
      </c>
      <c r="P11444">
        <v>8</v>
      </c>
      <c r="Q11444">
        <v>1</v>
      </c>
    </row>
    <row r="11445" spans="1:17" x14ac:dyDescent="0.2">
      <c r="A11445" s="121">
        <v>43008</v>
      </c>
      <c r="B11445" t="s">
        <v>406</v>
      </c>
      <c r="C11445" t="s">
        <v>510</v>
      </c>
      <c r="D11445" t="s">
        <v>535</v>
      </c>
      <c r="E11445" t="s">
        <v>536</v>
      </c>
      <c r="F11445" t="s">
        <v>410</v>
      </c>
      <c r="G11445">
        <v>341</v>
      </c>
      <c r="I11445">
        <v>341</v>
      </c>
    </row>
    <row r="11446" spans="1:17" x14ac:dyDescent="0.2">
      <c r="A11446" s="121">
        <v>43008</v>
      </c>
      <c r="B11446" t="s">
        <v>406</v>
      </c>
      <c r="C11446" t="s">
        <v>510</v>
      </c>
      <c r="D11446" t="s">
        <v>537</v>
      </c>
      <c r="E11446" t="s">
        <v>538</v>
      </c>
      <c r="F11446" t="s">
        <v>410</v>
      </c>
      <c r="G11446">
        <v>73</v>
      </c>
      <c r="I11446">
        <v>73</v>
      </c>
    </row>
    <row r="11447" spans="1:17" x14ac:dyDescent="0.2">
      <c r="A11447" s="121">
        <v>43008</v>
      </c>
      <c r="B11447" t="s">
        <v>406</v>
      </c>
      <c r="C11447" t="s">
        <v>510</v>
      </c>
      <c r="D11447" t="s">
        <v>539</v>
      </c>
      <c r="E11447" t="s">
        <v>540</v>
      </c>
      <c r="F11447" t="s">
        <v>413</v>
      </c>
      <c r="G11447">
        <v>862</v>
      </c>
      <c r="H11447">
        <v>862</v>
      </c>
      <c r="I11447">
        <v>820</v>
      </c>
      <c r="J11447">
        <v>820</v>
      </c>
      <c r="K11447">
        <v>156</v>
      </c>
      <c r="L11447">
        <v>0</v>
      </c>
      <c r="M11447">
        <v>703</v>
      </c>
      <c r="N11447">
        <v>3</v>
      </c>
      <c r="O11447">
        <v>0</v>
      </c>
      <c r="P11447">
        <v>2</v>
      </c>
      <c r="Q11447">
        <v>0</v>
      </c>
    </row>
    <row r="11448" spans="1:17" x14ac:dyDescent="0.2">
      <c r="A11448" s="121">
        <v>43008</v>
      </c>
      <c r="B11448" t="s">
        <v>406</v>
      </c>
      <c r="C11448" t="s">
        <v>510</v>
      </c>
      <c r="D11448" t="s">
        <v>541</v>
      </c>
      <c r="E11448" t="s">
        <v>542</v>
      </c>
      <c r="F11448" t="s">
        <v>410</v>
      </c>
      <c r="G11448">
        <v>417</v>
      </c>
      <c r="I11448">
        <v>417</v>
      </c>
    </row>
    <row r="11449" spans="1:17" x14ac:dyDescent="0.2">
      <c r="A11449" s="121">
        <v>43008</v>
      </c>
      <c r="B11449" t="s">
        <v>406</v>
      </c>
      <c r="C11449" t="s">
        <v>510</v>
      </c>
      <c r="D11449" t="s">
        <v>543</v>
      </c>
      <c r="E11449" t="s">
        <v>544</v>
      </c>
      <c r="F11449" t="s">
        <v>410</v>
      </c>
      <c r="G11449">
        <v>194</v>
      </c>
      <c r="I11449">
        <v>194</v>
      </c>
    </row>
    <row r="11450" spans="1:17" x14ac:dyDescent="0.2">
      <c r="A11450" s="121">
        <v>43008</v>
      </c>
      <c r="B11450" t="s">
        <v>406</v>
      </c>
      <c r="C11450" t="s">
        <v>510</v>
      </c>
      <c r="D11450" t="s">
        <v>545</v>
      </c>
      <c r="E11450" t="s">
        <v>546</v>
      </c>
      <c r="F11450" t="s">
        <v>410</v>
      </c>
      <c r="G11450">
        <v>37</v>
      </c>
      <c r="I11450">
        <v>37</v>
      </c>
    </row>
    <row r="11451" spans="1:17" x14ac:dyDescent="0.2">
      <c r="A11451" s="121">
        <v>43008</v>
      </c>
      <c r="B11451" t="s">
        <v>406</v>
      </c>
      <c r="C11451" t="s">
        <v>510</v>
      </c>
      <c r="D11451" t="s">
        <v>547</v>
      </c>
      <c r="E11451" t="s">
        <v>548</v>
      </c>
      <c r="F11451" t="s">
        <v>410</v>
      </c>
      <c r="G11451">
        <v>215</v>
      </c>
      <c r="I11451">
        <v>215</v>
      </c>
    </row>
    <row r="11452" spans="1:17" x14ac:dyDescent="0.2">
      <c r="A11452" s="121">
        <v>43008</v>
      </c>
      <c r="B11452" t="s">
        <v>406</v>
      </c>
      <c r="C11452" t="s">
        <v>510</v>
      </c>
      <c r="D11452" t="s">
        <v>616</v>
      </c>
      <c r="E11452" t="s">
        <v>617</v>
      </c>
      <c r="F11452" t="s">
        <v>410</v>
      </c>
      <c r="G11452">
        <v>372</v>
      </c>
      <c r="I11452">
        <v>367</v>
      </c>
    </row>
    <row r="11453" spans="1:17" x14ac:dyDescent="0.2">
      <c r="A11453" s="121">
        <v>43008</v>
      </c>
      <c r="B11453" t="s">
        <v>406</v>
      </c>
      <c r="C11453" t="s">
        <v>510</v>
      </c>
      <c r="D11453" t="s">
        <v>549</v>
      </c>
      <c r="E11453" t="s">
        <v>550</v>
      </c>
      <c r="F11453" t="s">
        <v>410</v>
      </c>
      <c r="G11453">
        <v>155</v>
      </c>
      <c r="I11453">
        <v>155</v>
      </c>
    </row>
    <row r="11454" spans="1:17" x14ac:dyDescent="0.2">
      <c r="A11454" s="121">
        <v>43008</v>
      </c>
      <c r="B11454" t="s">
        <v>406</v>
      </c>
      <c r="C11454" t="s">
        <v>510</v>
      </c>
      <c r="D11454" t="s">
        <v>625</v>
      </c>
      <c r="E11454" t="s">
        <v>626</v>
      </c>
      <c r="F11454" t="s">
        <v>410</v>
      </c>
      <c r="G11454">
        <v>141</v>
      </c>
      <c r="I11454">
        <v>141</v>
      </c>
    </row>
    <row r="11455" spans="1:17" x14ac:dyDescent="0.2">
      <c r="A11455" s="121">
        <v>43008</v>
      </c>
      <c r="B11455" t="s">
        <v>406</v>
      </c>
      <c r="C11455" t="s">
        <v>551</v>
      </c>
      <c r="D11455" t="s">
        <v>552</v>
      </c>
      <c r="E11455" t="s">
        <v>553</v>
      </c>
      <c r="F11455" t="s">
        <v>413</v>
      </c>
      <c r="G11455">
        <v>5848</v>
      </c>
      <c r="H11455">
        <v>5848</v>
      </c>
      <c r="I11455">
        <v>5590</v>
      </c>
      <c r="J11455">
        <v>5590</v>
      </c>
      <c r="K11455">
        <v>1814</v>
      </c>
      <c r="L11455">
        <v>1</v>
      </c>
      <c r="M11455">
        <v>3881</v>
      </c>
      <c r="N11455">
        <v>105</v>
      </c>
      <c r="O11455">
        <v>47</v>
      </c>
      <c r="P11455">
        <v>10</v>
      </c>
      <c r="Q11455">
        <v>1</v>
      </c>
    </row>
    <row r="11456" spans="1:17" x14ac:dyDescent="0.2">
      <c r="A11456" s="121">
        <v>43008</v>
      </c>
      <c r="B11456" t="s">
        <v>406</v>
      </c>
      <c r="C11456" t="s">
        <v>551</v>
      </c>
      <c r="D11456" t="s">
        <v>554</v>
      </c>
      <c r="E11456" t="s">
        <v>555</v>
      </c>
      <c r="F11456" t="s">
        <v>410</v>
      </c>
      <c r="G11456">
        <v>75</v>
      </c>
      <c r="I11456">
        <v>75</v>
      </c>
    </row>
    <row r="11457" spans="1:17" x14ac:dyDescent="0.2">
      <c r="A11457" s="121">
        <v>43008</v>
      </c>
      <c r="B11457" t="s">
        <v>406</v>
      </c>
      <c r="C11457" t="s">
        <v>551</v>
      </c>
      <c r="D11457" t="s">
        <v>556</v>
      </c>
      <c r="E11457" t="s">
        <v>557</v>
      </c>
      <c r="F11457" t="s">
        <v>410</v>
      </c>
      <c r="G11457">
        <v>63</v>
      </c>
      <c r="I11457">
        <v>63</v>
      </c>
    </row>
    <row r="11458" spans="1:17" x14ac:dyDescent="0.2">
      <c r="A11458" s="121">
        <v>43008</v>
      </c>
      <c r="B11458" t="s">
        <v>406</v>
      </c>
      <c r="C11458" t="s">
        <v>551</v>
      </c>
      <c r="D11458" t="s">
        <v>558</v>
      </c>
      <c r="E11458" t="s">
        <v>559</v>
      </c>
      <c r="F11458" t="s">
        <v>413</v>
      </c>
      <c r="G11458">
        <v>5458</v>
      </c>
      <c r="H11458">
        <v>5458</v>
      </c>
      <c r="I11458">
        <v>4922</v>
      </c>
      <c r="J11458">
        <v>4922</v>
      </c>
      <c r="K11458">
        <v>1488</v>
      </c>
      <c r="L11458">
        <v>8</v>
      </c>
      <c r="M11458">
        <v>3851</v>
      </c>
      <c r="N11458">
        <v>85</v>
      </c>
      <c r="O11458">
        <v>26</v>
      </c>
      <c r="P11458">
        <v>53</v>
      </c>
      <c r="Q11458">
        <v>13</v>
      </c>
    </row>
    <row r="11459" spans="1:17" x14ac:dyDescent="0.2">
      <c r="A11459" s="121">
        <v>43008</v>
      </c>
      <c r="B11459" t="s">
        <v>406</v>
      </c>
      <c r="C11459" t="s">
        <v>551</v>
      </c>
      <c r="D11459" t="s">
        <v>560</v>
      </c>
      <c r="E11459" t="s">
        <v>561</v>
      </c>
      <c r="F11459" t="s">
        <v>413</v>
      </c>
      <c r="G11459">
        <v>5986</v>
      </c>
      <c r="H11459">
        <v>5986</v>
      </c>
      <c r="I11459">
        <v>5501</v>
      </c>
      <c r="J11459">
        <v>5501</v>
      </c>
      <c r="K11459">
        <v>1821</v>
      </c>
      <c r="L11459">
        <v>6</v>
      </c>
      <c r="M11459">
        <v>3962</v>
      </c>
      <c r="N11459">
        <v>70</v>
      </c>
      <c r="O11459">
        <v>127</v>
      </c>
      <c r="P11459">
        <v>26</v>
      </c>
      <c r="Q11459">
        <v>0</v>
      </c>
    </row>
    <row r="11460" spans="1:17" x14ac:dyDescent="0.2">
      <c r="A11460" s="121">
        <v>43008</v>
      </c>
      <c r="B11460" t="s">
        <v>406</v>
      </c>
      <c r="C11460" t="s">
        <v>562</v>
      </c>
      <c r="D11460" t="s">
        <v>605</v>
      </c>
      <c r="E11460" t="s">
        <v>606</v>
      </c>
      <c r="F11460" t="s">
        <v>410</v>
      </c>
      <c r="G11460">
        <v>165</v>
      </c>
      <c r="I11460">
        <v>165</v>
      </c>
    </row>
    <row r="11461" spans="1:17" x14ac:dyDescent="0.2">
      <c r="A11461" s="121">
        <v>43008</v>
      </c>
      <c r="B11461" t="s">
        <v>406</v>
      </c>
      <c r="C11461" t="s">
        <v>562</v>
      </c>
      <c r="D11461" t="s">
        <v>563</v>
      </c>
      <c r="E11461" t="s">
        <v>564</v>
      </c>
      <c r="F11461" t="s">
        <v>410</v>
      </c>
      <c r="G11461">
        <v>4060</v>
      </c>
      <c r="H11461">
        <v>4060</v>
      </c>
      <c r="I11461">
        <v>3665</v>
      </c>
      <c r="J11461">
        <v>3665</v>
      </c>
      <c r="K11461">
        <v>1109</v>
      </c>
      <c r="L11461">
        <v>0</v>
      </c>
      <c r="M11461">
        <v>2922</v>
      </c>
      <c r="N11461">
        <v>29</v>
      </c>
      <c r="O11461">
        <v>0</v>
      </c>
      <c r="P11461">
        <v>108</v>
      </c>
      <c r="Q11461">
        <v>53</v>
      </c>
    </row>
    <row r="11462" spans="1:17" x14ac:dyDescent="0.2">
      <c r="A11462" s="121">
        <v>43008</v>
      </c>
      <c r="B11462" t="s">
        <v>406</v>
      </c>
      <c r="C11462" t="s">
        <v>562</v>
      </c>
      <c r="D11462" t="s">
        <v>565</v>
      </c>
      <c r="E11462" t="s">
        <v>566</v>
      </c>
      <c r="F11462" t="s">
        <v>413</v>
      </c>
      <c r="G11462">
        <v>4839</v>
      </c>
      <c r="H11462">
        <v>4839</v>
      </c>
      <c r="I11462">
        <v>4645</v>
      </c>
      <c r="J11462">
        <v>4645</v>
      </c>
      <c r="K11462">
        <v>895</v>
      </c>
      <c r="L11462">
        <v>3</v>
      </c>
      <c r="M11462">
        <v>3871</v>
      </c>
      <c r="N11462">
        <v>70</v>
      </c>
      <c r="O11462">
        <v>0</v>
      </c>
      <c r="P11462">
        <v>9</v>
      </c>
      <c r="Q11462">
        <v>0</v>
      </c>
    </row>
    <row r="11463" spans="1:17" x14ac:dyDescent="0.2">
      <c r="A11463" s="121">
        <v>43008</v>
      </c>
      <c r="B11463" t="s">
        <v>406</v>
      </c>
      <c r="C11463" t="s">
        <v>562</v>
      </c>
      <c r="D11463" t="s">
        <v>567</v>
      </c>
      <c r="E11463" t="s">
        <v>568</v>
      </c>
      <c r="F11463" t="s">
        <v>413</v>
      </c>
      <c r="G11463">
        <v>10018</v>
      </c>
      <c r="H11463">
        <v>10018</v>
      </c>
      <c r="I11463">
        <v>9360</v>
      </c>
      <c r="J11463">
        <v>9360</v>
      </c>
      <c r="K11463">
        <v>2812</v>
      </c>
      <c r="L11463">
        <v>13</v>
      </c>
      <c r="M11463">
        <v>7075</v>
      </c>
      <c r="N11463">
        <v>118</v>
      </c>
      <c r="O11463">
        <v>0</v>
      </c>
      <c r="P11463">
        <v>120</v>
      </c>
      <c r="Q11463">
        <v>14</v>
      </c>
    </row>
    <row r="11464" spans="1:17" x14ac:dyDescent="0.2">
      <c r="A11464" s="121">
        <v>43008</v>
      </c>
      <c r="B11464" t="s">
        <v>406</v>
      </c>
      <c r="C11464" t="s">
        <v>562</v>
      </c>
      <c r="D11464" t="s">
        <v>569</v>
      </c>
      <c r="E11464" t="s">
        <v>570</v>
      </c>
      <c r="F11464" t="s">
        <v>413</v>
      </c>
      <c r="G11464">
        <v>4280</v>
      </c>
      <c r="H11464">
        <v>4280</v>
      </c>
      <c r="I11464">
        <v>4204</v>
      </c>
      <c r="J11464">
        <v>4204</v>
      </c>
      <c r="K11464">
        <v>542</v>
      </c>
      <c r="L11464">
        <v>0</v>
      </c>
      <c r="M11464">
        <v>3736</v>
      </c>
      <c r="N11464">
        <v>2</v>
      </c>
      <c r="O11464">
        <v>0</v>
      </c>
      <c r="P11464">
        <v>1</v>
      </c>
      <c r="Q11464">
        <v>0</v>
      </c>
    </row>
    <row r="11465" spans="1:17" x14ac:dyDescent="0.2">
      <c r="A11465" s="121">
        <v>43008</v>
      </c>
      <c r="B11465" t="s">
        <v>406</v>
      </c>
      <c r="C11465" t="s">
        <v>571</v>
      </c>
      <c r="D11465" t="s">
        <v>572</v>
      </c>
      <c r="E11465" t="s">
        <v>627</v>
      </c>
      <c r="F11465" t="s">
        <v>413</v>
      </c>
      <c r="G11465">
        <v>503</v>
      </c>
      <c r="H11465">
        <v>503</v>
      </c>
      <c r="I11465">
        <v>486</v>
      </c>
      <c r="J11465">
        <v>486</v>
      </c>
      <c r="K11465">
        <v>138</v>
      </c>
      <c r="L11465">
        <v>0</v>
      </c>
      <c r="M11465">
        <v>361</v>
      </c>
      <c r="N11465">
        <v>3</v>
      </c>
      <c r="O11465">
        <v>1</v>
      </c>
      <c r="P11465">
        <v>1</v>
      </c>
      <c r="Q11465">
        <v>0</v>
      </c>
    </row>
    <row r="11466" spans="1:17" x14ac:dyDescent="0.2">
      <c r="A11466" s="121">
        <v>43008</v>
      </c>
      <c r="B11466" t="s">
        <v>406</v>
      </c>
      <c r="C11466" t="s">
        <v>574</v>
      </c>
      <c r="D11466" t="s">
        <v>575</v>
      </c>
      <c r="E11466" t="s">
        <v>576</v>
      </c>
      <c r="F11466" t="s">
        <v>413</v>
      </c>
      <c r="G11466">
        <v>651</v>
      </c>
      <c r="H11466">
        <v>651</v>
      </c>
      <c r="I11466">
        <v>639</v>
      </c>
      <c r="J11466">
        <v>639</v>
      </c>
      <c r="K11466">
        <v>151</v>
      </c>
      <c r="L11466">
        <v>0</v>
      </c>
      <c r="M11466">
        <v>490</v>
      </c>
      <c r="N11466">
        <v>1</v>
      </c>
      <c r="O11466">
        <v>9</v>
      </c>
      <c r="P11466">
        <v>0</v>
      </c>
      <c r="Q11466">
        <v>0</v>
      </c>
    </row>
    <row r="11467" spans="1:17" x14ac:dyDescent="0.2">
      <c r="A11467" s="121">
        <v>43008</v>
      </c>
      <c r="B11467" t="s">
        <v>406</v>
      </c>
      <c r="C11467" t="s">
        <v>577</v>
      </c>
      <c r="D11467" t="s">
        <v>578</v>
      </c>
      <c r="E11467" t="s">
        <v>579</v>
      </c>
      <c r="F11467" t="s">
        <v>413</v>
      </c>
      <c r="G11467">
        <v>4287</v>
      </c>
      <c r="H11467">
        <v>4287</v>
      </c>
      <c r="I11467">
        <v>4121</v>
      </c>
      <c r="J11467">
        <v>4121</v>
      </c>
      <c r="K11467">
        <v>1325</v>
      </c>
      <c r="L11467">
        <v>6</v>
      </c>
      <c r="M11467">
        <v>2651</v>
      </c>
      <c r="N11467">
        <v>221</v>
      </c>
      <c r="O11467">
        <v>84</v>
      </c>
      <c r="P11467">
        <v>0</v>
      </c>
      <c r="Q11467">
        <v>0</v>
      </c>
    </row>
    <row r="11468" spans="1:17" x14ac:dyDescent="0.2">
      <c r="A11468" s="121">
        <v>43008</v>
      </c>
      <c r="B11468" t="s">
        <v>406</v>
      </c>
      <c r="C11468" t="s">
        <v>577</v>
      </c>
      <c r="D11468" t="s">
        <v>580</v>
      </c>
      <c r="E11468" t="s">
        <v>581</v>
      </c>
      <c r="F11468" t="s">
        <v>413</v>
      </c>
      <c r="G11468">
        <v>2194</v>
      </c>
      <c r="H11468">
        <v>2194</v>
      </c>
      <c r="I11468">
        <v>2121</v>
      </c>
      <c r="J11468">
        <v>2121</v>
      </c>
      <c r="K11468">
        <v>425</v>
      </c>
      <c r="L11468">
        <v>6</v>
      </c>
      <c r="M11468">
        <v>1475</v>
      </c>
      <c r="N11468">
        <v>256</v>
      </c>
      <c r="O11468">
        <v>32</v>
      </c>
      <c r="P11468">
        <v>3</v>
      </c>
      <c r="Q11468">
        <v>0</v>
      </c>
    </row>
    <row r="11469" spans="1:17" x14ac:dyDescent="0.2">
      <c r="A11469" s="121">
        <v>43008</v>
      </c>
      <c r="B11469" t="s">
        <v>406</v>
      </c>
      <c r="C11469" t="s">
        <v>577</v>
      </c>
      <c r="D11469" t="s">
        <v>609</v>
      </c>
      <c r="E11469" t="s">
        <v>610</v>
      </c>
      <c r="F11469" t="s">
        <v>410</v>
      </c>
      <c r="G11469">
        <v>30</v>
      </c>
      <c r="H11469">
        <v>30</v>
      </c>
      <c r="I11469">
        <v>30</v>
      </c>
      <c r="J11469">
        <v>30</v>
      </c>
      <c r="K11469">
        <v>0</v>
      </c>
      <c r="L11469">
        <v>0</v>
      </c>
      <c r="M11469">
        <v>25</v>
      </c>
      <c r="N11469">
        <v>4</v>
      </c>
      <c r="O11469">
        <v>1</v>
      </c>
      <c r="P11469">
        <v>0</v>
      </c>
      <c r="Q11469">
        <v>0</v>
      </c>
    </row>
    <row r="11470" spans="1:17" x14ac:dyDescent="0.2">
      <c r="A11470" s="121">
        <v>43008</v>
      </c>
      <c r="B11470" t="s">
        <v>406</v>
      </c>
      <c r="C11470" t="s">
        <v>577</v>
      </c>
      <c r="D11470" t="s">
        <v>584</v>
      </c>
      <c r="E11470" t="s">
        <v>585</v>
      </c>
      <c r="F11470" t="s">
        <v>410</v>
      </c>
      <c r="G11470">
        <v>296</v>
      </c>
      <c r="H11470">
        <v>296</v>
      </c>
      <c r="I11470">
        <v>295</v>
      </c>
      <c r="J11470">
        <v>295</v>
      </c>
      <c r="K11470">
        <v>0</v>
      </c>
      <c r="L11470">
        <v>0</v>
      </c>
      <c r="M11470">
        <v>278</v>
      </c>
      <c r="N11470">
        <v>14</v>
      </c>
      <c r="O11470">
        <v>4</v>
      </c>
      <c r="P11470">
        <v>0</v>
      </c>
      <c r="Q11470">
        <v>0</v>
      </c>
    </row>
    <row r="11471" spans="1:17" x14ac:dyDescent="0.2">
      <c r="A11471" s="121">
        <v>43008</v>
      </c>
      <c r="B11471" t="s">
        <v>406</v>
      </c>
      <c r="C11471" t="s">
        <v>577</v>
      </c>
      <c r="D11471" t="s">
        <v>586</v>
      </c>
      <c r="E11471" t="s">
        <v>587</v>
      </c>
      <c r="F11471" t="s">
        <v>410</v>
      </c>
      <c r="G11471">
        <v>1277</v>
      </c>
      <c r="H11471">
        <v>1277</v>
      </c>
      <c r="I11471">
        <v>1275</v>
      </c>
      <c r="J11471">
        <v>1275</v>
      </c>
      <c r="K11471">
        <v>0</v>
      </c>
      <c r="L11471">
        <v>0</v>
      </c>
      <c r="M11471">
        <v>1162</v>
      </c>
      <c r="N11471">
        <v>111</v>
      </c>
      <c r="O11471">
        <v>4</v>
      </c>
      <c r="P11471">
        <v>0</v>
      </c>
      <c r="Q11471">
        <v>0</v>
      </c>
    </row>
    <row r="11472" spans="1:17" x14ac:dyDescent="0.2">
      <c r="A11472" s="121">
        <v>43008</v>
      </c>
      <c r="B11472" t="s">
        <v>406</v>
      </c>
      <c r="C11472" t="s">
        <v>577</v>
      </c>
      <c r="D11472" t="s">
        <v>588</v>
      </c>
      <c r="E11472" t="s">
        <v>589</v>
      </c>
      <c r="F11472" t="s">
        <v>410</v>
      </c>
      <c r="G11472">
        <v>170</v>
      </c>
      <c r="H11472">
        <v>170</v>
      </c>
      <c r="I11472">
        <v>170</v>
      </c>
      <c r="J11472">
        <v>170</v>
      </c>
      <c r="K11472">
        <v>0</v>
      </c>
      <c r="L11472">
        <v>0</v>
      </c>
      <c r="M11472">
        <v>164</v>
      </c>
      <c r="N11472">
        <v>6</v>
      </c>
      <c r="O11472">
        <v>0</v>
      </c>
      <c r="P11472">
        <v>0</v>
      </c>
      <c r="Q11472">
        <v>0</v>
      </c>
    </row>
    <row r="11473" spans="1:17" x14ac:dyDescent="0.2">
      <c r="A11473" s="121">
        <v>43008</v>
      </c>
      <c r="B11473" t="s">
        <v>406</v>
      </c>
      <c r="C11473" t="s">
        <v>577</v>
      </c>
      <c r="D11473" t="s">
        <v>613</v>
      </c>
      <c r="E11473" t="s">
        <v>614</v>
      </c>
      <c r="F11473" t="s">
        <v>410</v>
      </c>
      <c r="G11473">
        <v>99</v>
      </c>
      <c r="H11473">
        <v>99</v>
      </c>
      <c r="I11473">
        <v>99</v>
      </c>
      <c r="J11473">
        <v>99</v>
      </c>
      <c r="K11473">
        <v>0</v>
      </c>
      <c r="L11473">
        <v>0</v>
      </c>
      <c r="M11473">
        <v>94</v>
      </c>
      <c r="N11473">
        <v>3</v>
      </c>
      <c r="O11473">
        <v>2</v>
      </c>
      <c r="P11473">
        <v>0</v>
      </c>
      <c r="Q11473">
        <v>0</v>
      </c>
    </row>
    <row r="11474" spans="1:17" x14ac:dyDescent="0.2">
      <c r="A11474" s="121">
        <v>43008</v>
      </c>
      <c r="B11474" t="s">
        <v>406</v>
      </c>
      <c r="C11474" t="s">
        <v>577</v>
      </c>
      <c r="D11474" t="s">
        <v>590</v>
      </c>
      <c r="E11474" t="s">
        <v>591</v>
      </c>
      <c r="F11474" t="s">
        <v>410</v>
      </c>
      <c r="G11474">
        <v>498</v>
      </c>
      <c r="H11474">
        <v>498</v>
      </c>
      <c r="I11474">
        <v>498</v>
      </c>
      <c r="J11474">
        <v>498</v>
      </c>
      <c r="K11474">
        <v>0</v>
      </c>
      <c r="L11474">
        <v>0</v>
      </c>
      <c r="M11474">
        <v>476</v>
      </c>
      <c r="N11474">
        <v>22</v>
      </c>
      <c r="O11474">
        <v>0</v>
      </c>
      <c r="P11474">
        <v>0</v>
      </c>
      <c r="Q11474">
        <v>0</v>
      </c>
    </row>
    <row r="11475" spans="1:17" x14ac:dyDescent="0.2">
      <c r="A11475" s="121">
        <v>43008</v>
      </c>
      <c r="B11475" t="s">
        <v>406</v>
      </c>
      <c r="C11475" t="s">
        <v>577</v>
      </c>
      <c r="D11475" t="s">
        <v>607</v>
      </c>
      <c r="E11475" t="s">
        <v>608</v>
      </c>
      <c r="F11475" t="s">
        <v>410</v>
      </c>
      <c r="G11475">
        <v>190</v>
      </c>
      <c r="H11475">
        <v>190</v>
      </c>
      <c r="I11475">
        <v>190</v>
      </c>
      <c r="J11475">
        <v>190</v>
      </c>
      <c r="K11475">
        <v>0</v>
      </c>
      <c r="L11475">
        <v>0</v>
      </c>
      <c r="M11475">
        <v>182</v>
      </c>
      <c r="N11475">
        <v>7</v>
      </c>
      <c r="O11475">
        <v>1</v>
      </c>
      <c r="P11475">
        <v>0</v>
      </c>
      <c r="Q11475">
        <v>0</v>
      </c>
    </row>
    <row r="11476" spans="1:17" x14ac:dyDescent="0.2">
      <c r="A11476" s="121">
        <v>43008</v>
      </c>
      <c r="B11476" t="s">
        <v>406</v>
      </c>
      <c r="C11476" t="s">
        <v>577</v>
      </c>
      <c r="D11476" t="s">
        <v>592</v>
      </c>
      <c r="E11476" t="s">
        <v>593</v>
      </c>
      <c r="F11476" t="s">
        <v>410</v>
      </c>
      <c r="G11476">
        <v>371</v>
      </c>
      <c r="H11476">
        <v>371</v>
      </c>
      <c r="I11476">
        <v>371</v>
      </c>
      <c r="J11476">
        <v>371</v>
      </c>
      <c r="K11476">
        <v>0</v>
      </c>
      <c r="L11476">
        <v>0</v>
      </c>
      <c r="M11476">
        <v>345</v>
      </c>
      <c r="N11476">
        <v>24</v>
      </c>
      <c r="O11476">
        <v>2</v>
      </c>
      <c r="P11476">
        <v>0</v>
      </c>
      <c r="Q11476">
        <v>0</v>
      </c>
    </row>
    <row r="11477" spans="1:17" x14ac:dyDescent="0.2">
      <c r="A11477" s="121">
        <v>43008</v>
      </c>
      <c r="B11477" t="s">
        <v>406</v>
      </c>
      <c r="C11477" t="s">
        <v>594</v>
      </c>
      <c r="D11477" t="s">
        <v>595</v>
      </c>
      <c r="E11477" t="s">
        <v>596</v>
      </c>
      <c r="F11477" t="s">
        <v>410</v>
      </c>
      <c r="G11477">
        <v>53</v>
      </c>
      <c r="I11477">
        <v>53</v>
      </c>
    </row>
    <row r="11478" spans="1:17" x14ac:dyDescent="0.2">
      <c r="A11478" s="121">
        <v>43008</v>
      </c>
      <c r="B11478" t="s">
        <v>406</v>
      </c>
      <c r="C11478" t="s">
        <v>594</v>
      </c>
      <c r="D11478" t="s">
        <v>597</v>
      </c>
      <c r="E11478" t="s">
        <v>598</v>
      </c>
      <c r="F11478" t="s">
        <v>413</v>
      </c>
      <c r="G11478">
        <v>562</v>
      </c>
      <c r="H11478">
        <v>562</v>
      </c>
      <c r="I11478">
        <v>557</v>
      </c>
      <c r="J11478">
        <v>557</v>
      </c>
      <c r="K11478">
        <v>121</v>
      </c>
      <c r="L11478">
        <v>1</v>
      </c>
      <c r="M11478">
        <v>426</v>
      </c>
      <c r="N11478">
        <v>6</v>
      </c>
      <c r="O11478">
        <v>8</v>
      </c>
      <c r="P11478">
        <v>0</v>
      </c>
      <c r="Q11478">
        <v>0</v>
      </c>
    </row>
    <row r="11479" spans="1:17" x14ac:dyDescent="0.2">
      <c r="A11479" s="121">
        <v>43008</v>
      </c>
      <c r="B11479" t="s">
        <v>406</v>
      </c>
      <c r="C11479" t="s">
        <v>594</v>
      </c>
      <c r="D11479" t="s">
        <v>599</v>
      </c>
      <c r="E11479" t="s">
        <v>600</v>
      </c>
      <c r="F11479" t="s">
        <v>410</v>
      </c>
      <c r="G11479">
        <v>136</v>
      </c>
      <c r="H11479">
        <v>136</v>
      </c>
      <c r="I11479">
        <v>136</v>
      </c>
      <c r="J11479">
        <v>136</v>
      </c>
      <c r="K11479">
        <v>10</v>
      </c>
      <c r="L11479">
        <v>0</v>
      </c>
      <c r="M11479">
        <v>124</v>
      </c>
      <c r="N11479">
        <v>0</v>
      </c>
      <c r="O11479">
        <v>2</v>
      </c>
      <c r="P11479">
        <v>0</v>
      </c>
      <c r="Q11479">
        <v>0</v>
      </c>
    </row>
    <row r="11480" spans="1:17" x14ac:dyDescent="0.2">
      <c r="A11480" s="121">
        <v>43039</v>
      </c>
      <c r="B11480" t="s">
        <v>406</v>
      </c>
      <c r="C11480" t="s">
        <v>407</v>
      </c>
      <c r="D11480" t="s">
        <v>408</v>
      </c>
      <c r="E11480" t="s">
        <v>409</v>
      </c>
      <c r="F11480" t="s">
        <v>410</v>
      </c>
      <c r="G11480">
        <v>207</v>
      </c>
      <c r="I11480">
        <v>206</v>
      </c>
    </row>
    <row r="11481" spans="1:17" x14ac:dyDescent="0.2">
      <c r="A11481" s="121">
        <v>43039</v>
      </c>
      <c r="B11481" t="s">
        <v>406</v>
      </c>
      <c r="C11481" t="s">
        <v>407</v>
      </c>
      <c r="D11481" t="s">
        <v>601</v>
      </c>
      <c r="E11481" t="s">
        <v>602</v>
      </c>
      <c r="F11481" t="s">
        <v>410</v>
      </c>
      <c r="G11481">
        <v>60</v>
      </c>
      <c r="I11481">
        <v>60</v>
      </c>
    </row>
    <row r="11482" spans="1:17" x14ac:dyDescent="0.2">
      <c r="A11482" s="121">
        <v>43039</v>
      </c>
      <c r="B11482" t="s">
        <v>406</v>
      </c>
      <c r="C11482" t="s">
        <v>407</v>
      </c>
      <c r="D11482" t="s">
        <v>411</v>
      </c>
      <c r="E11482" t="s">
        <v>412</v>
      </c>
      <c r="F11482" t="s">
        <v>413</v>
      </c>
      <c r="G11482">
        <v>6001</v>
      </c>
      <c r="H11482">
        <v>6001</v>
      </c>
      <c r="I11482">
        <v>5540</v>
      </c>
      <c r="J11482">
        <v>5540</v>
      </c>
      <c r="K11482">
        <v>2147</v>
      </c>
      <c r="L11482">
        <v>9</v>
      </c>
      <c r="M11482">
        <v>3550</v>
      </c>
      <c r="N11482">
        <v>47</v>
      </c>
      <c r="O11482">
        <v>248</v>
      </c>
      <c r="P11482">
        <v>106</v>
      </c>
      <c r="Q11482">
        <v>28</v>
      </c>
    </row>
    <row r="11483" spans="1:17" x14ac:dyDescent="0.2">
      <c r="A11483" s="121">
        <v>43039</v>
      </c>
      <c r="B11483" t="s">
        <v>406</v>
      </c>
      <c r="C11483" t="s">
        <v>407</v>
      </c>
      <c r="D11483" t="s">
        <v>416</v>
      </c>
      <c r="E11483" t="s">
        <v>417</v>
      </c>
      <c r="F11483" t="s">
        <v>413</v>
      </c>
      <c r="G11483">
        <v>3173</v>
      </c>
      <c r="H11483">
        <v>3173</v>
      </c>
      <c r="I11483">
        <v>2945</v>
      </c>
      <c r="J11483">
        <v>2945</v>
      </c>
      <c r="K11483">
        <v>950</v>
      </c>
      <c r="L11483">
        <v>7</v>
      </c>
      <c r="M11483">
        <v>1975</v>
      </c>
      <c r="N11483">
        <v>98</v>
      </c>
      <c r="O11483">
        <v>143</v>
      </c>
      <c r="P11483">
        <v>45</v>
      </c>
      <c r="Q11483">
        <v>6</v>
      </c>
    </row>
    <row r="11484" spans="1:17" x14ac:dyDescent="0.2">
      <c r="A11484" s="121">
        <v>43039</v>
      </c>
      <c r="B11484" t="s">
        <v>406</v>
      </c>
      <c r="C11484" t="s">
        <v>407</v>
      </c>
      <c r="D11484" t="s">
        <v>618</v>
      </c>
      <c r="E11484" t="s">
        <v>619</v>
      </c>
      <c r="F11484" t="s">
        <v>410</v>
      </c>
      <c r="G11484">
        <v>79</v>
      </c>
      <c r="I11484">
        <v>79</v>
      </c>
    </row>
    <row r="11485" spans="1:17" x14ac:dyDescent="0.2">
      <c r="A11485" s="121">
        <v>43039</v>
      </c>
      <c r="B11485" t="s">
        <v>406</v>
      </c>
      <c r="C11485" t="s">
        <v>418</v>
      </c>
      <c r="D11485" t="s">
        <v>419</v>
      </c>
      <c r="E11485" t="s">
        <v>420</v>
      </c>
      <c r="F11485" t="s">
        <v>410</v>
      </c>
      <c r="G11485">
        <v>11</v>
      </c>
      <c r="I11485">
        <v>11</v>
      </c>
    </row>
    <row r="11486" spans="1:17" x14ac:dyDescent="0.2">
      <c r="A11486" s="121">
        <v>43039</v>
      </c>
      <c r="B11486" t="s">
        <v>406</v>
      </c>
      <c r="C11486" t="s">
        <v>418</v>
      </c>
      <c r="D11486" t="s">
        <v>421</v>
      </c>
      <c r="E11486" t="s">
        <v>422</v>
      </c>
      <c r="F11486" t="s">
        <v>410</v>
      </c>
      <c r="G11486">
        <v>87</v>
      </c>
      <c r="I11486">
        <v>87</v>
      </c>
    </row>
    <row r="11487" spans="1:17" x14ac:dyDescent="0.2">
      <c r="A11487" s="121">
        <v>43039</v>
      </c>
      <c r="B11487" t="s">
        <v>406</v>
      </c>
      <c r="C11487" t="s">
        <v>418</v>
      </c>
      <c r="D11487" t="s">
        <v>423</v>
      </c>
      <c r="E11487" t="s">
        <v>424</v>
      </c>
      <c r="F11487" t="s">
        <v>410</v>
      </c>
      <c r="G11487">
        <v>13</v>
      </c>
      <c r="I11487">
        <v>13</v>
      </c>
    </row>
    <row r="11488" spans="1:17" x14ac:dyDescent="0.2">
      <c r="A11488" s="121">
        <v>43039</v>
      </c>
      <c r="B11488" t="s">
        <v>406</v>
      </c>
      <c r="C11488" t="s">
        <v>418</v>
      </c>
      <c r="D11488" t="s">
        <v>425</v>
      </c>
      <c r="E11488" t="s">
        <v>426</v>
      </c>
      <c r="F11488" t="s">
        <v>410</v>
      </c>
      <c r="G11488">
        <v>33</v>
      </c>
      <c r="I11488">
        <v>33</v>
      </c>
    </row>
    <row r="11489" spans="1:17" x14ac:dyDescent="0.2">
      <c r="A11489" s="121">
        <v>43039</v>
      </c>
      <c r="B11489" t="s">
        <v>406</v>
      </c>
      <c r="C11489" t="s">
        <v>418</v>
      </c>
      <c r="D11489" t="s">
        <v>427</v>
      </c>
      <c r="E11489" t="s">
        <v>428</v>
      </c>
      <c r="F11489" t="s">
        <v>413</v>
      </c>
      <c r="G11489">
        <v>2598</v>
      </c>
      <c r="H11489">
        <v>2598</v>
      </c>
      <c r="I11489">
        <v>2472</v>
      </c>
      <c r="J11489">
        <v>2472</v>
      </c>
      <c r="K11489">
        <v>805</v>
      </c>
      <c r="L11489">
        <v>4</v>
      </c>
      <c r="M11489">
        <v>1571</v>
      </c>
      <c r="N11489">
        <v>206</v>
      </c>
      <c r="O11489">
        <v>12</v>
      </c>
      <c r="P11489">
        <v>7</v>
      </c>
      <c r="Q11489">
        <v>1</v>
      </c>
    </row>
    <row r="11490" spans="1:17" x14ac:dyDescent="0.2">
      <c r="A11490" s="121">
        <v>43039</v>
      </c>
      <c r="B11490" t="s">
        <v>406</v>
      </c>
      <c r="C11490" t="s">
        <v>429</v>
      </c>
      <c r="D11490" t="s">
        <v>430</v>
      </c>
      <c r="E11490" t="s">
        <v>431</v>
      </c>
      <c r="F11490" t="s">
        <v>410</v>
      </c>
      <c r="G11490">
        <v>28</v>
      </c>
      <c r="I11490">
        <v>28</v>
      </c>
    </row>
    <row r="11491" spans="1:17" x14ac:dyDescent="0.2">
      <c r="A11491" s="121">
        <v>43039</v>
      </c>
      <c r="B11491" t="s">
        <v>406</v>
      </c>
      <c r="C11491" t="s">
        <v>429</v>
      </c>
      <c r="D11491" t="s">
        <v>432</v>
      </c>
      <c r="E11491" t="s">
        <v>433</v>
      </c>
      <c r="F11491" t="s">
        <v>410</v>
      </c>
      <c r="G11491">
        <v>33</v>
      </c>
      <c r="I11491">
        <v>33</v>
      </c>
    </row>
    <row r="11492" spans="1:17" x14ac:dyDescent="0.2">
      <c r="A11492" s="121">
        <v>43039</v>
      </c>
      <c r="B11492" t="s">
        <v>406</v>
      </c>
      <c r="C11492" t="s">
        <v>429</v>
      </c>
      <c r="D11492" t="s">
        <v>434</v>
      </c>
      <c r="E11492" t="s">
        <v>435</v>
      </c>
      <c r="F11492" t="s">
        <v>410</v>
      </c>
      <c r="G11492">
        <v>4</v>
      </c>
      <c r="I11492">
        <v>4</v>
      </c>
    </row>
    <row r="11493" spans="1:17" x14ac:dyDescent="0.2">
      <c r="A11493" s="121">
        <v>43039</v>
      </c>
      <c r="B11493" t="s">
        <v>406</v>
      </c>
      <c r="C11493" t="s">
        <v>429</v>
      </c>
      <c r="D11493" t="s">
        <v>436</v>
      </c>
      <c r="E11493" t="s">
        <v>437</v>
      </c>
      <c r="F11493" t="s">
        <v>410</v>
      </c>
      <c r="G11493">
        <v>9</v>
      </c>
      <c r="H11493">
        <v>9</v>
      </c>
      <c r="I11493">
        <v>9</v>
      </c>
      <c r="J11493">
        <v>9</v>
      </c>
      <c r="K11493">
        <v>0</v>
      </c>
      <c r="L11493">
        <v>0</v>
      </c>
      <c r="M11493">
        <v>8</v>
      </c>
      <c r="N11493">
        <v>1</v>
      </c>
      <c r="O11493">
        <v>0</v>
      </c>
      <c r="P11493">
        <v>0</v>
      </c>
      <c r="Q11493">
        <v>0</v>
      </c>
    </row>
    <row r="11494" spans="1:17" x14ac:dyDescent="0.2">
      <c r="A11494" s="121">
        <v>43039</v>
      </c>
      <c r="B11494" t="s">
        <v>406</v>
      </c>
      <c r="C11494" t="s">
        <v>429</v>
      </c>
      <c r="D11494" t="s">
        <v>438</v>
      </c>
      <c r="E11494" t="s">
        <v>439</v>
      </c>
      <c r="F11494" t="s">
        <v>413</v>
      </c>
      <c r="G11494">
        <v>1037</v>
      </c>
      <c r="H11494">
        <v>1037</v>
      </c>
      <c r="I11494">
        <v>980</v>
      </c>
      <c r="J11494">
        <v>980</v>
      </c>
      <c r="K11494">
        <v>67</v>
      </c>
      <c r="L11494">
        <v>1</v>
      </c>
      <c r="M11494">
        <v>874</v>
      </c>
      <c r="N11494">
        <v>55</v>
      </c>
      <c r="O11494">
        <v>40</v>
      </c>
      <c r="P11494">
        <v>1</v>
      </c>
      <c r="Q11494">
        <v>0</v>
      </c>
    </row>
    <row r="11495" spans="1:17" x14ac:dyDescent="0.2">
      <c r="A11495" s="121">
        <v>43039</v>
      </c>
      <c r="B11495" t="s">
        <v>406</v>
      </c>
      <c r="C11495" t="s">
        <v>429</v>
      </c>
      <c r="D11495" t="s">
        <v>440</v>
      </c>
      <c r="E11495" t="s">
        <v>441</v>
      </c>
      <c r="F11495" t="s">
        <v>413</v>
      </c>
      <c r="G11495">
        <v>3000</v>
      </c>
      <c r="H11495">
        <v>3000</v>
      </c>
      <c r="I11495">
        <v>2797</v>
      </c>
      <c r="J11495">
        <v>2797</v>
      </c>
      <c r="K11495">
        <v>1145</v>
      </c>
      <c r="L11495">
        <v>1</v>
      </c>
      <c r="M11495">
        <v>1738</v>
      </c>
      <c r="N11495">
        <v>61</v>
      </c>
      <c r="O11495">
        <v>55</v>
      </c>
      <c r="P11495">
        <v>1</v>
      </c>
      <c r="Q11495">
        <v>0</v>
      </c>
    </row>
    <row r="11496" spans="1:17" x14ac:dyDescent="0.2">
      <c r="A11496" s="121">
        <v>43039</v>
      </c>
      <c r="B11496" t="s">
        <v>406</v>
      </c>
      <c r="C11496" t="s">
        <v>442</v>
      </c>
      <c r="D11496" t="s">
        <v>443</v>
      </c>
      <c r="E11496" t="s">
        <v>444</v>
      </c>
      <c r="F11496" t="s">
        <v>413</v>
      </c>
      <c r="G11496">
        <v>5281</v>
      </c>
      <c r="H11496">
        <v>5281</v>
      </c>
      <c r="I11496">
        <v>5108</v>
      </c>
      <c r="J11496">
        <v>5108</v>
      </c>
      <c r="K11496">
        <v>1649</v>
      </c>
      <c r="L11496">
        <v>14</v>
      </c>
      <c r="M11496">
        <v>3479</v>
      </c>
      <c r="N11496">
        <v>94</v>
      </c>
      <c r="O11496">
        <v>45</v>
      </c>
      <c r="P11496">
        <v>5</v>
      </c>
      <c r="Q11496">
        <v>0</v>
      </c>
    </row>
    <row r="11497" spans="1:17" x14ac:dyDescent="0.2">
      <c r="A11497" s="121">
        <v>43039</v>
      </c>
      <c r="B11497" t="s">
        <v>406</v>
      </c>
      <c r="C11497" t="s">
        <v>442</v>
      </c>
      <c r="D11497" t="s">
        <v>445</v>
      </c>
      <c r="E11497" t="s">
        <v>446</v>
      </c>
      <c r="F11497" t="s">
        <v>410</v>
      </c>
      <c r="G11497">
        <v>122</v>
      </c>
      <c r="H11497">
        <v>122</v>
      </c>
      <c r="I11497">
        <v>122</v>
      </c>
      <c r="J11497">
        <v>122</v>
      </c>
      <c r="K11497">
        <v>2</v>
      </c>
      <c r="L11497">
        <v>0</v>
      </c>
      <c r="M11497">
        <v>108</v>
      </c>
      <c r="N11497">
        <v>7</v>
      </c>
      <c r="O11497">
        <v>5</v>
      </c>
      <c r="P11497">
        <v>0</v>
      </c>
      <c r="Q11497">
        <v>0</v>
      </c>
    </row>
    <row r="11498" spans="1:17" x14ac:dyDescent="0.2">
      <c r="A11498" s="121">
        <v>43039</v>
      </c>
      <c r="B11498" t="s">
        <v>406</v>
      </c>
      <c r="C11498" t="s">
        <v>442</v>
      </c>
      <c r="D11498" t="s">
        <v>447</v>
      </c>
      <c r="E11498" t="s">
        <v>448</v>
      </c>
      <c r="F11498" t="s">
        <v>410</v>
      </c>
      <c r="G11498">
        <v>312</v>
      </c>
      <c r="H11498">
        <v>312</v>
      </c>
      <c r="I11498">
        <v>311</v>
      </c>
      <c r="J11498">
        <v>311</v>
      </c>
      <c r="K11498">
        <v>1</v>
      </c>
      <c r="L11498">
        <v>0</v>
      </c>
      <c r="M11498">
        <v>306</v>
      </c>
      <c r="N11498">
        <v>5</v>
      </c>
      <c r="O11498">
        <v>0</v>
      </c>
      <c r="P11498">
        <v>0</v>
      </c>
      <c r="Q11498">
        <v>0</v>
      </c>
    </row>
    <row r="11499" spans="1:17" x14ac:dyDescent="0.2">
      <c r="A11499" s="121">
        <v>43039</v>
      </c>
      <c r="B11499" t="s">
        <v>406</v>
      </c>
      <c r="C11499" t="s">
        <v>442</v>
      </c>
      <c r="D11499" t="s">
        <v>449</v>
      </c>
      <c r="E11499" t="s">
        <v>624</v>
      </c>
      <c r="F11499" t="s">
        <v>410</v>
      </c>
      <c r="G11499">
        <v>1660</v>
      </c>
      <c r="H11499">
        <v>1660</v>
      </c>
      <c r="I11499">
        <v>1656</v>
      </c>
      <c r="J11499">
        <v>1656</v>
      </c>
      <c r="K11499">
        <v>22</v>
      </c>
      <c r="L11499">
        <v>0</v>
      </c>
      <c r="M11499">
        <v>1489</v>
      </c>
      <c r="N11499">
        <v>124</v>
      </c>
      <c r="O11499">
        <v>25</v>
      </c>
      <c r="P11499">
        <v>0</v>
      </c>
      <c r="Q11499">
        <v>0</v>
      </c>
    </row>
    <row r="11500" spans="1:17" x14ac:dyDescent="0.2">
      <c r="A11500" s="121">
        <v>43039</v>
      </c>
      <c r="B11500" t="s">
        <v>406</v>
      </c>
      <c r="C11500" t="s">
        <v>451</v>
      </c>
      <c r="D11500" t="s">
        <v>454</v>
      </c>
      <c r="E11500" t="s">
        <v>621</v>
      </c>
      <c r="F11500" t="s">
        <v>410</v>
      </c>
      <c r="G11500">
        <v>1540</v>
      </c>
      <c r="H11500">
        <v>1540</v>
      </c>
      <c r="I11500">
        <v>1539</v>
      </c>
      <c r="J11500">
        <v>1539</v>
      </c>
      <c r="K11500">
        <v>5</v>
      </c>
      <c r="L11500">
        <v>0</v>
      </c>
      <c r="M11500">
        <v>1212</v>
      </c>
      <c r="N11500">
        <v>114</v>
      </c>
      <c r="O11500">
        <v>209</v>
      </c>
      <c r="P11500">
        <v>0</v>
      </c>
      <c r="Q11500">
        <v>0</v>
      </c>
    </row>
    <row r="11501" spans="1:17" x14ac:dyDescent="0.2">
      <c r="A11501" s="121">
        <v>43039</v>
      </c>
      <c r="B11501" t="s">
        <v>406</v>
      </c>
      <c r="C11501" t="s">
        <v>451</v>
      </c>
      <c r="D11501" t="s">
        <v>622</v>
      </c>
      <c r="E11501" t="s">
        <v>623</v>
      </c>
      <c r="F11501" t="s">
        <v>413</v>
      </c>
      <c r="G11501">
        <v>5448</v>
      </c>
      <c r="H11501">
        <v>5448</v>
      </c>
      <c r="I11501">
        <v>4876</v>
      </c>
      <c r="J11501">
        <v>4876</v>
      </c>
      <c r="K11501">
        <v>1509</v>
      </c>
      <c r="L11501">
        <v>9</v>
      </c>
      <c r="M11501">
        <v>3143</v>
      </c>
      <c r="N11501">
        <v>87</v>
      </c>
      <c r="O11501">
        <v>700</v>
      </c>
      <c r="P11501">
        <v>62</v>
      </c>
      <c r="Q11501">
        <v>6</v>
      </c>
    </row>
    <row r="11502" spans="1:17" x14ac:dyDescent="0.2">
      <c r="A11502" s="121">
        <v>43039</v>
      </c>
      <c r="B11502" t="s">
        <v>406</v>
      </c>
      <c r="C11502" t="s">
        <v>456</v>
      </c>
      <c r="D11502" t="s">
        <v>457</v>
      </c>
      <c r="E11502" t="s">
        <v>458</v>
      </c>
      <c r="F11502" t="s">
        <v>413</v>
      </c>
      <c r="G11502">
        <v>5002</v>
      </c>
      <c r="H11502">
        <v>5002</v>
      </c>
      <c r="I11502">
        <v>4652</v>
      </c>
      <c r="J11502">
        <v>4652</v>
      </c>
      <c r="K11502">
        <v>1271</v>
      </c>
      <c r="L11502">
        <v>10</v>
      </c>
      <c r="M11502">
        <v>3335</v>
      </c>
      <c r="N11502">
        <v>21</v>
      </c>
      <c r="O11502">
        <v>365</v>
      </c>
      <c r="P11502">
        <v>12</v>
      </c>
      <c r="Q11502">
        <v>0</v>
      </c>
    </row>
    <row r="11503" spans="1:17" x14ac:dyDescent="0.2">
      <c r="A11503" s="121">
        <v>43039</v>
      </c>
      <c r="B11503" t="s">
        <v>406</v>
      </c>
      <c r="C11503" t="s">
        <v>456</v>
      </c>
      <c r="D11503" t="s">
        <v>459</v>
      </c>
      <c r="E11503" t="s">
        <v>460</v>
      </c>
      <c r="F11503" t="s">
        <v>413</v>
      </c>
      <c r="G11503">
        <v>1292</v>
      </c>
      <c r="H11503">
        <v>1292</v>
      </c>
      <c r="I11503">
        <v>1274</v>
      </c>
      <c r="J11503">
        <v>1274</v>
      </c>
      <c r="K11503">
        <v>147</v>
      </c>
      <c r="L11503">
        <v>0</v>
      </c>
      <c r="M11503">
        <v>1089</v>
      </c>
      <c r="N11503">
        <v>0</v>
      </c>
      <c r="O11503">
        <v>56</v>
      </c>
      <c r="P11503">
        <v>1</v>
      </c>
      <c r="Q11503">
        <v>0</v>
      </c>
    </row>
    <row r="11504" spans="1:17" x14ac:dyDescent="0.2">
      <c r="A11504" s="121">
        <v>43039</v>
      </c>
      <c r="B11504" t="s">
        <v>406</v>
      </c>
      <c r="C11504" t="s">
        <v>456</v>
      </c>
      <c r="D11504" t="s">
        <v>461</v>
      </c>
      <c r="E11504" t="s">
        <v>462</v>
      </c>
      <c r="F11504" t="s">
        <v>410</v>
      </c>
      <c r="G11504">
        <v>102</v>
      </c>
      <c r="I11504">
        <v>102</v>
      </c>
    </row>
    <row r="11505" spans="1:17" x14ac:dyDescent="0.2">
      <c r="A11505" s="121">
        <v>43039</v>
      </c>
      <c r="B11505" t="s">
        <v>406</v>
      </c>
      <c r="C11505" t="s">
        <v>456</v>
      </c>
      <c r="D11505" t="s">
        <v>463</v>
      </c>
      <c r="E11505" t="s">
        <v>464</v>
      </c>
      <c r="F11505" t="s">
        <v>410</v>
      </c>
      <c r="G11505">
        <v>10</v>
      </c>
      <c r="I11505">
        <v>10</v>
      </c>
    </row>
    <row r="11506" spans="1:17" x14ac:dyDescent="0.2">
      <c r="A11506" s="121">
        <v>43039</v>
      </c>
      <c r="B11506" t="s">
        <v>406</v>
      </c>
      <c r="C11506" t="s">
        <v>456</v>
      </c>
      <c r="D11506" t="s">
        <v>465</v>
      </c>
      <c r="E11506" t="s">
        <v>466</v>
      </c>
      <c r="F11506" t="s">
        <v>410</v>
      </c>
      <c r="G11506">
        <v>32</v>
      </c>
      <c r="I11506">
        <v>32</v>
      </c>
    </row>
    <row r="11507" spans="1:17" x14ac:dyDescent="0.2">
      <c r="A11507" s="121">
        <v>43039</v>
      </c>
      <c r="B11507" t="s">
        <v>406</v>
      </c>
      <c r="C11507" t="s">
        <v>456</v>
      </c>
      <c r="D11507" t="s">
        <v>467</v>
      </c>
      <c r="E11507" t="s">
        <v>468</v>
      </c>
      <c r="F11507" t="s">
        <v>410</v>
      </c>
      <c r="G11507">
        <v>1328</v>
      </c>
      <c r="I11507">
        <v>1327</v>
      </c>
    </row>
    <row r="11508" spans="1:17" x14ac:dyDescent="0.2">
      <c r="A11508" s="121">
        <v>43039</v>
      </c>
      <c r="B11508" t="s">
        <v>406</v>
      </c>
      <c r="C11508" t="s">
        <v>456</v>
      </c>
      <c r="D11508" t="s">
        <v>469</v>
      </c>
      <c r="E11508" t="s">
        <v>470</v>
      </c>
      <c r="F11508" t="s">
        <v>410</v>
      </c>
      <c r="G11508">
        <v>684</v>
      </c>
      <c r="I11508">
        <v>682</v>
      </c>
    </row>
    <row r="11509" spans="1:17" x14ac:dyDescent="0.2">
      <c r="A11509" s="121">
        <v>43039</v>
      </c>
      <c r="B11509" t="s">
        <v>406</v>
      </c>
      <c r="C11509" t="s">
        <v>456</v>
      </c>
      <c r="D11509" t="s">
        <v>471</v>
      </c>
      <c r="E11509" t="s">
        <v>472</v>
      </c>
      <c r="F11509" t="s">
        <v>410</v>
      </c>
      <c r="G11509">
        <v>253</v>
      </c>
      <c r="I11509">
        <v>252</v>
      </c>
    </row>
    <row r="11510" spans="1:17" x14ac:dyDescent="0.2">
      <c r="A11510" s="121">
        <v>43039</v>
      </c>
      <c r="B11510" t="s">
        <v>406</v>
      </c>
      <c r="C11510" t="s">
        <v>456</v>
      </c>
      <c r="D11510" t="s">
        <v>473</v>
      </c>
      <c r="E11510" t="s">
        <v>474</v>
      </c>
      <c r="F11510" t="s">
        <v>410</v>
      </c>
      <c r="G11510">
        <v>170</v>
      </c>
      <c r="I11510">
        <v>170</v>
      </c>
    </row>
    <row r="11511" spans="1:17" x14ac:dyDescent="0.2">
      <c r="A11511" s="121">
        <v>43039</v>
      </c>
      <c r="B11511" t="s">
        <v>406</v>
      </c>
      <c r="C11511" t="s">
        <v>456</v>
      </c>
      <c r="D11511" t="s">
        <v>475</v>
      </c>
      <c r="E11511" t="s">
        <v>476</v>
      </c>
      <c r="F11511" t="s">
        <v>410</v>
      </c>
      <c r="G11511">
        <v>291</v>
      </c>
      <c r="I11511">
        <v>290</v>
      </c>
    </row>
    <row r="11512" spans="1:17" x14ac:dyDescent="0.2">
      <c r="A11512" s="121">
        <v>43039</v>
      </c>
      <c r="B11512" t="s">
        <v>406</v>
      </c>
      <c r="C11512" t="s">
        <v>456</v>
      </c>
      <c r="D11512" t="s">
        <v>477</v>
      </c>
      <c r="E11512" t="s">
        <v>478</v>
      </c>
      <c r="F11512" t="s">
        <v>413</v>
      </c>
      <c r="G11512">
        <v>1957</v>
      </c>
      <c r="H11512">
        <v>1957</v>
      </c>
      <c r="I11512">
        <v>1916</v>
      </c>
      <c r="J11512">
        <v>1916</v>
      </c>
      <c r="K11512">
        <v>378</v>
      </c>
      <c r="L11512">
        <v>0</v>
      </c>
      <c r="M11512">
        <v>1516</v>
      </c>
      <c r="N11512">
        <v>18</v>
      </c>
      <c r="O11512">
        <v>45</v>
      </c>
      <c r="P11512">
        <v>0</v>
      </c>
      <c r="Q11512">
        <v>0</v>
      </c>
    </row>
    <row r="11513" spans="1:17" x14ac:dyDescent="0.2">
      <c r="A11513" s="121">
        <v>43039</v>
      </c>
      <c r="B11513" t="s">
        <v>406</v>
      </c>
      <c r="C11513" t="s">
        <v>456</v>
      </c>
      <c r="D11513" t="s">
        <v>479</v>
      </c>
      <c r="E11513" t="s">
        <v>480</v>
      </c>
      <c r="F11513" t="s">
        <v>410</v>
      </c>
      <c r="G11513">
        <v>56</v>
      </c>
      <c r="I11513">
        <v>56</v>
      </c>
    </row>
    <row r="11514" spans="1:17" x14ac:dyDescent="0.2">
      <c r="A11514" s="121">
        <v>43039</v>
      </c>
      <c r="B11514" t="s">
        <v>406</v>
      </c>
      <c r="C11514" t="s">
        <v>456</v>
      </c>
      <c r="D11514" t="s">
        <v>481</v>
      </c>
      <c r="E11514" t="s">
        <v>482</v>
      </c>
      <c r="F11514" t="s">
        <v>410</v>
      </c>
      <c r="G11514">
        <v>20</v>
      </c>
      <c r="I11514">
        <v>20</v>
      </c>
    </row>
    <row r="11515" spans="1:17" x14ac:dyDescent="0.2">
      <c r="A11515" s="121">
        <v>43039</v>
      </c>
      <c r="B11515" t="s">
        <v>406</v>
      </c>
      <c r="C11515" t="s">
        <v>456</v>
      </c>
      <c r="D11515" t="s">
        <v>483</v>
      </c>
      <c r="E11515" t="s">
        <v>484</v>
      </c>
      <c r="F11515" t="s">
        <v>410</v>
      </c>
      <c r="G11515">
        <v>96</v>
      </c>
      <c r="I11515">
        <v>96</v>
      </c>
    </row>
    <row r="11516" spans="1:17" x14ac:dyDescent="0.2">
      <c r="A11516" s="121">
        <v>43039</v>
      </c>
      <c r="B11516" t="s">
        <v>406</v>
      </c>
      <c r="C11516" t="s">
        <v>456</v>
      </c>
      <c r="D11516" t="s">
        <v>487</v>
      </c>
      <c r="E11516" t="s">
        <v>488</v>
      </c>
      <c r="F11516" t="s">
        <v>410</v>
      </c>
      <c r="G11516">
        <v>12</v>
      </c>
      <c r="I11516">
        <v>12</v>
      </c>
    </row>
    <row r="11517" spans="1:17" x14ac:dyDescent="0.2">
      <c r="A11517" s="121">
        <v>43039</v>
      </c>
      <c r="B11517" t="s">
        <v>406</v>
      </c>
      <c r="C11517" t="s">
        <v>456</v>
      </c>
      <c r="D11517" t="s">
        <v>489</v>
      </c>
      <c r="E11517" t="s">
        <v>490</v>
      </c>
      <c r="F11517" t="s">
        <v>410</v>
      </c>
      <c r="G11517">
        <v>71</v>
      </c>
      <c r="I11517">
        <v>71</v>
      </c>
    </row>
    <row r="11518" spans="1:17" x14ac:dyDescent="0.2">
      <c r="A11518" s="121">
        <v>43039</v>
      </c>
      <c r="B11518" t="s">
        <v>406</v>
      </c>
      <c r="C11518" t="s">
        <v>456</v>
      </c>
      <c r="D11518" t="s">
        <v>628</v>
      </c>
      <c r="E11518" t="s">
        <v>629</v>
      </c>
      <c r="F11518" t="s">
        <v>410</v>
      </c>
      <c r="G11518">
        <v>27</v>
      </c>
      <c r="I11518">
        <v>27</v>
      </c>
    </row>
    <row r="11519" spans="1:17" x14ac:dyDescent="0.2">
      <c r="A11519" s="121">
        <v>43039</v>
      </c>
      <c r="B11519" t="s">
        <v>406</v>
      </c>
      <c r="C11519" t="s">
        <v>491</v>
      </c>
      <c r="D11519" t="s">
        <v>492</v>
      </c>
      <c r="E11519" t="s">
        <v>493</v>
      </c>
      <c r="F11519" t="s">
        <v>410</v>
      </c>
      <c r="G11519">
        <v>1409</v>
      </c>
      <c r="H11519">
        <v>1409</v>
      </c>
      <c r="I11519">
        <v>1388</v>
      </c>
      <c r="J11519">
        <v>1388</v>
      </c>
      <c r="K11519">
        <v>210</v>
      </c>
      <c r="L11519">
        <v>0</v>
      </c>
      <c r="M11519">
        <v>1106</v>
      </c>
      <c r="N11519">
        <v>77</v>
      </c>
      <c r="O11519">
        <v>16</v>
      </c>
      <c r="P11519">
        <v>0</v>
      </c>
      <c r="Q11519">
        <v>0</v>
      </c>
    </row>
    <row r="11520" spans="1:17" x14ac:dyDescent="0.2">
      <c r="A11520" s="121">
        <v>43039</v>
      </c>
      <c r="B11520" t="s">
        <v>406</v>
      </c>
      <c r="C11520" t="s">
        <v>491</v>
      </c>
      <c r="D11520" t="s">
        <v>494</v>
      </c>
      <c r="E11520" t="s">
        <v>495</v>
      </c>
      <c r="F11520" t="s">
        <v>413</v>
      </c>
      <c r="G11520">
        <v>2682</v>
      </c>
      <c r="H11520">
        <v>2682</v>
      </c>
      <c r="I11520">
        <v>2556</v>
      </c>
      <c r="J11520">
        <v>2556</v>
      </c>
      <c r="K11520">
        <v>659</v>
      </c>
      <c r="L11520">
        <v>3</v>
      </c>
      <c r="M11520">
        <v>1808</v>
      </c>
      <c r="N11520">
        <v>53</v>
      </c>
      <c r="O11520">
        <v>159</v>
      </c>
      <c r="P11520">
        <v>2</v>
      </c>
      <c r="Q11520">
        <v>0</v>
      </c>
    </row>
    <row r="11521" spans="1:17" x14ac:dyDescent="0.2">
      <c r="A11521" s="121">
        <v>43039</v>
      </c>
      <c r="B11521" t="s">
        <v>406</v>
      </c>
      <c r="C11521" t="s">
        <v>491</v>
      </c>
      <c r="D11521" t="s">
        <v>496</v>
      </c>
      <c r="E11521" t="s">
        <v>497</v>
      </c>
      <c r="F11521" t="s">
        <v>413</v>
      </c>
      <c r="G11521">
        <v>5211</v>
      </c>
      <c r="H11521">
        <v>5211</v>
      </c>
      <c r="I11521">
        <v>4781</v>
      </c>
      <c r="J11521">
        <v>4781</v>
      </c>
      <c r="K11521">
        <v>1357</v>
      </c>
      <c r="L11521">
        <v>13</v>
      </c>
      <c r="M11521">
        <v>3624</v>
      </c>
      <c r="N11521">
        <v>110</v>
      </c>
      <c r="O11521">
        <v>107</v>
      </c>
      <c r="P11521">
        <v>18</v>
      </c>
      <c r="Q11521">
        <v>1</v>
      </c>
    </row>
    <row r="11522" spans="1:17" x14ac:dyDescent="0.2">
      <c r="A11522" s="121">
        <v>43039</v>
      </c>
      <c r="B11522" t="s">
        <v>406</v>
      </c>
      <c r="C11522" t="s">
        <v>491</v>
      </c>
      <c r="D11522" t="s">
        <v>498</v>
      </c>
      <c r="E11522" t="s">
        <v>499</v>
      </c>
      <c r="F11522" t="s">
        <v>413</v>
      </c>
      <c r="G11522">
        <v>8175</v>
      </c>
      <c r="H11522">
        <v>8175</v>
      </c>
      <c r="I11522">
        <v>7605</v>
      </c>
      <c r="J11522">
        <v>7605</v>
      </c>
      <c r="K11522">
        <v>2306</v>
      </c>
      <c r="L11522">
        <v>19</v>
      </c>
      <c r="M11522">
        <v>5289</v>
      </c>
      <c r="N11522">
        <v>175</v>
      </c>
      <c r="O11522">
        <v>386</v>
      </c>
      <c r="P11522">
        <v>11</v>
      </c>
      <c r="Q11522">
        <v>0</v>
      </c>
    </row>
    <row r="11523" spans="1:17" x14ac:dyDescent="0.2">
      <c r="A11523" s="121">
        <v>43039</v>
      </c>
      <c r="B11523" t="s">
        <v>406</v>
      </c>
      <c r="C11523" t="s">
        <v>491</v>
      </c>
      <c r="D11523" t="s">
        <v>500</v>
      </c>
      <c r="E11523" t="s">
        <v>620</v>
      </c>
      <c r="F11523" t="s">
        <v>410</v>
      </c>
      <c r="G11523">
        <v>1652</v>
      </c>
      <c r="H11523">
        <v>1652</v>
      </c>
      <c r="I11523">
        <v>1652</v>
      </c>
      <c r="J11523">
        <v>1652</v>
      </c>
      <c r="K11523">
        <v>0</v>
      </c>
      <c r="L11523">
        <v>0</v>
      </c>
      <c r="M11523">
        <v>1524</v>
      </c>
      <c r="N11523">
        <v>108</v>
      </c>
      <c r="O11523">
        <v>20</v>
      </c>
      <c r="P11523">
        <v>0</v>
      </c>
      <c r="Q11523">
        <v>0</v>
      </c>
    </row>
    <row r="11524" spans="1:17" x14ac:dyDescent="0.2">
      <c r="A11524" s="121">
        <v>43039</v>
      </c>
      <c r="B11524" t="s">
        <v>406</v>
      </c>
      <c r="C11524" t="s">
        <v>491</v>
      </c>
      <c r="D11524" t="s">
        <v>502</v>
      </c>
      <c r="E11524" t="s">
        <v>615</v>
      </c>
      <c r="F11524" t="s">
        <v>410</v>
      </c>
      <c r="G11524">
        <v>2774</v>
      </c>
      <c r="H11524">
        <v>2774</v>
      </c>
      <c r="I11524">
        <v>2774</v>
      </c>
      <c r="J11524">
        <v>2774</v>
      </c>
      <c r="K11524">
        <v>0</v>
      </c>
      <c r="L11524">
        <v>0</v>
      </c>
      <c r="M11524">
        <v>2480</v>
      </c>
      <c r="N11524">
        <v>258</v>
      </c>
      <c r="O11524">
        <v>36</v>
      </c>
      <c r="P11524">
        <v>0</v>
      </c>
      <c r="Q11524">
        <v>0</v>
      </c>
    </row>
    <row r="11525" spans="1:17" x14ac:dyDescent="0.2">
      <c r="A11525" s="121">
        <v>43039</v>
      </c>
      <c r="B11525" t="s">
        <v>406</v>
      </c>
      <c r="C11525" t="s">
        <v>491</v>
      </c>
      <c r="D11525" t="s">
        <v>504</v>
      </c>
      <c r="E11525" t="s">
        <v>630</v>
      </c>
      <c r="F11525" t="s">
        <v>413</v>
      </c>
      <c r="G11525">
        <v>8710</v>
      </c>
      <c r="H11525">
        <v>8710</v>
      </c>
      <c r="I11525">
        <v>7521</v>
      </c>
      <c r="J11525">
        <v>7521</v>
      </c>
      <c r="K11525">
        <v>2758</v>
      </c>
      <c r="L11525">
        <v>22</v>
      </c>
      <c r="M11525">
        <v>5670</v>
      </c>
      <c r="N11525">
        <v>82</v>
      </c>
      <c r="O11525">
        <v>178</v>
      </c>
      <c r="P11525">
        <v>72</v>
      </c>
      <c r="Q11525">
        <v>2</v>
      </c>
    </row>
    <row r="11526" spans="1:17" x14ac:dyDescent="0.2">
      <c r="A11526" s="121">
        <v>43039</v>
      </c>
      <c r="B11526" t="s">
        <v>406</v>
      </c>
      <c r="C11526" t="s">
        <v>491</v>
      </c>
      <c r="D11526" t="s">
        <v>506</v>
      </c>
      <c r="E11526" t="s">
        <v>507</v>
      </c>
      <c r="F11526" t="s">
        <v>413</v>
      </c>
      <c r="G11526">
        <v>5290</v>
      </c>
      <c r="H11526">
        <v>5290</v>
      </c>
      <c r="I11526">
        <v>5189</v>
      </c>
      <c r="J11526">
        <v>5189</v>
      </c>
      <c r="K11526">
        <v>1016</v>
      </c>
      <c r="L11526">
        <v>4</v>
      </c>
      <c r="M11526">
        <v>4253</v>
      </c>
      <c r="N11526">
        <v>0</v>
      </c>
      <c r="O11526">
        <v>17</v>
      </c>
      <c r="P11526">
        <v>0</v>
      </c>
      <c r="Q11526">
        <v>0</v>
      </c>
    </row>
    <row r="11527" spans="1:17" x14ac:dyDescent="0.2">
      <c r="A11527" s="121">
        <v>43039</v>
      </c>
      <c r="B11527" t="s">
        <v>406</v>
      </c>
      <c r="C11527" t="s">
        <v>510</v>
      </c>
      <c r="D11527" t="s">
        <v>513</v>
      </c>
      <c r="E11527" t="s">
        <v>514</v>
      </c>
      <c r="F11527" t="s">
        <v>410</v>
      </c>
      <c r="G11527">
        <v>552</v>
      </c>
      <c r="I11527">
        <v>549</v>
      </c>
    </row>
    <row r="11528" spans="1:17" x14ac:dyDescent="0.2">
      <c r="A11528" s="121">
        <v>43039</v>
      </c>
      <c r="B11528" t="s">
        <v>406</v>
      </c>
      <c r="C11528" t="s">
        <v>510</v>
      </c>
      <c r="D11528" t="s">
        <v>515</v>
      </c>
      <c r="E11528" t="s">
        <v>516</v>
      </c>
      <c r="F11528" t="s">
        <v>410</v>
      </c>
      <c r="G11528">
        <v>132</v>
      </c>
      <c r="I11528">
        <v>132</v>
      </c>
    </row>
    <row r="11529" spans="1:17" x14ac:dyDescent="0.2">
      <c r="A11529" s="121">
        <v>43039</v>
      </c>
      <c r="B11529" t="s">
        <v>406</v>
      </c>
      <c r="C11529" t="s">
        <v>510</v>
      </c>
      <c r="D11529" t="s">
        <v>519</v>
      </c>
      <c r="E11529" t="s">
        <v>520</v>
      </c>
      <c r="F11529" t="s">
        <v>410</v>
      </c>
      <c r="G11529">
        <v>354</v>
      </c>
      <c r="I11529">
        <v>349</v>
      </c>
    </row>
    <row r="11530" spans="1:17" x14ac:dyDescent="0.2">
      <c r="A11530" s="121">
        <v>43039</v>
      </c>
      <c r="B11530" t="s">
        <v>406</v>
      </c>
      <c r="C11530" t="s">
        <v>510</v>
      </c>
      <c r="D11530" t="s">
        <v>523</v>
      </c>
      <c r="E11530" t="s">
        <v>524</v>
      </c>
      <c r="F11530" t="s">
        <v>413</v>
      </c>
      <c r="G11530">
        <v>565</v>
      </c>
      <c r="H11530">
        <v>565</v>
      </c>
      <c r="I11530">
        <v>559</v>
      </c>
      <c r="J11530">
        <v>559</v>
      </c>
      <c r="K11530">
        <v>162</v>
      </c>
      <c r="L11530">
        <v>1</v>
      </c>
      <c r="M11530">
        <v>384</v>
      </c>
      <c r="N11530">
        <v>18</v>
      </c>
      <c r="O11530">
        <v>0</v>
      </c>
      <c r="P11530">
        <v>1</v>
      </c>
      <c r="Q11530">
        <v>0</v>
      </c>
    </row>
    <row r="11531" spans="1:17" x14ac:dyDescent="0.2">
      <c r="A11531" s="121">
        <v>43039</v>
      </c>
      <c r="B11531" t="s">
        <v>406</v>
      </c>
      <c r="C11531" t="s">
        <v>510</v>
      </c>
      <c r="D11531" t="s">
        <v>525</v>
      </c>
      <c r="E11531" t="s">
        <v>526</v>
      </c>
      <c r="F11531" t="s">
        <v>410</v>
      </c>
      <c r="G11531">
        <v>431</v>
      </c>
      <c r="I11531">
        <v>429</v>
      </c>
    </row>
    <row r="11532" spans="1:17" x14ac:dyDescent="0.2">
      <c r="A11532" s="121">
        <v>43039</v>
      </c>
      <c r="B11532" t="s">
        <v>406</v>
      </c>
      <c r="C11532" t="s">
        <v>510</v>
      </c>
      <c r="D11532" t="s">
        <v>527</v>
      </c>
      <c r="E11532" t="s">
        <v>528</v>
      </c>
      <c r="F11532" t="s">
        <v>410</v>
      </c>
      <c r="G11532">
        <v>208</v>
      </c>
      <c r="I11532">
        <v>208</v>
      </c>
    </row>
    <row r="11533" spans="1:17" x14ac:dyDescent="0.2">
      <c r="A11533" s="121">
        <v>43039</v>
      </c>
      <c r="B11533" t="s">
        <v>406</v>
      </c>
      <c r="C11533" t="s">
        <v>510</v>
      </c>
      <c r="D11533" t="s">
        <v>529</v>
      </c>
      <c r="E11533" t="s">
        <v>530</v>
      </c>
      <c r="F11533" t="s">
        <v>413</v>
      </c>
      <c r="G11533">
        <v>599</v>
      </c>
      <c r="H11533">
        <v>599</v>
      </c>
      <c r="I11533">
        <v>589</v>
      </c>
      <c r="J11533">
        <v>589</v>
      </c>
      <c r="K11533">
        <v>184</v>
      </c>
      <c r="L11533">
        <v>1</v>
      </c>
      <c r="M11533">
        <v>410</v>
      </c>
      <c r="N11533">
        <v>4</v>
      </c>
      <c r="O11533">
        <v>0</v>
      </c>
      <c r="P11533">
        <v>1</v>
      </c>
      <c r="Q11533">
        <v>1</v>
      </c>
    </row>
    <row r="11534" spans="1:17" x14ac:dyDescent="0.2">
      <c r="A11534" s="121">
        <v>43039</v>
      </c>
      <c r="B11534" t="s">
        <v>406</v>
      </c>
      <c r="C11534" t="s">
        <v>510</v>
      </c>
      <c r="D11534" t="s">
        <v>531</v>
      </c>
      <c r="E11534" t="s">
        <v>532</v>
      </c>
      <c r="F11534" t="s">
        <v>410</v>
      </c>
      <c r="G11534">
        <v>45</v>
      </c>
      <c r="I11534">
        <v>45</v>
      </c>
    </row>
    <row r="11535" spans="1:17" x14ac:dyDescent="0.2">
      <c r="A11535" s="121">
        <v>43039</v>
      </c>
      <c r="B11535" t="s">
        <v>406</v>
      </c>
      <c r="C11535" t="s">
        <v>510</v>
      </c>
      <c r="D11535" t="s">
        <v>533</v>
      </c>
      <c r="E11535" t="s">
        <v>534</v>
      </c>
      <c r="F11535" t="s">
        <v>413</v>
      </c>
      <c r="G11535">
        <v>2843</v>
      </c>
      <c r="H11535">
        <v>2843</v>
      </c>
      <c r="I11535">
        <v>2710</v>
      </c>
      <c r="J11535">
        <v>2710</v>
      </c>
      <c r="K11535">
        <v>742</v>
      </c>
      <c r="L11535">
        <v>3</v>
      </c>
      <c r="M11535">
        <v>2086</v>
      </c>
      <c r="N11535">
        <v>12</v>
      </c>
      <c r="O11535">
        <v>0</v>
      </c>
      <c r="P11535">
        <v>5</v>
      </c>
      <c r="Q11535">
        <v>1</v>
      </c>
    </row>
    <row r="11536" spans="1:17" x14ac:dyDescent="0.2">
      <c r="A11536" s="121">
        <v>43039</v>
      </c>
      <c r="B11536" t="s">
        <v>406</v>
      </c>
      <c r="C11536" t="s">
        <v>510</v>
      </c>
      <c r="D11536" t="s">
        <v>535</v>
      </c>
      <c r="E11536" t="s">
        <v>536</v>
      </c>
      <c r="F11536" t="s">
        <v>410</v>
      </c>
      <c r="G11536">
        <v>329</v>
      </c>
      <c r="I11536">
        <v>329</v>
      </c>
    </row>
    <row r="11537" spans="1:17" x14ac:dyDescent="0.2">
      <c r="A11537" s="121">
        <v>43039</v>
      </c>
      <c r="B11537" t="s">
        <v>406</v>
      </c>
      <c r="C11537" t="s">
        <v>510</v>
      </c>
      <c r="D11537" t="s">
        <v>537</v>
      </c>
      <c r="E11537" t="s">
        <v>538</v>
      </c>
      <c r="F11537" t="s">
        <v>410</v>
      </c>
      <c r="G11537">
        <v>52</v>
      </c>
      <c r="I11537">
        <v>52</v>
      </c>
    </row>
    <row r="11538" spans="1:17" x14ac:dyDescent="0.2">
      <c r="A11538" s="121">
        <v>43039</v>
      </c>
      <c r="B11538" t="s">
        <v>406</v>
      </c>
      <c r="C11538" t="s">
        <v>510</v>
      </c>
      <c r="D11538" t="s">
        <v>539</v>
      </c>
      <c r="E11538" t="s">
        <v>540</v>
      </c>
      <c r="F11538" t="s">
        <v>413</v>
      </c>
      <c r="G11538">
        <v>731</v>
      </c>
      <c r="H11538">
        <v>731</v>
      </c>
      <c r="I11538">
        <v>687</v>
      </c>
      <c r="J11538">
        <v>687</v>
      </c>
      <c r="K11538">
        <v>146</v>
      </c>
      <c r="L11538">
        <v>1</v>
      </c>
      <c r="M11538">
        <v>579</v>
      </c>
      <c r="N11538">
        <v>5</v>
      </c>
      <c r="O11538">
        <v>0</v>
      </c>
      <c r="P11538">
        <v>3</v>
      </c>
      <c r="Q11538">
        <v>0</v>
      </c>
    </row>
    <row r="11539" spans="1:17" x14ac:dyDescent="0.2">
      <c r="A11539" s="121">
        <v>43039</v>
      </c>
      <c r="B11539" t="s">
        <v>406</v>
      </c>
      <c r="C11539" t="s">
        <v>510</v>
      </c>
      <c r="D11539" t="s">
        <v>541</v>
      </c>
      <c r="E11539" t="s">
        <v>542</v>
      </c>
      <c r="F11539" t="s">
        <v>410</v>
      </c>
      <c r="G11539">
        <v>397</v>
      </c>
      <c r="I11539">
        <v>397</v>
      </c>
    </row>
    <row r="11540" spans="1:17" x14ac:dyDescent="0.2">
      <c r="A11540" s="121">
        <v>43039</v>
      </c>
      <c r="B11540" t="s">
        <v>406</v>
      </c>
      <c r="C11540" t="s">
        <v>510</v>
      </c>
      <c r="D11540" t="s">
        <v>543</v>
      </c>
      <c r="E11540" t="s">
        <v>544</v>
      </c>
      <c r="F11540" t="s">
        <v>410</v>
      </c>
      <c r="G11540">
        <v>155</v>
      </c>
      <c r="I11540">
        <v>155</v>
      </c>
    </row>
    <row r="11541" spans="1:17" x14ac:dyDescent="0.2">
      <c r="A11541" s="121">
        <v>43039</v>
      </c>
      <c r="B11541" t="s">
        <v>406</v>
      </c>
      <c r="C11541" t="s">
        <v>510</v>
      </c>
      <c r="D11541" t="s">
        <v>545</v>
      </c>
      <c r="E11541" t="s">
        <v>546</v>
      </c>
      <c r="F11541" t="s">
        <v>410</v>
      </c>
      <c r="G11541">
        <v>43</v>
      </c>
      <c r="I11541">
        <v>43</v>
      </c>
    </row>
    <row r="11542" spans="1:17" x14ac:dyDescent="0.2">
      <c r="A11542" s="121">
        <v>43039</v>
      </c>
      <c r="B11542" t="s">
        <v>406</v>
      </c>
      <c r="C11542" t="s">
        <v>510</v>
      </c>
      <c r="D11542" t="s">
        <v>547</v>
      </c>
      <c r="E11542" t="s">
        <v>548</v>
      </c>
      <c r="F11542" t="s">
        <v>410</v>
      </c>
      <c r="G11542">
        <v>205</v>
      </c>
      <c r="I11542">
        <v>205</v>
      </c>
    </row>
    <row r="11543" spans="1:17" x14ac:dyDescent="0.2">
      <c r="A11543" s="121">
        <v>43039</v>
      </c>
      <c r="B11543" t="s">
        <v>406</v>
      </c>
      <c r="C11543" t="s">
        <v>510</v>
      </c>
      <c r="D11543" t="s">
        <v>616</v>
      </c>
      <c r="E11543" t="s">
        <v>617</v>
      </c>
      <c r="F11543" t="s">
        <v>410</v>
      </c>
      <c r="G11543">
        <v>355</v>
      </c>
      <c r="I11543">
        <v>350</v>
      </c>
    </row>
    <row r="11544" spans="1:17" x14ac:dyDescent="0.2">
      <c r="A11544" s="121">
        <v>43039</v>
      </c>
      <c r="B11544" t="s">
        <v>406</v>
      </c>
      <c r="C11544" t="s">
        <v>510</v>
      </c>
      <c r="D11544" t="s">
        <v>549</v>
      </c>
      <c r="E11544" t="s">
        <v>550</v>
      </c>
      <c r="F11544" t="s">
        <v>410</v>
      </c>
      <c r="G11544">
        <v>142</v>
      </c>
      <c r="I11544">
        <v>142</v>
      </c>
    </row>
    <row r="11545" spans="1:17" x14ac:dyDescent="0.2">
      <c r="A11545" s="121">
        <v>43039</v>
      </c>
      <c r="B11545" t="s">
        <v>406</v>
      </c>
      <c r="C11545" t="s">
        <v>510</v>
      </c>
      <c r="D11545" t="s">
        <v>625</v>
      </c>
      <c r="E11545" t="s">
        <v>626</v>
      </c>
      <c r="F11545" t="s">
        <v>410</v>
      </c>
      <c r="G11545">
        <v>150</v>
      </c>
      <c r="I11545">
        <v>150</v>
      </c>
    </row>
    <row r="11546" spans="1:17" x14ac:dyDescent="0.2">
      <c r="A11546" s="121">
        <v>43039</v>
      </c>
      <c r="B11546" t="s">
        <v>406</v>
      </c>
      <c r="C11546" t="s">
        <v>551</v>
      </c>
      <c r="D11546" t="s">
        <v>552</v>
      </c>
      <c r="E11546" t="s">
        <v>553</v>
      </c>
      <c r="F11546" t="s">
        <v>413</v>
      </c>
      <c r="G11546">
        <v>5794</v>
      </c>
      <c r="H11546">
        <v>5794</v>
      </c>
      <c r="I11546">
        <v>5549</v>
      </c>
      <c r="J11546">
        <v>5549</v>
      </c>
      <c r="K11546">
        <v>1845</v>
      </c>
      <c r="L11546">
        <v>5</v>
      </c>
      <c r="M11546">
        <v>3788</v>
      </c>
      <c r="N11546">
        <v>118</v>
      </c>
      <c r="O11546">
        <v>38</v>
      </c>
      <c r="P11546">
        <v>13</v>
      </c>
      <c r="Q11546">
        <v>1</v>
      </c>
    </row>
    <row r="11547" spans="1:17" x14ac:dyDescent="0.2">
      <c r="A11547" s="121">
        <v>43039</v>
      </c>
      <c r="B11547" t="s">
        <v>406</v>
      </c>
      <c r="C11547" t="s">
        <v>551</v>
      </c>
      <c r="D11547" t="s">
        <v>554</v>
      </c>
      <c r="E11547" t="s">
        <v>555</v>
      </c>
      <c r="F11547" t="s">
        <v>410</v>
      </c>
      <c r="G11547">
        <v>51</v>
      </c>
      <c r="I11547">
        <v>51</v>
      </c>
    </row>
    <row r="11548" spans="1:17" x14ac:dyDescent="0.2">
      <c r="A11548" s="121">
        <v>43039</v>
      </c>
      <c r="B11548" t="s">
        <v>406</v>
      </c>
      <c r="C11548" t="s">
        <v>551</v>
      </c>
      <c r="D11548" t="s">
        <v>556</v>
      </c>
      <c r="E11548" t="s">
        <v>557</v>
      </c>
      <c r="F11548" t="s">
        <v>410</v>
      </c>
      <c r="G11548">
        <v>56</v>
      </c>
      <c r="I11548">
        <v>56</v>
      </c>
    </row>
    <row r="11549" spans="1:17" x14ac:dyDescent="0.2">
      <c r="A11549" s="121">
        <v>43039</v>
      </c>
      <c r="B11549" t="s">
        <v>406</v>
      </c>
      <c r="C11549" t="s">
        <v>551</v>
      </c>
      <c r="D11549" t="s">
        <v>558</v>
      </c>
      <c r="E11549" t="s">
        <v>559</v>
      </c>
      <c r="F11549" t="s">
        <v>413</v>
      </c>
      <c r="G11549">
        <v>5328</v>
      </c>
      <c r="H11549">
        <v>5328</v>
      </c>
      <c r="I11549">
        <v>4888</v>
      </c>
      <c r="J11549">
        <v>4888</v>
      </c>
      <c r="K11549">
        <v>1533</v>
      </c>
      <c r="L11549">
        <v>8</v>
      </c>
      <c r="M11549">
        <v>3707</v>
      </c>
      <c r="N11549">
        <v>65</v>
      </c>
      <c r="O11549">
        <v>15</v>
      </c>
      <c r="P11549">
        <v>59</v>
      </c>
      <c r="Q11549">
        <v>4</v>
      </c>
    </row>
    <row r="11550" spans="1:17" x14ac:dyDescent="0.2">
      <c r="A11550" s="121">
        <v>43039</v>
      </c>
      <c r="B11550" t="s">
        <v>406</v>
      </c>
      <c r="C11550" t="s">
        <v>551</v>
      </c>
      <c r="D11550" t="s">
        <v>560</v>
      </c>
      <c r="E11550" t="s">
        <v>561</v>
      </c>
      <c r="F11550" t="s">
        <v>413</v>
      </c>
      <c r="G11550">
        <v>6050</v>
      </c>
      <c r="H11550">
        <v>6050</v>
      </c>
      <c r="I11550">
        <v>5570</v>
      </c>
      <c r="J11550">
        <v>5570</v>
      </c>
      <c r="K11550">
        <v>1819</v>
      </c>
      <c r="L11550">
        <v>12</v>
      </c>
      <c r="M11550">
        <v>4066</v>
      </c>
      <c r="N11550">
        <v>58</v>
      </c>
      <c r="O11550">
        <v>95</v>
      </c>
      <c r="P11550">
        <v>26</v>
      </c>
      <c r="Q11550">
        <v>1</v>
      </c>
    </row>
    <row r="11551" spans="1:17" x14ac:dyDescent="0.2">
      <c r="A11551" s="121">
        <v>43039</v>
      </c>
      <c r="B11551" t="s">
        <v>406</v>
      </c>
      <c r="C11551" t="s">
        <v>562</v>
      </c>
      <c r="D11551" t="s">
        <v>605</v>
      </c>
      <c r="E11551" t="s">
        <v>606</v>
      </c>
      <c r="F11551" t="s">
        <v>410</v>
      </c>
      <c r="G11551">
        <v>190</v>
      </c>
      <c r="I11551">
        <v>190</v>
      </c>
    </row>
    <row r="11552" spans="1:17" x14ac:dyDescent="0.2">
      <c r="A11552" s="121">
        <v>43039</v>
      </c>
      <c r="B11552" t="s">
        <v>406</v>
      </c>
      <c r="C11552" t="s">
        <v>562</v>
      </c>
      <c r="D11552" t="s">
        <v>563</v>
      </c>
      <c r="E11552" t="s">
        <v>564</v>
      </c>
      <c r="F11552" t="s">
        <v>410</v>
      </c>
      <c r="G11552">
        <v>4077</v>
      </c>
      <c r="H11552">
        <v>4077</v>
      </c>
      <c r="I11552">
        <v>3785</v>
      </c>
      <c r="J11552">
        <v>3785</v>
      </c>
      <c r="K11552">
        <v>1077</v>
      </c>
      <c r="L11552">
        <v>0</v>
      </c>
      <c r="M11552">
        <v>2958</v>
      </c>
      <c r="N11552">
        <v>42</v>
      </c>
      <c r="O11552">
        <v>0</v>
      </c>
      <c r="P11552">
        <v>43</v>
      </c>
      <c r="Q11552">
        <v>2</v>
      </c>
    </row>
    <row r="11553" spans="1:17" x14ac:dyDescent="0.2">
      <c r="A11553" s="121">
        <v>43039</v>
      </c>
      <c r="B11553" t="s">
        <v>406</v>
      </c>
      <c r="C11553" t="s">
        <v>562</v>
      </c>
      <c r="D11553" t="s">
        <v>565</v>
      </c>
      <c r="E11553" t="s">
        <v>566</v>
      </c>
      <c r="F11553" t="s">
        <v>413</v>
      </c>
      <c r="G11553">
        <v>4614</v>
      </c>
      <c r="H11553">
        <v>4614</v>
      </c>
      <c r="I11553">
        <v>4412</v>
      </c>
      <c r="J11553">
        <v>4412</v>
      </c>
      <c r="K11553">
        <v>891</v>
      </c>
      <c r="L11553">
        <v>7</v>
      </c>
      <c r="M11553">
        <v>3668</v>
      </c>
      <c r="N11553">
        <v>48</v>
      </c>
      <c r="O11553">
        <v>0</v>
      </c>
      <c r="P11553">
        <v>17</v>
      </c>
      <c r="Q11553">
        <v>0</v>
      </c>
    </row>
    <row r="11554" spans="1:17" x14ac:dyDescent="0.2">
      <c r="A11554" s="121">
        <v>43039</v>
      </c>
      <c r="B11554" t="s">
        <v>406</v>
      </c>
      <c r="C11554" t="s">
        <v>562</v>
      </c>
      <c r="D11554" t="s">
        <v>567</v>
      </c>
      <c r="E11554" t="s">
        <v>568</v>
      </c>
      <c r="F11554" t="s">
        <v>413</v>
      </c>
      <c r="G11554">
        <v>10261</v>
      </c>
      <c r="H11554">
        <v>10261</v>
      </c>
      <c r="I11554">
        <v>9403</v>
      </c>
      <c r="J11554">
        <v>9403</v>
      </c>
      <c r="K11554">
        <v>3019</v>
      </c>
      <c r="L11554">
        <v>21</v>
      </c>
      <c r="M11554">
        <v>7092</v>
      </c>
      <c r="N11554">
        <v>129</v>
      </c>
      <c r="O11554">
        <v>0</v>
      </c>
      <c r="P11554">
        <v>148</v>
      </c>
      <c r="Q11554">
        <v>20</v>
      </c>
    </row>
    <row r="11555" spans="1:17" x14ac:dyDescent="0.2">
      <c r="A11555" s="121">
        <v>43039</v>
      </c>
      <c r="B11555" t="s">
        <v>406</v>
      </c>
      <c r="C11555" t="s">
        <v>562</v>
      </c>
      <c r="D11555" t="s">
        <v>569</v>
      </c>
      <c r="E11555" t="s">
        <v>570</v>
      </c>
      <c r="F11555" t="s">
        <v>413</v>
      </c>
      <c r="G11555">
        <v>4253</v>
      </c>
      <c r="H11555">
        <v>4253</v>
      </c>
      <c r="I11555">
        <v>4160</v>
      </c>
      <c r="J11555">
        <v>4160</v>
      </c>
      <c r="K11555">
        <v>530</v>
      </c>
      <c r="L11555">
        <v>0</v>
      </c>
      <c r="M11555">
        <v>3717</v>
      </c>
      <c r="N11555">
        <v>6</v>
      </c>
      <c r="O11555">
        <v>0</v>
      </c>
      <c r="P11555">
        <v>3</v>
      </c>
      <c r="Q11555">
        <v>0</v>
      </c>
    </row>
    <row r="11556" spans="1:17" x14ac:dyDescent="0.2">
      <c r="A11556" s="121">
        <v>43039</v>
      </c>
      <c r="B11556" t="s">
        <v>406</v>
      </c>
      <c r="C11556" t="s">
        <v>571</v>
      </c>
      <c r="D11556" t="s">
        <v>572</v>
      </c>
      <c r="E11556" t="s">
        <v>627</v>
      </c>
      <c r="F11556" t="s">
        <v>413</v>
      </c>
      <c r="G11556">
        <v>501</v>
      </c>
      <c r="H11556">
        <v>501</v>
      </c>
      <c r="I11556">
        <v>462</v>
      </c>
      <c r="J11556">
        <v>462</v>
      </c>
      <c r="K11556">
        <v>144</v>
      </c>
      <c r="L11556">
        <v>0</v>
      </c>
      <c r="M11556">
        <v>348</v>
      </c>
      <c r="N11556">
        <v>5</v>
      </c>
      <c r="O11556">
        <v>4</v>
      </c>
      <c r="P11556">
        <v>1</v>
      </c>
      <c r="Q11556">
        <v>0</v>
      </c>
    </row>
    <row r="11557" spans="1:17" x14ac:dyDescent="0.2">
      <c r="A11557" s="121">
        <v>43039</v>
      </c>
      <c r="B11557" t="s">
        <v>406</v>
      </c>
      <c r="C11557" t="s">
        <v>574</v>
      </c>
      <c r="D11557" t="s">
        <v>575</v>
      </c>
      <c r="E11557" t="s">
        <v>576</v>
      </c>
      <c r="F11557" t="s">
        <v>413</v>
      </c>
      <c r="G11557">
        <v>577</v>
      </c>
      <c r="H11557">
        <v>577</v>
      </c>
      <c r="I11557">
        <v>563</v>
      </c>
      <c r="J11557">
        <v>563</v>
      </c>
      <c r="K11557">
        <v>143</v>
      </c>
      <c r="L11557">
        <v>0</v>
      </c>
      <c r="M11557">
        <v>419</v>
      </c>
      <c r="N11557">
        <v>1</v>
      </c>
      <c r="O11557">
        <v>14</v>
      </c>
      <c r="P11557">
        <v>1</v>
      </c>
      <c r="Q11557">
        <v>0</v>
      </c>
    </row>
    <row r="11558" spans="1:17" x14ac:dyDescent="0.2">
      <c r="A11558" s="121">
        <v>43039</v>
      </c>
      <c r="B11558" t="s">
        <v>406</v>
      </c>
      <c r="C11558" t="s">
        <v>577</v>
      </c>
      <c r="D11558" t="s">
        <v>578</v>
      </c>
      <c r="E11558" t="s">
        <v>579</v>
      </c>
      <c r="F11558" t="s">
        <v>413</v>
      </c>
      <c r="G11558">
        <v>4157</v>
      </c>
      <c r="H11558">
        <v>4157</v>
      </c>
      <c r="I11558">
        <v>4057</v>
      </c>
      <c r="J11558">
        <v>4057</v>
      </c>
      <c r="K11558">
        <v>1278</v>
      </c>
      <c r="L11558">
        <v>11</v>
      </c>
      <c r="M11558">
        <v>2551</v>
      </c>
      <c r="N11558">
        <v>260</v>
      </c>
      <c r="O11558">
        <v>57</v>
      </c>
      <c r="P11558">
        <v>2</v>
      </c>
      <c r="Q11558">
        <v>0</v>
      </c>
    </row>
    <row r="11559" spans="1:17" x14ac:dyDescent="0.2">
      <c r="A11559" s="121">
        <v>43039</v>
      </c>
      <c r="B11559" t="s">
        <v>406</v>
      </c>
      <c r="C11559" t="s">
        <v>577</v>
      </c>
      <c r="D11559" t="s">
        <v>580</v>
      </c>
      <c r="E11559" t="s">
        <v>581</v>
      </c>
      <c r="F11559" t="s">
        <v>413</v>
      </c>
      <c r="G11559">
        <v>2001</v>
      </c>
      <c r="H11559">
        <v>2001</v>
      </c>
      <c r="I11559">
        <v>1977</v>
      </c>
      <c r="J11559">
        <v>1977</v>
      </c>
      <c r="K11559">
        <v>329</v>
      </c>
      <c r="L11559">
        <v>3</v>
      </c>
      <c r="M11559">
        <v>1328</v>
      </c>
      <c r="N11559">
        <v>304</v>
      </c>
      <c r="O11559">
        <v>37</v>
      </c>
      <c r="P11559">
        <v>0</v>
      </c>
      <c r="Q11559">
        <v>0</v>
      </c>
    </row>
    <row r="11560" spans="1:17" x14ac:dyDescent="0.2">
      <c r="A11560" s="121">
        <v>43039</v>
      </c>
      <c r="B11560" t="s">
        <v>406</v>
      </c>
      <c r="C11560" t="s">
        <v>577</v>
      </c>
      <c r="D11560" t="s">
        <v>609</v>
      </c>
      <c r="E11560" t="s">
        <v>610</v>
      </c>
      <c r="F11560" t="s">
        <v>410</v>
      </c>
      <c r="G11560">
        <v>34</v>
      </c>
      <c r="H11560">
        <v>34</v>
      </c>
      <c r="I11560">
        <v>33</v>
      </c>
      <c r="J11560">
        <v>33</v>
      </c>
      <c r="K11560">
        <v>0</v>
      </c>
      <c r="L11560">
        <v>0</v>
      </c>
      <c r="M11560">
        <v>28</v>
      </c>
      <c r="N11560">
        <v>3</v>
      </c>
      <c r="O11560">
        <v>3</v>
      </c>
      <c r="P11560">
        <v>0</v>
      </c>
      <c r="Q11560">
        <v>0</v>
      </c>
    </row>
    <row r="11561" spans="1:17" x14ac:dyDescent="0.2">
      <c r="A11561" s="121">
        <v>43039</v>
      </c>
      <c r="B11561" t="s">
        <v>406</v>
      </c>
      <c r="C11561" t="s">
        <v>577</v>
      </c>
      <c r="D11561" t="s">
        <v>584</v>
      </c>
      <c r="E11561" t="s">
        <v>585</v>
      </c>
      <c r="F11561" t="s">
        <v>410</v>
      </c>
      <c r="G11561">
        <v>292</v>
      </c>
      <c r="H11561">
        <v>292</v>
      </c>
      <c r="I11561">
        <v>291</v>
      </c>
      <c r="J11561">
        <v>291</v>
      </c>
      <c r="K11561">
        <v>0</v>
      </c>
      <c r="L11561">
        <v>0</v>
      </c>
      <c r="M11561">
        <v>277</v>
      </c>
      <c r="N11561">
        <v>14</v>
      </c>
      <c r="O11561">
        <v>1</v>
      </c>
      <c r="P11561">
        <v>1</v>
      </c>
      <c r="Q11561">
        <v>1</v>
      </c>
    </row>
    <row r="11562" spans="1:17" x14ac:dyDescent="0.2">
      <c r="A11562" s="121">
        <v>43039</v>
      </c>
      <c r="B11562" t="s">
        <v>406</v>
      </c>
      <c r="C11562" t="s">
        <v>577</v>
      </c>
      <c r="D11562" t="s">
        <v>586</v>
      </c>
      <c r="E11562" t="s">
        <v>587</v>
      </c>
      <c r="F11562" t="s">
        <v>410</v>
      </c>
      <c r="G11562">
        <v>1249</v>
      </c>
      <c r="H11562">
        <v>1249</v>
      </c>
      <c r="I11562">
        <v>1248</v>
      </c>
      <c r="J11562">
        <v>1248</v>
      </c>
      <c r="K11562">
        <v>0</v>
      </c>
      <c r="L11562">
        <v>0</v>
      </c>
      <c r="M11562">
        <v>1128</v>
      </c>
      <c r="N11562">
        <v>118</v>
      </c>
      <c r="O11562">
        <v>3</v>
      </c>
      <c r="P11562">
        <v>0</v>
      </c>
      <c r="Q11562">
        <v>0</v>
      </c>
    </row>
    <row r="11563" spans="1:17" x14ac:dyDescent="0.2">
      <c r="A11563" s="121">
        <v>43039</v>
      </c>
      <c r="B11563" t="s">
        <v>406</v>
      </c>
      <c r="C11563" t="s">
        <v>577</v>
      </c>
      <c r="D11563" t="s">
        <v>588</v>
      </c>
      <c r="E11563" t="s">
        <v>589</v>
      </c>
      <c r="F11563" t="s">
        <v>410</v>
      </c>
      <c r="G11563">
        <v>181</v>
      </c>
      <c r="H11563">
        <v>181</v>
      </c>
      <c r="I11563">
        <v>181</v>
      </c>
      <c r="J11563">
        <v>181</v>
      </c>
      <c r="K11563">
        <v>0</v>
      </c>
      <c r="L11563">
        <v>0</v>
      </c>
      <c r="M11563">
        <v>169</v>
      </c>
      <c r="N11563">
        <v>12</v>
      </c>
      <c r="O11563">
        <v>0</v>
      </c>
      <c r="P11563">
        <v>0</v>
      </c>
      <c r="Q11563">
        <v>0</v>
      </c>
    </row>
    <row r="11564" spans="1:17" x14ac:dyDescent="0.2">
      <c r="A11564" s="121">
        <v>43039</v>
      </c>
      <c r="B11564" t="s">
        <v>406</v>
      </c>
      <c r="C11564" t="s">
        <v>577</v>
      </c>
      <c r="D11564" t="s">
        <v>613</v>
      </c>
      <c r="E11564" t="s">
        <v>614</v>
      </c>
      <c r="F11564" t="s">
        <v>410</v>
      </c>
      <c r="G11564">
        <v>97</v>
      </c>
      <c r="H11564">
        <v>97</v>
      </c>
      <c r="I11564">
        <v>97</v>
      </c>
      <c r="J11564">
        <v>97</v>
      </c>
      <c r="K11564">
        <v>0</v>
      </c>
      <c r="L11564">
        <v>0</v>
      </c>
      <c r="M11564">
        <v>85</v>
      </c>
      <c r="N11564">
        <v>7</v>
      </c>
      <c r="O11564">
        <v>5</v>
      </c>
      <c r="P11564">
        <v>0</v>
      </c>
      <c r="Q11564">
        <v>0</v>
      </c>
    </row>
    <row r="11565" spans="1:17" x14ac:dyDescent="0.2">
      <c r="A11565" s="121">
        <v>43039</v>
      </c>
      <c r="B11565" t="s">
        <v>406</v>
      </c>
      <c r="C11565" t="s">
        <v>577</v>
      </c>
      <c r="D11565" t="s">
        <v>590</v>
      </c>
      <c r="E11565" t="s">
        <v>591</v>
      </c>
      <c r="F11565" t="s">
        <v>410</v>
      </c>
      <c r="G11565">
        <v>509</v>
      </c>
      <c r="H11565">
        <v>509</v>
      </c>
      <c r="I11565">
        <v>509</v>
      </c>
      <c r="J11565">
        <v>509</v>
      </c>
      <c r="K11565">
        <v>0</v>
      </c>
      <c r="L11565">
        <v>0</v>
      </c>
      <c r="M11565">
        <v>478</v>
      </c>
      <c r="N11565">
        <v>31</v>
      </c>
      <c r="O11565">
        <v>0</v>
      </c>
      <c r="P11565">
        <v>0</v>
      </c>
      <c r="Q11565">
        <v>0</v>
      </c>
    </row>
    <row r="11566" spans="1:17" x14ac:dyDescent="0.2">
      <c r="A11566" s="121">
        <v>43039</v>
      </c>
      <c r="B11566" t="s">
        <v>406</v>
      </c>
      <c r="C11566" t="s">
        <v>577</v>
      </c>
      <c r="D11566" t="s">
        <v>607</v>
      </c>
      <c r="E11566" t="s">
        <v>608</v>
      </c>
      <c r="F11566" t="s">
        <v>410</v>
      </c>
      <c r="G11566">
        <v>189</v>
      </c>
      <c r="H11566">
        <v>189</v>
      </c>
      <c r="I11566">
        <v>189</v>
      </c>
      <c r="J11566">
        <v>189</v>
      </c>
      <c r="K11566">
        <v>1</v>
      </c>
      <c r="L11566">
        <v>0</v>
      </c>
      <c r="M11566">
        <v>174</v>
      </c>
      <c r="N11566">
        <v>11</v>
      </c>
      <c r="O11566">
        <v>3</v>
      </c>
      <c r="P11566">
        <v>0</v>
      </c>
      <c r="Q11566">
        <v>0</v>
      </c>
    </row>
    <row r="11567" spans="1:17" x14ac:dyDescent="0.2">
      <c r="A11567" s="121">
        <v>43039</v>
      </c>
      <c r="B11567" t="s">
        <v>406</v>
      </c>
      <c r="C11567" t="s">
        <v>577</v>
      </c>
      <c r="D11567" t="s">
        <v>592</v>
      </c>
      <c r="E11567" t="s">
        <v>593</v>
      </c>
      <c r="F11567" t="s">
        <v>410</v>
      </c>
      <c r="G11567">
        <v>347</v>
      </c>
      <c r="H11567">
        <v>347</v>
      </c>
      <c r="I11567">
        <v>347</v>
      </c>
      <c r="J11567">
        <v>347</v>
      </c>
      <c r="K11567">
        <v>0</v>
      </c>
      <c r="L11567">
        <v>0</v>
      </c>
      <c r="M11567">
        <v>324</v>
      </c>
      <c r="N11567">
        <v>23</v>
      </c>
      <c r="O11567">
        <v>0</v>
      </c>
      <c r="P11567">
        <v>0</v>
      </c>
      <c r="Q11567">
        <v>0</v>
      </c>
    </row>
    <row r="11568" spans="1:17" x14ac:dyDescent="0.2">
      <c r="A11568" s="121">
        <v>43039</v>
      </c>
      <c r="B11568" t="s">
        <v>406</v>
      </c>
      <c r="C11568" t="s">
        <v>594</v>
      </c>
      <c r="D11568" t="s">
        <v>595</v>
      </c>
      <c r="E11568" t="s">
        <v>596</v>
      </c>
      <c r="F11568" t="s">
        <v>410</v>
      </c>
      <c r="G11568">
        <v>60</v>
      </c>
      <c r="I11568">
        <v>60</v>
      </c>
    </row>
    <row r="11569" spans="1:17" x14ac:dyDescent="0.2">
      <c r="A11569" s="121">
        <v>43039</v>
      </c>
      <c r="B11569" t="s">
        <v>406</v>
      </c>
      <c r="C11569" t="s">
        <v>594</v>
      </c>
      <c r="D11569" t="s">
        <v>597</v>
      </c>
      <c r="E11569" t="s">
        <v>598</v>
      </c>
      <c r="F11569" t="s">
        <v>413</v>
      </c>
      <c r="G11569">
        <v>528</v>
      </c>
      <c r="H11569">
        <v>528</v>
      </c>
      <c r="I11569">
        <v>528</v>
      </c>
      <c r="J11569">
        <v>528</v>
      </c>
      <c r="K11569">
        <v>147</v>
      </c>
      <c r="L11569">
        <v>0</v>
      </c>
      <c r="M11569">
        <v>363</v>
      </c>
      <c r="N11569">
        <v>9</v>
      </c>
      <c r="O11569">
        <v>9</v>
      </c>
      <c r="P11569">
        <v>0</v>
      </c>
      <c r="Q11569">
        <v>0</v>
      </c>
    </row>
    <row r="11570" spans="1:17" x14ac:dyDescent="0.2">
      <c r="A11570" s="121">
        <v>43039</v>
      </c>
      <c r="B11570" t="s">
        <v>406</v>
      </c>
      <c r="C11570" t="s">
        <v>594</v>
      </c>
      <c r="D11570" t="s">
        <v>599</v>
      </c>
      <c r="E11570" t="s">
        <v>600</v>
      </c>
      <c r="F11570" t="s">
        <v>410</v>
      </c>
      <c r="G11570">
        <v>103</v>
      </c>
      <c r="H11570">
        <v>103</v>
      </c>
      <c r="I11570">
        <v>103</v>
      </c>
      <c r="J11570">
        <v>103</v>
      </c>
      <c r="K11570">
        <v>8</v>
      </c>
      <c r="L11570">
        <v>0</v>
      </c>
      <c r="M11570">
        <v>94</v>
      </c>
      <c r="N11570">
        <v>0</v>
      </c>
      <c r="O11570">
        <v>1</v>
      </c>
      <c r="P11570">
        <v>0</v>
      </c>
      <c r="Q11570">
        <v>0</v>
      </c>
    </row>
    <row r="11571" spans="1:17" x14ac:dyDescent="0.2">
      <c r="A11571" s="121">
        <v>43069</v>
      </c>
      <c r="B11571" t="s">
        <v>406</v>
      </c>
      <c r="C11571" t="s">
        <v>407</v>
      </c>
      <c r="D11571" t="s">
        <v>408</v>
      </c>
      <c r="E11571" t="s">
        <v>409</v>
      </c>
      <c r="F11571" t="s">
        <v>410</v>
      </c>
      <c r="G11571">
        <v>155</v>
      </c>
      <c r="I11571">
        <v>151</v>
      </c>
    </row>
    <row r="11572" spans="1:17" x14ac:dyDescent="0.2">
      <c r="A11572" s="121">
        <v>43069</v>
      </c>
      <c r="B11572" t="s">
        <v>406</v>
      </c>
      <c r="C11572" t="s">
        <v>407</v>
      </c>
      <c r="D11572" t="s">
        <v>601</v>
      </c>
      <c r="E11572" t="s">
        <v>602</v>
      </c>
      <c r="F11572" t="s">
        <v>410</v>
      </c>
      <c r="G11572">
        <v>45</v>
      </c>
      <c r="I11572">
        <v>45</v>
      </c>
    </row>
    <row r="11573" spans="1:17" x14ac:dyDescent="0.2">
      <c r="A11573" s="121">
        <v>43069</v>
      </c>
      <c r="B11573" t="s">
        <v>406</v>
      </c>
      <c r="C11573" t="s">
        <v>407</v>
      </c>
      <c r="D11573" t="s">
        <v>411</v>
      </c>
      <c r="E11573" t="s">
        <v>412</v>
      </c>
      <c r="F11573" t="s">
        <v>413</v>
      </c>
      <c r="G11573">
        <v>5657</v>
      </c>
      <c r="H11573">
        <v>5657</v>
      </c>
      <c r="I11573">
        <v>5423</v>
      </c>
      <c r="J11573">
        <v>5423</v>
      </c>
      <c r="K11573">
        <v>2071</v>
      </c>
      <c r="L11573">
        <v>9</v>
      </c>
      <c r="M11573">
        <v>3317</v>
      </c>
      <c r="N11573">
        <v>43</v>
      </c>
      <c r="O11573">
        <v>217</v>
      </c>
      <c r="P11573">
        <v>39</v>
      </c>
      <c r="Q11573">
        <v>14</v>
      </c>
    </row>
    <row r="11574" spans="1:17" x14ac:dyDescent="0.2">
      <c r="A11574" s="121">
        <v>43069</v>
      </c>
      <c r="B11574" t="s">
        <v>406</v>
      </c>
      <c r="C11574" t="s">
        <v>407</v>
      </c>
      <c r="D11574" t="s">
        <v>416</v>
      </c>
      <c r="E11574" t="s">
        <v>417</v>
      </c>
      <c r="F11574" t="s">
        <v>413</v>
      </c>
      <c r="G11574">
        <v>2918</v>
      </c>
      <c r="H11574">
        <v>2918</v>
      </c>
      <c r="I11574">
        <v>2763</v>
      </c>
      <c r="J11574">
        <v>2763</v>
      </c>
      <c r="K11574">
        <v>896</v>
      </c>
      <c r="L11574">
        <v>5</v>
      </c>
      <c r="M11574">
        <v>1889</v>
      </c>
      <c r="N11574">
        <v>82</v>
      </c>
      <c r="O11574">
        <v>46</v>
      </c>
      <c r="P11574">
        <v>19</v>
      </c>
      <c r="Q11574">
        <v>1</v>
      </c>
    </row>
    <row r="11575" spans="1:17" x14ac:dyDescent="0.2">
      <c r="A11575" s="121">
        <v>43069</v>
      </c>
      <c r="B11575" t="s">
        <v>406</v>
      </c>
      <c r="C11575" t="s">
        <v>407</v>
      </c>
      <c r="D11575" t="s">
        <v>618</v>
      </c>
      <c r="E11575" t="s">
        <v>619</v>
      </c>
      <c r="F11575" t="s">
        <v>410</v>
      </c>
      <c r="G11575">
        <v>76</v>
      </c>
      <c r="I11575">
        <v>76</v>
      </c>
    </row>
    <row r="11576" spans="1:17" x14ac:dyDescent="0.2">
      <c r="A11576" s="121">
        <v>43069</v>
      </c>
      <c r="B11576" t="s">
        <v>406</v>
      </c>
      <c r="C11576" t="s">
        <v>418</v>
      </c>
      <c r="D11576" t="s">
        <v>419</v>
      </c>
      <c r="E11576" t="s">
        <v>420</v>
      </c>
      <c r="F11576" t="s">
        <v>410</v>
      </c>
      <c r="G11576">
        <v>7</v>
      </c>
      <c r="I11576">
        <v>7</v>
      </c>
    </row>
    <row r="11577" spans="1:17" x14ac:dyDescent="0.2">
      <c r="A11577" s="121">
        <v>43069</v>
      </c>
      <c r="B11577" t="s">
        <v>406</v>
      </c>
      <c r="C11577" t="s">
        <v>418</v>
      </c>
      <c r="D11577" t="s">
        <v>421</v>
      </c>
      <c r="E11577" t="s">
        <v>422</v>
      </c>
      <c r="F11577" t="s">
        <v>410</v>
      </c>
      <c r="G11577">
        <v>73</v>
      </c>
      <c r="I11577">
        <v>73</v>
      </c>
    </row>
    <row r="11578" spans="1:17" x14ac:dyDescent="0.2">
      <c r="A11578" s="121">
        <v>43069</v>
      </c>
      <c r="B11578" t="s">
        <v>406</v>
      </c>
      <c r="C11578" t="s">
        <v>418</v>
      </c>
      <c r="D11578" t="s">
        <v>423</v>
      </c>
      <c r="E11578" t="s">
        <v>424</v>
      </c>
      <c r="F11578" t="s">
        <v>410</v>
      </c>
      <c r="G11578">
        <v>5</v>
      </c>
      <c r="I11578">
        <v>5</v>
      </c>
    </row>
    <row r="11579" spans="1:17" x14ac:dyDescent="0.2">
      <c r="A11579" s="121">
        <v>43069</v>
      </c>
      <c r="B11579" t="s">
        <v>406</v>
      </c>
      <c r="C11579" t="s">
        <v>418</v>
      </c>
      <c r="D11579" t="s">
        <v>425</v>
      </c>
      <c r="E11579" t="s">
        <v>426</v>
      </c>
      <c r="F11579" t="s">
        <v>410</v>
      </c>
      <c r="G11579">
        <v>36</v>
      </c>
      <c r="I11579">
        <v>36</v>
      </c>
    </row>
    <row r="11580" spans="1:17" x14ac:dyDescent="0.2">
      <c r="A11580" s="121">
        <v>43069</v>
      </c>
      <c r="B11580" t="s">
        <v>406</v>
      </c>
      <c r="C11580" t="s">
        <v>418</v>
      </c>
      <c r="D11580" t="s">
        <v>427</v>
      </c>
      <c r="E11580" t="s">
        <v>428</v>
      </c>
      <c r="F11580" t="s">
        <v>413</v>
      </c>
      <c r="G11580">
        <v>2405</v>
      </c>
      <c r="H11580">
        <v>2405</v>
      </c>
      <c r="I11580">
        <v>2248</v>
      </c>
      <c r="J11580">
        <v>2248</v>
      </c>
      <c r="K11580">
        <v>779</v>
      </c>
      <c r="L11580">
        <v>2</v>
      </c>
      <c r="M11580">
        <v>1406</v>
      </c>
      <c r="N11580">
        <v>203</v>
      </c>
      <c r="O11580">
        <v>15</v>
      </c>
      <c r="P11580">
        <v>8</v>
      </c>
      <c r="Q11580">
        <v>4</v>
      </c>
    </row>
    <row r="11581" spans="1:17" x14ac:dyDescent="0.2">
      <c r="A11581" s="121">
        <v>43069</v>
      </c>
      <c r="B11581" t="s">
        <v>406</v>
      </c>
      <c r="C11581" t="s">
        <v>429</v>
      </c>
      <c r="D11581" t="s">
        <v>430</v>
      </c>
      <c r="E11581" t="s">
        <v>431</v>
      </c>
      <c r="F11581" t="s">
        <v>410</v>
      </c>
      <c r="G11581">
        <v>25</v>
      </c>
      <c r="I11581">
        <v>25</v>
      </c>
    </row>
    <row r="11582" spans="1:17" x14ac:dyDescent="0.2">
      <c r="A11582" s="121">
        <v>43069</v>
      </c>
      <c r="B11582" t="s">
        <v>406</v>
      </c>
      <c r="C11582" t="s">
        <v>429</v>
      </c>
      <c r="D11582" t="s">
        <v>432</v>
      </c>
      <c r="E11582" t="s">
        <v>433</v>
      </c>
      <c r="F11582" t="s">
        <v>410</v>
      </c>
      <c r="G11582">
        <v>26</v>
      </c>
      <c r="I11582">
        <v>26</v>
      </c>
    </row>
    <row r="11583" spans="1:17" x14ac:dyDescent="0.2">
      <c r="A11583" s="121">
        <v>43069</v>
      </c>
      <c r="B11583" t="s">
        <v>406</v>
      </c>
      <c r="C11583" t="s">
        <v>429</v>
      </c>
      <c r="D11583" t="s">
        <v>436</v>
      </c>
      <c r="E11583" t="s">
        <v>437</v>
      </c>
      <c r="F11583" t="s">
        <v>410</v>
      </c>
      <c r="G11583">
        <v>5</v>
      </c>
      <c r="H11583">
        <v>5</v>
      </c>
      <c r="I11583">
        <v>5</v>
      </c>
      <c r="J11583">
        <v>5</v>
      </c>
      <c r="K11583">
        <v>0</v>
      </c>
      <c r="L11583">
        <v>0</v>
      </c>
      <c r="M11583">
        <v>5</v>
      </c>
      <c r="N11583">
        <v>0</v>
      </c>
      <c r="O11583">
        <v>0</v>
      </c>
      <c r="P11583">
        <v>0</v>
      </c>
      <c r="Q11583">
        <v>0</v>
      </c>
    </row>
    <row r="11584" spans="1:17" x14ac:dyDescent="0.2">
      <c r="A11584" s="121">
        <v>43069</v>
      </c>
      <c r="B11584" t="s">
        <v>406</v>
      </c>
      <c r="C11584" t="s">
        <v>429</v>
      </c>
      <c r="D11584" t="s">
        <v>438</v>
      </c>
      <c r="E11584" t="s">
        <v>439</v>
      </c>
      <c r="F11584" t="s">
        <v>413</v>
      </c>
      <c r="G11584">
        <v>956</v>
      </c>
      <c r="H11584">
        <v>956</v>
      </c>
      <c r="I11584">
        <v>902</v>
      </c>
      <c r="J11584">
        <v>902</v>
      </c>
      <c r="K11584">
        <v>77</v>
      </c>
      <c r="L11584">
        <v>0</v>
      </c>
      <c r="M11584">
        <v>794</v>
      </c>
      <c r="N11584">
        <v>56</v>
      </c>
      <c r="O11584">
        <v>29</v>
      </c>
      <c r="P11584">
        <v>3</v>
      </c>
      <c r="Q11584">
        <v>1</v>
      </c>
    </row>
    <row r="11585" spans="1:17" x14ac:dyDescent="0.2">
      <c r="A11585" s="121">
        <v>43069</v>
      </c>
      <c r="B11585" t="s">
        <v>406</v>
      </c>
      <c r="C11585" t="s">
        <v>429</v>
      </c>
      <c r="D11585" t="s">
        <v>440</v>
      </c>
      <c r="E11585" t="s">
        <v>441</v>
      </c>
      <c r="F11585" t="s">
        <v>413</v>
      </c>
      <c r="G11585">
        <v>2966</v>
      </c>
      <c r="H11585">
        <v>2966</v>
      </c>
      <c r="I11585">
        <v>2709</v>
      </c>
      <c r="J11585">
        <v>2709</v>
      </c>
      <c r="K11585">
        <v>1162</v>
      </c>
      <c r="L11585">
        <v>5</v>
      </c>
      <c r="M11585">
        <v>1661</v>
      </c>
      <c r="N11585">
        <v>79</v>
      </c>
      <c r="O11585">
        <v>59</v>
      </c>
      <c r="P11585">
        <v>4</v>
      </c>
      <c r="Q11585">
        <v>1</v>
      </c>
    </row>
    <row r="11586" spans="1:17" x14ac:dyDescent="0.2">
      <c r="A11586" s="121">
        <v>43069</v>
      </c>
      <c r="B11586" t="s">
        <v>406</v>
      </c>
      <c r="C11586" t="s">
        <v>442</v>
      </c>
      <c r="D11586" t="s">
        <v>443</v>
      </c>
      <c r="E11586" t="s">
        <v>444</v>
      </c>
      <c r="F11586" t="s">
        <v>413</v>
      </c>
      <c r="G11586">
        <v>5071</v>
      </c>
      <c r="H11586">
        <v>5071</v>
      </c>
      <c r="I11586">
        <v>4803</v>
      </c>
      <c r="J11586">
        <v>4803</v>
      </c>
      <c r="K11586">
        <v>1614</v>
      </c>
      <c r="L11586">
        <v>10</v>
      </c>
      <c r="M11586">
        <v>3254</v>
      </c>
      <c r="N11586">
        <v>131</v>
      </c>
      <c r="O11586">
        <v>62</v>
      </c>
      <c r="P11586">
        <v>20</v>
      </c>
      <c r="Q11586">
        <v>2</v>
      </c>
    </row>
    <row r="11587" spans="1:17" x14ac:dyDescent="0.2">
      <c r="A11587" s="121">
        <v>43069</v>
      </c>
      <c r="B11587" t="s">
        <v>406</v>
      </c>
      <c r="C11587" t="s">
        <v>442</v>
      </c>
      <c r="D11587" t="s">
        <v>445</v>
      </c>
      <c r="E11587" t="s">
        <v>446</v>
      </c>
      <c r="F11587" t="s">
        <v>410</v>
      </c>
      <c r="G11587">
        <v>168</v>
      </c>
      <c r="H11587">
        <v>168</v>
      </c>
      <c r="I11587">
        <v>168</v>
      </c>
      <c r="J11587">
        <v>168</v>
      </c>
      <c r="K11587">
        <v>0</v>
      </c>
      <c r="L11587">
        <v>0</v>
      </c>
      <c r="M11587">
        <v>159</v>
      </c>
      <c r="N11587">
        <v>3</v>
      </c>
      <c r="O11587">
        <v>6</v>
      </c>
      <c r="P11587">
        <v>0</v>
      </c>
      <c r="Q11587">
        <v>0</v>
      </c>
    </row>
    <row r="11588" spans="1:17" x14ac:dyDescent="0.2">
      <c r="A11588" s="121">
        <v>43069</v>
      </c>
      <c r="B11588" t="s">
        <v>406</v>
      </c>
      <c r="C11588" t="s">
        <v>442</v>
      </c>
      <c r="D11588" t="s">
        <v>447</v>
      </c>
      <c r="E11588" t="s">
        <v>448</v>
      </c>
      <c r="F11588" t="s">
        <v>410</v>
      </c>
      <c r="G11588">
        <v>293</v>
      </c>
      <c r="H11588">
        <v>293</v>
      </c>
      <c r="I11588">
        <v>293</v>
      </c>
      <c r="J11588">
        <v>293</v>
      </c>
      <c r="K11588">
        <v>2</v>
      </c>
      <c r="L11588">
        <v>0</v>
      </c>
      <c r="M11588">
        <v>284</v>
      </c>
      <c r="N11588">
        <v>7</v>
      </c>
      <c r="O11588">
        <v>0</v>
      </c>
      <c r="P11588">
        <v>0</v>
      </c>
      <c r="Q11588">
        <v>0</v>
      </c>
    </row>
    <row r="11589" spans="1:17" x14ac:dyDescent="0.2">
      <c r="A11589" s="121">
        <v>43069</v>
      </c>
      <c r="B11589" t="s">
        <v>406</v>
      </c>
      <c r="C11589" t="s">
        <v>442</v>
      </c>
      <c r="D11589" t="s">
        <v>449</v>
      </c>
      <c r="E11589" t="s">
        <v>624</v>
      </c>
      <c r="F11589" t="s">
        <v>410</v>
      </c>
      <c r="G11589">
        <v>1603</v>
      </c>
      <c r="H11589">
        <v>1603</v>
      </c>
      <c r="I11589">
        <v>1597</v>
      </c>
      <c r="J11589">
        <v>1597</v>
      </c>
      <c r="K11589">
        <v>18</v>
      </c>
      <c r="L11589">
        <v>0</v>
      </c>
      <c r="M11589">
        <v>1428</v>
      </c>
      <c r="N11589">
        <v>142</v>
      </c>
      <c r="O11589">
        <v>15</v>
      </c>
      <c r="P11589">
        <v>0</v>
      </c>
      <c r="Q11589">
        <v>0</v>
      </c>
    </row>
    <row r="11590" spans="1:17" x14ac:dyDescent="0.2">
      <c r="A11590" s="121">
        <v>43069</v>
      </c>
      <c r="B11590" t="s">
        <v>406</v>
      </c>
      <c r="C11590" t="s">
        <v>451</v>
      </c>
      <c r="D11590" t="s">
        <v>454</v>
      </c>
      <c r="E11590" t="s">
        <v>621</v>
      </c>
      <c r="F11590" t="s">
        <v>410</v>
      </c>
      <c r="G11590">
        <v>1355</v>
      </c>
      <c r="H11590">
        <v>1355</v>
      </c>
      <c r="I11590">
        <v>1355</v>
      </c>
      <c r="J11590">
        <v>1355</v>
      </c>
      <c r="K11590">
        <v>1</v>
      </c>
      <c r="L11590">
        <v>0</v>
      </c>
      <c r="M11590">
        <v>1068</v>
      </c>
      <c r="N11590">
        <v>116</v>
      </c>
      <c r="O11590">
        <v>170</v>
      </c>
      <c r="P11590">
        <v>0</v>
      </c>
      <c r="Q11590">
        <v>0</v>
      </c>
    </row>
    <row r="11591" spans="1:17" x14ac:dyDescent="0.2">
      <c r="A11591" s="121">
        <v>43069</v>
      </c>
      <c r="B11591" t="s">
        <v>406</v>
      </c>
      <c r="C11591" t="s">
        <v>451</v>
      </c>
      <c r="D11591" t="s">
        <v>622</v>
      </c>
      <c r="E11591" t="s">
        <v>623</v>
      </c>
      <c r="F11591" t="s">
        <v>413</v>
      </c>
      <c r="G11591">
        <v>5245</v>
      </c>
      <c r="H11591">
        <v>5245</v>
      </c>
      <c r="I11591">
        <v>4908</v>
      </c>
      <c r="J11591">
        <v>4908</v>
      </c>
      <c r="K11591">
        <v>1454</v>
      </c>
      <c r="L11591">
        <v>7</v>
      </c>
      <c r="M11591">
        <v>3109</v>
      </c>
      <c r="N11591">
        <v>83</v>
      </c>
      <c r="O11591">
        <v>592</v>
      </c>
      <c r="P11591">
        <v>27</v>
      </c>
      <c r="Q11591">
        <v>3</v>
      </c>
    </row>
    <row r="11592" spans="1:17" x14ac:dyDescent="0.2">
      <c r="A11592" s="121">
        <v>43069</v>
      </c>
      <c r="B11592" t="s">
        <v>406</v>
      </c>
      <c r="C11592" t="s">
        <v>456</v>
      </c>
      <c r="D11592" t="s">
        <v>457</v>
      </c>
      <c r="E11592" t="s">
        <v>458</v>
      </c>
      <c r="F11592" t="s">
        <v>413</v>
      </c>
      <c r="G11592">
        <v>4674</v>
      </c>
      <c r="H11592">
        <v>4674</v>
      </c>
      <c r="I11592">
        <v>4313</v>
      </c>
      <c r="J11592">
        <v>4313</v>
      </c>
      <c r="K11592">
        <v>1355</v>
      </c>
      <c r="L11592">
        <v>7</v>
      </c>
      <c r="M11592">
        <v>2973</v>
      </c>
      <c r="N11592">
        <v>23</v>
      </c>
      <c r="O11592">
        <v>316</v>
      </c>
      <c r="P11592">
        <v>8</v>
      </c>
      <c r="Q11592">
        <v>0</v>
      </c>
    </row>
    <row r="11593" spans="1:17" x14ac:dyDescent="0.2">
      <c r="A11593" s="121">
        <v>43069</v>
      </c>
      <c r="B11593" t="s">
        <v>406</v>
      </c>
      <c r="C11593" t="s">
        <v>456</v>
      </c>
      <c r="D11593" t="s">
        <v>459</v>
      </c>
      <c r="E11593" t="s">
        <v>460</v>
      </c>
      <c r="F11593" t="s">
        <v>413</v>
      </c>
      <c r="G11593">
        <v>1293</v>
      </c>
      <c r="H11593">
        <v>1293</v>
      </c>
      <c r="I11593">
        <v>1282</v>
      </c>
      <c r="J11593">
        <v>1282</v>
      </c>
      <c r="K11593">
        <v>137</v>
      </c>
      <c r="L11593">
        <v>0</v>
      </c>
      <c r="M11593">
        <v>1092</v>
      </c>
      <c r="N11593">
        <v>0</v>
      </c>
      <c r="O11593">
        <v>64</v>
      </c>
      <c r="P11593">
        <v>0</v>
      </c>
      <c r="Q11593">
        <v>0</v>
      </c>
    </row>
    <row r="11594" spans="1:17" x14ac:dyDescent="0.2">
      <c r="A11594" s="121">
        <v>43069</v>
      </c>
      <c r="B11594" t="s">
        <v>406</v>
      </c>
      <c r="C11594" t="s">
        <v>456</v>
      </c>
      <c r="D11594" t="s">
        <v>461</v>
      </c>
      <c r="E11594" t="s">
        <v>462</v>
      </c>
      <c r="F11594" t="s">
        <v>410</v>
      </c>
      <c r="G11594">
        <v>70</v>
      </c>
      <c r="I11594">
        <v>70</v>
      </c>
    </row>
    <row r="11595" spans="1:17" x14ac:dyDescent="0.2">
      <c r="A11595" s="121">
        <v>43069</v>
      </c>
      <c r="B11595" t="s">
        <v>406</v>
      </c>
      <c r="C11595" t="s">
        <v>456</v>
      </c>
      <c r="D11595" t="s">
        <v>463</v>
      </c>
      <c r="E11595" t="s">
        <v>464</v>
      </c>
      <c r="F11595" t="s">
        <v>410</v>
      </c>
      <c r="G11595">
        <v>5</v>
      </c>
      <c r="I11595">
        <v>5</v>
      </c>
    </row>
    <row r="11596" spans="1:17" x14ac:dyDescent="0.2">
      <c r="A11596" s="121">
        <v>43069</v>
      </c>
      <c r="B11596" t="s">
        <v>406</v>
      </c>
      <c r="C11596" t="s">
        <v>456</v>
      </c>
      <c r="D11596" t="s">
        <v>465</v>
      </c>
      <c r="E11596" t="s">
        <v>466</v>
      </c>
      <c r="F11596" t="s">
        <v>410</v>
      </c>
      <c r="G11596">
        <v>17</v>
      </c>
      <c r="I11596">
        <v>17</v>
      </c>
    </row>
    <row r="11597" spans="1:17" x14ac:dyDescent="0.2">
      <c r="A11597" s="121">
        <v>43069</v>
      </c>
      <c r="B11597" t="s">
        <v>406</v>
      </c>
      <c r="C11597" t="s">
        <v>456</v>
      </c>
      <c r="D11597" t="s">
        <v>467</v>
      </c>
      <c r="E11597" t="s">
        <v>468</v>
      </c>
      <c r="F11597" t="s">
        <v>410</v>
      </c>
      <c r="G11597">
        <v>1210</v>
      </c>
      <c r="I11597">
        <v>1209</v>
      </c>
    </row>
    <row r="11598" spans="1:17" x14ac:dyDescent="0.2">
      <c r="A11598" s="121">
        <v>43069</v>
      </c>
      <c r="B11598" t="s">
        <v>406</v>
      </c>
      <c r="C11598" t="s">
        <v>456</v>
      </c>
      <c r="D11598" t="s">
        <v>469</v>
      </c>
      <c r="E11598" t="s">
        <v>470</v>
      </c>
      <c r="F11598" t="s">
        <v>410</v>
      </c>
      <c r="G11598">
        <v>585</v>
      </c>
      <c r="I11598">
        <v>581</v>
      </c>
    </row>
    <row r="11599" spans="1:17" x14ac:dyDescent="0.2">
      <c r="A11599" s="121">
        <v>43069</v>
      </c>
      <c r="B11599" t="s">
        <v>406</v>
      </c>
      <c r="C11599" t="s">
        <v>456</v>
      </c>
      <c r="D11599" t="s">
        <v>471</v>
      </c>
      <c r="E11599" t="s">
        <v>472</v>
      </c>
      <c r="F11599" t="s">
        <v>410</v>
      </c>
      <c r="G11599">
        <v>244</v>
      </c>
      <c r="I11599">
        <v>243</v>
      </c>
    </row>
    <row r="11600" spans="1:17" x14ac:dyDescent="0.2">
      <c r="A11600" s="121">
        <v>43069</v>
      </c>
      <c r="B11600" t="s">
        <v>406</v>
      </c>
      <c r="C11600" t="s">
        <v>456</v>
      </c>
      <c r="D11600" t="s">
        <v>473</v>
      </c>
      <c r="E11600" t="s">
        <v>474</v>
      </c>
      <c r="F11600" t="s">
        <v>410</v>
      </c>
      <c r="G11600">
        <v>121</v>
      </c>
      <c r="I11600">
        <v>121</v>
      </c>
    </row>
    <row r="11601" spans="1:17" x14ac:dyDescent="0.2">
      <c r="A11601" s="121">
        <v>43069</v>
      </c>
      <c r="B11601" t="s">
        <v>406</v>
      </c>
      <c r="C11601" t="s">
        <v>456</v>
      </c>
      <c r="D11601" t="s">
        <v>475</v>
      </c>
      <c r="E11601" t="s">
        <v>476</v>
      </c>
      <c r="F11601" t="s">
        <v>410</v>
      </c>
      <c r="G11601">
        <v>284</v>
      </c>
      <c r="I11601">
        <v>279</v>
      </c>
    </row>
    <row r="11602" spans="1:17" x14ac:dyDescent="0.2">
      <c r="A11602" s="121">
        <v>43069</v>
      </c>
      <c r="B11602" t="s">
        <v>406</v>
      </c>
      <c r="C11602" t="s">
        <v>456</v>
      </c>
      <c r="D11602" t="s">
        <v>477</v>
      </c>
      <c r="E11602" t="s">
        <v>478</v>
      </c>
      <c r="F11602" t="s">
        <v>413</v>
      </c>
      <c r="G11602">
        <v>1849</v>
      </c>
      <c r="H11602">
        <v>1849</v>
      </c>
      <c r="I11602">
        <v>1796</v>
      </c>
      <c r="J11602">
        <v>1796</v>
      </c>
      <c r="K11602">
        <v>376</v>
      </c>
      <c r="L11602">
        <v>1</v>
      </c>
      <c r="M11602">
        <v>1427</v>
      </c>
      <c r="N11602">
        <v>11</v>
      </c>
      <c r="O11602">
        <v>34</v>
      </c>
      <c r="P11602">
        <v>4</v>
      </c>
      <c r="Q11602">
        <v>0</v>
      </c>
    </row>
    <row r="11603" spans="1:17" x14ac:dyDescent="0.2">
      <c r="A11603" s="121">
        <v>43069</v>
      </c>
      <c r="B11603" t="s">
        <v>406</v>
      </c>
      <c r="C11603" t="s">
        <v>456</v>
      </c>
      <c r="D11603" t="s">
        <v>479</v>
      </c>
      <c r="E11603" t="s">
        <v>480</v>
      </c>
      <c r="F11603" t="s">
        <v>410</v>
      </c>
      <c r="G11603">
        <v>37</v>
      </c>
      <c r="I11603">
        <v>37</v>
      </c>
    </row>
    <row r="11604" spans="1:17" x14ac:dyDescent="0.2">
      <c r="A11604" s="121">
        <v>43069</v>
      </c>
      <c r="B11604" t="s">
        <v>406</v>
      </c>
      <c r="C11604" t="s">
        <v>456</v>
      </c>
      <c r="D11604" t="s">
        <v>481</v>
      </c>
      <c r="E11604" t="s">
        <v>482</v>
      </c>
      <c r="F11604" t="s">
        <v>410</v>
      </c>
      <c r="G11604">
        <v>16</v>
      </c>
      <c r="I11604">
        <v>16</v>
      </c>
    </row>
    <row r="11605" spans="1:17" x14ac:dyDescent="0.2">
      <c r="A11605" s="121">
        <v>43069</v>
      </c>
      <c r="B11605" t="s">
        <v>406</v>
      </c>
      <c r="C11605" t="s">
        <v>456</v>
      </c>
      <c r="D11605" t="s">
        <v>483</v>
      </c>
      <c r="E11605" t="s">
        <v>484</v>
      </c>
      <c r="F11605" t="s">
        <v>410</v>
      </c>
      <c r="G11605">
        <v>79</v>
      </c>
      <c r="I11605">
        <v>79</v>
      </c>
    </row>
    <row r="11606" spans="1:17" x14ac:dyDescent="0.2">
      <c r="A11606" s="121">
        <v>43069</v>
      </c>
      <c r="B11606" t="s">
        <v>406</v>
      </c>
      <c r="C11606" t="s">
        <v>456</v>
      </c>
      <c r="D11606" t="s">
        <v>487</v>
      </c>
      <c r="E11606" t="s">
        <v>488</v>
      </c>
      <c r="F11606" t="s">
        <v>410</v>
      </c>
      <c r="G11606">
        <v>12</v>
      </c>
      <c r="I11606">
        <v>12</v>
      </c>
    </row>
    <row r="11607" spans="1:17" x14ac:dyDescent="0.2">
      <c r="A11607" s="121">
        <v>43069</v>
      </c>
      <c r="B11607" t="s">
        <v>406</v>
      </c>
      <c r="C11607" t="s">
        <v>456</v>
      </c>
      <c r="D11607" t="s">
        <v>489</v>
      </c>
      <c r="E11607" t="s">
        <v>490</v>
      </c>
      <c r="F11607" t="s">
        <v>410</v>
      </c>
      <c r="G11607">
        <v>50</v>
      </c>
      <c r="I11607">
        <v>50</v>
      </c>
    </row>
    <row r="11608" spans="1:17" x14ac:dyDescent="0.2">
      <c r="A11608" s="121">
        <v>43069</v>
      </c>
      <c r="B11608" t="s">
        <v>406</v>
      </c>
      <c r="C11608" t="s">
        <v>456</v>
      </c>
      <c r="D11608" t="s">
        <v>628</v>
      </c>
      <c r="E11608" t="s">
        <v>629</v>
      </c>
      <c r="F11608" t="s">
        <v>410</v>
      </c>
      <c r="G11608">
        <v>29</v>
      </c>
      <c r="I11608">
        <v>29</v>
      </c>
    </row>
    <row r="11609" spans="1:17" x14ac:dyDescent="0.2">
      <c r="A11609" s="121">
        <v>43069</v>
      </c>
      <c r="B11609" t="s">
        <v>406</v>
      </c>
      <c r="C11609" t="s">
        <v>491</v>
      </c>
      <c r="D11609" t="s">
        <v>492</v>
      </c>
      <c r="E11609" t="s">
        <v>493</v>
      </c>
      <c r="F11609" t="s">
        <v>410</v>
      </c>
      <c r="G11609">
        <v>1321</v>
      </c>
      <c r="H11609">
        <v>1321</v>
      </c>
      <c r="I11609">
        <v>1291</v>
      </c>
      <c r="J11609">
        <v>1291</v>
      </c>
      <c r="K11609">
        <v>202</v>
      </c>
      <c r="L11609">
        <v>2</v>
      </c>
      <c r="M11609">
        <v>1019</v>
      </c>
      <c r="N11609">
        <v>88</v>
      </c>
      <c r="O11609">
        <v>10</v>
      </c>
      <c r="P11609">
        <v>0</v>
      </c>
      <c r="Q11609">
        <v>0</v>
      </c>
    </row>
    <row r="11610" spans="1:17" x14ac:dyDescent="0.2">
      <c r="A11610" s="121">
        <v>43069</v>
      </c>
      <c r="B11610" t="s">
        <v>406</v>
      </c>
      <c r="C11610" t="s">
        <v>491</v>
      </c>
      <c r="D11610" t="s">
        <v>494</v>
      </c>
      <c r="E11610" t="s">
        <v>495</v>
      </c>
      <c r="F11610" t="s">
        <v>413</v>
      </c>
      <c r="G11610">
        <v>2645</v>
      </c>
      <c r="H11610">
        <v>2645</v>
      </c>
      <c r="I11610">
        <v>2454</v>
      </c>
      <c r="J11610">
        <v>2454</v>
      </c>
      <c r="K11610">
        <v>676</v>
      </c>
      <c r="L11610">
        <v>5</v>
      </c>
      <c r="M11610">
        <v>1702</v>
      </c>
      <c r="N11610">
        <v>53</v>
      </c>
      <c r="O11610">
        <v>209</v>
      </c>
      <c r="P11610">
        <v>10</v>
      </c>
      <c r="Q11610">
        <v>0</v>
      </c>
    </row>
    <row r="11611" spans="1:17" x14ac:dyDescent="0.2">
      <c r="A11611" s="121">
        <v>43069</v>
      </c>
      <c r="B11611" t="s">
        <v>406</v>
      </c>
      <c r="C11611" t="s">
        <v>491</v>
      </c>
      <c r="D11611" t="s">
        <v>496</v>
      </c>
      <c r="E11611" t="s">
        <v>497</v>
      </c>
      <c r="F11611" t="s">
        <v>413</v>
      </c>
      <c r="G11611">
        <v>5145</v>
      </c>
      <c r="H11611">
        <v>5145</v>
      </c>
      <c r="I11611">
        <v>4522</v>
      </c>
      <c r="J11611">
        <v>4522</v>
      </c>
      <c r="K11611">
        <v>1491</v>
      </c>
      <c r="L11611">
        <v>9</v>
      </c>
      <c r="M11611">
        <v>3445</v>
      </c>
      <c r="N11611">
        <v>115</v>
      </c>
      <c r="O11611">
        <v>85</v>
      </c>
      <c r="P11611">
        <v>74</v>
      </c>
      <c r="Q11611">
        <v>3</v>
      </c>
    </row>
    <row r="11612" spans="1:17" x14ac:dyDescent="0.2">
      <c r="A11612" s="121">
        <v>43069</v>
      </c>
      <c r="B11612" t="s">
        <v>406</v>
      </c>
      <c r="C11612" t="s">
        <v>491</v>
      </c>
      <c r="D11612" t="s">
        <v>498</v>
      </c>
      <c r="E11612" t="s">
        <v>499</v>
      </c>
      <c r="F11612" t="s">
        <v>413</v>
      </c>
      <c r="G11612">
        <v>7617</v>
      </c>
      <c r="H11612">
        <v>7617</v>
      </c>
      <c r="I11612">
        <v>7006</v>
      </c>
      <c r="J11612">
        <v>7006</v>
      </c>
      <c r="K11612">
        <v>2212</v>
      </c>
      <c r="L11612">
        <v>23</v>
      </c>
      <c r="M11612">
        <v>4905</v>
      </c>
      <c r="N11612">
        <v>159</v>
      </c>
      <c r="O11612">
        <v>318</v>
      </c>
      <c r="P11612">
        <v>21</v>
      </c>
      <c r="Q11612">
        <v>1</v>
      </c>
    </row>
    <row r="11613" spans="1:17" x14ac:dyDescent="0.2">
      <c r="A11613" s="121">
        <v>43069</v>
      </c>
      <c r="B11613" t="s">
        <v>406</v>
      </c>
      <c r="C11613" t="s">
        <v>491</v>
      </c>
      <c r="D11613" t="s">
        <v>500</v>
      </c>
      <c r="E11613" t="s">
        <v>620</v>
      </c>
      <c r="F11613" t="s">
        <v>410</v>
      </c>
      <c r="G11613">
        <v>1508</v>
      </c>
      <c r="H11613">
        <v>1508</v>
      </c>
      <c r="I11613">
        <v>1507</v>
      </c>
      <c r="J11613">
        <v>1507</v>
      </c>
      <c r="K11613">
        <v>2</v>
      </c>
      <c r="L11613">
        <v>0</v>
      </c>
      <c r="M11613">
        <v>1405</v>
      </c>
      <c r="N11613">
        <v>86</v>
      </c>
      <c r="O11613">
        <v>15</v>
      </c>
      <c r="P11613">
        <v>0</v>
      </c>
      <c r="Q11613">
        <v>0</v>
      </c>
    </row>
    <row r="11614" spans="1:17" x14ac:dyDescent="0.2">
      <c r="A11614" s="121">
        <v>43069</v>
      </c>
      <c r="B11614" t="s">
        <v>406</v>
      </c>
      <c r="C11614" t="s">
        <v>491</v>
      </c>
      <c r="D11614" t="s">
        <v>502</v>
      </c>
      <c r="E11614" t="s">
        <v>615</v>
      </c>
      <c r="F11614" t="s">
        <v>410</v>
      </c>
      <c r="G11614">
        <v>2627</v>
      </c>
      <c r="H11614">
        <v>2627</v>
      </c>
      <c r="I11614">
        <v>2627</v>
      </c>
      <c r="J11614">
        <v>2627</v>
      </c>
      <c r="K11614">
        <v>1</v>
      </c>
      <c r="L11614">
        <v>1</v>
      </c>
      <c r="M11614">
        <v>2325</v>
      </c>
      <c r="N11614">
        <v>270</v>
      </c>
      <c r="O11614">
        <v>30</v>
      </c>
      <c r="P11614">
        <v>0</v>
      </c>
      <c r="Q11614">
        <v>0</v>
      </c>
    </row>
    <row r="11615" spans="1:17" x14ac:dyDescent="0.2">
      <c r="A11615" s="121">
        <v>43069</v>
      </c>
      <c r="B11615" t="s">
        <v>406</v>
      </c>
      <c r="C11615" t="s">
        <v>491</v>
      </c>
      <c r="D11615" t="s">
        <v>504</v>
      </c>
      <c r="E11615" t="s">
        <v>630</v>
      </c>
      <c r="F11615" t="s">
        <v>413</v>
      </c>
      <c r="G11615">
        <v>8222</v>
      </c>
      <c r="H11615">
        <v>8222</v>
      </c>
      <c r="I11615">
        <v>7077</v>
      </c>
      <c r="J11615">
        <v>7077</v>
      </c>
      <c r="K11615">
        <v>2611</v>
      </c>
      <c r="L11615">
        <v>22</v>
      </c>
      <c r="M11615">
        <v>5316</v>
      </c>
      <c r="N11615">
        <v>71</v>
      </c>
      <c r="O11615">
        <v>202</v>
      </c>
      <c r="P11615">
        <v>60</v>
      </c>
      <c r="Q11615">
        <v>1</v>
      </c>
    </row>
    <row r="11616" spans="1:17" x14ac:dyDescent="0.2">
      <c r="A11616" s="121">
        <v>43069</v>
      </c>
      <c r="B11616" t="s">
        <v>406</v>
      </c>
      <c r="C11616" t="s">
        <v>491</v>
      </c>
      <c r="D11616" t="s">
        <v>506</v>
      </c>
      <c r="E11616" t="s">
        <v>507</v>
      </c>
      <c r="F11616" t="s">
        <v>413</v>
      </c>
      <c r="G11616">
        <v>5946</v>
      </c>
      <c r="H11616">
        <v>5946</v>
      </c>
      <c r="I11616">
        <v>5738</v>
      </c>
      <c r="J11616">
        <v>5738</v>
      </c>
      <c r="K11616">
        <v>1213</v>
      </c>
      <c r="L11616">
        <v>2</v>
      </c>
      <c r="M11616">
        <v>4694</v>
      </c>
      <c r="N11616">
        <v>6</v>
      </c>
      <c r="O11616">
        <v>31</v>
      </c>
      <c r="P11616">
        <v>0</v>
      </c>
      <c r="Q11616">
        <v>0</v>
      </c>
    </row>
    <row r="11617" spans="1:17" x14ac:dyDescent="0.2">
      <c r="A11617" s="121">
        <v>43069</v>
      </c>
      <c r="B11617" t="s">
        <v>406</v>
      </c>
      <c r="C11617" t="s">
        <v>510</v>
      </c>
      <c r="D11617" t="s">
        <v>513</v>
      </c>
      <c r="E11617" t="s">
        <v>514</v>
      </c>
      <c r="F11617" t="s">
        <v>410</v>
      </c>
      <c r="G11617">
        <v>619</v>
      </c>
      <c r="I11617">
        <v>617</v>
      </c>
    </row>
    <row r="11618" spans="1:17" x14ac:dyDescent="0.2">
      <c r="A11618" s="121">
        <v>43069</v>
      </c>
      <c r="B11618" t="s">
        <v>406</v>
      </c>
      <c r="C11618" t="s">
        <v>510</v>
      </c>
      <c r="D11618" t="s">
        <v>515</v>
      </c>
      <c r="E11618" t="s">
        <v>516</v>
      </c>
      <c r="F11618" t="s">
        <v>410</v>
      </c>
      <c r="G11618">
        <v>125</v>
      </c>
      <c r="I11618">
        <v>125</v>
      </c>
    </row>
    <row r="11619" spans="1:17" x14ac:dyDescent="0.2">
      <c r="A11619" s="121">
        <v>43069</v>
      </c>
      <c r="B11619" t="s">
        <v>406</v>
      </c>
      <c r="C11619" t="s">
        <v>510</v>
      </c>
      <c r="D11619" t="s">
        <v>519</v>
      </c>
      <c r="E11619" t="s">
        <v>520</v>
      </c>
      <c r="F11619" t="s">
        <v>410</v>
      </c>
      <c r="G11619">
        <v>318</v>
      </c>
      <c r="I11619">
        <v>314</v>
      </c>
    </row>
    <row r="11620" spans="1:17" x14ac:dyDescent="0.2">
      <c r="A11620" s="121">
        <v>43069</v>
      </c>
      <c r="B11620" t="s">
        <v>406</v>
      </c>
      <c r="C11620" t="s">
        <v>510</v>
      </c>
      <c r="D11620" t="s">
        <v>523</v>
      </c>
      <c r="E11620" t="s">
        <v>524</v>
      </c>
      <c r="F11620" t="s">
        <v>413</v>
      </c>
      <c r="G11620">
        <v>594</v>
      </c>
      <c r="H11620">
        <v>594</v>
      </c>
      <c r="I11620">
        <v>583</v>
      </c>
      <c r="J11620">
        <v>583</v>
      </c>
      <c r="K11620">
        <v>160</v>
      </c>
      <c r="L11620">
        <v>1</v>
      </c>
      <c r="M11620">
        <v>409</v>
      </c>
      <c r="N11620">
        <v>24</v>
      </c>
      <c r="O11620">
        <v>0</v>
      </c>
      <c r="P11620">
        <v>1</v>
      </c>
      <c r="Q11620">
        <v>0</v>
      </c>
    </row>
    <row r="11621" spans="1:17" x14ac:dyDescent="0.2">
      <c r="A11621" s="121">
        <v>43069</v>
      </c>
      <c r="B11621" t="s">
        <v>406</v>
      </c>
      <c r="C11621" t="s">
        <v>510</v>
      </c>
      <c r="D11621" t="s">
        <v>525</v>
      </c>
      <c r="E11621" t="s">
        <v>526</v>
      </c>
      <c r="F11621" t="s">
        <v>410</v>
      </c>
      <c r="G11621">
        <v>462</v>
      </c>
      <c r="I11621">
        <v>457</v>
      </c>
    </row>
    <row r="11622" spans="1:17" x14ac:dyDescent="0.2">
      <c r="A11622" s="121">
        <v>43069</v>
      </c>
      <c r="B11622" t="s">
        <v>406</v>
      </c>
      <c r="C11622" t="s">
        <v>510</v>
      </c>
      <c r="D11622" t="s">
        <v>527</v>
      </c>
      <c r="E11622" t="s">
        <v>528</v>
      </c>
      <c r="F11622" t="s">
        <v>410</v>
      </c>
      <c r="G11622">
        <v>179</v>
      </c>
      <c r="I11622">
        <v>179</v>
      </c>
    </row>
    <row r="11623" spans="1:17" x14ac:dyDescent="0.2">
      <c r="A11623" s="121">
        <v>43069</v>
      </c>
      <c r="B11623" t="s">
        <v>406</v>
      </c>
      <c r="C11623" t="s">
        <v>510</v>
      </c>
      <c r="D11623" t="s">
        <v>529</v>
      </c>
      <c r="E11623" t="s">
        <v>530</v>
      </c>
      <c r="F11623" t="s">
        <v>413</v>
      </c>
      <c r="G11623">
        <v>548</v>
      </c>
      <c r="H11623">
        <v>548</v>
      </c>
      <c r="I11623">
        <v>539</v>
      </c>
      <c r="J11623">
        <v>539</v>
      </c>
      <c r="K11623">
        <v>150</v>
      </c>
      <c r="L11623">
        <v>0</v>
      </c>
      <c r="M11623">
        <v>397</v>
      </c>
      <c r="N11623">
        <v>1</v>
      </c>
      <c r="O11623">
        <v>0</v>
      </c>
      <c r="P11623">
        <v>0</v>
      </c>
      <c r="Q11623">
        <v>0</v>
      </c>
    </row>
    <row r="11624" spans="1:17" x14ac:dyDescent="0.2">
      <c r="A11624" s="121">
        <v>43069</v>
      </c>
      <c r="B11624" t="s">
        <v>406</v>
      </c>
      <c r="C11624" t="s">
        <v>510</v>
      </c>
      <c r="D11624" t="s">
        <v>531</v>
      </c>
      <c r="E11624" t="s">
        <v>532</v>
      </c>
      <c r="F11624" t="s">
        <v>410</v>
      </c>
      <c r="G11624">
        <v>26</v>
      </c>
      <c r="I11624">
        <v>26</v>
      </c>
    </row>
    <row r="11625" spans="1:17" x14ac:dyDescent="0.2">
      <c r="A11625" s="121">
        <v>43069</v>
      </c>
      <c r="B11625" t="s">
        <v>406</v>
      </c>
      <c r="C11625" t="s">
        <v>510</v>
      </c>
      <c r="D11625" t="s">
        <v>533</v>
      </c>
      <c r="E11625" t="s">
        <v>534</v>
      </c>
      <c r="F11625" t="s">
        <v>413</v>
      </c>
      <c r="G11625">
        <v>2728</v>
      </c>
      <c r="H11625">
        <v>2728</v>
      </c>
      <c r="I11625">
        <v>2585</v>
      </c>
      <c r="J11625">
        <v>2585</v>
      </c>
      <c r="K11625">
        <v>711</v>
      </c>
      <c r="L11625">
        <v>4</v>
      </c>
      <c r="M11625">
        <v>2006</v>
      </c>
      <c r="N11625">
        <v>7</v>
      </c>
      <c r="O11625">
        <v>0</v>
      </c>
      <c r="P11625">
        <v>6</v>
      </c>
      <c r="Q11625">
        <v>0</v>
      </c>
    </row>
    <row r="11626" spans="1:17" x14ac:dyDescent="0.2">
      <c r="A11626" s="121">
        <v>43069</v>
      </c>
      <c r="B11626" t="s">
        <v>406</v>
      </c>
      <c r="C11626" t="s">
        <v>510</v>
      </c>
      <c r="D11626" t="s">
        <v>535</v>
      </c>
      <c r="E11626" t="s">
        <v>536</v>
      </c>
      <c r="F11626" t="s">
        <v>410</v>
      </c>
      <c r="G11626">
        <v>301</v>
      </c>
      <c r="I11626">
        <v>301</v>
      </c>
    </row>
    <row r="11627" spans="1:17" x14ac:dyDescent="0.2">
      <c r="A11627" s="121">
        <v>43069</v>
      </c>
      <c r="B11627" t="s">
        <v>406</v>
      </c>
      <c r="C11627" t="s">
        <v>510</v>
      </c>
      <c r="D11627" t="s">
        <v>537</v>
      </c>
      <c r="E11627" t="s">
        <v>538</v>
      </c>
      <c r="F11627" t="s">
        <v>410</v>
      </c>
      <c r="G11627">
        <v>60</v>
      </c>
      <c r="I11627">
        <v>60</v>
      </c>
    </row>
    <row r="11628" spans="1:17" x14ac:dyDescent="0.2">
      <c r="A11628" s="121">
        <v>43069</v>
      </c>
      <c r="B11628" t="s">
        <v>406</v>
      </c>
      <c r="C11628" t="s">
        <v>510</v>
      </c>
      <c r="D11628" t="s">
        <v>539</v>
      </c>
      <c r="E11628" t="s">
        <v>540</v>
      </c>
      <c r="F11628" t="s">
        <v>413</v>
      </c>
      <c r="G11628">
        <v>609</v>
      </c>
      <c r="H11628">
        <v>609</v>
      </c>
      <c r="I11628">
        <v>595</v>
      </c>
      <c r="J11628">
        <v>595</v>
      </c>
      <c r="K11628">
        <v>120</v>
      </c>
      <c r="L11628">
        <v>0</v>
      </c>
      <c r="M11628">
        <v>484</v>
      </c>
      <c r="N11628">
        <v>5</v>
      </c>
      <c r="O11628">
        <v>0</v>
      </c>
      <c r="P11628">
        <v>0</v>
      </c>
      <c r="Q11628">
        <v>0</v>
      </c>
    </row>
    <row r="11629" spans="1:17" x14ac:dyDescent="0.2">
      <c r="A11629" s="121">
        <v>43069</v>
      </c>
      <c r="B11629" t="s">
        <v>406</v>
      </c>
      <c r="C11629" t="s">
        <v>510</v>
      </c>
      <c r="D11629" t="s">
        <v>541</v>
      </c>
      <c r="E11629" t="s">
        <v>542</v>
      </c>
      <c r="F11629" t="s">
        <v>410</v>
      </c>
      <c r="G11629">
        <v>305</v>
      </c>
      <c r="I11629">
        <v>305</v>
      </c>
    </row>
    <row r="11630" spans="1:17" x14ac:dyDescent="0.2">
      <c r="A11630" s="121">
        <v>43069</v>
      </c>
      <c r="B11630" t="s">
        <v>406</v>
      </c>
      <c r="C11630" t="s">
        <v>510</v>
      </c>
      <c r="D11630" t="s">
        <v>543</v>
      </c>
      <c r="E11630" t="s">
        <v>544</v>
      </c>
      <c r="F11630" t="s">
        <v>410</v>
      </c>
      <c r="G11630">
        <v>151</v>
      </c>
      <c r="I11630">
        <v>151</v>
      </c>
    </row>
    <row r="11631" spans="1:17" x14ac:dyDescent="0.2">
      <c r="A11631" s="121">
        <v>43069</v>
      </c>
      <c r="B11631" t="s">
        <v>406</v>
      </c>
      <c r="C11631" t="s">
        <v>510</v>
      </c>
      <c r="D11631" t="s">
        <v>545</v>
      </c>
      <c r="E11631" t="s">
        <v>546</v>
      </c>
      <c r="F11631" t="s">
        <v>410</v>
      </c>
      <c r="G11631">
        <v>41</v>
      </c>
      <c r="I11631">
        <v>41</v>
      </c>
    </row>
    <row r="11632" spans="1:17" x14ac:dyDescent="0.2">
      <c r="A11632" s="121">
        <v>43069</v>
      </c>
      <c r="B11632" t="s">
        <v>406</v>
      </c>
      <c r="C11632" t="s">
        <v>510</v>
      </c>
      <c r="D11632" t="s">
        <v>547</v>
      </c>
      <c r="E11632" t="s">
        <v>548</v>
      </c>
      <c r="F11632" t="s">
        <v>410</v>
      </c>
      <c r="G11632">
        <v>161</v>
      </c>
      <c r="I11632">
        <v>161</v>
      </c>
    </row>
    <row r="11633" spans="1:17" x14ac:dyDescent="0.2">
      <c r="A11633" s="121">
        <v>43069</v>
      </c>
      <c r="B11633" t="s">
        <v>406</v>
      </c>
      <c r="C11633" t="s">
        <v>510</v>
      </c>
      <c r="D11633" t="s">
        <v>616</v>
      </c>
      <c r="E11633" t="s">
        <v>617</v>
      </c>
      <c r="F11633" t="s">
        <v>410</v>
      </c>
      <c r="G11633">
        <v>309</v>
      </c>
      <c r="I11633">
        <v>296</v>
      </c>
    </row>
    <row r="11634" spans="1:17" x14ac:dyDescent="0.2">
      <c r="A11634" s="121">
        <v>43069</v>
      </c>
      <c r="B11634" t="s">
        <v>406</v>
      </c>
      <c r="C11634" t="s">
        <v>510</v>
      </c>
      <c r="D11634" t="s">
        <v>549</v>
      </c>
      <c r="E11634" t="s">
        <v>550</v>
      </c>
      <c r="F11634" t="s">
        <v>410</v>
      </c>
      <c r="G11634">
        <v>98</v>
      </c>
      <c r="I11634">
        <v>98</v>
      </c>
    </row>
    <row r="11635" spans="1:17" x14ac:dyDescent="0.2">
      <c r="A11635" s="121">
        <v>43069</v>
      </c>
      <c r="B11635" t="s">
        <v>406</v>
      </c>
      <c r="C11635" t="s">
        <v>510</v>
      </c>
      <c r="D11635" t="s">
        <v>625</v>
      </c>
      <c r="E11635" t="s">
        <v>626</v>
      </c>
      <c r="F11635" t="s">
        <v>410</v>
      </c>
      <c r="G11635">
        <v>151</v>
      </c>
      <c r="I11635">
        <v>151</v>
      </c>
    </row>
    <row r="11636" spans="1:17" x14ac:dyDescent="0.2">
      <c r="A11636" s="121">
        <v>43069</v>
      </c>
      <c r="B11636" t="s">
        <v>406</v>
      </c>
      <c r="C11636" t="s">
        <v>551</v>
      </c>
      <c r="D11636" t="s">
        <v>552</v>
      </c>
      <c r="E11636" t="s">
        <v>553</v>
      </c>
      <c r="F11636" t="s">
        <v>413</v>
      </c>
      <c r="G11636">
        <v>5619</v>
      </c>
      <c r="H11636">
        <v>5619</v>
      </c>
      <c r="I11636">
        <v>5337</v>
      </c>
      <c r="J11636">
        <v>5337</v>
      </c>
      <c r="K11636">
        <v>1778</v>
      </c>
      <c r="L11636">
        <v>6</v>
      </c>
      <c r="M11636">
        <v>3698</v>
      </c>
      <c r="N11636">
        <v>108</v>
      </c>
      <c r="O11636">
        <v>29</v>
      </c>
      <c r="P11636">
        <v>11</v>
      </c>
      <c r="Q11636">
        <v>1</v>
      </c>
    </row>
    <row r="11637" spans="1:17" x14ac:dyDescent="0.2">
      <c r="A11637" s="121">
        <v>43069</v>
      </c>
      <c r="B11637" t="s">
        <v>406</v>
      </c>
      <c r="C11637" t="s">
        <v>551</v>
      </c>
      <c r="D11637" t="s">
        <v>554</v>
      </c>
      <c r="E11637" t="s">
        <v>555</v>
      </c>
      <c r="F11637" t="s">
        <v>410</v>
      </c>
      <c r="G11637">
        <v>54</v>
      </c>
      <c r="I11637">
        <v>54</v>
      </c>
    </row>
    <row r="11638" spans="1:17" x14ac:dyDescent="0.2">
      <c r="A11638" s="121">
        <v>43069</v>
      </c>
      <c r="B11638" t="s">
        <v>406</v>
      </c>
      <c r="C11638" t="s">
        <v>551</v>
      </c>
      <c r="D11638" t="s">
        <v>556</v>
      </c>
      <c r="E11638" t="s">
        <v>557</v>
      </c>
      <c r="F11638" t="s">
        <v>410</v>
      </c>
      <c r="G11638">
        <v>64</v>
      </c>
      <c r="I11638">
        <v>64</v>
      </c>
    </row>
    <row r="11639" spans="1:17" x14ac:dyDescent="0.2">
      <c r="A11639" s="121">
        <v>43069</v>
      </c>
      <c r="B11639" t="s">
        <v>406</v>
      </c>
      <c r="C11639" t="s">
        <v>551</v>
      </c>
      <c r="D11639" t="s">
        <v>558</v>
      </c>
      <c r="E11639" t="s">
        <v>559</v>
      </c>
      <c r="F11639" t="s">
        <v>413</v>
      </c>
      <c r="G11639">
        <v>5167</v>
      </c>
      <c r="H11639">
        <v>5167</v>
      </c>
      <c r="I11639">
        <v>4600</v>
      </c>
      <c r="J11639">
        <v>4600</v>
      </c>
      <c r="K11639">
        <v>1528</v>
      </c>
      <c r="L11639">
        <v>8</v>
      </c>
      <c r="M11639">
        <v>3541</v>
      </c>
      <c r="N11639">
        <v>75</v>
      </c>
      <c r="O11639">
        <v>15</v>
      </c>
      <c r="P11639">
        <v>101</v>
      </c>
      <c r="Q11639">
        <v>45</v>
      </c>
    </row>
    <row r="11640" spans="1:17" x14ac:dyDescent="0.2">
      <c r="A11640" s="121">
        <v>43069</v>
      </c>
      <c r="B11640" t="s">
        <v>406</v>
      </c>
      <c r="C11640" t="s">
        <v>551</v>
      </c>
      <c r="D11640" t="s">
        <v>560</v>
      </c>
      <c r="E11640" t="s">
        <v>561</v>
      </c>
      <c r="F11640" t="s">
        <v>413</v>
      </c>
      <c r="G11640">
        <v>5847</v>
      </c>
      <c r="H11640">
        <v>5847</v>
      </c>
      <c r="I11640">
        <v>5348</v>
      </c>
      <c r="J11640">
        <v>5348</v>
      </c>
      <c r="K11640">
        <v>1781</v>
      </c>
      <c r="L11640">
        <v>8</v>
      </c>
      <c r="M11640">
        <v>3844</v>
      </c>
      <c r="N11640">
        <v>52</v>
      </c>
      <c r="O11640">
        <v>162</v>
      </c>
      <c r="P11640">
        <v>68</v>
      </c>
      <c r="Q11640">
        <v>11</v>
      </c>
    </row>
    <row r="11641" spans="1:17" x14ac:dyDescent="0.2">
      <c r="A11641" s="121">
        <v>43069</v>
      </c>
      <c r="B11641" t="s">
        <v>406</v>
      </c>
      <c r="C11641" t="s">
        <v>562</v>
      </c>
      <c r="D11641" t="s">
        <v>605</v>
      </c>
      <c r="E11641" t="s">
        <v>606</v>
      </c>
      <c r="F11641" t="s">
        <v>410</v>
      </c>
      <c r="G11641">
        <v>128</v>
      </c>
      <c r="I11641">
        <v>128</v>
      </c>
    </row>
    <row r="11642" spans="1:17" x14ac:dyDescent="0.2">
      <c r="A11642" s="121">
        <v>43069</v>
      </c>
      <c r="B11642" t="s">
        <v>406</v>
      </c>
      <c r="C11642" t="s">
        <v>562</v>
      </c>
      <c r="D11642" t="s">
        <v>563</v>
      </c>
      <c r="E11642" t="s">
        <v>564</v>
      </c>
      <c r="F11642" t="s">
        <v>410</v>
      </c>
      <c r="G11642">
        <v>3867</v>
      </c>
      <c r="H11642">
        <v>3867</v>
      </c>
      <c r="I11642">
        <v>3375</v>
      </c>
      <c r="J11642">
        <v>3375</v>
      </c>
      <c r="K11642">
        <v>1094</v>
      </c>
      <c r="L11642">
        <v>0</v>
      </c>
      <c r="M11642">
        <v>2739</v>
      </c>
      <c r="N11642">
        <v>34</v>
      </c>
      <c r="O11642">
        <v>0</v>
      </c>
      <c r="P11642">
        <v>144</v>
      </c>
      <c r="Q11642">
        <v>66</v>
      </c>
    </row>
    <row r="11643" spans="1:17" x14ac:dyDescent="0.2">
      <c r="A11643" s="121">
        <v>43069</v>
      </c>
      <c r="B11643" t="s">
        <v>406</v>
      </c>
      <c r="C11643" t="s">
        <v>562</v>
      </c>
      <c r="D11643" t="s">
        <v>565</v>
      </c>
      <c r="E11643" t="s">
        <v>566</v>
      </c>
      <c r="F11643" t="s">
        <v>413</v>
      </c>
      <c r="G11643">
        <v>4300</v>
      </c>
      <c r="H11643">
        <v>4300</v>
      </c>
      <c r="I11643">
        <v>4104</v>
      </c>
      <c r="J11643">
        <v>4104</v>
      </c>
      <c r="K11643">
        <v>835</v>
      </c>
      <c r="L11643">
        <v>2</v>
      </c>
      <c r="M11643">
        <v>3380</v>
      </c>
      <c r="N11643">
        <v>83</v>
      </c>
      <c r="O11643">
        <v>0</v>
      </c>
      <c r="P11643">
        <v>16</v>
      </c>
      <c r="Q11643">
        <v>1</v>
      </c>
    </row>
    <row r="11644" spans="1:17" x14ac:dyDescent="0.2">
      <c r="A11644" s="121">
        <v>43069</v>
      </c>
      <c r="B11644" t="s">
        <v>406</v>
      </c>
      <c r="C11644" t="s">
        <v>562</v>
      </c>
      <c r="D11644" t="s">
        <v>567</v>
      </c>
      <c r="E11644" t="s">
        <v>568</v>
      </c>
      <c r="F11644" t="s">
        <v>413</v>
      </c>
      <c r="G11644">
        <v>9725</v>
      </c>
      <c r="H11644">
        <v>9725</v>
      </c>
      <c r="I11644">
        <v>8157</v>
      </c>
      <c r="J11644">
        <v>8157</v>
      </c>
      <c r="K11644">
        <v>2916</v>
      </c>
      <c r="L11644">
        <v>14</v>
      </c>
      <c r="M11644">
        <v>6686</v>
      </c>
      <c r="N11644">
        <v>109</v>
      </c>
      <c r="O11644">
        <v>0</v>
      </c>
      <c r="P11644">
        <v>281</v>
      </c>
      <c r="Q11644">
        <v>62</v>
      </c>
    </row>
    <row r="11645" spans="1:17" x14ac:dyDescent="0.2">
      <c r="A11645" s="121">
        <v>43069</v>
      </c>
      <c r="B11645" t="s">
        <v>406</v>
      </c>
      <c r="C11645" t="s">
        <v>562</v>
      </c>
      <c r="D11645" t="s">
        <v>569</v>
      </c>
      <c r="E11645" t="s">
        <v>570</v>
      </c>
      <c r="F11645" t="s">
        <v>413</v>
      </c>
      <c r="G11645">
        <v>4824</v>
      </c>
      <c r="H11645">
        <v>4824</v>
      </c>
      <c r="I11645">
        <v>4655</v>
      </c>
      <c r="J11645">
        <v>4655</v>
      </c>
      <c r="K11645">
        <v>638</v>
      </c>
      <c r="L11645">
        <v>0</v>
      </c>
      <c r="M11645">
        <v>4183</v>
      </c>
      <c r="N11645">
        <v>3</v>
      </c>
      <c r="O11645">
        <v>0</v>
      </c>
      <c r="P11645">
        <v>1</v>
      </c>
      <c r="Q11645">
        <v>0</v>
      </c>
    </row>
    <row r="11646" spans="1:17" x14ac:dyDescent="0.2">
      <c r="A11646" s="121">
        <v>43069</v>
      </c>
      <c r="B11646" t="s">
        <v>406</v>
      </c>
      <c r="C11646" t="s">
        <v>571</v>
      </c>
      <c r="D11646" t="s">
        <v>572</v>
      </c>
      <c r="E11646" t="s">
        <v>627</v>
      </c>
      <c r="F11646" t="s">
        <v>413</v>
      </c>
      <c r="G11646">
        <v>454</v>
      </c>
      <c r="H11646">
        <v>454</v>
      </c>
      <c r="I11646">
        <v>436</v>
      </c>
      <c r="J11646">
        <v>436</v>
      </c>
      <c r="K11646">
        <v>110</v>
      </c>
      <c r="L11646">
        <v>0</v>
      </c>
      <c r="M11646">
        <v>339</v>
      </c>
      <c r="N11646">
        <v>1</v>
      </c>
      <c r="O11646">
        <v>4</v>
      </c>
      <c r="P11646">
        <v>0</v>
      </c>
      <c r="Q11646">
        <v>0</v>
      </c>
    </row>
    <row r="11647" spans="1:17" x14ac:dyDescent="0.2">
      <c r="A11647" s="121">
        <v>43069</v>
      </c>
      <c r="B11647" t="s">
        <v>406</v>
      </c>
      <c r="C11647" t="s">
        <v>574</v>
      </c>
      <c r="D11647" t="s">
        <v>575</v>
      </c>
      <c r="E11647" t="s">
        <v>576</v>
      </c>
      <c r="F11647" t="s">
        <v>413</v>
      </c>
      <c r="G11647">
        <v>588</v>
      </c>
      <c r="H11647">
        <v>588</v>
      </c>
      <c r="I11647">
        <v>568</v>
      </c>
      <c r="J11647">
        <v>568</v>
      </c>
      <c r="K11647">
        <v>157</v>
      </c>
      <c r="L11647">
        <v>1</v>
      </c>
      <c r="M11647">
        <v>426</v>
      </c>
      <c r="N11647">
        <v>2</v>
      </c>
      <c r="O11647">
        <v>2</v>
      </c>
      <c r="P11647">
        <v>0</v>
      </c>
      <c r="Q11647">
        <v>0</v>
      </c>
    </row>
    <row r="11648" spans="1:17" x14ac:dyDescent="0.2">
      <c r="A11648" s="121">
        <v>43069</v>
      </c>
      <c r="B11648" t="s">
        <v>406</v>
      </c>
      <c r="C11648" t="s">
        <v>577</v>
      </c>
      <c r="D11648" t="s">
        <v>578</v>
      </c>
      <c r="E11648" t="s">
        <v>579</v>
      </c>
      <c r="F11648" t="s">
        <v>413</v>
      </c>
      <c r="G11648">
        <v>4046</v>
      </c>
      <c r="H11648">
        <v>4046</v>
      </c>
      <c r="I11648">
        <v>3929</v>
      </c>
      <c r="J11648">
        <v>3929</v>
      </c>
      <c r="K11648">
        <v>1277</v>
      </c>
      <c r="L11648">
        <v>8</v>
      </c>
      <c r="M11648">
        <v>2469</v>
      </c>
      <c r="N11648">
        <v>246</v>
      </c>
      <c r="O11648">
        <v>46</v>
      </c>
      <c r="P11648">
        <v>2</v>
      </c>
      <c r="Q11648">
        <v>0</v>
      </c>
    </row>
    <row r="11649" spans="1:17" x14ac:dyDescent="0.2">
      <c r="A11649" s="121">
        <v>43069</v>
      </c>
      <c r="B11649" t="s">
        <v>406</v>
      </c>
      <c r="C11649" t="s">
        <v>577</v>
      </c>
      <c r="D11649" t="s">
        <v>580</v>
      </c>
      <c r="E11649" t="s">
        <v>581</v>
      </c>
      <c r="F11649" t="s">
        <v>413</v>
      </c>
      <c r="G11649">
        <v>1905</v>
      </c>
      <c r="H11649">
        <v>1905</v>
      </c>
      <c r="I11649">
        <v>1874</v>
      </c>
      <c r="J11649">
        <v>1874</v>
      </c>
      <c r="K11649">
        <v>330</v>
      </c>
      <c r="L11649">
        <v>2</v>
      </c>
      <c r="M11649">
        <v>1290</v>
      </c>
      <c r="N11649">
        <v>273</v>
      </c>
      <c r="O11649">
        <v>10</v>
      </c>
      <c r="P11649">
        <v>0</v>
      </c>
      <c r="Q11649">
        <v>0</v>
      </c>
    </row>
    <row r="11650" spans="1:17" x14ac:dyDescent="0.2">
      <c r="A11650" s="121">
        <v>43069</v>
      </c>
      <c r="B11650" t="s">
        <v>406</v>
      </c>
      <c r="C11650" t="s">
        <v>577</v>
      </c>
      <c r="D11650" t="s">
        <v>609</v>
      </c>
      <c r="E11650" t="s">
        <v>610</v>
      </c>
      <c r="F11650" t="s">
        <v>410</v>
      </c>
      <c r="G11650">
        <v>29</v>
      </c>
      <c r="H11650">
        <v>29</v>
      </c>
      <c r="I11650">
        <v>29</v>
      </c>
      <c r="J11650">
        <v>29</v>
      </c>
      <c r="K11650">
        <v>0</v>
      </c>
      <c r="L11650">
        <v>0</v>
      </c>
      <c r="M11650">
        <v>27</v>
      </c>
      <c r="N11650">
        <v>2</v>
      </c>
      <c r="O11650">
        <v>0</v>
      </c>
      <c r="P11650">
        <v>0</v>
      </c>
      <c r="Q11650">
        <v>0</v>
      </c>
    </row>
    <row r="11651" spans="1:17" x14ac:dyDescent="0.2">
      <c r="A11651" s="121">
        <v>43069</v>
      </c>
      <c r="B11651" t="s">
        <v>406</v>
      </c>
      <c r="C11651" t="s">
        <v>577</v>
      </c>
      <c r="D11651" t="s">
        <v>584</v>
      </c>
      <c r="E11651" t="s">
        <v>585</v>
      </c>
      <c r="F11651" t="s">
        <v>410</v>
      </c>
      <c r="G11651">
        <v>239</v>
      </c>
      <c r="H11651">
        <v>239</v>
      </c>
      <c r="I11651">
        <v>239</v>
      </c>
      <c r="J11651">
        <v>239</v>
      </c>
      <c r="K11651">
        <v>0</v>
      </c>
      <c r="L11651">
        <v>0</v>
      </c>
      <c r="M11651">
        <v>228</v>
      </c>
      <c r="N11651">
        <v>10</v>
      </c>
      <c r="O11651">
        <v>1</v>
      </c>
      <c r="P11651">
        <v>0</v>
      </c>
      <c r="Q11651">
        <v>0</v>
      </c>
    </row>
    <row r="11652" spans="1:17" x14ac:dyDescent="0.2">
      <c r="A11652" s="121">
        <v>43069</v>
      </c>
      <c r="B11652" t="s">
        <v>406</v>
      </c>
      <c r="C11652" t="s">
        <v>577</v>
      </c>
      <c r="D11652" t="s">
        <v>586</v>
      </c>
      <c r="E11652" t="s">
        <v>587</v>
      </c>
      <c r="F11652" t="s">
        <v>410</v>
      </c>
      <c r="G11652">
        <v>1145</v>
      </c>
      <c r="H11652">
        <v>1145</v>
      </c>
      <c r="I11652">
        <v>1145</v>
      </c>
      <c r="J11652">
        <v>1145</v>
      </c>
      <c r="K11652">
        <v>0</v>
      </c>
      <c r="L11652">
        <v>0</v>
      </c>
      <c r="M11652">
        <v>1062</v>
      </c>
      <c r="N11652">
        <v>83</v>
      </c>
      <c r="O11652">
        <v>0</v>
      </c>
      <c r="P11652">
        <v>0</v>
      </c>
      <c r="Q11652">
        <v>0</v>
      </c>
    </row>
    <row r="11653" spans="1:17" x14ac:dyDescent="0.2">
      <c r="A11653" s="121">
        <v>43069</v>
      </c>
      <c r="B11653" t="s">
        <v>406</v>
      </c>
      <c r="C11653" t="s">
        <v>577</v>
      </c>
      <c r="D11653" t="s">
        <v>588</v>
      </c>
      <c r="E11653" t="s">
        <v>589</v>
      </c>
      <c r="F11653" t="s">
        <v>410</v>
      </c>
      <c r="G11653">
        <v>176</v>
      </c>
      <c r="H11653">
        <v>176</v>
      </c>
      <c r="I11653">
        <v>176</v>
      </c>
      <c r="J11653">
        <v>176</v>
      </c>
      <c r="K11653">
        <v>0</v>
      </c>
      <c r="L11653">
        <v>0</v>
      </c>
      <c r="M11653">
        <v>165</v>
      </c>
      <c r="N11653">
        <v>9</v>
      </c>
      <c r="O11653">
        <v>2</v>
      </c>
      <c r="P11653">
        <v>0</v>
      </c>
      <c r="Q11653">
        <v>0</v>
      </c>
    </row>
    <row r="11654" spans="1:17" x14ac:dyDescent="0.2">
      <c r="A11654" s="121">
        <v>43069</v>
      </c>
      <c r="B11654" t="s">
        <v>406</v>
      </c>
      <c r="C11654" t="s">
        <v>577</v>
      </c>
      <c r="D11654" t="s">
        <v>613</v>
      </c>
      <c r="E11654" t="s">
        <v>614</v>
      </c>
      <c r="F11654" t="s">
        <v>410</v>
      </c>
      <c r="G11654">
        <v>67</v>
      </c>
      <c r="H11654">
        <v>67</v>
      </c>
      <c r="I11654">
        <v>67</v>
      </c>
      <c r="J11654">
        <v>67</v>
      </c>
      <c r="K11654">
        <v>0</v>
      </c>
      <c r="L11654">
        <v>0</v>
      </c>
      <c r="M11654">
        <v>61</v>
      </c>
      <c r="N11654">
        <v>5</v>
      </c>
      <c r="O11654">
        <v>1</v>
      </c>
      <c r="P11654">
        <v>0</v>
      </c>
      <c r="Q11654">
        <v>0</v>
      </c>
    </row>
    <row r="11655" spans="1:17" x14ac:dyDescent="0.2">
      <c r="A11655" s="121">
        <v>43069</v>
      </c>
      <c r="B11655" t="s">
        <v>406</v>
      </c>
      <c r="C11655" t="s">
        <v>577</v>
      </c>
      <c r="D11655" t="s">
        <v>590</v>
      </c>
      <c r="E11655" t="s">
        <v>591</v>
      </c>
      <c r="F11655" t="s">
        <v>410</v>
      </c>
      <c r="G11655">
        <v>375</v>
      </c>
      <c r="H11655">
        <v>375</v>
      </c>
      <c r="I11655">
        <v>375</v>
      </c>
      <c r="J11655">
        <v>375</v>
      </c>
      <c r="K11655">
        <v>0</v>
      </c>
      <c r="L11655">
        <v>0</v>
      </c>
      <c r="M11655">
        <v>355</v>
      </c>
      <c r="N11655">
        <v>19</v>
      </c>
      <c r="O11655">
        <v>1</v>
      </c>
      <c r="P11655">
        <v>0</v>
      </c>
      <c r="Q11655">
        <v>0</v>
      </c>
    </row>
    <row r="11656" spans="1:17" x14ac:dyDescent="0.2">
      <c r="A11656" s="121">
        <v>43069</v>
      </c>
      <c r="B11656" t="s">
        <v>406</v>
      </c>
      <c r="C11656" t="s">
        <v>577</v>
      </c>
      <c r="D11656" t="s">
        <v>607</v>
      </c>
      <c r="E11656" t="s">
        <v>608</v>
      </c>
      <c r="F11656" t="s">
        <v>410</v>
      </c>
      <c r="G11656">
        <v>140</v>
      </c>
      <c r="H11656">
        <v>140</v>
      </c>
      <c r="I11656">
        <v>139</v>
      </c>
      <c r="J11656">
        <v>139</v>
      </c>
      <c r="K11656">
        <v>0</v>
      </c>
      <c r="L11656">
        <v>0</v>
      </c>
      <c r="M11656">
        <v>133</v>
      </c>
      <c r="N11656">
        <v>7</v>
      </c>
      <c r="O11656">
        <v>0</v>
      </c>
      <c r="P11656">
        <v>0</v>
      </c>
      <c r="Q11656">
        <v>0</v>
      </c>
    </row>
    <row r="11657" spans="1:17" x14ac:dyDescent="0.2">
      <c r="A11657" s="121">
        <v>43069</v>
      </c>
      <c r="B11657" t="s">
        <v>406</v>
      </c>
      <c r="C11657" t="s">
        <v>577</v>
      </c>
      <c r="D11657" t="s">
        <v>592</v>
      </c>
      <c r="E11657" t="s">
        <v>593</v>
      </c>
      <c r="F11657" t="s">
        <v>410</v>
      </c>
      <c r="G11657">
        <v>333</v>
      </c>
      <c r="H11657">
        <v>333</v>
      </c>
      <c r="I11657">
        <v>333</v>
      </c>
      <c r="J11657">
        <v>333</v>
      </c>
      <c r="K11657">
        <v>0</v>
      </c>
      <c r="L11657">
        <v>0</v>
      </c>
      <c r="M11657">
        <v>317</v>
      </c>
      <c r="N11657">
        <v>16</v>
      </c>
      <c r="O11657">
        <v>0</v>
      </c>
      <c r="P11657">
        <v>0</v>
      </c>
      <c r="Q11657">
        <v>0</v>
      </c>
    </row>
    <row r="11658" spans="1:17" x14ac:dyDescent="0.2">
      <c r="A11658" s="121">
        <v>43069</v>
      </c>
      <c r="B11658" t="s">
        <v>406</v>
      </c>
      <c r="C11658" t="s">
        <v>594</v>
      </c>
      <c r="D11658" t="s">
        <v>595</v>
      </c>
      <c r="E11658" t="s">
        <v>596</v>
      </c>
      <c r="F11658" t="s">
        <v>410</v>
      </c>
      <c r="G11658">
        <v>33</v>
      </c>
      <c r="I11658">
        <v>33</v>
      </c>
    </row>
    <row r="11659" spans="1:17" x14ac:dyDescent="0.2">
      <c r="A11659" s="121">
        <v>43069</v>
      </c>
      <c r="B11659" t="s">
        <v>406</v>
      </c>
      <c r="C11659" t="s">
        <v>594</v>
      </c>
      <c r="D11659" t="s">
        <v>597</v>
      </c>
      <c r="E11659" t="s">
        <v>598</v>
      </c>
      <c r="F11659" t="s">
        <v>413</v>
      </c>
      <c r="G11659">
        <v>497</v>
      </c>
      <c r="H11659">
        <v>497</v>
      </c>
      <c r="I11659">
        <v>491</v>
      </c>
      <c r="J11659">
        <v>491</v>
      </c>
      <c r="K11659">
        <v>157</v>
      </c>
      <c r="L11659">
        <v>1</v>
      </c>
      <c r="M11659">
        <v>325</v>
      </c>
      <c r="N11659">
        <v>4</v>
      </c>
      <c r="O11659">
        <v>10</v>
      </c>
      <c r="P11659">
        <v>0</v>
      </c>
      <c r="Q11659">
        <v>0</v>
      </c>
    </row>
    <row r="11660" spans="1:17" x14ac:dyDescent="0.2">
      <c r="A11660" s="121">
        <v>43069</v>
      </c>
      <c r="B11660" t="s">
        <v>406</v>
      </c>
      <c r="C11660" t="s">
        <v>594</v>
      </c>
      <c r="D11660" t="s">
        <v>599</v>
      </c>
      <c r="E11660" t="s">
        <v>600</v>
      </c>
      <c r="F11660" t="s">
        <v>410</v>
      </c>
      <c r="G11660">
        <v>111</v>
      </c>
      <c r="H11660">
        <v>111</v>
      </c>
      <c r="I11660">
        <v>110</v>
      </c>
      <c r="J11660">
        <v>110</v>
      </c>
      <c r="K11660">
        <v>8</v>
      </c>
      <c r="L11660">
        <v>0</v>
      </c>
      <c r="M11660">
        <v>102</v>
      </c>
      <c r="N11660">
        <v>1</v>
      </c>
      <c r="O11660">
        <v>0</v>
      </c>
      <c r="P11660">
        <v>0</v>
      </c>
      <c r="Q11660">
        <v>0</v>
      </c>
    </row>
    <row r="11661" spans="1:17" x14ac:dyDescent="0.2">
      <c r="A11661" s="121">
        <v>43100</v>
      </c>
      <c r="B11661" t="s">
        <v>406</v>
      </c>
      <c r="C11661" t="s">
        <v>407</v>
      </c>
      <c r="D11661" t="s">
        <v>408</v>
      </c>
      <c r="E11661" t="s">
        <v>409</v>
      </c>
      <c r="F11661" t="s">
        <v>410</v>
      </c>
      <c r="G11661">
        <v>162</v>
      </c>
      <c r="I11661">
        <v>161</v>
      </c>
    </row>
    <row r="11662" spans="1:17" x14ac:dyDescent="0.2">
      <c r="A11662" s="121">
        <v>43100</v>
      </c>
      <c r="B11662" t="s">
        <v>406</v>
      </c>
      <c r="C11662" t="s">
        <v>407</v>
      </c>
      <c r="D11662" t="s">
        <v>601</v>
      </c>
      <c r="E11662" t="s">
        <v>602</v>
      </c>
      <c r="F11662" t="s">
        <v>410</v>
      </c>
      <c r="G11662">
        <v>63</v>
      </c>
      <c r="I11662">
        <v>58</v>
      </c>
    </row>
    <row r="11663" spans="1:17" x14ac:dyDescent="0.2">
      <c r="A11663" s="121">
        <v>43100</v>
      </c>
      <c r="B11663" t="s">
        <v>406</v>
      </c>
      <c r="C11663" t="s">
        <v>407</v>
      </c>
      <c r="D11663" t="s">
        <v>411</v>
      </c>
      <c r="E11663" t="s">
        <v>412</v>
      </c>
      <c r="F11663" t="s">
        <v>413</v>
      </c>
      <c r="G11663">
        <v>6012</v>
      </c>
      <c r="H11663">
        <v>6012</v>
      </c>
      <c r="I11663">
        <v>5481</v>
      </c>
      <c r="J11663">
        <v>5481</v>
      </c>
      <c r="K11663">
        <v>2337</v>
      </c>
      <c r="L11663">
        <v>10</v>
      </c>
      <c r="M11663">
        <v>3430</v>
      </c>
      <c r="N11663">
        <v>34</v>
      </c>
      <c r="O11663">
        <v>201</v>
      </c>
      <c r="P11663">
        <v>125</v>
      </c>
      <c r="Q11663">
        <v>36</v>
      </c>
    </row>
    <row r="11664" spans="1:17" x14ac:dyDescent="0.2">
      <c r="A11664" s="121">
        <v>43100</v>
      </c>
      <c r="B11664" t="s">
        <v>406</v>
      </c>
      <c r="C11664" t="s">
        <v>407</v>
      </c>
      <c r="D11664" t="s">
        <v>416</v>
      </c>
      <c r="E11664" t="s">
        <v>417</v>
      </c>
      <c r="F11664" t="s">
        <v>413</v>
      </c>
      <c r="G11664">
        <v>3253</v>
      </c>
      <c r="H11664">
        <v>3253</v>
      </c>
      <c r="I11664">
        <v>3037</v>
      </c>
      <c r="J11664">
        <v>3037</v>
      </c>
      <c r="K11664">
        <v>987</v>
      </c>
      <c r="L11664">
        <v>4</v>
      </c>
      <c r="M11664">
        <v>2144</v>
      </c>
      <c r="N11664">
        <v>79</v>
      </c>
      <c r="O11664">
        <v>39</v>
      </c>
      <c r="P11664">
        <v>45</v>
      </c>
      <c r="Q11664">
        <v>12</v>
      </c>
    </row>
    <row r="11665" spans="1:17" x14ac:dyDescent="0.2">
      <c r="A11665" s="121">
        <v>43100</v>
      </c>
      <c r="B11665" t="s">
        <v>406</v>
      </c>
      <c r="C11665" t="s">
        <v>407</v>
      </c>
      <c r="D11665" t="s">
        <v>618</v>
      </c>
      <c r="E11665" t="s">
        <v>619</v>
      </c>
      <c r="F11665" t="s">
        <v>410</v>
      </c>
      <c r="G11665">
        <v>56</v>
      </c>
      <c r="I11665">
        <v>56</v>
      </c>
    </row>
    <row r="11666" spans="1:17" x14ac:dyDescent="0.2">
      <c r="A11666" s="121">
        <v>43100</v>
      </c>
      <c r="B11666" t="s">
        <v>406</v>
      </c>
      <c r="C11666" t="s">
        <v>418</v>
      </c>
      <c r="D11666" t="s">
        <v>419</v>
      </c>
      <c r="E11666" t="s">
        <v>420</v>
      </c>
      <c r="F11666" t="s">
        <v>410</v>
      </c>
      <c r="G11666">
        <v>8</v>
      </c>
      <c r="I11666">
        <v>8</v>
      </c>
    </row>
    <row r="11667" spans="1:17" x14ac:dyDescent="0.2">
      <c r="A11667" s="121">
        <v>43100</v>
      </c>
      <c r="B11667" t="s">
        <v>406</v>
      </c>
      <c r="C11667" t="s">
        <v>418</v>
      </c>
      <c r="D11667" t="s">
        <v>421</v>
      </c>
      <c r="E11667" t="s">
        <v>422</v>
      </c>
      <c r="F11667" t="s">
        <v>410</v>
      </c>
      <c r="G11667">
        <v>81</v>
      </c>
      <c r="I11667">
        <v>81</v>
      </c>
    </row>
    <row r="11668" spans="1:17" x14ac:dyDescent="0.2">
      <c r="A11668" s="121">
        <v>43100</v>
      </c>
      <c r="B11668" t="s">
        <v>406</v>
      </c>
      <c r="C11668" t="s">
        <v>418</v>
      </c>
      <c r="D11668" t="s">
        <v>423</v>
      </c>
      <c r="E11668" t="s">
        <v>424</v>
      </c>
      <c r="F11668" t="s">
        <v>410</v>
      </c>
      <c r="G11668">
        <v>7</v>
      </c>
      <c r="I11668">
        <v>7</v>
      </c>
    </row>
    <row r="11669" spans="1:17" x14ac:dyDescent="0.2">
      <c r="A11669" s="121">
        <v>43100</v>
      </c>
      <c r="B11669" t="s">
        <v>406</v>
      </c>
      <c r="C11669" t="s">
        <v>418</v>
      </c>
      <c r="D11669" t="s">
        <v>425</v>
      </c>
      <c r="E11669" t="s">
        <v>426</v>
      </c>
      <c r="F11669" t="s">
        <v>410</v>
      </c>
      <c r="G11669">
        <v>32</v>
      </c>
      <c r="I11669">
        <v>32</v>
      </c>
    </row>
    <row r="11670" spans="1:17" x14ac:dyDescent="0.2">
      <c r="A11670" s="121">
        <v>43100</v>
      </c>
      <c r="B11670" t="s">
        <v>406</v>
      </c>
      <c r="C11670" t="s">
        <v>418</v>
      </c>
      <c r="D11670" t="s">
        <v>427</v>
      </c>
      <c r="E11670" t="s">
        <v>428</v>
      </c>
      <c r="F11670" t="s">
        <v>413</v>
      </c>
      <c r="G11670">
        <v>2623</v>
      </c>
      <c r="H11670">
        <v>2623</v>
      </c>
      <c r="I11670">
        <v>2319</v>
      </c>
      <c r="J11670">
        <v>2319</v>
      </c>
      <c r="K11670">
        <v>903</v>
      </c>
      <c r="L11670">
        <v>2</v>
      </c>
      <c r="M11670">
        <v>1482</v>
      </c>
      <c r="N11670">
        <v>220</v>
      </c>
      <c r="O11670">
        <v>16</v>
      </c>
      <c r="P11670">
        <v>52</v>
      </c>
      <c r="Q11670">
        <v>23</v>
      </c>
    </row>
    <row r="11671" spans="1:17" x14ac:dyDescent="0.2">
      <c r="A11671" s="121">
        <v>43100</v>
      </c>
      <c r="B11671" t="s">
        <v>406</v>
      </c>
      <c r="C11671" t="s">
        <v>429</v>
      </c>
      <c r="D11671" t="s">
        <v>430</v>
      </c>
      <c r="E11671" t="s">
        <v>431</v>
      </c>
      <c r="F11671" t="s">
        <v>410</v>
      </c>
      <c r="G11671">
        <v>19</v>
      </c>
      <c r="I11671">
        <v>19</v>
      </c>
    </row>
    <row r="11672" spans="1:17" x14ac:dyDescent="0.2">
      <c r="A11672" s="121">
        <v>43100</v>
      </c>
      <c r="B11672" t="s">
        <v>406</v>
      </c>
      <c r="C11672" t="s">
        <v>429</v>
      </c>
      <c r="D11672" t="s">
        <v>432</v>
      </c>
      <c r="E11672" t="s">
        <v>433</v>
      </c>
      <c r="F11672" t="s">
        <v>410</v>
      </c>
      <c r="G11672">
        <v>34</v>
      </c>
      <c r="I11672">
        <v>34</v>
      </c>
    </row>
    <row r="11673" spans="1:17" x14ac:dyDescent="0.2">
      <c r="A11673" s="121">
        <v>43100</v>
      </c>
      <c r="B11673" t="s">
        <v>406</v>
      </c>
      <c r="C11673" t="s">
        <v>429</v>
      </c>
      <c r="D11673" t="s">
        <v>434</v>
      </c>
      <c r="E11673" t="s">
        <v>435</v>
      </c>
      <c r="F11673" t="s">
        <v>410</v>
      </c>
      <c r="G11673">
        <v>1</v>
      </c>
      <c r="I11673">
        <v>1</v>
      </c>
    </row>
    <row r="11674" spans="1:17" x14ac:dyDescent="0.2">
      <c r="A11674" s="121">
        <v>43100</v>
      </c>
      <c r="B11674" t="s">
        <v>406</v>
      </c>
      <c r="C11674" t="s">
        <v>429</v>
      </c>
      <c r="D11674" t="s">
        <v>436</v>
      </c>
      <c r="E11674" t="s">
        <v>437</v>
      </c>
      <c r="F11674" t="s">
        <v>410</v>
      </c>
      <c r="G11674">
        <v>10</v>
      </c>
      <c r="H11674">
        <v>10</v>
      </c>
      <c r="I11674">
        <v>10</v>
      </c>
      <c r="J11674">
        <v>10</v>
      </c>
      <c r="K11674">
        <v>0</v>
      </c>
      <c r="L11674">
        <v>0</v>
      </c>
      <c r="M11674">
        <v>8</v>
      </c>
      <c r="N11674">
        <v>2</v>
      </c>
      <c r="O11674">
        <v>0</v>
      </c>
      <c r="P11674">
        <v>0</v>
      </c>
      <c r="Q11674">
        <v>0</v>
      </c>
    </row>
    <row r="11675" spans="1:17" x14ac:dyDescent="0.2">
      <c r="A11675" s="121">
        <v>43100</v>
      </c>
      <c r="B11675" t="s">
        <v>406</v>
      </c>
      <c r="C11675" t="s">
        <v>429</v>
      </c>
      <c r="D11675" t="s">
        <v>438</v>
      </c>
      <c r="E11675" t="s">
        <v>439</v>
      </c>
      <c r="F11675" t="s">
        <v>413</v>
      </c>
      <c r="G11675">
        <v>1130</v>
      </c>
      <c r="H11675">
        <v>1130</v>
      </c>
      <c r="I11675">
        <v>1036</v>
      </c>
      <c r="J11675">
        <v>1036</v>
      </c>
      <c r="K11675">
        <v>90</v>
      </c>
      <c r="L11675">
        <v>1</v>
      </c>
      <c r="M11675">
        <v>903</v>
      </c>
      <c r="N11675">
        <v>101</v>
      </c>
      <c r="O11675">
        <v>35</v>
      </c>
      <c r="P11675">
        <v>6</v>
      </c>
      <c r="Q11675">
        <v>1</v>
      </c>
    </row>
    <row r="11676" spans="1:17" x14ac:dyDescent="0.2">
      <c r="A11676" s="121">
        <v>43100</v>
      </c>
      <c r="B11676" t="s">
        <v>406</v>
      </c>
      <c r="C11676" t="s">
        <v>429</v>
      </c>
      <c r="D11676" t="s">
        <v>440</v>
      </c>
      <c r="E11676" t="s">
        <v>441</v>
      </c>
      <c r="F11676" t="s">
        <v>413</v>
      </c>
      <c r="G11676">
        <v>2850</v>
      </c>
      <c r="H11676">
        <v>2850</v>
      </c>
      <c r="I11676">
        <v>2408</v>
      </c>
      <c r="J11676">
        <v>2408</v>
      </c>
      <c r="K11676">
        <v>1036</v>
      </c>
      <c r="L11676">
        <v>4</v>
      </c>
      <c r="M11676">
        <v>1674</v>
      </c>
      <c r="N11676">
        <v>91</v>
      </c>
      <c r="O11676">
        <v>45</v>
      </c>
      <c r="P11676">
        <v>70</v>
      </c>
      <c r="Q11676">
        <v>2</v>
      </c>
    </row>
    <row r="11677" spans="1:17" x14ac:dyDescent="0.2">
      <c r="A11677" s="121">
        <v>43100</v>
      </c>
      <c r="B11677" t="s">
        <v>406</v>
      </c>
      <c r="C11677" t="s">
        <v>442</v>
      </c>
      <c r="D11677" t="s">
        <v>443</v>
      </c>
      <c r="E11677" t="s">
        <v>444</v>
      </c>
      <c r="F11677" t="s">
        <v>413</v>
      </c>
      <c r="G11677">
        <v>5529</v>
      </c>
      <c r="H11677">
        <v>5529</v>
      </c>
      <c r="I11677">
        <v>4889</v>
      </c>
      <c r="J11677">
        <v>4889</v>
      </c>
      <c r="K11677">
        <v>1732</v>
      </c>
      <c r="L11677">
        <v>14</v>
      </c>
      <c r="M11677">
        <v>3565</v>
      </c>
      <c r="N11677">
        <v>158</v>
      </c>
      <c r="O11677">
        <v>60</v>
      </c>
      <c r="P11677">
        <v>89</v>
      </c>
      <c r="Q11677">
        <v>25</v>
      </c>
    </row>
    <row r="11678" spans="1:17" x14ac:dyDescent="0.2">
      <c r="A11678" s="121">
        <v>43100</v>
      </c>
      <c r="B11678" t="s">
        <v>406</v>
      </c>
      <c r="C11678" t="s">
        <v>442</v>
      </c>
      <c r="D11678" t="s">
        <v>445</v>
      </c>
      <c r="E11678" t="s">
        <v>446</v>
      </c>
      <c r="F11678" t="s">
        <v>410</v>
      </c>
      <c r="G11678">
        <v>121</v>
      </c>
      <c r="H11678">
        <v>121</v>
      </c>
      <c r="I11678">
        <v>121</v>
      </c>
      <c r="J11678">
        <v>121</v>
      </c>
      <c r="K11678">
        <v>1</v>
      </c>
      <c r="L11678">
        <v>0</v>
      </c>
      <c r="M11678">
        <v>112</v>
      </c>
      <c r="N11678">
        <v>6</v>
      </c>
      <c r="O11678">
        <v>2</v>
      </c>
      <c r="P11678">
        <v>0</v>
      </c>
      <c r="Q11678">
        <v>0</v>
      </c>
    </row>
    <row r="11679" spans="1:17" x14ac:dyDescent="0.2">
      <c r="A11679" s="121">
        <v>43100</v>
      </c>
      <c r="B11679" t="s">
        <v>406</v>
      </c>
      <c r="C11679" t="s">
        <v>442</v>
      </c>
      <c r="D11679" t="s">
        <v>447</v>
      </c>
      <c r="E11679" t="s">
        <v>448</v>
      </c>
      <c r="F11679" t="s">
        <v>410</v>
      </c>
      <c r="G11679">
        <v>195</v>
      </c>
      <c r="H11679">
        <v>195</v>
      </c>
      <c r="I11679">
        <v>195</v>
      </c>
      <c r="J11679">
        <v>195</v>
      </c>
      <c r="K11679">
        <v>0</v>
      </c>
      <c r="L11679">
        <v>0</v>
      </c>
      <c r="M11679">
        <v>184</v>
      </c>
      <c r="N11679">
        <v>11</v>
      </c>
      <c r="O11679">
        <v>0</v>
      </c>
      <c r="P11679">
        <v>0</v>
      </c>
      <c r="Q11679">
        <v>0</v>
      </c>
    </row>
    <row r="11680" spans="1:17" x14ac:dyDescent="0.2">
      <c r="A11680" s="121">
        <v>43100</v>
      </c>
      <c r="B11680" t="s">
        <v>406</v>
      </c>
      <c r="C11680" t="s">
        <v>442</v>
      </c>
      <c r="D11680" t="s">
        <v>449</v>
      </c>
      <c r="E11680" t="s">
        <v>624</v>
      </c>
      <c r="F11680" t="s">
        <v>410</v>
      </c>
      <c r="G11680">
        <v>1630</v>
      </c>
      <c r="H11680">
        <v>1630</v>
      </c>
      <c r="I11680">
        <v>1584</v>
      </c>
      <c r="J11680">
        <v>1584</v>
      </c>
      <c r="K11680">
        <v>16</v>
      </c>
      <c r="L11680">
        <v>0</v>
      </c>
      <c r="M11680">
        <v>1435</v>
      </c>
      <c r="N11680">
        <v>153</v>
      </c>
      <c r="O11680">
        <v>26</v>
      </c>
      <c r="P11680">
        <v>5</v>
      </c>
      <c r="Q11680">
        <v>0</v>
      </c>
    </row>
    <row r="11681" spans="1:17" x14ac:dyDescent="0.2">
      <c r="A11681" s="121">
        <v>43100</v>
      </c>
      <c r="B11681" t="s">
        <v>406</v>
      </c>
      <c r="C11681" t="s">
        <v>451</v>
      </c>
      <c r="D11681" t="s">
        <v>454</v>
      </c>
      <c r="E11681" t="s">
        <v>621</v>
      </c>
      <c r="F11681" t="s">
        <v>410</v>
      </c>
      <c r="G11681">
        <v>1427</v>
      </c>
      <c r="H11681">
        <v>1427</v>
      </c>
      <c r="I11681">
        <v>1424</v>
      </c>
      <c r="J11681">
        <v>1424</v>
      </c>
      <c r="K11681">
        <v>1</v>
      </c>
      <c r="L11681">
        <v>0</v>
      </c>
      <c r="M11681">
        <v>1027</v>
      </c>
      <c r="N11681">
        <v>121</v>
      </c>
      <c r="O11681">
        <v>278</v>
      </c>
      <c r="P11681">
        <v>0</v>
      </c>
      <c r="Q11681">
        <v>0</v>
      </c>
    </row>
    <row r="11682" spans="1:17" x14ac:dyDescent="0.2">
      <c r="A11682" s="121">
        <v>43100</v>
      </c>
      <c r="B11682" t="s">
        <v>406</v>
      </c>
      <c r="C11682" t="s">
        <v>451</v>
      </c>
      <c r="D11682" t="s">
        <v>622</v>
      </c>
      <c r="E11682" t="s">
        <v>623</v>
      </c>
      <c r="F11682" t="s">
        <v>413</v>
      </c>
      <c r="G11682">
        <v>5569</v>
      </c>
      <c r="H11682">
        <v>5569</v>
      </c>
      <c r="I11682">
        <v>3932</v>
      </c>
      <c r="J11682">
        <v>3932</v>
      </c>
      <c r="K11682">
        <v>1758</v>
      </c>
      <c r="L11682">
        <v>15</v>
      </c>
      <c r="M11682">
        <v>2780</v>
      </c>
      <c r="N11682">
        <v>91</v>
      </c>
      <c r="O11682">
        <v>925</v>
      </c>
      <c r="P11682">
        <v>331</v>
      </c>
      <c r="Q11682">
        <v>101</v>
      </c>
    </row>
    <row r="11683" spans="1:17" x14ac:dyDescent="0.2">
      <c r="A11683" s="121">
        <v>43100</v>
      </c>
      <c r="B11683" t="s">
        <v>406</v>
      </c>
      <c r="C11683" t="s">
        <v>456</v>
      </c>
      <c r="D11683" t="s">
        <v>457</v>
      </c>
      <c r="E11683" t="s">
        <v>458</v>
      </c>
      <c r="F11683" t="s">
        <v>413</v>
      </c>
      <c r="G11683">
        <v>5344</v>
      </c>
      <c r="H11683">
        <v>5344</v>
      </c>
      <c r="I11683">
        <v>4630</v>
      </c>
      <c r="J11683">
        <v>4630</v>
      </c>
      <c r="K11683">
        <v>1480</v>
      </c>
      <c r="L11683">
        <v>11</v>
      </c>
      <c r="M11683">
        <v>3473</v>
      </c>
      <c r="N11683">
        <v>24</v>
      </c>
      <c r="O11683">
        <v>356</v>
      </c>
      <c r="P11683">
        <v>47</v>
      </c>
      <c r="Q11683">
        <v>6</v>
      </c>
    </row>
    <row r="11684" spans="1:17" x14ac:dyDescent="0.2">
      <c r="A11684" s="121">
        <v>43100</v>
      </c>
      <c r="B11684" t="s">
        <v>406</v>
      </c>
      <c r="C11684" t="s">
        <v>456</v>
      </c>
      <c r="D11684" t="s">
        <v>459</v>
      </c>
      <c r="E11684" t="s">
        <v>460</v>
      </c>
      <c r="F11684" t="s">
        <v>413</v>
      </c>
      <c r="G11684">
        <v>1262</v>
      </c>
      <c r="H11684">
        <v>1262</v>
      </c>
      <c r="I11684">
        <v>1238</v>
      </c>
      <c r="J11684">
        <v>1238</v>
      </c>
      <c r="K11684">
        <v>143</v>
      </c>
      <c r="L11684">
        <v>1</v>
      </c>
      <c r="M11684">
        <v>1023</v>
      </c>
      <c r="N11684">
        <v>1</v>
      </c>
      <c r="O11684">
        <v>94</v>
      </c>
      <c r="P11684">
        <v>0</v>
      </c>
      <c r="Q11684">
        <v>0</v>
      </c>
    </row>
    <row r="11685" spans="1:17" x14ac:dyDescent="0.2">
      <c r="A11685" s="121">
        <v>43100</v>
      </c>
      <c r="B11685" t="s">
        <v>406</v>
      </c>
      <c r="C11685" t="s">
        <v>456</v>
      </c>
      <c r="D11685" t="s">
        <v>461</v>
      </c>
      <c r="E11685" t="s">
        <v>462</v>
      </c>
      <c r="F11685" t="s">
        <v>410</v>
      </c>
      <c r="G11685">
        <v>82</v>
      </c>
      <c r="I11685">
        <v>82</v>
      </c>
    </row>
    <row r="11686" spans="1:17" x14ac:dyDescent="0.2">
      <c r="A11686" s="121">
        <v>43100</v>
      </c>
      <c r="B11686" t="s">
        <v>406</v>
      </c>
      <c r="C11686" t="s">
        <v>456</v>
      </c>
      <c r="D11686" t="s">
        <v>463</v>
      </c>
      <c r="E11686" t="s">
        <v>464</v>
      </c>
      <c r="F11686" t="s">
        <v>410</v>
      </c>
      <c r="G11686">
        <v>4</v>
      </c>
      <c r="I11686">
        <v>4</v>
      </c>
    </row>
    <row r="11687" spans="1:17" x14ac:dyDescent="0.2">
      <c r="A11687" s="121">
        <v>43100</v>
      </c>
      <c r="B11687" t="s">
        <v>406</v>
      </c>
      <c r="C11687" t="s">
        <v>456</v>
      </c>
      <c r="D11687" t="s">
        <v>465</v>
      </c>
      <c r="E11687" t="s">
        <v>466</v>
      </c>
      <c r="F11687" t="s">
        <v>410</v>
      </c>
      <c r="G11687">
        <v>38</v>
      </c>
      <c r="I11687">
        <v>38</v>
      </c>
    </row>
    <row r="11688" spans="1:17" x14ac:dyDescent="0.2">
      <c r="A11688" s="121">
        <v>43100</v>
      </c>
      <c r="B11688" t="s">
        <v>406</v>
      </c>
      <c r="C11688" t="s">
        <v>456</v>
      </c>
      <c r="D11688" t="s">
        <v>467</v>
      </c>
      <c r="E11688" t="s">
        <v>468</v>
      </c>
      <c r="F11688" t="s">
        <v>410</v>
      </c>
      <c r="G11688">
        <v>1410</v>
      </c>
      <c r="I11688">
        <v>1409</v>
      </c>
    </row>
    <row r="11689" spans="1:17" x14ac:dyDescent="0.2">
      <c r="A11689" s="121">
        <v>43100</v>
      </c>
      <c r="B11689" t="s">
        <v>406</v>
      </c>
      <c r="C11689" t="s">
        <v>456</v>
      </c>
      <c r="D11689" t="s">
        <v>469</v>
      </c>
      <c r="E11689" t="s">
        <v>470</v>
      </c>
      <c r="F11689" t="s">
        <v>410</v>
      </c>
      <c r="G11689">
        <v>771</v>
      </c>
      <c r="I11689">
        <v>766</v>
      </c>
    </row>
    <row r="11690" spans="1:17" x14ac:dyDescent="0.2">
      <c r="A11690" s="121">
        <v>43100</v>
      </c>
      <c r="B11690" t="s">
        <v>406</v>
      </c>
      <c r="C11690" t="s">
        <v>456</v>
      </c>
      <c r="D11690" t="s">
        <v>471</v>
      </c>
      <c r="E11690" t="s">
        <v>472</v>
      </c>
      <c r="F11690" t="s">
        <v>410</v>
      </c>
      <c r="G11690">
        <v>276</v>
      </c>
      <c r="I11690">
        <v>274</v>
      </c>
    </row>
    <row r="11691" spans="1:17" x14ac:dyDescent="0.2">
      <c r="A11691" s="121">
        <v>43100</v>
      </c>
      <c r="B11691" t="s">
        <v>406</v>
      </c>
      <c r="C11691" t="s">
        <v>456</v>
      </c>
      <c r="D11691" t="s">
        <v>473</v>
      </c>
      <c r="E11691" t="s">
        <v>474</v>
      </c>
      <c r="F11691" t="s">
        <v>410</v>
      </c>
      <c r="G11691">
        <v>141</v>
      </c>
      <c r="I11691">
        <v>141</v>
      </c>
    </row>
    <row r="11692" spans="1:17" x14ac:dyDescent="0.2">
      <c r="A11692" s="121">
        <v>43100</v>
      </c>
      <c r="B11692" t="s">
        <v>406</v>
      </c>
      <c r="C11692" t="s">
        <v>456</v>
      </c>
      <c r="D11692" t="s">
        <v>475</v>
      </c>
      <c r="E11692" t="s">
        <v>476</v>
      </c>
      <c r="F11692" t="s">
        <v>410</v>
      </c>
      <c r="G11692">
        <v>244</v>
      </c>
      <c r="I11692">
        <v>244</v>
      </c>
    </row>
    <row r="11693" spans="1:17" x14ac:dyDescent="0.2">
      <c r="A11693" s="121">
        <v>43100</v>
      </c>
      <c r="B11693" t="s">
        <v>406</v>
      </c>
      <c r="C11693" t="s">
        <v>456</v>
      </c>
      <c r="D11693" t="s">
        <v>477</v>
      </c>
      <c r="E11693" t="s">
        <v>478</v>
      </c>
      <c r="F11693" t="s">
        <v>413</v>
      </c>
      <c r="G11693">
        <v>2096</v>
      </c>
      <c r="H11693">
        <v>2096</v>
      </c>
      <c r="I11693">
        <v>2003</v>
      </c>
      <c r="J11693">
        <v>2003</v>
      </c>
      <c r="K11693">
        <v>470</v>
      </c>
      <c r="L11693">
        <v>3</v>
      </c>
      <c r="M11693">
        <v>1541</v>
      </c>
      <c r="N11693">
        <v>22</v>
      </c>
      <c r="O11693">
        <v>60</v>
      </c>
      <c r="P11693">
        <v>3</v>
      </c>
      <c r="Q11693">
        <v>0</v>
      </c>
    </row>
    <row r="11694" spans="1:17" x14ac:dyDescent="0.2">
      <c r="A11694" s="121">
        <v>43100</v>
      </c>
      <c r="B11694" t="s">
        <v>406</v>
      </c>
      <c r="C11694" t="s">
        <v>456</v>
      </c>
      <c r="D11694" t="s">
        <v>479</v>
      </c>
      <c r="E11694" t="s">
        <v>480</v>
      </c>
      <c r="F11694" t="s">
        <v>410</v>
      </c>
      <c r="G11694">
        <v>47</v>
      </c>
      <c r="I11694">
        <v>47</v>
      </c>
    </row>
    <row r="11695" spans="1:17" x14ac:dyDescent="0.2">
      <c r="A11695" s="121">
        <v>43100</v>
      </c>
      <c r="B11695" t="s">
        <v>406</v>
      </c>
      <c r="C11695" t="s">
        <v>456</v>
      </c>
      <c r="D11695" t="s">
        <v>481</v>
      </c>
      <c r="E11695" t="s">
        <v>482</v>
      </c>
      <c r="F11695" t="s">
        <v>410</v>
      </c>
      <c r="G11695">
        <v>8</v>
      </c>
      <c r="I11695">
        <v>8</v>
      </c>
    </row>
    <row r="11696" spans="1:17" x14ac:dyDescent="0.2">
      <c r="A11696" s="121">
        <v>43100</v>
      </c>
      <c r="B11696" t="s">
        <v>406</v>
      </c>
      <c r="C11696" t="s">
        <v>456</v>
      </c>
      <c r="D11696" t="s">
        <v>483</v>
      </c>
      <c r="E11696" t="s">
        <v>484</v>
      </c>
      <c r="F11696" t="s">
        <v>410</v>
      </c>
      <c r="G11696">
        <v>98</v>
      </c>
      <c r="I11696">
        <v>98</v>
      </c>
    </row>
    <row r="11697" spans="1:17" x14ac:dyDescent="0.2">
      <c r="A11697" s="121">
        <v>43100</v>
      </c>
      <c r="B11697" t="s">
        <v>406</v>
      </c>
      <c r="C11697" t="s">
        <v>456</v>
      </c>
      <c r="D11697" t="s">
        <v>487</v>
      </c>
      <c r="E11697" t="s">
        <v>488</v>
      </c>
      <c r="F11697" t="s">
        <v>410</v>
      </c>
      <c r="G11697">
        <v>20</v>
      </c>
      <c r="I11697">
        <v>20</v>
      </c>
    </row>
    <row r="11698" spans="1:17" x14ac:dyDescent="0.2">
      <c r="A11698" s="121">
        <v>43100</v>
      </c>
      <c r="B11698" t="s">
        <v>406</v>
      </c>
      <c r="C11698" t="s">
        <v>456</v>
      </c>
      <c r="D11698" t="s">
        <v>489</v>
      </c>
      <c r="E11698" t="s">
        <v>490</v>
      </c>
      <c r="F11698" t="s">
        <v>410</v>
      </c>
      <c r="G11698">
        <v>80</v>
      </c>
      <c r="I11698">
        <v>80</v>
      </c>
    </row>
    <row r="11699" spans="1:17" x14ac:dyDescent="0.2">
      <c r="A11699" s="121">
        <v>43100</v>
      </c>
      <c r="B11699" t="s">
        <v>406</v>
      </c>
      <c r="C11699" t="s">
        <v>456</v>
      </c>
      <c r="D11699" t="s">
        <v>628</v>
      </c>
      <c r="E11699" t="s">
        <v>629</v>
      </c>
      <c r="F11699" t="s">
        <v>410</v>
      </c>
      <c r="G11699">
        <v>38</v>
      </c>
      <c r="I11699">
        <v>38</v>
      </c>
    </row>
    <row r="11700" spans="1:17" x14ac:dyDescent="0.2">
      <c r="A11700" s="121">
        <v>43100</v>
      </c>
      <c r="B11700" t="s">
        <v>406</v>
      </c>
      <c r="C11700" t="s">
        <v>491</v>
      </c>
      <c r="D11700" t="s">
        <v>492</v>
      </c>
      <c r="E11700" t="s">
        <v>493</v>
      </c>
      <c r="F11700" t="s">
        <v>410</v>
      </c>
      <c r="G11700">
        <v>1372</v>
      </c>
      <c r="H11700">
        <v>1372</v>
      </c>
      <c r="I11700">
        <v>1267</v>
      </c>
      <c r="J11700">
        <v>1267</v>
      </c>
      <c r="K11700">
        <v>240</v>
      </c>
      <c r="L11700">
        <v>1</v>
      </c>
      <c r="M11700">
        <v>1030</v>
      </c>
      <c r="N11700">
        <v>85</v>
      </c>
      <c r="O11700">
        <v>16</v>
      </c>
      <c r="P11700">
        <v>12</v>
      </c>
      <c r="Q11700">
        <v>2</v>
      </c>
    </row>
    <row r="11701" spans="1:17" x14ac:dyDescent="0.2">
      <c r="A11701" s="121">
        <v>43100</v>
      </c>
      <c r="B11701" t="s">
        <v>406</v>
      </c>
      <c r="C11701" t="s">
        <v>491</v>
      </c>
      <c r="D11701" t="s">
        <v>494</v>
      </c>
      <c r="E11701" t="s">
        <v>495</v>
      </c>
      <c r="F11701" t="s">
        <v>413</v>
      </c>
      <c r="G11701">
        <v>2908</v>
      </c>
      <c r="H11701">
        <v>2908</v>
      </c>
      <c r="I11701">
        <v>2451</v>
      </c>
      <c r="J11701">
        <v>2451</v>
      </c>
      <c r="K11701">
        <v>857</v>
      </c>
      <c r="L11701">
        <v>7</v>
      </c>
      <c r="M11701">
        <v>1851</v>
      </c>
      <c r="N11701">
        <v>58</v>
      </c>
      <c r="O11701">
        <v>135</v>
      </c>
      <c r="P11701">
        <v>38</v>
      </c>
      <c r="Q11701">
        <v>3</v>
      </c>
    </row>
    <row r="11702" spans="1:17" x14ac:dyDescent="0.2">
      <c r="A11702" s="121">
        <v>43100</v>
      </c>
      <c r="B11702" t="s">
        <v>406</v>
      </c>
      <c r="C11702" t="s">
        <v>491</v>
      </c>
      <c r="D11702" t="s">
        <v>496</v>
      </c>
      <c r="E11702" t="s">
        <v>497</v>
      </c>
      <c r="F11702" t="s">
        <v>413</v>
      </c>
      <c r="G11702">
        <v>5927</v>
      </c>
      <c r="H11702">
        <v>5927</v>
      </c>
      <c r="I11702">
        <v>4451</v>
      </c>
      <c r="J11702">
        <v>4451</v>
      </c>
      <c r="K11702">
        <v>1958</v>
      </c>
      <c r="L11702">
        <v>20</v>
      </c>
      <c r="M11702">
        <v>3671</v>
      </c>
      <c r="N11702">
        <v>103</v>
      </c>
      <c r="O11702">
        <v>175</v>
      </c>
      <c r="P11702">
        <v>366</v>
      </c>
      <c r="Q11702">
        <v>29</v>
      </c>
    </row>
    <row r="11703" spans="1:17" x14ac:dyDescent="0.2">
      <c r="A11703" s="121">
        <v>43100</v>
      </c>
      <c r="B11703" t="s">
        <v>406</v>
      </c>
      <c r="C11703" t="s">
        <v>491</v>
      </c>
      <c r="D11703" t="s">
        <v>498</v>
      </c>
      <c r="E11703" t="s">
        <v>499</v>
      </c>
      <c r="F11703" t="s">
        <v>413</v>
      </c>
      <c r="G11703">
        <v>8061</v>
      </c>
      <c r="H11703">
        <v>8061</v>
      </c>
      <c r="I11703">
        <v>6308</v>
      </c>
      <c r="J11703">
        <v>6308</v>
      </c>
      <c r="K11703">
        <v>2439</v>
      </c>
      <c r="L11703">
        <v>24</v>
      </c>
      <c r="M11703">
        <v>5047</v>
      </c>
      <c r="N11703">
        <v>151</v>
      </c>
      <c r="O11703">
        <v>400</v>
      </c>
      <c r="P11703">
        <v>263</v>
      </c>
      <c r="Q11703">
        <v>33</v>
      </c>
    </row>
    <row r="11704" spans="1:17" x14ac:dyDescent="0.2">
      <c r="A11704" s="121">
        <v>43100</v>
      </c>
      <c r="B11704" t="s">
        <v>406</v>
      </c>
      <c r="C11704" t="s">
        <v>491</v>
      </c>
      <c r="D11704" t="s">
        <v>500</v>
      </c>
      <c r="E11704" t="s">
        <v>620</v>
      </c>
      <c r="F11704" t="s">
        <v>410</v>
      </c>
      <c r="G11704">
        <v>1460</v>
      </c>
      <c r="H11704">
        <v>1460</v>
      </c>
      <c r="I11704">
        <v>1422</v>
      </c>
      <c r="J11704">
        <v>1422</v>
      </c>
      <c r="K11704">
        <v>0</v>
      </c>
      <c r="L11704">
        <v>1</v>
      </c>
      <c r="M11704">
        <v>1340</v>
      </c>
      <c r="N11704">
        <v>101</v>
      </c>
      <c r="O11704">
        <v>18</v>
      </c>
      <c r="P11704">
        <v>0</v>
      </c>
      <c r="Q11704">
        <v>0</v>
      </c>
    </row>
    <row r="11705" spans="1:17" x14ac:dyDescent="0.2">
      <c r="A11705" s="121">
        <v>43100</v>
      </c>
      <c r="B11705" t="s">
        <v>406</v>
      </c>
      <c r="C11705" t="s">
        <v>491</v>
      </c>
      <c r="D11705" t="s">
        <v>502</v>
      </c>
      <c r="E11705" t="s">
        <v>615</v>
      </c>
      <c r="F11705" t="s">
        <v>410</v>
      </c>
      <c r="G11705">
        <v>2481</v>
      </c>
      <c r="H11705">
        <v>2481</v>
      </c>
      <c r="I11705">
        <v>2480</v>
      </c>
      <c r="J11705">
        <v>2480</v>
      </c>
      <c r="K11705">
        <v>1</v>
      </c>
      <c r="L11705">
        <v>0</v>
      </c>
      <c r="M11705">
        <v>2196</v>
      </c>
      <c r="N11705">
        <v>215</v>
      </c>
      <c r="O11705">
        <v>69</v>
      </c>
      <c r="P11705">
        <v>0</v>
      </c>
      <c r="Q11705">
        <v>0</v>
      </c>
    </row>
    <row r="11706" spans="1:17" x14ac:dyDescent="0.2">
      <c r="A11706" s="121">
        <v>43100</v>
      </c>
      <c r="B11706" t="s">
        <v>406</v>
      </c>
      <c r="C11706" t="s">
        <v>491</v>
      </c>
      <c r="D11706" t="s">
        <v>504</v>
      </c>
      <c r="E11706" t="s">
        <v>630</v>
      </c>
      <c r="F11706" t="s">
        <v>413</v>
      </c>
      <c r="G11706">
        <v>8848</v>
      </c>
      <c r="H11706">
        <v>8848</v>
      </c>
      <c r="I11706">
        <v>6384</v>
      </c>
      <c r="J11706">
        <v>6384</v>
      </c>
      <c r="K11706">
        <v>2904</v>
      </c>
      <c r="L11706">
        <v>20</v>
      </c>
      <c r="M11706">
        <v>5550</v>
      </c>
      <c r="N11706">
        <v>88</v>
      </c>
      <c r="O11706">
        <v>286</v>
      </c>
      <c r="P11706">
        <v>351</v>
      </c>
      <c r="Q11706">
        <v>73</v>
      </c>
    </row>
    <row r="11707" spans="1:17" x14ac:dyDescent="0.2">
      <c r="A11707" s="121">
        <v>43100</v>
      </c>
      <c r="B11707" t="s">
        <v>406</v>
      </c>
      <c r="C11707" t="s">
        <v>491</v>
      </c>
      <c r="D11707" t="s">
        <v>506</v>
      </c>
      <c r="E11707" t="s">
        <v>507</v>
      </c>
      <c r="F11707" t="s">
        <v>413</v>
      </c>
      <c r="G11707">
        <v>5944</v>
      </c>
      <c r="H11707">
        <v>5944</v>
      </c>
      <c r="I11707">
        <v>5533</v>
      </c>
      <c r="J11707">
        <v>5533</v>
      </c>
      <c r="K11707">
        <v>1208</v>
      </c>
      <c r="L11707">
        <v>2</v>
      </c>
      <c r="M11707">
        <v>4688</v>
      </c>
      <c r="N11707">
        <v>4</v>
      </c>
      <c r="O11707">
        <v>42</v>
      </c>
      <c r="P11707">
        <v>2</v>
      </c>
      <c r="Q11707">
        <v>0</v>
      </c>
    </row>
    <row r="11708" spans="1:17" x14ac:dyDescent="0.2">
      <c r="A11708" s="121">
        <v>43100</v>
      </c>
      <c r="B11708" t="s">
        <v>406</v>
      </c>
      <c r="C11708" t="s">
        <v>510</v>
      </c>
      <c r="D11708" t="s">
        <v>513</v>
      </c>
      <c r="E11708" t="s">
        <v>514</v>
      </c>
      <c r="F11708" t="s">
        <v>410</v>
      </c>
      <c r="G11708">
        <v>721</v>
      </c>
      <c r="I11708">
        <v>713</v>
      </c>
    </row>
    <row r="11709" spans="1:17" x14ac:dyDescent="0.2">
      <c r="A11709" s="121">
        <v>43100</v>
      </c>
      <c r="B11709" t="s">
        <v>406</v>
      </c>
      <c r="C11709" t="s">
        <v>510</v>
      </c>
      <c r="D11709" t="s">
        <v>515</v>
      </c>
      <c r="E11709" t="s">
        <v>516</v>
      </c>
      <c r="F11709" t="s">
        <v>410</v>
      </c>
      <c r="G11709">
        <v>116</v>
      </c>
      <c r="I11709">
        <v>115</v>
      </c>
    </row>
    <row r="11710" spans="1:17" x14ac:dyDescent="0.2">
      <c r="A11710" s="121">
        <v>43100</v>
      </c>
      <c r="B11710" t="s">
        <v>406</v>
      </c>
      <c r="C11710" t="s">
        <v>510</v>
      </c>
      <c r="D11710" t="s">
        <v>519</v>
      </c>
      <c r="E11710" t="s">
        <v>520</v>
      </c>
      <c r="F11710" t="s">
        <v>410</v>
      </c>
      <c r="G11710">
        <v>370</v>
      </c>
      <c r="I11710">
        <v>365</v>
      </c>
    </row>
    <row r="11711" spans="1:17" x14ac:dyDescent="0.2">
      <c r="A11711" s="121">
        <v>43100</v>
      </c>
      <c r="B11711" t="s">
        <v>406</v>
      </c>
      <c r="C11711" t="s">
        <v>510</v>
      </c>
      <c r="D11711" t="s">
        <v>523</v>
      </c>
      <c r="E11711" t="s">
        <v>524</v>
      </c>
      <c r="F11711" t="s">
        <v>413</v>
      </c>
      <c r="G11711">
        <v>595</v>
      </c>
      <c r="H11711">
        <v>595</v>
      </c>
      <c r="I11711">
        <v>570</v>
      </c>
      <c r="J11711">
        <v>570</v>
      </c>
      <c r="K11711">
        <v>164</v>
      </c>
      <c r="L11711">
        <v>0</v>
      </c>
      <c r="M11711">
        <v>415</v>
      </c>
      <c r="N11711">
        <v>16</v>
      </c>
      <c r="O11711">
        <v>0</v>
      </c>
      <c r="P11711">
        <v>2</v>
      </c>
      <c r="Q11711">
        <v>0</v>
      </c>
    </row>
    <row r="11712" spans="1:17" x14ac:dyDescent="0.2">
      <c r="A11712" s="121">
        <v>43100</v>
      </c>
      <c r="B11712" t="s">
        <v>406</v>
      </c>
      <c r="C11712" t="s">
        <v>510</v>
      </c>
      <c r="D11712" t="s">
        <v>525</v>
      </c>
      <c r="E11712" t="s">
        <v>526</v>
      </c>
      <c r="F11712" t="s">
        <v>410</v>
      </c>
      <c r="G11712">
        <v>563</v>
      </c>
      <c r="I11712">
        <v>558</v>
      </c>
    </row>
    <row r="11713" spans="1:17" x14ac:dyDescent="0.2">
      <c r="A11713" s="121">
        <v>43100</v>
      </c>
      <c r="B11713" t="s">
        <v>406</v>
      </c>
      <c r="C11713" t="s">
        <v>510</v>
      </c>
      <c r="D11713" t="s">
        <v>527</v>
      </c>
      <c r="E11713" t="s">
        <v>528</v>
      </c>
      <c r="F11713" t="s">
        <v>410</v>
      </c>
      <c r="G11713">
        <v>215</v>
      </c>
      <c r="I11713">
        <v>213</v>
      </c>
    </row>
    <row r="11714" spans="1:17" x14ac:dyDescent="0.2">
      <c r="A11714" s="121">
        <v>43100</v>
      </c>
      <c r="B11714" t="s">
        <v>406</v>
      </c>
      <c r="C11714" t="s">
        <v>510</v>
      </c>
      <c r="D11714" t="s">
        <v>529</v>
      </c>
      <c r="E11714" t="s">
        <v>530</v>
      </c>
      <c r="F11714" t="s">
        <v>413</v>
      </c>
      <c r="G11714">
        <v>608</v>
      </c>
      <c r="H11714">
        <v>608</v>
      </c>
      <c r="I11714">
        <v>595</v>
      </c>
      <c r="J11714">
        <v>595</v>
      </c>
      <c r="K11714">
        <v>177</v>
      </c>
      <c r="L11714">
        <v>0</v>
      </c>
      <c r="M11714">
        <v>427</v>
      </c>
      <c r="N11714">
        <v>4</v>
      </c>
      <c r="O11714">
        <v>0</v>
      </c>
      <c r="P11714">
        <v>1</v>
      </c>
      <c r="Q11714">
        <v>0</v>
      </c>
    </row>
    <row r="11715" spans="1:17" x14ac:dyDescent="0.2">
      <c r="A11715" s="121">
        <v>43100</v>
      </c>
      <c r="B11715" t="s">
        <v>406</v>
      </c>
      <c r="C11715" t="s">
        <v>510</v>
      </c>
      <c r="D11715" t="s">
        <v>531</v>
      </c>
      <c r="E11715" t="s">
        <v>532</v>
      </c>
      <c r="F11715" t="s">
        <v>410</v>
      </c>
      <c r="G11715">
        <v>49</v>
      </c>
      <c r="I11715">
        <v>49</v>
      </c>
    </row>
    <row r="11716" spans="1:17" x14ac:dyDescent="0.2">
      <c r="A11716" s="121">
        <v>43100</v>
      </c>
      <c r="B11716" t="s">
        <v>406</v>
      </c>
      <c r="C11716" t="s">
        <v>510</v>
      </c>
      <c r="D11716" t="s">
        <v>533</v>
      </c>
      <c r="E11716" t="s">
        <v>534</v>
      </c>
      <c r="F11716" t="s">
        <v>413</v>
      </c>
      <c r="G11716">
        <v>3009</v>
      </c>
      <c r="H11716">
        <v>3009</v>
      </c>
      <c r="I11716">
        <v>2743</v>
      </c>
      <c r="J11716">
        <v>2743</v>
      </c>
      <c r="K11716">
        <v>773</v>
      </c>
      <c r="L11716">
        <v>8</v>
      </c>
      <c r="M11716">
        <v>2213</v>
      </c>
      <c r="N11716">
        <v>15</v>
      </c>
      <c r="O11716">
        <v>0</v>
      </c>
      <c r="P11716">
        <v>22</v>
      </c>
      <c r="Q11716">
        <v>1</v>
      </c>
    </row>
    <row r="11717" spans="1:17" x14ac:dyDescent="0.2">
      <c r="A11717" s="121">
        <v>43100</v>
      </c>
      <c r="B11717" t="s">
        <v>406</v>
      </c>
      <c r="C11717" t="s">
        <v>510</v>
      </c>
      <c r="D11717" t="s">
        <v>535</v>
      </c>
      <c r="E11717" t="s">
        <v>536</v>
      </c>
      <c r="F11717" t="s">
        <v>410</v>
      </c>
      <c r="G11717">
        <v>400</v>
      </c>
      <c r="I11717">
        <v>399</v>
      </c>
    </row>
    <row r="11718" spans="1:17" x14ac:dyDescent="0.2">
      <c r="A11718" s="121">
        <v>43100</v>
      </c>
      <c r="B11718" t="s">
        <v>406</v>
      </c>
      <c r="C11718" t="s">
        <v>510</v>
      </c>
      <c r="D11718" t="s">
        <v>537</v>
      </c>
      <c r="E11718" t="s">
        <v>538</v>
      </c>
      <c r="F11718" t="s">
        <v>410</v>
      </c>
      <c r="G11718">
        <v>43</v>
      </c>
      <c r="I11718">
        <v>43</v>
      </c>
    </row>
    <row r="11719" spans="1:17" x14ac:dyDescent="0.2">
      <c r="A11719" s="121">
        <v>43100</v>
      </c>
      <c r="B11719" t="s">
        <v>406</v>
      </c>
      <c r="C11719" t="s">
        <v>510</v>
      </c>
      <c r="D11719" t="s">
        <v>539</v>
      </c>
      <c r="E11719" t="s">
        <v>540</v>
      </c>
      <c r="F11719" t="s">
        <v>413</v>
      </c>
      <c r="G11719">
        <v>705</v>
      </c>
      <c r="H11719">
        <v>705</v>
      </c>
      <c r="I11719">
        <v>690</v>
      </c>
      <c r="J11719">
        <v>690</v>
      </c>
      <c r="K11719">
        <v>134</v>
      </c>
      <c r="L11719">
        <v>0</v>
      </c>
      <c r="M11719">
        <v>568</v>
      </c>
      <c r="N11719">
        <v>3</v>
      </c>
      <c r="O11719">
        <v>0</v>
      </c>
      <c r="P11719">
        <v>0</v>
      </c>
      <c r="Q11719">
        <v>0</v>
      </c>
    </row>
    <row r="11720" spans="1:17" x14ac:dyDescent="0.2">
      <c r="A11720" s="121">
        <v>43100</v>
      </c>
      <c r="B11720" t="s">
        <v>406</v>
      </c>
      <c r="C11720" t="s">
        <v>510</v>
      </c>
      <c r="D11720" t="s">
        <v>541</v>
      </c>
      <c r="E11720" t="s">
        <v>542</v>
      </c>
      <c r="F11720" t="s">
        <v>410</v>
      </c>
      <c r="G11720">
        <v>377</v>
      </c>
      <c r="I11720">
        <v>377</v>
      </c>
    </row>
    <row r="11721" spans="1:17" x14ac:dyDescent="0.2">
      <c r="A11721" s="121">
        <v>43100</v>
      </c>
      <c r="B11721" t="s">
        <v>406</v>
      </c>
      <c r="C11721" t="s">
        <v>510</v>
      </c>
      <c r="D11721" t="s">
        <v>543</v>
      </c>
      <c r="E11721" t="s">
        <v>544</v>
      </c>
      <c r="F11721" t="s">
        <v>410</v>
      </c>
      <c r="G11721">
        <v>193</v>
      </c>
      <c r="I11721">
        <v>193</v>
      </c>
    </row>
    <row r="11722" spans="1:17" x14ac:dyDescent="0.2">
      <c r="A11722" s="121">
        <v>43100</v>
      </c>
      <c r="B11722" t="s">
        <v>406</v>
      </c>
      <c r="C11722" t="s">
        <v>510</v>
      </c>
      <c r="D11722" t="s">
        <v>545</v>
      </c>
      <c r="E11722" t="s">
        <v>546</v>
      </c>
      <c r="F11722" t="s">
        <v>410</v>
      </c>
      <c r="G11722">
        <v>63</v>
      </c>
      <c r="I11722">
        <v>63</v>
      </c>
    </row>
    <row r="11723" spans="1:17" x14ac:dyDescent="0.2">
      <c r="A11723" s="121">
        <v>43100</v>
      </c>
      <c r="B11723" t="s">
        <v>406</v>
      </c>
      <c r="C11723" t="s">
        <v>510</v>
      </c>
      <c r="D11723" t="s">
        <v>547</v>
      </c>
      <c r="E11723" t="s">
        <v>548</v>
      </c>
      <c r="F11723" t="s">
        <v>410</v>
      </c>
      <c r="G11723">
        <v>126</v>
      </c>
      <c r="I11723">
        <v>126</v>
      </c>
    </row>
    <row r="11724" spans="1:17" x14ac:dyDescent="0.2">
      <c r="A11724" s="121">
        <v>43100</v>
      </c>
      <c r="B11724" t="s">
        <v>406</v>
      </c>
      <c r="C11724" t="s">
        <v>510</v>
      </c>
      <c r="D11724" t="s">
        <v>616</v>
      </c>
      <c r="E11724" t="s">
        <v>617</v>
      </c>
      <c r="F11724" t="s">
        <v>410</v>
      </c>
      <c r="G11724">
        <v>395</v>
      </c>
      <c r="I11724">
        <v>386</v>
      </c>
    </row>
    <row r="11725" spans="1:17" x14ac:dyDescent="0.2">
      <c r="A11725" s="121">
        <v>43100</v>
      </c>
      <c r="B11725" t="s">
        <v>406</v>
      </c>
      <c r="C11725" t="s">
        <v>510</v>
      </c>
      <c r="D11725" t="s">
        <v>549</v>
      </c>
      <c r="E11725" t="s">
        <v>550</v>
      </c>
      <c r="F11725" t="s">
        <v>410</v>
      </c>
      <c r="G11725">
        <v>98</v>
      </c>
      <c r="I11725">
        <v>98</v>
      </c>
    </row>
    <row r="11726" spans="1:17" x14ac:dyDescent="0.2">
      <c r="A11726" s="121">
        <v>43100</v>
      </c>
      <c r="B11726" t="s">
        <v>406</v>
      </c>
      <c r="C11726" t="s">
        <v>510</v>
      </c>
      <c r="D11726" t="s">
        <v>625</v>
      </c>
      <c r="E11726" t="s">
        <v>626</v>
      </c>
      <c r="F11726" t="s">
        <v>410</v>
      </c>
      <c r="G11726">
        <v>63</v>
      </c>
      <c r="I11726">
        <v>59</v>
      </c>
    </row>
    <row r="11727" spans="1:17" x14ac:dyDescent="0.2">
      <c r="A11727" s="121">
        <v>43100</v>
      </c>
      <c r="B11727" t="s">
        <v>406</v>
      </c>
      <c r="C11727" t="s">
        <v>551</v>
      </c>
      <c r="D11727" t="s">
        <v>552</v>
      </c>
      <c r="E11727" t="s">
        <v>553</v>
      </c>
      <c r="F11727" t="s">
        <v>413</v>
      </c>
      <c r="G11727">
        <v>6049</v>
      </c>
      <c r="H11727">
        <v>6049</v>
      </c>
      <c r="I11727">
        <v>5339</v>
      </c>
      <c r="J11727">
        <v>5339</v>
      </c>
      <c r="K11727">
        <v>2063</v>
      </c>
      <c r="L11727">
        <v>12</v>
      </c>
      <c r="M11727">
        <v>3804</v>
      </c>
      <c r="N11727">
        <v>113</v>
      </c>
      <c r="O11727">
        <v>57</v>
      </c>
      <c r="P11727">
        <v>58</v>
      </c>
      <c r="Q11727">
        <v>3</v>
      </c>
    </row>
    <row r="11728" spans="1:17" x14ac:dyDescent="0.2">
      <c r="A11728" s="121">
        <v>43100</v>
      </c>
      <c r="B11728" t="s">
        <v>406</v>
      </c>
      <c r="C11728" t="s">
        <v>551</v>
      </c>
      <c r="D11728" t="s">
        <v>554</v>
      </c>
      <c r="E11728" t="s">
        <v>555</v>
      </c>
      <c r="F11728" t="s">
        <v>410</v>
      </c>
      <c r="G11728">
        <v>67</v>
      </c>
      <c r="I11728">
        <v>67</v>
      </c>
    </row>
    <row r="11729" spans="1:17" x14ac:dyDescent="0.2">
      <c r="A11729" s="121">
        <v>43100</v>
      </c>
      <c r="B11729" t="s">
        <v>406</v>
      </c>
      <c r="C11729" t="s">
        <v>551</v>
      </c>
      <c r="D11729" t="s">
        <v>556</v>
      </c>
      <c r="E11729" t="s">
        <v>557</v>
      </c>
      <c r="F11729" t="s">
        <v>410</v>
      </c>
      <c r="G11729">
        <v>47</v>
      </c>
      <c r="I11729">
        <v>47</v>
      </c>
    </row>
    <row r="11730" spans="1:17" x14ac:dyDescent="0.2">
      <c r="A11730" s="121">
        <v>43100</v>
      </c>
      <c r="B11730" t="s">
        <v>406</v>
      </c>
      <c r="C11730" t="s">
        <v>551</v>
      </c>
      <c r="D11730" t="s">
        <v>558</v>
      </c>
      <c r="E11730" t="s">
        <v>559</v>
      </c>
      <c r="F11730" t="s">
        <v>413</v>
      </c>
      <c r="G11730">
        <v>5552</v>
      </c>
      <c r="H11730">
        <v>5552</v>
      </c>
      <c r="I11730">
        <v>4121</v>
      </c>
      <c r="J11730">
        <v>4121</v>
      </c>
      <c r="K11730">
        <v>1675</v>
      </c>
      <c r="L11730">
        <v>9</v>
      </c>
      <c r="M11730">
        <v>3757</v>
      </c>
      <c r="N11730">
        <v>66</v>
      </c>
      <c r="O11730">
        <v>45</v>
      </c>
      <c r="P11730">
        <v>264</v>
      </c>
      <c r="Q11730">
        <v>92</v>
      </c>
    </row>
    <row r="11731" spans="1:17" x14ac:dyDescent="0.2">
      <c r="A11731" s="121">
        <v>43100</v>
      </c>
      <c r="B11731" t="s">
        <v>406</v>
      </c>
      <c r="C11731" t="s">
        <v>551</v>
      </c>
      <c r="D11731" t="s">
        <v>560</v>
      </c>
      <c r="E11731" t="s">
        <v>561</v>
      </c>
      <c r="F11731" t="s">
        <v>413</v>
      </c>
      <c r="G11731">
        <v>6187</v>
      </c>
      <c r="H11731">
        <v>6187</v>
      </c>
      <c r="I11731">
        <v>5221</v>
      </c>
      <c r="J11731">
        <v>5221</v>
      </c>
      <c r="K11731">
        <v>1887</v>
      </c>
      <c r="L11731">
        <v>12</v>
      </c>
      <c r="M11731">
        <v>4058</v>
      </c>
      <c r="N11731">
        <v>63</v>
      </c>
      <c r="O11731">
        <v>167</v>
      </c>
      <c r="P11731">
        <v>200</v>
      </c>
      <c r="Q11731">
        <v>39</v>
      </c>
    </row>
    <row r="11732" spans="1:17" x14ac:dyDescent="0.2">
      <c r="A11732" s="121">
        <v>43100</v>
      </c>
      <c r="B11732" t="s">
        <v>406</v>
      </c>
      <c r="C11732" t="s">
        <v>562</v>
      </c>
      <c r="D11732" t="s">
        <v>605</v>
      </c>
      <c r="E11732" t="s">
        <v>606</v>
      </c>
      <c r="F11732" t="s">
        <v>410</v>
      </c>
      <c r="G11732">
        <v>222</v>
      </c>
      <c r="I11732">
        <v>222</v>
      </c>
    </row>
    <row r="11733" spans="1:17" x14ac:dyDescent="0.2">
      <c r="A11733" s="121">
        <v>43100</v>
      </c>
      <c r="B11733" t="s">
        <v>406</v>
      </c>
      <c r="C11733" t="s">
        <v>562</v>
      </c>
      <c r="D11733" t="s">
        <v>563</v>
      </c>
      <c r="E11733" t="s">
        <v>564</v>
      </c>
      <c r="F11733" t="s">
        <v>410</v>
      </c>
      <c r="G11733">
        <v>4054</v>
      </c>
      <c r="H11733">
        <v>4054</v>
      </c>
      <c r="I11733">
        <v>3182</v>
      </c>
      <c r="J11733">
        <v>3182</v>
      </c>
      <c r="K11733">
        <v>1199</v>
      </c>
      <c r="L11733">
        <v>0</v>
      </c>
      <c r="M11733">
        <v>2812</v>
      </c>
      <c r="N11733">
        <v>43</v>
      </c>
      <c r="O11733">
        <v>0</v>
      </c>
      <c r="P11733">
        <v>208</v>
      </c>
      <c r="Q11733">
        <v>95</v>
      </c>
    </row>
    <row r="11734" spans="1:17" x14ac:dyDescent="0.2">
      <c r="A11734" s="121">
        <v>43100</v>
      </c>
      <c r="B11734" t="s">
        <v>406</v>
      </c>
      <c r="C11734" t="s">
        <v>562</v>
      </c>
      <c r="D11734" t="s">
        <v>565</v>
      </c>
      <c r="E11734" t="s">
        <v>566</v>
      </c>
      <c r="F11734" t="s">
        <v>413</v>
      </c>
      <c r="G11734">
        <v>4841</v>
      </c>
      <c r="H11734">
        <v>4841</v>
      </c>
      <c r="I11734">
        <v>3850</v>
      </c>
      <c r="J11734">
        <v>3850</v>
      </c>
      <c r="K11734">
        <v>1063</v>
      </c>
      <c r="L11734">
        <v>8</v>
      </c>
      <c r="M11734">
        <v>3650</v>
      </c>
      <c r="N11734">
        <v>120</v>
      </c>
      <c r="O11734">
        <v>0</v>
      </c>
      <c r="P11734">
        <v>127</v>
      </c>
      <c r="Q11734">
        <v>25</v>
      </c>
    </row>
    <row r="11735" spans="1:17" x14ac:dyDescent="0.2">
      <c r="A11735" s="121">
        <v>43100</v>
      </c>
      <c r="B11735" t="s">
        <v>406</v>
      </c>
      <c r="C11735" t="s">
        <v>562</v>
      </c>
      <c r="D11735" t="s">
        <v>567</v>
      </c>
      <c r="E11735" t="s">
        <v>568</v>
      </c>
      <c r="F11735" t="s">
        <v>413</v>
      </c>
      <c r="G11735">
        <v>10171</v>
      </c>
      <c r="H11735">
        <v>10171</v>
      </c>
      <c r="I11735">
        <v>6499</v>
      </c>
      <c r="J11735">
        <v>6499</v>
      </c>
      <c r="K11735">
        <v>3097</v>
      </c>
      <c r="L11735">
        <v>24</v>
      </c>
      <c r="M11735">
        <v>6884</v>
      </c>
      <c r="N11735">
        <v>166</v>
      </c>
      <c r="O11735">
        <v>0</v>
      </c>
      <c r="P11735">
        <v>588</v>
      </c>
      <c r="Q11735">
        <v>214</v>
      </c>
    </row>
    <row r="11736" spans="1:17" x14ac:dyDescent="0.2">
      <c r="A11736" s="121">
        <v>43100</v>
      </c>
      <c r="B11736" t="s">
        <v>406</v>
      </c>
      <c r="C11736" t="s">
        <v>562</v>
      </c>
      <c r="D11736" t="s">
        <v>569</v>
      </c>
      <c r="E11736" t="s">
        <v>570</v>
      </c>
      <c r="F11736" t="s">
        <v>413</v>
      </c>
      <c r="G11736">
        <v>4740</v>
      </c>
      <c r="H11736">
        <v>4740</v>
      </c>
      <c r="I11736">
        <v>4531</v>
      </c>
      <c r="J11736">
        <v>4531</v>
      </c>
      <c r="K11736">
        <v>650</v>
      </c>
      <c r="L11736">
        <v>1</v>
      </c>
      <c r="M11736">
        <v>4085</v>
      </c>
      <c r="N11736">
        <v>4</v>
      </c>
      <c r="O11736">
        <v>0</v>
      </c>
      <c r="P11736">
        <v>8</v>
      </c>
      <c r="Q11736">
        <v>2</v>
      </c>
    </row>
    <row r="11737" spans="1:17" x14ac:dyDescent="0.2">
      <c r="A11737" s="121">
        <v>43100</v>
      </c>
      <c r="B11737" t="s">
        <v>406</v>
      </c>
      <c r="C11737" t="s">
        <v>571</v>
      </c>
      <c r="D11737" t="s">
        <v>572</v>
      </c>
      <c r="E11737" t="s">
        <v>627</v>
      </c>
      <c r="F11737" t="s">
        <v>413</v>
      </c>
      <c r="G11737">
        <v>504</v>
      </c>
      <c r="H11737">
        <v>504</v>
      </c>
      <c r="I11737">
        <v>489</v>
      </c>
      <c r="J11737">
        <v>489</v>
      </c>
      <c r="K11737">
        <v>154</v>
      </c>
      <c r="L11737">
        <v>3</v>
      </c>
      <c r="M11737">
        <v>340</v>
      </c>
      <c r="N11737">
        <v>3</v>
      </c>
      <c r="O11737">
        <v>4</v>
      </c>
      <c r="P11737">
        <v>0</v>
      </c>
      <c r="Q11737">
        <v>0</v>
      </c>
    </row>
    <row r="11738" spans="1:17" x14ac:dyDescent="0.2">
      <c r="A11738" s="121">
        <v>43100</v>
      </c>
      <c r="B11738" t="s">
        <v>406</v>
      </c>
      <c r="C11738" t="s">
        <v>574</v>
      </c>
      <c r="D11738" t="s">
        <v>575</v>
      </c>
      <c r="E11738" t="s">
        <v>576</v>
      </c>
      <c r="F11738" t="s">
        <v>413</v>
      </c>
      <c r="G11738">
        <v>709</v>
      </c>
      <c r="H11738">
        <v>709</v>
      </c>
      <c r="I11738">
        <v>673</v>
      </c>
      <c r="J11738">
        <v>673</v>
      </c>
      <c r="K11738">
        <v>180</v>
      </c>
      <c r="L11738">
        <v>2</v>
      </c>
      <c r="M11738">
        <v>518</v>
      </c>
      <c r="N11738">
        <v>4</v>
      </c>
      <c r="O11738">
        <v>5</v>
      </c>
      <c r="P11738">
        <v>0</v>
      </c>
      <c r="Q11738">
        <v>0</v>
      </c>
    </row>
    <row r="11739" spans="1:17" x14ac:dyDescent="0.2">
      <c r="A11739" s="121">
        <v>43100</v>
      </c>
      <c r="B11739" t="s">
        <v>406</v>
      </c>
      <c r="C11739" t="s">
        <v>577</v>
      </c>
      <c r="D11739" t="s">
        <v>578</v>
      </c>
      <c r="E11739" t="s">
        <v>579</v>
      </c>
      <c r="F11739" t="s">
        <v>413</v>
      </c>
      <c r="G11739">
        <v>4351</v>
      </c>
      <c r="H11739">
        <v>4351</v>
      </c>
      <c r="I11739">
        <v>4004</v>
      </c>
      <c r="J11739">
        <v>4004</v>
      </c>
      <c r="K11739">
        <v>1490</v>
      </c>
      <c r="L11739">
        <v>7</v>
      </c>
      <c r="M11739">
        <v>2517</v>
      </c>
      <c r="N11739">
        <v>273</v>
      </c>
      <c r="O11739">
        <v>64</v>
      </c>
      <c r="P11739">
        <v>15</v>
      </c>
      <c r="Q11739">
        <v>1</v>
      </c>
    </row>
    <row r="11740" spans="1:17" x14ac:dyDescent="0.2">
      <c r="A11740" s="121">
        <v>43100</v>
      </c>
      <c r="B11740" t="s">
        <v>406</v>
      </c>
      <c r="C11740" t="s">
        <v>577</v>
      </c>
      <c r="D11740" t="s">
        <v>580</v>
      </c>
      <c r="E11740" t="s">
        <v>581</v>
      </c>
      <c r="F11740" t="s">
        <v>413</v>
      </c>
      <c r="G11740">
        <v>2177</v>
      </c>
      <c r="H11740">
        <v>2177</v>
      </c>
      <c r="I11740">
        <v>2039</v>
      </c>
      <c r="J11740">
        <v>2039</v>
      </c>
      <c r="K11740">
        <v>448</v>
      </c>
      <c r="L11740">
        <v>6</v>
      </c>
      <c r="M11740">
        <v>1372</v>
      </c>
      <c r="N11740">
        <v>324</v>
      </c>
      <c r="O11740">
        <v>27</v>
      </c>
      <c r="P11740">
        <v>7</v>
      </c>
      <c r="Q11740">
        <v>0</v>
      </c>
    </row>
    <row r="11741" spans="1:17" x14ac:dyDescent="0.2">
      <c r="A11741" s="121">
        <v>43100</v>
      </c>
      <c r="B11741" t="s">
        <v>406</v>
      </c>
      <c r="C11741" t="s">
        <v>577</v>
      </c>
      <c r="D11741" t="s">
        <v>609</v>
      </c>
      <c r="E11741" t="s">
        <v>610</v>
      </c>
      <c r="F11741" t="s">
        <v>410</v>
      </c>
      <c r="G11741">
        <v>28</v>
      </c>
      <c r="H11741">
        <v>28</v>
      </c>
      <c r="I11741">
        <v>28</v>
      </c>
      <c r="J11741">
        <v>28</v>
      </c>
      <c r="K11741">
        <v>0</v>
      </c>
      <c r="L11741">
        <v>0</v>
      </c>
      <c r="M11741">
        <v>27</v>
      </c>
      <c r="N11741">
        <v>0</v>
      </c>
      <c r="O11741">
        <v>1</v>
      </c>
      <c r="P11741">
        <v>0</v>
      </c>
      <c r="Q11741">
        <v>0</v>
      </c>
    </row>
    <row r="11742" spans="1:17" x14ac:dyDescent="0.2">
      <c r="A11742" s="121">
        <v>43100</v>
      </c>
      <c r="B11742" t="s">
        <v>406</v>
      </c>
      <c r="C11742" t="s">
        <v>577</v>
      </c>
      <c r="D11742" t="s">
        <v>584</v>
      </c>
      <c r="E11742" t="s">
        <v>585</v>
      </c>
      <c r="F11742" t="s">
        <v>410</v>
      </c>
      <c r="G11742">
        <v>321</v>
      </c>
      <c r="H11742">
        <v>321</v>
      </c>
      <c r="I11742">
        <v>320</v>
      </c>
      <c r="J11742">
        <v>320</v>
      </c>
      <c r="K11742">
        <v>0</v>
      </c>
      <c r="L11742">
        <v>0</v>
      </c>
      <c r="M11742">
        <v>299</v>
      </c>
      <c r="N11742">
        <v>20</v>
      </c>
      <c r="O11742">
        <v>2</v>
      </c>
      <c r="P11742">
        <v>0</v>
      </c>
      <c r="Q11742">
        <v>0</v>
      </c>
    </row>
    <row r="11743" spans="1:17" x14ac:dyDescent="0.2">
      <c r="A11743" s="121">
        <v>43100</v>
      </c>
      <c r="B11743" t="s">
        <v>406</v>
      </c>
      <c r="C11743" t="s">
        <v>577</v>
      </c>
      <c r="D11743" t="s">
        <v>586</v>
      </c>
      <c r="E11743" t="s">
        <v>587</v>
      </c>
      <c r="F11743" t="s">
        <v>410</v>
      </c>
      <c r="G11743">
        <v>1339</v>
      </c>
      <c r="H11743">
        <v>1339</v>
      </c>
      <c r="I11743">
        <v>1338</v>
      </c>
      <c r="J11743">
        <v>1338</v>
      </c>
      <c r="K11743">
        <v>0</v>
      </c>
      <c r="L11743">
        <v>1</v>
      </c>
      <c r="M11743">
        <v>1213</v>
      </c>
      <c r="N11743">
        <v>123</v>
      </c>
      <c r="O11743">
        <v>2</v>
      </c>
      <c r="P11743">
        <v>0</v>
      </c>
      <c r="Q11743">
        <v>0</v>
      </c>
    </row>
    <row r="11744" spans="1:17" x14ac:dyDescent="0.2">
      <c r="A11744" s="121">
        <v>43100</v>
      </c>
      <c r="B11744" t="s">
        <v>406</v>
      </c>
      <c r="C11744" t="s">
        <v>577</v>
      </c>
      <c r="D11744" t="s">
        <v>588</v>
      </c>
      <c r="E11744" t="s">
        <v>589</v>
      </c>
      <c r="F11744" t="s">
        <v>410</v>
      </c>
      <c r="G11744">
        <v>219</v>
      </c>
      <c r="H11744">
        <v>219</v>
      </c>
      <c r="I11744">
        <v>219</v>
      </c>
      <c r="J11744">
        <v>219</v>
      </c>
      <c r="K11744">
        <v>0</v>
      </c>
      <c r="L11744">
        <v>0</v>
      </c>
      <c r="M11744">
        <v>207</v>
      </c>
      <c r="N11744">
        <v>12</v>
      </c>
      <c r="O11744">
        <v>0</v>
      </c>
      <c r="P11744">
        <v>0</v>
      </c>
      <c r="Q11744">
        <v>0</v>
      </c>
    </row>
    <row r="11745" spans="1:17" x14ac:dyDescent="0.2">
      <c r="A11745" s="121">
        <v>43100</v>
      </c>
      <c r="B11745" t="s">
        <v>406</v>
      </c>
      <c r="C11745" t="s">
        <v>577</v>
      </c>
      <c r="D11745" t="s">
        <v>613</v>
      </c>
      <c r="E11745" t="s">
        <v>614</v>
      </c>
      <c r="F11745" t="s">
        <v>410</v>
      </c>
      <c r="G11745">
        <v>121</v>
      </c>
      <c r="H11745">
        <v>121</v>
      </c>
      <c r="I11745">
        <v>121</v>
      </c>
      <c r="J11745">
        <v>121</v>
      </c>
      <c r="K11745">
        <v>0</v>
      </c>
      <c r="L11745">
        <v>0</v>
      </c>
      <c r="M11745">
        <v>110</v>
      </c>
      <c r="N11745">
        <v>7</v>
      </c>
      <c r="O11745">
        <v>4</v>
      </c>
      <c r="P11745">
        <v>0</v>
      </c>
      <c r="Q11745">
        <v>0</v>
      </c>
    </row>
    <row r="11746" spans="1:17" x14ac:dyDescent="0.2">
      <c r="A11746" s="121">
        <v>43100</v>
      </c>
      <c r="B11746" t="s">
        <v>406</v>
      </c>
      <c r="C11746" t="s">
        <v>577</v>
      </c>
      <c r="D11746" t="s">
        <v>590</v>
      </c>
      <c r="E11746" t="s">
        <v>591</v>
      </c>
      <c r="F11746" t="s">
        <v>410</v>
      </c>
      <c r="G11746">
        <v>541</v>
      </c>
      <c r="H11746">
        <v>541</v>
      </c>
      <c r="I11746">
        <v>541</v>
      </c>
      <c r="J11746">
        <v>541</v>
      </c>
      <c r="K11746">
        <v>0</v>
      </c>
      <c r="L11746">
        <v>0</v>
      </c>
      <c r="M11746">
        <v>522</v>
      </c>
      <c r="N11746">
        <v>19</v>
      </c>
      <c r="O11746">
        <v>0</v>
      </c>
      <c r="P11746">
        <v>0</v>
      </c>
      <c r="Q11746">
        <v>0</v>
      </c>
    </row>
    <row r="11747" spans="1:17" x14ac:dyDescent="0.2">
      <c r="A11747" s="121">
        <v>43100</v>
      </c>
      <c r="B11747" t="s">
        <v>406</v>
      </c>
      <c r="C11747" t="s">
        <v>577</v>
      </c>
      <c r="D11747" t="s">
        <v>607</v>
      </c>
      <c r="E11747" t="s">
        <v>608</v>
      </c>
      <c r="F11747" t="s">
        <v>410</v>
      </c>
      <c r="G11747">
        <v>136</v>
      </c>
      <c r="H11747">
        <v>136</v>
      </c>
      <c r="I11747">
        <v>136</v>
      </c>
      <c r="J11747">
        <v>136</v>
      </c>
      <c r="K11747">
        <v>0</v>
      </c>
      <c r="L11747">
        <v>0</v>
      </c>
      <c r="M11747">
        <v>122</v>
      </c>
      <c r="N11747">
        <v>14</v>
      </c>
      <c r="O11747">
        <v>0</v>
      </c>
      <c r="P11747">
        <v>0</v>
      </c>
      <c r="Q11747">
        <v>0</v>
      </c>
    </row>
    <row r="11748" spans="1:17" x14ac:dyDescent="0.2">
      <c r="A11748" s="121">
        <v>43100</v>
      </c>
      <c r="B11748" t="s">
        <v>406</v>
      </c>
      <c r="C11748" t="s">
        <v>577</v>
      </c>
      <c r="D11748" t="s">
        <v>592</v>
      </c>
      <c r="E11748" t="s">
        <v>593</v>
      </c>
      <c r="F11748" t="s">
        <v>410</v>
      </c>
      <c r="G11748">
        <v>364</v>
      </c>
      <c r="H11748">
        <v>364</v>
      </c>
      <c r="I11748">
        <v>364</v>
      </c>
      <c r="J11748">
        <v>364</v>
      </c>
      <c r="K11748">
        <v>0</v>
      </c>
      <c r="L11748">
        <v>0</v>
      </c>
      <c r="M11748">
        <v>347</v>
      </c>
      <c r="N11748">
        <v>17</v>
      </c>
      <c r="O11748">
        <v>0</v>
      </c>
      <c r="P11748">
        <v>0</v>
      </c>
      <c r="Q11748">
        <v>0</v>
      </c>
    </row>
    <row r="11749" spans="1:17" x14ac:dyDescent="0.2">
      <c r="A11749" s="121">
        <v>43100</v>
      </c>
      <c r="B11749" t="s">
        <v>406</v>
      </c>
      <c r="C11749" t="s">
        <v>594</v>
      </c>
      <c r="D11749" t="s">
        <v>595</v>
      </c>
      <c r="E11749" t="s">
        <v>596</v>
      </c>
      <c r="F11749" t="s">
        <v>410</v>
      </c>
      <c r="G11749">
        <v>47</v>
      </c>
      <c r="I11749">
        <v>47</v>
      </c>
    </row>
    <row r="11750" spans="1:17" x14ac:dyDescent="0.2">
      <c r="A11750" s="121">
        <v>43100</v>
      </c>
      <c r="B11750" t="s">
        <v>406</v>
      </c>
      <c r="C11750" t="s">
        <v>594</v>
      </c>
      <c r="D11750" t="s">
        <v>597</v>
      </c>
      <c r="E11750" t="s">
        <v>598</v>
      </c>
      <c r="F11750" t="s">
        <v>413</v>
      </c>
      <c r="G11750">
        <v>580</v>
      </c>
      <c r="H11750">
        <v>580</v>
      </c>
      <c r="I11750">
        <v>570</v>
      </c>
      <c r="J11750">
        <v>570</v>
      </c>
      <c r="K11750">
        <v>164</v>
      </c>
      <c r="L11750">
        <v>1</v>
      </c>
      <c r="M11750">
        <v>393</v>
      </c>
      <c r="N11750">
        <v>13</v>
      </c>
      <c r="O11750">
        <v>9</v>
      </c>
      <c r="P11750">
        <v>0</v>
      </c>
      <c r="Q11750">
        <v>0</v>
      </c>
    </row>
    <row r="11751" spans="1:17" x14ac:dyDescent="0.2">
      <c r="A11751" s="121">
        <v>43100</v>
      </c>
      <c r="B11751" t="s">
        <v>406</v>
      </c>
      <c r="C11751" t="s">
        <v>594</v>
      </c>
      <c r="D11751" t="s">
        <v>599</v>
      </c>
      <c r="E11751" t="s">
        <v>600</v>
      </c>
      <c r="F11751" t="s">
        <v>410</v>
      </c>
      <c r="G11751">
        <v>130</v>
      </c>
      <c r="H11751">
        <v>130</v>
      </c>
      <c r="I11751">
        <v>129</v>
      </c>
      <c r="J11751">
        <v>129</v>
      </c>
      <c r="K11751">
        <v>6</v>
      </c>
      <c r="L11751">
        <v>0</v>
      </c>
      <c r="M11751">
        <v>124</v>
      </c>
      <c r="N11751">
        <v>0</v>
      </c>
      <c r="O11751">
        <v>0</v>
      </c>
      <c r="P11751">
        <v>0</v>
      </c>
      <c r="Q11751">
        <v>0</v>
      </c>
    </row>
    <row r="11752" spans="1:17" x14ac:dyDescent="0.2">
      <c r="A11752" s="121">
        <v>43131</v>
      </c>
      <c r="B11752" t="s">
        <v>406</v>
      </c>
      <c r="C11752" t="s">
        <v>407</v>
      </c>
      <c r="D11752" t="s">
        <v>408</v>
      </c>
      <c r="E11752" t="s">
        <v>409</v>
      </c>
      <c r="F11752" t="s">
        <v>410</v>
      </c>
      <c r="G11752">
        <v>182</v>
      </c>
      <c r="I11752">
        <v>180</v>
      </c>
    </row>
    <row r="11753" spans="1:17" x14ac:dyDescent="0.2">
      <c r="A11753" s="121">
        <v>43131</v>
      </c>
      <c r="B11753" t="s">
        <v>406</v>
      </c>
      <c r="C11753" t="s">
        <v>407</v>
      </c>
      <c r="D11753" t="s">
        <v>601</v>
      </c>
      <c r="E11753" t="s">
        <v>602</v>
      </c>
      <c r="F11753" t="s">
        <v>410</v>
      </c>
      <c r="G11753">
        <v>46</v>
      </c>
      <c r="I11753">
        <v>45</v>
      </c>
    </row>
    <row r="11754" spans="1:17" x14ac:dyDescent="0.2">
      <c r="A11754" s="121">
        <v>43131</v>
      </c>
      <c r="B11754" t="s">
        <v>406</v>
      </c>
      <c r="C11754" t="s">
        <v>407</v>
      </c>
      <c r="D11754" t="s">
        <v>411</v>
      </c>
      <c r="E11754" t="s">
        <v>412</v>
      </c>
      <c r="F11754" t="s">
        <v>413</v>
      </c>
      <c r="G11754">
        <v>5422</v>
      </c>
      <c r="H11754">
        <v>5422</v>
      </c>
      <c r="I11754">
        <v>4787</v>
      </c>
      <c r="J11754">
        <v>4787</v>
      </c>
      <c r="K11754">
        <v>1992</v>
      </c>
      <c r="L11754">
        <v>14</v>
      </c>
      <c r="M11754">
        <v>3171</v>
      </c>
      <c r="N11754">
        <v>52</v>
      </c>
      <c r="O11754">
        <v>193</v>
      </c>
      <c r="P11754">
        <v>232</v>
      </c>
      <c r="Q11754">
        <v>66</v>
      </c>
    </row>
    <row r="11755" spans="1:17" x14ac:dyDescent="0.2">
      <c r="A11755" s="121">
        <v>43131</v>
      </c>
      <c r="B11755" t="s">
        <v>406</v>
      </c>
      <c r="C11755" t="s">
        <v>407</v>
      </c>
      <c r="D11755" t="s">
        <v>416</v>
      </c>
      <c r="E11755" t="s">
        <v>417</v>
      </c>
      <c r="F11755" t="s">
        <v>413</v>
      </c>
      <c r="G11755">
        <v>2840</v>
      </c>
      <c r="H11755">
        <v>2840</v>
      </c>
      <c r="I11755">
        <v>2459</v>
      </c>
      <c r="J11755">
        <v>2459</v>
      </c>
      <c r="K11755">
        <v>848</v>
      </c>
      <c r="L11755">
        <v>8</v>
      </c>
      <c r="M11755">
        <v>1874</v>
      </c>
      <c r="N11755">
        <v>81</v>
      </c>
      <c r="O11755">
        <v>29</v>
      </c>
      <c r="P11755">
        <v>151</v>
      </c>
      <c r="Q11755">
        <v>58</v>
      </c>
    </row>
    <row r="11756" spans="1:17" x14ac:dyDescent="0.2">
      <c r="A11756" s="121">
        <v>43131</v>
      </c>
      <c r="B11756" t="s">
        <v>406</v>
      </c>
      <c r="C11756" t="s">
        <v>407</v>
      </c>
      <c r="D11756" t="s">
        <v>618</v>
      </c>
      <c r="E11756" t="s">
        <v>619</v>
      </c>
      <c r="F11756" t="s">
        <v>410</v>
      </c>
      <c r="G11756">
        <v>73</v>
      </c>
      <c r="I11756">
        <v>73</v>
      </c>
    </row>
    <row r="11757" spans="1:17" x14ac:dyDescent="0.2">
      <c r="A11757" s="121">
        <v>43131</v>
      </c>
      <c r="B11757" t="s">
        <v>406</v>
      </c>
      <c r="C11757" t="s">
        <v>418</v>
      </c>
      <c r="D11757" t="s">
        <v>419</v>
      </c>
      <c r="E11757" t="s">
        <v>420</v>
      </c>
      <c r="F11757" t="s">
        <v>410</v>
      </c>
      <c r="G11757">
        <v>7</v>
      </c>
      <c r="I11757">
        <v>7</v>
      </c>
    </row>
    <row r="11758" spans="1:17" x14ac:dyDescent="0.2">
      <c r="A11758" s="121">
        <v>43131</v>
      </c>
      <c r="B11758" t="s">
        <v>406</v>
      </c>
      <c r="C11758" t="s">
        <v>418</v>
      </c>
      <c r="D11758" t="s">
        <v>421</v>
      </c>
      <c r="E11758" t="s">
        <v>422</v>
      </c>
      <c r="F11758" t="s">
        <v>410</v>
      </c>
      <c r="G11758">
        <v>70</v>
      </c>
      <c r="I11758">
        <v>70</v>
      </c>
    </row>
    <row r="11759" spans="1:17" x14ac:dyDescent="0.2">
      <c r="A11759" s="121">
        <v>43131</v>
      </c>
      <c r="B11759" t="s">
        <v>406</v>
      </c>
      <c r="C11759" t="s">
        <v>418</v>
      </c>
      <c r="D11759" t="s">
        <v>423</v>
      </c>
      <c r="E11759" t="s">
        <v>424</v>
      </c>
      <c r="F11759" t="s">
        <v>410</v>
      </c>
      <c r="G11759">
        <v>11</v>
      </c>
      <c r="I11759">
        <v>11</v>
      </c>
    </row>
    <row r="11760" spans="1:17" x14ac:dyDescent="0.2">
      <c r="A11760" s="121">
        <v>43131</v>
      </c>
      <c r="B11760" t="s">
        <v>406</v>
      </c>
      <c r="C11760" t="s">
        <v>418</v>
      </c>
      <c r="D11760" t="s">
        <v>425</v>
      </c>
      <c r="E11760" t="s">
        <v>426</v>
      </c>
      <c r="F11760" t="s">
        <v>410</v>
      </c>
      <c r="G11760">
        <v>56</v>
      </c>
      <c r="I11760">
        <v>56</v>
      </c>
    </row>
    <row r="11761" spans="1:17" x14ac:dyDescent="0.2">
      <c r="A11761" s="121">
        <v>43131</v>
      </c>
      <c r="B11761" t="s">
        <v>406</v>
      </c>
      <c r="C11761" t="s">
        <v>418</v>
      </c>
      <c r="D11761" t="s">
        <v>427</v>
      </c>
      <c r="E11761" t="s">
        <v>428</v>
      </c>
      <c r="F11761" t="s">
        <v>413</v>
      </c>
      <c r="G11761">
        <v>2392</v>
      </c>
      <c r="H11761">
        <v>2392</v>
      </c>
      <c r="I11761">
        <v>2057</v>
      </c>
      <c r="J11761">
        <v>2057</v>
      </c>
      <c r="K11761">
        <v>862</v>
      </c>
      <c r="L11761">
        <v>5</v>
      </c>
      <c r="M11761">
        <v>1354</v>
      </c>
      <c r="N11761">
        <v>165</v>
      </c>
      <c r="O11761">
        <v>6</v>
      </c>
      <c r="P11761">
        <v>44</v>
      </c>
      <c r="Q11761">
        <v>19</v>
      </c>
    </row>
    <row r="11762" spans="1:17" x14ac:dyDescent="0.2">
      <c r="A11762" s="121">
        <v>43131</v>
      </c>
      <c r="B11762" t="s">
        <v>406</v>
      </c>
      <c r="C11762" t="s">
        <v>429</v>
      </c>
      <c r="D11762" t="s">
        <v>430</v>
      </c>
      <c r="E11762" t="s">
        <v>431</v>
      </c>
      <c r="F11762" t="s">
        <v>410</v>
      </c>
      <c r="G11762">
        <v>16</v>
      </c>
      <c r="I11762">
        <v>16</v>
      </c>
    </row>
    <row r="11763" spans="1:17" x14ac:dyDescent="0.2">
      <c r="A11763" s="121">
        <v>43131</v>
      </c>
      <c r="B11763" t="s">
        <v>406</v>
      </c>
      <c r="C11763" t="s">
        <v>429</v>
      </c>
      <c r="D11763" t="s">
        <v>432</v>
      </c>
      <c r="E11763" t="s">
        <v>433</v>
      </c>
      <c r="F11763" t="s">
        <v>410</v>
      </c>
      <c r="G11763">
        <v>35</v>
      </c>
      <c r="I11763">
        <v>35</v>
      </c>
    </row>
    <row r="11764" spans="1:17" x14ac:dyDescent="0.2">
      <c r="A11764" s="121">
        <v>43131</v>
      </c>
      <c r="B11764" t="s">
        <v>406</v>
      </c>
      <c r="C11764" t="s">
        <v>429</v>
      </c>
      <c r="D11764" t="s">
        <v>436</v>
      </c>
      <c r="E11764" t="s">
        <v>437</v>
      </c>
      <c r="F11764" t="s">
        <v>410</v>
      </c>
      <c r="G11764">
        <v>8</v>
      </c>
      <c r="H11764">
        <v>8</v>
      </c>
      <c r="I11764">
        <v>8</v>
      </c>
      <c r="J11764">
        <v>8</v>
      </c>
      <c r="K11764">
        <v>0</v>
      </c>
      <c r="L11764">
        <v>0</v>
      </c>
      <c r="M11764">
        <v>8</v>
      </c>
      <c r="N11764">
        <v>0</v>
      </c>
      <c r="O11764">
        <v>0</v>
      </c>
      <c r="P11764">
        <v>0</v>
      </c>
      <c r="Q11764">
        <v>0</v>
      </c>
    </row>
    <row r="11765" spans="1:17" x14ac:dyDescent="0.2">
      <c r="A11765" s="121">
        <v>43131</v>
      </c>
      <c r="B11765" t="s">
        <v>406</v>
      </c>
      <c r="C11765" t="s">
        <v>429</v>
      </c>
      <c r="D11765" t="s">
        <v>438</v>
      </c>
      <c r="E11765" t="s">
        <v>439</v>
      </c>
      <c r="F11765" t="s">
        <v>413</v>
      </c>
      <c r="G11765">
        <v>967</v>
      </c>
      <c r="H11765">
        <v>967</v>
      </c>
      <c r="I11765">
        <v>875</v>
      </c>
      <c r="J11765">
        <v>875</v>
      </c>
      <c r="K11765">
        <v>77</v>
      </c>
      <c r="L11765">
        <v>5</v>
      </c>
      <c r="M11765">
        <v>784</v>
      </c>
      <c r="N11765">
        <v>74</v>
      </c>
      <c r="O11765">
        <v>27</v>
      </c>
      <c r="P11765">
        <v>16</v>
      </c>
      <c r="Q11765">
        <v>2</v>
      </c>
    </row>
    <row r="11766" spans="1:17" x14ac:dyDescent="0.2">
      <c r="A11766" s="121">
        <v>43131</v>
      </c>
      <c r="B11766" t="s">
        <v>406</v>
      </c>
      <c r="C11766" t="s">
        <v>429</v>
      </c>
      <c r="D11766" t="s">
        <v>440</v>
      </c>
      <c r="E11766" t="s">
        <v>441</v>
      </c>
      <c r="F11766" t="s">
        <v>413</v>
      </c>
      <c r="G11766">
        <v>2686</v>
      </c>
      <c r="H11766">
        <v>2686</v>
      </c>
      <c r="I11766">
        <v>2257</v>
      </c>
      <c r="J11766">
        <v>2257</v>
      </c>
      <c r="K11766">
        <v>902</v>
      </c>
      <c r="L11766">
        <v>3</v>
      </c>
      <c r="M11766">
        <v>1666</v>
      </c>
      <c r="N11766">
        <v>78</v>
      </c>
      <c r="O11766">
        <v>37</v>
      </c>
      <c r="P11766">
        <v>111</v>
      </c>
      <c r="Q11766">
        <v>8</v>
      </c>
    </row>
    <row r="11767" spans="1:17" x14ac:dyDescent="0.2">
      <c r="A11767" s="121">
        <v>43131</v>
      </c>
      <c r="B11767" t="s">
        <v>406</v>
      </c>
      <c r="C11767" t="s">
        <v>442</v>
      </c>
      <c r="D11767" t="s">
        <v>443</v>
      </c>
      <c r="E11767" t="s">
        <v>444</v>
      </c>
      <c r="F11767" t="s">
        <v>413</v>
      </c>
      <c r="G11767">
        <v>5289</v>
      </c>
      <c r="H11767">
        <v>5289</v>
      </c>
      <c r="I11767">
        <v>4738</v>
      </c>
      <c r="J11767">
        <v>4738</v>
      </c>
      <c r="K11767">
        <v>1671</v>
      </c>
      <c r="L11767">
        <v>14</v>
      </c>
      <c r="M11767">
        <v>3406</v>
      </c>
      <c r="N11767">
        <v>137</v>
      </c>
      <c r="O11767">
        <v>61</v>
      </c>
      <c r="P11767">
        <v>83</v>
      </c>
      <c r="Q11767">
        <v>14</v>
      </c>
    </row>
    <row r="11768" spans="1:17" x14ac:dyDescent="0.2">
      <c r="A11768" s="121">
        <v>43131</v>
      </c>
      <c r="B11768" t="s">
        <v>406</v>
      </c>
      <c r="C11768" t="s">
        <v>442</v>
      </c>
      <c r="D11768" t="s">
        <v>445</v>
      </c>
      <c r="E11768" t="s">
        <v>446</v>
      </c>
      <c r="F11768" t="s">
        <v>410</v>
      </c>
      <c r="G11768">
        <v>92</v>
      </c>
      <c r="H11768">
        <v>92</v>
      </c>
      <c r="I11768">
        <v>92</v>
      </c>
      <c r="J11768">
        <v>92</v>
      </c>
      <c r="K11768">
        <v>1</v>
      </c>
      <c r="L11768">
        <v>0</v>
      </c>
      <c r="M11768">
        <v>89</v>
      </c>
      <c r="N11768">
        <v>1</v>
      </c>
      <c r="O11768">
        <v>1</v>
      </c>
      <c r="P11768">
        <v>0</v>
      </c>
      <c r="Q11768">
        <v>0</v>
      </c>
    </row>
    <row r="11769" spans="1:17" x14ac:dyDescent="0.2">
      <c r="A11769" s="121">
        <v>43131</v>
      </c>
      <c r="B11769" t="s">
        <v>406</v>
      </c>
      <c r="C11769" t="s">
        <v>442</v>
      </c>
      <c r="D11769" t="s">
        <v>447</v>
      </c>
      <c r="E11769" t="s">
        <v>448</v>
      </c>
      <c r="F11769" t="s">
        <v>410</v>
      </c>
      <c r="G11769">
        <v>213</v>
      </c>
      <c r="H11769">
        <v>213</v>
      </c>
      <c r="I11769">
        <v>213</v>
      </c>
      <c r="J11769">
        <v>213</v>
      </c>
      <c r="K11769">
        <v>1</v>
      </c>
      <c r="L11769">
        <v>0</v>
      </c>
      <c r="M11769">
        <v>202</v>
      </c>
      <c r="N11769">
        <v>10</v>
      </c>
      <c r="O11769">
        <v>0</v>
      </c>
      <c r="P11769">
        <v>0</v>
      </c>
      <c r="Q11769">
        <v>0</v>
      </c>
    </row>
    <row r="11770" spans="1:17" x14ac:dyDescent="0.2">
      <c r="A11770" s="121">
        <v>43131</v>
      </c>
      <c r="B11770" t="s">
        <v>406</v>
      </c>
      <c r="C11770" t="s">
        <v>442</v>
      </c>
      <c r="D11770" t="s">
        <v>449</v>
      </c>
      <c r="E11770" t="s">
        <v>624</v>
      </c>
      <c r="F11770" t="s">
        <v>410</v>
      </c>
      <c r="G11770">
        <v>1440</v>
      </c>
      <c r="H11770">
        <v>1440</v>
      </c>
      <c r="I11770">
        <v>1439</v>
      </c>
      <c r="J11770">
        <v>1439</v>
      </c>
      <c r="K11770">
        <v>6</v>
      </c>
      <c r="L11770">
        <v>0</v>
      </c>
      <c r="M11770">
        <v>1305</v>
      </c>
      <c r="N11770">
        <v>112</v>
      </c>
      <c r="O11770">
        <v>17</v>
      </c>
      <c r="P11770">
        <v>1</v>
      </c>
      <c r="Q11770">
        <v>0</v>
      </c>
    </row>
    <row r="11771" spans="1:17" x14ac:dyDescent="0.2">
      <c r="A11771" s="121">
        <v>43131</v>
      </c>
      <c r="B11771" t="s">
        <v>406</v>
      </c>
      <c r="C11771" t="s">
        <v>451</v>
      </c>
      <c r="D11771" t="s">
        <v>454</v>
      </c>
      <c r="E11771" t="s">
        <v>621</v>
      </c>
      <c r="F11771" t="s">
        <v>410</v>
      </c>
      <c r="G11771">
        <v>1338</v>
      </c>
      <c r="H11771">
        <v>1338</v>
      </c>
      <c r="I11771">
        <v>1337</v>
      </c>
      <c r="J11771">
        <v>1337</v>
      </c>
      <c r="K11771">
        <v>0</v>
      </c>
      <c r="L11771">
        <v>0</v>
      </c>
      <c r="M11771">
        <v>978</v>
      </c>
      <c r="N11771">
        <v>147</v>
      </c>
      <c r="O11771">
        <v>213</v>
      </c>
      <c r="P11771">
        <v>0</v>
      </c>
      <c r="Q11771">
        <v>0</v>
      </c>
    </row>
    <row r="11772" spans="1:17" x14ac:dyDescent="0.2">
      <c r="A11772" s="121">
        <v>43131</v>
      </c>
      <c r="B11772" t="s">
        <v>406</v>
      </c>
      <c r="C11772" t="s">
        <v>451</v>
      </c>
      <c r="D11772" t="s">
        <v>622</v>
      </c>
      <c r="E11772" t="s">
        <v>623</v>
      </c>
      <c r="F11772" t="s">
        <v>413</v>
      </c>
      <c r="G11772">
        <v>4956</v>
      </c>
      <c r="H11772">
        <v>4956</v>
      </c>
      <c r="I11772">
        <v>3893</v>
      </c>
      <c r="J11772">
        <v>3893</v>
      </c>
      <c r="K11772">
        <v>1529</v>
      </c>
      <c r="L11772">
        <v>4</v>
      </c>
      <c r="M11772">
        <v>2602</v>
      </c>
      <c r="N11772">
        <v>83</v>
      </c>
      <c r="O11772">
        <v>738</v>
      </c>
      <c r="P11772">
        <v>270</v>
      </c>
      <c r="Q11772">
        <v>89</v>
      </c>
    </row>
    <row r="11773" spans="1:17" x14ac:dyDescent="0.2">
      <c r="A11773" s="121">
        <v>43131</v>
      </c>
      <c r="B11773" t="s">
        <v>406</v>
      </c>
      <c r="C11773" t="s">
        <v>456</v>
      </c>
      <c r="D11773" t="s">
        <v>457</v>
      </c>
      <c r="E11773" t="s">
        <v>458</v>
      </c>
      <c r="F11773" t="s">
        <v>413</v>
      </c>
      <c r="G11773">
        <v>4812</v>
      </c>
      <c r="H11773">
        <v>4812</v>
      </c>
      <c r="I11773">
        <v>4021</v>
      </c>
      <c r="J11773">
        <v>4021</v>
      </c>
      <c r="K11773">
        <v>1402</v>
      </c>
      <c r="L11773">
        <v>11</v>
      </c>
      <c r="M11773">
        <v>3057</v>
      </c>
      <c r="N11773">
        <v>20</v>
      </c>
      <c r="O11773">
        <v>322</v>
      </c>
      <c r="P11773">
        <v>79</v>
      </c>
      <c r="Q11773">
        <v>10</v>
      </c>
    </row>
    <row r="11774" spans="1:17" x14ac:dyDescent="0.2">
      <c r="A11774" s="121">
        <v>43131</v>
      </c>
      <c r="B11774" t="s">
        <v>406</v>
      </c>
      <c r="C11774" t="s">
        <v>456</v>
      </c>
      <c r="D11774" t="s">
        <v>459</v>
      </c>
      <c r="E11774" t="s">
        <v>460</v>
      </c>
      <c r="F11774" t="s">
        <v>413</v>
      </c>
      <c r="G11774">
        <v>1158</v>
      </c>
      <c r="H11774">
        <v>1158</v>
      </c>
      <c r="I11774">
        <v>1146</v>
      </c>
      <c r="J11774">
        <v>1146</v>
      </c>
      <c r="K11774">
        <v>113</v>
      </c>
      <c r="L11774">
        <v>0</v>
      </c>
      <c r="M11774">
        <v>983</v>
      </c>
      <c r="N11774">
        <v>0</v>
      </c>
      <c r="O11774">
        <v>62</v>
      </c>
      <c r="P11774">
        <v>0</v>
      </c>
      <c r="Q11774">
        <v>0</v>
      </c>
    </row>
    <row r="11775" spans="1:17" x14ac:dyDescent="0.2">
      <c r="A11775" s="121">
        <v>43131</v>
      </c>
      <c r="B11775" t="s">
        <v>406</v>
      </c>
      <c r="C11775" t="s">
        <v>456</v>
      </c>
      <c r="D11775" t="s">
        <v>461</v>
      </c>
      <c r="E11775" t="s">
        <v>462</v>
      </c>
      <c r="F11775" t="s">
        <v>410</v>
      </c>
      <c r="G11775">
        <v>94</v>
      </c>
      <c r="I11775">
        <v>94</v>
      </c>
    </row>
    <row r="11776" spans="1:17" x14ac:dyDescent="0.2">
      <c r="A11776" s="121">
        <v>43131</v>
      </c>
      <c r="B11776" t="s">
        <v>406</v>
      </c>
      <c r="C11776" t="s">
        <v>456</v>
      </c>
      <c r="D11776" t="s">
        <v>463</v>
      </c>
      <c r="E11776" t="s">
        <v>464</v>
      </c>
      <c r="F11776" t="s">
        <v>410</v>
      </c>
      <c r="G11776">
        <v>9</v>
      </c>
      <c r="I11776">
        <v>9</v>
      </c>
    </row>
    <row r="11777" spans="1:17" x14ac:dyDescent="0.2">
      <c r="A11777" s="121">
        <v>43131</v>
      </c>
      <c r="B11777" t="s">
        <v>406</v>
      </c>
      <c r="C11777" t="s">
        <v>456</v>
      </c>
      <c r="D11777" t="s">
        <v>465</v>
      </c>
      <c r="E11777" t="s">
        <v>466</v>
      </c>
      <c r="F11777" t="s">
        <v>410</v>
      </c>
      <c r="G11777">
        <v>33</v>
      </c>
      <c r="I11777">
        <v>33</v>
      </c>
    </row>
    <row r="11778" spans="1:17" x14ac:dyDescent="0.2">
      <c r="A11778" s="121">
        <v>43131</v>
      </c>
      <c r="B11778" t="s">
        <v>406</v>
      </c>
      <c r="C11778" t="s">
        <v>456</v>
      </c>
      <c r="D11778" t="s">
        <v>467</v>
      </c>
      <c r="E11778" t="s">
        <v>468</v>
      </c>
      <c r="F11778" t="s">
        <v>410</v>
      </c>
      <c r="G11778">
        <v>1372</v>
      </c>
      <c r="I11778">
        <v>1371</v>
      </c>
    </row>
    <row r="11779" spans="1:17" x14ac:dyDescent="0.2">
      <c r="A11779" s="121">
        <v>43131</v>
      </c>
      <c r="B11779" t="s">
        <v>406</v>
      </c>
      <c r="C11779" t="s">
        <v>456</v>
      </c>
      <c r="D11779" t="s">
        <v>469</v>
      </c>
      <c r="E11779" t="s">
        <v>470</v>
      </c>
      <c r="F11779" t="s">
        <v>410</v>
      </c>
      <c r="G11779">
        <v>683</v>
      </c>
      <c r="I11779">
        <v>683</v>
      </c>
    </row>
    <row r="11780" spans="1:17" x14ac:dyDescent="0.2">
      <c r="A11780" s="121">
        <v>43131</v>
      </c>
      <c r="B11780" t="s">
        <v>406</v>
      </c>
      <c r="C11780" t="s">
        <v>456</v>
      </c>
      <c r="D11780" t="s">
        <v>471</v>
      </c>
      <c r="E11780" t="s">
        <v>472</v>
      </c>
      <c r="F11780" t="s">
        <v>410</v>
      </c>
      <c r="G11780">
        <v>242</v>
      </c>
      <c r="I11780">
        <v>238</v>
      </c>
    </row>
    <row r="11781" spans="1:17" x14ac:dyDescent="0.2">
      <c r="A11781" s="121">
        <v>43131</v>
      </c>
      <c r="B11781" t="s">
        <v>406</v>
      </c>
      <c r="C11781" t="s">
        <v>456</v>
      </c>
      <c r="D11781" t="s">
        <v>473</v>
      </c>
      <c r="E11781" t="s">
        <v>474</v>
      </c>
      <c r="F11781" t="s">
        <v>410</v>
      </c>
      <c r="G11781">
        <v>103</v>
      </c>
      <c r="I11781">
        <v>103</v>
      </c>
    </row>
    <row r="11782" spans="1:17" x14ac:dyDescent="0.2">
      <c r="A11782" s="121">
        <v>43131</v>
      </c>
      <c r="B11782" t="s">
        <v>406</v>
      </c>
      <c r="C11782" t="s">
        <v>456</v>
      </c>
      <c r="D11782" t="s">
        <v>475</v>
      </c>
      <c r="E11782" t="s">
        <v>476</v>
      </c>
      <c r="F11782" t="s">
        <v>410</v>
      </c>
      <c r="G11782">
        <v>269</v>
      </c>
      <c r="I11782">
        <v>267</v>
      </c>
    </row>
    <row r="11783" spans="1:17" x14ac:dyDescent="0.2">
      <c r="A11783" s="121">
        <v>43131</v>
      </c>
      <c r="B11783" t="s">
        <v>406</v>
      </c>
      <c r="C11783" t="s">
        <v>456</v>
      </c>
      <c r="D11783" t="s">
        <v>477</v>
      </c>
      <c r="E11783" t="s">
        <v>478</v>
      </c>
      <c r="F11783" t="s">
        <v>413</v>
      </c>
      <c r="G11783">
        <v>1992</v>
      </c>
      <c r="H11783">
        <v>1992</v>
      </c>
      <c r="I11783">
        <v>1929</v>
      </c>
      <c r="J11783">
        <v>1929</v>
      </c>
      <c r="K11783">
        <v>454</v>
      </c>
      <c r="L11783">
        <v>1</v>
      </c>
      <c r="M11783">
        <v>1470</v>
      </c>
      <c r="N11783">
        <v>17</v>
      </c>
      <c r="O11783">
        <v>50</v>
      </c>
      <c r="P11783">
        <v>5</v>
      </c>
      <c r="Q11783">
        <v>0</v>
      </c>
    </row>
    <row r="11784" spans="1:17" x14ac:dyDescent="0.2">
      <c r="A11784" s="121">
        <v>43131</v>
      </c>
      <c r="B11784" t="s">
        <v>406</v>
      </c>
      <c r="C11784" t="s">
        <v>456</v>
      </c>
      <c r="D11784" t="s">
        <v>479</v>
      </c>
      <c r="E11784" t="s">
        <v>480</v>
      </c>
      <c r="F11784" t="s">
        <v>410</v>
      </c>
      <c r="G11784">
        <v>50</v>
      </c>
      <c r="I11784">
        <v>50</v>
      </c>
    </row>
    <row r="11785" spans="1:17" x14ac:dyDescent="0.2">
      <c r="A11785" s="121">
        <v>43131</v>
      </c>
      <c r="B11785" t="s">
        <v>406</v>
      </c>
      <c r="C11785" t="s">
        <v>456</v>
      </c>
      <c r="D11785" t="s">
        <v>481</v>
      </c>
      <c r="E11785" t="s">
        <v>482</v>
      </c>
      <c r="F11785" t="s">
        <v>410</v>
      </c>
      <c r="G11785">
        <v>6</v>
      </c>
      <c r="I11785">
        <v>6</v>
      </c>
    </row>
    <row r="11786" spans="1:17" x14ac:dyDescent="0.2">
      <c r="A11786" s="121">
        <v>43131</v>
      </c>
      <c r="B11786" t="s">
        <v>406</v>
      </c>
      <c r="C11786" t="s">
        <v>456</v>
      </c>
      <c r="D11786" t="s">
        <v>483</v>
      </c>
      <c r="E11786" t="s">
        <v>484</v>
      </c>
      <c r="F11786" t="s">
        <v>410</v>
      </c>
      <c r="G11786">
        <v>84</v>
      </c>
      <c r="I11786">
        <v>84</v>
      </c>
    </row>
    <row r="11787" spans="1:17" x14ac:dyDescent="0.2">
      <c r="A11787" s="121">
        <v>43131</v>
      </c>
      <c r="B11787" t="s">
        <v>406</v>
      </c>
      <c r="C11787" t="s">
        <v>456</v>
      </c>
      <c r="D11787" t="s">
        <v>487</v>
      </c>
      <c r="E11787" t="s">
        <v>488</v>
      </c>
      <c r="F11787" t="s">
        <v>410</v>
      </c>
      <c r="G11787">
        <v>7</v>
      </c>
      <c r="I11787">
        <v>7</v>
      </c>
    </row>
    <row r="11788" spans="1:17" x14ac:dyDescent="0.2">
      <c r="A11788" s="121">
        <v>43131</v>
      </c>
      <c r="B11788" t="s">
        <v>406</v>
      </c>
      <c r="C11788" t="s">
        <v>456</v>
      </c>
      <c r="D11788" t="s">
        <v>489</v>
      </c>
      <c r="E11788" t="s">
        <v>490</v>
      </c>
      <c r="F11788" t="s">
        <v>410</v>
      </c>
      <c r="G11788">
        <v>79</v>
      </c>
      <c r="I11788">
        <v>79</v>
      </c>
    </row>
    <row r="11789" spans="1:17" x14ac:dyDescent="0.2">
      <c r="A11789" s="121">
        <v>43131</v>
      </c>
      <c r="B11789" t="s">
        <v>406</v>
      </c>
      <c r="C11789" t="s">
        <v>456</v>
      </c>
      <c r="D11789" t="s">
        <v>628</v>
      </c>
      <c r="E11789" t="s">
        <v>629</v>
      </c>
      <c r="F11789" t="s">
        <v>410</v>
      </c>
      <c r="G11789">
        <v>50</v>
      </c>
      <c r="I11789">
        <v>50</v>
      </c>
    </row>
    <row r="11790" spans="1:17" x14ac:dyDescent="0.2">
      <c r="A11790" s="121">
        <v>43131</v>
      </c>
      <c r="B11790" t="s">
        <v>406</v>
      </c>
      <c r="C11790" t="s">
        <v>491</v>
      </c>
      <c r="D11790" t="s">
        <v>492</v>
      </c>
      <c r="E11790" t="s">
        <v>493</v>
      </c>
      <c r="F11790" t="s">
        <v>410</v>
      </c>
      <c r="G11790">
        <v>1354</v>
      </c>
      <c r="H11790">
        <v>1354</v>
      </c>
      <c r="I11790">
        <v>1272</v>
      </c>
      <c r="J11790">
        <v>1272</v>
      </c>
      <c r="K11790">
        <v>236</v>
      </c>
      <c r="L11790">
        <v>1</v>
      </c>
      <c r="M11790">
        <v>1042</v>
      </c>
      <c r="N11790">
        <v>65</v>
      </c>
      <c r="O11790">
        <v>10</v>
      </c>
      <c r="P11790">
        <v>8</v>
      </c>
      <c r="Q11790">
        <v>0</v>
      </c>
    </row>
    <row r="11791" spans="1:17" x14ac:dyDescent="0.2">
      <c r="A11791" s="121">
        <v>43131</v>
      </c>
      <c r="B11791" t="s">
        <v>406</v>
      </c>
      <c r="C11791" t="s">
        <v>491</v>
      </c>
      <c r="D11791" t="s">
        <v>494</v>
      </c>
      <c r="E11791" t="s">
        <v>495</v>
      </c>
      <c r="F11791" t="s">
        <v>413</v>
      </c>
      <c r="G11791">
        <v>2628</v>
      </c>
      <c r="H11791">
        <v>2628</v>
      </c>
      <c r="I11791">
        <v>2264</v>
      </c>
      <c r="J11791">
        <v>2264</v>
      </c>
      <c r="K11791">
        <v>805</v>
      </c>
      <c r="L11791">
        <v>5</v>
      </c>
      <c r="M11791">
        <v>1682</v>
      </c>
      <c r="N11791">
        <v>42</v>
      </c>
      <c r="O11791">
        <v>94</v>
      </c>
      <c r="P11791">
        <v>59</v>
      </c>
      <c r="Q11791">
        <v>6</v>
      </c>
    </row>
    <row r="11792" spans="1:17" x14ac:dyDescent="0.2">
      <c r="A11792" s="121">
        <v>43131</v>
      </c>
      <c r="B11792" t="s">
        <v>406</v>
      </c>
      <c r="C11792" t="s">
        <v>491</v>
      </c>
      <c r="D11792" t="s">
        <v>496</v>
      </c>
      <c r="E11792" t="s">
        <v>497</v>
      </c>
      <c r="F11792" t="s">
        <v>413</v>
      </c>
      <c r="G11792">
        <v>5449</v>
      </c>
      <c r="H11792">
        <v>5449</v>
      </c>
      <c r="I11792">
        <v>4408</v>
      </c>
      <c r="J11792">
        <v>4408</v>
      </c>
      <c r="K11792">
        <v>1926</v>
      </c>
      <c r="L11792">
        <v>9</v>
      </c>
      <c r="M11792">
        <v>3263</v>
      </c>
      <c r="N11792">
        <v>116</v>
      </c>
      <c r="O11792">
        <v>135</v>
      </c>
      <c r="P11792">
        <v>260</v>
      </c>
      <c r="Q11792">
        <v>53</v>
      </c>
    </row>
    <row r="11793" spans="1:17" x14ac:dyDescent="0.2">
      <c r="A11793" s="121">
        <v>43131</v>
      </c>
      <c r="B11793" t="s">
        <v>406</v>
      </c>
      <c r="C11793" t="s">
        <v>491</v>
      </c>
      <c r="D11793" t="s">
        <v>498</v>
      </c>
      <c r="E11793" t="s">
        <v>499</v>
      </c>
      <c r="F11793" t="s">
        <v>413</v>
      </c>
      <c r="G11793">
        <v>7336</v>
      </c>
      <c r="H11793">
        <v>7336</v>
      </c>
      <c r="I11793">
        <v>5648</v>
      </c>
      <c r="J11793">
        <v>5648</v>
      </c>
      <c r="K11793">
        <v>2198</v>
      </c>
      <c r="L11793">
        <v>18</v>
      </c>
      <c r="M11793">
        <v>4656</v>
      </c>
      <c r="N11793">
        <v>119</v>
      </c>
      <c r="O11793">
        <v>345</v>
      </c>
      <c r="P11793">
        <v>257</v>
      </c>
      <c r="Q11793">
        <v>67</v>
      </c>
    </row>
    <row r="11794" spans="1:17" x14ac:dyDescent="0.2">
      <c r="A11794" s="121">
        <v>43131</v>
      </c>
      <c r="B11794" t="s">
        <v>406</v>
      </c>
      <c r="C11794" t="s">
        <v>491</v>
      </c>
      <c r="D11794" t="s">
        <v>500</v>
      </c>
      <c r="E11794" t="s">
        <v>620</v>
      </c>
      <c r="F11794" t="s">
        <v>410</v>
      </c>
      <c r="G11794">
        <v>1525</v>
      </c>
      <c r="H11794">
        <v>1525</v>
      </c>
      <c r="I11794">
        <v>1525</v>
      </c>
      <c r="J11794">
        <v>1525</v>
      </c>
      <c r="K11794">
        <v>0</v>
      </c>
      <c r="L11794">
        <v>0</v>
      </c>
      <c r="M11794">
        <v>1419</v>
      </c>
      <c r="N11794">
        <v>92</v>
      </c>
      <c r="O11794">
        <v>14</v>
      </c>
      <c r="P11794">
        <v>0</v>
      </c>
      <c r="Q11794">
        <v>0</v>
      </c>
    </row>
    <row r="11795" spans="1:17" x14ac:dyDescent="0.2">
      <c r="A11795" s="121">
        <v>43131</v>
      </c>
      <c r="B11795" t="s">
        <v>406</v>
      </c>
      <c r="C11795" t="s">
        <v>491</v>
      </c>
      <c r="D11795" t="s">
        <v>502</v>
      </c>
      <c r="E11795" t="s">
        <v>615</v>
      </c>
      <c r="F11795" t="s">
        <v>410</v>
      </c>
      <c r="G11795">
        <v>2518</v>
      </c>
      <c r="H11795">
        <v>2518</v>
      </c>
      <c r="I11795">
        <v>2517</v>
      </c>
      <c r="J11795">
        <v>2517</v>
      </c>
      <c r="K11795">
        <v>0</v>
      </c>
      <c r="L11795">
        <v>0</v>
      </c>
      <c r="M11795">
        <v>2245</v>
      </c>
      <c r="N11795">
        <v>220</v>
      </c>
      <c r="O11795">
        <v>53</v>
      </c>
      <c r="P11795">
        <v>0</v>
      </c>
      <c r="Q11795">
        <v>0</v>
      </c>
    </row>
    <row r="11796" spans="1:17" x14ac:dyDescent="0.2">
      <c r="A11796" s="121">
        <v>43131</v>
      </c>
      <c r="B11796" t="s">
        <v>406</v>
      </c>
      <c r="C11796" t="s">
        <v>491</v>
      </c>
      <c r="D11796" t="s">
        <v>504</v>
      </c>
      <c r="E11796" t="s">
        <v>630</v>
      </c>
      <c r="F11796" t="s">
        <v>413</v>
      </c>
      <c r="G11796">
        <v>7747</v>
      </c>
      <c r="H11796">
        <v>7747</v>
      </c>
      <c r="I11796">
        <v>6137</v>
      </c>
      <c r="J11796">
        <v>6137</v>
      </c>
      <c r="K11796">
        <v>2645</v>
      </c>
      <c r="L11796">
        <v>31</v>
      </c>
      <c r="M11796">
        <v>4735</v>
      </c>
      <c r="N11796">
        <v>144</v>
      </c>
      <c r="O11796">
        <v>192</v>
      </c>
      <c r="P11796">
        <v>297</v>
      </c>
      <c r="Q11796">
        <v>67</v>
      </c>
    </row>
    <row r="11797" spans="1:17" x14ac:dyDescent="0.2">
      <c r="A11797" s="121">
        <v>43131</v>
      </c>
      <c r="B11797" t="s">
        <v>406</v>
      </c>
      <c r="C11797" t="s">
        <v>491</v>
      </c>
      <c r="D11797" t="s">
        <v>506</v>
      </c>
      <c r="E11797" t="s">
        <v>507</v>
      </c>
      <c r="F11797" t="s">
        <v>413</v>
      </c>
      <c r="G11797">
        <v>4769</v>
      </c>
      <c r="H11797">
        <v>4769</v>
      </c>
      <c r="I11797">
        <v>4634</v>
      </c>
      <c r="J11797">
        <v>4634</v>
      </c>
      <c r="K11797">
        <v>1017</v>
      </c>
      <c r="L11797">
        <v>2</v>
      </c>
      <c r="M11797">
        <v>3735</v>
      </c>
      <c r="N11797">
        <v>4</v>
      </c>
      <c r="O11797">
        <v>11</v>
      </c>
      <c r="P11797">
        <v>1</v>
      </c>
      <c r="Q11797">
        <v>0</v>
      </c>
    </row>
    <row r="11798" spans="1:17" x14ac:dyDescent="0.2">
      <c r="A11798" s="121">
        <v>43131</v>
      </c>
      <c r="B11798" t="s">
        <v>406</v>
      </c>
      <c r="C11798" t="s">
        <v>491</v>
      </c>
      <c r="D11798" t="s">
        <v>508</v>
      </c>
      <c r="E11798" t="s">
        <v>631</v>
      </c>
      <c r="F11798" t="s">
        <v>410</v>
      </c>
      <c r="G11798">
        <v>567</v>
      </c>
      <c r="H11798">
        <v>567</v>
      </c>
      <c r="I11798">
        <v>567</v>
      </c>
      <c r="J11798">
        <v>567</v>
      </c>
      <c r="K11798">
        <v>0</v>
      </c>
      <c r="L11798">
        <v>0</v>
      </c>
      <c r="M11798">
        <v>540</v>
      </c>
      <c r="N11798">
        <v>27</v>
      </c>
      <c r="O11798">
        <v>0</v>
      </c>
      <c r="P11798">
        <v>0</v>
      </c>
      <c r="Q11798">
        <v>0</v>
      </c>
    </row>
    <row r="11799" spans="1:17" x14ac:dyDescent="0.2">
      <c r="A11799" s="121">
        <v>43131</v>
      </c>
      <c r="B11799" t="s">
        <v>406</v>
      </c>
      <c r="C11799" t="s">
        <v>510</v>
      </c>
      <c r="D11799" t="s">
        <v>513</v>
      </c>
      <c r="E11799" t="s">
        <v>514</v>
      </c>
      <c r="F11799" t="s">
        <v>410</v>
      </c>
      <c r="G11799">
        <v>665</v>
      </c>
      <c r="I11799">
        <v>664</v>
      </c>
    </row>
    <row r="11800" spans="1:17" x14ac:dyDescent="0.2">
      <c r="A11800" s="121">
        <v>43131</v>
      </c>
      <c r="B11800" t="s">
        <v>406</v>
      </c>
      <c r="C11800" t="s">
        <v>510</v>
      </c>
      <c r="D11800" t="s">
        <v>515</v>
      </c>
      <c r="E11800" t="s">
        <v>516</v>
      </c>
      <c r="F11800" t="s">
        <v>410</v>
      </c>
      <c r="G11800">
        <v>108</v>
      </c>
      <c r="I11800">
        <v>108</v>
      </c>
    </row>
    <row r="11801" spans="1:17" x14ac:dyDescent="0.2">
      <c r="A11801" s="121">
        <v>43131</v>
      </c>
      <c r="B11801" t="s">
        <v>406</v>
      </c>
      <c r="C11801" t="s">
        <v>510</v>
      </c>
      <c r="D11801" t="s">
        <v>519</v>
      </c>
      <c r="E11801" t="s">
        <v>520</v>
      </c>
      <c r="F11801" t="s">
        <v>410</v>
      </c>
      <c r="G11801">
        <v>296</v>
      </c>
      <c r="I11801">
        <v>285</v>
      </c>
    </row>
    <row r="11802" spans="1:17" x14ac:dyDescent="0.2">
      <c r="A11802" s="121">
        <v>43131</v>
      </c>
      <c r="B11802" t="s">
        <v>406</v>
      </c>
      <c r="C11802" t="s">
        <v>510</v>
      </c>
      <c r="D11802" t="s">
        <v>523</v>
      </c>
      <c r="E11802" t="s">
        <v>524</v>
      </c>
      <c r="F11802" t="s">
        <v>413</v>
      </c>
      <c r="G11802">
        <v>590</v>
      </c>
      <c r="H11802">
        <v>590</v>
      </c>
      <c r="I11802">
        <v>572</v>
      </c>
      <c r="J11802">
        <v>572</v>
      </c>
      <c r="K11802">
        <v>175</v>
      </c>
      <c r="L11802">
        <v>3</v>
      </c>
      <c r="M11802">
        <v>397</v>
      </c>
      <c r="N11802">
        <v>15</v>
      </c>
      <c r="O11802">
        <v>0</v>
      </c>
      <c r="P11802">
        <v>0</v>
      </c>
      <c r="Q11802">
        <v>0</v>
      </c>
    </row>
    <row r="11803" spans="1:17" x14ac:dyDescent="0.2">
      <c r="A11803" s="121">
        <v>43131</v>
      </c>
      <c r="B11803" t="s">
        <v>406</v>
      </c>
      <c r="C11803" t="s">
        <v>510</v>
      </c>
      <c r="D11803" t="s">
        <v>525</v>
      </c>
      <c r="E11803" t="s">
        <v>526</v>
      </c>
      <c r="F11803" t="s">
        <v>410</v>
      </c>
      <c r="G11803">
        <v>435</v>
      </c>
      <c r="I11803">
        <v>425</v>
      </c>
    </row>
    <row r="11804" spans="1:17" x14ac:dyDescent="0.2">
      <c r="A11804" s="121">
        <v>43131</v>
      </c>
      <c r="B11804" t="s">
        <v>406</v>
      </c>
      <c r="C11804" t="s">
        <v>510</v>
      </c>
      <c r="D11804" t="s">
        <v>527</v>
      </c>
      <c r="E11804" t="s">
        <v>528</v>
      </c>
      <c r="F11804" t="s">
        <v>410</v>
      </c>
      <c r="G11804">
        <v>155</v>
      </c>
      <c r="I11804">
        <v>154</v>
      </c>
    </row>
    <row r="11805" spans="1:17" x14ac:dyDescent="0.2">
      <c r="A11805" s="121">
        <v>43131</v>
      </c>
      <c r="B11805" t="s">
        <v>406</v>
      </c>
      <c r="C11805" t="s">
        <v>510</v>
      </c>
      <c r="D11805" t="s">
        <v>529</v>
      </c>
      <c r="E11805" t="s">
        <v>530</v>
      </c>
      <c r="F11805" t="s">
        <v>413</v>
      </c>
      <c r="G11805">
        <v>583</v>
      </c>
      <c r="H11805">
        <v>583</v>
      </c>
      <c r="I11805">
        <v>566</v>
      </c>
      <c r="J11805">
        <v>566</v>
      </c>
      <c r="K11805">
        <v>193</v>
      </c>
      <c r="L11805">
        <v>2</v>
      </c>
      <c r="M11805">
        <v>385</v>
      </c>
      <c r="N11805">
        <v>3</v>
      </c>
      <c r="O11805">
        <v>0</v>
      </c>
      <c r="P11805">
        <v>0</v>
      </c>
      <c r="Q11805">
        <v>0</v>
      </c>
    </row>
    <row r="11806" spans="1:17" x14ac:dyDescent="0.2">
      <c r="A11806" s="121">
        <v>43131</v>
      </c>
      <c r="B11806" t="s">
        <v>406</v>
      </c>
      <c r="C11806" t="s">
        <v>510</v>
      </c>
      <c r="D11806" t="s">
        <v>531</v>
      </c>
      <c r="E11806" t="s">
        <v>532</v>
      </c>
      <c r="F11806" t="s">
        <v>410</v>
      </c>
      <c r="G11806">
        <v>34</v>
      </c>
      <c r="I11806">
        <v>34</v>
      </c>
    </row>
    <row r="11807" spans="1:17" x14ac:dyDescent="0.2">
      <c r="A11807" s="121">
        <v>43131</v>
      </c>
      <c r="B11807" t="s">
        <v>406</v>
      </c>
      <c r="C11807" t="s">
        <v>510</v>
      </c>
      <c r="D11807" t="s">
        <v>533</v>
      </c>
      <c r="E11807" t="s">
        <v>534</v>
      </c>
      <c r="F11807" t="s">
        <v>413</v>
      </c>
      <c r="G11807">
        <v>2763</v>
      </c>
      <c r="H11807">
        <v>2763</v>
      </c>
      <c r="I11807">
        <v>2491</v>
      </c>
      <c r="J11807">
        <v>2491</v>
      </c>
      <c r="K11807">
        <v>770</v>
      </c>
      <c r="L11807">
        <v>5</v>
      </c>
      <c r="M11807">
        <v>1972</v>
      </c>
      <c r="N11807">
        <v>16</v>
      </c>
      <c r="O11807">
        <v>0</v>
      </c>
      <c r="P11807">
        <v>17</v>
      </c>
      <c r="Q11807">
        <v>0</v>
      </c>
    </row>
    <row r="11808" spans="1:17" x14ac:dyDescent="0.2">
      <c r="A11808" s="121">
        <v>43131</v>
      </c>
      <c r="B11808" t="s">
        <v>406</v>
      </c>
      <c r="C11808" t="s">
        <v>510</v>
      </c>
      <c r="D11808" t="s">
        <v>535</v>
      </c>
      <c r="E11808" t="s">
        <v>536</v>
      </c>
      <c r="F11808" t="s">
        <v>410</v>
      </c>
      <c r="G11808">
        <v>332</v>
      </c>
      <c r="I11808">
        <v>332</v>
      </c>
    </row>
    <row r="11809" spans="1:17" x14ac:dyDescent="0.2">
      <c r="A11809" s="121">
        <v>43131</v>
      </c>
      <c r="B11809" t="s">
        <v>406</v>
      </c>
      <c r="C11809" t="s">
        <v>510</v>
      </c>
      <c r="D11809" t="s">
        <v>537</v>
      </c>
      <c r="E11809" t="s">
        <v>538</v>
      </c>
      <c r="F11809" t="s">
        <v>410</v>
      </c>
      <c r="G11809">
        <v>42</v>
      </c>
      <c r="I11809">
        <v>42</v>
      </c>
    </row>
    <row r="11810" spans="1:17" x14ac:dyDescent="0.2">
      <c r="A11810" s="121">
        <v>43131</v>
      </c>
      <c r="B11810" t="s">
        <v>406</v>
      </c>
      <c r="C11810" t="s">
        <v>510</v>
      </c>
      <c r="D11810" t="s">
        <v>539</v>
      </c>
      <c r="E11810" t="s">
        <v>540</v>
      </c>
      <c r="F11810" t="s">
        <v>413</v>
      </c>
      <c r="G11810">
        <v>663</v>
      </c>
      <c r="H11810">
        <v>663</v>
      </c>
      <c r="I11810">
        <v>633</v>
      </c>
      <c r="J11810">
        <v>633</v>
      </c>
      <c r="K11810">
        <v>133</v>
      </c>
      <c r="L11810">
        <v>2</v>
      </c>
      <c r="M11810">
        <v>526</v>
      </c>
      <c r="N11810">
        <v>2</v>
      </c>
      <c r="O11810">
        <v>0</v>
      </c>
      <c r="P11810">
        <v>1</v>
      </c>
      <c r="Q11810">
        <v>0</v>
      </c>
    </row>
    <row r="11811" spans="1:17" x14ac:dyDescent="0.2">
      <c r="A11811" s="121">
        <v>43131</v>
      </c>
      <c r="B11811" t="s">
        <v>406</v>
      </c>
      <c r="C11811" t="s">
        <v>510</v>
      </c>
      <c r="D11811" t="s">
        <v>541</v>
      </c>
      <c r="E11811" t="s">
        <v>542</v>
      </c>
      <c r="F11811" t="s">
        <v>410</v>
      </c>
      <c r="G11811">
        <v>362</v>
      </c>
      <c r="I11811">
        <v>362</v>
      </c>
    </row>
    <row r="11812" spans="1:17" x14ac:dyDescent="0.2">
      <c r="A11812" s="121">
        <v>43131</v>
      </c>
      <c r="B11812" t="s">
        <v>406</v>
      </c>
      <c r="C11812" t="s">
        <v>510</v>
      </c>
      <c r="D11812" t="s">
        <v>543</v>
      </c>
      <c r="E11812" t="s">
        <v>544</v>
      </c>
      <c r="F11812" t="s">
        <v>410</v>
      </c>
      <c r="G11812">
        <v>187</v>
      </c>
      <c r="I11812">
        <v>185</v>
      </c>
    </row>
    <row r="11813" spans="1:17" x14ac:dyDescent="0.2">
      <c r="A11813" s="121">
        <v>43131</v>
      </c>
      <c r="B11813" t="s">
        <v>406</v>
      </c>
      <c r="C11813" t="s">
        <v>510</v>
      </c>
      <c r="D11813" t="s">
        <v>545</v>
      </c>
      <c r="E11813" t="s">
        <v>546</v>
      </c>
      <c r="F11813" t="s">
        <v>410</v>
      </c>
      <c r="G11813">
        <v>51</v>
      </c>
      <c r="I11813">
        <v>51</v>
      </c>
    </row>
    <row r="11814" spans="1:17" x14ac:dyDescent="0.2">
      <c r="A11814" s="121">
        <v>43131</v>
      </c>
      <c r="B11814" t="s">
        <v>406</v>
      </c>
      <c r="C11814" t="s">
        <v>510</v>
      </c>
      <c r="D11814" t="s">
        <v>547</v>
      </c>
      <c r="E11814" t="s">
        <v>548</v>
      </c>
      <c r="F11814" t="s">
        <v>410</v>
      </c>
      <c r="G11814">
        <v>123</v>
      </c>
      <c r="I11814">
        <v>123</v>
      </c>
    </row>
    <row r="11815" spans="1:17" x14ac:dyDescent="0.2">
      <c r="A11815" s="121">
        <v>43131</v>
      </c>
      <c r="B11815" t="s">
        <v>406</v>
      </c>
      <c r="C11815" t="s">
        <v>510</v>
      </c>
      <c r="D11815" t="s">
        <v>616</v>
      </c>
      <c r="E11815" t="s">
        <v>617</v>
      </c>
      <c r="F11815" t="s">
        <v>410</v>
      </c>
      <c r="G11815">
        <v>334</v>
      </c>
      <c r="I11815">
        <v>320</v>
      </c>
    </row>
    <row r="11816" spans="1:17" x14ac:dyDescent="0.2">
      <c r="A11816" s="121">
        <v>43131</v>
      </c>
      <c r="B11816" t="s">
        <v>406</v>
      </c>
      <c r="C11816" t="s">
        <v>510</v>
      </c>
      <c r="D11816" t="s">
        <v>549</v>
      </c>
      <c r="E11816" t="s">
        <v>550</v>
      </c>
      <c r="F11816" t="s">
        <v>410</v>
      </c>
      <c r="G11816">
        <v>145</v>
      </c>
      <c r="I11816">
        <v>145</v>
      </c>
    </row>
    <row r="11817" spans="1:17" x14ac:dyDescent="0.2">
      <c r="A11817" s="121">
        <v>43131</v>
      </c>
      <c r="B11817" t="s">
        <v>406</v>
      </c>
      <c r="C11817" t="s">
        <v>510</v>
      </c>
      <c r="D11817" t="s">
        <v>625</v>
      </c>
      <c r="E11817" t="s">
        <v>626</v>
      </c>
      <c r="F11817" t="s">
        <v>410</v>
      </c>
      <c r="G11817">
        <v>69</v>
      </c>
      <c r="I11817">
        <v>69</v>
      </c>
    </row>
    <row r="11818" spans="1:17" x14ac:dyDescent="0.2">
      <c r="A11818" s="121">
        <v>43131</v>
      </c>
      <c r="B11818" t="s">
        <v>406</v>
      </c>
      <c r="C11818" t="s">
        <v>551</v>
      </c>
      <c r="D11818" t="s">
        <v>552</v>
      </c>
      <c r="E11818" t="s">
        <v>553</v>
      </c>
      <c r="F11818" t="s">
        <v>413</v>
      </c>
      <c r="G11818">
        <v>5421</v>
      </c>
      <c r="H11818">
        <v>5421</v>
      </c>
      <c r="I11818">
        <v>5032</v>
      </c>
      <c r="J11818">
        <v>5032</v>
      </c>
      <c r="K11818">
        <v>2041</v>
      </c>
      <c r="L11818">
        <v>11</v>
      </c>
      <c r="M11818">
        <v>3265</v>
      </c>
      <c r="N11818">
        <v>77</v>
      </c>
      <c r="O11818">
        <v>27</v>
      </c>
      <c r="P11818">
        <v>24</v>
      </c>
      <c r="Q11818">
        <v>3</v>
      </c>
    </row>
    <row r="11819" spans="1:17" x14ac:dyDescent="0.2">
      <c r="A11819" s="121">
        <v>43131</v>
      </c>
      <c r="B11819" t="s">
        <v>406</v>
      </c>
      <c r="C11819" t="s">
        <v>551</v>
      </c>
      <c r="D11819" t="s">
        <v>554</v>
      </c>
      <c r="E11819" t="s">
        <v>555</v>
      </c>
      <c r="F11819" t="s">
        <v>410</v>
      </c>
      <c r="G11819">
        <v>56</v>
      </c>
      <c r="I11819">
        <v>56</v>
      </c>
    </row>
    <row r="11820" spans="1:17" x14ac:dyDescent="0.2">
      <c r="A11820" s="121">
        <v>43131</v>
      </c>
      <c r="B11820" t="s">
        <v>406</v>
      </c>
      <c r="C11820" t="s">
        <v>551</v>
      </c>
      <c r="D11820" t="s">
        <v>556</v>
      </c>
      <c r="E11820" t="s">
        <v>557</v>
      </c>
      <c r="F11820" t="s">
        <v>410</v>
      </c>
      <c r="G11820">
        <v>55</v>
      </c>
      <c r="I11820">
        <v>55</v>
      </c>
    </row>
    <row r="11821" spans="1:17" x14ac:dyDescent="0.2">
      <c r="A11821" s="121">
        <v>43131</v>
      </c>
      <c r="B11821" t="s">
        <v>406</v>
      </c>
      <c r="C11821" t="s">
        <v>551</v>
      </c>
      <c r="D11821" t="s">
        <v>558</v>
      </c>
      <c r="E11821" t="s">
        <v>559</v>
      </c>
      <c r="F11821" t="s">
        <v>413</v>
      </c>
      <c r="G11821">
        <v>4992</v>
      </c>
      <c r="H11821">
        <v>4992</v>
      </c>
      <c r="I11821">
        <v>3998</v>
      </c>
      <c r="J11821">
        <v>3998</v>
      </c>
      <c r="K11821">
        <v>1653</v>
      </c>
      <c r="L11821">
        <v>12</v>
      </c>
      <c r="M11821">
        <v>3241</v>
      </c>
      <c r="N11821">
        <v>67</v>
      </c>
      <c r="O11821">
        <v>19</v>
      </c>
      <c r="P11821">
        <v>217</v>
      </c>
      <c r="Q11821">
        <v>95</v>
      </c>
    </row>
    <row r="11822" spans="1:17" x14ac:dyDescent="0.2">
      <c r="A11822" s="121">
        <v>43131</v>
      </c>
      <c r="B11822" t="s">
        <v>406</v>
      </c>
      <c r="C11822" t="s">
        <v>551</v>
      </c>
      <c r="D11822" t="s">
        <v>560</v>
      </c>
      <c r="E11822" t="s">
        <v>561</v>
      </c>
      <c r="F11822" t="s">
        <v>413</v>
      </c>
      <c r="G11822">
        <v>5622</v>
      </c>
      <c r="H11822">
        <v>5622</v>
      </c>
      <c r="I11822">
        <v>4938</v>
      </c>
      <c r="J11822">
        <v>4938</v>
      </c>
      <c r="K11822">
        <v>1894</v>
      </c>
      <c r="L11822">
        <v>12</v>
      </c>
      <c r="M11822">
        <v>3588</v>
      </c>
      <c r="N11822">
        <v>62</v>
      </c>
      <c r="O11822">
        <v>66</v>
      </c>
      <c r="P11822">
        <v>108</v>
      </c>
      <c r="Q11822">
        <v>26</v>
      </c>
    </row>
    <row r="11823" spans="1:17" x14ac:dyDescent="0.2">
      <c r="A11823" s="121">
        <v>43131</v>
      </c>
      <c r="B11823" t="s">
        <v>406</v>
      </c>
      <c r="C11823" t="s">
        <v>562</v>
      </c>
      <c r="D11823" t="s">
        <v>605</v>
      </c>
      <c r="E11823" t="s">
        <v>606</v>
      </c>
      <c r="F11823" t="s">
        <v>410</v>
      </c>
      <c r="G11823">
        <v>118</v>
      </c>
      <c r="I11823">
        <v>118</v>
      </c>
    </row>
    <row r="11824" spans="1:17" x14ac:dyDescent="0.2">
      <c r="A11824" s="121">
        <v>43131</v>
      </c>
      <c r="B11824" t="s">
        <v>406</v>
      </c>
      <c r="C11824" t="s">
        <v>562</v>
      </c>
      <c r="D11824" t="s">
        <v>563</v>
      </c>
      <c r="E11824" t="s">
        <v>564</v>
      </c>
      <c r="F11824" t="s">
        <v>410</v>
      </c>
      <c r="G11824">
        <v>4029</v>
      </c>
      <c r="H11824">
        <v>4029</v>
      </c>
      <c r="I11824">
        <v>2997</v>
      </c>
      <c r="J11824">
        <v>2997</v>
      </c>
      <c r="K11824">
        <v>1146</v>
      </c>
      <c r="L11824">
        <v>0</v>
      </c>
      <c r="M11824">
        <v>2864</v>
      </c>
      <c r="N11824">
        <v>19</v>
      </c>
      <c r="O11824">
        <v>0</v>
      </c>
      <c r="P11824">
        <v>345</v>
      </c>
      <c r="Q11824">
        <v>202</v>
      </c>
    </row>
    <row r="11825" spans="1:17" x14ac:dyDescent="0.2">
      <c r="A11825" s="121">
        <v>43131</v>
      </c>
      <c r="B11825" t="s">
        <v>406</v>
      </c>
      <c r="C11825" t="s">
        <v>562</v>
      </c>
      <c r="D11825" t="s">
        <v>565</v>
      </c>
      <c r="E11825" t="s">
        <v>566</v>
      </c>
      <c r="F11825" t="s">
        <v>413</v>
      </c>
      <c r="G11825">
        <v>4374</v>
      </c>
      <c r="H11825">
        <v>4374</v>
      </c>
      <c r="I11825">
        <v>3665</v>
      </c>
      <c r="J11825">
        <v>3665</v>
      </c>
      <c r="K11825">
        <v>1015</v>
      </c>
      <c r="L11825">
        <v>7</v>
      </c>
      <c r="M11825">
        <v>3267</v>
      </c>
      <c r="N11825">
        <v>85</v>
      </c>
      <c r="O11825">
        <v>0</v>
      </c>
      <c r="P11825">
        <v>117</v>
      </c>
      <c r="Q11825">
        <v>31</v>
      </c>
    </row>
    <row r="11826" spans="1:17" x14ac:dyDescent="0.2">
      <c r="A11826" s="121">
        <v>43131</v>
      </c>
      <c r="B11826" t="s">
        <v>406</v>
      </c>
      <c r="C11826" t="s">
        <v>562</v>
      </c>
      <c r="D11826" t="s">
        <v>567</v>
      </c>
      <c r="E11826" t="s">
        <v>568</v>
      </c>
      <c r="F11826" t="s">
        <v>413</v>
      </c>
      <c r="G11826">
        <v>9587</v>
      </c>
      <c r="H11826">
        <v>9587</v>
      </c>
      <c r="I11826">
        <v>6883</v>
      </c>
      <c r="J11826">
        <v>6883</v>
      </c>
      <c r="K11826">
        <v>2951</v>
      </c>
      <c r="L11826">
        <v>21</v>
      </c>
      <c r="M11826">
        <v>6463</v>
      </c>
      <c r="N11826">
        <v>152</v>
      </c>
      <c r="O11826">
        <v>0</v>
      </c>
      <c r="P11826">
        <v>447</v>
      </c>
      <c r="Q11826">
        <v>151</v>
      </c>
    </row>
    <row r="11827" spans="1:17" x14ac:dyDescent="0.2">
      <c r="A11827" s="121">
        <v>43131</v>
      </c>
      <c r="B11827" t="s">
        <v>406</v>
      </c>
      <c r="C11827" t="s">
        <v>562</v>
      </c>
      <c r="D11827" t="s">
        <v>569</v>
      </c>
      <c r="E11827" t="s">
        <v>570</v>
      </c>
      <c r="F11827" t="s">
        <v>413</v>
      </c>
      <c r="G11827">
        <v>3812</v>
      </c>
      <c r="H11827">
        <v>3812</v>
      </c>
      <c r="I11827">
        <v>3715</v>
      </c>
      <c r="J11827">
        <v>3715</v>
      </c>
      <c r="K11827">
        <v>521</v>
      </c>
      <c r="L11827">
        <v>1</v>
      </c>
      <c r="M11827">
        <v>3290</v>
      </c>
      <c r="N11827">
        <v>0</v>
      </c>
      <c r="O11827">
        <v>0</v>
      </c>
      <c r="P11827">
        <v>0</v>
      </c>
      <c r="Q11827">
        <v>0</v>
      </c>
    </row>
    <row r="11828" spans="1:17" x14ac:dyDescent="0.2">
      <c r="A11828" s="121">
        <v>43131</v>
      </c>
      <c r="B11828" t="s">
        <v>406</v>
      </c>
      <c r="C11828" t="s">
        <v>571</v>
      </c>
      <c r="D11828" t="s">
        <v>572</v>
      </c>
      <c r="E11828" t="s">
        <v>627</v>
      </c>
      <c r="F11828" t="s">
        <v>413</v>
      </c>
      <c r="G11828">
        <v>454</v>
      </c>
      <c r="H11828">
        <v>454</v>
      </c>
      <c r="I11828">
        <v>445</v>
      </c>
      <c r="J11828">
        <v>445</v>
      </c>
      <c r="K11828">
        <v>144</v>
      </c>
      <c r="L11828">
        <v>0</v>
      </c>
      <c r="M11828">
        <v>309</v>
      </c>
      <c r="N11828">
        <v>0</v>
      </c>
      <c r="O11828">
        <v>1</v>
      </c>
      <c r="P11828">
        <v>0</v>
      </c>
      <c r="Q11828">
        <v>0</v>
      </c>
    </row>
    <row r="11829" spans="1:17" x14ac:dyDescent="0.2">
      <c r="A11829" s="121">
        <v>43131</v>
      </c>
      <c r="B11829" t="s">
        <v>406</v>
      </c>
      <c r="C11829" t="s">
        <v>574</v>
      </c>
      <c r="D11829" t="s">
        <v>575</v>
      </c>
      <c r="E11829" t="s">
        <v>576</v>
      </c>
      <c r="F11829" t="s">
        <v>413</v>
      </c>
      <c r="G11829">
        <v>605</v>
      </c>
      <c r="H11829">
        <v>605</v>
      </c>
      <c r="I11829">
        <v>583</v>
      </c>
      <c r="J11829">
        <v>583</v>
      </c>
      <c r="K11829">
        <v>174</v>
      </c>
      <c r="L11829">
        <v>0</v>
      </c>
      <c r="M11829">
        <v>418</v>
      </c>
      <c r="N11829">
        <v>5</v>
      </c>
      <c r="O11829">
        <v>8</v>
      </c>
      <c r="P11829">
        <v>1</v>
      </c>
      <c r="Q11829">
        <v>0</v>
      </c>
    </row>
    <row r="11830" spans="1:17" x14ac:dyDescent="0.2">
      <c r="A11830" s="121">
        <v>43131</v>
      </c>
      <c r="B11830" t="s">
        <v>406</v>
      </c>
      <c r="C11830" t="s">
        <v>577</v>
      </c>
      <c r="D11830" t="s">
        <v>578</v>
      </c>
      <c r="E11830" t="s">
        <v>579</v>
      </c>
      <c r="F11830" t="s">
        <v>413</v>
      </c>
      <c r="G11830">
        <v>3860</v>
      </c>
      <c r="H11830">
        <v>3860</v>
      </c>
      <c r="I11830">
        <v>3663</v>
      </c>
      <c r="J11830">
        <v>3663</v>
      </c>
      <c r="K11830">
        <v>1328</v>
      </c>
      <c r="L11830">
        <v>8</v>
      </c>
      <c r="M11830">
        <v>2256</v>
      </c>
      <c r="N11830">
        <v>211</v>
      </c>
      <c r="O11830">
        <v>57</v>
      </c>
      <c r="P11830">
        <v>18</v>
      </c>
      <c r="Q11830">
        <v>2</v>
      </c>
    </row>
    <row r="11831" spans="1:17" x14ac:dyDescent="0.2">
      <c r="A11831" s="121">
        <v>43131</v>
      </c>
      <c r="B11831" t="s">
        <v>406</v>
      </c>
      <c r="C11831" t="s">
        <v>577</v>
      </c>
      <c r="D11831" t="s">
        <v>580</v>
      </c>
      <c r="E11831" t="s">
        <v>581</v>
      </c>
      <c r="F11831" t="s">
        <v>413</v>
      </c>
      <c r="G11831">
        <v>1835</v>
      </c>
      <c r="H11831">
        <v>1835</v>
      </c>
      <c r="I11831">
        <v>1774</v>
      </c>
      <c r="J11831">
        <v>1774</v>
      </c>
      <c r="K11831">
        <v>360</v>
      </c>
      <c r="L11831">
        <v>1</v>
      </c>
      <c r="M11831">
        <v>1175</v>
      </c>
      <c r="N11831">
        <v>288</v>
      </c>
      <c r="O11831">
        <v>11</v>
      </c>
      <c r="P11831">
        <v>1</v>
      </c>
      <c r="Q11831">
        <v>0</v>
      </c>
    </row>
    <row r="11832" spans="1:17" x14ac:dyDescent="0.2">
      <c r="A11832" s="121">
        <v>43131</v>
      </c>
      <c r="B11832" t="s">
        <v>406</v>
      </c>
      <c r="C11832" t="s">
        <v>577</v>
      </c>
      <c r="D11832" t="s">
        <v>609</v>
      </c>
      <c r="E11832" t="s">
        <v>610</v>
      </c>
      <c r="F11832" t="s">
        <v>410</v>
      </c>
      <c r="G11832">
        <v>29</v>
      </c>
      <c r="H11832">
        <v>29</v>
      </c>
      <c r="I11832">
        <v>29</v>
      </c>
      <c r="J11832">
        <v>29</v>
      </c>
      <c r="K11832">
        <v>0</v>
      </c>
      <c r="L11832">
        <v>0</v>
      </c>
      <c r="M11832">
        <v>27</v>
      </c>
      <c r="N11832">
        <v>2</v>
      </c>
      <c r="O11832">
        <v>0</v>
      </c>
      <c r="P11832">
        <v>0</v>
      </c>
      <c r="Q11832">
        <v>0</v>
      </c>
    </row>
    <row r="11833" spans="1:17" x14ac:dyDescent="0.2">
      <c r="A11833" s="121">
        <v>43131</v>
      </c>
      <c r="B11833" t="s">
        <v>406</v>
      </c>
      <c r="C11833" t="s">
        <v>577</v>
      </c>
      <c r="D11833" t="s">
        <v>584</v>
      </c>
      <c r="E11833" t="s">
        <v>585</v>
      </c>
      <c r="F11833" t="s">
        <v>410</v>
      </c>
      <c r="G11833">
        <v>258</v>
      </c>
      <c r="H11833">
        <v>258</v>
      </c>
      <c r="I11833">
        <v>258</v>
      </c>
      <c r="J11833">
        <v>258</v>
      </c>
      <c r="K11833">
        <v>0</v>
      </c>
      <c r="L11833">
        <v>0</v>
      </c>
      <c r="M11833">
        <v>241</v>
      </c>
      <c r="N11833">
        <v>12</v>
      </c>
      <c r="O11833">
        <v>5</v>
      </c>
      <c r="P11833">
        <v>0</v>
      </c>
      <c r="Q11833">
        <v>0</v>
      </c>
    </row>
    <row r="11834" spans="1:17" x14ac:dyDescent="0.2">
      <c r="A11834" s="121">
        <v>43131</v>
      </c>
      <c r="B11834" t="s">
        <v>406</v>
      </c>
      <c r="C11834" t="s">
        <v>577</v>
      </c>
      <c r="D11834" t="s">
        <v>586</v>
      </c>
      <c r="E11834" t="s">
        <v>587</v>
      </c>
      <c r="F11834" t="s">
        <v>410</v>
      </c>
      <c r="G11834">
        <v>1140</v>
      </c>
      <c r="H11834">
        <v>1140</v>
      </c>
      <c r="I11834">
        <v>1139</v>
      </c>
      <c r="J11834">
        <v>1139</v>
      </c>
      <c r="K11834">
        <v>0</v>
      </c>
      <c r="L11834">
        <v>0</v>
      </c>
      <c r="M11834">
        <v>1039</v>
      </c>
      <c r="N11834">
        <v>100</v>
      </c>
      <c r="O11834">
        <v>1</v>
      </c>
      <c r="P11834">
        <v>0</v>
      </c>
      <c r="Q11834">
        <v>0</v>
      </c>
    </row>
    <row r="11835" spans="1:17" x14ac:dyDescent="0.2">
      <c r="A11835" s="121">
        <v>43131</v>
      </c>
      <c r="B11835" t="s">
        <v>406</v>
      </c>
      <c r="C11835" t="s">
        <v>577</v>
      </c>
      <c r="D11835" t="s">
        <v>588</v>
      </c>
      <c r="E11835" t="s">
        <v>589</v>
      </c>
      <c r="F11835" t="s">
        <v>410</v>
      </c>
      <c r="G11835">
        <v>142</v>
      </c>
      <c r="H11835">
        <v>142</v>
      </c>
      <c r="I11835">
        <v>142</v>
      </c>
      <c r="J11835">
        <v>142</v>
      </c>
      <c r="K11835">
        <v>0</v>
      </c>
      <c r="L11835">
        <v>0</v>
      </c>
      <c r="M11835">
        <v>136</v>
      </c>
      <c r="N11835">
        <v>6</v>
      </c>
      <c r="O11835">
        <v>0</v>
      </c>
      <c r="P11835">
        <v>0</v>
      </c>
      <c r="Q11835">
        <v>0</v>
      </c>
    </row>
    <row r="11836" spans="1:17" x14ac:dyDescent="0.2">
      <c r="A11836" s="121">
        <v>43131</v>
      </c>
      <c r="B11836" t="s">
        <v>406</v>
      </c>
      <c r="C11836" t="s">
        <v>577</v>
      </c>
      <c r="D11836" t="s">
        <v>613</v>
      </c>
      <c r="E11836" t="s">
        <v>614</v>
      </c>
      <c r="F11836" t="s">
        <v>410</v>
      </c>
      <c r="G11836">
        <v>76</v>
      </c>
      <c r="H11836">
        <v>76</v>
      </c>
      <c r="I11836">
        <v>76</v>
      </c>
      <c r="J11836">
        <v>76</v>
      </c>
      <c r="K11836">
        <v>0</v>
      </c>
      <c r="L11836">
        <v>0</v>
      </c>
      <c r="M11836">
        <v>64</v>
      </c>
      <c r="N11836">
        <v>11</v>
      </c>
      <c r="O11836">
        <v>1</v>
      </c>
      <c r="P11836">
        <v>0</v>
      </c>
      <c r="Q11836">
        <v>0</v>
      </c>
    </row>
    <row r="11837" spans="1:17" x14ac:dyDescent="0.2">
      <c r="A11837" s="121">
        <v>43131</v>
      </c>
      <c r="B11837" t="s">
        <v>406</v>
      </c>
      <c r="C11837" t="s">
        <v>577</v>
      </c>
      <c r="D11837" t="s">
        <v>590</v>
      </c>
      <c r="E11837" t="s">
        <v>591</v>
      </c>
      <c r="F11837" t="s">
        <v>410</v>
      </c>
      <c r="G11837">
        <v>432</v>
      </c>
      <c r="H11837">
        <v>432</v>
      </c>
      <c r="I11837">
        <v>432</v>
      </c>
      <c r="J11837">
        <v>432</v>
      </c>
      <c r="K11837">
        <v>0</v>
      </c>
      <c r="L11837">
        <v>0</v>
      </c>
      <c r="M11837">
        <v>420</v>
      </c>
      <c r="N11837">
        <v>12</v>
      </c>
      <c r="O11837">
        <v>0</v>
      </c>
      <c r="P11837">
        <v>0</v>
      </c>
      <c r="Q11837">
        <v>0</v>
      </c>
    </row>
    <row r="11838" spans="1:17" x14ac:dyDescent="0.2">
      <c r="A11838" s="121">
        <v>43131</v>
      </c>
      <c r="B11838" t="s">
        <v>406</v>
      </c>
      <c r="C11838" t="s">
        <v>577</v>
      </c>
      <c r="D11838" t="s">
        <v>607</v>
      </c>
      <c r="E11838" t="s">
        <v>608</v>
      </c>
      <c r="F11838" t="s">
        <v>410</v>
      </c>
      <c r="G11838">
        <v>130</v>
      </c>
      <c r="H11838">
        <v>130</v>
      </c>
      <c r="I11838">
        <v>130</v>
      </c>
      <c r="J11838">
        <v>130</v>
      </c>
      <c r="K11838">
        <v>0</v>
      </c>
      <c r="L11838">
        <v>0</v>
      </c>
      <c r="M11838">
        <v>121</v>
      </c>
      <c r="N11838">
        <v>9</v>
      </c>
      <c r="O11838">
        <v>0</v>
      </c>
      <c r="P11838">
        <v>0</v>
      </c>
      <c r="Q11838">
        <v>0</v>
      </c>
    </row>
    <row r="11839" spans="1:17" x14ac:dyDescent="0.2">
      <c r="A11839" s="121">
        <v>43131</v>
      </c>
      <c r="B11839" t="s">
        <v>406</v>
      </c>
      <c r="C11839" t="s">
        <v>577</v>
      </c>
      <c r="D11839" t="s">
        <v>592</v>
      </c>
      <c r="E11839" t="s">
        <v>593</v>
      </c>
      <c r="F11839" t="s">
        <v>410</v>
      </c>
      <c r="G11839">
        <v>305</v>
      </c>
      <c r="H11839">
        <v>305</v>
      </c>
      <c r="I11839">
        <v>305</v>
      </c>
      <c r="J11839">
        <v>305</v>
      </c>
      <c r="K11839">
        <v>0</v>
      </c>
      <c r="L11839">
        <v>0</v>
      </c>
      <c r="M11839">
        <v>284</v>
      </c>
      <c r="N11839">
        <v>21</v>
      </c>
      <c r="O11839">
        <v>0</v>
      </c>
      <c r="P11839">
        <v>0</v>
      </c>
      <c r="Q11839">
        <v>0</v>
      </c>
    </row>
    <row r="11840" spans="1:17" x14ac:dyDescent="0.2">
      <c r="A11840" s="121">
        <v>43131</v>
      </c>
      <c r="B11840" t="s">
        <v>406</v>
      </c>
      <c r="C11840" t="s">
        <v>594</v>
      </c>
      <c r="D11840" t="s">
        <v>595</v>
      </c>
      <c r="E11840" t="s">
        <v>596</v>
      </c>
      <c r="F11840" t="s">
        <v>410</v>
      </c>
      <c r="G11840">
        <v>40</v>
      </c>
      <c r="I11840">
        <v>40</v>
      </c>
    </row>
    <row r="11841" spans="1:17" x14ac:dyDescent="0.2">
      <c r="A11841" s="121">
        <v>43131</v>
      </c>
      <c r="B11841" t="s">
        <v>406</v>
      </c>
      <c r="C11841" t="s">
        <v>594</v>
      </c>
      <c r="D11841" t="s">
        <v>597</v>
      </c>
      <c r="E11841" t="s">
        <v>598</v>
      </c>
      <c r="F11841" t="s">
        <v>413</v>
      </c>
      <c r="G11841">
        <v>540</v>
      </c>
      <c r="H11841">
        <v>540</v>
      </c>
      <c r="I11841">
        <v>532</v>
      </c>
      <c r="J11841">
        <v>532</v>
      </c>
      <c r="K11841">
        <v>164</v>
      </c>
      <c r="L11841">
        <v>1</v>
      </c>
      <c r="M11841">
        <v>360</v>
      </c>
      <c r="N11841">
        <v>10</v>
      </c>
      <c r="O11841">
        <v>5</v>
      </c>
      <c r="P11841">
        <v>0</v>
      </c>
      <c r="Q11841">
        <v>0</v>
      </c>
    </row>
    <row r="11842" spans="1:17" x14ac:dyDescent="0.2">
      <c r="A11842" s="121">
        <v>43131</v>
      </c>
      <c r="B11842" t="s">
        <v>406</v>
      </c>
      <c r="C11842" t="s">
        <v>594</v>
      </c>
      <c r="D11842" t="s">
        <v>599</v>
      </c>
      <c r="E11842" t="s">
        <v>600</v>
      </c>
      <c r="F11842" t="s">
        <v>410</v>
      </c>
      <c r="G11842">
        <v>117</v>
      </c>
      <c r="H11842">
        <v>117</v>
      </c>
      <c r="I11842">
        <v>117</v>
      </c>
      <c r="J11842">
        <v>117</v>
      </c>
      <c r="K11842">
        <v>14</v>
      </c>
      <c r="L11842">
        <v>0</v>
      </c>
      <c r="M11842">
        <v>101</v>
      </c>
      <c r="N11842">
        <v>2</v>
      </c>
      <c r="O11842">
        <v>0</v>
      </c>
      <c r="P11842">
        <v>0</v>
      </c>
      <c r="Q11842">
        <v>0</v>
      </c>
    </row>
    <row r="11843" spans="1:17" x14ac:dyDescent="0.2">
      <c r="A11843" s="121">
        <v>43159</v>
      </c>
      <c r="B11843" t="s">
        <v>406</v>
      </c>
      <c r="C11843" t="s">
        <v>407</v>
      </c>
      <c r="D11843" t="s">
        <v>408</v>
      </c>
      <c r="E11843" t="s">
        <v>409</v>
      </c>
      <c r="F11843" t="s">
        <v>410</v>
      </c>
      <c r="G11843">
        <v>179</v>
      </c>
      <c r="I11843">
        <v>179</v>
      </c>
    </row>
    <row r="11844" spans="1:17" x14ac:dyDescent="0.2">
      <c r="A11844" s="121">
        <v>43159</v>
      </c>
      <c r="B11844" t="s">
        <v>406</v>
      </c>
      <c r="C11844" t="s">
        <v>407</v>
      </c>
      <c r="D11844" t="s">
        <v>601</v>
      </c>
      <c r="E11844" t="s">
        <v>602</v>
      </c>
      <c r="F11844" t="s">
        <v>410</v>
      </c>
      <c r="G11844">
        <v>36</v>
      </c>
      <c r="I11844">
        <v>35</v>
      </c>
    </row>
    <row r="11845" spans="1:17" x14ac:dyDescent="0.2">
      <c r="A11845" s="121">
        <v>43159</v>
      </c>
      <c r="B11845" t="s">
        <v>406</v>
      </c>
      <c r="C11845" t="s">
        <v>407</v>
      </c>
      <c r="D11845" t="s">
        <v>411</v>
      </c>
      <c r="E11845" t="s">
        <v>412</v>
      </c>
      <c r="F11845" t="s">
        <v>413</v>
      </c>
      <c r="G11845">
        <v>5185</v>
      </c>
      <c r="H11845">
        <v>5185</v>
      </c>
      <c r="I11845">
        <v>4802</v>
      </c>
      <c r="J11845">
        <v>4802</v>
      </c>
      <c r="K11845">
        <v>1909</v>
      </c>
      <c r="L11845">
        <v>13</v>
      </c>
      <c r="M11845">
        <v>3005</v>
      </c>
      <c r="N11845">
        <v>44</v>
      </c>
      <c r="O11845">
        <v>214</v>
      </c>
      <c r="P11845">
        <v>117</v>
      </c>
      <c r="Q11845">
        <v>45</v>
      </c>
    </row>
    <row r="11846" spans="1:17" x14ac:dyDescent="0.2">
      <c r="A11846" s="121">
        <v>43159</v>
      </c>
      <c r="B11846" t="s">
        <v>406</v>
      </c>
      <c r="C11846" t="s">
        <v>407</v>
      </c>
      <c r="D11846" t="s">
        <v>416</v>
      </c>
      <c r="E11846" t="s">
        <v>417</v>
      </c>
      <c r="F11846" t="s">
        <v>413</v>
      </c>
      <c r="G11846">
        <v>2649</v>
      </c>
      <c r="H11846">
        <v>2649</v>
      </c>
      <c r="I11846">
        <v>2527</v>
      </c>
      <c r="J11846">
        <v>2527</v>
      </c>
      <c r="K11846">
        <v>811</v>
      </c>
      <c r="L11846">
        <v>2</v>
      </c>
      <c r="M11846">
        <v>1728</v>
      </c>
      <c r="N11846">
        <v>75</v>
      </c>
      <c r="O11846">
        <v>33</v>
      </c>
      <c r="P11846">
        <v>5</v>
      </c>
      <c r="Q11846">
        <v>0</v>
      </c>
    </row>
    <row r="11847" spans="1:17" x14ac:dyDescent="0.2">
      <c r="A11847" s="121">
        <v>43159</v>
      </c>
      <c r="B11847" t="s">
        <v>406</v>
      </c>
      <c r="C11847" t="s">
        <v>407</v>
      </c>
      <c r="D11847" t="s">
        <v>618</v>
      </c>
      <c r="E11847" t="s">
        <v>619</v>
      </c>
      <c r="F11847" t="s">
        <v>410</v>
      </c>
      <c r="G11847">
        <v>61</v>
      </c>
      <c r="I11847">
        <v>61</v>
      </c>
    </row>
    <row r="11848" spans="1:17" x14ac:dyDescent="0.2">
      <c r="A11848" s="121">
        <v>43159</v>
      </c>
      <c r="B11848" t="s">
        <v>406</v>
      </c>
      <c r="C11848" t="s">
        <v>418</v>
      </c>
      <c r="D11848" t="s">
        <v>419</v>
      </c>
      <c r="E11848" t="s">
        <v>420</v>
      </c>
      <c r="F11848" t="s">
        <v>410</v>
      </c>
      <c r="G11848">
        <v>8</v>
      </c>
      <c r="I11848">
        <v>8</v>
      </c>
    </row>
    <row r="11849" spans="1:17" x14ac:dyDescent="0.2">
      <c r="A11849" s="121">
        <v>43159</v>
      </c>
      <c r="B11849" t="s">
        <v>406</v>
      </c>
      <c r="C11849" t="s">
        <v>418</v>
      </c>
      <c r="D11849" t="s">
        <v>421</v>
      </c>
      <c r="E11849" t="s">
        <v>422</v>
      </c>
      <c r="F11849" t="s">
        <v>410</v>
      </c>
      <c r="G11849">
        <v>52</v>
      </c>
      <c r="I11849">
        <v>52</v>
      </c>
    </row>
    <row r="11850" spans="1:17" x14ac:dyDescent="0.2">
      <c r="A11850" s="121">
        <v>43159</v>
      </c>
      <c r="B11850" t="s">
        <v>406</v>
      </c>
      <c r="C11850" t="s">
        <v>418</v>
      </c>
      <c r="D11850" t="s">
        <v>423</v>
      </c>
      <c r="E11850" t="s">
        <v>424</v>
      </c>
      <c r="F11850" t="s">
        <v>410</v>
      </c>
      <c r="G11850">
        <v>9</v>
      </c>
      <c r="I11850">
        <v>9</v>
      </c>
    </row>
    <row r="11851" spans="1:17" x14ac:dyDescent="0.2">
      <c r="A11851" s="121">
        <v>43159</v>
      </c>
      <c r="B11851" t="s">
        <v>406</v>
      </c>
      <c r="C11851" t="s">
        <v>418</v>
      </c>
      <c r="D11851" t="s">
        <v>425</v>
      </c>
      <c r="E11851" t="s">
        <v>426</v>
      </c>
      <c r="F11851" t="s">
        <v>410</v>
      </c>
      <c r="G11851">
        <v>45</v>
      </c>
      <c r="I11851">
        <v>45</v>
      </c>
    </row>
    <row r="11852" spans="1:17" x14ac:dyDescent="0.2">
      <c r="A11852" s="121">
        <v>43159</v>
      </c>
      <c r="B11852" t="s">
        <v>406</v>
      </c>
      <c r="C11852" t="s">
        <v>418</v>
      </c>
      <c r="D11852" t="s">
        <v>427</v>
      </c>
      <c r="E11852" t="s">
        <v>428</v>
      </c>
      <c r="F11852" t="s">
        <v>413</v>
      </c>
      <c r="G11852">
        <v>2143</v>
      </c>
      <c r="H11852">
        <v>2143</v>
      </c>
      <c r="I11852">
        <v>1959</v>
      </c>
      <c r="J11852">
        <v>1959</v>
      </c>
      <c r="K11852">
        <v>723</v>
      </c>
      <c r="L11852">
        <v>3</v>
      </c>
      <c r="M11852">
        <v>1236</v>
      </c>
      <c r="N11852">
        <v>169</v>
      </c>
      <c r="O11852">
        <v>12</v>
      </c>
      <c r="P11852">
        <v>8</v>
      </c>
      <c r="Q11852">
        <v>1</v>
      </c>
    </row>
    <row r="11853" spans="1:17" x14ac:dyDescent="0.2">
      <c r="A11853" s="121">
        <v>43159</v>
      </c>
      <c r="B11853" t="s">
        <v>406</v>
      </c>
      <c r="C11853" t="s">
        <v>429</v>
      </c>
      <c r="D11853" t="s">
        <v>430</v>
      </c>
      <c r="E11853" t="s">
        <v>431</v>
      </c>
      <c r="F11853" t="s">
        <v>410</v>
      </c>
      <c r="G11853">
        <v>15</v>
      </c>
      <c r="I11853">
        <v>15</v>
      </c>
    </row>
    <row r="11854" spans="1:17" x14ac:dyDescent="0.2">
      <c r="A11854" s="121">
        <v>43159</v>
      </c>
      <c r="B11854" t="s">
        <v>406</v>
      </c>
      <c r="C11854" t="s">
        <v>429</v>
      </c>
      <c r="D11854" t="s">
        <v>432</v>
      </c>
      <c r="E11854" t="s">
        <v>433</v>
      </c>
      <c r="F11854" t="s">
        <v>410</v>
      </c>
      <c r="G11854">
        <v>28</v>
      </c>
      <c r="I11854">
        <v>28</v>
      </c>
    </row>
    <row r="11855" spans="1:17" x14ac:dyDescent="0.2">
      <c r="A11855" s="121">
        <v>43159</v>
      </c>
      <c r="B11855" t="s">
        <v>406</v>
      </c>
      <c r="C11855" t="s">
        <v>429</v>
      </c>
      <c r="D11855" t="s">
        <v>436</v>
      </c>
      <c r="E11855" t="s">
        <v>437</v>
      </c>
      <c r="F11855" t="s">
        <v>410</v>
      </c>
      <c r="G11855">
        <v>20</v>
      </c>
      <c r="H11855">
        <v>20</v>
      </c>
      <c r="I11855">
        <v>20</v>
      </c>
      <c r="J11855">
        <v>20</v>
      </c>
      <c r="K11855">
        <v>0</v>
      </c>
      <c r="L11855">
        <v>0</v>
      </c>
      <c r="M11855">
        <v>19</v>
      </c>
      <c r="N11855">
        <v>1</v>
      </c>
      <c r="O11855">
        <v>0</v>
      </c>
      <c r="P11855">
        <v>0</v>
      </c>
      <c r="Q11855">
        <v>0</v>
      </c>
    </row>
    <row r="11856" spans="1:17" x14ac:dyDescent="0.2">
      <c r="A11856" s="121">
        <v>43159</v>
      </c>
      <c r="B11856" t="s">
        <v>406</v>
      </c>
      <c r="C11856" t="s">
        <v>429</v>
      </c>
      <c r="D11856" t="s">
        <v>438</v>
      </c>
      <c r="E11856" t="s">
        <v>439</v>
      </c>
      <c r="F11856" t="s">
        <v>413</v>
      </c>
      <c r="G11856">
        <v>991</v>
      </c>
      <c r="H11856">
        <v>991</v>
      </c>
      <c r="I11856">
        <v>907</v>
      </c>
      <c r="J11856">
        <v>907</v>
      </c>
      <c r="K11856">
        <v>80</v>
      </c>
      <c r="L11856">
        <v>1</v>
      </c>
      <c r="M11856">
        <v>791</v>
      </c>
      <c r="N11856">
        <v>81</v>
      </c>
      <c r="O11856">
        <v>38</v>
      </c>
      <c r="P11856">
        <v>9</v>
      </c>
      <c r="Q11856">
        <v>0</v>
      </c>
    </row>
    <row r="11857" spans="1:17" x14ac:dyDescent="0.2">
      <c r="A11857" s="121">
        <v>43159</v>
      </c>
      <c r="B11857" t="s">
        <v>406</v>
      </c>
      <c r="C11857" t="s">
        <v>429</v>
      </c>
      <c r="D11857" t="s">
        <v>440</v>
      </c>
      <c r="E11857" t="s">
        <v>441</v>
      </c>
      <c r="F11857" t="s">
        <v>413</v>
      </c>
      <c r="G11857">
        <v>2316</v>
      </c>
      <c r="H11857">
        <v>2316</v>
      </c>
      <c r="I11857">
        <v>2041</v>
      </c>
      <c r="J11857">
        <v>2041</v>
      </c>
      <c r="K11857">
        <v>760</v>
      </c>
      <c r="L11857">
        <v>2</v>
      </c>
      <c r="M11857">
        <v>1469</v>
      </c>
      <c r="N11857">
        <v>48</v>
      </c>
      <c r="O11857">
        <v>37</v>
      </c>
      <c r="P11857">
        <v>35</v>
      </c>
      <c r="Q11857">
        <v>3</v>
      </c>
    </row>
    <row r="11858" spans="1:17" x14ac:dyDescent="0.2">
      <c r="A11858" s="121">
        <v>43159</v>
      </c>
      <c r="B11858" t="s">
        <v>406</v>
      </c>
      <c r="C11858" t="s">
        <v>442</v>
      </c>
      <c r="D11858" t="s">
        <v>443</v>
      </c>
      <c r="E11858" t="s">
        <v>444</v>
      </c>
      <c r="F11858" t="s">
        <v>413</v>
      </c>
      <c r="G11858">
        <v>4766</v>
      </c>
      <c r="H11858">
        <v>4766</v>
      </c>
      <c r="I11858">
        <v>4616</v>
      </c>
      <c r="J11858">
        <v>4616</v>
      </c>
      <c r="K11858">
        <v>1482</v>
      </c>
      <c r="L11858">
        <v>11</v>
      </c>
      <c r="M11858">
        <v>3130</v>
      </c>
      <c r="N11858">
        <v>101</v>
      </c>
      <c r="O11858">
        <v>42</v>
      </c>
      <c r="P11858">
        <v>6</v>
      </c>
      <c r="Q11858">
        <v>0</v>
      </c>
    </row>
    <row r="11859" spans="1:17" x14ac:dyDescent="0.2">
      <c r="A11859" s="121">
        <v>43159</v>
      </c>
      <c r="B11859" t="s">
        <v>406</v>
      </c>
      <c r="C11859" t="s">
        <v>442</v>
      </c>
      <c r="D11859" t="s">
        <v>445</v>
      </c>
      <c r="E11859" t="s">
        <v>446</v>
      </c>
      <c r="F11859" t="s">
        <v>410</v>
      </c>
      <c r="G11859">
        <v>123</v>
      </c>
      <c r="H11859">
        <v>123</v>
      </c>
      <c r="I11859">
        <v>123</v>
      </c>
      <c r="J11859">
        <v>123</v>
      </c>
      <c r="K11859">
        <v>1</v>
      </c>
      <c r="L11859">
        <v>0</v>
      </c>
      <c r="M11859">
        <v>116</v>
      </c>
      <c r="N11859">
        <v>3</v>
      </c>
      <c r="O11859">
        <v>3</v>
      </c>
      <c r="P11859">
        <v>0</v>
      </c>
      <c r="Q11859">
        <v>0</v>
      </c>
    </row>
    <row r="11860" spans="1:17" x14ac:dyDescent="0.2">
      <c r="A11860" s="121">
        <v>43159</v>
      </c>
      <c r="B11860" t="s">
        <v>406</v>
      </c>
      <c r="C11860" t="s">
        <v>442</v>
      </c>
      <c r="D11860" t="s">
        <v>447</v>
      </c>
      <c r="E11860" t="s">
        <v>448</v>
      </c>
      <c r="F11860" t="s">
        <v>410</v>
      </c>
      <c r="G11860">
        <v>256</v>
      </c>
      <c r="H11860">
        <v>256</v>
      </c>
      <c r="I11860">
        <v>256</v>
      </c>
      <c r="J11860">
        <v>256</v>
      </c>
      <c r="K11860">
        <v>0</v>
      </c>
      <c r="L11860">
        <v>0</v>
      </c>
      <c r="M11860">
        <v>248</v>
      </c>
      <c r="N11860">
        <v>8</v>
      </c>
      <c r="O11860">
        <v>0</v>
      </c>
      <c r="P11860">
        <v>0</v>
      </c>
      <c r="Q11860">
        <v>0</v>
      </c>
    </row>
    <row r="11861" spans="1:17" x14ac:dyDescent="0.2">
      <c r="A11861" s="121">
        <v>43159</v>
      </c>
      <c r="B11861" t="s">
        <v>406</v>
      </c>
      <c r="C11861" t="s">
        <v>442</v>
      </c>
      <c r="D11861" t="s">
        <v>449</v>
      </c>
      <c r="E11861" t="s">
        <v>624</v>
      </c>
      <c r="F11861" t="s">
        <v>410</v>
      </c>
      <c r="G11861">
        <v>1446</v>
      </c>
      <c r="H11861">
        <v>1446</v>
      </c>
      <c r="I11861">
        <v>1429</v>
      </c>
      <c r="J11861">
        <v>1429</v>
      </c>
      <c r="K11861">
        <v>12</v>
      </c>
      <c r="L11861">
        <v>0</v>
      </c>
      <c r="M11861">
        <v>1296</v>
      </c>
      <c r="N11861">
        <v>118</v>
      </c>
      <c r="O11861">
        <v>20</v>
      </c>
      <c r="P11861">
        <v>0</v>
      </c>
      <c r="Q11861">
        <v>0</v>
      </c>
    </row>
    <row r="11862" spans="1:17" x14ac:dyDescent="0.2">
      <c r="A11862" s="121">
        <v>43159</v>
      </c>
      <c r="B11862" t="s">
        <v>406</v>
      </c>
      <c r="C11862" t="s">
        <v>451</v>
      </c>
      <c r="D11862" t="s">
        <v>454</v>
      </c>
      <c r="E11862" t="s">
        <v>621</v>
      </c>
      <c r="F11862" t="s">
        <v>410</v>
      </c>
      <c r="G11862">
        <v>1326</v>
      </c>
      <c r="H11862">
        <v>1326</v>
      </c>
      <c r="I11862">
        <v>1325</v>
      </c>
      <c r="J11862">
        <v>1325</v>
      </c>
      <c r="K11862">
        <v>2</v>
      </c>
      <c r="L11862">
        <v>0</v>
      </c>
      <c r="M11862">
        <v>1021</v>
      </c>
      <c r="N11862">
        <v>113</v>
      </c>
      <c r="O11862">
        <v>190</v>
      </c>
      <c r="P11862">
        <v>0</v>
      </c>
      <c r="Q11862">
        <v>0</v>
      </c>
    </row>
    <row r="11863" spans="1:17" x14ac:dyDescent="0.2">
      <c r="A11863" s="121">
        <v>43159</v>
      </c>
      <c r="B11863" t="s">
        <v>406</v>
      </c>
      <c r="C11863" t="s">
        <v>451</v>
      </c>
      <c r="D11863" t="s">
        <v>622</v>
      </c>
      <c r="E11863" t="s">
        <v>623</v>
      </c>
      <c r="F11863" t="s">
        <v>413</v>
      </c>
      <c r="G11863">
        <v>4611</v>
      </c>
      <c r="H11863">
        <v>4611</v>
      </c>
      <c r="I11863">
        <v>3931</v>
      </c>
      <c r="J11863">
        <v>3931</v>
      </c>
      <c r="K11863">
        <v>1403</v>
      </c>
      <c r="L11863">
        <v>12</v>
      </c>
      <c r="M11863">
        <v>2549</v>
      </c>
      <c r="N11863">
        <v>54</v>
      </c>
      <c r="O11863">
        <v>593</v>
      </c>
      <c r="P11863">
        <v>118</v>
      </c>
      <c r="Q11863">
        <v>31</v>
      </c>
    </row>
    <row r="11864" spans="1:17" x14ac:dyDescent="0.2">
      <c r="A11864" s="121">
        <v>43159</v>
      </c>
      <c r="B11864" t="s">
        <v>406</v>
      </c>
      <c r="C11864" t="s">
        <v>456</v>
      </c>
      <c r="D11864" t="s">
        <v>457</v>
      </c>
      <c r="E11864" t="s">
        <v>458</v>
      </c>
      <c r="F11864" t="s">
        <v>413</v>
      </c>
      <c r="G11864">
        <v>4381</v>
      </c>
      <c r="H11864">
        <v>4381</v>
      </c>
      <c r="I11864">
        <v>3821</v>
      </c>
      <c r="J11864">
        <v>3821</v>
      </c>
      <c r="K11864">
        <v>1181</v>
      </c>
      <c r="L11864">
        <v>18</v>
      </c>
      <c r="M11864">
        <v>2921</v>
      </c>
      <c r="N11864">
        <v>25</v>
      </c>
      <c r="O11864">
        <v>236</v>
      </c>
      <c r="P11864">
        <v>28</v>
      </c>
      <c r="Q11864">
        <v>3</v>
      </c>
    </row>
    <row r="11865" spans="1:17" x14ac:dyDescent="0.2">
      <c r="A11865" s="121">
        <v>43159</v>
      </c>
      <c r="B11865" t="s">
        <v>406</v>
      </c>
      <c r="C11865" t="s">
        <v>456</v>
      </c>
      <c r="D11865" t="s">
        <v>459</v>
      </c>
      <c r="E11865" t="s">
        <v>460</v>
      </c>
      <c r="F11865" t="s">
        <v>413</v>
      </c>
      <c r="G11865">
        <v>1149</v>
      </c>
      <c r="H11865">
        <v>1149</v>
      </c>
      <c r="I11865">
        <v>1136</v>
      </c>
      <c r="J11865">
        <v>1136</v>
      </c>
      <c r="K11865">
        <v>118</v>
      </c>
      <c r="L11865">
        <v>0</v>
      </c>
      <c r="M11865">
        <v>978</v>
      </c>
      <c r="N11865">
        <v>0</v>
      </c>
      <c r="O11865">
        <v>53</v>
      </c>
      <c r="P11865">
        <v>0</v>
      </c>
      <c r="Q11865">
        <v>0</v>
      </c>
    </row>
    <row r="11866" spans="1:17" x14ac:dyDescent="0.2">
      <c r="A11866" s="121">
        <v>43159</v>
      </c>
      <c r="B11866" t="s">
        <v>406</v>
      </c>
      <c r="C11866" t="s">
        <v>456</v>
      </c>
      <c r="D11866" t="s">
        <v>461</v>
      </c>
      <c r="E11866" t="s">
        <v>462</v>
      </c>
      <c r="F11866" t="s">
        <v>410</v>
      </c>
      <c r="G11866">
        <v>65</v>
      </c>
      <c r="I11866">
        <v>65</v>
      </c>
    </row>
    <row r="11867" spans="1:17" x14ac:dyDescent="0.2">
      <c r="A11867" s="121">
        <v>43159</v>
      </c>
      <c r="B11867" t="s">
        <v>406</v>
      </c>
      <c r="C11867" t="s">
        <v>456</v>
      </c>
      <c r="D11867" t="s">
        <v>463</v>
      </c>
      <c r="E11867" t="s">
        <v>464</v>
      </c>
      <c r="F11867" t="s">
        <v>410</v>
      </c>
      <c r="G11867">
        <v>7</v>
      </c>
      <c r="I11867">
        <v>7</v>
      </c>
    </row>
    <row r="11868" spans="1:17" x14ac:dyDescent="0.2">
      <c r="A11868" s="121">
        <v>43159</v>
      </c>
      <c r="B11868" t="s">
        <v>406</v>
      </c>
      <c r="C11868" t="s">
        <v>456</v>
      </c>
      <c r="D11868" t="s">
        <v>465</v>
      </c>
      <c r="E11868" t="s">
        <v>466</v>
      </c>
      <c r="F11868" t="s">
        <v>410</v>
      </c>
      <c r="G11868">
        <v>28</v>
      </c>
      <c r="I11868">
        <v>28</v>
      </c>
    </row>
    <row r="11869" spans="1:17" x14ac:dyDescent="0.2">
      <c r="A11869" s="121">
        <v>43159</v>
      </c>
      <c r="B11869" t="s">
        <v>406</v>
      </c>
      <c r="C11869" t="s">
        <v>456</v>
      </c>
      <c r="D11869" t="s">
        <v>467</v>
      </c>
      <c r="E11869" t="s">
        <v>468</v>
      </c>
      <c r="F11869" t="s">
        <v>410</v>
      </c>
      <c r="G11869">
        <v>1196</v>
      </c>
      <c r="I11869">
        <v>1194</v>
      </c>
    </row>
    <row r="11870" spans="1:17" x14ac:dyDescent="0.2">
      <c r="A11870" s="121">
        <v>43159</v>
      </c>
      <c r="B11870" t="s">
        <v>406</v>
      </c>
      <c r="C11870" t="s">
        <v>456</v>
      </c>
      <c r="D11870" t="s">
        <v>469</v>
      </c>
      <c r="E11870" t="s">
        <v>470</v>
      </c>
      <c r="F11870" t="s">
        <v>410</v>
      </c>
      <c r="G11870">
        <v>561</v>
      </c>
      <c r="I11870">
        <v>557</v>
      </c>
    </row>
    <row r="11871" spans="1:17" x14ac:dyDescent="0.2">
      <c r="A11871" s="121">
        <v>43159</v>
      </c>
      <c r="B11871" t="s">
        <v>406</v>
      </c>
      <c r="C11871" t="s">
        <v>456</v>
      </c>
      <c r="D11871" t="s">
        <v>471</v>
      </c>
      <c r="E11871" t="s">
        <v>472</v>
      </c>
      <c r="F11871" t="s">
        <v>410</v>
      </c>
      <c r="G11871">
        <v>197</v>
      </c>
      <c r="I11871">
        <v>194</v>
      </c>
    </row>
    <row r="11872" spans="1:17" x14ac:dyDescent="0.2">
      <c r="A11872" s="121">
        <v>43159</v>
      </c>
      <c r="B11872" t="s">
        <v>406</v>
      </c>
      <c r="C11872" t="s">
        <v>456</v>
      </c>
      <c r="D11872" t="s">
        <v>473</v>
      </c>
      <c r="E11872" t="s">
        <v>474</v>
      </c>
      <c r="F11872" t="s">
        <v>410</v>
      </c>
      <c r="G11872">
        <v>118</v>
      </c>
      <c r="I11872">
        <v>118</v>
      </c>
    </row>
    <row r="11873" spans="1:17" x14ac:dyDescent="0.2">
      <c r="A11873" s="121">
        <v>43159</v>
      </c>
      <c r="B11873" t="s">
        <v>406</v>
      </c>
      <c r="C11873" t="s">
        <v>456</v>
      </c>
      <c r="D11873" t="s">
        <v>475</v>
      </c>
      <c r="E11873" t="s">
        <v>476</v>
      </c>
      <c r="F11873" t="s">
        <v>410</v>
      </c>
      <c r="G11873">
        <v>250</v>
      </c>
      <c r="I11873">
        <v>245</v>
      </c>
    </row>
    <row r="11874" spans="1:17" x14ac:dyDescent="0.2">
      <c r="A11874" s="121">
        <v>43159</v>
      </c>
      <c r="B11874" t="s">
        <v>406</v>
      </c>
      <c r="C11874" t="s">
        <v>456</v>
      </c>
      <c r="D11874" t="s">
        <v>477</v>
      </c>
      <c r="E11874" t="s">
        <v>478</v>
      </c>
      <c r="F11874" t="s">
        <v>413</v>
      </c>
      <c r="G11874">
        <v>1765</v>
      </c>
      <c r="H11874">
        <v>1765</v>
      </c>
      <c r="I11874">
        <v>1705</v>
      </c>
      <c r="J11874">
        <v>1705</v>
      </c>
      <c r="K11874">
        <v>365</v>
      </c>
      <c r="L11874">
        <v>1</v>
      </c>
      <c r="M11874">
        <v>1362</v>
      </c>
      <c r="N11874">
        <v>16</v>
      </c>
      <c r="O11874">
        <v>21</v>
      </c>
      <c r="P11874">
        <v>2</v>
      </c>
      <c r="Q11874">
        <v>0</v>
      </c>
    </row>
    <row r="11875" spans="1:17" x14ac:dyDescent="0.2">
      <c r="A11875" s="121">
        <v>43159</v>
      </c>
      <c r="B11875" t="s">
        <v>406</v>
      </c>
      <c r="C11875" t="s">
        <v>456</v>
      </c>
      <c r="D11875" t="s">
        <v>479</v>
      </c>
      <c r="E11875" t="s">
        <v>480</v>
      </c>
      <c r="F11875" t="s">
        <v>410</v>
      </c>
      <c r="G11875">
        <v>51</v>
      </c>
      <c r="I11875">
        <v>51</v>
      </c>
    </row>
    <row r="11876" spans="1:17" x14ac:dyDescent="0.2">
      <c r="A11876" s="121">
        <v>43159</v>
      </c>
      <c r="B11876" t="s">
        <v>406</v>
      </c>
      <c r="C11876" t="s">
        <v>456</v>
      </c>
      <c r="D11876" t="s">
        <v>481</v>
      </c>
      <c r="E11876" t="s">
        <v>482</v>
      </c>
      <c r="F11876" t="s">
        <v>410</v>
      </c>
      <c r="G11876">
        <v>12</v>
      </c>
      <c r="I11876">
        <v>12</v>
      </c>
    </row>
    <row r="11877" spans="1:17" x14ac:dyDescent="0.2">
      <c r="A11877" s="121">
        <v>43159</v>
      </c>
      <c r="B11877" t="s">
        <v>406</v>
      </c>
      <c r="C11877" t="s">
        <v>456</v>
      </c>
      <c r="D11877" t="s">
        <v>483</v>
      </c>
      <c r="E11877" t="s">
        <v>484</v>
      </c>
      <c r="F11877" t="s">
        <v>410</v>
      </c>
      <c r="G11877">
        <v>80</v>
      </c>
      <c r="I11877">
        <v>80</v>
      </c>
    </row>
    <row r="11878" spans="1:17" x14ac:dyDescent="0.2">
      <c r="A11878" s="121">
        <v>43159</v>
      </c>
      <c r="B11878" t="s">
        <v>406</v>
      </c>
      <c r="C11878" t="s">
        <v>456</v>
      </c>
      <c r="D11878" t="s">
        <v>487</v>
      </c>
      <c r="E11878" t="s">
        <v>488</v>
      </c>
      <c r="F11878" t="s">
        <v>410</v>
      </c>
      <c r="G11878">
        <v>8</v>
      </c>
      <c r="I11878">
        <v>8</v>
      </c>
    </row>
    <row r="11879" spans="1:17" x14ac:dyDescent="0.2">
      <c r="A11879" s="121">
        <v>43159</v>
      </c>
      <c r="B11879" t="s">
        <v>406</v>
      </c>
      <c r="C11879" t="s">
        <v>456</v>
      </c>
      <c r="D11879" t="s">
        <v>489</v>
      </c>
      <c r="E11879" t="s">
        <v>490</v>
      </c>
      <c r="F11879" t="s">
        <v>410</v>
      </c>
      <c r="G11879">
        <v>54</v>
      </c>
      <c r="I11879">
        <v>54</v>
      </c>
    </row>
    <row r="11880" spans="1:17" x14ac:dyDescent="0.2">
      <c r="A11880" s="121">
        <v>43159</v>
      </c>
      <c r="B11880" t="s">
        <v>406</v>
      </c>
      <c r="C11880" t="s">
        <v>456</v>
      </c>
      <c r="D11880" t="s">
        <v>628</v>
      </c>
      <c r="E11880" t="s">
        <v>629</v>
      </c>
      <c r="F11880" t="s">
        <v>410</v>
      </c>
      <c r="G11880">
        <v>39</v>
      </c>
      <c r="I11880">
        <v>39</v>
      </c>
    </row>
    <row r="11881" spans="1:17" x14ac:dyDescent="0.2">
      <c r="A11881" s="121">
        <v>43159</v>
      </c>
      <c r="B11881" t="s">
        <v>406</v>
      </c>
      <c r="C11881" t="s">
        <v>491</v>
      </c>
      <c r="D11881" t="s">
        <v>492</v>
      </c>
      <c r="E11881" t="s">
        <v>493</v>
      </c>
      <c r="F11881" t="s">
        <v>410</v>
      </c>
      <c r="G11881">
        <v>1278</v>
      </c>
      <c r="H11881">
        <v>1278</v>
      </c>
      <c r="I11881">
        <v>1227</v>
      </c>
      <c r="J11881">
        <v>1227</v>
      </c>
      <c r="K11881">
        <v>189</v>
      </c>
      <c r="L11881">
        <v>0</v>
      </c>
      <c r="M11881">
        <v>1008</v>
      </c>
      <c r="N11881">
        <v>66</v>
      </c>
      <c r="O11881">
        <v>15</v>
      </c>
      <c r="P11881">
        <v>3</v>
      </c>
      <c r="Q11881">
        <v>0</v>
      </c>
    </row>
    <row r="11882" spans="1:17" x14ac:dyDescent="0.2">
      <c r="A11882" s="121">
        <v>43159</v>
      </c>
      <c r="B11882" t="s">
        <v>406</v>
      </c>
      <c r="C11882" t="s">
        <v>491</v>
      </c>
      <c r="D11882" t="s">
        <v>494</v>
      </c>
      <c r="E11882" t="s">
        <v>495</v>
      </c>
      <c r="F11882" t="s">
        <v>413</v>
      </c>
      <c r="G11882">
        <v>2401</v>
      </c>
      <c r="H11882">
        <v>2401</v>
      </c>
      <c r="I11882">
        <v>2162</v>
      </c>
      <c r="J11882">
        <v>2162</v>
      </c>
      <c r="K11882">
        <v>690</v>
      </c>
      <c r="L11882">
        <v>5</v>
      </c>
      <c r="M11882">
        <v>1575</v>
      </c>
      <c r="N11882">
        <v>36</v>
      </c>
      <c r="O11882">
        <v>95</v>
      </c>
      <c r="P11882">
        <v>10</v>
      </c>
      <c r="Q11882">
        <v>1</v>
      </c>
    </row>
    <row r="11883" spans="1:17" x14ac:dyDescent="0.2">
      <c r="A11883" s="121">
        <v>43159</v>
      </c>
      <c r="B11883" t="s">
        <v>406</v>
      </c>
      <c r="C11883" t="s">
        <v>491</v>
      </c>
      <c r="D11883" t="s">
        <v>496</v>
      </c>
      <c r="E11883" t="s">
        <v>497</v>
      </c>
      <c r="F11883" t="s">
        <v>413</v>
      </c>
      <c r="G11883">
        <v>4950</v>
      </c>
      <c r="H11883">
        <v>4950</v>
      </c>
      <c r="I11883">
        <v>4100</v>
      </c>
      <c r="J11883">
        <v>4100</v>
      </c>
      <c r="K11883">
        <v>1650</v>
      </c>
      <c r="L11883">
        <v>11</v>
      </c>
      <c r="M11883">
        <v>3061</v>
      </c>
      <c r="N11883">
        <v>97</v>
      </c>
      <c r="O11883">
        <v>131</v>
      </c>
      <c r="P11883">
        <v>120</v>
      </c>
      <c r="Q11883">
        <v>0</v>
      </c>
    </row>
    <row r="11884" spans="1:17" x14ac:dyDescent="0.2">
      <c r="A11884" s="121">
        <v>43159</v>
      </c>
      <c r="B11884" t="s">
        <v>406</v>
      </c>
      <c r="C11884" t="s">
        <v>491</v>
      </c>
      <c r="D11884" t="s">
        <v>498</v>
      </c>
      <c r="E11884" t="s">
        <v>499</v>
      </c>
      <c r="F11884" t="s">
        <v>413</v>
      </c>
      <c r="G11884">
        <v>6884</v>
      </c>
      <c r="H11884">
        <v>6884</v>
      </c>
      <c r="I11884">
        <v>5869</v>
      </c>
      <c r="J11884">
        <v>5869</v>
      </c>
      <c r="K11884">
        <v>2070</v>
      </c>
      <c r="L11884">
        <v>17</v>
      </c>
      <c r="M11884">
        <v>4368</v>
      </c>
      <c r="N11884">
        <v>106</v>
      </c>
      <c r="O11884">
        <v>323</v>
      </c>
      <c r="P11884">
        <v>48</v>
      </c>
      <c r="Q11884">
        <v>0</v>
      </c>
    </row>
    <row r="11885" spans="1:17" x14ac:dyDescent="0.2">
      <c r="A11885" s="121">
        <v>43159</v>
      </c>
      <c r="B11885" t="s">
        <v>406</v>
      </c>
      <c r="C11885" t="s">
        <v>491</v>
      </c>
      <c r="D11885" t="s">
        <v>500</v>
      </c>
      <c r="E11885" t="s">
        <v>620</v>
      </c>
      <c r="F11885" t="s">
        <v>410</v>
      </c>
      <c r="G11885">
        <v>1450</v>
      </c>
      <c r="H11885">
        <v>1450</v>
      </c>
      <c r="I11885">
        <v>1449</v>
      </c>
      <c r="J11885">
        <v>1449</v>
      </c>
      <c r="K11885">
        <v>0</v>
      </c>
      <c r="L11885">
        <v>1</v>
      </c>
      <c r="M11885">
        <v>1337</v>
      </c>
      <c r="N11885">
        <v>92</v>
      </c>
      <c r="O11885">
        <v>20</v>
      </c>
      <c r="P11885">
        <v>0</v>
      </c>
      <c r="Q11885">
        <v>0</v>
      </c>
    </row>
    <row r="11886" spans="1:17" x14ac:dyDescent="0.2">
      <c r="A11886" s="121">
        <v>43159</v>
      </c>
      <c r="B11886" t="s">
        <v>406</v>
      </c>
      <c r="C11886" t="s">
        <v>491</v>
      </c>
      <c r="D11886" t="s">
        <v>502</v>
      </c>
      <c r="E11886" t="s">
        <v>615</v>
      </c>
      <c r="F11886" t="s">
        <v>410</v>
      </c>
      <c r="G11886">
        <v>2514</v>
      </c>
      <c r="H11886">
        <v>2514</v>
      </c>
      <c r="I11886">
        <v>2514</v>
      </c>
      <c r="J11886">
        <v>2514</v>
      </c>
      <c r="K11886">
        <v>0</v>
      </c>
      <c r="L11886">
        <v>0</v>
      </c>
      <c r="M11886">
        <v>2248</v>
      </c>
      <c r="N11886">
        <v>201</v>
      </c>
      <c r="O11886">
        <v>65</v>
      </c>
      <c r="P11886">
        <v>0</v>
      </c>
      <c r="Q11886">
        <v>0</v>
      </c>
    </row>
    <row r="11887" spans="1:17" x14ac:dyDescent="0.2">
      <c r="A11887" s="121">
        <v>43159</v>
      </c>
      <c r="B11887" t="s">
        <v>406</v>
      </c>
      <c r="C11887" t="s">
        <v>491</v>
      </c>
      <c r="D11887" t="s">
        <v>504</v>
      </c>
      <c r="E11887" t="s">
        <v>630</v>
      </c>
      <c r="F11887" t="s">
        <v>413</v>
      </c>
      <c r="G11887">
        <v>7312</v>
      </c>
      <c r="H11887">
        <v>7312</v>
      </c>
      <c r="I11887">
        <v>5975</v>
      </c>
      <c r="J11887">
        <v>5975</v>
      </c>
      <c r="K11887">
        <v>2468</v>
      </c>
      <c r="L11887">
        <v>18</v>
      </c>
      <c r="M11887">
        <v>4539</v>
      </c>
      <c r="N11887">
        <v>105</v>
      </c>
      <c r="O11887">
        <v>182</v>
      </c>
      <c r="P11887">
        <v>97</v>
      </c>
      <c r="Q11887">
        <v>0</v>
      </c>
    </row>
    <row r="11888" spans="1:17" x14ac:dyDescent="0.2">
      <c r="A11888" s="121">
        <v>43159</v>
      </c>
      <c r="B11888" t="s">
        <v>406</v>
      </c>
      <c r="C11888" t="s">
        <v>491</v>
      </c>
      <c r="D11888" t="s">
        <v>506</v>
      </c>
      <c r="E11888" t="s">
        <v>507</v>
      </c>
      <c r="F11888" t="s">
        <v>413</v>
      </c>
      <c r="G11888">
        <v>5137</v>
      </c>
      <c r="H11888">
        <v>5137</v>
      </c>
      <c r="I11888">
        <v>4831</v>
      </c>
      <c r="J11888">
        <v>4831</v>
      </c>
      <c r="K11888">
        <v>1081</v>
      </c>
      <c r="L11888">
        <v>3</v>
      </c>
      <c r="M11888">
        <v>4016</v>
      </c>
      <c r="N11888">
        <v>4</v>
      </c>
      <c r="O11888">
        <v>33</v>
      </c>
      <c r="P11888">
        <v>1</v>
      </c>
      <c r="Q11888">
        <v>0</v>
      </c>
    </row>
    <row r="11889" spans="1:17" x14ac:dyDescent="0.2">
      <c r="A11889" s="121">
        <v>43159</v>
      </c>
      <c r="B11889" t="s">
        <v>406</v>
      </c>
      <c r="C11889" t="s">
        <v>491</v>
      </c>
      <c r="D11889" t="s">
        <v>508</v>
      </c>
      <c r="E11889" t="s">
        <v>631</v>
      </c>
      <c r="F11889" t="s">
        <v>410</v>
      </c>
      <c r="G11889">
        <v>520</v>
      </c>
      <c r="H11889">
        <v>520</v>
      </c>
      <c r="I11889">
        <v>520</v>
      </c>
      <c r="J11889">
        <v>520</v>
      </c>
      <c r="K11889">
        <v>0</v>
      </c>
      <c r="L11889">
        <v>0</v>
      </c>
      <c r="M11889">
        <v>493</v>
      </c>
      <c r="N11889">
        <v>26</v>
      </c>
      <c r="O11889">
        <v>1</v>
      </c>
      <c r="P11889">
        <v>0</v>
      </c>
      <c r="Q11889">
        <v>0</v>
      </c>
    </row>
    <row r="11890" spans="1:17" x14ac:dyDescent="0.2">
      <c r="A11890" s="121">
        <v>43159</v>
      </c>
      <c r="B11890" t="s">
        <v>406</v>
      </c>
      <c r="C11890" t="s">
        <v>510</v>
      </c>
      <c r="D11890" t="s">
        <v>513</v>
      </c>
      <c r="E11890" t="s">
        <v>514</v>
      </c>
      <c r="F11890" t="s">
        <v>410</v>
      </c>
      <c r="G11890">
        <v>643</v>
      </c>
      <c r="I11890">
        <v>640</v>
      </c>
    </row>
    <row r="11891" spans="1:17" x14ac:dyDescent="0.2">
      <c r="A11891" s="121">
        <v>43159</v>
      </c>
      <c r="B11891" t="s">
        <v>406</v>
      </c>
      <c r="C11891" t="s">
        <v>510</v>
      </c>
      <c r="D11891" t="s">
        <v>515</v>
      </c>
      <c r="E11891" t="s">
        <v>516</v>
      </c>
      <c r="F11891" t="s">
        <v>410</v>
      </c>
      <c r="G11891">
        <v>94</v>
      </c>
      <c r="I11891">
        <v>94</v>
      </c>
    </row>
    <row r="11892" spans="1:17" x14ac:dyDescent="0.2">
      <c r="A11892" s="121">
        <v>43159</v>
      </c>
      <c r="B11892" t="s">
        <v>406</v>
      </c>
      <c r="C11892" t="s">
        <v>510</v>
      </c>
      <c r="D11892" t="s">
        <v>519</v>
      </c>
      <c r="E11892" t="s">
        <v>520</v>
      </c>
      <c r="F11892" t="s">
        <v>410</v>
      </c>
      <c r="G11892">
        <v>259</v>
      </c>
      <c r="I11892">
        <v>256</v>
      </c>
    </row>
    <row r="11893" spans="1:17" x14ac:dyDescent="0.2">
      <c r="A11893" s="121">
        <v>43159</v>
      </c>
      <c r="B11893" t="s">
        <v>406</v>
      </c>
      <c r="C11893" t="s">
        <v>510</v>
      </c>
      <c r="D11893" t="s">
        <v>523</v>
      </c>
      <c r="E11893" t="s">
        <v>524</v>
      </c>
      <c r="F11893" t="s">
        <v>413</v>
      </c>
      <c r="G11893">
        <v>532</v>
      </c>
      <c r="H11893">
        <v>532</v>
      </c>
      <c r="I11893">
        <v>518</v>
      </c>
      <c r="J11893">
        <v>518</v>
      </c>
      <c r="K11893">
        <v>141</v>
      </c>
      <c r="L11893">
        <v>0</v>
      </c>
      <c r="M11893">
        <v>381</v>
      </c>
      <c r="N11893">
        <v>10</v>
      </c>
      <c r="O11893">
        <v>0</v>
      </c>
      <c r="P11893">
        <v>2</v>
      </c>
      <c r="Q11893">
        <v>0</v>
      </c>
    </row>
    <row r="11894" spans="1:17" x14ac:dyDescent="0.2">
      <c r="A11894" s="121">
        <v>43159</v>
      </c>
      <c r="B11894" t="s">
        <v>406</v>
      </c>
      <c r="C11894" t="s">
        <v>510</v>
      </c>
      <c r="D11894" t="s">
        <v>525</v>
      </c>
      <c r="E11894" t="s">
        <v>526</v>
      </c>
      <c r="F11894" t="s">
        <v>410</v>
      </c>
      <c r="G11894">
        <v>416</v>
      </c>
      <c r="I11894">
        <v>413</v>
      </c>
    </row>
    <row r="11895" spans="1:17" x14ac:dyDescent="0.2">
      <c r="A11895" s="121">
        <v>43159</v>
      </c>
      <c r="B11895" t="s">
        <v>406</v>
      </c>
      <c r="C11895" t="s">
        <v>510</v>
      </c>
      <c r="D11895" t="s">
        <v>527</v>
      </c>
      <c r="E11895" t="s">
        <v>528</v>
      </c>
      <c r="F11895" t="s">
        <v>410</v>
      </c>
      <c r="G11895">
        <v>151</v>
      </c>
      <c r="I11895">
        <v>151</v>
      </c>
    </row>
    <row r="11896" spans="1:17" x14ac:dyDescent="0.2">
      <c r="A11896" s="121">
        <v>43159</v>
      </c>
      <c r="B11896" t="s">
        <v>406</v>
      </c>
      <c r="C11896" t="s">
        <v>510</v>
      </c>
      <c r="D11896" t="s">
        <v>529</v>
      </c>
      <c r="E11896" t="s">
        <v>530</v>
      </c>
      <c r="F11896" t="s">
        <v>413</v>
      </c>
      <c r="G11896">
        <v>530</v>
      </c>
      <c r="H11896">
        <v>530</v>
      </c>
      <c r="I11896">
        <v>513</v>
      </c>
      <c r="J11896">
        <v>513</v>
      </c>
      <c r="K11896">
        <v>173</v>
      </c>
      <c r="L11896">
        <v>1</v>
      </c>
      <c r="M11896">
        <v>353</v>
      </c>
      <c r="N11896">
        <v>3</v>
      </c>
      <c r="O11896">
        <v>0</v>
      </c>
      <c r="P11896">
        <v>2</v>
      </c>
      <c r="Q11896">
        <v>0</v>
      </c>
    </row>
    <row r="11897" spans="1:17" x14ac:dyDescent="0.2">
      <c r="A11897" s="121">
        <v>43159</v>
      </c>
      <c r="B11897" t="s">
        <v>406</v>
      </c>
      <c r="C11897" t="s">
        <v>510</v>
      </c>
      <c r="D11897" t="s">
        <v>531</v>
      </c>
      <c r="E11897" t="s">
        <v>532</v>
      </c>
      <c r="F11897" t="s">
        <v>410</v>
      </c>
      <c r="G11897">
        <v>46</v>
      </c>
      <c r="I11897">
        <v>46</v>
      </c>
    </row>
    <row r="11898" spans="1:17" x14ac:dyDescent="0.2">
      <c r="A11898" s="121">
        <v>43159</v>
      </c>
      <c r="B11898" t="s">
        <v>406</v>
      </c>
      <c r="C11898" t="s">
        <v>510</v>
      </c>
      <c r="D11898" t="s">
        <v>533</v>
      </c>
      <c r="E11898" t="s">
        <v>534</v>
      </c>
      <c r="F11898" t="s">
        <v>413</v>
      </c>
      <c r="G11898">
        <v>2615</v>
      </c>
      <c r="H11898">
        <v>2615</v>
      </c>
      <c r="I11898">
        <v>2300</v>
      </c>
      <c r="J11898">
        <v>2300</v>
      </c>
      <c r="K11898">
        <v>656</v>
      </c>
      <c r="L11898">
        <v>2</v>
      </c>
      <c r="M11898">
        <v>1948</v>
      </c>
      <c r="N11898">
        <v>9</v>
      </c>
      <c r="O11898">
        <v>0</v>
      </c>
      <c r="P11898">
        <v>22</v>
      </c>
      <c r="Q11898">
        <v>3</v>
      </c>
    </row>
    <row r="11899" spans="1:17" x14ac:dyDescent="0.2">
      <c r="A11899" s="121">
        <v>43159</v>
      </c>
      <c r="B11899" t="s">
        <v>406</v>
      </c>
      <c r="C11899" t="s">
        <v>510</v>
      </c>
      <c r="D11899" t="s">
        <v>535</v>
      </c>
      <c r="E11899" t="s">
        <v>536</v>
      </c>
      <c r="F11899" t="s">
        <v>410</v>
      </c>
      <c r="G11899">
        <v>319</v>
      </c>
      <c r="I11899">
        <v>319</v>
      </c>
    </row>
    <row r="11900" spans="1:17" x14ac:dyDescent="0.2">
      <c r="A11900" s="121">
        <v>43159</v>
      </c>
      <c r="B11900" t="s">
        <v>406</v>
      </c>
      <c r="C11900" t="s">
        <v>510</v>
      </c>
      <c r="D11900" t="s">
        <v>537</v>
      </c>
      <c r="E11900" t="s">
        <v>538</v>
      </c>
      <c r="F11900" t="s">
        <v>410</v>
      </c>
      <c r="G11900">
        <v>55</v>
      </c>
      <c r="I11900">
        <v>55</v>
      </c>
    </row>
    <row r="11901" spans="1:17" x14ac:dyDescent="0.2">
      <c r="A11901" s="121">
        <v>43159</v>
      </c>
      <c r="B11901" t="s">
        <v>406</v>
      </c>
      <c r="C11901" t="s">
        <v>510</v>
      </c>
      <c r="D11901" t="s">
        <v>539</v>
      </c>
      <c r="E11901" t="s">
        <v>540</v>
      </c>
      <c r="F11901" t="s">
        <v>413</v>
      </c>
      <c r="G11901">
        <v>685</v>
      </c>
      <c r="H11901">
        <v>685</v>
      </c>
      <c r="I11901">
        <v>634</v>
      </c>
      <c r="J11901">
        <v>634</v>
      </c>
      <c r="K11901">
        <v>127</v>
      </c>
      <c r="L11901">
        <v>0</v>
      </c>
      <c r="M11901">
        <v>555</v>
      </c>
      <c r="N11901">
        <v>3</v>
      </c>
      <c r="O11901">
        <v>0</v>
      </c>
      <c r="P11901">
        <v>1</v>
      </c>
      <c r="Q11901">
        <v>0</v>
      </c>
    </row>
    <row r="11902" spans="1:17" x14ac:dyDescent="0.2">
      <c r="A11902" s="121">
        <v>43159</v>
      </c>
      <c r="B11902" t="s">
        <v>406</v>
      </c>
      <c r="C11902" t="s">
        <v>510</v>
      </c>
      <c r="D11902" t="s">
        <v>541</v>
      </c>
      <c r="E11902" t="s">
        <v>542</v>
      </c>
      <c r="F11902" t="s">
        <v>410</v>
      </c>
      <c r="G11902">
        <v>321</v>
      </c>
      <c r="I11902">
        <v>321</v>
      </c>
    </row>
    <row r="11903" spans="1:17" x14ac:dyDescent="0.2">
      <c r="A11903" s="121">
        <v>43159</v>
      </c>
      <c r="B11903" t="s">
        <v>406</v>
      </c>
      <c r="C11903" t="s">
        <v>510</v>
      </c>
      <c r="D11903" t="s">
        <v>543</v>
      </c>
      <c r="E11903" t="s">
        <v>544</v>
      </c>
      <c r="F11903" t="s">
        <v>410</v>
      </c>
      <c r="G11903">
        <v>157</v>
      </c>
      <c r="I11903">
        <v>157</v>
      </c>
    </row>
    <row r="11904" spans="1:17" x14ac:dyDescent="0.2">
      <c r="A11904" s="121">
        <v>43159</v>
      </c>
      <c r="B11904" t="s">
        <v>406</v>
      </c>
      <c r="C11904" t="s">
        <v>510</v>
      </c>
      <c r="D11904" t="s">
        <v>545</v>
      </c>
      <c r="E11904" t="s">
        <v>546</v>
      </c>
      <c r="F11904" t="s">
        <v>410</v>
      </c>
      <c r="G11904">
        <v>69</v>
      </c>
      <c r="I11904">
        <v>69</v>
      </c>
    </row>
    <row r="11905" spans="1:17" x14ac:dyDescent="0.2">
      <c r="A11905" s="121">
        <v>43159</v>
      </c>
      <c r="B11905" t="s">
        <v>406</v>
      </c>
      <c r="C11905" t="s">
        <v>510</v>
      </c>
      <c r="D11905" t="s">
        <v>547</v>
      </c>
      <c r="E11905" t="s">
        <v>548</v>
      </c>
      <c r="F11905" t="s">
        <v>410</v>
      </c>
      <c r="G11905">
        <v>152</v>
      </c>
      <c r="I11905">
        <v>152</v>
      </c>
    </row>
    <row r="11906" spans="1:17" x14ac:dyDescent="0.2">
      <c r="A11906" s="121">
        <v>43159</v>
      </c>
      <c r="B11906" t="s">
        <v>406</v>
      </c>
      <c r="C11906" t="s">
        <v>510</v>
      </c>
      <c r="D11906" t="s">
        <v>616</v>
      </c>
      <c r="E11906" t="s">
        <v>617</v>
      </c>
      <c r="F11906" t="s">
        <v>410</v>
      </c>
      <c r="G11906">
        <v>297</v>
      </c>
      <c r="I11906">
        <v>283</v>
      </c>
    </row>
    <row r="11907" spans="1:17" x14ac:dyDescent="0.2">
      <c r="A11907" s="121">
        <v>43159</v>
      </c>
      <c r="B11907" t="s">
        <v>406</v>
      </c>
      <c r="C11907" t="s">
        <v>510</v>
      </c>
      <c r="D11907" t="s">
        <v>549</v>
      </c>
      <c r="E11907" t="s">
        <v>550</v>
      </c>
      <c r="F11907" t="s">
        <v>410</v>
      </c>
      <c r="G11907">
        <v>140</v>
      </c>
      <c r="I11907">
        <v>140</v>
      </c>
    </row>
    <row r="11908" spans="1:17" x14ac:dyDescent="0.2">
      <c r="A11908" s="121">
        <v>43159</v>
      </c>
      <c r="B11908" t="s">
        <v>406</v>
      </c>
      <c r="C11908" t="s">
        <v>510</v>
      </c>
      <c r="D11908" t="s">
        <v>625</v>
      </c>
      <c r="E11908" t="s">
        <v>626</v>
      </c>
      <c r="F11908" t="s">
        <v>410</v>
      </c>
      <c r="G11908">
        <v>46</v>
      </c>
      <c r="I11908">
        <v>44</v>
      </c>
    </row>
    <row r="11909" spans="1:17" x14ac:dyDescent="0.2">
      <c r="A11909" s="121">
        <v>43159</v>
      </c>
      <c r="B11909" t="s">
        <v>406</v>
      </c>
      <c r="C11909" t="s">
        <v>551</v>
      </c>
      <c r="D11909" t="s">
        <v>552</v>
      </c>
      <c r="E11909" t="s">
        <v>553</v>
      </c>
      <c r="F11909" t="s">
        <v>413</v>
      </c>
      <c r="G11909">
        <v>5037</v>
      </c>
      <c r="H11909">
        <v>5037</v>
      </c>
      <c r="I11909">
        <v>4810</v>
      </c>
      <c r="J11909">
        <v>4810</v>
      </c>
      <c r="K11909">
        <v>1734</v>
      </c>
      <c r="L11909">
        <v>5</v>
      </c>
      <c r="M11909">
        <v>3200</v>
      </c>
      <c r="N11909">
        <v>72</v>
      </c>
      <c r="O11909">
        <v>26</v>
      </c>
      <c r="P11909">
        <v>11</v>
      </c>
      <c r="Q11909">
        <v>0</v>
      </c>
    </row>
    <row r="11910" spans="1:17" x14ac:dyDescent="0.2">
      <c r="A11910" s="121">
        <v>43159</v>
      </c>
      <c r="B11910" t="s">
        <v>406</v>
      </c>
      <c r="C11910" t="s">
        <v>551</v>
      </c>
      <c r="D11910" t="s">
        <v>554</v>
      </c>
      <c r="E11910" t="s">
        <v>555</v>
      </c>
      <c r="F11910" t="s">
        <v>410</v>
      </c>
      <c r="G11910">
        <v>58</v>
      </c>
      <c r="I11910">
        <v>58</v>
      </c>
    </row>
    <row r="11911" spans="1:17" x14ac:dyDescent="0.2">
      <c r="A11911" s="121">
        <v>43159</v>
      </c>
      <c r="B11911" t="s">
        <v>406</v>
      </c>
      <c r="C11911" t="s">
        <v>551</v>
      </c>
      <c r="D11911" t="s">
        <v>556</v>
      </c>
      <c r="E11911" t="s">
        <v>557</v>
      </c>
      <c r="F11911" t="s">
        <v>410</v>
      </c>
      <c r="G11911">
        <v>43</v>
      </c>
      <c r="I11911">
        <v>43</v>
      </c>
    </row>
    <row r="11912" spans="1:17" x14ac:dyDescent="0.2">
      <c r="A11912" s="121">
        <v>43159</v>
      </c>
      <c r="B11912" t="s">
        <v>406</v>
      </c>
      <c r="C11912" t="s">
        <v>551</v>
      </c>
      <c r="D11912" t="s">
        <v>558</v>
      </c>
      <c r="E11912" t="s">
        <v>559</v>
      </c>
      <c r="F11912" t="s">
        <v>413</v>
      </c>
      <c r="G11912">
        <v>4767</v>
      </c>
      <c r="H11912">
        <v>4767</v>
      </c>
      <c r="I11912">
        <v>4295</v>
      </c>
      <c r="J11912">
        <v>4295</v>
      </c>
      <c r="K11912">
        <v>1596</v>
      </c>
      <c r="L11912">
        <v>3</v>
      </c>
      <c r="M11912">
        <v>3079</v>
      </c>
      <c r="N11912">
        <v>68</v>
      </c>
      <c r="O11912">
        <v>21</v>
      </c>
      <c r="P11912">
        <v>28</v>
      </c>
      <c r="Q11912">
        <v>2</v>
      </c>
    </row>
    <row r="11913" spans="1:17" x14ac:dyDescent="0.2">
      <c r="A11913" s="121">
        <v>43159</v>
      </c>
      <c r="B11913" t="s">
        <v>406</v>
      </c>
      <c r="C11913" t="s">
        <v>551</v>
      </c>
      <c r="D11913" t="s">
        <v>560</v>
      </c>
      <c r="E11913" t="s">
        <v>561</v>
      </c>
      <c r="F11913" t="s">
        <v>413</v>
      </c>
      <c r="G11913">
        <v>5458</v>
      </c>
      <c r="H11913">
        <v>5458</v>
      </c>
      <c r="I11913">
        <v>5026</v>
      </c>
      <c r="J11913">
        <v>5026</v>
      </c>
      <c r="K11913">
        <v>1578</v>
      </c>
      <c r="L11913">
        <v>5</v>
      </c>
      <c r="M11913">
        <v>3755</v>
      </c>
      <c r="N11913">
        <v>57</v>
      </c>
      <c r="O11913">
        <v>63</v>
      </c>
      <c r="P11913">
        <v>29</v>
      </c>
      <c r="Q11913">
        <v>3</v>
      </c>
    </row>
    <row r="11914" spans="1:17" x14ac:dyDescent="0.2">
      <c r="A11914" s="121">
        <v>43159</v>
      </c>
      <c r="B11914" t="s">
        <v>406</v>
      </c>
      <c r="C11914" t="s">
        <v>562</v>
      </c>
      <c r="D11914" t="s">
        <v>605</v>
      </c>
      <c r="E11914" t="s">
        <v>606</v>
      </c>
      <c r="F11914" t="s">
        <v>410</v>
      </c>
      <c r="G11914">
        <v>93</v>
      </c>
      <c r="I11914">
        <v>93</v>
      </c>
    </row>
    <row r="11915" spans="1:17" x14ac:dyDescent="0.2">
      <c r="A11915" s="121">
        <v>43159</v>
      </c>
      <c r="B11915" t="s">
        <v>406</v>
      </c>
      <c r="C11915" t="s">
        <v>562</v>
      </c>
      <c r="D11915" t="s">
        <v>563</v>
      </c>
      <c r="E11915" t="s">
        <v>564</v>
      </c>
      <c r="F11915" t="s">
        <v>410</v>
      </c>
      <c r="G11915">
        <v>3784</v>
      </c>
      <c r="H11915">
        <v>3784</v>
      </c>
      <c r="I11915">
        <v>3129</v>
      </c>
      <c r="J11915">
        <v>3129</v>
      </c>
      <c r="K11915">
        <v>1029</v>
      </c>
      <c r="L11915">
        <v>0</v>
      </c>
      <c r="M11915">
        <v>2724</v>
      </c>
      <c r="N11915">
        <v>31</v>
      </c>
      <c r="O11915">
        <v>0</v>
      </c>
      <c r="P11915">
        <v>184</v>
      </c>
      <c r="Q11915">
        <v>88</v>
      </c>
    </row>
    <row r="11916" spans="1:17" x14ac:dyDescent="0.2">
      <c r="A11916" s="121">
        <v>43159</v>
      </c>
      <c r="B11916" t="s">
        <v>406</v>
      </c>
      <c r="C11916" t="s">
        <v>562</v>
      </c>
      <c r="D11916" t="s">
        <v>565</v>
      </c>
      <c r="E11916" t="s">
        <v>566</v>
      </c>
      <c r="F11916" t="s">
        <v>413</v>
      </c>
      <c r="G11916">
        <v>4127</v>
      </c>
      <c r="H11916">
        <v>4127</v>
      </c>
      <c r="I11916">
        <v>3585</v>
      </c>
      <c r="J11916">
        <v>3585</v>
      </c>
      <c r="K11916">
        <v>850</v>
      </c>
      <c r="L11916">
        <v>4</v>
      </c>
      <c r="M11916">
        <v>3203</v>
      </c>
      <c r="N11916">
        <v>70</v>
      </c>
      <c r="O11916">
        <v>0</v>
      </c>
      <c r="P11916">
        <v>56</v>
      </c>
      <c r="Q11916">
        <v>7</v>
      </c>
    </row>
    <row r="11917" spans="1:17" x14ac:dyDescent="0.2">
      <c r="A11917" s="121">
        <v>43159</v>
      </c>
      <c r="B11917" t="s">
        <v>406</v>
      </c>
      <c r="C11917" t="s">
        <v>562</v>
      </c>
      <c r="D11917" t="s">
        <v>567</v>
      </c>
      <c r="E11917" t="s">
        <v>568</v>
      </c>
      <c r="F11917" t="s">
        <v>413</v>
      </c>
      <c r="G11917">
        <v>8725</v>
      </c>
      <c r="H11917">
        <v>8725</v>
      </c>
      <c r="I11917">
        <v>6448</v>
      </c>
      <c r="J11917">
        <v>6448</v>
      </c>
      <c r="K11917">
        <v>2681</v>
      </c>
      <c r="L11917">
        <v>13</v>
      </c>
      <c r="M11917">
        <v>5906</v>
      </c>
      <c r="N11917">
        <v>125</v>
      </c>
      <c r="O11917">
        <v>0</v>
      </c>
      <c r="P11917">
        <v>258</v>
      </c>
      <c r="Q11917">
        <v>74</v>
      </c>
    </row>
    <row r="11918" spans="1:17" x14ac:dyDescent="0.2">
      <c r="A11918" s="121">
        <v>43159</v>
      </c>
      <c r="B11918" t="s">
        <v>406</v>
      </c>
      <c r="C11918" t="s">
        <v>562</v>
      </c>
      <c r="D11918" t="s">
        <v>569</v>
      </c>
      <c r="E11918" t="s">
        <v>570</v>
      </c>
      <c r="F11918" t="s">
        <v>413</v>
      </c>
      <c r="G11918">
        <v>3834</v>
      </c>
      <c r="H11918">
        <v>3834</v>
      </c>
      <c r="I11918">
        <v>3677</v>
      </c>
      <c r="J11918">
        <v>3677</v>
      </c>
      <c r="K11918">
        <v>502</v>
      </c>
      <c r="L11918">
        <v>0</v>
      </c>
      <c r="M11918">
        <v>3328</v>
      </c>
      <c r="N11918">
        <v>4</v>
      </c>
      <c r="O11918">
        <v>0</v>
      </c>
      <c r="P11918">
        <v>6</v>
      </c>
      <c r="Q11918">
        <v>1</v>
      </c>
    </row>
    <row r="11919" spans="1:17" x14ac:dyDescent="0.2">
      <c r="A11919" s="121">
        <v>43159</v>
      </c>
      <c r="B11919" t="s">
        <v>406</v>
      </c>
      <c r="C11919" t="s">
        <v>571</v>
      </c>
      <c r="D11919" t="s">
        <v>572</v>
      </c>
      <c r="E11919" t="s">
        <v>627</v>
      </c>
      <c r="F11919" t="s">
        <v>413</v>
      </c>
      <c r="G11919">
        <v>476</v>
      </c>
      <c r="H11919">
        <v>476</v>
      </c>
      <c r="I11919">
        <v>459</v>
      </c>
      <c r="J11919">
        <v>459</v>
      </c>
      <c r="K11919">
        <v>119</v>
      </c>
      <c r="L11919">
        <v>1</v>
      </c>
      <c r="M11919">
        <v>354</v>
      </c>
      <c r="N11919">
        <v>2</v>
      </c>
      <c r="O11919">
        <v>0</v>
      </c>
      <c r="P11919">
        <v>0</v>
      </c>
      <c r="Q11919">
        <v>0</v>
      </c>
    </row>
    <row r="11920" spans="1:17" x14ac:dyDescent="0.2">
      <c r="A11920" s="121">
        <v>43159</v>
      </c>
      <c r="B11920" t="s">
        <v>406</v>
      </c>
      <c r="C11920" t="s">
        <v>574</v>
      </c>
      <c r="D11920" t="s">
        <v>575</v>
      </c>
      <c r="E11920" t="s">
        <v>576</v>
      </c>
      <c r="F11920" t="s">
        <v>413</v>
      </c>
      <c r="G11920">
        <v>593</v>
      </c>
      <c r="H11920">
        <v>593</v>
      </c>
      <c r="I11920">
        <v>581</v>
      </c>
      <c r="J11920">
        <v>581</v>
      </c>
      <c r="K11920">
        <v>137</v>
      </c>
      <c r="L11920">
        <v>0</v>
      </c>
      <c r="M11920">
        <v>443</v>
      </c>
      <c r="N11920">
        <v>3</v>
      </c>
      <c r="O11920">
        <v>10</v>
      </c>
      <c r="P11920">
        <v>0</v>
      </c>
      <c r="Q11920">
        <v>0</v>
      </c>
    </row>
    <row r="11921" spans="1:17" x14ac:dyDescent="0.2">
      <c r="A11921" s="121">
        <v>43159</v>
      </c>
      <c r="B11921" t="s">
        <v>406</v>
      </c>
      <c r="C11921" t="s">
        <v>577</v>
      </c>
      <c r="D11921" t="s">
        <v>578</v>
      </c>
      <c r="E11921" t="s">
        <v>579</v>
      </c>
      <c r="F11921" t="s">
        <v>413</v>
      </c>
      <c r="G11921">
        <v>3649</v>
      </c>
      <c r="H11921">
        <v>3649</v>
      </c>
      <c r="I11921">
        <v>3506</v>
      </c>
      <c r="J11921">
        <v>3506</v>
      </c>
      <c r="K11921">
        <v>1140</v>
      </c>
      <c r="L11921">
        <v>8</v>
      </c>
      <c r="M11921">
        <v>2220</v>
      </c>
      <c r="N11921">
        <v>246</v>
      </c>
      <c r="O11921">
        <v>35</v>
      </c>
      <c r="P11921">
        <v>2</v>
      </c>
      <c r="Q11921">
        <v>0</v>
      </c>
    </row>
    <row r="11922" spans="1:17" x14ac:dyDescent="0.2">
      <c r="A11922" s="121">
        <v>43159</v>
      </c>
      <c r="B11922" t="s">
        <v>406</v>
      </c>
      <c r="C11922" t="s">
        <v>577</v>
      </c>
      <c r="D11922" t="s">
        <v>580</v>
      </c>
      <c r="E11922" t="s">
        <v>581</v>
      </c>
      <c r="F11922" t="s">
        <v>413</v>
      </c>
      <c r="G11922">
        <v>1828</v>
      </c>
      <c r="H11922">
        <v>1828</v>
      </c>
      <c r="I11922">
        <v>1792</v>
      </c>
      <c r="J11922">
        <v>1792</v>
      </c>
      <c r="K11922">
        <v>296</v>
      </c>
      <c r="L11922">
        <v>1</v>
      </c>
      <c r="M11922">
        <v>1257</v>
      </c>
      <c r="N11922">
        <v>263</v>
      </c>
      <c r="O11922">
        <v>11</v>
      </c>
      <c r="P11922">
        <v>1</v>
      </c>
      <c r="Q11922">
        <v>0</v>
      </c>
    </row>
    <row r="11923" spans="1:17" x14ac:dyDescent="0.2">
      <c r="A11923" s="121">
        <v>43159</v>
      </c>
      <c r="B11923" t="s">
        <v>406</v>
      </c>
      <c r="C11923" t="s">
        <v>577</v>
      </c>
      <c r="D11923" t="s">
        <v>609</v>
      </c>
      <c r="E11923" t="s">
        <v>610</v>
      </c>
      <c r="F11923" t="s">
        <v>410</v>
      </c>
      <c r="G11923">
        <v>34</v>
      </c>
      <c r="H11923">
        <v>34</v>
      </c>
      <c r="I11923">
        <v>34</v>
      </c>
      <c r="J11923">
        <v>34</v>
      </c>
      <c r="K11923">
        <v>0</v>
      </c>
      <c r="L11923">
        <v>0</v>
      </c>
      <c r="M11923">
        <v>29</v>
      </c>
      <c r="N11923">
        <v>5</v>
      </c>
      <c r="O11923">
        <v>0</v>
      </c>
      <c r="P11923">
        <v>0</v>
      </c>
      <c r="Q11923">
        <v>0</v>
      </c>
    </row>
    <row r="11924" spans="1:17" x14ac:dyDescent="0.2">
      <c r="A11924" s="121">
        <v>43159</v>
      </c>
      <c r="B11924" t="s">
        <v>406</v>
      </c>
      <c r="C11924" t="s">
        <v>577</v>
      </c>
      <c r="D11924" t="s">
        <v>584</v>
      </c>
      <c r="E11924" t="s">
        <v>585</v>
      </c>
      <c r="F11924" t="s">
        <v>410</v>
      </c>
      <c r="G11924">
        <v>266</v>
      </c>
      <c r="H11924">
        <v>266</v>
      </c>
      <c r="I11924">
        <v>266</v>
      </c>
      <c r="J11924">
        <v>266</v>
      </c>
      <c r="K11924">
        <v>0</v>
      </c>
      <c r="L11924">
        <v>0</v>
      </c>
      <c r="M11924">
        <v>258</v>
      </c>
      <c r="N11924">
        <v>7</v>
      </c>
      <c r="O11924">
        <v>1</v>
      </c>
      <c r="P11924">
        <v>0</v>
      </c>
      <c r="Q11924">
        <v>0</v>
      </c>
    </row>
    <row r="11925" spans="1:17" x14ac:dyDescent="0.2">
      <c r="A11925" s="121">
        <v>43159</v>
      </c>
      <c r="B11925" t="s">
        <v>406</v>
      </c>
      <c r="C11925" t="s">
        <v>577</v>
      </c>
      <c r="D11925" t="s">
        <v>586</v>
      </c>
      <c r="E11925" t="s">
        <v>587</v>
      </c>
      <c r="F11925" t="s">
        <v>410</v>
      </c>
      <c r="G11925">
        <v>939</v>
      </c>
      <c r="H11925">
        <v>939</v>
      </c>
      <c r="I11925">
        <v>939</v>
      </c>
      <c r="J11925">
        <v>939</v>
      </c>
      <c r="K11925">
        <v>0</v>
      </c>
      <c r="L11925">
        <v>0</v>
      </c>
      <c r="M11925">
        <v>856</v>
      </c>
      <c r="N11925">
        <v>83</v>
      </c>
      <c r="O11925">
        <v>0</v>
      </c>
      <c r="P11925">
        <v>0</v>
      </c>
      <c r="Q11925">
        <v>0</v>
      </c>
    </row>
    <row r="11926" spans="1:17" x14ac:dyDescent="0.2">
      <c r="A11926" s="121">
        <v>43159</v>
      </c>
      <c r="B11926" t="s">
        <v>406</v>
      </c>
      <c r="C11926" t="s">
        <v>577</v>
      </c>
      <c r="D11926" t="s">
        <v>588</v>
      </c>
      <c r="E11926" t="s">
        <v>589</v>
      </c>
      <c r="F11926" t="s">
        <v>410</v>
      </c>
      <c r="G11926">
        <v>153</v>
      </c>
      <c r="H11926">
        <v>153</v>
      </c>
      <c r="I11926">
        <v>153</v>
      </c>
      <c r="J11926">
        <v>153</v>
      </c>
      <c r="K11926">
        <v>0</v>
      </c>
      <c r="L11926">
        <v>0</v>
      </c>
      <c r="M11926">
        <v>149</v>
      </c>
      <c r="N11926">
        <v>4</v>
      </c>
      <c r="O11926">
        <v>0</v>
      </c>
      <c r="P11926">
        <v>0</v>
      </c>
      <c r="Q11926">
        <v>0</v>
      </c>
    </row>
    <row r="11927" spans="1:17" x14ac:dyDescent="0.2">
      <c r="A11927" s="121">
        <v>43159</v>
      </c>
      <c r="B11927" t="s">
        <v>406</v>
      </c>
      <c r="C11927" t="s">
        <v>577</v>
      </c>
      <c r="D11927" t="s">
        <v>613</v>
      </c>
      <c r="E11927" t="s">
        <v>614</v>
      </c>
      <c r="F11927" t="s">
        <v>410</v>
      </c>
      <c r="G11927">
        <v>47</v>
      </c>
      <c r="H11927">
        <v>47</v>
      </c>
      <c r="I11927">
        <v>47</v>
      </c>
      <c r="J11927">
        <v>47</v>
      </c>
      <c r="K11927">
        <v>0</v>
      </c>
      <c r="L11927">
        <v>0</v>
      </c>
      <c r="M11927">
        <v>41</v>
      </c>
      <c r="N11927">
        <v>5</v>
      </c>
      <c r="O11927">
        <v>1</v>
      </c>
      <c r="P11927">
        <v>0</v>
      </c>
      <c r="Q11927">
        <v>0</v>
      </c>
    </row>
    <row r="11928" spans="1:17" x14ac:dyDescent="0.2">
      <c r="A11928" s="121">
        <v>43159</v>
      </c>
      <c r="B11928" t="s">
        <v>406</v>
      </c>
      <c r="C11928" t="s">
        <v>577</v>
      </c>
      <c r="D11928" t="s">
        <v>590</v>
      </c>
      <c r="E11928" t="s">
        <v>591</v>
      </c>
      <c r="F11928" t="s">
        <v>410</v>
      </c>
      <c r="G11928">
        <v>466</v>
      </c>
      <c r="H11928">
        <v>466</v>
      </c>
      <c r="I11928">
        <v>466</v>
      </c>
      <c r="J11928">
        <v>466</v>
      </c>
      <c r="K11928">
        <v>0</v>
      </c>
      <c r="L11928">
        <v>0</v>
      </c>
      <c r="M11928">
        <v>443</v>
      </c>
      <c r="N11928">
        <v>22</v>
      </c>
      <c r="O11928">
        <v>1</v>
      </c>
      <c r="P11928">
        <v>0</v>
      </c>
      <c r="Q11928">
        <v>0</v>
      </c>
    </row>
    <row r="11929" spans="1:17" x14ac:dyDescent="0.2">
      <c r="A11929" s="121">
        <v>43159</v>
      </c>
      <c r="B11929" t="s">
        <v>406</v>
      </c>
      <c r="C11929" t="s">
        <v>577</v>
      </c>
      <c r="D11929" t="s">
        <v>607</v>
      </c>
      <c r="E11929" t="s">
        <v>608</v>
      </c>
      <c r="F11929" t="s">
        <v>410</v>
      </c>
      <c r="G11929">
        <v>129</v>
      </c>
      <c r="H11929">
        <v>129</v>
      </c>
      <c r="I11929">
        <v>128</v>
      </c>
      <c r="J11929">
        <v>128</v>
      </c>
      <c r="K11929">
        <v>0</v>
      </c>
      <c r="L11929">
        <v>0</v>
      </c>
      <c r="M11929">
        <v>117</v>
      </c>
      <c r="N11929">
        <v>12</v>
      </c>
      <c r="O11929">
        <v>0</v>
      </c>
      <c r="P11929">
        <v>0</v>
      </c>
      <c r="Q11929">
        <v>0</v>
      </c>
    </row>
    <row r="11930" spans="1:17" x14ac:dyDescent="0.2">
      <c r="A11930" s="121">
        <v>43159</v>
      </c>
      <c r="B11930" t="s">
        <v>406</v>
      </c>
      <c r="C11930" t="s">
        <v>577</v>
      </c>
      <c r="D11930" t="s">
        <v>592</v>
      </c>
      <c r="E11930" t="s">
        <v>593</v>
      </c>
      <c r="F11930" t="s">
        <v>410</v>
      </c>
      <c r="G11930">
        <v>287</v>
      </c>
      <c r="H11930">
        <v>287</v>
      </c>
      <c r="I11930">
        <v>287</v>
      </c>
      <c r="J11930">
        <v>287</v>
      </c>
      <c r="K11930">
        <v>0</v>
      </c>
      <c r="L11930">
        <v>0</v>
      </c>
      <c r="M11930">
        <v>268</v>
      </c>
      <c r="N11930">
        <v>18</v>
      </c>
      <c r="O11930">
        <v>1</v>
      </c>
      <c r="P11930">
        <v>0</v>
      </c>
      <c r="Q11930">
        <v>0</v>
      </c>
    </row>
    <row r="11931" spans="1:17" x14ac:dyDescent="0.2">
      <c r="A11931" s="121">
        <v>43159</v>
      </c>
      <c r="B11931" t="s">
        <v>406</v>
      </c>
      <c r="C11931" t="s">
        <v>594</v>
      </c>
      <c r="D11931" t="s">
        <v>595</v>
      </c>
      <c r="E11931" t="s">
        <v>596</v>
      </c>
      <c r="F11931" t="s">
        <v>410</v>
      </c>
      <c r="G11931">
        <v>50</v>
      </c>
      <c r="I11931">
        <v>50</v>
      </c>
    </row>
    <row r="11932" spans="1:17" x14ac:dyDescent="0.2">
      <c r="A11932" s="121">
        <v>43159</v>
      </c>
      <c r="B11932" t="s">
        <v>406</v>
      </c>
      <c r="C11932" t="s">
        <v>594</v>
      </c>
      <c r="D11932" t="s">
        <v>597</v>
      </c>
      <c r="E11932" t="s">
        <v>598</v>
      </c>
      <c r="F11932" t="s">
        <v>413</v>
      </c>
      <c r="G11932">
        <v>512</v>
      </c>
      <c r="H11932">
        <v>512</v>
      </c>
      <c r="I11932">
        <v>503</v>
      </c>
      <c r="J11932">
        <v>503</v>
      </c>
      <c r="K11932">
        <v>127</v>
      </c>
      <c r="L11932">
        <v>0</v>
      </c>
      <c r="M11932">
        <v>362</v>
      </c>
      <c r="N11932">
        <v>7</v>
      </c>
      <c r="O11932">
        <v>16</v>
      </c>
      <c r="P11932">
        <v>1</v>
      </c>
      <c r="Q11932">
        <v>0</v>
      </c>
    </row>
    <row r="11933" spans="1:17" x14ac:dyDescent="0.2">
      <c r="A11933" s="121">
        <v>43159</v>
      </c>
      <c r="B11933" t="s">
        <v>406</v>
      </c>
      <c r="C11933" t="s">
        <v>594</v>
      </c>
      <c r="D11933" t="s">
        <v>599</v>
      </c>
      <c r="E11933" t="s">
        <v>600</v>
      </c>
      <c r="F11933" t="s">
        <v>410</v>
      </c>
      <c r="G11933">
        <v>112</v>
      </c>
      <c r="H11933">
        <v>112</v>
      </c>
      <c r="I11933">
        <v>112</v>
      </c>
      <c r="J11933">
        <v>112</v>
      </c>
      <c r="K11933">
        <v>13</v>
      </c>
      <c r="L11933">
        <v>0</v>
      </c>
      <c r="M11933">
        <v>98</v>
      </c>
      <c r="N11933">
        <v>1</v>
      </c>
      <c r="O11933">
        <v>0</v>
      </c>
      <c r="P11933">
        <v>0</v>
      </c>
      <c r="Q11933">
        <v>0</v>
      </c>
    </row>
    <row r="11934" spans="1:17" x14ac:dyDescent="0.2">
      <c r="A11934" s="121">
        <v>43190</v>
      </c>
      <c r="B11934" t="s">
        <v>406</v>
      </c>
      <c r="C11934" t="s">
        <v>407</v>
      </c>
      <c r="D11934" t="s">
        <v>408</v>
      </c>
      <c r="E11934" t="s">
        <v>409</v>
      </c>
      <c r="F11934" t="s">
        <v>410</v>
      </c>
      <c r="G11934">
        <v>216</v>
      </c>
      <c r="I11934">
        <v>216</v>
      </c>
    </row>
    <row r="11935" spans="1:17" x14ac:dyDescent="0.2">
      <c r="A11935" s="121">
        <v>43190</v>
      </c>
      <c r="B11935" t="s">
        <v>406</v>
      </c>
      <c r="C11935" t="s">
        <v>407</v>
      </c>
      <c r="D11935" t="s">
        <v>601</v>
      </c>
      <c r="E11935" t="s">
        <v>602</v>
      </c>
      <c r="F11935" t="s">
        <v>410</v>
      </c>
      <c r="G11935">
        <v>62</v>
      </c>
      <c r="I11935">
        <v>60</v>
      </c>
    </row>
    <row r="11936" spans="1:17" x14ac:dyDescent="0.2">
      <c r="A11936" s="121">
        <v>43190</v>
      </c>
      <c r="B11936" t="s">
        <v>406</v>
      </c>
      <c r="C11936" t="s">
        <v>407</v>
      </c>
      <c r="D11936" t="s">
        <v>411</v>
      </c>
      <c r="E11936" t="s">
        <v>412</v>
      </c>
      <c r="F11936" t="s">
        <v>413</v>
      </c>
      <c r="G11936">
        <v>6041</v>
      </c>
      <c r="H11936">
        <v>6041</v>
      </c>
      <c r="I11936">
        <v>5459</v>
      </c>
      <c r="J11936">
        <v>5459</v>
      </c>
      <c r="K11936">
        <v>2102</v>
      </c>
      <c r="L11936">
        <v>8</v>
      </c>
      <c r="M11936">
        <v>3649</v>
      </c>
      <c r="N11936">
        <v>43</v>
      </c>
      <c r="O11936">
        <v>239</v>
      </c>
      <c r="P11936">
        <v>170</v>
      </c>
      <c r="Q11936">
        <v>70</v>
      </c>
    </row>
    <row r="11937" spans="1:17" x14ac:dyDescent="0.2">
      <c r="A11937" s="121">
        <v>43190</v>
      </c>
      <c r="B11937" t="s">
        <v>406</v>
      </c>
      <c r="C11937" t="s">
        <v>407</v>
      </c>
      <c r="D11937" t="s">
        <v>416</v>
      </c>
      <c r="E11937" t="s">
        <v>417</v>
      </c>
      <c r="F11937" t="s">
        <v>413</v>
      </c>
      <c r="G11937">
        <v>3286</v>
      </c>
      <c r="H11937">
        <v>3286</v>
      </c>
      <c r="I11937">
        <v>2982</v>
      </c>
      <c r="J11937">
        <v>2982</v>
      </c>
      <c r="K11937">
        <v>979</v>
      </c>
      <c r="L11937">
        <v>9</v>
      </c>
      <c r="M11937">
        <v>2188</v>
      </c>
      <c r="N11937">
        <v>67</v>
      </c>
      <c r="O11937">
        <v>43</v>
      </c>
      <c r="P11937">
        <v>71</v>
      </c>
      <c r="Q11937">
        <v>9</v>
      </c>
    </row>
    <row r="11938" spans="1:17" x14ac:dyDescent="0.2">
      <c r="A11938" s="121">
        <v>43190</v>
      </c>
      <c r="B11938" t="s">
        <v>406</v>
      </c>
      <c r="C11938" t="s">
        <v>407</v>
      </c>
      <c r="D11938" t="s">
        <v>618</v>
      </c>
      <c r="E11938" t="s">
        <v>619</v>
      </c>
      <c r="F11938" t="s">
        <v>410</v>
      </c>
      <c r="G11938">
        <v>62</v>
      </c>
      <c r="I11938">
        <v>62</v>
      </c>
    </row>
    <row r="11939" spans="1:17" x14ac:dyDescent="0.2">
      <c r="A11939" s="121">
        <v>43190</v>
      </c>
      <c r="B11939" t="s">
        <v>406</v>
      </c>
      <c r="C11939" t="s">
        <v>418</v>
      </c>
      <c r="D11939" t="s">
        <v>419</v>
      </c>
      <c r="E11939" t="s">
        <v>420</v>
      </c>
      <c r="F11939" t="s">
        <v>410</v>
      </c>
      <c r="G11939">
        <v>8</v>
      </c>
      <c r="I11939">
        <v>8</v>
      </c>
    </row>
    <row r="11940" spans="1:17" x14ac:dyDescent="0.2">
      <c r="A11940" s="121">
        <v>43190</v>
      </c>
      <c r="B11940" t="s">
        <v>406</v>
      </c>
      <c r="C11940" t="s">
        <v>418</v>
      </c>
      <c r="D11940" t="s">
        <v>421</v>
      </c>
      <c r="E11940" t="s">
        <v>422</v>
      </c>
      <c r="F11940" t="s">
        <v>410</v>
      </c>
      <c r="G11940">
        <v>66</v>
      </c>
      <c r="I11940">
        <v>66</v>
      </c>
    </row>
    <row r="11941" spans="1:17" x14ac:dyDescent="0.2">
      <c r="A11941" s="121">
        <v>43190</v>
      </c>
      <c r="B11941" t="s">
        <v>406</v>
      </c>
      <c r="C11941" t="s">
        <v>418</v>
      </c>
      <c r="D11941" t="s">
        <v>423</v>
      </c>
      <c r="E11941" t="s">
        <v>424</v>
      </c>
      <c r="F11941" t="s">
        <v>410</v>
      </c>
      <c r="G11941">
        <v>8</v>
      </c>
      <c r="I11941">
        <v>8</v>
      </c>
    </row>
    <row r="11942" spans="1:17" x14ac:dyDescent="0.2">
      <c r="A11942" s="121">
        <v>43190</v>
      </c>
      <c r="B11942" t="s">
        <v>406</v>
      </c>
      <c r="C11942" t="s">
        <v>418</v>
      </c>
      <c r="D11942" t="s">
        <v>425</v>
      </c>
      <c r="E11942" t="s">
        <v>426</v>
      </c>
      <c r="F11942" t="s">
        <v>410</v>
      </c>
      <c r="G11942">
        <v>48</v>
      </c>
      <c r="I11942">
        <v>48</v>
      </c>
    </row>
    <row r="11943" spans="1:17" x14ac:dyDescent="0.2">
      <c r="A11943" s="121">
        <v>43190</v>
      </c>
      <c r="B11943" t="s">
        <v>406</v>
      </c>
      <c r="C11943" t="s">
        <v>418</v>
      </c>
      <c r="D11943" t="s">
        <v>427</v>
      </c>
      <c r="E11943" t="s">
        <v>428</v>
      </c>
      <c r="F11943" t="s">
        <v>413</v>
      </c>
      <c r="G11943">
        <v>2454</v>
      </c>
      <c r="H11943">
        <v>2454</v>
      </c>
      <c r="I11943">
        <v>2183</v>
      </c>
      <c r="J11943">
        <v>2183</v>
      </c>
      <c r="K11943">
        <v>832</v>
      </c>
      <c r="L11943">
        <v>2</v>
      </c>
      <c r="M11943">
        <v>1390</v>
      </c>
      <c r="N11943">
        <v>211</v>
      </c>
      <c r="O11943">
        <v>19</v>
      </c>
      <c r="P11943">
        <v>40</v>
      </c>
      <c r="Q11943">
        <v>7</v>
      </c>
    </row>
    <row r="11944" spans="1:17" x14ac:dyDescent="0.2">
      <c r="A11944" s="121">
        <v>43190</v>
      </c>
      <c r="B11944" t="s">
        <v>406</v>
      </c>
      <c r="C11944" t="s">
        <v>429</v>
      </c>
      <c r="D11944" t="s">
        <v>430</v>
      </c>
      <c r="E11944" t="s">
        <v>431</v>
      </c>
      <c r="F11944" t="s">
        <v>410</v>
      </c>
      <c r="G11944">
        <v>23</v>
      </c>
      <c r="I11944">
        <v>23</v>
      </c>
    </row>
    <row r="11945" spans="1:17" x14ac:dyDescent="0.2">
      <c r="A11945" s="121">
        <v>43190</v>
      </c>
      <c r="B11945" t="s">
        <v>406</v>
      </c>
      <c r="C11945" t="s">
        <v>429</v>
      </c>
      <c r="D11945" t="s">
        <v>432</v>
      </c>
      <c r="E11945" t="s">
        <v>433</v>
      </c>
      <c r="F11945" t="s">
        <v>410</v>
      </c>
      <c r="G11945">
        <v>32</v>
      </c>
      <c r="I11945">
        <v>32</v>
      </c>
    </row>
    <row r="11946" spans="1:17" x14ac:dyDescent="0.2">
      <c r="A11946" s="121">
        <v>43190</v>
      </c>
      <c r="B11946" t="s">
        <v>406</v>
      </c>
      <c r="C11946" t="s">
        <v>429</v>
      </c>
      <c r="D11946" t="s">
        <v>436</v>
      </c>
      <c r="E11946" t="s">
        <v>437</v>
      </c>
      <c r="F11946" t="s">
        <v>410</v>
      </c>
      <c r="G11946">
        <v>7</v>
      </c>
      <c r="H11946">
        <v>7</v>
      </c>
      <c r="I11946">
        <v>7</v>
      </c>
      <c r="J11946">
        <v>7</v>
      </c>
      <c r="K11946">
        <v>0</v>
      </c>
      <c r="L11946">
        <v>0</v>
      </c>
      <c r="M11946">
        <v>6</v>
      </c>
      <c r="N11946">
        <v>1</v>
      </c>
      <c r="O11946">
        <v>0</v>
      </c>
      <c r="P11946">
        <v>0</v>
      </c>
      <c r="Q11946">
        <v>0</v>
      </c>
    </row>
    <row r="11947" spans="1:17" x14ac:dyDescent="0.2">
      <c r="A11947" s="121">
        <v>43190</v>
      </c>
      <c r="B11947" t="s">
        <v>406</v>
      </c>
      <c r="C11947" t="s">
        <v>429</v>
      </c>
      <c r="D11947" t="s">
        <v>438</v>
      </c>
      <c r="E11947" t="s">
        <v>439</v>
      </c>
      <c r="F11947" t="s">
        <v>413</v>
      </c>
      <c r="G11947">
        <v>1080</v>
      </c>
      <c r="H11947">
        <v>1080</v>
      </c>
      <c r="I11947">
        <v>972</v>
      </c>
      <c r="J11947">
        <v>972</v>
      </c>
      <c r="K11947">
        <v>97</v>
      </c>
      <c r="L11947">
        <v>3</v>
      </c>
      <c r="M11947">
        <v>860</v>
      </c>
      <c r="N11947">
        <v>79</v>
      </c>
      <c r="O11947">
        <v>41</v>
      </c>
      <c r="P11947">
        <v>18</v>
      </c>
      <c r="Q11947">
        <v>2</v>
      </c>
    </row>
    <row r="11948" spans="1:17" x14ac:dyDescent="0.2">
      <c r="A11948" s="121">
        <v>43190</v>
      </c>
      <c r="B11948" t="s">
        <v>406</v>
      </c>
      <c r="C11948" t="s">
        <v>429</v>
      </c>
      <c r="D11948" t="s">
        <v>440</v>
      </c>
      <c r="E11948" t="s">
        <v>441</v>
      </c>
      <c r="F11948" t="s">
        <v>413</v>
      </c>
      <c r="G11948">
        <v>2722</v>
      </c>
      <c r="H11948">
        <v>2722</v>
      </c>
      <c r="I11948">
        <v>2454</v>
      </c>
      <c r="J11948">
        <v>2454</v>
      </c>
      <c r="K11948">
        <v>838</v>
      </c>
      <c r="L11948">
        <v>5</v>
      </c>
      <c r="M11948">
        <v>1762</v>
      </c>
      <c r="N11948">
        <v>76</v>
      </c>
      <c r="O11948">
        <v>41</v>
      </c>
      <c r="P11948">
        <v>18</v>
      </c>
      <c r="Q11948">
        <v>0</v>
      </c>
    </row>
    <row r="11949" spans="1:17" x14ac:dyDescent="0.2">
      <c r="A11949" s="121">
        <v>43190</v>
      </c>
      <c r="B11949" t="s">
        <v>406</v>
      </c>
      <c r="C11949" t="s">
        <v>442</v>
      </c>
      <c r="D11949" t="s">
        <v>443</v>
      </c>
      <c r="E11949" t="s">
        <v>444</v>
      </c>
      <c r="F11949" t="s">
        <v>413</v>
      </c>
      <c r="G11949">
        <v>5367</v>
      </c>
      <c r="H11949">
        <v>5367</v>
      </c>
      <c r="I11949">
        <v>4989</v>
      </c>
      <c r="J11949">
        <v>4989</v>
      </c>
      <c r="K11949">
        <v>1696</v>
      </c>
      <c r="L11949">
        <v>17</v>
      </c>
      <c r="M11949">
        <v>3512</v>
      </c>
      <c r="N11949">
        <v>81</v>
      </c>
      <c r="O11949">
        <v>61</v>
      </c>
      <c r="P11949">
        <v>30</v>
      </c>
      <c r="Q11949">
        <v>6</v>
      </c>
    </row>
    <row r="11950" spans="1:17" x14ac:dyDescent="0.2">
      <c r="A11950" s="121">
        <v>43190</v>
      </c>
      <c r="B11950" t="s">
        <v>406</v>
      </c>
      <c r="C11950" t="s">
        <v>442</v>
      </c>
      <c r="D11950" t="s">
        <v>445</v>
      </c>
      <c r="E11950" t="s">
        <v>446</v>
      </c>
      <c r="F11950" t="s">
        <v>410</v>
      </c>
      <c r="G11950">
        <v>133</v>
      </c>
      <c r="H11950">
        <v>133</v>
      </c>
      <c r="I11950">
        <v>132</v>
      </c>
      <c r="J11950">
        <v>132</v>
      </c>
      <c r="K11950">
        <v>0</v>
      </c>
      <c r="L11950">
        <v>0</v>
      </c>
      <c r="M11950">
        <v>126</v>
      </c>
      <c r="N11950">
        <v>4</v>
      </c>
      <c r="O11950">
        <v>3</v>
      </c>
      <c r="P11950">
        <v>0</v>
      </c>
      <c r="Q11950">
        <v>0</v>
      </c>
    </row>
    <row r="11951" spans="1:17" x14ac:dyDescent="0.2">
      <c r="A11951" s="121">
        <v>43190</v>
      </c>
      <c r="B11951" t="s">
        <v>406</v>
      </c>
      <c r="C11951" t="s">
        <v>442</v>
      </c>
      <c r="D11951" t="s">
        <v>447</v>
      </c>
      <c r="E11951" t="s">
        <v>448</v>
      </c>
      <c r="F11951" t="s">
        <v>410</v>
      </c>
      <c r="G11951">
        <v>234</v>
      </c>
      <c r="H11951">
        <v>234</v>
      </c>
      <c r="I11951">
        <v>233</v>
      </c>
      <c r="J11951">
        <v>233</v>
      </c>
      <c r="K11951">
        <v>1</v>
      </c>
      <c r="L11951">
        <v>0</v>
      </c>
      <c r="M11951">
        <v>228</v>
      </c>
      <c r="N11951">
        <v>5</v>
      </c>
      <c r="O11951">
        <v>0</v>
      </c>
      <c r="P11951">
        <v>0</v>
      </c>
      <c r="Q11951">
        <v>0</v>
      </c>
    </row>
    <row r="11952" spans="1:17" x14ac:dyDescent="0.2">
      <c r="A11952" s="121">
        <v>43190</v>
      </c>
      <c r="B11952" t="s">
        <v>406</v>
      </c>
      <c r="C11952" t="s">
        <v>442</v>
      </c>
      <c r="D11952" t="s">
        <v>449</v>
      </c>
      <c r="E11952" t="s">
        <v>624</v>
      </c>
      <c r="F11952" t="s">
        <v>410</v>
      </c>
      <c r="G11952">
        <v>1534</v>
      </c>
      <c r="H11952">
        <v>1534</v>
      </c>
      <c r="I11952">
        <v>1522</v>
      </c>
      <c r="J11952">
        <v>1522</v>
      </c>
      <c r="K11952">
        <v>13</v>
      </c>
      <c r="L11952">
        <v>1</v>
      </c>
      <c r="M11952">
        <v>1393</v>
      </c>
      <c r="N11952">
        <v>109</v>
      </c>
      <c r="O11952">
        <v>18</v>
      </c>
      <c r="P11952">
        <v>1</v>
      </c>
      <c r="Q11952">
        <v>1</v>
      </c>
    </row>
    <row r="11953" spans="1:17" x14ac:dyDescent="0.2">
      <c r="A11953" s="121">
        <v>43190</v>
      </c>
      <c r="B11953" t="s">
        <v>406</v>
      </c>
      <c r="C11953" t="s">
        <v>451</v>
      </c>
      <c r="D11953" t="s">
        <v>454</v>
      </c>
      <c r="E11953" t="s">
        <v>621</v>
      </c>
      <c r="F11953" t="s">
        <v>410</v>
      </c>
      <c r="G11953">
        <v>1463</v>
      </c>
      <c r="H11953">
        <v>1463</v>
      </c>
      <c r="I11953">
        <v>1461</v>
      </c>
      <c r="J11953">
        <v>1461</v>
      </c>
      <c r="K11953">
        <v>0</v>
      </c>
      <c r="L11953">
        <v>0</v>
      </c>
      <c r="M11953">
        <v>1100</v>
      </c>
      <c r="N11953">
        <v>140</v>
      </c>
      <c r="O11953">
        <v>223</v>
      </c>
      <c r="P11953">
        <v>0</v>
      </c>
      <c r="Q11953">
        <v>0</v>
      </c>
    </row>
    <row r="11954" spans="1:17" x14ac:dyDescent="0.2">
      <c r="A11954" s="121">
        <v>43190</v>
      </c>
      <c r="B11954" t="s">
        <v>406</v>
      </c>
      <c r="C11954" t="s">
        <v>451</v>
      </c>
      <c r="D11954" t="s">
        <v>622</v>
      </c>
      <c r="E11954" t="s">
        <v>623</v>
      </c>
      <c r="F11954" t="s">
        <v>413</v>
      </c>
      <c r="G11954">
        <v>5334</v>
      </c>
      <c r="H11954">
        <v>5334</v>
      </c>
      <c r="I11954">
        <v>4211</v>
      </c>
      <c r="J11954">
        <v>4211</v>
      </c>
      <c r="K11954">
        <v>1670</v>
      </c>
      <c r="L11954">
        <v>9</v>
      </c>
      <c r="M11954">
        <v>2875</v>
      </c>
      <c r="N11954">
        <v>73</v>
      </c>
      <c r="O11954">
        <v>707</v>
      </c>
      <c r="P11954">
        <v>206</v>
      </c>
      <c r="Q11954">
        <v>68</v>
      </c>
    </row>
    <row r="11955" spans="1:17" x14ac:dyDescent="0.2">
      <c r="A11955" s="121">
        <v>43190</v>
      </c>
      <c r="B11955" t="s">
        <v>406</v>
      </c>
      <c r="C11955" t="s">
        <v>456</v>
      </c>
      <c r="D11955" t="s">
        <v>457</v>
      </c>
      <c r="E11955" t="s">
        <v>458</v>
      </c>
      <c r="F11955" t="s">
        <v>413</v>
      </c>
      <c r="G11955">
        <v>4917</v>
      </c>
      <c r="H11955">
        <v>4917</v>
      </c>
      <c r="I11955">
        <v>4373</v>
      </c>
      <c r="J11955">
        <v>4373</v>
      </c>
      <c r="K11955">
        <v>1353</v>
      </c>
      <c r="L11955">
        <v>14</v>
      </c>
      <c r="M11955">
        <v>3188</v>
      </c>
      <c r="N11955">
        <v>27</v>
      </c>
      <c r="O11955">
        <v>335</v>
      </c>
      <c r="P11955">
        <v>29</v>
      </c>
      <c r="Q11955">
        <v>0</v>
      </c>
    </row>
    <row r="11956" spans="1:17" x14ac:dyDescent="0.2">
      <c r="A11956" s="121">
        <v>43190</v>
      </c>
      <c r="B11956" t="s">
        <v>406</v>
      </c>
      <c r="C11956" t="s">
        <v>456</v>
      </c>
      <c r="D11956" t="s">
        <v>459</v>
      </c>
      <c r="E11956" t="s">
        <v>460</v>
      </c>
      <c r="F11956" t="s">
        <v>413</v>
      </c>
      <c r="G11956">
        <v>1402</v>
      </c>
      <c r="H11956">
        <v>1402</v>
      </c>
      <c r="I11956">
        <v>1385</v>
      </c>
      <c r="J11956">
        <v>1385</v>
      </c>
      <c r="K11956">
        <v>147</v>
      </c>
      <c r="L11956">
        <v>0</v>
      </c>
      <c r="M11956">
        <v>1175</v>
      </c>
      <c r="N11956">
        <v>0</v>
      </c>
      <c r="O11956">
        <v>80</v>
      </c>
      <c r="P11956">
        <v>0</v>
      </c>
      <c r="Q11956">
        <v>0</v>
      </c>
    </row>
    <row r="11957" spans="1:17" x14ac:dyDescent="0.2">
      <c r="A11957" s="121">
        <v>43190</v>
      </c>
      <c r="B11957" t="s">
        <v>406</v>
      </c>
      <c r="C11957" t="s">
        <v>456</v>
      </c>
      <c r="D11957" t="s">
        <v>461</v>
      </c>
      <c r="E11957" t="s">
        <v>462</v>
      </c>
      <c r="F11957" t="s">
        <v>410</v>
      </c>
      <c r="G11957">
        <v>81</v>
      </c>
      <c r="I11957">
        <v>81</v>
      </c>
    </row>
    <row r="11958" spans="1:17" x14ac:dyDescent="0.2">
      <c r="A11958" s="121">
        <v>43190</v>
      </c>
      <c r="B11958" t="s">
        <v>406</v>
      </c>
      <c r="C11958" t="s">
        <v>456</v>
      </c>
      <c r="D11958" t="s">
        <v>463</v>
      </c>
      <c r="E11958" t="s">
        <v>464</v>
      </c>
      <c r="F11958" t="s">
        <v>410</v>
      </c>
      <c r="G11958">
        <v>10</v>
      </c>
      <c r="I11958">
        <v>10</v>
      </c>
    </row>
    <row r="11959" spans="1:17" x14ac:dyDescent="0.2">
      <c r="A11959" s="121">
        <v>43190</v>
      </c>
      <c r="B11959" t="s">
        <v>406</v>
      </c>
      <c r="C11959" t="s">
        <v>456</v>
      </c>
      <c r="D11959" t="s">
        <v>465</v>
      </c>
      <c r="E11959" t="s">
        <v>466</v>
      </c>
      <c r="F11959" t="s">
        <v>410</v>
      </c>
      <c r="G11959">
        <v>28</v>
      </c>
      <c r="I11959">
        <v>28</v>
      </c>
    </row>
    <row r="11960" spans="1:17" x14ac:dyDescent="0.2">
      <c r="A11960" s="121">
        <v>43190</v>
      </c>
      <c r="B11960" t="s">
        <v>406</v>
      </c>
      <c r="C11960" t="s">
        <v>456</v>
      </c>
      <c r="D11960" t="s">
        <v>467</v>
      </c>
      <c r="E11960" t="s">
        <v>468</v>
      </c>
      <c r="F11960" t="s">
        <v>410</v>
      </c>
      <c r="G11960">
        <v>1322</v>
      </c>
      <c r="I11960">
        <v>1319</v>
      </c>
    </row>
    <row r="11961" spans="1:17" x14ac:dyDescent="0.2">
      <c r="A11961" s="121">
        <v>43190</v>
      </c>
      <c r="B11961" t="s">
        <v>406</v>
      </c>
      <c r="C11961" t="s">
        <v>456</v>
      </c>
      <c r="D11961" t="s">
        <v>469</v>
      </c>
      <c r="E11961" t="s">
        <v>470</v>
      </c>
      <c r="F11961" t="s">
        <v>410</v>
      </c>
      <c r="G11961">
        <v>644</v>
      </c>
      <c r="I11961">
        <v>638</v>
      </c>
    </row>
    <row r="11962" spans="1:17" x14ac:dyDescent="0.2">
      <c r="A11962" s="121">
        <v>43190</v>
      </c>
      <c r="B11962" t="s">
        <v>406</v>
      </c>
      <c r="C11962" t="s">
        <v>456</v>
      </c>
      <c r="D11962" t="s">
        <v>471</v>
      </c>
      <c r="E11962" t="s">
        <v>472</v>
      </c>
      <c r="F11962" t="s">
        <v>410</v>
      </c>
      <c r="G11962">
        <v>212</v>
      </c>
      <c r="I11962">
        <v>207</v>
      </c>
    </row>
    <row r="11963" spans="1:17" x14ac:dyDescent="0.2">
      <c r="A11963" s="121">
        <v>43190</v>
      </c>
      <c r="B11963" t="s">
        <v>406</v>
      </c>
      <c r="C11963" t="s">
        <v>456</v>
      </c>
      <c r="D11963" t="s">
        <v>473</v>
      </c>
      <c r="E11963" t="s">
        <v>474</v>
      </c>
      <c r="F11963" t="s">
        <v>410</v>
      </c>
      <c r="G11963">
        <v>126</v>
      </c>
      <c r="I11963">
        <v>126</v>
      </c>
    </row>
    <row r="11964" spans="1:17" x14ac:dyDescent="0.2">
      <c r="A11964" s="121">
        <v>43190</v>
      </c>
      <c r="B11964" t="s">
        <v>406</v>
      </c>
      <c r="C11964" t="s">
        <v>456</v>
      </c>
      <c r="D11964" t="s">
        <v>475</v>
      </c>
      <c r="E11964" t="s">
        <v>476</v>
      </c>
      <c r="F11964" t="s">
        <v>410</v>
      </c>
      <c r="G11964">
        <v>295</v>
      </c>
      <c r="I11964">
        <v>293</v>
      </c>
    </row>
    <row r="11965" spans="1:17" x14ac:dyDescent="0.2">
      <c r="A11965" s="121">
        <v>43190</v>
      </c>
      <c r="B11965" t="s">
        <v>406</v>
      </c>
      <c r="C11965" t="s">
        <v>456</v>
      </c>
      <c r="D11965" t="s">
        <v>477</v>
      </c>
      <c r="E11965" t="s">
        <v>478</v>
      </c>
      <c r="F11965" t="s">
        <v>413</v>
      </c>
      <c r="G11965">
        <v>2110</v>
      </c>
      <c r="H11965">
        <v>2110</v>
      </c>
      <c r="I11965">
        <v>2010</v>
      </c>
      <c r="J11965">
        <v>2010</v>
      </c>
      <c r="K11965">
        <v>477</v>
      </c>
      <c r="L11965">
        <v>3</v>
      </c>
      <c r="M11965">
        <v>1587</v>
      </c>
      <c r="N11965">
        <v>28</v>
      </c>
      <c r="O11965">
        <v>15</v>
      </c>
      <c r="P11965">
        <v>6</v>
      </c>
      <c r="Q11965">
        <v>0</v>
      </c>
    </row>
    <row r="11966" spans="1:17" x14ac:dyDescent="0.2">
      <c r="A11966" s="121">
        <v>43190</v>
      </c>
      <c r="B11966" t="s">
        <v>406</v>
      </c>
      <c r="C11966" t="s">
        <v>456</v>
      </c>
      <c r="D11966" t="s">
        <v>479</v>
      </c>
      <c r="E11966" t="s">
        <v>480</v>
      </c>
      <c r="F11966" t="s">
        <v>410</v>
      </c>
      <c r="G11966">
        <v>48</v>
      </c>
      <c r="I11966">
        <v>48</v>
      </c>
    </row>
    <row r="11967" spans="1:17" x14ac:dyDescent="0.2">
      <c r="A11967" s="121">
        <v>43190</v>
      </c>
      <c r="B11967" t="s">
        <v>406</v>
      </c>
      <c r="C11967" t="s">
        <v>456</v>
      </c>
      <c r="D11967" t="s">
        <v>481</v>
      </c>
      <c r="E11967" t="s">
        <v>482</v>
      </c>
      <c r="F11967" t="s">
        <v>410</v>
      </c>
      <c r="G11967">
        <v>16</v>
      </c>
      <c r="I11967">
        <v>16</v>
      </c>
    </row>
    <row r="11968" spans="1:17" x14ac:dyDescent="0.2">
      <c r="A11968" s="121">
        <v>43190</v>
      </c>
      <c r="B11968" t="s">
        <v>406</v>
      </c>
      <c r="C11968" t="s">
        <v>456</v>
      </c>
      <c r="D11968" t="s">
        <v>483</v>
      </c>
      <c r="E11968" t="s">
        <v>484</v>
      </c>
      <c r="F11968" t="s">
        <v>410</v>
      </c>
      <c r="G11968">
        <v>84</v>
      </c>
      <c r="I11968">
        <v>84</v>
      </c>
    </row>
    <row r="11969" spans="1:17" x14ac:dyDescent="0.2">
      <c r="A11969" s="121">
        <v>43190</v>
      </c>
      <c r="B11969" t="s">
        <v>406</v>
      </c>
      <c r="C11969" t="s">
        <v>456</v>
      </c>
      <c r="D11969" t="s">
        <v>487</v>
      </c>
      <c r="E11969" t="s">
        <v>488</v>
      </c>
      <c r="F11969" t="s">
        <v>410</v>
      </c>
      <c r="G11969">
        <v>21</v>
      </c>
      <c r="I11969">
        <v>21</v>
      </c>
    </row>
    <row r="11970" spans="1:17" x14ac:dyDescent="0.2">
      <c r="A11970" s="121">
        <v>43190</v>
      </c>
      <c r="B11970" t="s">
        <v>406</v>
      </c>
      <c r="C11970" t="s">
        <v>456</v>
      </c>
      <c r="D11970" t="s">
        <v>489</v>
      </c>
      <c r="E11970" t="s">
        <v>490</v>
      </c>
      <c r="F11970" t="s">
        <v>410</v>
      </c>
      <c r="G11970">
        <v>75</v>
      </c>
      <c r="I11970">
        <v>75</v>
      </c>
    </row>
    <row r="11971" spans="1:17" x14ac:dyDescent="0.2">
      <c r="A11971" s="121">
        <v>43190</v>
      </c>
      <c r="B11971" t="s">
        <v>406</v>
      </c>
      <c r="C11971" t="s">
        <v>456</v>
      </c>
      <c r="D11971" t="s">
        <v>628</v>
      </c>
      <c r="E11971" t="s">
        <v>629</v>
      </c>
      <c r="F11971" t="s">
        <v>410</v>
      </c>
      <c r="G11971">
        <v>68</v>
      </c>
      <c r="I11971">
        <v>68</v>
      </c>
    </row>
    <row r="11972" spans="1:17" x14ac:dyDescent="0.2">
      <c r="A11972" s="121">
        <v>43190</v>
      </c>
      <c r="B11972" t="s">
        <v>406</v>
      </c>
      <c r="C11972" t="s">
        <v>491</v>
      </c>
      <c r="D11972" t="s">
        <v>492</v>
      </c>
      <c r="E11972" t="s">
        <v>493</v>
      </c>
      <c r="F11972" t="s">
        <v>410</v>
      </c>
      <c r="G11972">
        <v>1422</v>
      </c>
      <c r="H11972">
        <v>1422</v>
      </c>
      <c r="I11972">
        <v>1367</v>
      </c>
      <c r="J11972">
        <v>1367</v>
      </c>
      <c r="K11972">
        <v>211</v>
      </c>
      <c r="L11972">
        <v>0</v>
      </c>
      <c r="M11972">
        <v>1101</v>
      </c>
      <c r="N11972">
        <v>96</v>
      </c>
      <c r="O11972">
        <v>14</v>
      </c>
      <c r="P11972">
        <v>0</v>
      </c>
      <c r="Q11972">
        <v>0</v>
      </c>
    </row>
    <row r="11973" spans="1:17" x14ac:dyDescent="0.2">
      <c r="A11973" s="121">
        <v>43190</v>
      </c>
      <c r="B11973" t="s">
        <v>406</v>
      </c>
      <c r="C11973" t="s">
        <v>491</v>
      </c>
      <c r="D11973" t="s">
        <v>494</v>
      </c>
      <c r="E11973" t="s">
        <v>495</v>
      </c>
      <c r="F11973" t="s">
        <v>413</v>
      </c>
      <c r="G11973">
        <v>2645</v>
      </c>
      <c r="H11973">
        <v>2645</v>
      </c>
      <c r="I11973">
        <v>2365</v>
      </c>
      <c r="J11973">
        <v>2365</v>
      </c>
      <c r="K11973">
        <v>703</v>
      </c>
      <c r="L11973">
        <v>6</v>
      </c>
      <c r="M11973">
        <v>1774</v>
      </c>
      <c r="N11973">
        <v>43</v>
      </c>
      <c r="O11973">
        <v>119</v>
      </c>
      <c r="P11973">
        <v>13</v>
      </c>
      <c r="Q11973">
        <v>1</v>
      </c>
    </row>
    <row r="11974" spans="1:17" x14ac:dyDescent="0.2">
      <c r="A11974" s="121">
        <v>43190</v>
      </c>
      <c r="B11974" t="s">
        <v>406</v>
      </c>
      <c r="C11974" t="s">
        <v>491</v>
      </c>
      <c r="D11974" t="s">
        <v>496</v>
      </c>
      <c r="E11974" t="s">
        <v>497</v>
      </c>
      <c r="F11974" t="s">
        <v>413</v>
      </c>
      <c r="G11974">
        <v>5661</v>
      </c>
      <c r="H11974">
        <v>5661</v>
      </c>
      <c r="I11974">
        <v>4632</v>
      </c>
      <c r="J11974">
        <v>4632</v>
      </c>
      <c r="K11974">
        <v>1833</v>
      </c>
      <c r="L11974">
        <v>13</v>
      </c>
      <c r="M11974">
        <v>3548</v>
      </c>
      <c r="N11974">
        <v>120</v>
      </c>
      <c r="O11974">
        <v>147</v>
      </c>
      <c r="P11974">
        <v>182</v>
      </c>
      <c r="Q11974">
        <v>9</v>
      </c>
    </row>
    <row r="11975" spans="1:17" x14ac:dyDescent="0.2">
      <c r="A11975" s="121">
        <v>43190</v>
      </c>
      <c r="B11975" t="s">
        <v>406</v>
      </c>
      <c r="C11975" t="s">
        <v>491</v>
      </c>
      <c r="D11975" t="s">
        <v>498</v>
      </c>
      <c r="E11975" t="s">
        <v>499</v>
      </c>
      <c r="F11975" t="s">
        <v>413</v>
      </c>
      <c r="G11975">
        <v>7878</v>
      </c>
      <c r="H11975">
        <v>7878</v>
      </c>
      <c r="I11975">
        <v>6398</v>
      </c>
      <c r="J11975">
        <v>6398</v>
      </c>
      <c r="K11975">
        <v>2321</v>
      </c>
      <c r="L11975">
        <v>14</v>
      </c>
      <c r="M11975">
        <v>4954</v>
      </c>
      <c r="N11975">
        <v>161</v>
      </c>
      <c r="O11975">
        <v>428</v>
      </c>
      <c r="P11975">
        <v>74</v>
      </c>
      <c r="Q11975">
        <v>0</v>
      </c>
    </row>
    <row r="11976" spans="1:17" x14ac:dyDescent="0.2">
      <c r="A11976" s="121">
        <v>43190</v>
      </c>
      <c r="B11976" t="s">
        <v>406</v>
      </c>
      <c r="C11976" t="s">
        <v>491</v>
      </c>
      <c r="D11976" t="s">
        <v>500</v>
      </c>
      <c r="E11976" t="s">
        <v>620</v>
      </c>
      <c r="F11976" t="s">
        <v>410</v>
      </c>
      <c r="G11976">
        <v>1677</v>
      </c>
      <c r="H11976">
        <v>1677</v>
      </c>
      <c r="I11976">
        <v>1677</v>
      </c>
      <c r="J11976">
        <v>1677</v>
      </c>
      <c r="K11976">
        <v>0</v>
      </c>
      <c r="L11976">
        <v>0</v>
      </c>
      <c r="M11976">
        <v>1540</v>
      </c>
      <c r="N11976">
        <v>109</v>
      </c>
      <c r="O11976">
        <v>28</v>
      </c>
      <c r="P11976">
        <v>0</v>
      </c>
      <c r="Q11976">
        <v>0</v>
      </c>
    </row>
    <row r="11977" spans="1:17" x14ac:dyDescent="0.2">
      <c r="A11977" s="121">
        <v>43190</v>
      </c>
      <c r="B11977" t="s">
        <v>406</v>
      </c>
      <c r="C11977" t="s">
        <v>491</v>
      </c>
      <c r="D11977" t="s">
        <v>502</v>
      </c>
      <c r="E11977" t="s">
        <v>615</v>
      </c>
      <c r="F11977" t="s">
        <v>410</v>
      </c>
      <c r="G11977">
        <v>2757</v>
      </c>
      <c r="H11977">
        <v>2757</v>
      </c>
      <c r="I11977">
        <v>2755</v>
      </c>
      <c r="J11977">
        <v>2755</v>
      </c>
      <c r="K11977">
        <v>0</v>
      </c>
      <c r="L11977">
        <v>0</v>
      </c>
      <c r="M11977">
        <v>2431</v>
      </c>
      <c r="N11977">
        <v>260</v>
      </c>
      <c r="O11977">
        <v>66</v>
      </c>
      <c r="P11977">
        <v>0</v>
      </c>
      <c r="Q11977">
        <v>0</v>
      </c>
    </row>
    <row r="11978" spans="1:17" x14ac:dyDescent="0.2">
      <c r="A11978" s="121">
        <v>43190</v>
      </c>
      <c r="B11978" t="s">
        <v>406</v>
      </c>
      <c r="C11978" t="s">
        <v>491</v>
      </c>
      <c r="D11978" t="s">
        <v>504</v>
      </c>
      <c r="E11978" t="s">
        <v>630</v>
      </c>
      <c r="F11978" t="s">
        <v>413</v>
      </c>
      <c r="G11978">
        <v>8250</v>
      </c>
      <c r="H11978">
        <v>8250</v>
      </c>
      <c r="I11978">
        <v>6567</v>
      </c>
      <c r="J11978">
        <v>6567</v>
      </c>
      <c r="K11978">
        <v>2676</v>
      </c>
      <c r="L11978">
        <v>18</v>
      </c>
      <c r="M11978">
        <v>5241</v>
      </c>
      <c r="N11978">
        <v>116</v>
      </c>
      <c r="O11978">
        <v>199</v>
      </c>
      <c r="P11978">
        <v>228</v>
      </c>
      <c r="Q11978">
        <v>43</v>
      </c>
    </row>
    <row r="11979" spans="1:17" x14ac:dyDescent="0.2">
      <c r="A11979" s="121">
        <v>43190</v>
      </c>
      <c r="B11979" t="s">
        <v>406</v>
      </c>
      <c r="C11979" t="s">
        <v>491</v>
      </c>
      <c r="D11979" t="s">
        <v>506</v>
      </c>
      <c r="E11979" t="s">
        <v>507</v>
      </c>
      <c r="F11979" t="s">
        <v>413</v>
      </c>
      <c r="G11979">
        <v>5768</v>
      </c>
      <c r="H11979">
        <v>5768</v>
      </c>
      <c r="I11979">
        <v>5425</v>
      </c>
      <c r="J11979">
        <v>5425</v>
      </c>
      <c r="K11979">
        <v>1212</v>
      </c>
      <c r="L11979">
        <v>0</v>
      </c>
      <c r="M11979">
        <v>4514</v>
      </c>
      <c r="N11979">
        <v>5</v>
      </c>
      <c r="O11979">
        <v>37</v>
      </c>
      <c r="P11979">
        <v>1</v>
      </c>
      <c r="Q11979">
        <v>1</v>
      </c>
    </row>
    <row r="11980" spans="1:17" x14ac:dyDescent="0.2">
      <c r="A11980" s="121">
        <v>43190</v>
      </c>
      <c r="B11980" t="s">
        <v>406</v>
      </c>
      <c r="C11980" t="s">
        <v>491</v>
      </c>
      <c r="D11980" t="s">
        <v>508</v>
      </c>
      <c r="E11980" t="s">
        <v>631</v>
      </c>
      <c r="F11980" t="s">
        <v>410</v>
      </c>
      <c r="G11980">
        <v>580</v>
      </c>
      <c r="H11980">
        <v>580</v>
      </c>
      <c r="I11980">
        <v>577</v>
      </c>
      <c r="J11980">
        <v>577</v>
      </c>
      <c r="K11980">
        <v>0</v>
      </c>
      <c r="L11980">
        <v>0</v>
      </c>
      <c r="M11980">
        <v>538</v>
      </c>
      <c r="N11980">
        <v>39</v>
      </c>
      <c r="O11980">
        <v>3</v>
      </c>
      <c r="P11980">
        <v>0</v>
      </c>
      <c r="Q11980">
        <v>0</v>
      </c>
    </row>
    <row r="11981" spans="1:17" x14ac:dyDescent="0.2">
      <c r="A11981" s="121">
        <v>43190</v>
      </c>
      <c r="B11981" t="s">
        <v>406</v>
      </c>
      <c r="C11981" t="s">
        <v>510</v>
      </c>
      <c r="D11981" t="s">
        <v>513</v>
      </c>
      <c r="E11981" t="s">
        <v>514</v>
      </c>
      <c r="F11981" t="s">
        <v>410</v>
      </c>
      <c r="G11981">
        <v>621</v>
      </c>
      <c r="I11981">
        <v>617</v>
      </c>
    </row>
    <row r="11982" spans="1:17" x14ac:dyDescent="0.2">
      <c r="A11982" s="121">
        <v>43190</v>
      </c>
      <c r="B11982" t="s">
        <v>406</v>
      </c>
      <c r="C11982" t="s">
        <v>510</v>
      </c>
      <c r="D11982" t="s">
        <v>515</v>
      </c>
      <c r="E11982" t="s">
        <v>516</v>
      </c>
      <c r="F11982" t="s">
        <v>410</v>
      </c>
      <c r="G11982">
        <v>124</v>
      </c>
      <c r="I11982">
        <v>123</v>
      </c>
    </row>
    <row r="11983" spans="1:17" x14ac:dyDescent="0.2">
      <c r="A11983" s="121">
        <v>43190</v>
      </c>
      <c r="B11983" t="s">
        <v>406</v>
      </c>
      <c r="C11983" t="s">
        <v>510</v>
      </c>
      <c r="D11983" t="s">
        <v>519</v>
      </c>
      <c r="E11983" t="s">
        <v>520</v>
      </c>
      <c r="F11983" t="s">
        <v>410</v>
      </c>
      <c r="G11983">
        <v>313</v>
      </c>
      <c r="I11983">
        <v>311</v>
      </c>
    </row>
    <row r="11984" spans="1:17" x14ac:dyDescent="0.2">
      <c r="A11984" s="121">
        <v>43190</v>
      </c>
      <c r="B11984" t="s">
        <v>406</v>
      </c>
      <c r="C11984" t="s">
        <v>510</v>
      </c>
      <c r="D11984" t="s">
        <v>523</v>
      </c>
      <c r="E11984" t="s">
        <v>524</v>
      </c>
      <c r="F11984" t="s">
        <v>413</v>
      </c>
      <c r="G11984">
        <v>690</v>
      </c>
      <c r="H11984">
        <v>690</v>
      </c>
      <c r="I11984">
        <v>660</v>
      </c>
      <c r="J11984">
        <v>660</v>
      </c>
      <c r="K11984">
        <v>159</v>
      </c>
      <c r="L11984">
        <v>1</v>
      </c>
      <c r="M11984">
        <v>514</v>
      </c>
      <c r="N11984">
        <v>16</v>
      </c>
      <c r="O11984">
        <v>0</v>
      </c>
      <c r="P11984">
        <v>1</v>
      </c>
      <c r="Q11984">
        <v>0</v>
      </c>
    </row>
    <row r="11985" spans="1:17" x14ac:dyDescent="0.2">
      <c r="A11985" s="121">
        <v>43190</v>
      </c>
      <c r="B11985" t="s">
        <v>406</v>
      </c>
      <c r="C11985" t="s">
        <v>510</v>
      </c>
      <c r="D11985" t="s">
        <v>525</v>
      </c>
      <c r="E11985" t="s">
        <v>526</v>
      </c>
      <c r="F11985" t="s">
        <v>410</v>
      </c>
      <c r="G11985">
        <v>474</v>
      </c>
      <c r="I11985">
        <v>473</v>
      </c>
    </row>
    <row r="11986" spans="1:17" x14ac:dyDescent="0.2">
      <c r="A11986" s="121">
        <v>43190</v>
      </c>
      <c r="B11986" t="s">
        <v>406</v>
      </c>
      <c r="C11986" t="s">
        <v>510</v>
      </c>
      <c r="D11986" t="s">
        <v>527</v>
      </c>
      <c r="E11986" t="s">
        <v>528</v>
      </c>
      <c r="F11986" t="s">
        <v>410</v>
      </c>
      <c r="G11986">
        <v>121</v>
      </c>
      <c r="I11986">
        <v>121</v>
      </c>
    </row>
    <row r="11987" spans="1:17" x14ac:dyDescent="0.2">
      <c r="A11987" s="121">
        <v>43190</v>
      </c>
      <c r="B11987" t="s">
        <v>406</v>
      </c>
      <c r="C11987" t="s">
        <v>510</v>
      </c>
      <c r="D11987" t="s">
        <v>529</v>
      </c>
      <c r="E11987" t="s">
        <v>530</v>
      </c>
      <c r="F11987" t="s">
        <v>413</v>
      </c>
      <c r="G11987">
        <v>642</v>
      </c>
      <c r="H11987">
        <v>642</v>
      </c>
      <c r="I11987">
        <v>623</v>
      </c>
      <c r="J11987">
        <v>623</v>
      </c>
      <c r="K11987">
        <v>194</v>
      </c>
      <c r="L11987">
        <v>1</v>
      </c>
      <c r="M11987">
        <v>445</v>
      </c>
      <c r="N11987">
        <v>2</v>
      </c>
      <c r="O11987">
        <v>0</v>
      </c>
      <c r="P11987">
        <v>3</v>
      </c>
      <c r="Q11987">
        <v>1</v>
      </c>
    </row>
    <row r="11988" spans="1:17" x14ac:dyDescent="0.2">
      <c r="A11988" s="121">
        <v>43190</v>
      </c>
      <c r="B11988" t="s">
        <v>406</v>
      </c>
      <c r="C11988" t="s">
        <v>510</v>
      </c>
      <c r="D11988" t="s">
        <v>531</v>
      </c>
      <c r="E11988" t="s">
        <v>532</v>
      </c>
      <c r="F11988" t="s">
        <v>410</v>
      </c>
      <c r="G11988">
        <v>47</v>
      </c>
      <c r="I11988">
        <v>47</v>
      </c>
    </row>
    <row r="11989" spans="1:17" x14ac:dyDescent="0.2">
      <c r="A11989" s="121">
        <v>43190</v>
      </c>
      <c r="B11989" t="s">
        <v>406</v>
      </c>
      <c r="C11989" t="s">
        <v>510</v>
      </c>
      <c r="D11989" t="s">
        <v>533</v>
      </c>
      <c r="E11989" t="s">
        <v>534</v>
      </c>
      <c r="F11989" t="s">
        <v>413</v>
      </c>
      <c r="G11989">
        <v>2978</v>
      </c>
      <c r="H11989">
        <v>2978</v>
      </c>
      <c r="I11989">
        <v>2728</v>
      </c>
      <c r="J11989">
        <v>2728</v>
      </c>
      <c r="K11989">
        <v>768</v>
      </c>
      <c r="L11989">
        <v>4</v>
      </c>
      <c r="M11989">
        <v>2193</v>
      </c>
      <c r="N11989">
        <v>13</v>
      </c>
      <c r="O11989">
        <v>0</v>
      </c>
      <c r="P11989">
        <v>27</v>
      </c>
      <c r="Q11989">
        <v>3</v>
      </c>
    </row>
    <row r="11990" spans="1:17" x14ac:dyDescent="0.2">
      <c r="A11990" s="121">
        <v>43190</v>
      </c>
      <c r="B11990" t="s">
        <v>406</v>
      </c>
      <c r="C11990" t="s">
        <v>510</v>
      </c>
      <c r="D11990" t="s">
        <v>535</v>
      </c>
      <c r="E11990" t="s">
        <v>536</v>
      </c>
      <c r="F11990" t="s">
        <v>410</v>
      </c>
      <c r="G11990">
        <v>361</v>
      </c>
      <c r="I11990">
        <v>361</v>
      </c>
    </row>
    <row r="11991" spans="1:17" x14ac:dyDescent="0.2">
      <c r="A11991" s="121">
        <v>43190</v>
      </c>
      <c r="B11991" t="s">
        <v>406</v>
      </c>
      <c r="C11991" t="s">
        <v>510</v>
      </c>
      <c r="D11991" t="s">
        <v>537</v>
      </c>
      <c r="E11991" t="s">
        <v>538</v>
      </c>
      <c r="F11991" t="s">
        <v>410</v>
      </c>
      <c r="G11991">
        <v>71</v>
      </c>
      <c r="I11991">
        <v>71</v>
      </c>
    </row>
    <row r="11992" spans="1:17" x14ac:dyDescent="0.2">
      <c r="A11992" s="121">
        <v>43190</v>
      </c>
      <c r="B11992" t="s">
        <v>406</v>
      </c>
      <c r="C11992" t="s">
        <v>510</v>
      </c>
      <c r="D11992" t="s">
        <v>539</v>
      </c>
      <c r="E11992" t="s">
        <v>540</v>
      </c>
      <c r="F11992" t="s">
        <v>413</v>
      </c>
      <c r="G11992">
        <v>738</v>
      </c>
      <c r="H11992">
        <v>738</v>
      </c>
      <c r="I11992">
        <v>714</v>
      </c>
      <c r="J11992">
        <v>714</v>
      </c>
      <c r="K11992">
        <v>154</v>
      </c>
      <c r="L11992">
        <v>1</v>
      </c>
      <c r="M11992">
        <v>580</v>
      </c>
      <c r="N11992">
        <v>3</v>
      </c>
      <c r="O11992">
        <v>0</v>
      </c>
      <c r="P11992">
        <v>2</v>
      </c>
      <c r="Q11992">
        <v>0</v>
      </c>
    </row>
    <row r="11993" spans="1:17" x14ac:dyDescent="0.2">
      <c r="A11993" s="121">
        <v>43190</v>
      </c>
      <c r="B11993" t="s">
        <v>406</v>
      </c>
      <c r="C11993" t="s">
        <v>510</v>
      </c>
      <c r="D11993" t="s">
        <v>541</v>
      </c>
      <c r="E11993" t="s">
        <v>542</v>
      </c>
      <c r="F11993" t="s">
        <v>410</v>
      </c>
      <c r="G11993">
        <v>392</v>
      </c>
      <c r="I11993">
        <v>392</v>
      </c>
    </row>
    <row r="11994" spans="1:17" x14ac:dyDescent="0.2">
      <c r="A11994" s="121">
        <v>43190</v>
      </c>
      <c r="B11994" t="s">
        <v>406</v>
      </c>
      <c r="C11994" t="s">
        <v>510</v>
      </c>
      <c r="D11994" t="s">
        <v>543</v>
      </c>
      <c r="E11994" t="s">
        <v>544</v>
      </c>
      <c r="F11994" t="s">
        <v>410</v>
      </c>
      <c r="G11994">
        <v>171</v>
      </c>
      <c r="I11994">
        <v>171</v>
      </c>
    </row>
    <row r="11995" spans="1:17" x14ac:dyDescent="0.2">
      <c r="A11995" s="121">
        <v>43190</v>
      </c>
      <c r="B11995" t="s">
        <v>406</v>
      </c>
      <c r="C11995" t="s">
        <v>510</v>
      </c>
      <c r="D11995" t="s">
        <v>545</v>
      </c>
      <c r="E11995" t="s">
        <v>546</v>
      </c>
      <c r="F11995" t="s">
        <v>410</v>
      </c>
      <c r="G11995">
        <v>51</v>
      </c>
      <c r="I11995">
        <v>51</v>
      </c>
    </row>
    <row r="11996" spans="1:17" x14ac:dyDescent="0.2">
      <c r="A11996" s="121">
        <v>43190</v>
      </c>
      <c r="B11996" t="s">
        <v>406</v>
      </c>
      <c r="C11996" t="s">
        <v>510</v>
      </c>
      <c r="D11996" t="s">
        <v>547</v>
      </c>
      <c r="E11996" t="s">
        <v>548</v>
      </c>
      <c r="F11996" t="s">
        <v>410</v>
      </c>
      <c r="G11996">
        <v>127</v>
      </c>
      <c r="I11996">
        <v>127</v>
      </c>
    </row>
    <row r="11997" spans="1:17" x14ac:dyDescent="0.2">
      <c r="A11997" s="121">
        <v>43190</v>
      </c>
      <c r="B11997" t="s">
        <v>406</v>
      </c>
      <c r="C11997" t="s">
        <v>510</v>
      </c>
      <c r="D11997" t="s">
        <v>616</v>
      </c>
      <c r="E11997" t="s">
        <v>617</v>
      </c>
      <c r="F11997" t="s">
        <v>410</v>
      </c>
      <c r="G11997">
        <v>382</v>
      </c>
      <c r="I11997">
        <v>374</v>
      </c>
    </row>
    <row r="11998" spans="1:17" x14ac:dyDescent="0.2">
      <c r="A11998" s="121">
        <v>43190</v>
      </c>
      <c r="B11998" t="s">
        <v>406</v>
      </c>
      <c r="C11998" t="s">
        <v>510</v>
      </c>
      <c r="D11998" t="s">
        <v>549</v>
      </c>
      <c r="E11998" t="s">
        <v>550</v>
      </c>
      <c r="F11998" t="s">
        <v>410</v>
      </c>
      <c r="G11998">
        <v>131</v>
      </c>
      <c r="I11998">
        <v>131</v>
      </c>
    </row>
    <row r="11999" spans="1:17" x14ac:dyDescent="0.2">
      <c r="A11999" s="121">
        <v>43190</v>
      </c>
      <c r="B11999" t="s">
        <v>406</v>
      </c>
      <c r="C11999" t="s">
        <v>510</v>
      </c>
      <c r="D11999" t="s">
        <v>625</v>
      </c>
      <c r="E11999" t="s">
        <v>626</v>
      </c>
      <c r="F11999" t="s">
        <v>410</v>
      </c>
      <c r="G11999">
        <v>82</v>
      </c>
      <c r="I11999">
        <v>82</v>
      </c>
    </row>
    <row r="12000" spans="1:17" x14ac:dyDescent="0.2">
      <c r="A12000" s="121">
        <v>43190</v>
      </c>
      <c r="B12000" t="s">
        <v>406</v>
      </c>
      <c r="C12000" t="s">
        <v>551</v>
      </c>
      <c r="D12000" t="s">
        <v>552</v>
      </c>
      <c r="E12000" t="s">
        <v>553</v>
      </c>
      <c r="F12000" t="s">
        <v>413</v>
      </c>
      <c r="G12000">
        <v>5746</v>
      </c>
      <c r="H12000">
        <v>5746</v>
      </c>
      <c r="I12000">
        <v>5387</v>
      </c>
      <c r="J12000">
        <v>5387</v>
      </c>
      <c r="K12000">
        <v>1959</v>
      </c>
      <c r="L12000">
        <v>10</v>
      </c>
      <c r="M12000">
        <v>3654</v>
      </c>
      <c r="N12000">
        <v>97</v>
      </c>
      <c r="O12000">
        <v>26</v>
      </c>
      <c r="P12000">
        <v>14</v>
      </c>
      <c r="Q12000">
        <v>3</v>
      </c>
    </row>
    <row r="12001" spans="1:17" x14ac:dyDescent="0.2">
      <c r="A12001" s="121">
        <v>43190</v>
      </c>
      <c r="B12001" t="s">
        <v>406</v>
      </c>
      <c r="C12001" t="s">
        <v>551</v>
      </c>
      <c r="D12001" t="s">
        <v>554</v>
      </c>
      <c r="E12001" t="s">
        <v>555</v>
      </c>
      <c r="F12001" t="s">
        <v>410</v>
      </c>
      <c r="G12001">
        <v>57</v>
      </c>
      <c r="I12001">
        <v>57</v>
      </c>
    </row>
    <row r="12002" spans="1:17" x14ac:dyDescent="0.2">
      <c r="A12002" s="121">
        <v>43190</v>
      </c>
      <c r="B12002" t="s">
        <v>406</v>
      </c>
      <c r="C12002" t="s">
        <v>551</v>
      </c>
      <c r="D12002" t="s">
        <v>556</v>
      </c>
      <c r="E12002" t="s">
        <v>557</v>
      </c>
      <c r="F12002" t="s">
        <v>410</v>
      </c>
      <c r="G12002">
        <v>50</v>
      </c>
      <c r="I12002">
        <v>50</v>
      </c>
    </row>
    <row r="12003" spans="1:17" x14ac:dyDescent="0.2">
      <c r="A12003" s="121">
        <v>43190</v>
      </c>
      <c r="B12003" t="s">
        <v>406</v>
      </c>
      <c r="C12003" t="s">
        <v>551</v>
      </c>
      <c r="D12003" t="s">
        <v>558</v>
      </c>
      <c r="E12003" t="s">
        <v>559</v>
      </c>
      <c r="F12003" t="s">
        <v>413</v>
      </c>
      <c r="G12003">
        <v>5570</v>
      </c>
      <c r="H12003">
        <v>5570</v>
      </c>
      <c r="I12003">
        <v>4860</v>
      </c>
      <c r="J12003">
        <v>4860</v>
      </c>
      <c r="K12003">
        <v>1690</v>
      </c>
      <c r="L12003">
        <v>5</v>
      </c>
      <c r="M12003">
        <v>3769</v>
      </c>
      <c r="N12003">
        <v>82</v>
      </c>
      <c r="O12003">
        <v>24</v>
      </c>
      <c r="P12003">
        <v>123</v>
      </c>
      <c r="Q12003">
        <v>52</v>
      </c>
    </row>
    <row r="12004" spans="1:17" x14ac:dyDescent="0.2">
      <c r="A12004" s="121">
        <v>43190</v>
      </c>
      <c r="B12004" t="s">
        <v>406</v>
      </c>
      <c r="C12004" t="s">
        <v>551</v>
      </c>
      <c r="D12004" t="s">
        <v>560</v>
      </c>
      <c r="E12004" t="s">
        <v>561</v>
      </c>
      <c r="F12004" t="s">
        <v>413</v>
      </c>
      <c r="G12004">
        <v>6229</v>
      </c>
      <c r="H12004">
        <v>6229</v>
      </c>
      <c r="I12004">
        <v>5534</v>
      </c>
      <c r="J12004">
        <v>5534</v>
      </c>
      <c r="K12004">
        <v>1840</v>
      </c>
      <c r="L12004">
        <v>6</v>
      </c>
      <c r="M12004">
        <v>4266</v>
      </c>
      <c r="N12004">
        <v>61</v>
      </c>
      <c r="O12004">
        <v>56</v>
      </c>
      <c r="P12004">
        <v>102</v>
      </c>
      <c r="Q12004">
        <v>16</v>
      </c>
    </row>
    <row r="12005" spans="1:17" x14ac:dyDescent="0.2">
      <c r="A12005" s="121">
        <v>43190</v>
      </c>
      <c r="B12005" t="s">
        <v>406</v>
      </c>
      <c r="C12005" t="s">
        <v>562</v>
      </c>
      <c r="D12005" t="s">
        <v>605</v>
      </c>
      <c r="E12005" t="s">
        <v>606</v>
      </c>
      <c r="F12005" t="s">
        <v>410</v>
      </c>
      <c r="G12005">
        <v>101</v>
      </c>
      <c r="I12005">
        <v>101</v>
      </c>
    </row>
    <row r="12006" spans="1:17" x14ac:dyDescent="0.2">
      <c r="A12006" s="121">
        <v>43190</v>
      </c>
      <c r="B12006" t="s">
        <v>406</v>
      </c>
      <c r="C12006" t="s">
        <v>562</v>
      </c>
      <c r="D12006" t="s">
        <v>563</v>
      </c>
      <c r="E12006" t="s">
        <v>564</v>
      </c>
      <c r="F12006" t="s">
        <v>410</v>
      </c>
      <c r="G12006">
        <v>4324</v>
      </c>
      <c r="H12006">
        <v>4324</v>
      </c>
      <c r="I12006">
        <v>3320</v>
      </c>
      <c r="J12006">
        <v>3320</v>
      </c>
      <c r="K12006">
        <v>1110</v>
      </c>
      <c r="L12006">
        <v>1</v>
      </c>
      <c r="M12006">
        <v>3173</v>
      </c>
      <c r="N12006">
        <v>40</v>
      </c>
      <c r="O12006">
        <v>0</v>
      </c>
      <c r="P12006">
        <v>378</v>
      </c>
      <c r="Q12006">
        <v>212</v>
      </c>
    </row>
    <row r="12007" spans="1:17" x14ac:dyDescent="0.2">
      <c r="A12007" s="121">
        <v>43190</v>
      </c>
      <c r="B12007" t="s">
        <v>406</v>
      </c>
      <c r="C12007" t="s">
        <v>562</v>
      </c>
      <c r="D12007" t="s">
        <v>565</v>
      </c>
      <c r="E12007" t="s">
        <v>566</v>
      </c>
      <c r="F12007" t="s">
        <v>413</v>
      </c>
      <c r="G12007">
        <v>4624</v>
      </c>
      <c r="H12007">
        <v>4624</v>
      </c>
      <c r="I12007">
        <v>3916</v>
      </c>
      <c r="J12007">
        <v>3916</v>
      </c>
      <c r="K12007">
        <v>938</v>
      </c>
      <c r="L12007">
        <v>3</v>
      </c>
      <c r="M12007">
        <v>3607</v>
      </c>
      <c r="N12007">
        <v>76</v>
      </c>
      <c r="O12007">
        <v>0</v>
      </c>
      <c r="P12007">
        <v>79</v>
      </c>
      <c r="Q12007">
        <v>19</v>
      </c>
    </row>
    <row r="12008" spans="1:17" x14ac:dyDescent="0.2">
      <c r="A12008" s="121">
        <v>43190</v>
      </c>
      <c r="B12008" t="s">
        <v>406</v>
      </c>
      <c r="C12008" t="s">
        <v>562</v>
      </c>
      <c r="D12008" t="s">
        <v>567</v>
      </c>
      <c r="E12008" t="s">
        <v>568</v>
      </c>
      <c r="F12008" t="s">
        <v>413</v>
      </c>
      <c r="G12008">
        <v>9940</v>
      </c>
      <c r="H12008">
        <v>9940</v>
      </c>
      <c r="I12008">
        <v>6196</v>
      </c>
      <c r="J12008">
        <v>6196</v>
      </c>
      <c r="K12008">
        <v>2757</v>
      </c>
      <c r="L12008">
        <v>22</v>
      </c>
      <c r="M12008">
        <v>7000</v>
      </c>
      <c r="N12008">
        <v>161</v>
      </c>
      <c r="O12008">
        <v>0</v>
      </c>
      <c r="P12008">
        <v>753</v>
      </c>
      <c r="Q12008">
        <v>274</v>
      </c>
    </row>
    <row r="12009" spans="1:17" x14ac:dyDescent="0.2">
      <c r="A12009" s="121">
        <v>43190</v>
      </c>
      <c r="B12009" t="s">
        <v>406</v>
      </c>
      <c r="C12009" t="s">
        <v>562</v>
      </c>
      <c r="D12009" t="s">
        <v>569</v>
      </c>
      <c r="E12009" t="s">
        <v>570</v>
      </c>
      <c r="F12009" t="s">
        <v>413</v>
      </c>
      <c r="G12009">
        <v>4035</v>
      </c>
      <c r="H12009">
        <v>4035</v>
      </c>
      <c r="I12009">
        <v>3833</v>
      </c>
      <c r="J12009">
        <v>3833</v>
      </c>
      <c r="K12009">
        <v>518</v>
      </c>
      <c r="L12009">
        <v>0</v>
      </c>
      <c r="M12009">
        <v>3517</v>
      </c>
      <c r="N12009">
        <v>0</v>
      </c>
      <c r="O12009">
        <v>0</v>
      </c>
      <c r="P12009">
        <v>4</v>
      </c>
      <c r="Q12009">
        <v>0</v>
      </c>
    </row>
    <row r="12010" spans="1:17" x14ac:dyDescent="0.2">
      <c r="A12010" s="121">
        <v>43190</v>
      </c>
      <c r="B12010" t="s">
        <v>406</v>
      </c>
      <c r="C12010" t="s">
        <v>571</v>
      </c>
      <c r="D12010" t="s">
        <v>572</v>
      </c>
      <c r="E12010" t="s">
        <v>627</v>
      </c>
      <c r="F12010" t="s">
        <v>413</v>
      </c>
      <c r="G12010">
        <v>513</v>
      </c>
      <c r="H12010">
        <v>513</v>
      </c>
      <c r="I12010">
        <v>492</v>
      </c>
      <c r="J12010">
        <v>492</v>
      </c>
      <c r="K12010">
        <v>156</v>
      </c>
      <c r="L12010">
        <v>0</v>
      </c>
      <c r="M12010">
        <v>352</v>
      </c>
      <c r="N12010">
        <v>1</v>
      </c>
      <c r="O12010">
        <v>4</v>
      </c>
      <c r="P12010">
        <v>0</v>
      </c>
      <c r="Q12010">
        <v>0</v>
      </c>
    </row>
    <row r="12011" spans="1:17" x14ac:dyDescent="0.2">
      <c r="A12011" s="121">
        <v>43190</v>
      </c>
      <c r="B12011" t="s">
        <v>406</v>
      </c>
      <c r="C12011" t="s">
        <v>574</v>
      </c>
      <c r="D12011" t="s">
        <v>575</v>
      </c>
      <c r="E12011" t="s">
        <v>576</v>
      </c>
      <c r="F12011" t="s">
        <v>413</v>
      </c>
      <c r="G12011">
        <v>642</v>
      </c>
      <c r="H12011">
        <v>642</v>
      </c>
      <c r="I12011">
        <v>606</v>
      </c>
      <c r="J12011">
        <v>606</v>
      </c>
      <c r="K12011">
        <v>185</v>
      </c>
      <c r="L12011">
        <v>1</v>
      </c>
      <c r="M12011">
        <v>443</v>
      </c>
      <c r="N12011">
        <v>6</v>
      </c>
      <c r="O12011">
        <v>7</v>
      </c>
      <c r="P12011">
        <v>0</v>
      </c>
      <c r="Q12011">
        <v>0</v>
      </c>
    </row>
    <row r="12012" spans="1:17" x14ac:dyDescent="0.2">
      <c r="A12012" s="121">
        <v>43190</v>
      </c>
      <c r="B12012" t="s">
        <v>406</v>
      </c>
      <c r="C12012" t="s">
        <v>577</v>
      </c>
      <c r="D12012" t="s">
        <v>578</v>
      </c>
      <c r="E12012" t="s">
        <v>579</v>
      </c>
      <c r="F12012" t="s">
        <v>413</v>
      </c>
      <c r="G12012">
        <v>4042</v>
      </c>
      <c r="H12012">
        <v>4042</v>
      </c>
      <c r="I12012">
        <v>3908</v>
      </c>
      <c r="J12012">
        <v>3908</v>
      </c>
      <c r="K12012">
        <v>1252</v>
      </c>
      <c r="L12012">
        <v>6</v>
      </c>
      <c r="M12012">
        <v>2486</v>
      </c>
      <c r="N12012">
        <v>251</v>
      </c>
      <c r="O12012">
        <v>47</v>
      </c>
      <c r="P12012">
        <v>4</v>
      </c>
      <c r="Q12012">
        <v>1</v>
      </c>
    </row>
    <row r="12013" spans="1:17" x14ac:dyDescent="0.2">
      <c r="A12013" s="121">
        <v>43190</v>
      </c>
      <c r="B12013" t="s">
        <v>406</v>
      </c>
      <c r="C12013" t="s">
        <v>577</v>
      </c>
      <c r="D12013" t="s">
        <v>580</v>
      </c>
      <c r="E12013" t="s">
        <v>581</v>
      </c>
      <c r="F12013" t="s">
        <v>413</v>
      </c>
      <c r="G12013">
        <v>1897</v>
      </c>
      <c r="H12013">
        <v>1897</v>
      </c>
      <c r="I12013">
        <v>1866</v>
      </c>
      <c r="J12013">
        <v>1866</v>
      </c>
      <c r="K12013">
        <v>335</v>
      </c>
      <c r="L12013">
        <v>0</v>
      </c>
      <c r="M12013">
        <v>1226</v>
      </c>
      <c r="N12013">
        <v>322</v>
      </c>
      <c r="O12013">
        <v>14</v>
      </c>
      <c r="P12013">
        <v>0</v>
      </c>
      <c r="Q12013">
        <v>0</v>
      </c>
    </row>
    <row r="12014" spans="1:17" x14ac:dyDescent="0.2">
      <c r="A12014" s="121">
        <v>43190</v>
      </c>
      <c r="B12014" t="s">
        <v>406</v>
      </c>
      <c r="C12014" t="s">
        <v>577</v>
      </c>
      <c r="D12014" t="s">
        <v>609</v>
      </c>
      <c r="E12014" t="s">
        <v>610</v>
      </c>
      <c r="F12014" t="s">
        <v>410</v>
      </c>
      <c r="G12014">
        <v>27</v>
      </c>
      <c r="H12014">
        <v>27</v>
      </c>
      <c r="I12014">
        <v>27</v>
      </c>
      <c r="J12014">
        <v>27</v>
      </c>
      <c r="K12014">
        <v>0</v>
      </c>
      <c r="L12014">
        <v>0</v>
      </c>
      <c r="M12014">
        <v>23</v>
      </c>
      <c r="N12014">
        <v>4</v>
      </c>
      <c r="O12014">
        <v>0</v>
      </c>
      <c r="P12014">
        <v>0</v>
      </c>
      <c r="Q12014">
        <v>0</v>
      </c>
    </row>
    <row r="12015" spans="1:17" x14ac:dyDescent="0.2">
      <c r="A12015" s="121">
        <v>43190</v>
      </c>
      <c r="B12015" t="s">
        <v>406</v>
      </c>
      <c r="C12015" t="s">
        <v>577</v>
      </c>
      <c r="D12015" t="s">
        <v>584</v>
      </c>
      <c r="E12015" t="s">
        <v>585</v>
      </c>
      <c r="F12015" t="s">
        <v>410</v>
      </c>
      <c r="G12015">
        <v>257</v>
      </c>
      <c r="H12015">
        <v>257</v>
      </c>
      <c r="I12015">
        <v>256</v>
      </c>
      <c r="J12015">
        <v>256</v>
      </c>
      <c r="K12015">
        <v>0</v>
      </c>
      <c r="L12015">
        <v>0</v>
      </c>
      <c r="M12015">
        <v>241</v>
      </c>
      <c r="N12015">
        <v>15</v>
      </c>
      <c r="O12015">
        <v>1</v>
      </c>
      <c r="P12015">
        <v>0</v>
      </c>
      <c r="Q12015">
        <v>0</v>
      </c>
    </row>
    <row r="12016" spans="1:17" x14ac:dyDescent="0.2">
      <c r="A12016" s="121">
        <v>43190</v>
      </c>
      <c r="B12016" t="s">
        <v>406</v>
      </c>
      <c r="C12016" t="s">
        <v>577</v>
      </c>
      <c r="D12016" t="s">
        <v>586</v>
      </c>
      <c r="E12016" t="s">
        <v>587</v>
      </c>
      <c r="F12016" t="s">
        <v>410</v>
      </c>
      <c r="G12016">
        <v>1093</v>
      </c>
      <c r="H12016">
        <v>1093</v>
      </c>
      <c r="I12016">
        <v>1092</v>
      </c>
      <c r="J12016">
        <v>1092</v>
      </c>
      <c r="K12016">
        <v>0</v>
      </c>
      <c r="L12016">
        <v>0</v>
      </c>
      <c r="M12016">
        <v>988</v>
      </c>
      <c r="N12016">
        <v>105</v>
      </c>
      <c r="O12016">
        <v>0</v>
      </c>
      <c r="P12016">
        <v>0</v>
      </c>
      <c r="Q12016">
        <v>0</v>
      </c>
    </row>
    <row r="12017" spans="1:17" x14ac:dyDescent="0.2">
      <c r="A12017" s="121">
        <v>43190</v>
      </c>
      <c r="B12017" t="s">
        <v>406</v>
      </c>
      <c r="C12017" t="s">
        <v>577</v>
      </c>
      <c r="D12017" t="s">
        <v>588</v>
      </c>
      <c r="E12017" t="s">
        <v>589</v>
      </c>
      <c r="F12017" t="s">
        <v>410</v>
      </c>
      <c r="G12017">
        <v>165</v>
      </c>
      <c r="H12017">
        <v>165</v>
      </c>
      <c r="I12017">
        <v>165</v>
      </c>
      <c r="J12017">
        <v>165</v>
      </c>
      <c r="K12017">
        <v>0</v>
      </c>
      <c r="L12017">
        <v>0</v>
      </c>
      <c r="M12017">
        <v>158</v>
      </c>
      <c r="N12017">
        <v>7</v>
      </c>
      <c r="O12017">
        <v>0</v>
      </c>
      <c r="P12017">
        <v>0</v>
      </c>
      <c r="Q12017">
        <v>0</v>
      </c>
    </row>
    <row r="12018" spans="1:17" x14ac:dyDescent="0.2">
      <c r="A12018" s="121">
        <v>43190</v>
      </c>
      <c r="B12018" t="s">
        <v>406</v>
      </c>
      <c r="C12018" t="s">
        <v>577</v>
      </c>
      <c r="D12018" t="s">
        <v>613</v>
      </c>
      <c r="E12018" t="s">
        <v>614</v>
      </c>
      <c r="F12018" t="s">
        <v>410</v>
      </c>
      <c r="G12018">
        <v>66</v>
      </c>
      <c r="H12018">
        <v>66</v>
      </c>
      <c r="I12018">
        <v>65</v>
      </c>
      <c r="J12018">
        <v>65</v>
      </c>
      <c r="K12018">
        <v>0</v>
      </c>
      <c r="L12018">
        <v>0</v>
      </c>
      <c r="M12018">
        <v>62</v>
      </c>
      <c r="N12018">
        <v>3</v>
      </c>
      <c r="O12018">
        <v>1</v>
      </c>
      <c r="P12018">
        <v>0</v>
      </c>
      <c r="Q12018">
        <v>0</v>
      </c>
    </row>
    <row r="12019" spans="1:17" x14ac:dyDescent="0.2">
      <c r="A12019" s="121">
        <v>43190</v>
      </c>
      <c r="B12019" t="s">
        <v>406</v>
      </c>
      <c r="C12019" t="s">
        <v>577</v>
      </c>
      <c r="D12019" t="s">
        <v>590</v>
      </c>
      <c r="E12019" t="s">
        <v>591</v>
      </c>
      <c r="F12019" t="s">
        <v>410</v>
      </c>
      <c r="G12019">
        <v>452</v>
      </c>
      <c r="H12019">
        <v>452</v>
      </c>
      <c r="I12019">
        <v>452</v>
      </c>
      <c r="J12019">
        <v>452</v>
      </c>
      <c r="K12019">
        <v>0</v>
      </c>
      <c r="L12019">
        <v>0</v>
      </c>
      <c r="M12019">
        <v>432</v>
      </c>
      <c r="N12019">
        <v>19</v>
      </c>
      <c r="O12019">
        <v>1</v>
      </c>
      <c r="P12019">
        <v>0</v>
      </c>
      <c r="Q12019">
        <v>0</v>
      </c>
    </row>
    <row r="12020" spans="1:17" x14ac:dyDescent="0.2">
      <c r="A12020" s="121">
        <v>43190</v>
      </c>
      <c r="B12020" t="s">
        <v>406</v>
      </c>
      <c r="C12020" t="s">
        <v>577</v>
      </c>
      <c r="D12020" t="s">
        <v>607</v>
      </c>
      <c r="E12020" t="s">
        <v>608</v>
      </c>
      <c r="F12020" t="s">
        <v>410</v>
      </c>
      <c r="G12020">
        <v>129</v>
      </c>
      <c r="H12020">
        <v>129</v>
      </c>
      <c r="I12020">
        <v>129</v>
      </c>
      <c r="J12020">
        <v>129</v>
      </c>
      <c r="K12020">
        <v>0</v>
      </c>
      <c r="L12020">
        <v>0</v>
      </c>
      <c r="M12020">
        <v>125</v>
      </c>
      <c r="N12020">
        <v>4</v>
      </c>
      <c r="O12020">
        <v>0</v>
      </c>
      <c r="P12020">
        <v>0</v>
      </c>
      <c r="Q12020">
        <v>0</v>
      </c>
    </row>
    <row r="12021" spans="1:17" x14ac:dyDescent="0.2">
      <c r="A12021" s="121">
        <v>43190</v>
      </c>
      <c r="B12021" t="s">
        <v>406</v>
      </c>
      <c r="C12021" t="s">
        <v>577</v>
      </c>
      <c r="D12021" t="s">
        <v>592</v>
      </c>
      <c r="E12021" t="s">
        <v>593</v>
      </c>
      <c r="F12021" t="s">
        <v>410</v>
      </c>
      <c r="G12021">
        <v>285</v>
      </c>
      <c r="H12021">
        <v>285</v>
      </c>
      <c r="I12021">
        <v>285</v>
      </c>
      <c r="J12021">
        <v>285</v>
      </c>
      <c r="K12021">
        <v>0</v>
      </c>
      <c r="L12021">
        <v>0</v>
      </c>
      <c r="M12021">
        <v>273</v>
      </c>
      <c r="N12021">
        <v>12</v>
      </c>
      <c r="O12021">
        <v>0</v>
      </c>
      <c r="P12021">
        <v>0</v>
      </c>
      <c r="Q12021">
        <v>0</v>
      </c>
    </row>
    <row r="12022" spans="1:17" x14ac:dyDescent="0.2">
      <c r="A12022" s="121">
        <v>43190</v>
      </c>
      <c r="B12022" t="s">
        <v>406</v>
      </c>
      <c r="C12022" t="s">
        <v>594</v>
      </c>
      <c r="D12022" t="s">
        <v>595</v>
      </c>
      <c r="E12022" t="s">
        <v>596</v>
      </c>
      <c r="F12022" t="s">
        <v>410</v>
      </c>
      <c r="G12022">
        <v>53</v>
      </c>
      <c r="I12022">
        <v>53</v>
      </c>
    </row>
    <row r="12023" spans="1:17" x14ac:dyDescent="0.2">
      <c r="A12023" s="121">
        <v>43190</v>
      </c>
      <c r="B12023" t="s">
        <v>406</v>
      </c>
      <c r="C12023" t="s">
        <v>594</v>
      </c>
      <c r="D12023" t="s">
        <v>597</v>
      </c>
      <c r="E12023" t="s">
        <v>598</v>
      </c>
      <c r="F12023" t="s">
        <v>413</v>
      </c>
      <c r="G12023">
        <v>580</v>
      </c>
      <c r="H12023">
        <v>580</v>
      </c>
      <c r="I12023">
        <v>562</v>
      </c>
      <c r="J12023">
        <v>562</v>
      </c>
      <c r="K12023">
        <v>165</v>
      </c>
      <c r="L12023">
        <v>0</v>
      </c>
      <c r="M12023">
        <v>395</v>
      </c>
      <c r="N12023">
        <v>8</v>
      </c>
      <c r="O12023">
        <v>12</v>
      </c>
      <c r="P12023">
        <v>0</v>
      </c>
      <c r="Q12023">
        <v>0</v>
      </c>
    </row>
    <row r="12024" spans="1:17" x14ac:dyDescent="0.2">
      <c r="A12024" s="121">
        <v>43190</v>
      </c>
      <c r="B12024" t="s">
        <v>406</v>
      </c>
      <c r="C12024" t="s">
        <v>594</v>
      </c>
      <c r="D12024" t="s">
        <v>599</v>
      </c>
      <c r="E12024" t="s">
        <v>600</v>
      </c>
      <c r="F12024" t="s">
        <v>410</v>
      </c>
      <c r="G12024">
        <v>135</v>
      </c>
      <c r="H12024">
        <v>135</v>
      </c>
      <c r="I12024">
        <v>135</v>
      </c>
      <c r="J12024">
        <v>135</v>
      </c>
      <c r="K12024">
        <v>14</v>
      </c>
      <c r="L12024">
        <v>0</v>
      </c>
      <c r="M12024">
        <v>121</v>
      </c>
      <c r="N12024">
        <v>0</v>
      </c>
      <c r="O12024">
        <v>0</v>
      </c>
      <c r="P12024">
        <v>0</v>
      </c>
      <c r="Q12024">
        <v>0</v>
      </c>
    </row>
    <row r="12025" spans="1:17" x14ac:dyDescent="0.2">
      <c r="A12025" s="121">
        <v>43220</v>
      </c>
      <c r="B12025" t="s">
        <v>406</v>
      </c>
      <c r="C12025" t="s">
        <v>407</v>
      </c>
      <c r="D12025" t="s">
        <v>408</v>
      </c>
      <c r="E12025" t="s">
        <v>409</v>
      </c>
      <c r="F12025" t="s">
        <v>410</v>
      </c>
      <c r="G12025">
        <v>228</v>
      </c>
      <c r="I12025">
        <v>221</v>
      </c>
    </row>
    <row r="12026" spans="1:17" x14ac:dyDescent="0.2">
      <c r="A12026" s="121">
        <v>43220</v>
      </c>
      <c r="B12026" t="s">
        <v>406</v>
      </c>
      <c r="C12026" t="s">
        <v>407</v>
      </c>
      <c r="D12026" t="s">
        <v>601</v>
      </c>
      <c r="E12026" t="s">
        <v>602</v>
      </c>
      <c r="F12026" t="s">
        <v>410</v>
      </c>
      <c r="G12026">
        <v>69</v>
      </c>
      <c r="I12026">
        <v>66</v>
      </c>
    </row>
    <row r="12027" spans="1:17" x14ac:dyDescent="0.2">
      <c r="A12027" s="121">
        <v>43220</v>
      </c>
      <c r="B12027" t="s">
        <v>406</v>
      </c>
      <c r="C12027" t="s">
        <v>407</v>
      </c>
      <c r="D12027" t="s">
        <v>411</v>
      </c>
      <c r="E12027" t="s">
        <v>412</v>
      </c>
      <c r="F12027" t="s">
        <v>413</v>
      </c>
      <c r="G12027">
        <v>5863</v>
      </c>
      <c r="H12027">
        <v>5863</v>
      </c>
      <c r="I12027">
        <v>5374</v>
      </c>
      <c r="J12027">
        <v>5374</v>
      </c>
      <c r="K12027">
        <v>1948</v>
      </c>
      <c r="L12027">
        <v>7</v>
      </c>
      <c r="M12027">
        <v>3610</v>
      </c>
      <c r="N12027">
        <v>48</v>
      </c>
      <c r="O12027">
        <v>250</v>
      </c>
      <c r="P12027">
        <v>130</v>
      </c>
      <c r="Q12027">
        <v>39</v>
      </c>
    </row>
    <row r="12028" spans="1:17" x14ac:dyDescent="0.2">
      <c r="A12028" s="121">
        <v>43220</v>
      </c>
      <c r="B12028" t="s">
        <v>406</v>
      </c>
      <c r="C12028" t="s">
        <v>407</v>
      </c>
      <c r="D12028" t="s">
        <v>416</v>
      </c>
      <c r="E12028" t="s">
        <v>417</v>
      </c>
      <c r="F12028" t="s">
        <v>413</v>
      </c>
      <c r="G12028">
        <v>3234</v>
      </c>
      <c r="H12028">
        <v>3234</v>
      </c>
      <c r="I12028">
        <v>2976</v>
      </c>
      <c r="J12028">
        <v>2976</v>
      </c>
      <c r="K12028">
        <v>854</v>
      </c>
      <c r="L12028">
        <v>7</v>
      </c>
      <c r="M12028">
        <v>2234</v>
      </c>
      <c r="N12028">
        <v>87</v>
      </c>
      <c r="O12028">
        <v>52</v>
      </c>
      <c r="P12028">
        <v>58</v>
      </c>
      <c r="Q12028">
        <v>15</v>
      </c>
    </row>
    <row r="12029" spans="1:17" x14ac:dyDescent="0.2">
      <c r="A12029" s="121">
        <v>43220</v>
      </c>
      <c r="B12029" t="s">
        <v>406</v>
      </c>
      <c r="C12029" t="s">
        <v>407</v>
      </c>
      <c r="D12029" t="s">
        <v>618</v>
      </c>
      <c r="E12029" t="s">
        <v>619</v>
      </c>
      <c r="F12029" t="s">
        <v>410</v>
      </c>
      <c r="G12029">
        <v>63</v>
      </c>
      <c r="I12029">
        <v>63</v>
      </c>
    </row>
    <row r="12030" spans="1:17" x14ac:dyDescent="0.2">
      <c r="A12030" s="121">
        <v>43220</v>
      </c>
      <c r="B12030" t="s">
        <v>406</v>
      </c>
      <c r="C12030" t="s">
        <v>418</v>
      </c>
      <c r="D12030" t="s">
        <v>419</v>
      </c>
      <c r="E12030" t="s">
        <v>420</v>
      </c>
      <c r="F12030" t="s">
        <v>410</v>
      </c>
      <c r="G12030">
        <v>4</v>
      </c>
      <c r="I12030">
        <v>4</v>
      </c>
    </row>
    <row r="12031" spans="1:17" x14ac:dyDescent="0.2">
      <c r="A12031" s="121">
        <v>43220</v>
      </c>
      <c r="B12031" t="s">
        <v>406</v>
      </c>
      <c r="C12031" t="s">
        <v>418</v>
      </c>
      <c r="D12031" t="s">
        <v>421</v>
      </c>
      <c r="E12031" t="s">
        <v>422</v>
      </c>
      <c r="F12031" t="s">
        <v>410</v>
      </c>
      <c r="G12031">
        <v>73</v>
      </c>
      <c r="I12031">
        <v>73</v>
      </c>
    </row>
    <row r="12032" spans="1:17" x14ac:dyDescent="0.2">
      <c r="A12032" s="121">
        <v>43220</v>
      </c>
      <c r="B12032" t="s">
        <v>406</v>
      </c>
      <c r="C12032" t="s">
        <v>418</v>
      </c>
      <c r="D12032" t="s">
        <v>423</v>
      </c>
      <c r="E12032" t="s">
        <v>424</v>
      </c>
      <c r="F12032" t="s">
        <v>410</v>
      </c>
      <c r="G12032">
        <v>11</v>
      </c>
      <c r="I12032">
        <v>11</v>
      </c>
    </row>
    <row r="12033" spans="1:17" x14ac:dyDescent="0.2">
      <c r="A12033" s="121">
        <v>43220</v>
      </c>
      <c r="B12033" t="s">
        <v>406</v>
      </c>
      <c r="C12033" t="s">
        <v>418</v>
      </c>
      <c r="D12033" t="s">
        <v>425</v>
      </c>
      <c r="E12033" t="s">
        <v>426</v>
      </c>
      <c r="F12033" t="s">
        <v>410</v>
      </c>
      <c r="G12033">
        <v>35</v>
      </c>
      <c r="I12033">
        <v>35</v>
      </c>
    </row>
    <row r="12034" spans="1:17" x14ac:dyDescent="0.2">
      <c r="A12034" s="121">
        <v>43220</v>
      </c>
      <c r="B12034" t="s">
        <v>406</v>
      </c>
      <c r="C12034" t="s">
        <v>418</v>
      </c>
      <c r="D12034" t="s">
        <v>427</v>
      </c>
      <c r="E12034" t="s">
        <v>428</v>
      </c>
      <c r="F12034" t="s">
        <v>413</v>
      </c>
      <c r="G12034">
        <v>2545</v>
      </c>
      <c r="H12034">
        <v>2545</v>
      </c>
      <c r="I12034">
        <v>2195</v>
      </c>
      <c r="J12034">
        <v>2195</v>
      </c>
      <c r="K12034">
        <v>848</v>
      </c>
      <c r="L12034">
        <v>2</v>
      </c>
      <c r="M12034">
        <v>1427</v>
      </c>
      <c r="N12034">
        <v>257</v>
      </c>
      <c r="O12034">
        <v>11</v>
      </c>
      <c r="P12034">
        <v>40</v>
      </c>
      <c r="Q12034">
        <v>13</v>
      </c>
    </row>
    <row r="12035" spans="1:17" x14ac:dyDescent="0.2">
      <c r="A12035" s="121">
        <v>43220</v>
      </c>
      <c r="B12035" t="s">
        <v>406</v>
      </c>
      <c r="C12035" t="s">
        <v>429</v>
      </c>
      <c r="D12035" t="s">
        <v>430</v>
      </c>
      <c r="E12035" t="s">
        <v>431</v>
      </c>
      <c r="F12035" t="s">
        <v>410</v>
      </c>
      <c r="G12035">
        <v>22</v>
      </c>
      <c r="I12035">
        <v>22</v>
      </c>
    </row>
    <row r="12036" spans="1:17" x14ac:dyDescent="0.2">
      <c r="A12036" s="121">
        <v>43220</v>
      </c>
      <c r="B12036" t="s">
        <v>406</v>
      </c>
      <c r="C12036" t="s">
        <v>429</v>
      </c>
      <c r="D12036" t="s">
        <v>432</v>
      </c>
      <c r="E12036" t="s">
        <v>433</v>
      </c>
      <c r="F12036" t="s">
        <v>410</v>
      </c>
      <c r="G12036">
        <v>31</v>
      </c>
      <c r="I12036">
        <v>31</v>
      </c>
    </row>
    <row r="12037" spans="1:17" x14ac:dyDescent="0.2">
      <c r="A12037" s="121">
        <v>43220</v>
      </c>
      <c r="B12037" t="s">
        <v>406</v>
      </c>
      <c r="C12037" t="s">
        <v>429</v>
      </c>
      <c r="D12037" t="s">
        <v>434</v>
      </c>
      <c r="E12037" t="s">
        <v>435</v>
      </c>
      <c r="F12037" t="s">
        <v>410</v>
      </c>
      <c r="G12037">
        <v>2</v>
      </c>
      <c r="I12037">
        <v>2</v>
      </c>
    </row>
    <row r="12038" spans="1:17" x14ac:dyDescent="0.2">
      <c r="A12038" s="121">
        <v>43220</v>
      </c>
      <c r="B12038" t="s">
        <v>406</v>
      </c>
      <c r="C12038" t="s">
        <v>429</v>
      </c>
      <c r="D12038" t="s">
        <v>436</v>
      </c>
      <c r="E12038" t="s">
        <v>437</v>
      </c>
      <c r="F12038" t="s">
        <v>410</v>
      </c>
      <c r="G12038">
        <v>7</v>
      </c>
      <c r="H12038">
        <v>7</v>
      </c>
      <c r="I12038">
        <v>7</v>
      </c>
      <c r="J12038">
        <v>7</v>
      </c>
      <c r="K12038">
        <v>0</v>
      </c>
      <c r="L12038">
        <v>0</v>
      </c>
      <c r="M12038">
        <v>6</v>
      </c>
      <c r="N12038">
        <v>1</v>
      </c>
      <c r="O12038">
        <v>0</v>
      </c>
      <c r="P12038">
        <v>0</v>
      </c>
      <c r="Q12038">
        <v>0</v>
      </c>
    </row>
    <row r="12039" spans="1:17" x14ac:dyDescent="0.2">
      <c r="A12039" s="121">
        <v>43220</v>
      </c>
      <c r="B12039" t="s">
        <v>406</v>
      </c>
      <c r="C12039" t="s">
        <v>429</v>
      </c>
      <c r="D12039" t="s">
        <v>438</v>
      </c>
      <c r="E12039" t="s">
        <v>439</v>
      </c>
      <c r="F12039" t="s">
        <v>413</v>
      </c>
      <c r="G12039">
        <v>1018</v>
      </c>
      <c r="H12039">
        <v>1018</v>
      </c>
      <c r="I12039">
        <v>920</v>
      </c>
      <c r="J12039">
        <v>920</v>
      </c>
      <c r="K12039">
        <v>90</v>
      </c>
      <c r="L12039">
        <v>0</v>
      </c>
      <c r="M12039">
        <v>805</v>
      </c>
      <c r="N12039">
        <v>73</v>
      </c>
      <c r="O12039">
        <v>50</v>
      </c>
      <c r="P12039">
        <v>12</v>
      </c>
      <c r="Q12039">
        <v>0</v>
      </c>
    </row>
    <row r="12040" spans="1:17" x14ac:dyDescent="0.2">
      <c r="A12040" s="121">
        <v>43220</v>
      </c>
      <c r="B12040" t="s">
        <v>406</v>
      </c>
      <c r="C12040" t="s">
        <v>429</v>
      </c>
      <c r="D12040" t="s">
        <v>440</v>
      </c>
      <c r="E12040" t="s">
        <v>441</v>
      </c>
      <c r="F12040" t="s">
        <v>413</v>
      </c>
      <c r="G12040">
        <v>2746</v>
      </c>
      <c r="H12040">
        <v>2746</v>
      </c>
      <c r="I12040">
        <v>2506</v>
      </c>
      <c r="J12040">
        <v>2506</v>
      </c>
      <c r="K12040">
        <v>795</v>
      </c>
      <c r="L12040">
        <v>3</v>
      </c>
      <c r="M12040">
        <v>1810</v>
      </c>
      <c r="N12040">
        <v>98</v>
      </c>
      <c r="O12040">
        <v>40</v>
      </c>
      <c r="P12040">
        <v>14</v>
      </c>
      <c r="Q12040">
        <v>1</v>
      </c>
    </row>
    <row r="12041" spans="1:17" x14ac:dyDescent="0.2">
      <c r="A12041" s="121">
        <v>43220</v>
      </c>
      <c r="B12041" t="s">
        <v>406</v>
      </c>
      <c r="C12041" t="s">
        <v>442</v>
      </c>
      <c r="D12041" t="s">
        <v>443</v>
      </c>
      <c r="E12041" t="s">
        <v>444</v>
      </c>
      <c r="F12041" t="s">
        <v>413</v>
      </c>
      <c r="G12041">
        <v>5651</v>
      </c>
      <c r="H12041">
        <v>5651</v>
      </c>
      <c r="I12041">
        <v>5383</v>
      </c>
      <c r="J12041">
        <v>5383</v>
      </c>
      <c r="K12041">
        <v>1730</v>
      </c>
      <c r="L12041">
        <v>14</v>
      </c>
      <c r="M12041">
        <v>3716</v>
      </c>
      <c r="N12041">
        <v>140</v>
      </c>
      <c r="O12041">
        <v>51</v>
      </c>
      <c r="P12041">
        <v>2</v>
      </c>
      <c r="Q12041">
        <v>0</v>
      </c>
    </row>
    <row r="12042" spans="1:17" x14ac:dyDescent="0.2">
      <c r="A12042" s="121">
        <v>43220</v>
      </c>
      <c r="B12042" t="s">
        <v>406</v>
      </c>
      <c r="C12042" t="s">
        <v>442</v>
      </c>
      <c r="D12042" t="s">
        <v>445</v>
      </c>
      <c r="E12042" t="s">
        <v>446</v>
      </c>
      <c r="F12042" t="s">
        <v>410</v>
      </c>
      <c r="G12042">
        <v>147</v>
      </c>
      <c r="H12042">
        <v>147</v>
      </c>
      <c r="I12042">
        <v>147</v>
      </c>
      <c r="J12042">
        <v>147</v>
      </c>
      <c r="K12042">
        <v>0</v>
      </c>
      <c r="L12042">
        <v>0</v>
      </c>
      <c r="M12042">
        <v>143</v>
      </c>
      <c r="N12042">
        <v>4</v>
      </c>
      <c r="O12042">
        <v>0</v>
      </c>
      <c r="P12042">
        <v>0</v>
      </c>
      <c r="Q12042">
        <v>0</v>
      </c>
    </row>
    <row r="12043" spans="1:17" x14ac:dyDescent="0.2">
      <c r="A12043" s="121">
        <v>43220</v>
      </c>
      <c r="B12043" t="s">
        <v>406</v>
      </c>
      <c r="C12043" t="s">
        <v>442</v>
      </c>
      <c r="D12043" t="s">
        <v>447</v>
      </c>
      <c r="E12043" t="s">
        <v>448</v>
      </c>
      <c r="F12043" t="s">
        <v>410</v>
      </c>
      <c r="G12043">
        <v>263</v>
      </c>
      <c r="H12043">
        <v>263</v>
      </c>
      <c r="I12043">
        <v>262</v>
      </c>
      <c r="J12043">
        <v>262</v>
      </c>
      <c r="K12043">
        <v>0</v>
      </c>
      <c r="L12043">
        <v>1</v>
      </c>
      <c r="M12043">
        <v>253</v>
      </c>
      <c r="N12043">
        <v>9</v>
      </c>
      <c r="O12043">
        <v>0</v>
      </c>
      <c r="P12043">
        <v>0</v>
      </c>
      <c r="Q12043">
        <v>0</v>
      </c>
    </row>
    <row r="12044" spans="1:17" x14ac:dyDescent="0.2">
      <c r="A12044" s="121">
        <v>43220</v>
      </c>
      <c r="B12044" t="s">
        <v>406</v>
      </c>
      <c r="C12044" t="s">
        <v>442</v>
      </c>
      <c r="D12044" t="s">
        <v>449</v>
      </c>
      <c r="E12044" t="s">
        <v>624</v>
      </c>
      <c r="F12044" t="s">
        <v>410</v>
      </c>
      <c r="G12044">
        <v>1732</v>
      </c>
      <c r="H12044">
        <v>1732</v>
      </c>
      <c r="I12044">
        <v>1731</v>
      </c>
      <c r="J12044">
        <v>1731</v>
      </c>
      <c r="K12044">
        <v>24</v>
      </c>
      <c r="L12044">
        <v>0</v>
      </c>
      <c r="M12044">
        <v>1542</v>
      </c>
      <c r="N12044">
        <v>149</v>
      </c>
      <c r="O12044">
        <v>17</v>
      </c>
      <c r="P12044">
        <v>0</v>
      </c>
      <c r="Q12044">
        <v>0</v>
      </c>
    </row>
    <row r="12045" spans="1:17" x14ac:dyDescent="0.2">
      <c r="A12045" s="121">
        <v>43220</v>
      </c>
      <c r="B12045" t="s">
        <v>406</v>
      </c>
      <c r="C12045" t="s">
        <v>451</v>
      </c>
      <c r="D12045" t="s">
        <v>454</v>
      </c>
      <c r="E12045" t="s">
        <v>621</v>
      </c>
      <c r="F12045" t="s">
        <v>410</v>
      </c>
      <c r="G12045">
        <v>1621</v>
      </c>
      <c r="H12045">
        <v>1621</v>
      </c>
      <c r="I12045">
        <v>1621</v>
      </c>
      <c r="J12045">
        <v>1621</v>
      </c>
      <c r="K12045">
        <v>2</v>
      </c>
      <c r="L12045">
        <v>0</v>
      </c>
      <c r="M12045">
        <v>1246</v>
      </c>
      <c r="N12045">
        <v>166</v>
      </c>
      <c r="O12045">
        <v>207</v>
      </c>
      <c r="P12045">
        <v>0</v>
      </c>
      <c r="Q12045">
        <v>0</v>
      </c>
    </row>
    <row r="12046" spans="1:17" x14ac:dyDescent="0.2">
      <c r="A12046" s="121">
        <v>43220</v>
      </c>
      <c r="B12046" t="s">
        <v>406</v>
      </c>
      <c r="C12046" t="s">
        <v>451</v>
      </c>
      <c r="D12046" t="s">
        <v>622</v>
      </c>
      <c r="E12046" t="s">
        <v>623</v>
      </c>
      <c r="F12046" t="s">
        <v>413</v>
      </c>
      <c r="G12046">
        <v>5299</v>
      </c>
      <c r="H12046">
        <v>5299</v>
      </c>
      <c r="I12046">
        <v>4319</v>
      </c>
      <c r="J12046">
        <v>4319</v>
      </c>
      <c r="K12046">
        <v>1488</v>
      </c>
      <c r="L12046">
        <v>11</v>
      </c>
      <c r="M12046">
        <v>2993</v>
      </c>
      <c r="N12046">
        <v>55</v>
      </c>
      <c r="O12046">
        <v>752</v>
      </c>
      <c r="P12046">
        <v>126</v>
      </c>
      <c r="Q12046">
        <v>40</v>
      </c>
    </row>
    <row r="12047" spans="1:17" x14ac:dyDescent="0.2">
      <c r="A12047" s="121">
        <v>43220</v>
      </c>
      <c r="B12047" t="s">
        <v>406</v>
      </c>
      <c r="C12047" t="s">
        <v>456</v>
      </c>
      <c r="D12047" t="s">
        <v>457</v>
      </c>
      <c r="E12047" t="s">
        <v>458</v>
      </c>
      <c r="F12047" t="s">
        <v>413</v>
      </c>
      <c r="G12047">
        <v>4883</v>
      </c>
      <c r="H12047">
        <v>4883</v>
      </c>
      <c r="I12047">
        <v>4356</v>
      </c>
      <c r="J12047">
        <v>4356</v>
      </c>
      <c r="K12047">
        <v>1301</v>
      </c>
      <c r="L12047">
        <v>11</v>
      </c>
      <c r="M12047">
        <v>3144</v>
      </c>
      <c r="N12047">
        <v>27</v>
      </c>
      <c r="O12047">
        <v>400</v>
      </c>
      <c r="P12047">
        <v>14</v>
      </c>
      <c r="Q12047">
        <v>1</v>
      </c>
    </row>
    <row r="12048" spans="1:17" x14ac:dyDescent="0.2">
      <c r="A12048" s="121">
        <v>43220</v>
      </c>
      <c r="B12048" t="s">
        <v>406</v>
      </c>
      <c r="C12048" t="s">
        <v>456</v>
      </c>
      <c r="D12048" t="s">
        <v>459</v>
      </c>
      <c r="E12048" t="s">
        <v>460</v>
      </c>
      <c r="F12048" t="s">
        <v>413</v>
      </c>
      <c r="G12048">
        <v>1379</v>
      </c>
      <c r="H12048">
        <v>1379</v>
      </c>
      <c r="I12048">
        <v>1346</v>
      </c>
      <c r="J12048">
        <v>1346</v>
      </c>
      <c r="K12048">
        <v>124</v>
      </c>
      <c r="L12048">
        <v>0</v>
      </c>
      <c r="M12048">
        <v>1173</v>
      </c>
      <c r="N12048">
        <v>0</v>
      </c>
      <c r="O12048">
        <v>82</v>
      </c>
      <c r="P12048">
        <v>1</v>
      </c>
      <c r="Q12048">
        <v>0</v>
      </c>
    </row>
    <row r="12049" spans="1:17" x14ac:dyDescent="0.2">
      <c r="A12049" s="121">
        <v>43220</v>
      </c>
      <c r="B12049" t="s">
        <v>406</v>
      </c>
      <c r="C12049" t="s">
        <v>456</v>
      </c>
      <c r="D12049" t="s">
        <v>461</v>
      </c>
      <c r="E12049" t="s">
        <v>462</v>
      </c>
      <c r="F12049" t="s">
        <v>410</v>
      </c>
      <c r="G12049">
        <v>83</v>
      </c>
      <c r="I12049">
        <v>83</v>
      </c>
    </row>
    <row r="12050" spans="1:17" x14ac:dyDescent="0.2">
      <c r="A12050" s="121">
        <v>43220</v>
      </c>
      <c r="B12050" t="s">
        <v>406</v>
      </c>
      <c r="C12050" t="s">
        <v>456</v>
      </c>
      <c r="D12050" t="s">
        <v>463</v>
      </c>
      <c r="E12050" t="s">
        <v>464</v>
      </c>
      <c r="F12050" t="s">
        <v>410</v>
      </c>
      <c r="G12050">
        <v>12</v>
      </c>
      <c r="I12050">
        <v>12</v>
      </c>
    </row>
    <row r="12051" spans="1:17" x14ac:dyDescent="0.2">
      <c r="A12051" s="121">
        <v>43220</v>
      </c>
      <c r="B12051" t="s">
        <v>406</v>
      </c>
      <c r="C12051" t="s">
        <v>456</v>
      </c>
      <c r="D12051" t="s">
        <v>465</v>
      </c>
      <c r="E12051" t="s">
        <v>466</v>
      </c>
      <c r="F12051" t="s">
        <v>410</v>
      </c>
      <c r="G12051">
        <v>38</v>
      </c>
      <c r="I12051">
        <v>38</v>
      </c>
    </row>
    <row r="12052" spans="1:17" x14ac:dyDescent="0.2">
      <c r="A12052" s="121">
        <v>43220</v>
      </c>
      <c r="B12052" t="s">
        <v>406</v>
      </c>
      <c r="C12052" t="s">
        <v>456</v>
      </c>
      <c r="D12052" t="s">
        <v>467</v>
      </c>
      <c r="E12052" t="s">
        <v>468</v>
      </c>
      <c r="F12052" t="s">
        <v>410</v>
      </c>
      <c r="G12052">
        <v>1420</v>
      </c>
      <c r="I12052">
        <v>1417</v>
      </c>
    </row>
    <row r="12053" spans="1:17" x14ac:dyDescent="0.2">
      <c r="A12053" s="121">
        <v>43220</v>
      </c>
      <c r="B12053" t="s">
        <v>406</v>
      </c>
      <c r="C12053" t="s">
        <v>456</v>
      </c>
      <c r="D12053" t="s">
        <v>469</v>
      </c>
      <c r="E12053" t="s">
        <v>470</v>
      </c>
      <c r="F12053" t="s">
        <v>410</v>
      </c>
      <c r="G12053">
        <v>661</v>
      </c>
      <c r="I12053">
        <v>657</v>
      </c>
    </row>
    <row r="12054" spans="1:17" x14ac:dyDescent="0.2">
      <c r="A12054" s="121">
        <v>43220</v>
      </c>
      <c r="B12054" t="s">
        <v>406</v>
      </c>
      <c r="C12054" t="s">
        <v>456</v>
      </c>
      <c r="D12054" t="s">
        <v>471</v>
      </c>
      <c r="E12054" t="s">
        <v>472</v>
      </c>
      <c r="F12054" t="s">
        <v>410</v>
      </c>
      <c r="G12054">
        <v>261</v>
      </c>
      <c r="I12054">
        <v>259</v>
      </c>
    </row>
    <row r="12055" spans="1:17" x14ac:dyDescent="0.2">
      <c r="A12055" s="121">
        <v>43220</v>
      </c>
      <c r="B12055" t="s">
        <v>406</v>
      </c>
      <c r="C12055" t="s">
        <v>456</v>
      </c>
      <c r="D12055" t="s">
        <v>473</v>
      </c>
      <c r="E12055" t="s">
        <v>474</v>
      </c>
      <c r="F12055" t="s">
        <v>410</v>
      </c>
      <c r="G12055">
        <v>112</v>
      </c>
      <c r="I12055">
        <v>112</v>
      </c>
    </row>
    <row r="12056" spans="1:17" x14ac:dyDescent="0.2">
      <c r="A12056" s="121">
        <v>43220</v>
      </c>
      <c r="B12056" t="s">
        <v>406</v>
      </c>
      <c r="C12056" t="s">
        <v>456</v>
      </c>
      <c r="D12056" t="s">
        <v>475</v>
      </c>
      <c r="E12056" t="s">
        <v>476</v>
      </c>
      <c r="F12056" t="s">
        <v>410</v>
      </c>
      <c r="G12056">
        <v>279</v>
      </c>
      <c r="I12056">
        <v>275</v>
      </c>
    </row>
    <row r="12057" spans="1:17" x14ac:dyDescent="0.2">
      <c r="A12057" s="121">
        <v>43220</v>
      </c>
      <c r="B12057" t="s">
        <v>406</v>
      </c>
      <c r="C12057" t="s">
        <v>456</v>
      </c>
      <c r="D12057" t="s">
        <v>477</v>
      </c>
      <c r="E12057" t="s">
        <v>478</v>
      </c>
      <c r="F12057" t="s">
        <v>413</v>
      </c>
      <c r="G12057">
        <v>2068</v>
      </c>
      <c r="H12057">
        <v>2068</v>
      </c>
      <c r="I12057">
        <v>2006</v>
      </c>
      <c r="J12057">
        <v>2006</v>
      </c>
      <c r="K12057">
        <v>392</v>
      </c>
      <c r="L12057">
        <v>2</v>
      </c>
      <c r="M12057">
        <v>1645</v>
      </c>
      <c r="N12057">
        <v>14</v>
      </c>
      <c r="O12057">
        <v>15</v>
      </c>
      <c r="P12057">
        <v>2</v>
      </c>
      <c r="Q12057">
        <v>0</v>
      </c>
    </row>
    <row r="12058" spans="1:17" x14ac:dyDescent="0.2">
      <c r="A12058" s="121">
        <v>43220</v>
      </c>
      <c r="B12058" t="s">
        <v>406</v>
      </c>
      <c r="C12058" t="s">
        <v>456</v>
      </c>
      <c r="D12058" t="s">
        <v>479</v>
      </c>
      <c r="E12058" t="s">
        <v>480</v>
      </c>
      <c r="F12058" t="s">
        <v>410</v>
      </c>
      <c r="G12058">
        <v>50</v>
      </c>
      <c r="I12058">
        <v>50</v>
      </c>
    </row>
    <row r="12059" spans="1:17" x14ac:dyDescent="0.2">
      <c r="A12059" s="121">
        <v>43220</v>
      </c>
      <c r="B12059" t="s">
        <v>406</v>
      </c>
      <c r="C12059" t="s">
        <v>456</v>
      </c>
      <c r="D12059" t="s">
        <v>481</v>
      </c>
      <c r="E12059" t="s">
        <v>482</v>
      </c>
      <c r="F12059" t="s">
        <v>410</v>
      </c>
      <c r="G12059">
        <v>19</v>
      </c>
      <c r="I12059">
        <v>19</v>
      </c>
    </row>
    <row r="12060" spans="1:17" x14ac:dyDescent="0.2">
      <c r="A12060" s="121">
        <v>43220</v>
      </c>
      <c r="B12060" t="s">
        <v>406</v>
      </c>
      <c r="C12060" t="s">
        <v>456</v>
      </c>
      <c r="D12060" t="s">
        <v>483</v>
      </c>
      <c r="E12060" t="s">
        <v>484</v>
      </c>
      <c r="F12060" t="s">
        <v>410</v>
      </c>
      <c r="G12060">
        <v>103</v>
      </c>
      <c r="I12060">
        <v>103</v>
      </c>
    </row>
    <row r="12061" spans="1:17" x14ac:dyDescent="0.2">
      <c r="A12061" s="121">
        <v>43220</v>
      </c>
      <c r="B12061" t="s">
        <v>406</v>
      </c>
      <c r="C12061" t="s">
        <v>456</v>
      </c>
      <c r="D12061" t="s">
        <v>487</v>
      </c>
      <c r="E12061" t="s">
        <v>488</v>
      </c>
      <c r="F12061" t="s">
        <v>410</v>
      </c>
      <c r="G12061">
        <v>27</v>
      </c>
      <c r="I12061">
        <v>27</v>
      </c>
    </row>
    <row r="12062" spans="1:17" x14ac:dyDescent="0.2">
      <c r="A12062" s="121">
        <v>43220</v>
      </c>
      <c r="B12062" t="s">
        <v>406</v>
      </c>
      <c r="C12062" t="s">
        <v>456</v>
      </c>
      <c r="D12062" t="s">
        <v>489</v>
      </c>
      <c r="E12062" t="s">
        <v>490</v>
      </c>
      <c r="F12062" t="s">
        <v>410</v>
      </c>
      <c r="G12062">
        <v>72</v>
      </c>
      <c r="I12062">
        <v>72</v>
      </c>
    </row>
    <row r="12063" spans="1:17" x14ac:dyDescent="0.2">
      <c r="A12063" s="121">
        <v>43220</v>
      </c>
      <c r="B12063" t="s">
        <v>406</v>
      </c>
      <c r="C12063" t="s">
        <v>456</v>
      </c>
      <c r="D12063" t="s">
        <v>628</v>
      </c>
      <c r="E12063" t="s">
        <v>629</v>
      </c>
      <c r="F12063" t="s">
        <v>410</v>
      </c>
      <c r="G12063">
        <v>51</v>
      </c>
      <c r="I12063">
        <v>51</v>
      </c>
    </row>
    <row r="12064" spans="1:17" x14ac:dyDescent="0.2">
      <c r="A12064" s="121">
        <v>43220</v>
      </c>
      <c r="B12064" t="s">
        <v>406</v>
      </c>
      <c r="C12064" t="s">
        <v>491</v>
      </c>
      <c r="D12064" t="s">
        <v>492</v>
      </c>
      <c r="E12064" t="s">
        <v>493</v>
      </c>
      <c r="F12064" t="s">
        <v>410</v>
      </c>
      <c r="G12064">
        <v>1405</v>
      </c>
      <c r="H12064">
        <v>1405</v>
      </c>
      <c r="I12064">
        <v>1381</v>
      </c>
      <c r="J12064">
        <v>1381</v>
      </c>
      <c r="K12064">
        <v>201</v>
      </c>
      <c r="L12064">
        <v>1</v>
      </c>
      <c r="M12064">
        <v>1108</v>
      </c>
      <c r="N12064">
        <v>82</v>
      </c>
      <c r="O12064">
        <v>13</v>
      </c>
      <c r="P12064">
        <v>0</v>
      </c>
      <c r="Q12064">
        <v>0</v>
      </c>
    </row>
    <row r="12065" spans="1:17" x14ac:dyDescent="0.2">
      <c r="A12065" s="121">
        <v>43220</v>
      </c>
      <c r="B12065" t="s">
        <v>406</v>
      </c>
      <c r="C12065" t="s">
        <v>491</v>
      </c>
      <c r="D12065" t="s">
        <v>494</v>
      </c>
      <c r="E12065" t="s">
        <v>495</v>
      </c>
      <c r="F12065" t="s">
        <v>413</v>
      </c>
      <c r="G12065">
        <v>2586</v>
      </c>
      <c r="H12065">
        <v>2586</v>
      </c>
      <c r="I12065">
        <v>2425</v>
      </c>
      <c r="J12065">
        <v>2425</v>
      </c>
      <c r="K12065">
        <v>623</v>
      </c>
      <c r="L12065">
        <v>2</v>
      </c>
      <c r="M12065">
        <v>1792</v>
      </c>
      <c r="N12065">
        <v>46</v>
      </c>
      <c r="O12065">
        <v>123</v>
      </c>
      <c r="P12065">
        <v>12</v>
      </c>
      <c r="Q12065">
        <v>1</v>
      </c>
    </row>
    <row r="12066" spans="1:17" x14ac:dyDescent="0.2">
      <c r="A12066" s="121">
        <v>43220</v>
      </c>
      <c r="B12066" t="s">
        <v>406</v>
      </c>
      <c r="C12066" t="s">
        <v>491</v>
      </c>
      <c r="D12066" t="s">
        <v>496</v>
      </c>
      <c r="E12066" t="s">
        <v>497</v>
      </c>
      <c r="F12066" t="s">
        <v>413</v>
      </c>
      <c r="G12066">
        <v>5653</v>
      </c>
      <c r="H12066">
        <v>5653</v>
      </c>
      <c r="I12066">
        <v>4773</v>
      </c>
      <c r="J12066">
        <v>4773</v>
      </c>
      <c r="K12066">
        <v>1707</v>
      </c>
      <c r="L12066">
        <v>19</v>
      </c>
      <c r="M12066">
        <v>3644</v>
      </c>
      <c r="N12066">
        <v>142</v>
      </c>
      <c r="O12066">
        <v>141</v>
      </c>
      <c r="P12066">
        <v>133</v>
      </c>
      <c r="Q12066">
        <v>5</v>
      </c>
    </row>
    <row r="12067" spans="1:17" x14ac:dyDescent="0.2">
      <c r="A12067" s="121">
        <v>43220</v>
      </c>
      <c r="B12067" t="s">
        <v>406</v>
      </c>
      <c r="C12067" t="s">
        <v>491</v>
      </c>
      <c r="D12067" t="s">
        <v>498</v>
      </c>
      <c r="E12067" t="s">
        <v>499</v>
      </c>
      <c r="F12067" t="s">
        <v>413</v>
      </c>
      <c r="G12067">
        <v>7785</v>
      </c>
      <c r="H12067">
        <v>7785</v>
      </c>
      <c r="I12067">
        <v>6471</v>
      </c>
      <c r="J12067">
        <v>6471</v>
      </c>
      <c r="K12067">
        <v>2247</v>
      </c>
      <c r="L12067">
        <v>15</v>
      </c>
      <c r="M12067">
        <v>4931</v>
      </c>
      <c r="N12067">
        <v>154</v>
      </c>
      <c r="O12067">
        <v>438</v>
      </c>
      <c r="P12067">
        <v>92</v>
      </c>
      <c r="Q12067">
        <v>12</v>
      </c>
    </row>
    <row r="12068" spans="1:17" x14ac:dyDescent="0.2">
      <c r="A12068" s="121">
        <v>43220</v>
      </c>
      <c r="B12068" t="s">
        <v>406</v>
      </c>
      <c r="C12068" t="s">
        <v>491</v>
      </c>
      <c r="D12068" t="s">
        <v>500</v>
      </c>
      <c r="E12068" t="s">
        <v>620</v>
      </c>
      <c r="F12068" t="s">
        <v>410</v>
      </c>
      <c r="G12068">
        <v>1685</v>
      </c>
      <c r="H12068">
        <v>1685</v>
      </c>
      <c r="I12068">
        <v>1684</v>
      </c>
      <c r="J12068">
        <v>1684</v>
      </c>
      <c r="K12068">
        <v>0</v>
      </c>
      <c r="L12068">
        <v>0</v>
      </c>
      <c r="M12068">
        <v>1551</v>
      </c>
      <c r="N12068">
        <v>108</v>
      </c>
      <c r="O12068">
        <v>26</v>
      </c>
      <c r="P12068">
        <v>0</v>
      </c>
      <c r="Q12068">
        <v>0</v>
      </c>
    </row>
    <row r="12069" spans="1:17" x14ac:dyDescent="0.2">
      <c r="A12069" s="121">
        <v>43220</v>
      </c>
      <c r="B12069" t="s">
        <v>406</v>
      </c>
      <c r="C12069" t="s">
        <v>491</v>
      </c>
      <c r="D12069" t="s">
        <v>502</v>
      </c>
      <c r="E12069" t="s">
        <v>615</v>
      </c>
      <c r="F12069" t="s">
        <v>410</v>
      </c>
      <c r="G12069">
        <v>2787</v>
      </c>
      <c r="H12069">
        <v>2787</v>
      </c>
      <c r="I12069">
        <v>2787</v>
      </c>
      <c r="J12069">
        <v>2787</v>
      </c>
      <c r="K12069">
        <v>1</v>
      </c>
      <c r="L12069">
        <v>1</v>
      </c>
      <c r="M12069">
        <v>2493</v>
      </c>
      <c r="N12069">
        <v>241</v>
      </c>
      <c r="O12069">
        <v>51</v>
      </c>
      <c r="P12069">
        <v>0</v>
      </c>
      <c r="Q12069">
        <v>0</v>
      </c>
    </row>
    <row r="12070" spans="1:17" x14ac:dyDescent="0.2">
      <c r="A12070" s="121">
        <v>43220</v>
      </c>
      <c r="B12070" t="s">
        <v>406</v>
      </c>
      <c r="C12070" t="s">
        <v>491</v>
      </c>
      <c r="D12070" t="s">
        <v>504</v>
      </c>
      <c r="E12070" t="s">
        <v>630</v>
      </c>
      <c r="F12070" t="s">
        <v>413</v>
      </c>
      <c r="G12070">
        <v>8477</v>
      </c>
      <c r="H12070">
        <v>8477</v>
      </c>
      <c r="I12070">
        <v>6716</v>
      </c>
      <c r="J12070">
        <v>6716</v>
      </c>
      <c r="K12070">
        <v>2728</v>
      </c>
      <c r="L12070">
        <v>19</v>
      </c>
      <c r="M12070">
        <v>5361</v>
      </c>
      <c r="N12070">
        <v>79</v>
      </c>
      <c r="O12070">
        <v>290</v>
      </c>
      <c r="P12070">
        <v>170</v>
      </c>
      <c r="Q12070">
        <v>7</v>
      </c>
    </row>
    <row r="12071" spans="1:17" x14ac:dyDescent="0.2">
      <c r="A12071" s="121">
        <v>43220</v>
      </c>
      <c r="B12071" t="s">
        <v>406</v>
      </c>
      <c r="C12071" t="s">
        <v>491</v>
      </c>
      <c r="D12071" t="s">
        <v>506</v>
      </c>
      <c r="E12071" t="s">
        <v>507</v>
      </c>
      <c r="F12071" t="s">
        <v>413</v>
      </c>
      <c r="G12071">
        <v>5381</v>
      </c>
      <c r="H12071">
        <v>5381</v>
      </c>
      <c r="I12071">
        <v>5240</v>
      </c>
      <c r="J12071">
        <v>5240</v>
      </c>
      <c r="K12071">
        <v>990</v>
      </c>
      <c r="L12071">
        <v>1</v>
      </c>
      <c r="M12071">
        <v>4364</v>
      </c>
      <c r="N12071">
        <v>1</v>
      </c>
      <c r="O12071">
        <v>25</v>
      </c>
      <c r="P12071">
        <v>0</v>
      </c>
      <c r="Q12071">
        <v>0</v>
      </c>
    </row>
    <row r="12072" spans="1:17" x14ac:dyDescent="0.2">
      <c r="A12072" s="121">
        <v>43220</v>
      </c>
      <c r="B12072" t="s">
        <v>406</v>
      </c>
      <c r="C12072" t="s">
        <v>491</v>
      </c>
      <c r="D12072" t="s">
        <v>508</v>
      </c>
      <c r="E12072" t="s">
        <v>631</v>
      </c>
      <c r="F12072" t="s">
        <v>410</v>
      </c>
      <c r="G12072">
        <v>348</v>
      </c>
      <c r="H12072">
        <v>348</v>
      </c>
      <c r="I12072">
        <v>348</v>
      </c>
      <c r="J12072">
        <v>348</v>
      </c>
      <c r="K12072">
        <v>0</v>
      </c>
      <c r="L12072">
        <v>0</v>
      </c>
      <c r="M12072">
        <v>326</v>
      </c>
      <c r="N12072">
        <v>22</v>
      </c>
      <c r="O12072">
        <v>0</v>
      </c>
      <c r="P12072">
        <v>0</v>
      </c>
      <c r="Q12072">
        <v>0</v>
      </c>
    </row>
    <row r="12073" spans="1:17" x14ac:dyDescent="0.2">
      <c r="A12073" s="121">
        <v>43220</v>
      </c>
      <c r="B12073" t="s">
        <v>406</v>
      </c>
      <c r="C12073" t="s">
        <v>510</v>
      </c>
      <c r="D12073" t="s">
        <v>513</v>
      </c>
      <c r="E12073" t="s">
        <v>514</v>
      </c>
      <c r="F12073" t="s">
        <v>410</v>
      </c>
      <c r="G12073">
        <v>688</v>
      </c>
      <c r="I12073">
        <v>688</v>
      </c>
    </row>
    <row r="12074" spans="1:17" x14ac:dyDescent="0.2">
      <c r="A12074" s="121">
        <v>43220</v>
      </c>
      <c r="B12074" t="s">
        <v>406</v>
      </c>
      <c r="C12074" t="s">
        <v>510</v>
      </c>
      <c r="D12074" t="s">
        <v>515</v>
      </c>
      <c r="E12074" t="s">
        <v>516</v>
      </c>
      <c r="F12074" t="s">
        <v>410</v>
      </c>
      <c r="G12074">
        <v>127</v>
      </c>
      <c r="I12074">
        <v>127</v>
      </c>
    </row>
    <row r="12075" spans="1:17" x14ac:dyDescent="0.2">
      <c r="A12075" s="121">
        <v>43220</v>
      </c>
      <c r="B12075" t="s">
        <v>406</v>
      </c>
      <c r="C12075" t="s">
        <v>510</v>
      </c>
      <c r="D12075" t="s">
        <v>519</v>
      </c>
      <c r="E12075" t="s">
        <v>520</v>
      </c>
      <c r="F12075" t="s">
        <v>410</v>
      </c>
      <c r="G12075">
        <v>355</v>
      </c>
      <c r="I12075">
        <v>352</v>
      </c>
    </row>
    <row r="12076" spans="1:17" x14ac:dyDescent="0.2">
      <c r="A12076" s="121">
        <v>43220</v>
      </c>
      <c r="B12076" t="s">
        <v>406</v>
      </c>
      <c r="C12076" t="s">
        <v>510</v>
      </c>
      <c r="D12076" t="s">
        <v>523</v>
      </c>
      <c r="E12076" t="s">
        <v>524</v>
      </c>
      <c r="F12076" t="s">
        <v>413</v>
      </c>
      <c r="G12076">
        <v>708</v>
      </c>
      <c r="H12076">
        <v>708</v>
      </c>
      <c r="I12076">
        <v>679</v>
      </c>
      <c r="J12076">
        <v>679</v>
      </c>
      <c r="K12076">
        <v>181</v>
      </c>
      <c r="L12076">
        <v>1</v>
      </c>
      <c r="M12076">
        <v>504</v>
      </c>
      <c r="N12076">
        <v>22</v>
      </c>
      <c r="O12076">
        <v>0</v>
      </c>
      <c r="P12076">
        <v>1</v>
      </c>
      <c r="Q12076">
        <v>0</v>
      </c>
    </row>
    <row r="12077" spans="1:17" x14ac:dyDescent="0.2">
      <c r="A12077" s="121">
        <v>43220</v>
      </c>
      <c r="B12077" t="s">
        <v>406</v>
      </c>
      <c r="C12077" t="s">
        <v>510</v>
      </c>
      <c r="D12077" t="s">
        <v>525</v>
      </c>
      <c r="E12077" t="s">
        <v>526</v>
      </c>
      <c r="F12077" t="s">
        <v>410</v>
      </c>
      <c r="G12077">
        <v>551</v>
      </c>
      <c r="I12077">
        <v>548</v>
      </c>
    </row>
    <row r="12078" spans="1:17" x14ac:dyDescent="0.2">
      <c r="A12078" s="121">
        <v>43220</v>
      </c>
      <c r="B12078" t="s">
        <v>406</v>
      </c>
      <c r="C12078" t="s">
        <v>510</v>
      </c>
      <c r="D12078" t="s">
        <v>527</v>
      </c>
      <c r="E12078" t="s">
        <v>528</v>
      </c>
      <c r="F12078" t="s">
        <v>410</v>
      </c>
      <c r="G12078">
        <v>158</v>
      </c>
      <c r="I12078">
        <v>158</v>
      </c>
    </row>
    <row r="12079" spans="1:17" x14ac:dyDescent="0.2">
      <c r="A12079" s="121">
        <v>43220</v>
      </c>
      <c r="B12079" t="s">
        <v>406</v>
      </c>
      <c r="C12079" t="s">
        <v>510</v>
      </c>
      <c r="D12079" t="s">
        <v>529</v>
      </c>
      <c r="E12079" t="s">
        <v>530</v>
      </c>
      <c r="F12079" t="s">
        <v>413</v>
      </c>
      <c r="G12079">
        <v>640</v>
      </c>
      <c r="H12079">
        <v>640</v>
      </c>
      <c r="I12079">
        <v>617</v>
      </c>
      <c r="J12079">
        <v>617</v>
      </c>
      <c r="K12079">
        <v>194</v>
      </c>
      <c r="L12079">
        <v>1</v>
      </c>
      <c r="M12079">
        <v>442</v>
      </c>
      <c r="N12079">
        <v>3</v>
      </c>
      <c r="O12079">
        <v>0</v>
      </c>
      <c r="P12079">
        <v>2</v>
      </c>
      <c r="Q12079">
        <v>1</v>
      </c>
    </row>
    <row r="12080" spans="1:17" x14ac:dyDescent="0.2">
      <c r="A12080" s="121">
        <v>43220</v>
      </c>
      <c r="B12080" t="s">
        <v>406</v>
      </c>
      <c r="C12080" t="s">
        <v>510</v>
      </c>
      <c r="D12080" t="s">
        <v>531</v>
      </c>
      <c r="E12080" t="s">
        <v>532</v>
      </c>
      <c r="F12080" t="s">
        <v>410</v>
      </c>
      <c r="G12080">
        <v>55</v>
      </c>
      <c r="I12080">
        <v>55</v>
      </c>
    </row>
    <row r="12081" spans="1:17" x14ac:dyDescent="0.2">
      <c r="A12081" s="121">
        <v>43220</v>
      </c>
      <c r="B12081" t="s">
        <v>406</v>
      </c>
      <c r="C12081" t="s">
        <v>510</v>
      </c>
      <c r="D12081" t="s">
        <v>533</v>
      </c>
      <c r="E12081" t="s">
        <v>534</v>
      </c>
      <c r="F12081" t="s">
        <v>413</v>
      </c>
      <c r="G12081">
        <v>2781</v>
      </c>
      <c r="H12081">
        <v>2781</v>
      </c>
      <c r="I12081">
        <v>2587</v>
      </c>
      <c r="J12081">
        <v>2587</v>
      </c>
      <c r="K12081">
        <v>690</v>
      </c>
      <c r="L12081">
        <v>2</v>
      </c>
      <c r="M12081">
        <v>2082</v>
      </c>
      <c r="N12081">
        <v>7</v>
      </c>
      <c r="O12081">
        <v>0</v>
      </c>
      <c r="P12081">
        <v>16</v>
      </c>
      <c r="Q12081">
        <v>1</v>
      </c>
    </row>
    <row r="12082" spans="1:17" x14ac:dyDescent="0.2">
      <c r="A12082" s="121">
        <v>43220</v>
      </c>
      <c r="B12082" t="s">
        <v>406</v>
      </c>
      <c r="C12082" t="s">
        <v>510</v>
      </c>
      <c r="D12082" t="s">
        <v>535</v>
      </c>
      <c r="E12082" t="s">
        <v>536</v>
      </c>
      <c r="F12082" t="s">
        <v>410</v>
      </c>
      <c r="G12082">
        <v>339</v>
      </c>
      <c r="I12082">
        <v>339</v>
      </c>
    </row>
    <row r="12083" spans="1:17" x14ac:dyDescent="0.2">
      <c r="A12083" s="121">
        <v>43220</v>
      </c>
      <c r="B12083" t="s">
        <v>406</v>
      </c>
      <c r="C12083" t="s">
        <v>510</v>
      </c>
      <c r="D12083" t="s">
        <v>537</v>
      </c>
      <c r="E12083" t="s">
        <v>538</v>
      </c>
      <c r="F12083" t="s">
        <v>410</v>
      </c>
      <c r="G12083">
        <v>61</v>
      </c>
      <c r="I12083">
        <v>61</v>
      </c>
    </row>
    <row r="12084" spans="1:17" x14ac:dyDescent="0.2">
      <c r="A12084" s="121">
        <v>43220</v>
      </c>
      <c r="B12084" t="s">
        <v>406</v>
      </c>
      <c r="C12084" t="s">
        <v>510</v>
      </c>
      <c r="D12084" t="s">
        <v>539</v>
      </c>
      <c r="E12084" t="s">
        <v>540</v>
      </c>
      <c r="F12084" t="s">
        <v>413</v>
      </c>
      <c r="G12084">
        <v>814</v>
      </c>
      <c r="H12084">
        <v>814</v>
      </c>
      <c r="I12084">
        <v>792</v>
      </c>
      <c r="J12084">
        <v>792</v>
      </c>
      <c r="K12084">
        <v>134</v>
      </c>
      <c r="L12084">
        <v>0</v>
      </c>
      <c r="M12084">
        <v>668</v>
      </c>
      <c r="N12084">
        <v>12</v>
      </c>
      <c r="O12084">
        <v>0</v>
      </c>
      <c r="P12084">
        <v>0</v>
      </c>
      <c r="Q12084">
        <v>0</v>
      </c>
    </row>
    <row r="12085" spans="1:17" x14ac:dyDescent="0.2">
      <c r="A12085" s="121">
        <v>43220</v>
      </c>
      <c r="B12085" t="s">
        <v>406</v>
      </c>
      <c r="C12085" t="s">
        <v>510</v>
      </c>
      <c r="D12085" t="s">
        <v>541</v>
      </c>
      <c r="E12085" t="s">
        <v>542</v>
      </c>
      <c r="F12085" t="s">
        <v>410</v>
      </c>
      <c r="G12085">
        <v>430</v>
      </c>
      <c r="I12085">
        <v>430</v>
      </c>
    </row>
    <row r="12086" spans="1:17" x14ac:dyDescent="0.2">
      <c r="A12086" s="121">
        <v>43220</v>
      </c>
      <c r="B12086" t="s">
        <v>406</v>
      </c>
      <c r="C12086" t="s">
        <v>510</v>
      </c>
      <c r="D12086" t="s">
        <v>543</v>
      </c>
      <c r="E12086" t="s">
        <v>544</v>
      </c>
      <c r="F12086" t="s">
        <v>410</v>
      </c>
      <c r="G12086">
        <v>170</v>
      </c>
      <c r="I12086">
        <v>170</v>
      </c>
    </row>
    <row r="12087" spans="1:17" x14ac:dyDescent="0.2">
      <c r="A12087" s="121">
        <v>43220</v>
      </c>
      <c r="B12087" t="s">
        <v>406</v>
      </c>
      <c r="C12087" t="s">
        <v>510</v>
      </c>
      <c r="D12087" t="s">
        <v>545</v>
      </c>
      <c r="E12087" t="s">
        <v>546</v>
      </c>
      <c r="F12087" t="s">
        <v>410</v>
      </c>
      <c r="G12087">
        <v>43</v>
      </c>
      <c r="I12087">
        <v>43</v>
      </c>
    </row>
    <row r="12088" spans="1:17" x14ac:dyDescent="0.2">
      <c r="A12088" s="121">
        <v>43220</v>
      </c>
      <c r="B12088" t="s">
        <v>406</v>
      </c>
      <c r="C12088" t="s">
        <v>510</v>
      </c>
      <c r="D12088" t="s">
        <v>547</v>
      </c>
      <c r="E12088" t="s">
        <v>548</v>
      </c>
      <c r="F12088" t="s">
        <v>410</v>
      </c>
      <c r="G12088">
        <v>148</v>
      </c>
      <c r="I12088">
        <v>148</v>
      </c>
    </row>
    <row r="12089" spans="1:17" x14ac:dyDescent="0.2">
      <c r="A12089" s="121">
        <v>43220</v>
      </c>
      <c r="B12089" t="s">
        <v>406</v>
      </c>
      <c r="C12089" t="s">
        <v>510</v>
      </c>
      <c r="D12089" t="s">
        <v>616</v>
      </c>
      <c r="E12089" t="s">
        <v>617</v>
      </c>
      <c r="F12089" t="s">
        <v>410</v>
      </c>
      <c r="G12089">
        <v>336</v>
      </c>
      <c r="I12089">
        <v>329</v>
      </c>
    </row>
    <row r="12090" spans="1:17" x14ac:dyDescent="0.2">
      <c r="A12090" s="121">
        <v>43220</v>
      </c>
      <c r="B12090" t="s">
        <v>406</v>
      </c>
      <c r="C12090" t="s">
        <v>510</v>
      </c>
      <c r="D12090" t="s">
        <v>549</v>
      </c>
      <c r="E12090" t="s">
        <v>550</v>
      </c>
      <c r="F12090" t="s">
        <v>410</v>
      </c>
      <c r="G12090">
        <v>129</v>
      </c>
      <c r="I12090">
        <v>129</v>
      </c>
    </row>
    <row r="12091" spans="1:17" x14ac:dyDescent="0.2">
      <c r="A12091" s="121">
        <v>43220</v>
      </c>
      <c r="B12091" t="s">
        <v>406</v>
      </c>
      <c r="C12091" t="s">
        <v>510</v>
      </c>
      <c r="D12091" t="s">
        <v>625</v>
      </c>
      <c r="E12091" t="s">
        <v>626</v>
      </c>
      <c r="F12091" t="s">
        <v>410</v>
      </c>
      <c r="G12091">
        <v>88</v>
      </c>
      <c r="I12091">
        <v>88</v>
      </c>
    </row>
    <row r="12092" spans="1:17" x14ac:dyDescent="0.2">
      <c r="A12092" s="121">
        <v>43220</v>
      </c>
      <c r="B12092" t="s">
        <v>406</v>
      </c>
      <c r="C12092" t="s">
        <v>551</v>
      </c>
      <c r="D12092" t="s">
        <v>552</v>
      </c>
      <c r="E12092" t="s">
        <v>553</v>
      </c>
      <c r="F12092" t="s">
        <v>413</v>
      </c>
      <c r="G12092">
        <v>5647</v>
      </c>
      <c r="H12092">
        <v>5647</v>
      </c>
      <c r="I12092">
        <v>5380</v>
      </c>
      <c r="J12092">
        <v>5380</v>
      </c>
      <c r="K12092">
        <v>1842</v>
      </c>
      <c r="L12092">
        <v>5</v>
      </c>
      <c r="M12092">
        <v>3661</v>
      </c>
      <c r="N12092">
        <v>124</v>
      </c>
      <c r="O12092">
        <v>15</v>
      </c>
      <c r="P12092">
        <v>10</v>
      </c>
      <c r="Q12092">
        <v>1</v>
      </c>
    </row>
    <row r="12093" spans="1:17" x14ac:dyDescent="0.2">
      <c r="A12093" s="121">
        <v>43220</v>
      </c>
      <c r="B12093" t="s">
        <v>406</v>
      </c>
      <c r="C12093" t="s">
        <v>551</v>
      </c>
      <c r="D12093" t="s">
        <v>554</v>
      </c>
      <c r="E12093" t="s">
        <v>555</v>
      </c>
      <c r="F12093" t="s">
        <v>410</v>
      </c>
      <c r="G12093">
        <v>58</v>
      </c>
      <c r="I12093">
        <v>58</v>
      </c>
    </row>
    <row r="12094" spans="1:17" x14ac:dyDescent="0.2">
      <c r="A12094" s="121">
        <v>43220</v>
      </c>
      <c r="B12094" t="s">
        <v>406</v>
      </c>
      <c r="C12094" t="s">
        <v>551</v>
      </c>
      <c r="D12094" t="s">
        <v>556</v>
      </c>
      <c r="E12094" t="s">
        <v>557</v>
      </c>
      <c r="F12094" t="s">
        <v>410</v>
      </c>
      <c r="G12094">
        <v>67</v>
      </c>
      <c r="I12094">
        <v>67</v>
      </c>
    </row>
    <row r="12095" spans="1:17" x14ac:dyDescent="0.2">
      <c r="A12095" s="121">
        <v>43220</v>
      </c>
      <c r="B12095" t="s">
        <v>406</v>
      </c>
      <c r="C12095" t="s">
        <v>551</v>
      </c>
      <c r="D12095" t="s">
        <v>558</v>
      </c>
      <c r="E12095" t="s">
        <v>559</v>
      </c>
      <c r="F12095" t="s">
        <v>413</v>
      </c>
      <c r="G12095">
        <v>5333</v>
      </c>
      <c r="H12095">
        <v>5333</v>
      </c>
      <c r="I12095">
        <v>4658</v>
      </c>
      <c r="J12095">
        <v>4658</v>
      </c>
      <c r="K12095">
        <v>1669</v>
      </c>
      <c r="L12095">
        <v>8</v>
      </c>
      <c r="M12095">
        <v>3561</v>
      </c>
      <c r="N12095">
        <v>75</v>
      </c>
      <c r="O12095">
        <v>20</v>
      </c>
      <c r="P12095">
        <v>58</v>
      </c>
      <c r="Q12095">
        <v>19</v>
      </c>
    </row>
    <row r="12096" spans="1:17" x14ac:dyDescent="0.2">
      <c r="A12096" s="121">
        <v>43220</v>
      </c>
      <c r="B12096" t="s">
        <v>406</v>
      </c>
      <c r="C12096" t="s">
        <v>551</v>
      </c>
      <c r="D12096" t="s">
        <v>560</v>
      </c>
      <c r="E12096" t="s">
        <v>561</v>
      </c>
      <c r="F12096" t="s">
        <v>413</v>
      </c>
      <c r="G12096">
        <v>6261</v>
      </c>
      <c r="H12096">
        <v>6261</v>
      </c>
      <c r="I12096">
        <v>5440</v>
      </c>
      <c r="J12096">
        <v>5440</v>
      </c>
      <c r="K12096">
        <v>1760</v>
      </c>
      <c r="L12096">
        <v>7</v>
      </c>
      <c r="M12096">
        <v>4317</v>
      </c>
      <c r="N12096">
        <v>60</v>
      </c>
      <c r="O12096">
        <v>117</v>
      </c>
      <c r="P12096">
        <v>105</v>
      </c>
      <c r="Q12096">
        <v>16</v>
      </c>
    </row>
    <row r="12097" spans="1:17" x14ac:dyDescent="0.2">
      <c r="A12097" s="121">
        <v>43220</v>
      </c>
      <c r="B12097" t="s">
        <v>406</v>
      </c>
      <c r="C12097" t="s">
        <v>562</v>
      </c>
      <c r="D12097" t="s">
        <v>605</v>
      </c>
      <c r="E12097" t="s">
        <v>606</v>
      </c>
      <c r="F12097" t="s">
        <v>410</v>
      </c>
      <c r="G12097">
        <v>127</v>
      </c>
      <c r="I12097">
        <v>127</v>
      </c>
    </row>
    <row r="12098" spans="1:17" x14ac:dyDescent="0.2">
      <c r="A12098" s="121">
        <v>43220</v>
      </c>
      <c r="B12098" t="s">
        <v>406</v>
      </c>
      <c r="C12098" t="s">
        <v>562</v>
      </c>
      <c r="D12098" t="s">
        <v>563</v>
      </c>
      <c r="E12098" t="s">
        <v>564</v>
      </c>
      <c r="F12098" t="s">
        <v>410</v>
      </c>
      <c r="G12098">
        <v>4057</v>
      </c>
      <c r="H12098">
        <v>4057</v>
      </c>
      <c r="I12098">
        <v>3322</v>
      </c>
      <c r="J12098">
        <v>3322</v>
      </c>
      <c r="K12098">
        <v>1041</v>
      </c>
      <c r="L12098">
        <v>0</v>
      </c>
      <c r="M12098">
        <v>2995</v>
      </c>
      <c r="N12098">
        <v>21</v>
      </c>
      <c r="O12098">
        <v>0</v>
      </c>
      <c r="P12098">
        <v>248</v>
      </c>
      <c r="Q12098">
        <v>161</v>
      </c>
    </row>
    <row r="12099" spans="1:17" x14ac:dyDescent="0.2">
      <c r="A12099" s="121">
        <v>43220</v>
      </c>
      <c r="B12099" t="s">
        <v>406</v>
      </c>
      <c r="C12099" t="s">
        <v>562</v>
      </c>
      <c r="D12099" t="s">
        <v>565</v>
      </c>
      <c r="E12099" t="s">
        <v>566</v>
      </c>
      <c r="F12099" t="s">
        <v>413</v>
      </c>
      <c r="G12099">
        <v>4674</v>
      </c>
      <c r="H12099">
        <v>4674</v>
      </c>
      <c r="I12099">
        <v>4207</v>
      </c>
      <c r="J12099">
        <v>4207</v>
      </c>
      <c r="K12099">
        <v>907</v>
      </c>
      <c r="L12099">
        <v>3</v>
      </c>
      <c r="M12099">
        <v>3665</v>
      </c>
      <c r="N12099">
        <v>99</v>
      </c>
      <c r="O12099">
        <v>0</v>
      </c>
      <c r="P12099">
        <v>41</v>
      </c>
      <c r="Q12099">
        <v>3</v>
      </c>
    </row>
    <row r="12100" spans="1:17" x14ac:dyDescent="0.2">
      <c r="A12100" s="121">
        <v>43220</v>
      </c>
      <c r="B12100" t="s">
        <v>406</v>
      </c>
      <c r="C12100" t="s">
        <v>562</v>
      </c>
      <c r="D12100" t="s">
        <v>567</v>
      </c>
      <c r="E12100" t="s">
        <v>568</v>
      </c>
      <c r="F12100" t="s">
        <v>413</v>
      </c>
      <c r="G12100">
        <v>9741</v>
      </c>
      <c r="H12100">
        <v>9741</v>
      </c>
      <c r="I12100">
        <v>7129</v>
      </c>
      <c r="J12100">
        <v>7129</v>
      </c>
      <c r="K12100">
        <v>2756</v>
      </c>
      <c r="L12100">
        <v>11</v>
      </c>
      <c r="M12100">
        <v>6807</v>
      </c>
      <c r="N12100">
        <v>167</v>
      </c>
      <c r="O12100">
        <v>0</v>
      </c>
      <c r="P12100">
        <v>389</v>
      </c>
      <c r="Q12100">
        <v>119</v>
      </c>
    </row>
    <row r="12101" spans="1:17" x14ac:dyDescent="0.2">
      <c r="A12101" s="121">
        <v>43220</v>
      </c>
      <c r="B12101" t="s">
        <v>406</v>
      </c>
      <c r="C12101" t="s">
        <v>562</v>
      </c>
      <c r="D12101" t="s">
        <v>569</v>
      </c>
      <c r="E12101" t="s">
        <v>570</v>
      </c>
      <c r="F12101" t="s">
        <v>413</v>
      </c>
      <c r="G12101">
        <v>3937</v>
      </c>
      <c r="H12101">
        <v>3937</v>
      </c>
      <c r="I12101">
        <v>3794</v>
      </c>
      <c r="J12101">
        <v>3794</v>
      </c>
      <c r="K12101">
        <v>486</v>
      </c>
      <c r="L12101">
        <v>2</v>
      </c>
      <c r="M12101">
        <v>3449</v>
      </c>
      <c r="N12101">
        <v>0</v>
      </c>
      <c r="O12101">
        <v>0</v>
      </c>
      <c r="P12101">
        <v>4</v>
      </c>
      <c r="Q12101">
        <v>0</v>
      </c>
    </row>
    <row r="12102" spans="1:17" x14ac:dyDescent="0.2">
      <c r="A12102" s="121">
        <v>43220</v>
      </c>
      <c r="B12102" t="s">
        <v>406</v>
      </c>
      <c r="C12102" t="s">
        <v>571</v>
      </c>
      <c r="D12102" t="s">
        <v>572</v>
      </c>
      <c r="E12102" t="s">
        <v>627</v>
      </c>
      <c r="F12102" t="s">
        <v>413</v>
      </c>
      <c r="G12102">
        <v>533</v>
      </c>
      <c r="H12102">
        <v>533</v>
      </c>
      <c r="I12102">
        <v>509</v>
      </c>
      <c r="J12102">
        <v>509</v>
      </c>
      <c r="K12102">
        <v>143</v>
      </c>
      <c r="L12102">
        <v>0</v>
      </c>
      <c r="M12102">
        <v>388</v>
      </c>
      <c r="N12102">
        <v>1</v>
      </c>
      <c r="O12102">
        <v>1</v>
      </c>
      <c r="P12102">
        <v>1</v>
      </c>
      <c r="Q12102">
        <v>0</v>
      </c>
    </row>
    <row r="12103" spans="1:17" x14ac:dyDescent="0.2">
      <c r="A12103" s="121">
        <v>43220</v>
      </c>
      <c r="B12103" t="s">
        <v>406</v>
      </c>
      <c r="C12103" t="s">
        <v>574</v>
      </c>
      <c r="D12103" t="s">
        <v>575</v>
      </c>
      <c r="E12103" t="s">
        <v>576</v>
      </c>
      <c r="F12103" t="s">
        <v>413</v>
      </c>
      <c r="G12103">
        <v>647</v>
      </c>
      <c r="H12103">
        <v>647</v>
      </c>
      <c r="I12103">
        <v>618</v>
      </c>
      <c r="J12103">
        <v>618</v>
      </c>
      <c r="K12103">
        <v>158</v>
      </c>
      <c r="L12103">
        <v>0</v>
      </c>
      <c r="M12103">
        <v>484</v>
      </c>
      <c r="N12103">
        <v>2</v>
      </c>
      <c r="O12103">
        <v>3</v>
      </c>
      <c r="P12103">
        <v>0</v>
      </c>
      <c r="Q12103">
        <v>0</v>
      </c>
    </row>
    <row r="12104" spans="1:17" x14ac:dyDescent="0.2">
      <c r="A12104" s="121">
        <v>43220</v>
      </c>
      <c r="B12104" t="s">
        <v>406</v>
      </c>
      <c r="C12104" t="s">
        <v>577</v>
      </c>
      <c r="D12104" t="s">
        <v>578</v>
      </c>
      <c r="E12104" t="s">
        <v>579</v>
      </c>
      <c r="F12104" t="s">
        <v>413</v>
      </c>
      <c r="G12104">
        <v>4113</v>
      </c>
      <c r="H12104">
        <v>4113</v>
      </c>
      <c r="I12104">
        <v>4036</v>
      </c>
      <c r="J12104">
        <v>4036</v>
      </c>
      <c r="K12104">
        <v>1264</v>
      </c>
      <c r="L12104">
        <v>8</v>
      </c>
      <c r="M12104">
        <v>2528</v>
      </c>
      <c r="N12104">
        <v>267</v>
      </c>
      <c r="O12104">
        <v>46</v>
      </c>
      <c r="P12104">
        <v>0</v>
      </c>
      <c r="Q12104">
        <v>0</v>
      </c>
    </row>
    <row r="12105" spans="1:17" x14ac:dyDescent="0.2">
      <c r="A12105" s="121">
        <v>43220</v>
      </c>
      <c r="B12105" t="s">
        <v>406</v>
      </c>
      <c r="C12105" t="s">
        <v>577</v>
      </c>
      <c r="D12105" t="s">
        <v>580</v>
      </c>
      <c r="E12105" t="s">
        <v>581</v>
      </c>
      <c r="F12105" t="s">
        <v>413</v>
      </c>
      <c r="G12105">
        <v>2002</v>
      </c>
      <c r="H12105">
        <v>2002</v>
      </c>
      <c r="I12105">
        <v>1961</v>
      </c>
      <c r="J12105">
        <v>1961</v>
      </c>
      <c r="K12105">
        <v>359</v>
      </c>
      <c r="L12105">
        <v>1</v>
      </c>
      <c r="M12105">
        <v>1339</v>
      </c>
      <c r="N12105">
        <v>285</v>
      </c>
      <c r="O12105">
        <v>18</v>
      </c>
      <c r="P12105">
        <v>0</v>
      </c>
      <c r="Q12105">
        <v>0</v>
      </c>
    </row>
    <row r="12106" spans="1:17" x14ac:dyDescent="0.2">
      <c r="A12106" s="121">
        <v>43220</v>
      </c>
      <c r="B12106" t="s">
        <v>406</v>
      </c>
      <c r="C12106" t="s">
        <v>577</v>
      </c>
      <c r="D12106" t="s">
        <v>609</v>
      </c>
      <c r="E12106" t="s">
        <v>610</v>
      </c>
      <c r="F12106" t="s">
        <v>410</v>
      </c>
      <c r="G12106">
        <v>18</v>
      </c>
      <c r="H12106">
        <v>18</v>
      </c>
      <c r="I12106">
        <v>18</v>
      </c>
      <c r="J12106">
        <v>18</v>
      </c>
      <c r="K12106">
        <v>0</v>
      </c>
      <c r="L12106">
        <v>0</v>
      </c>
      <c r="M12106">
        <v>16</v>
      </c>
      <c r="N12106">
        <v>2</v>
      </c>
      <c r="O12106">
        <v>0</v>
      </c>
      <c r="P12106">
        <v>0</v>
      </c>
      <c r="Q12106">
        <v>0</v>
      </c>
    </row>
    <row r="12107" spans="1:17" x14ac:dyDescent="0.2">
      <c r="A12107" s="121">
        <v>43220</v>
      </c>
      <c r="B12107" t="s">
        <v>406</v>
      </c>
      <c r="C12107" t="s">
        <v>577</v>
      </c>
      <c r="D12107" t="s">
        <v>584</v>
      </c>
      <c r="E12107" t="s">
        <v>585</v>
      </c>
      <c r="F12107" t="s">
        <v>410</v>
      </c>
      <c r="G12107">
        <v>317</v>
      </c>
      <c r="H12107">
        <v>317</v>
      </c>
      <c r="I12107">
        <v>315</v>
      </c>
      <c r="J12107">
        <v>315</v>
      </c>
      <c r="K12107">
        <v>0</v>
      </c>
      <c r="L12107">
        <v>0</v>
      </c>
      <c r="M12107">
        <v>298</v>
      </c>
      <c r="N12107">
        <v>16</v>
      </c>
      <c r="O12107">
        <v>3</v>
      </c>
      <c r="P12107">
        <v>1</v>
      </c>
      <c r="Q12107">
        <v>1</v>
      </c>
    </row>
    <row r="12108" spans="1:17" x14ac:dyDescent="0.2">
      <c r="A12108" s="121">
        <v>43220</v>
      </c>
      <c r="B12108" t="s">
        <v>406</v>
      </c>
      <c r="C12108" t="s">
        <v>577</v>
      </c>
      <c r="D12108" t="s">
        <v>586</v>
      </c>
      <c r="E12108" t="s">
        <v>587</v>
      </c>
      <c r="F12108" t="s">
        <v>410</v>
      </c>
      <c r="G12108">
        <v>1191</v>
      </c>
      <c r="H12108">
        <v>1191</v>
      </c>
      <c r="I12108">
        <v>1191</v>
      </c>
      <c r="J12108">
        <v>1191</v>
      </c>
      <c r="K12108">
        <v>0</v>
      </c>
      <c r="L12108">
        <v>0</v>
      </c>
      <c r="M12108">
        <v>1087</v>
      </c>
      <c r="N12108">
        <v>100</v>
      </c>
      <c r="O12108">
        <v>4</v>
      </c>
      <c r="P12108">
        <v>0</v>
      </c>
      <c r="Q12108">
        <v>0</v>
      </c>
    </row>
    <row r="12109" spans="1:17" x14ac:dyDescent="0.2">
      <c r="A12109" s="121">
        <v>43220</v>
      </c>
      <c r="B12109" t="s">
        <v>406</v>
      </c>
      <c r="C12109" t="s">
        <v>577</v>
      </c>
      <c r="D12109" t="s">
        <v>588</v>
      </c>
      <c r="E12109" t="s">
        <v>589</v>
      </c>
      <c r="F12109" t="s">
        <v>410</v>
      </c>
      <c r="G12109">
        <v>167</v>
      </c>
      <c r="H12109">
        <v>167</v>
      </c>
      <c r="I12109">
        <v>167</v>
      </c>
      <c r="J12109">
        <v>167</v>
      </c>
      <c r="K12109">
        <v>0</v>
      </c>
      <c r="L12109">
        <v>0</v>
      </c>
      <c r="M12109">
        <v>159</v>
      </c>
      <c r="N12109">
        <v>8</v>
      </c>
      <c r="O12109">
        <v>0</v>
      </c>
      <c r="P12109">
        <v>0</v>
      </c>
      <c r="Q12109">
        <v>0</v>
      </c>
    </row>
    <row r="12110" spans="1:17" x14ac:dyDescent="0.2">
      <c r="A12110" s="121">
        <v>43220</v>
      </c>
      <c r="B12110" t="s">
        <v>406</v>
      </c>
      <c r="C12110" t="s">
        <v>577</v>
      </c>
      <c r="D12110" t="s">
        <v>613</v>
      </c>
      <c r="E12110" t="s">
        <v>614</v>
      </c>
      <c r="F12110" t="s">
        <v>410</v>
      </c>
      <c r="G12110">
        <v>107</v>
      </c>
      <c r="H12110">
        <v>107</v>
      </c>
      <c r="I12110">
        <v>107</v>
      </c>
      <c r="J12110">
        <v>107</v>
      </c>
      <c r="K12110">
        <v>0</v>
      </c>
      <c r="L12110">
        <v>0</v>
      </c>
      <c r="M12110">
        <v>101</v>
      </c>
      <c r="N12110">
        <v>6</v>
      </c>
      <c r="O12110">
        <v>0</v>
      </c>
      <c r="P12110">
        <v>0</v>
      </c>
      <c r="Q12110">
        <v>0</v>
      </c>
    </row>
    <row r="12111" spans="1:17" x14ac:dyDescent="0.2">
      <c r="A12111" s="121">
        <v>43220</v>
      </c>
      <c r="B12111" t="s">
        <v>406</v>
      </c>
      <c r="C12111" t="s">
        <v>577</v>
      </c>
      <c r="D12111" t="s">
        <v>590</v>
      </c>
      <c r="E12111" t="s">
        <v>591</v>
      </c>
      <c r="F12111" t="s">
        <v>410</v>
      </c>
      <c r="G12111">
        <v>535</v>
      </c>
      <c r="H12111">
        <v>535</v>
      </c>
      <c r="I12111">
        <v>535</v>
      </c>
      <c r="J12111">
        <v>535</v>
      </c>
      <c r="K12111">
        <v>0</v>
      </c>
      <c r="L12111">
        <v>0</v>
      </c>
      <c r="M12111">
        <v>512</v>
      </c>
      <c r="N12111">
        <v>19</v>
      </c>
      <c r="O12111">
        <v>4</v>
      </c>
      <c r="P12111">
        <v>0</v>
      </c>
      <c r="Q12111">
        <v>0</v>
      </c>
    </row>
    <row r="12112" spans="1:17" x14ac:dyDescent="0.2">
      <c r="A12112" s="121">
        <v>43220</v>
      </c>
      <c r="B12112" t="s">
        <v>406</v>
      </c>
      <c r="C12112" t="s">
        <v>577</v>
      </c>
      <c r="D12112" t="s">
        <v>607</v>
      </c>
      <c r="E12112" t="s">
        <v>608</v>
      </c>
      <c r="F12112" t="s">
        <v>410</v>
      </c>
      <c r="G12112">
        <v>196</v>
      </c>
      <c r="H12112">
        <v>196</v>
      </c>
      <c r="I12112">
        <v>196</v>
      </c>
      <c r="J12112">
        <v>196</v>
      </c>
      <c r="K12112">
        <v>0</v>
      </c>
      <c r="L12112">
        <v>0</v>
      </c>
      <c r="M12112">
        <v>188</v>
      </c>
      <c r="N12112">
        <v>7</v>
      </c>
      <c r="O12112">
        <v>1</v>
      </c>
      <c r="P12112">
        <v>0</v>
      </c>
      <c r="Q12112">
        <v>0</v>
      </c>
    </row>
    <row r="12113" spans="1:17" x14ac:dyDescent="0.2">
      <c r="A12113" s="121">
        <v>43220</v>
      </c>
      <c r="B12113" t="s">
        <v>406</v>
      </c>
      <c r="C12113" t="s">
        <v>577</v>
      </c>
      <c r="D12113" t="s">
        <v>592</v>
      </c>
      <c r="E12113" t="s">
        <v>593</v>
      </c>
      <c r="F12113" t="s">
        <v>410</v>
      </c>
      <c r="G12113">
        <v>340</v>
      </c>
      <c r="H12113">
        <v>340</v>
      </c>
      <c r="I12113">
        <v>340</v>
      </c>
      <c r="J12113">
        <v>340</v>
      </c>
      <c r="K12113">
        <v>0</v>
      </c>
      <c r="L12113">
        <v>0</v>
      </c>
      <c r="M12113">
        <v>317</v>
      </c>
      <c r="N12113">
        <v>23</v>
      </c>
      <c r="O12113">
        <v>0</v>
      </c>
      <c r="P12113">
        <v>0</v>
      </c>
      <c r="Q12113">
        <v>0</v>
      </c>
    </row>
    <row r="12114" spans="1:17" x14ac:dyDescent="0.2">
      <c r="A12114" s="121">
        <v>43220</v>
      </c>
      <c r="B12114" t="s">
        <v>406</v>
      </c>
      <c r="C12114" t="s">
        <v>594</v>
      </c>
      <c r="D12114" t="s">
        <v>595</v>
      </c>
      <c r="E12114" t="s">
        <v>596</v>
      </c>
      <c r="F12114" t="s">
        <v>410</v>
      </c>
      <c r="G12114">
        <v>57</v>
      </c>
      <c r="I12114">
        <v>57</v>
      </c>
    </row>
    <row r="12115" spans="1:17" x14ac:dyDescent="0.2">
      <c r="A12115" s="121">
        <v>43220</v>
      </c>
      <c r="B12115" t="s">
        <v>406</v>
      </c>
      <c r="C12115" t="s">
        <v>594</v>
      </c>
      <c r="D12115" t="s">
        <v>597</v>
      </c>
      <c r="E12115" t="s">
        <v>598</v>
      </c>
      <c r="F12115" t="s">
        <v>413</v>
      </c>
      <c r="G12115">
        <v>602</v>
      </c>
      <c r="H12115">
        <v>602</v>
      </c>
      <c r="I12115">
        <v>597</v>
      </c>
      <c r="J12115">
        <v>597</v>
      </c>
      <c r="K12115">
        <v>142</v>
      </c>
      <c r="L12115">
        <v>0</v>
      </c>
      <c r="M12115">
        <v>423</v>
      </c>
      <c r="N12115">
        <v>15</v>
      </c>
      <c r="O12115">
        <v>22</v>
      </c>
      <c r="P12115">
        <v>0</v>
      </c>
      <c r="Q12115">
        <v>0</v>
      </c>
    </row>
    <row r="12116" spans="1:17" x14ac:dyDescent="0.2">
      <c r="A12116" s="121">
        <v>43220</v>
      </c>
      <c r="B12116" t="s">
        <v>406</v>
      </c>
      <c r="C12116" t="s">
        <v>594</v>
      </c>
      <c r="D12116" t="s">
        <v>599</v>
      </c>
      <c r="E12116" t="s">
        <v>600</v>
      </c>
      <c r="F12116" t="s">
        <v>410</v>
      </c>
      <c r="G12116">
        <v>126</v>
      </c>
      <c r="H12116">
        <v>126</v>
      </c>
      <c r="I12116">
        <v>126</v>
      </c>
      <c r="J12116">
        <v>126</v>
      </c>
      <c r="K12116">
        <v>7</v>
      </c>
      <c r="L12116">
        <v>0</v>
      </c>
      <c r="M12116">
        <v>118</v>
      </c>
      <c r="N12116">
        <v>1</v>
      </c>
      <c r="O12116">
        <v>0</v>
      </c>
      <c r="P12116">
        <v>0</v>
      </c>
      <c r="Q12116">
        <v>0</v>
      </c>
    </row>
    <row r="12117" spans="1:17" x14ac:dyDescent="0.2">
      <c r="A12117" s="121">
        <v>43251</v>
      </c>
      <c r="B12117" t="s">
        <v>406</v>
      </c>
      <c r="C12117" t="s">
        <v>407</v>
      </c>
      <c r="D12117" t="s">
        <v>408</v>
      </c>
      <c r="E12117" t="s">
        <v>409</v>
      </c>
      <c r="F12117" t="s">
        <v>410</v>
      </c>
      <c r="G12117">
        <v>283</v>
      </c>
      <c r="I12117">
        <v>281</v>
      </c>
    </row>
    <row r="12118" spans="1:17" x14ac:dyDescent="0.2">
      <c r="A12118" s="121">
        <v>43251</v>
      </c>
      <c r="B12118" t="s">
        <v>406</v>
      </c>
      <c r="C12118" t="s">
        <v>407</v>
      </c>
      <c r="D12118" t="s">
        <v>601</v>
      </c>
      <c r="E12118" t="s">
        <v>602</v>
      </c>
      <c r="F12118" t="s">
        <v>410</v>
      </c>
      <c r="G12118">
        <v>78</v>
      </c>
      <c r="I12118">
        <v>78</v>
      </c>
    </row>
    <row r="12119" spans="1:17" x14ac:dyDescent="0.2">
      <c r="A12119" s="121">
        <v>43251</v>
      </c>
      <c r="B12119" t="s">
        <v>406</v>
      </c>
      <c r="C12119" t="s">
        <v>407</v>
      </c>
      <c r="D12119" t="s">
        <v>411</v>
      </c>
      <c r="E12119" t="s">
        <v>412</v>
      </c>
      <c r="F12119" t="s">
        <v>413</v>
      </c>
      <c r="G12119">
        <v>6410</v>
      </c>
      <c r="H12119">
        <v>6410</v>
      </c>
      <c r="I12119">
        <v>6239</v>
      </c>
      <c r="J12119">
        <v>6239</v>
      </c>
      <c r="K12119">
        <v>1917</v>
      </c>
      <c r="L12119">
        <v>9</v>
      </c>
      <c r="M12119">
        <v>4176</v>
      </c>
      <c r="N12119">
        <v>38</v>
      </c>
      <c r="O12119">
        <v>270</v>
      </c>
      <c r="P12119">
        <v>23</v>
      </c>
      <c r="Q12119">
        <v>1</v>
      </c>
    </row>
    <row r="12120" spans="1:17" x14ac:dyDescent="0.2">
      <c r="A12120" s="121">
        <v>43251</v>
      </c>
      <c r="B12120" t="s">
        <v>406</v>
      </c>
      <c r="C12120" t="s">
        <v>407</v>
      </c>
      <c r="D12120" t="s">
        <v>416</v>
      </c>
      <c r="E12120" t="s">
        <v>417</v>
      </c>
      <c r="F12120" t="s">
        <v>413</v>
      </c>
      <c r="G12120">
        <v>3513</v>
      </c>
      <c r="H12120">
        <v>3513</v>
      </c>
      <c r="I12120">
        <v>3385</v>
      </c>
      <c r="J12120">
        <v>3385</v>
      </c>
      <c r="K12120">
        <v>835</v>
      </c>
      <c r="L12120">
        <v>6</v>
      </c>
      <c r="M12120">
        <v>2513</v>
      </c>
      <c r="N12120">
        <v>82</v>
      </c>
      <c r="O12120">
        <v>77</v>
      </c>
      <c r="P12120">
        <v>17</v>
      </c>
      <c r="Q12120">
        <v>3</v>
      </c>
    </row>
    <row r="12121" spans="1:17" x14ac:dyDescent="0.2">
      <c r="A12121" s="121">
        <v>43251</v>
      </c>
      <c r="B12121" t="s">
        <v>406</v>
      </c>
      <c r="C12121" t="s">
        <v>407</v>
      </c>
      <c r="D12121" t="s">
        <v>618</v>
      </c>
      <c r="E12121" t="s">
        <v>619</v>
      </c>
      <c r="F12121" t="s">
        <v>410</v>
      </c>
      <c r="G12121">
        <v>80</v>
      </c>
      <c r="I12121">
        <v>80</v>
      </c>
    </row>
    <row r="12122" spans="1:17" x14ac:dyDescent="0.2">
      <c r="A12122" s="121">
        <v>43251</v>
      </c>
      <c r="B12122" t="s">
        <v>406</v>
      </c>
      <c r="C12122" t="s">
        <v>418</v>
      </c>
      <c r="D12122" t="s">
        <v>419</v>
      </c>
      <c r="E12122" t="s">
        <v>420</v>
      </c>
      <c r="F12122" t="s">
        <v>410</v>
      </c>
      <c r="G12122">
        <v>10</v>
      </c>
      <c r="I12122">
        <v>10</v>
      </c>
    </row>
    <row r="12123" spans="1:17" x14ac:dyDescent="0.2">
      <c r="A12123" s="121">
        <v>43251</v>
      </c>
      <c r="B12123" t="s">
        <v>406</v>
      </c>
      <c r="C12123" t="s">
        <v>418</v>
      </c>
      <c r="D12123" t="s">
        <v>421</v>
      </c>
      <c r="E12123" t="s">
        <v>422</v>
      </c>
      <c r="F12123" t="s">
        <v>410</v>
      </c>
      <c r="G12123">
        <v>89</v>
      </c>
      <c r="I12123">
        <v>89</v>
      </c>
    </row>
    <row r="12124" spans="1:17" x14ac:dyDescent="0.2">
      <c r="A12124" s="121">
        <v>43251</v>
      </c>
      <c r="B12124" t="s">
        <v>406</v>
      </c>
      <c r="C12124" t="s">
        <v>418</v>
      </c>
      <c r="D12124" t="s">
        <v>423</v>
      </c>
      <c r="E12124" t="s">
        <v>424</v>
      </c>
      <c r="F12124" t="s">
        <v>410</v>
      </c>
      <c r="G12124">
        <v>16</v>
      </c>
      <c r="I12124">
        <v>16</v>
      </c>
    </row>
    <row r="12125" spans="1:17" x14ac:dyDescent="0.2">
      <c r="A12125" s="121">
        <v>43251</v>
      </c>
      <c r="B12125" t="s">
        <v>406</v>
      </c>
      <c r="C12125" t="s">
        <v>418</v>
      </c>
      <c r="D12125" t="s">
        <v>425</v>
      </c>
      <c r="E12125" t="s">
        <v>426</v>
      </c>
      <c r="F12125" t="s">
        <v>410</v>
      </c>
      <c r="G12125">
        <v>60</v>
      </c>
      <c r="I12125">
        <v>60</v>
      </c>
    </row>
    <row r="12126" spans="1:17" x14ac:dyDescent="0.2">
      <c r="A12126" s="121">
        <v>43251</v>
      </c>
      <c r="B12126" t="s">
        <v>406</v>
      </c>
      <c r="C12126" t="s">
        <v>418</v>
      </c>
      <c r="D12126" t="s">
        <v>427</v>
      </c>
      <c r="E12126" t="s">
        <v>428</v>
      </c>
      <c r="F12126" t="s">
        <v>413</v>
      </c>
      <c r="G12126">
        <v>2747</v>
      </c>
      <c r="H12126">
        <v>2747</v>
      </c>
      <c r="I12126">
        <v>2549</v>
      </c>
      <c r="J12126">
        <v>2549</v>
      </c>
      <c r="K12126">
        <v>888</v>
      </c>
      <c r="L12126">
        <v>4</v>
      </c>
      <c r="M12126">
        <v>1636</v>
      </c>
      <c r="N12126">
        <v>200</v>
      </c>
      <c r="O12126">
        <v>19</v>
      </c>
      <c r="P12126">
        <v>8</v>
      </c>
      <c r="Q12126">
        <v>1</v>
      </c>
    </row>
    <row r="12127" spans="1:17" x14ac:dyDescent="0.2">
      <c r="A12127" s="121">
        <v>43251</v>
      </c>
      <c r="B12127" t="s">
        <v>406</v>
      </c>
      <c r="C12127" t="s">
        <v>429</v>
      </c>
      <c r="D12127" t="s">
        <v>430</v>
      </c>
      <c r="E12127" t="s">
        <v>431</v>
      </c>
      <c r="F12127" t="s">
        <v>410</v>
      </c>
      <c r="G12127">
        <v>36</v>
      </c>
      <c r="I12127">
        <v>36</v>
      </c>
    </row>
    <row r="12128" spans="1:17" x14ac:dyDescent="0.2">
      <c r="A12128" s="121">
        <v>43251</v>
      </c>
      <c r="B12128" t="s">
        <v>406</v>
      </c>
      <c r="C12128" t="s">
        <v>429</v>
      </c>
      <c r="D12128" t="s">
        <v>432</v>
      </c>
      <c r="E12128" t="s">
        <v>433</v>
      </c>
      <c r="F12128" t="s">
        <v>410</v>
      </c>
      <c r="G12128">
        <v>47</v>
      </c>
      <c r="I12128">
        <v>47</v>
      </c>
    </row>
    <row r="12129" spans="1:17" x14ac:dyDescent="0.2">
      <c r="A12129" s="121">
        <v>43251</v>
      </c>
      <c r="B12129" t="s">
        <v>406</v>
      </c>
      <c r="C12129" t="s">
        <v>429</v>
      </c>
      <c r="D12129" t="s">
        <v>434</v>
      </c>
      <c r="E12129" t="s">
        <v>435</v>
      </c>
      <c r="F12129" t="s">
        <v>410</v>
      </c>
      <c r="G12129">
        <v>1</v>
      </c>
      <c r="I12129">
        <v>1</v>
      </c>
    </row>
    <row r="12130" spans="1:17" x14ac:dyDescent="0.2">
      <c r="A12130" s="121">
        <v>43251</v>
      </c>
      <c r="B12130" t="s">
        <v>406</v>
      </c>
      <c r="C12130" t="s">
        <v>429</v>
      </c>
      <c r="D12130" t="s">
        <v>436</v>
      </c>
      <c r="E12130" t="s">
        <v>437</v>
      </c>
      <c r="F12130" t="s">
        <v>410</v>
      </c>
      <c r="G12130">
        <v>15</v>
      </c>
      <c r="H12130">
        <v>15</v>
      </c>
      <c r="I12130">
        <v>15</v>
      </c>
      <c r="J12130">
        <v>15</v>
      </c>
      <c r="K12130">
        <v>0</v>
      </c>
      <c r="L12130">
        <v>0</v>
      </c>
      <c r="M12130">
        <v>14</v>
      </c>
      <c r="N12130">
        <v>1</v>
      </c>
      <c r="O12130">
        <v>0</v>
      </c>
      <c r="P12130">
        <v>0</v>
      </c>
      <c r="Q12130">
        <v>0</v>
      </c>
    </row>
    <row r="12131" spans="1:17" x14ac:dyDescent="0.2">
      <c r="A12131" s="121">
        <v>43251</v>
      </c>
      <c r="B12131" t="s">
        <v>406</v>
      </c>
      <c r="C12131" t="s">
        <v>429</v>
      </c>
      <c r="D12131" t="s">
        <v>438</v>
      </c>
      <c r="E12131" t="s">
        <v>439</v>
      </c>
      <c r="F12131" t="s">
        <v>413</v>
      </c>
      <c r="G12131">
        <v>1220</v>
      </c>
      <c r="H12131">
        <v>1220</v>
      </c>
      <c r="I12131">
        <v>1148</v>
      </c>
      <c r="J12131">
        <v>1148</v>
      </c>
      <c r="K12131">
        <v>73</v>
      </c>
      <c r="L12131">
        <v>1</v>
      </c>
      <c r="M12131">
        <v>1009</v>
      </c>
      <c r="N12131">
        <v>87</v>
      </c>
      <c r="O12131">
        <v>50</v>
      </c>
      <c r="P12131">
        <v>5</v>
      </c>
      <c r="Q12131">
        <v>0</v>
      </c>
    </row>
    <row r="12132" spans="1:17" x14ac:dyDescent="0.2">
      <c r="A12132" s="121">
        <v>43251</v>
      </c>
      <c r="B12132" t="s">
        <v>406</v>
      </c>
      <c r="C12132" t="s">
        <v>429</v>
      </c>
      <c r="D12132" t="s">
        <v>440</v>
      </c>
      <c r="E12132" t="s">
        <v>441</v>
      </c>
      <c r="F12132" t="s">
        <v>413</v>
      </c>
      <c r="G12132">
        <v>2943</v>
      </c>
      <c r="H12132">
        <v>2943</v>
      </c>
      <c r="I12132">
        <v>2756</v>
      </c>
      <c r="J12132">
        <v>2756</v>
      </c>
      <c r="K12132">
        <v>823</v>
      </c>
      <c r="L12132">
        <v>3</v>
      </c>
      <c r="M12132">
        <v>1975</v>
      </c>
      <c r="N12132">
        <v>101</v>
      </c>
      <c r="O12132">
        <v>41</v>
      </c>
      <c r="P12132">
        <v>9</v>
      </c>
      <c r="Q12132">
        <v>0</v>
      </c>
    </row>
    <row r="12133" spans="1:17" x14ac:dyDescent="0.2">
      <c r="A12133" s="121">
        <v>43251</v>
      </c>
      <c r="B12133" t="s">
        <v>406</v>
      </c>
      <c r="C12133" t="s">
        <v>442</v>
      </c>
      <c r="D12133" t="s">
        <v>443</v>
      </c>
      <c r="E12133" t="s">
        <v>444</v>
      </c>
      <c r="F12133" t="s">
        <v>413</v>
      </c>
      <c r="G12133">
        <v>6228</v>
      </c>
      <c r="H12133">
        <v>6228</v>
      </c>
      <c r="I12133">
        <v>5990</v>
      </c>
      <c r="J12133">
        <v>5990</v>
      </c>
      <c r="K12133">
        <v>1797</v>
      </c>
      <c r="L12133">
        <v>6</v>
      </c>
      <c r="M12133">
        <v>4242</v>
      </c>
      <c r="N12133">
        <v>127</v>
      </c>
      <c r="O12133">
        <v>56</v>
      </c>
      <c r="P12133">
        <v>8</v>
      </c>
      <c r="Q12133">
        <v>0</v>
      </c>
    </row>
    <row r="12134" spans="1:17" x14ac:dyDescent="0.2">
      <c r="A12134" s="121">
        <v>43251</v>
      </c>
      <c r="B12134" t="s">
        <v>406</v>
      </c>
      <c r="C12134" t="s">
        <v>442</v>
      </c>
      <c r="D12134" t="s">
        <v>445</v>
      </c>
      <c r="E12134" t="s">
        <v>446</v>
      </c>
      <c r="F12134" t="s">
        <v>410</v>
      </c>
      <c r="G12134">
        <v>179</v>
      </c>
      <c r="H12134">
        <v>179</v>
      </c>
      <c r="I12134">
        <v>178</v>
      </c>
      <c r="J12134">
        <v>178</v>
      </c>
      <c r="K12134">
        <v>1</v>
      </c>
      <c r="L12134">
        <v>0</v>
      </c>
      <c r="M12134">
        <v>170</v>
      </c>
      <c r="N12134">
        <v>5</v>
      </c>
      <c r="O12134">
        <v>3</v>
      </c>
      <c r="P12134">
        <v>0</v>
      </c>
      <c r="Q12134">
        <v>0</v>
      </c>
    </row>
    <row r="12135" spans="1:17" x14ac:dyDescent="0.2">
      <c r="A12135" s="121">
        <v>43251</v>
      </c>
      <c r="B12135" t="s">
        <v>406</v>
      </c>
      <c r="C12135" t="s">
        <v>442</v>
      </c>
      <c r="D12135" t="s">
        <v>447</v>
      </c>
      <c r="E12135" t="s">
        <v>448</v>
      </c>
      <c r="F12135" t="s">
        <v>410</v>
      </c>
      <c r="G12135">
        <v>330</v>
      </c>
      <c r="H12135">
        <v>330</v>
      </c>
      <c r="I12135">
        <v>330</v>
      </c>
      <c r="J12135">
        <v>330</v>
      </c>
      <c r="K12135">
        <v>0</v>
      </c>
      <c r="L12135">
        <v>0</v>
      </c>
      <c r="M12135">
        <v>323</v>
      </c>
      <c r="N12135">
        <v>7</v>
      </c>
      <c r="O12135">
        <v>0</v>
      </c>
      <c r="P12135">
        <v>0</v>
      </c>
      <c r="Q12135">
        <v>0</v>
      </c>
    </row>
    <row r="12136" spans="1:17" x14ac:dyDescent="0.2">
      <c r="A12136" s="121">
        <v>43251</v>
      </c>
      <c r="B12136" t="s">
        <v>406</v>
      </c>
      <c r="C12136" t="s">
        <v>442</v>
      </c>
      <c r="D12136" t="s">
        <v>449</v>
      </c>
      <c r="E12136" t="s">
        <v>624</v>
      </c>
      <c r="F12136" t="s">
        <v>410</v>
      </c>
      <c r="G12136">
        <v>2024</v>
      </c>
      <c r="H12136">
        <v>2024</v>
      </c>
      <c r="I12136">
        <v>2008</v>
      </c>
      <c r="J12136">
        <v>2008</v>
      </c>
      <c r="K12136">
        <v>8</v>
      </c>
      <c r="L12136">
        <v>0</v>
      </c>
      <c r="M12136">
        <v>1880</v>
      </c>
      <c r="N12136">
        <v>115</v>
      </c>
      <c r="O12136">
        <v>21</v>
      </c>
      <c r="P12136">
        <v>0</v>
      </c>
      <c r="Q12136">
        <v>0</v>
      </c>
    </row>
    <row r="12137" spans="1:17" x14ac:dyDescent="0.2">
      <c r="A12137" s="121">
        <v>43251</v>
      </c>
      <c r="B12137" t="s">
        <v>406</v>
      </c>
      <c r="C12137" t="s">
        <v>451</v>
      </c>
      <c r="D12137" t="s">
        <v>454</v>
      </c>
      <c r="E12137" t="s">
        <v>621</v>
      </c>
      <c r="F12137" t="s">
        <v>410</v>
      </c>
      <c r="G12137">
        <v>1880</v>
      </c>
      <c r="H12137">
        <v>1880</v>
      </c>
      <c r="I12137">
        <v>1871</v>
      </c>
      <c r="J12137">
        <v>1871</v>
      </c>
      <c r="K12137">
        <v>0</v>
      </c>
      <c r="L12137">
        <v>0</v>
      </c>
      <c r="M12137">
        <v>1491</v>
      </c>
      <c r="N12137">
        <v>135</v>
      </c>
      <c r="O12137">
        <v>254</v>
      </c>
      <c r="P12137">
        <v>0</v>
      </c>
      <c r="Q12137">
        <v>0</v>
      </c>
    </row>
    <row r="12138" spans="1:17" x14ac:dyDescent="0.2">
      <c r="A12138" s="121">
        <v>43251</v>
      </c>
      <c r="B12138" t="s">
        <v>406</v>
      </c>
      <c r="C12138" t="s">
        <v>451</v>
      </c>
      <c r="D12138" t="s">
        <v>622</v>
      </c>
      <c r="E12138" t="s">
        <v>623</v>
      </c>
      <c r="F12138" t="s">
        <v>413</v>
      </c>
      <c r="G12138">
        <v>5845</v>
      </c>
      <c r="H12138">
        <v>5845</v>
      </c>
      <c r="I12138">
        <v>4973</v>
      </c>
      <c r="J12138">
        <v>4973</v>
      </c>
      <c r="K12138">
        <v>1554</v>
      </c>
      <c r="L12138">
        <v>6</v>
      </c>
      <c r="M12138">
        <v>3312</v>
      </c>
      <c r="N12138">
        <v>77</v>
      </c>
      <c r="O12138">
        <v>896</v>
      </c>
      <c r="P12138">
        <v>32</v>
      </c>
      <c r="Q12138">
        <v>0</v>
      </c>
    </row>
    <row r="12139" spans="1:17" x14ac:dyDescent="0.2">
      <c r="A12139" s="121">
        <v>43251</v>
      </c>
      <c r="B12139" t="s">
        <v>406</v>
      </c>
      <c r="C12139" t="s">
        <v>456</v>
      </c>
      <c r="D12139" t="s">
        <v>457</v>
      </c>
      <c r="E12139" t="s">
        <v>458</v>
      </c>
      <c r="F12139" t="s">
        <v>413</v>
      </c>
      <c r="G12139">
        <v>5267</v>
      </c>
      <c r="H12139">
        <v>5267</v>
      </c>
      <c r="I12139">
        <v>4761</v>
      </c>
      <c r="J12139">
        <v>4761</v>
      </c>
      <c r="K12139">
        <v>1423</v>
      </c>
      <c r="L12139">
        <v>9</v>
      </c>
      <c r="M12139">
        <v>3444</v>
      </c>
      <c r="N12139">
        <v>36</v>
      </c>
      <c r="O12139">
        <v>355</v>
      </c>
      <c r="P12139">
        <v>9</v>
      </c>
      <c r="Q12139">
        <v>0</v>
      </c>
    </row>
    <row r="12140" spans="1:17" x14ac:dyDescent="0.2">
      <c r="A12140" s="121">
        <v>43251</v>
      </c>
      <c r="B12140" t="s">
        <v>406</v>
      </c>
      <c r="C12140" t="s">
        <v>456</v>
      </c>
      <c r="D12140" t="s">
        <v>459</v>
      </c>
      <c r="E12140" t="s">
        <v>460</v>
      </c>
      <c r="F12140" t="s">
        <v>413</v>
      </c>
      <c r="G12140">
        <v>1686</v>
      </c>
      <c r="H12140">
        <v>1686</v>
      </c>
      <c r="I12140">
        <v>1669</v>
      </c>
      <c r="J12140">
        <v>1669</v>
      </c>
      <c r="K12140">
        <v>144</v>
      </c>
      <c r="L12140">
        <v>0</v>
      </c>
      <c r="M12140">
        <v>1473</v>
      </c>
      <c r="N12140">
        <v>1</v>
      </c>
      <c r="O12140">
        <v>68</v>
      </c>
      <c r="P12140">
        <v>1</v>
      </c>
      <c r="Q12140">
        <v>0</v>
      </c>
    </row>
    <row r="12141" spans="1:17" x14ac:dyDescent="0.2">
      <c r="A12141" s="121">
        <v>43251</v>
      </c>
      <c r="B12141" t="s">
        <v>406</v>
      </c>
      <c r="C12141" t="s">
        <v>456</v>
      </c>
      <c r="D12141" t="s">
        <v>461</v>
      </c>
      <c r="E12141" t="s">
        <v>462</v>
      </c>
      <c r="F12141" t="s">
        <v>410</v>
      </c>
      <c r="G12141">
        <v>125</v>
      </c>
      <c r="I12141">
        <v>125</v>
      </c>
    </row>
    <row r="12142" spans="1:17" x14ac:dyDescent="0.2">
      <c r="A12142" s="121">
        <v>43251</v>
      </c>
      <c r="B12142" t="s">
        <v>406</v>
      </c>
      <c r="C12142" t="s">
        <v>456</v>
      </c>
      <c r="D12142" t="s">
        <v>463</v>
      </c>
      <c r="E12142" t="s">
        <v>464</v>
      </c>
      <c r="F12142" t="s">
        <v>410</v>
      </c>
      <c r="G12142">
        <v>12</v>
      </c>
      <c r="I12142">
        <v>12</v>
      </c>
    </row>
    <row r="12143" spans="1:17" x14ac:dyDescent="0.2">
      <c r="A12143" s="121">
        <v>43251</v>
      </c>
      <c r="B12143" t="s">
        <v>406</v>
      </c>
      <c r="C12143" t="s">
        <v>456</v>
      </c>
      <c r="D12143" t="s">
        <v>465</v>
      </c>
      <c r="E12143" t="s">
        <v>466</v>
      </c>
      <c r="F12143" t="s">
        <v>410</v>
      </c>
      <c r="G12143">
        <v>36</v>
      </c>
      <c r="I12143">
        <v>36</v>
      </c>
    </row>
    <row r="12144" spans="1:17" x14ac:dyDescent="0.2">
      <c r="A12144" s="121">
        <v>43251</v>
      </c>
      <c r="B12144" t="s">
        <v>406</v>
      </c>
      <c r="C12144" t="s">
        <v>456</v>
      </c>
      <c r="D12144" t="s">
        <v>467</v>
      </c>
      <c r="E12144" t="s">
        <v>468</v>
      </c>
      <c r="F12144" t="s">
        <v>410</v>
      </c>
      <c r="G12144">
        <v>1374</v>
      </c>
      <c r="I12144">
        <v>1374</v>
      </c>
    </row>
    <row r="12145" spans="1:17" x14ac:dyDescent="0.2">
      <c r="A12145" s="121">
        <v>43251</v>
      </c>
      <c r="B12145" t="s">
        <v>406</v>
      </c>
      <c r="C12145" t="s">
        <v>456</v>
      </c>
      <c r="D12145" t="s">
        <v>469</v>
      </c>
      <c r="E12145" t="s">
        <v>470</v>
      </c>
      <c r="F12145" t="s">
        <v>410</v>
      </c>
      <c r="G12145">
        <v>768</v>
      </c>
      <c r="I12145">
        <v>768</v>
      </c>
    </row>
    <row r="12146" spans="1:17" x14ac:dyDescent="0.2">
      <c r="A12146" s="121">
        <v>43251</v>
      </c>
      <c r="B12146" t="s">
        <v>406</v>
      </c>
      <c r="C12146" t="s">
        <v>456</v>
      </c>
      <c r="D12146" t="s">
        <v>471</v>
      </c>
      <c r="E12146" t="s">
        <v>472</v>
      </c>
      <c r="F12146" t="s">
        <v>410</v>
      </c>
      <c r="G12146">
        <v>305</v>
      </c>
      <c r="I12146">
        <v>303</v>
      </c>
    </row>
    <row r="12147" spans="1:17" x14ac:dyDescent="0.2">
      <c r="A12147" s="121">
        <v>43251</v>
      </c>
      <c r="B12147" t="s">
        <v>406</v>
      </c>
      <c r="C12147" t="s">
        <v>456</v>
      </c>
      <c r="D12147" t="s">
        <v>473</v>
      </c>
      <c r="E12147" t="s">
        <v>474</v>
      </c>
      <c r="F12147" t="s">
        <v>410</v>
      </c>
      <c r="G12147">
        <v>177</v>
      </c>
      <c r="I12147">
        <v>177</v>
      </c>
    </row>
    <row r="12148" spans="1:17" x14ac:dyDescent="0.2">
      <c r="A12148" s="121">
        <v>43251</v>
      </c>
      <c r="B12148" t="s">
        <v>406</v>
      </c>
      <c r="C12148" t="s">
        <v>456</v>
      </c>
      <c r="D12148" t="s">
        <v>475</v>
      </c>
      <c r="E12148" t="s">
        <v>476</v>
      </c>
      <c r="F12148" t="s">
        <v>410</v>
      </c>
      <c r="G12148">
        <v>355</v>
      </c>
      <c r="I12148">
        <v>350</v>
      </c>
    </row>
    <row r="12149" spans="1:17" x14ac:dyDescent="0.2">
      <c r="A12149" s="121">
        <v>43251</v>
      </c>
      <c r="B12149" t="s">
        <v>406</v>
      </c>
      <c r="C12149" t="s">
        <v>456</v>
      </c>
      <c r="D12149" t="s">
        <v>477</v>
      </c>
      <c r="E12149" t="s">
        <v>478</v>
      </c>
      <c r="F12149" t="s">
        <v>413</v>
      </c>
      <c r="G12149">
        <v>2292</v>
      </c>
      <c r="H12149">
        <v>2292</v>
      </c>
      <c r="I12149">
        <v>2249</v>
      </c>
      <c r="J12149">
        <v>2249</v>
      </c>
      <c r="K12149">
        <v>408</v>
      </c>
      <c r="L12149">
        <v>2</v>
      </c>
      <c r="M12149">
        <v>1844</v>
      </c>
      <c r="N12149">
        <v>16</v>
      </c>
      <c r="O12149">
        <v>22</v>
      </c>
      <c r="P12149">
        <v>0</v>
      </c>
      <c r="Q12149">
        <v>0</v>
      </c>
    </row>
    <row r="12150" spans="1:17" x14ac:dyDescent="0.2">
      <c r="A12150" s="121">
        <v>43251</v>
      </c>
      <c r="B12150" t="s">
        <v>406</v>
      </c>
      <c r="C12150" t="s">
        <v>456</v>
      </c>
      <c r="D12150" t="s">
        <v>479</v>
      </c>
      <c r="E12150" t="s">
        <v>480</v>
      </c>
      <c r="F12150" t="s">
        <v>410</v>
      </c>
      <c r="G12150">
        <v>60</v>
      </c>
      <c r="I12150">
        <v>60</v>
      </c>
    </row>
    <row r="12151" spans="1:17" x14ac:dyDescent="0.2">
      <c r="A12151" s="121">
        <v>43251</v>
      </c>
      <c r="B12151" t="s">
        <v>406</v>
      </c>
      <c r="C12151" t="s">
        <v>456</v>
      </c>
      <c r="D12151" t="s">
        <v>481</v>
      </c>
      <c r="E12151" t="s">
        <v>482</v>
      </c>
      <c r="F12151" t="s">
        <v>410</v>
      </c>
      <c r="G12151">
        <v>28</v>
      </c>
      <c r="I12151">
        <v>28</v>
      </c>
    </row>
    <row r="12152" spans="1:17" x14ac:dyDescent="0.2">
      <c r="A12152" s="121">
        <v>43251</v>
      </c>
      <c r="B12152" t="s">
        <v>406</v>
      </c>
      <c r="C12152" t="s">
        <v>456</v>
      </c>
      <c r="D12152" t="s">
        <v>483</v>
      </c>
      <c r="E12152" t="s">
        <v>484</v>
      </c>
      <c r="F12152" t="s">
        <v>410</v>
      </c>
      <c r="G12152">
        <v>108</v>
      </c>
      <c r="I12152">
        <v>108</v>
      </c>
    </row>
    <row r="12153" spans="1:17" x14ac:dyDescent="0.2">
      <c r="A12153" s="121">
        <v>43251</v>
      </c>
      <c r="B12153" t="s">
        <v>406</v>
      </c>
      <c r="C12153" t="s">
        <v>456</v>
      </c>
      <c r="D12153" t="s">
        <v>487</v>
      </c>
      <c r="E12153" t="s">
        <v>488</v>
      </c>
      <c r="F12153" t="s">
        <v>410</v>
      </c>
      <c r="G12153">
        <v>16</v>
      </c>
      <c r="I12153">
        <v>16</v>
      </c>
    </row>
    <row r="12154" spans="1:17" x14ac:dyDescent="0.2">
      <c r="A12154" s="121">
        <v>43251</v>
      </c>
      <c r="B12154" t="s">
        <v>406</v>
      </c>
      <c r="C12154" t="s">
        <v>456</v>
      </c>
      <c r="D12154" t="s">
        <v>489</v>
      </c>
      <c r="E12154" t="s">
        <v>490</v>
      </c>
      <c r="F12154" t="s">
        <v>410</v>
      </c>
      <c r="G12154">
        <v>131</v>
      </c>
      <c r="I12154">
        <v>131</v>
      </c>
    </row>
    <row r="12155" spans="1:17" x14ac:dyDescent="0.2">
      <c r="A12155" s="121">
        <v>43251</v>
      </c>
      <c r="B12155" t="s">
        <v>406</v>
      </c>
      <c r="C12155" t="s">
        <v>456</v>
      </c>
      <c r="D12155" t="s">
        <v>628</v>
      </c>
      <c r="E12155" t="s">
        <v>629</v>
      </c>
      <c r="F12155" t="s">
        <v>410</v>
      </c>
      <c r="G12155">
        <v>65</v>
      </c>
      <c r="I12155">
        <v>65</v>
      </c>
    </row>
    <row r="12156" spans="1:17" x14ac:dyDescent="0.2">
      <c r="A12156" s="121">
        <v>43251</v>
      </c>
      <c r="B12156" t="s">
        <v>406</v>
      </c>
      <c r="C12156" t="s">
        <v>491</v>
      </c>
      <c r="D12156" t="s">
        <v>492</v>
      </c>
      <c r="E12156" t="s">
        <v>493</v>
      </c>
      <c r="F12156" t="s">
        <v>410</v>
      </c>
      <c r="G12156">
        <v>1790</v>
      </c>
      <c r="H12156">
        <v>1790</v>
      </c>
      <c r="I12156">
        <v>1737</v>
      </c>
      <c r="J12156">
        <v>1737</v>
      </c>
      <c r="K12156">
        <v>232</v>
      </c>
      <c r="L12156">
        <v>1</v>
      </c>
      <c r="M12156">
        <v>1438</v>
      </c>
      <c r="N12156">
        <v>99</v>
      </c>
      <c r="O12156">
        <v>20</v>
      </c>
      <c r="P12156">
        <v>2</v>
      </c>
      <c r="Q12156">
        <v>0</v>
      </c>
    </row>
    <row r="12157" spans="1:17" x14ac:dyDescent="0.2">
      <c r="A12157" s="121">
        <v>43251</v>
      </c>
      <c r="B12157" t="s">
        <v>406</v>
      </c>
      <c r="C12157" t="s">
        <v>491</v>
      </c>
      <c r="D12157" t="s">
        <v>494</v>
      </c>
      <c r="E12157" t="s">
        <v>495</v>
      </c>
      <c r="F12157" t="s">
        <v>413</v>
      </c>
      <c r="G12157">
        <v>2936</v>
      </c>
      <c r="H12157">
        <v>2936</v>
      </c>
      <c r="I12157">
        <v>2770</v>
      </c>
      <c r="J12157">
        <v>2770</v>
      </c>
      <c r="K12157">
        <v>647</v>
      </c>
      <c r="L12157">
        <v>4</v>
      </c>
      <c r="M12157">
        <v>2100</v>
      </c>
      <c r="N12157">
        <v>47</v>
      </c>
      <c r="O12157">
        <v>138</v>
      </c>
      <c r="P12157">
        <v>7</v>
      </c>
      <c r="Q12157">
        <v>0</v>
      </c>
    </row>
    <row r="12158" spans="1:17" x14ac:dyDescent="0.2">
      <c r="A12158" s="121">
        <v>43251</v>
      </c>
      <c r="B12158" t="s">
        <v>406</v>
      </c>
      <c r="C12158" t="s">
        <v>491</v>
      </c>
      <c r="D12158" t="s">
        <v>496</v>
      </c>
      <c r="E12158" t="s">
        <v>497</v>
      </c>
      <c r="F12158" t="s">
        <v>413</v>
      </c>
      <c r="G12158">
        <v>5940</v>
      </c>
      <c r="H12158">
        <v>5940</v>
      </c>
      <c r="I12158">
        <v>5400</v>
      </c>
      <c r="J12158">
        <v>5400</v>
      </c>
      <c r="K12158">
        <v>1730</v>
      </c>
      <c r="L12158">
        <v>13</v>
      </c>
      <c r="M12158">
        <v>3960</v>
      </c>
      <c r="N12158">
        <v>113</v>
      </c>
      <c r="O12158">
        <v>124</v>
      </c>
      <c r="P12158">
        <v>47</v>
      </c>
      <c r="Q12158">
        <v>1</v>
      </c>
    </row>
    <row r="12159" spans="1:17" x14ac:dyDescent="0.2">
      <c r="A12159" s="121">
        <v>43251</v>
      </c>
      <c r="B12159" t="s">
        <v>406</v>
      </c>
      <c r="C12159" t="s">
        <v>491</v>
      </c>
      <c r="D12159" t="s">
        <v>498</v>
      </c>
      <c r="E12159" t="s">
        <v>499</v>
      </c>
      <c r="F12159" t="s">
        <v>413</v>
      </c>
      <c r="G12159">
        <v>8493</v>
      </c>
      <c r="H12159">
        <v>8493</v>
      </c>
      <c r="I12159">
        <v>7519</v>
      </c>
      <c r="J12159">
        <v>7519</v>
      </c>
      <c r="K12159">
        <v>2360</v>
      </c>
      <c r="L12159">
        <v>7</v>
      </c>
      <c r="M12159">
        <v>5535</v>
      </c>
      <c r="N12159">
        <v>154</v>
      </c>
      <c r="O12159">
        <v>437</v>
      </c>
      <c r="P12159">
        <v>11</v>
      </c>
      <c r="Q12159">
        <v>0</v>
      </c>
    </row>
    <row r="12160" spans="1:17" x14ac:dyDescent="0.2">
      <c r="A12160" s="121">
        <v>43251</v>
      </c>
      <c r="B12160" t="s">
        <v>406</v>
      </c>
      <c r="C12160" t="s">
        <v>491</v>
      </c>
      <c r="D12160" t="s">
        <v>500</v>
      </c>
      <c r="E12160" t="s">
        <v>620</v>
      </c>
      <c r="F12160" t="s">
        <v>410</v>
      </c>
      <c r="G12160">
        <v>2148</v>
      </c>
      <c r="H12160">
        <v>2148</v>
      </c>
      <c r="I12160">
        <v>2147</v>
      </c>
      <c r="J12160">
        <v>2147</v>
      </c>
      <c r="K12160">
        <v>0</v>
      </c>
      <c r="L12160">
        <v>1</v>
      </c>
      <c r="M12160">
        <v>1970</v>
      </c>
      <c r="N12160">
        <v>139</v>
      </c>
      <c r="O12160">
        <v>38</v>
      </c>
      <c r="P12160">
        <v>0</v>
      </c>
      <c r="Q12160">
        <v>0</v>
      </c>
    </row>
    <row r="12161" spans="1:17" x14ac:dyDescent="0.2">
      <c r="A12161" s="121">
        <v>43251</v>
      </c>
      <c r="B12161" t="s">
        <v>406</v>
      </c>
      <c r="C12161" t="s">
        <v>491</v>
      </c>
      <c r="D12161" t="s">
        <v>502</v>
      </c>
      <c r="E12161" t="s">
        <v>615</v>
      </c>
      <c r="F12161" t="s">
        <v>410</v>
      </c>
      <c r="G12161">
        <v>3323</v>
      </c>
      <c r="H12161">
        <v>3323</v>
      </c>
      <c r="I12161">
        <v>3321</v>
      </c>
      <c r="J12161">
        <v>3321</v>
      </c>
      <c r="K12161">
        <v>1</v>
      </c>
      <c r="L12161">
        <v>0</v>
      </c>
      <c r="M12161">
        <v>2945</v>
      </c>
      <c r="N12161">
        <v>300</v>
      </c>
      <c r="O12161">
        <v>77</v>
      </c>
      <c r="P12161">
        <v>0</v>
      </c>
      <c r="Q12161">
        <v>0</v>
      </c>
    </row>
    <row r="12162" spans="1:17" x14ac:dyDescent="0.2">
      <c r="A12162" s="121">
        <v>43251</v>
      </c>
      <c r="B12162" t="s">
        <v>406</v>
      </c>
      <c r="C12162" t="s">
        <v>491</v>
      </c>
      <c r="D12162" t="s">
        <v>504</v>
      </c>
      <c r="E12162" t="s">
        <v>630</v>
      </c>
      <c r="F12162" t="s">
        <v>413</v>
      </c>
      <c r="G12162">
        <v>9173</v>
      </c>
      <c r="H12162">
        <v>9173</v>
      </c>
      <c r="I12162">
        <v>8147</v>
      </c>
      <c r="J12162">
        <v>8147</v>
      </c>
      <c r="K12162">
        <v>2846</v>
      </c>
      <c r="L12162">
        <v>28</v>
      </c>
      <c r="M12162">
        <v>5998</v>
      </c>
      <c r="N12162">
        <v>70</v>
      </c>
      <c r="O12162">
        <v>231</v>
      </c>
      <c r="P12162">
        <v>28</v>
      </c>
      <c r="Q12162">
        <v>0</v>
      </c>
    </row>
    <row r="12163" spans="1:17" x14ac:dyDescent="0.2">
      <c r="A12163" s="121">
        <v>43251</v>
      </c>
      <c r="B12163" t="s">
        <v>406</v>
      </c>
      <c r="C12163" t="s">
        <v>491</v>
      </c>
      <c r="D12163" t="s">
        <v>506</v>
      </c>
      <c r="E12163" t="s">
        <v>507</v>
      </c>
      <c r="F12163" t="s">
        <v>413</v>
      </c>
      <c r="G12163">
        <v>6217</v>
      </c>
      <c r="H12163">
        <v>6217</v>
      </c>
      <c r="I12163">
        <v>6108</v>
      </c>
      <c r="J12163">
        <v>6108</v>
      </c>
      <c r="K12163">
        <v>1112</v>
      </c>
      <c r="L12163">
        <v>2</v>
      </c>
      <c r="M12163">
        <v>5067</v>
      </c>
      <c r="N12163">
        <v>2</v>
      </c>
      <c r="O12163">
        <v>34</v>
      </c>
      <c r="P12163">
        <v>0</v>
      </c>
      <c r="Q12163">
        <v>0</v>
      </c>
    </row>
    <row r="12164" spans="1:17" x14ac:dyDescent="0.2">
      <c r="A12164" s="121">
        <v>43251</v>
      </c>
      <c r="B12164" t="s">
        <v>406</v>
      </c>
      <c r="C12164" t="s">
        <v>510</v>
      </c>
      <c r="D12164" t="s">
        <v>513</v>
      </c>
      <c r="E12164" t="s">
        <v>514</v>
      </c>
      <c r="F12164" t="s">
        <v>410</v>
      </c>
      <c r="G12164">
        <v>799</v>
      </c>
      <c r="I12164">
        <v>799</v>
      </c>
    </row>
    <row r="12165" spans="1:17" x14ac:dyDescent="0.2">
      <c r="A12165" s="121">
        <v>43251</v>
      </c>
      <c r="B12165" t="s">
        <v>406</v>
      </c>
      <c r="C12165" t="s">
        <v>510</v>
      </c>
      <c r="D12165" t="s">
        <v>515</v>
      </c>
      <c r="E12165" t="s">
        <v>516</v>
      </c>
      <c r="F12165" t="s">
        <v>410</v>
      </c>
      <c r="G12165">
        <v>171</v>
      </c>
      <c r="I12165">
        <v>169</v>
      </c>
    </row>
    <row r="12166" spans="1:17" x14ac:dyDescent="0.2">
      <c r="A12166" s="121">
        <v>43251</v>
      </c>
      <c r="B12166" t="s">
        <v>406</v>
      </c>
      <c r="C12166" t="s">
        <v>510</v>
      </c>
      <c r="D12166" t="s">
        <v>519</v>
      </c>
      <c r="E12166" t="s">
        <v>520</v>
      </c>
      <c r="F12166" t="s">
        <v>410</v>
      </c>
      <c r="G12166">
        <v>430</v>
      </c>
      <c r="I12166">
        <v>426</v>
      </c>
    </row>
    <row r="12167" spans="1:17" x14ac:dyDescent="0.2">
      <c r="A12167" s="121">
        <v>43251</v>
      </c>
      <c r="B12167" t="s">
        <v>406</v>
      </c>
      <c r="C12167" t="s">
        <v>510</v>
      </c>
      <c r="D12167" t="s">
        <v>523</v>
      </c>
      <c r="E12167" t="s">
        <v>524</v>
      </c>
      <c r="F12167" t="s">
        <v>413</v>
      </c>
      <c r="G12167">
        <v>804</v>
      </c>
      <c r="H12167">
        <v>804</v>
      </c>
      <c r="I12167">
        <v>769</v>
      </c>
      <c r="J12167">
        <v>769</v>
      </c>
      <c r="K12167">
        <v>187</v>
      </c>
      <c r="L12167">
        <v>0</v>
      </c>
      <c r="M12167">
        <v>601</v>
      </c>
      <c r="N12167">
        <v>16</v>
      </c>
      <c r="O12167">
        <v>0</v>
      </c>
      <c r="P12167">
        <v>0</v>
      </c>
      <c r="Q12167">
        <v>0</v>
      </c>
    </row>
    <row r="12168" spans="1:17" x14ac:dyDescent="0.2">
      <c r="A12168" s="121">
        <v>43251</v>
      </c>
      <c r="B12168" t="s">
        <v>406</v>
      </c>
      <c r="C12168" t="s">
        <v>510</v>
      </c>
      <c r="D12168" t="s">
        <v>525</v>
      </c>
      <c r="E12168" t="s">
        <v>526</v>
      </c>
      <c r="F12168" t="s">
        <v>410</v>
      </c>
      <c r="G12168">
        <v>560</v>
      </c>
      <c r="I12168">
        <v>554</v>
      </c>
    </row>
    <row r="12169" spans="1:17" x14ac:dyDescent="0.2">
      <c r="A12169" s="121">
        <v>43251</v>
      </c>
      <c r="B12169" t="s">
        <v>406</v>
      </c>
      <c r="C12169" t="s">
        <v>510</v>
      </c>
      <c r="D12169" t="s">
        <v>527</v>
      </c>
      <c r="E12169" t="s">
        <v>528</v>
      </c>
      <c r="F12169" t="s">
        <v>410</v>
      </c>
      <c r="G12169">
        <v>213</v>
      </c>
      <c r="I12169">
        <v>213</v>
      </c>
    </row>
    <row r="12170" spans="1:17" x14ac:dyDescent="0.2">
      <c r="A12170" s="121">
        <v>43251</v>
      </c>
      <c r="B12170" t="s">
        <v>406</v>
      </c>
      <c r="C12170" t="s">
        <v>510</v>
      </c>
      <c r="D12170" t="s">
        <v>529</v>
      </c>
      <c r="E12170" t="s">
        <v>530</v>
      </c>
      <c r="F12170" t="s">
        <v>413</v>
      </c>
      <c r="G12170">
        <v>739</v>
      </c>
      <c r="H12170">
        <v>739</v>
      </c>
      <c r="I12170">
        <v>716</v>
      </c>
      <c r="J12170">
        <v>716</v>
      </c>
      <c r="K12170">
        <v>223</v>
      </c>
      <c r="L12170">
        <v>0</v>
      </c>
      <c r="M12170">
        <v>514</v>
      </c>
      <c r="N12170">
        <v>2</v>
      </c>
      <c r="O12170">
        <v>0</v>
      </c>
      <c r="P12170">
        <v>5</v>
      </c>
      <c r="Q12170">
        <v>1</v>
      </c>
    </row>
    <row r="12171" spans="1:17" x14ac:dyDescent="0.2">
      <c r="A12171" s="121">
        <v>43251</v>
      </c>
      <c r="B12171" t="s">
        <v>406</v>
      </c>
      <c r="C12171" t="s">
        <v>510</v>
      </c>
      <c r="D12171" t="s">
        <v>531</v>
      </c>
      <c r="E12171" t="s">
        <v>532</v>
      </c>
      <c r="F12171" t="s">
        <v>410</v>
      </c>
      <c r="G12171">
        <v>57</v>
      </c>
      <c r="I12171">
        <v>57</v>
      </c>
    </row>
    <row r="12172" spans="1:17" x14ac:dyDescent="0.2">
      <c r="A12172" s="121">
        <v>43251</v>
      </c>
      <c r="B12172" t="s">
        <v>406</v>
      </c>
      <c r="C12172" t="s">
        <v>510</v>
      </c>
      <c r="D12172" t="s">
        <v>533</v>
      </c>
      <c r="E12172" t="s">
        <v>534</v>
      </c>
      <c r="F12172" t="s">
        <v>413</v>
      </c>
      <c r="G12172">
        <v>3298</v>
      </c>
      <c r="H12172">
        <v>3298</v>
      </c>
      <c r="I12172">
        <v>3121</v>
      </c>
      <c r="J12172">
        <v>3121</v>
      </c>
      <c r="K12172">
        <v>709</v>
      </c>
      <c r="L12172">
        <v>6</v>
      </c>
      <c r="M12172">
        <v>2568</v>
      </c>
      <c r="N12172">
        <v>15</v>
      </c>
      <c r="O12172">
        <v>0</v>
      </c>
      <c r="P12172">
        <v>11</v>
      </c>
      <c r="Q12172">
        <v>0</v>
      </c>
    </row>
    <row r="12173" spans="1:17" x14ac:dyDescent="0.2">
      <c r="A12173" s="121">
        <v>43251</v>
      </c>
      <c r="B12173" t="s">
        <v>406</v>
      </c>
      <c r="C12173" t="s">
        <v>510</v>
      </c>
      <c r="D12173" t="s">
        <v>535</v>
      </c>
      <c r="E12173" t="s">
        <v>536</v>
      </c>
      <c r="F12173" t="s">
        <v>410</v>
      </c>
      <c r="G12173">
        <v>393</v>
      </c>
      <c r="I12173">
        <v>393</v>
      </c>
    </row>
    <row r="12174" spans="1:17" x14ac:dyDescent="0.2">
      <c r="A12174" s="121">
        <v>43251</v>
      </c>
      <c r="B12174" t="s">
        <v>406</v>
      </c>
      <c r="C12174" t="s">
        <v>510</v>
      </c>
      <c r="D12174" t="s">
        <v>537</v>
      </c>
      <c r="E12174" t="s">
        <v>538</v>
      </c>
      <c r="F12174" t="s">
        <v>410</v>
      </c>
      <c r="G12174">
        <v>81</v>
      </c>
      <c r="I12174">
        <v>81</v>
      </c>
    </row>
    <row r="12175" spans="1:17" x14ac:dyDescent="0.2">
      <c r="A12175" s="121">
        <v>43251</v>
      </c>
      <c r="B12175" t="s">
        <v>406</v>
      </c>
      <c r="C12175" t="s">
        <v>510</v>
      </c>
      <c r="D12175" t="s">
        <v>539</v>
      </c>
      <c r="E12175" t="s">
        <v>540</v>
      </c>
      <c r="F12175" t="s">
        <v>413</v>
      </c>
      <c r="G12175">
        <v>1037</v>
      </c>
      <c r="H12175">
        <v>1037</v>
      </c>
      <c r="I12175">
        <v>987</v>
      </c>
      <c r="J12175">
        <v>987</v>
      </c>
      <c r="K12175">
        <v>163</v>
      </c>
      <c r="L12175">
        <v>1</v>
      </c>
      <c r="M12175">
        <v>867</v>
      </c>
      <c r="N12175">
        <v>6</v>
      </c>
      <c r="O12175">
        <v>0</v>
      </c>
      <c r="P12175">
        <v>1</v>
      </c>
      <c r="Q12175">
        <v>0</v>
      </c>
    </row>
    <row r="12176" spans="1:17" x14ac:dyDescent="0.2">
      <c r="A12176" s="121">
        <v>43251</v>
      </c>
      <c r="B12176" t="s">
        <v>406</v>
      </c>
      <c r="C12176" t="s">
        <v>510</v>
      </c>
      <c r="D12176" t="s">
        <v>541</v>
      </c>
      <c r="E12176" t="s">
        <v>542</v>
      </c>
      <c r="F12176" t="s">
        <v>410</v>
      </c>
      <c r="G12176">
        <v>477</v>
      </c>
      <c r="I12176">
        <v>477</v>
      </c>
    </row>
    <row r="12177" spans="1:17" x14ac:dyDescent="0.2">
      <c r="A12177" s="121">
        <v>43251</v>
      </c>
      <c r="B12177" t="s">
        <v>406</v>
      </c>
      <c r="C12177" t="s">
        <v>510</v>
      </c>
      <c r="D12177" t="s">
        <v>543</v>
      </c>
      <c r="E12177" t="s">
        <v>544</v>
      </c>
      <c r="F12177" t="s">
        <v>410</v>
      </c>
      <c r="G12177">
        <v>283</v>
      </c>
      <c r="I12177">
        <v>283</v>
      </c>
    </row>
    <row r="12178" spans="1:17" x14ac:dyDescent="0.2">
      <c r="A12178" s="121">
        <v>43251</v>
      </c>
      <c r="B12178" t="s">
        <v>406</v>
      </c>
      <c r="C12178" t="s">
        <v>510</v>
      </c>
      <c r="D12178" t="s">
        <v>545</v>
      </c>
      <c r="E12178" t="s">
        <v>546</v>
      </c>
      <c r="F12178" t="s">
        <v>410</v>
      </c>
      <c r="G12178">
        <v>88</v>
      </c>
      <c r="I12178">
        <v>88</v>
      </c>
    </row>
    <row r="12179" spans="1:17" x14ac:dyDescent="0.2">
      <c r="A12179" s="121">
        <v>43251</v>
      </c>
      <c r="B12179" t="s">
        <v>406</v>
      </c>
      <c r="C12179" t="s">
        <v>510</v>
      </c>
      <c r="D12179" t="s">
        <v>547</v>
      </c>
      <c r="E12179" t="s">
        <v>548</v>
      </c>
      <c r="F12179" t="s">
        <v>410</v>
      </c>
      <c r="G12179">
        <v>201</v>
      </c>
      <c r="I12179">
        <v>201</v>
      </c>
    </row>
    <row r="12180" spans="1:17" x14ac:dyDescent="0.2">
      <c r="A12180" s="121">
        <v>43251</v>
      </c>
      <c r="B12180" t="s">
        <v>406</v>
      </c>
      <c r="C12180" t="s">
        <v>510</v>
      </c>
      <c r="D12180" t="s">
        <v>616</v>
      </c>
      <c r="E12180" t="s">
        <v>617</v>
      </c>
      <c r="F12180" t="s">
        <v>410</v>
      </c>
      <c r="G12180">
        <v>414</v>
      </c>
      <c r="I12180">
        <v>406</v>
      </c>
    </row>
    <row r="12181" spans="1:17" x14ac:dyDescent="0.2">
      <c r="A12181" s="121">
        <v>43251</v>
      </c>
      <c r="B12181" t="s">
        <v>406</v>
      </c>
      <c r="C12181" t="s">
        <v>510</v>
      </c>
      <c r="D12181" t="s">
        <v>549</v>
      </c>
      <c r="E12181" t="s">
        <v>550</v>
      </c>
      <c r="F12181" t="s">
        <v>410</v>
      </c>
      <c r="G12181">
        <v>160</v>
      </c>
      <c r="I12181">
        <v>160</v>
      </c>
    </row>
    <row r="12182" spans="1:17" x14ac:dyDescent="0.2">
      <c r="A12182" s="121">
        <v>43251</v>
      </c>
      <c r="B12182" t="s">
        <v>406</v>
      </c>
      <c r="C12182" t="s">
        <v>510</v>
      </c>
      <c r="D12182" t="s">
        <v>625</v>
      </c>
      <c r="E12182" t="s">
        <v>626</v>
      </c>
      <c r="F12182" t="s">
        <v>410</v>
      </c>
      <c r="G12182">
        <v>108</v>
      </c>
      <c r="I12182">
        <v>106</v>
      </c>
    </row>
    <row r="12183" spans="1:17" x14ac:dyDescent="0.2">
      <c r="A12183" s="121">
        <v>43251</v>
      </c>
      <c r="B12183" t="s">
        <v>406</v>
      </c>
      <c r="C12183" t="s">
        <v>551</v>
      </c>
      <c r="D12183" t="s">
        <v>552</v>
      </c>
      <c r="E12183" t="s">
        <v>553</v>
      </c>
      <c r="F12183" t="s">
        <v>413</v>
      </c>
      <c r="G12183">
        <v>6284</v>
      </c>
      <c r="H12183">
        <v>6284</v>
      </c>
      <c r="I12183">
        <v>6102</v>
      </c>
      <c r="J12183">
        <v>6102</v>
      </c>
      <c r="K12183">
        <v>1764</v>
      </c>
      <c r="L12183">
        <v>6</v>
      </c>
      <c r="M12183">
        <v>4379</v>
      </c>
      <c r="N12183">
        <v>92</v>
      </c>
      <c r="O12183">
        <v>43</v>
      </c>
      <c r="P12183">
        <v>3</v>
      </c>
      <c r="Q12183">
        <v>0</v>
      </c>
    </row>
    <row r="12184" spans="1:17" x14ac:dyDescent="0.2">
      <c r="A12184" s="121">
        <v>43251</v>
      </c>
      <c r="B12184" t="s">
        <v>406</v>
      </c>
      <c r="C12184" t="s">
        <v>551</v>
      </c>
      <c r="D12184" t="s">
        <v>554</v>
      </c>
      <c r="E12184" t="s">
        <v>555</v>
      </c>
      <c r="F12184" t="s">
        <v>410</v>
      </c>
      <c r="G12184">
        <v>89</v>
      </c>
      <c r="I12184">
        <v>89</v>
      </c>
    </row>
    <row r="12185" spans="1:17" x14ac:dyDescent="0.2">
      <c r="A12185" s="121">
        <v>43251</v>
      </c>
      <c r="B12185" t="s">
        <v>406</v>
      </c>
      <c r="C12185" t="s">
        <v>551</v>
      </c>
      <c r="D12185" t="s">
        <v>556</v>
      </c>
      <c r="E12185" t="s">
        <v>557</v>
      </c>
      <c r="F12185" t="s">
        <v>410</v>
      </c>
      <c r="G12185">
        <v>77</v>
      </c>
      <c r="I12185">
        <v>77</v>
      </c>
    </row>
    <row r="12186" spans="1:17" x14ac:dyDescent="0.2">
      <c r="A12186" s="121">
        <v>43251</v>
      </c>
      <c r="B12186" t="s">
        <v>406</v>
      </c>
      <c r="C12186" t="s">
        <v>551</v>
      </c>
      <c r="D12186" t="s">
        <v>558</v>
      </c>
      <c r="E12186" t="s">
        <v>559</v>
      </c>
      <c r="F12186" t="s">
        <v>413</v>
      </c>
      <c r="G12186">
        <v>5994</v>
      </c>
      <c r="H12186">
        <v>5994</v>
      </c>
      <c r="I12186">
        <v>5264</v>
      </c>
      <c r="J12186">
        <v>5264</v>
      </c>
      <c r="K12186">
        <v>1687</v>
      </c>
      <c r="L12186">
        <v>7</v>
      </c>
      <c r="M12186">
        <v>4191</v>
      </c>
      <c r="N12186">
        <v>86</v>
      </c>
      <c r="O12186">
        <v>23</v>
      </c>
      <c r="P12186">
        <v>45</v>
      </c>
      <c r="Q12186">
        <v>9</v>
      </c>
    </row>
    <row r="12187" spans="1:17" x14ac:dyDescent="0.2">
      <c r="A12187" s="121">
        <v>43251</v>
      </c>
      <c r="B12187" t="s">
        <v>406</v>
      </c>
      <c r="C12187" t="s">
        <v>551</v>
      </c>
      <c r="D12187" t="s">
        <v>560</v>
      </c>
      <c r="E12187" t="s">
        <v>561</v>
      </c>
      <c r="F12187" t="s">
        <v>413</v>
      </c>
      <c r="G12187">
        <v>6567</v>
      </c>
      <c r="H12187">
        <v>6567</v>
      </c>
      <c r="I12187">
        <v>6156</v>
      </c>
      <c r="J12187">
        <v>6156</v>
      </c>
      <c r="K12187">
        <v>1676</v>
      </c>
      <c r="L12187">
        <v>5</v>
      </c>
      <c r="M12187">
        <v>4717</v>
      </c>
      <c r="N12187">
        <v>68</v>
      </c>
      <c r="O12187">
        <v>101</v>
      </c>
      <c r="P12187">
        <v>16</v>
      </c>
      <c r="Q12187">
        <v>0</v>
      </c>
    </row>
    <row r="12188" spans="1:17" x14ac:dyDescent="0.2">
      <c r="A12188" s="121">
        <v>43251</v>
      </c>
      <c r="B12188" t="s">
        <v>406</v>
      </c>
      <c r="C12188" t="s">
        <v>562</v>
      </c>
      <c r="D12188" t="s">
        <v>605</v>
      </c>
      <c r="E12188" t="s">
        <v>606</v>
      </c>
      <c r="F12188" t="s">
        <v>410</v>
      </c>
      <c r="G12188">
        <v>218</v>
      </c>
      <c r="I12188">
        <v>218</v>
      </c>
    </row>
    <row r="12189" spans="1:17" x14ac:dyDescent="0.2">
      <c r="A12189" s="121">
        <v>43251</v>
      </c>
      <c r="B12189" t="s">
        <v>406</v>
      </c>
      <c r="C12189" t="s">
        <v>562</v>
      </c>
      <c r="D12189" t="s">
        <v>563</v>
      </c>
      <c r="E12189" t="s">
        <v>564</v>
      </c>
      <c r="F12189" t="s">
        <v>410</v>
      </c>
      <c r="G12189">
        <v>4284</v>
      </c>
      <c r="H12189">
        <v>4284</v>
      </c>
      <c r="I12189">
        <v>3820</v>
      </c>
      <c r="J12189">
        <v>3820</v>
      </c>
      <c r="K12189">
        <v>1096</v>
      </c>
      <c r="L12189">
        <v>0</v>
      </c>
      <c r="M12189">
        <v>3164</v>
      </c>
      <c r="N12189">
        <v>24</v>
      </c>
      <c r="O12189">
        <v>0</v>
      </c>
      <c r="P12189">
        <v>58</v>
      </c>
      <c r="Q12189">
        <v>34</v>
      </c>
    </row>
    <row r="12190" spans="1:17" x14ac:dyDescent="0.2">
      <c r="A12190" s="121">
        <v>43251</v>
      </c>
      <c r="B12190" t="s">
        <v>406</v>
      </c>
      <c r="C12190" t="s">
        <v>562</v>
      </c>
      <c r="D12190" t="s">
        <v>565</v>
      </c>
      <c r="E12190" t="s">
        <v>566</v>
      </c>
      <c r="F12190" t="s">
        <v>413</v>
      </c>
      <c r="G12190">
        <v>5251</v>
      </c>
      <c r="H12190">
        <v>5251</v>
      </c>
      <c r="I12190">
        <v>4757</v>
      </c>
      <c r="J12190">
        <v>4757</v>
      </c>
      <c r="K12190">
        <v>969</v>
      </c>
      <c r="L12190">
        <v>5</v>
      </c>
      <c r="M12190">
        <v>4190</v>
      </c>
      <c r="N12190">
        <v>87</v>
      </c>
      <c r="O12190">
        <v>0</v>
      </c>
      <c r="P12190">
        <v>35</v>
      </c>
      <c r="Q12190">
        <v>3</v>
      </c>
    </row>
    <row r="12191" spans="1:17" x14ac:dyDescent="0.2">
      <c r="A12191" s="121">
        <v>43251</v>
      </c>
      <c r="B12191" t="s">
        <v>406</v>
      </c>
      <c r="C12191" t="s">
        <v>562</v>
      </c>
      <c r="D12191" t="s">
        <v>567</v>
      </c>
      <c r="E12191" t="s">
        <v>568</v>
      </c>
      <c r="F12191" t="s">
        <v>413</v>
      </c>
      <c r="G12191">
        <v>10259</v>
      </c>
      <c r="H12191">
        <v>10259</v>
      </c>
      <c r="I12191">
        <v>7998</v>
      </c>
      <c r="J12191">
        <v>7998</v>
      </c>
      <c r="K12191">
        <v>2791</v>
      </c>
      <c r="L12191">
        <v>19</v>
      </c>
      <c r="M12191">
        <v>7291</v>
      </c>
      <c r="N12191">
        <v>158</v>
      </c>
      <c r="O12191">
        <v>0</v>
      </c>
      <c r="P12191">
        <v>272</v>
      </c>
      <c r="Q12191">
        <v>55</v>
      </c>
    </row>
    <row r="12192" spans="1:17" x14ac:dyDescent="0.2">
      <c r="A12192" s="121">
        <v>43251</v>
      </c>
      <c r="B12192" t="s">
        <v>406</v>
      </c>
      <c r="C12192" t="s">
        <v>562</v>
      </c>
      <c r="D12192" t="s">
        <v>569</v>
      </c>
      <c r="E12192" t="s">
        <v>570</v>
      </c>
      <c r="F12192" t="s">
        <v>413</v>
      </c>
      <c r="G12192">
        <v>4470</v>
      </c>
      <c r="H12192">
        <v>4470</v>
      </c>
      <c r="I12192">
        <v>4314</v>
      </c>
      <c r="J12192">
        <v>4314</v>
      </c>
      <c r="K12192">
        <v>535</v>
      </c>
      <c r="L12192">
        <v>1</v>
      </c>
      <c r="M12192">
        <v>3934</v>
      </c>
      <c r="N12192">
        <v>0</v>
      </c>
      <c r="O12192">
        <v>0</v>
      </c>
      <c r="P12192">
        <v>4</v>
      </c>
      <c r="Q12192">
        <v>2</v>
      </c>
    </row>
    <row r="12193" spans="1:17" x14ac:dyDescent="0.2">
      <c r="A12193" s="121">
        <v>43251</v>
      </c>
      <c r="B12193" t="s">
        <v>406</v>
      </c>
      <c r="C12193" t="s">
        <v>571</v>
      </c>
      <c r="D12193" t="s">
        <v>572</v>
      </c>
      <c r="E12193" t="s">
        <v>627</v>
      </c>
      <c r="F12193" t="s">
        <v>413</v>
      </c>
      <c r="G12193">
        <v>596</v>
      </c>
      <c r="H12193">
        <v>596</v>
      </c>
      <c r="I12193">
        <v>576</v>
      </c>
      <c r="J12193">
        <v>576</v>
      </c>
      <c r="K12193">
        <v>148</v>
      </c>
      <c r="L12193">
        <v>0</v>
      </c>
      <c r="M12193">
        <v>442</v>
      </c>
      <c r="N12193">
        <v>2</v>
      </c>
      <c r="O12193">
        <v>4</v>
      </c>
      <c r="P12193">
        <v>0</v>
      </c>
      <c r="Q12193">
        <v>0</v>
      </c>
    </row>
    <row r="12194" spans="1:17" x14ac:dyDescent="0.2">
      <c r="A12194" s="121">
        <v>43251</v>
      </c>
      <c r="B12194" t="s">
        <v>406</v>
      </c>
      <c r="C12194" t="s">
        <v>574</v>
      </c>
      <c r="D12194" t="s">
        <v>575</v>
      </c>
      <c r="E12194" t="s">
        <v>576</v>
      </c>
      <c r="F12194" t="s">
        <v>413</v>
      </c>
      <c r="G12194">
        <v>660</v>
      </c>
      <c r="H12194">
        <v>660</v>
      </c>
      <c r="I12194">
        <v>637</v>
      </c>
      <c r="J12194">
        <v>637</v>
      </c>
      <c r="K12194">
        <v>140</v>
      </c>
      <c r="L12194">
        <v>0</v>
      </c>
      <c r="M12194">
        <v>509</v>
      </c>
      <c r="N12194">
        <v>5</v>
      </c>
      <c r="O12194">
        <v>6</v>
      </c>
      <c r="P12194">
        <v>1</v>
      </c>
      <c r="Q12194">
        <v>0</v>
      </c>
    </row>
    <row r="12195" spans="1:17" x14ac:dyDescent="0.2">
      <c r="A12195" s="121">
        <v>43251</v>
      </c>
      <c r="B12195" t="s">
        <v>406</v>
      </c>
      <c r="C12195" t="s">
        <v>577</v>
      </c>
      <c r="D12195" t="s">
        <v>578</v>
      </c>
      <c r="E12195" t="s">
        <v>579</v>
      </c>
      <c r="F12195" t="s">
        <v>413</v>
      </c>
      <c r="G12195">
        <v>4608</v>
      </c>
      <c r="H12195">
        <v>4608</v>
      </c>
      <c r="I12195">
        <v>4464</v>
      </c>
      <c r="J12195">
        <v>4464</v>
      </c>
      <c r="K12195">
        <v>1324</v>
      </c>
      <c r="L12195">
        <v>5</v>
      </c>
      <c r="M12195">
        <v>2937</v>
      </c>
      <c r="N12195">
        <v>270</v>
      </c>
      <c r="O12195">
        <v>72</v>
      </c>
      <c r="P12195">
        <v>0</v>
      </c>
      <c r="Q12195">
        <v>0</v>
      </c>
    </row>
    <row r="12196" spans="1:17" x14ac:dyDescent="0.2">
      <c r="A12196" s="121">
        <v>43251</v>
      </c>
      <c r="B12196" t="s">
        <v>406</v>
      </c>
      <c r="C12196" t="s">
        <v>577</v>
      </c>
      <c r="D12196" t="s">
        <v>580</v>
      </c>
      <c r="E12196" t="s">
        <v>581</v>
      </c>
      <c r="F12196" t="s">
        <v>413</v>
      </c>
      <c r="G12196">
        <v>2405</v>
      </c>
      <c r="H12196">
        <v>2405</v>
      </c>
      <c r="I12196">
        <v>2314</v>
      </c>
      <c r="J12196">
        <v>2314</v>
      </c>
      <c r="K12196">
        <v>332</v>
      </c>
      <c r="L12196">
        <v>3</v>
      </c>
      <c r="M12196">
        <v>1674</v>
      </c>
      <c r="N12196">
        <v>350</v>
      </c>
      <c r="O12196">
        <v>46</v>
      </c>
      <c r="P12196">
        <v>4</v>
      </c>
      <c r="Q12196">
        <v>0</v>
      </c>
    </row>
    <row r="12197" spans="1:17" x14ac:dyDescent="0.2">
      <c r="A12197" s="121">
        <v>43251</v>
      </c>
      <c r="B12197" t="s">
        <v>406</v>
      </c>
      <c r="C12197" t="s">
        <v>577</v>
      </c>
      <c r="D12197" t="s">
        <v>609</v>
      </c>
      <c r="E12197" t="s">
        <v>610</v>
      </c>
      <c r="F12197" t="s">
        <v>410</v>
      </c>
      <c r="G12197">
        <v>34</v>
      </c>
      <c r="H12197">
        <v>34</v>
      </c>
      <c r="I12197">
        <v>34</v>
      </c>
      <c r="J12197">
        <v>34</v>
      </c>
      <c r="K12197">
        <v>0</v>
      </c>
      <c r="L12197">
        <v>0</v>
      </c>
      <c r="M12197">
        <v>30</v>
      </c>
      <c r="N12197">
        <v>4</v>
      </c>
      <c r="O12197">
        <v>0</v>
      </c>
      <c r="P12197">
        <v>0</v>
      </c>
      <c r="Q12197">
        <v>0</v>
      </c>
    </row>
    <row r="12198" spans="1:17" x14ac:dyDescent="0.2">
      <c r="A12198" s="121">
        <v>43251</v>
      </c>
      <c r="B12198" t="s">
        <v>406</v>
      </c>
      <c r="C12198" t="s">
        <v>577</v>
      </c>
      <c r="D12198" t="s">
        <v>584</v>
      </c>
      <c r="E12198" t="s">
        <v>585</v>
      </c>
      <c r="F12198" t="s">
        <v>410</v>
      </c>
      <c r="G12198">
        <v>376</v>
      </c>
      <c r="H12198">
        <v>376</v>
      </c>
      <c r="I12198">
        <v>376</v>
      </c>
      <c r="J12198">
        <v>376</v>
      </c>
      <c r="K12198">
        <v>0</v>
      </c>
      <c r="L12198">
        <v>0</v>
      </c>
      <c r="M12198">
        <v>356</v>
      </c>
      <c r="N12198">
        <v>16</v>
      </c>
      <c r="O12198">
        <v>4</v>
      </c>
      <c r="P12198">
        <v>0</v>
      </c>
      <c r="Q12198">
        <v>0</v>
      </c>
    </row>
    <row r="12199" spans="1:17" x14ac:dyDescent="0.2">
      <c r="A12199" s="121">
        <v>43251</v>
      </c>
      <c r="B12199" t="s">
        <v>406</v>
      </c>
      <c r="C12199" t="s">
        <v>577</v>
      </c>
      <c r="D12199" t="s">
        <v>586</v>
      </c>
      <c r="E12199" t="s">
        <v>587</v>
      </c>
      <c r="F12199" t="s">
        <v>410</v>
      </c>
      <c r="G12199">
        <v>1402</v>
      </c>
      <c r="H12199">
        <v>1402</v>
      </c>
      <c r="I12199">
        <v>1401</v>
      </c>
      <c r="J12199">
        <v>1401</v>
      </c>
      <c r="K12199">
        <v>0</v>
      </c>
      <c r="L12199">
        <v>0</v>
      </c>
      <c r="M12199">
        <v>1268</v>
      </c>
      <c r="N12199">
        <v>130</v>
      </c>
      <c r="O12199">
        <v>4</v>
      </c>
      <c r="P12199">
        <v>0</v>
      </c>
      <c r="Q12199">
        <v>0</v>
      </c>
    </row>
    <row r="12200" spans="1:17" x14ac:dyDescent="0.2">
      <c r="A12200" s="121">
        <v>43251</v>
      </c>
      <c r="B12200" t="s">
        <v>406</v>
      </c>
      <c r="C12200" t="s">
        <v>577</v>
      </c>
      <c r="D12200" t="s">
        <v>588</v>
      </c>
      <c r="E12200" t="s">
        <v>589</v>
      </c>
      <c r="F12200" t="s">
        <v>410</v>
      </c>
      <c r="G12200">
        <v>187</v>
      </c>
      <c r="H12200">
        <v>187</v>
      </c>
      <c r="I12200">
        <v>187</v>
      </c>
      <c r="J12200">
        <v>187</v>
      </c>
      <c r="K12200">
        <v>0</v>
      </c>
      <c r="L12200">
        <v>0</v>
      </c>
      <c r="M12200">
        <v>182</v>
      </c>
      <c r="N12200">
        <v>5</v>
      </c>
      <c r="O12200">
        <v>0</v>
      </c>
      <c r="P12200">
        <v>0</v>
      </c>
      <c r="Q12200">
        <v>0</v>
      </c>
    </row>
    <row r="12201" spans="1:17" x14ac:dyDescent="0.2">
      <c r="A12201" s="121">
        <v>43251</v>
      </c>
      <c r="B12201" t="s">
        <v>406</v>
      </c>
      <c r="C12201" t="s">
        <v>577</v>
      </c>
      <c r="D12201" t="s">
        <v>613</v>
      </c>
      <c r="E12201" t="s">
        <v>614</v>
      </c>
      <c r="F12201" t="s">
        <v>410</v>
      </c>
      <c r="G12201">
        <v>120</v>
      </c>
      <c r="H12201">
        <v>120</v>
      </c>
      <c r="I12201">
        <v>119</v>
      </c>
      <c r="J12201">
        <v>119</v>
      </c>
      <c r="K12201">
        <v>0</v>
      </c>
      <c r="L12201">
        <v>0</v>
      </c>
      <c r="M12201">
        <v>111</v>
      </c>
      <c r="N12201">
        <v>7</v>
      </c>
      <c r="O12201">
        <v>2</v>
      </c>
      <c r="P12201">
        <v>0</v>
      </c>
      <c r="Q12201">
        <v>0</v>
      </c>
    </row>
    <row r="12202" spans="1:17" x14ac:dyDescent="0.2">
      <c r="A12202" s="121">
        <v>43251</v>
      </c>
      <c r="B12202" t="s">
        <v>406</v>
      </c>
      <c r="C12202" t="s">
        <v>577</v>
      </c>
      <c r="D12202" t="s">
        <v>590</v>
      </c>
      <c r="E12202" t="s">
        <v>591</v>
      </c>
      <c r="F12202" t="s">
        <v>410</v>
      </c>
      <c r="G12202">
        <v>622</v>
      </c>
      <c r="H12202">
        <v>622</v>
      </c>
      <c r="I12202">
        <v>622</v>
      </c>
      <c r="J12202">
        <v>622</v>
      </c>
      <c r="K12202">
        <v>0</v>
      </c>
      <c r="L12202">
        <v>0</v>
      </c>
      <c r="M12202">
        <v>597</v>
      </c>
      <c r="N12202">
        <v>25</v>
      </c>
      <c r="O12202">
        <v>0</v>
      </c>
      <c r="P12202">
        <v>0</v>
      </c>
      <c r="Q12202">
        <v>0</v>
      </c>
    </row>
    <row r="12203" spans="1:17" x14ac:dyDescent="0.2">
      <c r="A12203" s="121">
        <v>43251</v>
      </c>
      <c r="B12203" t="s">
        <v>406</v>
      </c>
      <c r="C12203" t="s">
        <v>577</v>
      </c>
      <c r="D12203" t="s">
        <v>607</v>
      </c>
      <c r="E12203" t="s">
        <v>608</v>
      </c>
      <c r="F12203" t="s">
        <v>410</v>
      </c>
      <c r="G12203">
        <v>210</v>
      </c>
      <c r="H12203">
        <v>210</v>
      </c>
      <c r="I12203">
        <v>210</v>
      </c>
      <c r="J12203">
        <v>210</v>
      </c>
      <c r="K12203">
        <v>0</v>
      </c>
      <c r="L12203">
        <v>0</v>
      </c>
      <c r="M12203">
        <v>197</v>
      </c>
      <c r="N12203">
        <v>12</v>
      </c>
      <c r="O12203">
        <v>1</v>
      </c>
      <c r="P12203">
        <v>0</v>
      </c>
      <c r="Q12203">
        <v>0</v>
      </c>
    </row>
    <row r="12204" spans="1:17" x14ac:dyDescent="0.2">
      <c r="A12204" s="121">
        <v>43251</v>
      </c>
      <c r="B12204" t="s">
        <v>406</v>
      </c>
      <c r="C12204" t="s">
        <v>577</v>
      </c>
      <c r="D12204" t="s">
        <v>592</v>
      </c>
      <c r="E12204" t="s">
        <v>593</v>
      </c>
      <c r="F12204" t="s">
        <v>410</v>
      </c>
      <c r="G12204">
        <v>353</v>
      </c>
      <c r="H12204">
        <v>353</v>
      </c>
      <c r="I12204">
        <v>353</v>
      </c>
      <c r="J12204">
        <v>353</v>
      </c>
      <c r="K12204">
        <v>0</v>
      </c>
      <c r="L12204">
        <v>1</v>
      </c>
      <c r="M12204">
        <v>322</v>
      </c>
      <c r="N12204">
        <v>29</v>
      </c>
      <c r="O12204">
        <v>1</v>
      </c>
      <c r="P12204">
        <v>0</v>
      </c>
      <c r="Q12204">
        <v>0</v>
      </c>
    </row>
    <row r="12205" spans="1:17" x14ac:dyDescent="0.2">
      <c r="A12205" s="121">
        <v>43251</v>
      </c>
      <c r="B12205" t="s">
        <v>406</v>
      </c>
      <c r="C12205" t="s">
        <v>594</v>
      </c>
      <c r="D12205" t="s">
        <v>595</v>
      </c>
      <c r="E12205" t="s">
        <v>596</v>
      </c>
      <c r="F12205" t="s">
        <v>410</v>
      </c>
      <c r="G12205">
        <v>61</v>
      </c>
      <c r="I12205">
        <v>61</v>
      </c>
    </row>
    <row r="12206" spans="1:17" x14ac:dyDescent="0.2">
      <c r="A12206" s="121">
        <v>43251</v>
      </c>
      <c r="B12206" t="s">
        <v>406</v>
      </c>
      <c r="C12206" t="s">
        <v>594</v>
      </c>
      <c r="D12206" t="s">
        <v>597</v>
      </c>
      <c r="E12206" t="s">
        <v>598</v>
      </c>
      <c r="F12206" t="s">
        <v>413</v>
      </c>
      <c r="G12206">
        <v>618</v>
      </c>
      <c r="H12206">
        <v>618</v>
      </c>
      <c r="I12206">
        <v>609</v>
      </c>
      <c r="J12206">
        <v>609</v>
      </c>
      <c r="K12206">
        <v>156</v>
      </c>
      <c r="L12206">
        <v>0</v>
      </c>
      <c r="M12206">
        <v>440</v>
      </c>
      <c r="N12206">
        <v>11</v>
      </c>
      <c r="O12206">
        <v>11</v>
      </c>
      <c r="P12206">
        <v>0</v>
      </c>
      <c r="Q12206">
        <v>0</v>
      </c>
    </row>
    <row r="12207" spans="1:17" x14ac:dyDescent="0.2">
      <c r="A12207" s="121">
        <v>43251</v>
      </c>
      <c r="B12207" t="s">
        <v>406</v>
      </c>
      <c r="C12207" t="s">
        <v>594</v>
      </c>
      <c r="D12207" t="s">
        <v>599</v>
      </c>
      <c r="E12207" t="s">
        <v>600</v>
      </c>
      <c r="F12207" t="s">
        <v>410</v>
      </c>
      <c r="G12207">
        <v>166</v>
      </c>
      <c r="H12207">
        <v>166</v>
      </c>
      <c r="I12207">
        <v>165</v>
      </c>
      <c r="J12207">
        <v>165</v>
      </c>
      <c r="K12207">
        <v>12</v>
      </c>
      <c r="L12207">
        <v>0</v>
      </c>
      <c r="M12207">
        <v>154</v>
      </c>
      <c r="N12207">
        <v>0</v>
      </c>
      <c r="O12207">
        <v>0</v>
      </c>
      <c r="P12207">
        <v>0</v>
      </c>
      <c r="Q12207">
        <v>0</v>
      </c>
    </row>
    <row r="12208" spans="1:17" x14ac:dyDescent="0.2">
      <c r="A12208" s="121">
        <v>43281</v>
      </c>
      <c r="B12208" t="s">
        <v>406</v>
      </c>
      <c r="C12208" t="s">
        <v>407</v>
      </c>
      <c r="D12208" t="s">
        <v>408</v>
      </c>
      <c r="E12208" t="s">
        <v>409</v>
      </c>
      <c r="F12208" t="s">
        <v>410</v>
      </c>
      <c r="G12208">
        <v>340</v>
      </c>
      <c r="I12208">
        <v>336</v>
      </c>
    </row>
    <row r="12209" spans="1:17" x14ac:dyDescent="0.2">
      <c r="A12209" s="121">
        <v>43281</v>
      </c>
      <c r="B12209" t="s">
        <v>406</v>
      </c>
      <c r="C12209" t="s">
        <v>407</v>
      </c>
      <c r="D12209" t="s">
        <v>601</v>
      </c>
      <c r="E12209" t="s">
        <v>602</v>
      </c>
      <c r="F12209" t="s">
        <v>410</v>
      </c>
      <c r="G12209">
        <v>87</v>
      </c>
      <c r="I12209">
        <v>87</v>
      </c>
    </row>
    <row r="12210" spans="1:17" x14ac:dyDescent="0.2">
      <c r="A12210" s="121">
        <v>43281</v>
      </c>
      <c r="B12210" t="s">
        <v>406</v>
      </c>
      <c r="C12210" t="s">
        <v>407</v>
      </c>
      <c r="D12210" t="s">
        <v>411</v>
      </c>
      <c r="E12210" t="s">
        <v>412</v>
      </c>
      <c r="F12210" t="s">
        <v>413</v>
      </c>
      <c r="G12210">
        <v>6278</v>
      </c>
      <c r="H12210">
        <v>6278</v>
      </c>
      <c r="I12210">
        <v>6070</v>
      </c>
      <c r="J12210">
        <v>6070</v>
      </c>
      <c r="K12210">
        <v>1870</v>
      </c>
      <c r="L12210">
        <v>9</v>
      </c>
      <c r="M12210">
        <v>4070</v>
      </c>
      <c r="N12210">
        <v>43</v>
      </c>
      <c r="O12210">
        <v>286</v>
      </c>
      <c r="P12210">
        <v>33</v>
      </c>
      <c r="Q12210">
        <v>3</v>
      </c>
    </row>
    <row r="12211" spans="1:17" x14ac:dyDescent="0.2">
      <c r="A12211" s="121">
        <v>43281</v>
      </c>
      <c r="B12211" t="s">
        <v>406</v>
      </c>
      <c r="C12211" t="s">
        <v>407</v>
      </c>
      <c r="D12211" t="s">
        <v>416</v>
      </c>
      <c r="E12211" t="s">
        <v>417</v>
      </c>
      <c r="F12211" t="s">
        <v>413</v>
      </c>
      <c r="G12211">
        <v>3440</v>
      </c>
      <c r="H12211">
        <v>3440</v>
      </c>
      <c r="I12211">
        <v>3270</v>
      </c>
      <c r="J12211">
        <v>3270</v>
      </c>
      <c r="K12211">
        <v>850</v>
      </c>
      <c r="L12211">
        <v>5</v>
      </c>
      <c r="M12211">
        <v>2454</v>
      </c>
      <c r="N12211">
        <v>71</v>
      </c>
      <c r="O12211">
        <v>60</v>
      </c>
      <c r="P12211">
        <v>24</v>
      </c>
      <c r="Q12211">
        <v>4</v>
      </c>
    </row>
    <row r="12212" spans="1:17" x14ac:dyDescent="0.2">
      <c r="A12212" s="121">
        <v>43281</v>
      </c>
      <c r="B12212" t="s">
        <v>406</v>
      </c>
      <c r="C12212" t="s">
        <v>407</v>
      </c>
      <c r="D12212" t="s">
        <v>618</v>
      </c>
      <c r="E12212" t="s">
        <v>619</v>
      </c>
      <c r="F12212" t="s">
        <v>410</v>
      </c>
      <c r="G12212">
        <v>126</v>
      </c>
      <c r="I12212">
        <v>126</v>
      </c>
    </row>
    <row r="12213" spans="1:17" x14ac:dyDescent="0.2">
      <c r="A12213" s="121">
        <v>43281</v>
      </c>
      <c r="B12213" t="s">
        <v>406</v>
      </c>
      <c r="C12213" t="s">
        <v>418</v>
      </c>
      <c r="D12213" t="s">
        <v>419</v>
      </c>
      <c r="E12213" t="s">
        <v>420</v>
      </c>
      <c r="F12213" t="s">
        <v>410</v>
      </c>
      <c r="G12213">
        <v>7</v>
      </c>
      <c r="I12213">
        <v>7</v>
      </c>
    </row>
    <row r="12214" spans="1:17" x14ac:dyDescent="0.2">
      <c r="A12214" s="121">
        <v>43281</v>
      </c>
      <c r="B12214" t="s">
        <v>406</v>
      </c>
      <c r="C12214" t="s">
        <v>418</v>
      </c>
      <c r="D12214" t="s">
        <v>421</v>
      </c>
      <c r="E12214" t="s">
        <v>422</v>
      </c>
      <c r="F12214" t="s">
        <v>410</v>
      </c>
      <c r="G12214">
        <v>95</v>
      </c>
      <c r="I12214">
        <v>95</v>
      </c>
    </row>
    <row r="12215" spans="1:17" x14ac:dyDescent="0.2">
      <c r="A12215" s="121">
        <v>43281</v>
      </c>
      <c r="B12215" t="s">
        <v>406</v>
      </c>
      <c r="C12215" t="s">
        <v>418</v>
      </c>
      <c r="D12215" t="s">
        <v>423</v>
      </c>
      <c r="E12215" t="s">
        <v>424</v>
      </c>
      <c r="F12215" t="s">
        <v>410</v>
      </c>
      <c r="G12215">
        <v>7</v>
      </c>
      <c r="I12215">
        <v>7</v>
      </c>
    </row>
    <row r="12216" spans="1:17" x14ac:dyDescent="0.2">
      <c r="A12216" s="121">
        <v>43281</v>
      </c>
      <c r="B12216" t="s">
        <v>406</v>
      </c>
      <c r="C12216" t="s">
        <v>418</v>
      </c>
      <c r="D12216" t="s">
        <v>425</v>
      </c>
      <c r="E12216" t="s">
        <v>426</v>
      </c>
      <c r="F12216" t="s">
        <v>410</v>
      </c>
      <c r="G12216">
        <v>46</v>
      </c>
      <c r="I12216">
        <v>46</v>
      </c>
    </row>
    <row r="12217" spans="1:17" x14ac:dyDescent="0.2">
      <c r="A12217" s="121">
        <v>43281</v>
      </c>
      <c r="B12217" t="s">
        <v>406</v>
      </c>
      <c r="C12217" t="s">
        <v>418</v>
      </c>
      <c r="D12217" t="s">
        <v>427</v>
      </c>
      <c r="E12217" t="s">
        <v>428</v>
      </c>
      <c r="F12217" t="s">
        <v>413</v>
      </c>
      <c r="G12217">
        <v>2791</v>
      </c>
      <c r="H12217">
        <v>2791</v>
      </c>
      <c r="I12217">
        <v>2563</v>
      </c>
      <c r="J12217">
        <v>2563</v>
      </c>
      <c r="K12217">
        <v>889</v>
      </c>
      <c r="L12217">
        <v>2</v>
      </c>
      <c r="M12217">
        <v>1652</v>
      </c>
      <c r="N12217">
        <v>231</v>
      </c>
      <c r="O12217">
        <v>17</v>
      </c>
      <c r="P12217">
        <v>16</v>
      </c>
      <c r="Q12217">
        <v>6</v>
      </c>
    </row>
    <row r="12218" spans="1:17" x14ac:dyDescent="0.2">
      <c r="A12218" s="121">
        <v>43281</v>
      </c>
      <c r="B12218" t="s">
        <v>406</v>
      </c>
      <c r="C12218" t="s">
        <v>429</v>
      </c>
      <c r="D12218" t="s">
        <v>430</v>
      </c>
      <c r="E12218" t="s">
        <v>431</v>
      </c>
      <c r="F12218" t="s">
        <v>410</v>
      </c>
      <c r="G12218">
        <v>29</v>
      </c>
      <c r="I12218">
        <v>29</v>
      </c>
    </row>
    <row r="12219" spans="1:17" x14ac:dyDescent="0.2">
      <c r="A12219" s="121">
        <v>43281</v>
      </c>
      <c r="B12219" t="s">
        <v>406</v>
      </c>
      <c r="C12219" t="s">
        <v>429</v>
      </c>
      <c r="D12219" t="s">
        <v>432</v>
      </c>
      <c r="E12219" t="s">
        <v>433</v>
      </c>
      <c r="F12219" t="s">
        <v>410</v>
      </c>
      <c r="G12219">
        <v>37</v>
      </c>
      <c r="I12219">
        <v>37</v>
      </c>
    </row>
    <row r="12220" spans="1:17" x14ac:dyDescent="0.2">
      <c r="A12220" s="121">
        <v>43281</v>
      </c>
      <c r="B12220" t="s">
        <v>406</v>
      </c>
      <c r="C12220" t="s">
        <v>429</v>
      </c>
      <c r="D12220" t="s">
        <v>434</v>
      </c>
      <c r="E12220" t="s">
        <v>435</v>
      </c>
      <c r="F12220" t="s">
        <v>410</v>
      </c>
      <c r="G12220">
        <v>6</v>
      </c>
      <c r="I12220">
        <v>6</v>
      </c>
    </row>
    <row r="12221" spans="1:17" x14ac:dyDescent="0.2">
      <c r="A12221" s="121">
        <v>43281</v>
      </c>
      <c r="B12221" t="s">
        <v>406</v>
      </c>
      <c r="C12221" t="s">
        <v>429</v>
      </c>
      <c r="D12221" t="s">
        <v>436</v>
      </c>
      <c r="E12221" t="s">
        <v>437</v>
      </c>
      <c r="F12221" t="s">
        <v>410</v>
      </c>
      <c r="G12221">
        <v>13</v>
      </c>
      <c r="H12221">
        <v>13</v>
      </c>
      <c r="I12221">
        <v>13</v>
      </c>
      <c r="J12221">
        <v>13</v>
      </c>
      <c r="K12221">
        <v>0</v>
      </c>
      <c r="L12221">
        <v>0</v>
      </c>
      <c r="M12221">
        <v>12</v>
      </c>
      <c r="N12221">
        <v>1</v>
      </c>
      <c r="O12221">
        <v>0</v>
      </c>
      <c r="P12221">
        <v>0</v>
      </c>
      <c r="Q12221">
        <v>0</v>
      </c>
    </row>
    <row r="12222" spans="1:17" x14ac:dyDescent="0.2">
      <c r="A12222" s="121">
        <v>43281</v>
      </c>
      <c r="B12222" t="s">
        <v>406</v>
      </c>
      <c r="C12222" t="s">
        <v>429</v>
      </c>
      <c r="D12222" t="s">
        <v>438</v>
      </c>
      <c r="E12222" t="s">
        <v>439</v>
      </c>
      <c r="F12222" t="s">
        <v>413</v>
      </c>
      <c r="G12222">
        <v>1107</v>
      </c>
      <c r="H12222">
        <v>1107</v>
      </c>
      <c r="I12222">
        <v>1041</v>
      </c>
      <c r="J12222">
        <v>1041</v>
      </c>
      <c r="K12222">
        <v>61</v>
      </c>
      <c r="L12222">
        <v>1</v>
      </c>
      <c r="M12222">
        <v>931</v>
      </c>
      <c r="N12222">
        <v>77</v>
      </c>
      <c r="O12222">
        <v>37</v>
      </c>
      <c r="P12222">
        <v>8</v>
      </c>
      <c r="Q12222">
        <v>1</v>
      </c>
    </row>
    <row r="12223" spans="1:17" x14ac:dyDescent="0.2">
      <c r="A12223" s="121">
        <v>43281</v>
      </c>
      <c r="B12223" t="s">
        <v>406</v>
      </c>
      <c r="C12223" t="s">
        <v>429</v>
      </c>
      <c r="D12223" t="s">
        <v>440</v>
      </c>
      <c r="E12223" t="s">
        <v>441</v>
      </c>
      <c r="F12223" t="s">
        <v>413</v>
      </c>
      <c r="G12223">
        <v>2980</v>
      </c>
      <c r="H12223">
        <v>2980</v>
      </c>
      <c r="I12223">
        <v>2799</v>
      </c>
      <c r="J12223">
        <v>2799</v>
      </c>
      <c r="K12223">
        <v>770</v>
      </c>
      <c r="L12223">
        <v>2</v>
      </c>
      <c r="M12223">
        <v>2099</v>
      </c>
      <c r="N12223">
        <v>75</v>
      </c>
      <c r="O12223">
        <v>34</v>
      </c>
      <c r="P12223">
        <v>3</v>
      </c>
      <c r="Q12223">
        <v>1</v>
      </c>
    </row>
    <row r="12224" spans="1:17" x14ac:dyDescent="0.2">
      <c r="A12224" s="121">
        <v>43281</v>
      </c>
      <c r="B12224" t="s">
        <v>406</v>
      </c>
      <c r="C12224" t="s">
        <v>442</v>
      </c>
      <c r="D12224" t="s">
        <v>443</v>
      </c>
      <c r="E12224" t="s">
        <v>444</v>
      </c>
      <c r="F12224" t="s">
        <v>413</v>
      </c>
      <c r="G12224">
        <v>5740</v>
      </c>
      <c r="H12224">
        <v>5740</v>
      </c>
      <c r="I12224">
        <v>5479</v>
      </c>
      <c r="J12224">
        <v>5479</v>
      </c>
      <c r="K12224">
        <v>1647</v>
      </c>
      <c r="L12224">
        <v>5</v>
      </c>
      <c r="M12224">
        <v>3891</v>
      </c>
      <c r="N12224">
        <v>142</v>
      </c>
      <c r="O12224">
        <v>55</v>
      </c>
      <c r="P12224">
        <v>4</v>
      </c>
      <c r="Q12224">
        <v>0</v>
      </c>
    </row>
    <row r="12225" spans="1:17" x14ac:dyDescent="0.2">
      <c r="A12225" s="121">
        <v>43281</v>
      </c>
      <c r="B12225" t="s">
        <v>406</v>
      </c>
      <c r="C12225" t="s">
        <v>442</v>
      </c>
      <c r="D12225" t="s">
        <v>445</v>
      </c>
      <c r="E12225" t="s">
        <v>446</v>
      </c>
      <c r="F12225" t="s">
        <v>410</v>
      </c>
      <c r="G12225">
        <v>188</v>
      </c>
      <c r="H12225">
        <v>188</v>
      </c>
      <c r="I12225">
        <v>188</v>
      </c>
      <c r="J12225">
        <v>188</v>
      </c>
      <c r="K12225">
        <v>0</v>
      </c>
      <c r="L12225">
        <v>0</v>
      </c>
      <c r="M12225">
        <v>182</v>
      </c>
      <c r="N12225">
        <v>6</v>
      </c>
      <c r="O12225">
        <v>0</v>
      </c>
      <c r="P12225">
        <v>0</v>
      </c>
      <c r="Q12225">
        <v>0</v>
      </c>
    </row>
    <row r="12226" spans="1:17" x14ac:dyDescent="0.2">
      <c r="A12226" s="121">
        <v>43281</v>
      </c>
      <c r="B12226" t="s">
        <v>406</v>
      </c>
      <c r="C12226" t="s">
        <v>442</v>
      </c>
      <c r="D12226" t="s">
        <v>447</v>
      </c>
      <c r="E12226" t="s">
        <v>448</v>
      </c>
      <c r="F12226" t="s">
        <v>410</v>
      </c>
      <c r="G12226">
        <v>324</v>
      </c>
      <c r="H12226">
        <v>324</v>
      </c>
      <c r="I12226">
        <v>323</v>
      </c>
      <c r="J12226">
        <v>323</v>
      </c>
      <c r="K12226">
        <v>0</v>
      </c>
      <c r="L12226">
        <v>0</v>
      </c>
      <c r="M12226">
        <v>318</v>
      </c>
      <c r="N12226">
        <v>6</v>
      </c>
      <c r="O12226">
        <v>0</v>
      </c>
      <c r="P12226">
        <v>0</v>
      </c>
      <c r="Q12226">
        <v>0</v>
      </c>
    </row>
    <row r="12227" spans="1:17" x14ac:dyDescent="0.2">
      <c r="A12227" s="121">
        <v>43281</v>
      </c>
      <c r="B12227" t="s">
        <v>406</v>
      </c>
      <c r="C12227" t="s">
        <v>442</v>
      </c>
      <c r="D12227" t="s">
        <v>449</v>
      </c>
      <c r="E12227" t="s">
        <v>624</v>
      </c>
      <c r="F12227" t="s">
        <v>410</v>
      </c>
      <c r="G12227">
        <v>1974</v>
      </c>
      <c r="H12227">
        <v>1974</v>
      </c>
      <c r="I12227">
        <v>1973</v>
      </c>
      <c r="J12227">
        <v>1973</v>
      </c>
      <c r="K12227">
        <v>27</v>
      </c>
      <c r="L12227">
        <v>0</v>
      </c>
      <c r="M12227">
        <v>1782</v>
      </c>
      <c r="N12227">
        <v>141</v>
      </c>
      <c r="O12227">
        <v>24</v>
      </c>
      <c r="P12227">
        <v>0</v>
      </c>
      <c r="Q12227">
        <v>0</v>
      </c>
    </row>
    <row r="12228" spans="1:17" x14ac:dyDescent="0.2">
      <c r="A12228" s="121">
        <v>43281</v>
      </c>
      <c r="B12228" t="s">
        <v>406</v>
      </c>
      <c r="C12228" t="s">
        <v>451</v>
      </c>
      <c r="D12228" t="s">
        <v>454</v>
      </c>
      <c r="E12228" t="s">
        <v>621</v>
      </c>
      <c r="F12228" t="s">
        <v>410</v>
      </c>
      <c r="G12228">
        <v>1862</v>
      </c>
      <c r="H12228">
        <v>1862</v>
      </c>
      <c r="I12228">
        <v>1861</v>
      </c>
      <c r="J12228">
        <v>1861</v>
      </c>
      <c r="K12228">
        <v>2</v>
      </c>
      <c r="L12228">
        <v>0</v>
      </c>
      <c r="M12228">
        <v>1425</v>
      </c>
      <c r="N12228">
        <v>147</v>
      </c>
      <c r="O12228">
        <v>288</v>
      </c>
      <c r="P12228">
        <v>0</v>
      </c>
      <c r="Q12228">
        <v>0</v>
      </c>
    </row>
    <row r="12229" spans="1:17" x14ac:dyDescent="0.2">
      <c r="A12229" s="121">
        <v>43281</v>
      </c>
      <c r="B12229" t="s">
        <v>406</v>
      </c>
      <c r="C12229" t="s">
        <v>451</v>
      </c>
      <c r="D12229" t="s">
        <v>622</v>
      </c>
      <c r="E12229" t="s">
        <v>623</v>
      </c>
      <c r="F12229" t="s">
        <v>413</v>
      </c>
      <c r="G12229">
        <v>5618</v>
      </c>
      <c r="H12229">
        <v>5618</v>
      </c>
      <c r="I12229">
        <v>4834</v>
      </c>
      <c r="J12229">
        <v>4834</v>
      </c>
      <c r="K12229">
        <v>1421</v>
      </c>
      <c r="L12229">
        <v>6</v>
      </c>
      <c r="M12229">
        <v>3285</v>
      </c>
      <c r="N12229">
        <v>65</v>
      </c>
      <c r="O12229">
        <v>841</v>
      </c>
      <c r="P12229">
        <v>31</v>
      </c>
      <c r="Q12229">
        <v>0</v>
      </c>
    </row>
    <row r="12230" spans="1:17" x14ac:dyDescent="0.2">
      <c r="A12230" s="121">
        <v>43281</v>
      </c>
      <c r="B12230" t="s">
        <v>406</v>
      </c>
      <c r="C12230" t="s">
        <v>456</v>
      </c>
      <c r="D12230" t="s">
        <v>457</v>
      </c>
      <c r="E12230" t="s">
        <v>458</v>
      </c>
      <c r="F12230" t="s">
        <v>413</v>
      </c>
      <c r="G12230">
        <v>5127</v>
      </c>
      <c r="H12230">
        <v>5127</v>
      </c>
      <c r="I12230">
        <v>4624</v>
      </c>
      <c r="J12230">
        <v>4624</v>
      </c>
      <c r="K12230">
        <v>1330</v>
      </c>
      <c r="L12230">
        <v>14</v>
      </c>
      <c r="M12230">
        <v>3327</v>
      </c>
      <c r="N12230">
        <v>30</v>
      </c>
      <c r="O12230">
        <v>426</v>
      </c>
      <c r="P12230">
        <v>10</v>
      </c>
      <c r="Q12230">
        <v>0</v>
      </c>
    </row>
    <row r="12231" spans="1:17" x14ac:dyDescent="0.2">
      <c r="A12231" s="121">
        <v>43281</v>
      </c>
      <c r="B12231" t="s">
        <v>406</v>
      </c>
      <c r="C12231" t="s">
        <v>456</v>
      </c>
      <c r="D12231" t="s">
        <v>459</v>
      </c>
      <c r="E12231" t="s">
        <v>460</v>
      </c>
      <c r="F12231" t="s">
        <v>413</v>
      </c>
      <c r="G12231">
        <v>1578</v>
      </c>
      <c r="H12231">
        <v>1578</v>
      </c>
      <c r="I12231">
        <v>1571</v>
      </c>
      <c r="J12231">
        <v>1571</v>
      </c>
      <c r="K12231">
        <v>128</v>
      </c>
      <c r="L12231">
        <v>1</v>
      </c>
      <c r="M12231">
        <v>1392</v>
      </c>
      <c r="N12231">
        <v>0</v>
      </c>
      <c r="O12231">
        <v>57</v>
      </c>
      <c r="P12231">
        <v>0</v>
      </c>
      <c r="Q12231">
        <v>0</v>
      </c>
    </row>
    <row r="12232" spans="1:17" x14ac:dyDescent="0.2">
      <c r="A12232" s="121">
        <v>43281</v>
      </c>
      <c r="B12232" t="s">
        <v>406</v>
      </c>
      <c r="C12232" t="s">
        <v>456</v>
      </c>
      <c r="D12232" t="s">
        <v>461</v>
      </c>
      <c r="E12232" t="s">
        <v>462</v>
      </c>
      <c r="F12232" t="s">
        <v>410</v>
      </c>
      <c r="G12232">
        <v>112</v>
      </c>
      <c r="I12232">
        <v>112</v>
      </c>
    </row>
    <row r="12233" spans="1:17" x14ac:dyDescent="0.2">
      <c r="A12233" s="121">
        <v>43281</v>
      </c>
      <c r="B12233" t="s">
        <v>406</v>
      </c>
      <c r="C12233" t="s">
        <v>456</v>
      </c>
      <c r="D12233" t="s">
        <v>463</v>
      </c>
      <c r="E12233" t="s">
        <v>464</v>
      </c>
      <c r="F12233" t="s">
        <v>410</v>
      </c>
      <c r="G12233">
        <v>22</v>
      </c>
      <c r="I12233">
        <v>22</v>
      </c>
    </row>
    <row r="12234" spans="1:17" x14ac:dyDescent="0.2">
      <c r="A12234" s="121">
        <v>43281</v>
      </c>
      <c r="B12234" t="s">
        <v>406</v>
      </c>
      <c r="C12234" t="s">
        <v>456</v>
      </c>
      <c r="D12234" t="s">
        <v>465</v>
      </c>
      <c r="E12234" t="s">
        <v>466</v>
      </c>
      <c r="F12234" t="s">
        <v>410</v>
      </c>
      <c r="G12234">
        <v>30</v>
      </c>
      <c r="I12234">
        <v>30</v>
      </c>
    </row>
    <row r="12235" spans="1:17" x14ac:dyDescent="0.2">
      <c r="A12235" s="121">
        <v>43281</v>
      </c>
      <c r="B12235" t="s">
        <v>406</v>
      </c>
      <c r="C12235" t="s">
        <v>456</v>
      </c>
      <c r="D12235" t="s">
        <v>467</v>
      </c>
      <c r="E12235" t="s">
        <v>468</v>
      </c>
      <c r="F12235" t="s">
        <v>410</v>
      </c>
      <c r="G12235">
        <v>1470</v>
      </c>
      <c r="I12235">
        <v>1465</v>
      </c>
    </row>
    <row r="12236" spans="1:17" x14ac:dyDescent="0.2">
      <c r="A12236" s="121">
        <v>43281</v>
      </c>
      <c r="B12236" t="s">
        <v>406</v>
      </c>
      <c r="C12236" t="s">
        <v>456</v>
      </c>
      <c r="D12236" t="s">
        <v>469</v>
      </c>
      <c r="E12236" t="s">
        <v>470</v>
      </c>
      <c r="F12236" t="s">
        <v>410</v>
      </c>
      <c r="G12236">
        <v>834</v>
      </c>
      <c r="I12236">
        <v>834</v>
      </c>
    </row>
    <row r="12237" spans="1:17" x14ac:dyDescent="0.2">
      <c r="A12237" s="121">
        <v>43281</v>
      </c>
      <c r="B12237" t="s">
        <v>406</v>
      </c>
      <c r="C12237" t="s">
        <v>456</v>
      </c>
      <c r="D12237" t="s">
        <v>471</v>
      </c>
      <c r="E12237" t="s">
        <v>472</v>
      </c>
      <c r="F12237" t="s">
        <v>410</v>
      </c>
      <c r="G12237">
        <v>273</v>
      </c>
      <c r="I12237">
        <v>272</v>
      </c>
    </row>
    <row r="12238" spans="1:17" x14ac:dyDescent="0.2">
      <c r="A12238" s="121">
        <v>43281</v>
      </c>
      <c r="B12238" t="s">
        <v>406</v>
      </c>
      <c r="C12238" t="s">
        <v>456</v>
      </c>
      <c r="D12238" t="s">
        <v>473</v>
      </c>
      <c r="E12238" t="s">
        <v>474</v>
      </c>
      <c r="F12238" t="s">
        <v>410</v>
      </c>
      <c r="G12238">
        <v>193</v>
      </c>
      <c r="I12238">
        <v>193</v>
      </c>
    </row>
    <row r="12239" spans="1:17" x14ac:dyDescent="0.2">
      <c r="A12239" s="121">
        <v>43281</v>
      </c>
      <c r="B12239" t="s">
        <v>406</v>
      </c>
      <c r="C12239" t="s">
        <v>456</v>
      </c>
      <c r="D12239" t="s">
        <v>475</v>
      </c>
      <c r="E12239" t="s">
        <v>476</v>
      </c>
      <c r="F12239" t="s">
        <v>410</v>
      </c>
      <c r="G12239">
        <v>289</v>
      </c>
      <c r="I12239">
        <v>281</v>
      </c>
    </row>
    <row r="12240" spans="1:17" x14ac:dyDescent="0.2">
      <c r="A12240" s="121">
        <v>43281</v>
      </c>
      <c r="B12240" t="s">
        <v>406</v>
      </c>
      <c r="C12240" t="s">
        <v>456</v>
      </c>
      <c r="D12240" t="s">
        <v>477</v>
      </c>
      <c r="E12240" t="s">
        <v>478</v>
      </c>
      <c r="F12240" t="s">
        <v>413</v>
      </c>
      <c r="G12240">
        <v>2338</v>
      </c>
      <c r="H12240">
        <v>2338</v>
      </c>
      <c r="I12240">
        <v>2267</v>
      </c>
      <c r="J12240">
        <v>2267</v>
      </c>
      <c r="K12240">
        <v>399</v>
      </c>
      <c r="L12240">
        <v>1</v>
      </c>
      <c r="M12240">
        <v>1895</v>
      </c>
      <c r="N12240">
        <v>28</v>
      </c>
      <c r="O12240">
        <v>15</v>
      </c>
      <c r="P12240">
        <v>1</v>
      </c>
      <c r="Q12240">
        <v>0</v>
      </c>
    </row>
    <row r="12241" spans="1:17" x14ac:dyDescent="0.2">
      <c r="A12241" s="121">
        <v>43281</v>
      </c>
      <c r="B12241" t="s">
        <v>406</v>
      </c>
      <c r="C12241" t="s">
        <v>456</v>
      </c>
      <c r="D12241" t="s">
        <v>479</v>
      </c>
      <c r="E12241" t="s">
        <v>480</v>
      </c>
      <c r="F12241" t="s">
        <v>410</v>
      </c>
      <c r="G12241">
        <v>81</v>
      </c>
      <c r="I12241">
        <v>81</v>
      </c>
    </row>
    <row r="12242" spans="1:17" x14ac:dyDescent="0.2">
      <c r="A12242" s="121">
        <v>43281</v>
      </c>
      <c r="B12242" t="s">
        <v>406</v>
      </c>
      <c r="C12242" t="s">
        <v>456</v>
      </c>
      <c r="D12242" t="s">
        <v>481</v>
      </c>
      <c r="E12242" t="s">
        <v>482</v>
      </c>
      <c r="F12242" t="s">
        <v>410</v>
      </c>
      <c r="G12242">
        <v>20</v>
      </c>
      <c r="I12242">
        <v>20</v>
      </c>
    </row>
    <row r="12243" spans="1:17" x14ac:dyDescent="0.2">
      <c r="A12243" s="121">
        <v>43281</v>
      </c>
      <c r="B12243" t="s">
        <v>406</v>
      </c>
      <c r="C12243" t="s">
        <v>456</v>
      </c>
      <c r="D12243" t="s">
        <v>483</v>
      </c>
      <c r="E12243" t="s">
        <v>484</v>
      </c>
      <c r="F12243" t="s">
        <v>410</v>
      </c>
      <c r="G12243">
        <v>95</v>
      </c>
      <c r="I12243">
        <v>95</v>
      </c>
    </row>
    <row r="12244" spans="1:17" x14ac:dyDescent="0.2">
      <c r="A12244" s="121">
        <v>43281</v>
      </c>
      <c r="B12244" t="s">
        <v>406</v>
      </c>
      <c r="C12244" t="s">
        <v>456</v>
      </c>
      <c r="D12244" t="s">
        <v>487</v>
      </c>
      <c r="E12244" t="s">
        <v>488</v>
      </c>
      <c r="F12244" t="s">
        <v>410</v>
      </c>
      <c r="G12244">
        <v>31</v>
      </c>
      <c r="I12244">
        <v>31</v>
      </c>
    </row>
    <row r="12245" spans="1:17" x14ac:dyDescent="0.2">
      <c r="A12245" s="121">
        <v>43281</v>
      </c>
      <c r="B12245" t="s">
        <v>406</v>
      </c>
      <c r="C12245" t="s">
        <v>456</v>
      </c>
      <c r="D12245" t="s">
        <v>489</v>
      </c>
      <c r="E12245" t="s">
        <v>490</v>
      </c>
      <c r="F12245" t="s">
        <v>410</v>
      </c>
      <c r="G12245">
        <v>94</v>
      </c>
      <c r="I12245">
        <v>94</v>
      </c>
    </row>
    <row r="12246" spans="1:17" x14ac:dyDescent="0.2">
      <c r="A12246" s="121">
        <v>43281</v>
      </c>
      <c r="B12246" t="s">
        <v>406</v>
      </c>
      <c r="C12246" t="s">
        <v>456</v>
      </c>
      <c r="D12246" t="s">
        <v>628</v>
      </c>
      <c r="E12246" t="s">
        <v>629</v>
      </c>
      <c r="F12246" t="s">
        <v>410</v>
      </c>
      <c r="G12246">
        <v>71</v>
      </c>
      <c r="I12246">
        <v>71</v>
      </c>
    </row>
    <row r="12247" spans="1:17" x14ac:dyDescent="0.2">
      <c r="A12247" s="121">
        <v>43281</v>
      </c>
      <c r="B12247" t="s">
        <v>406</v>
      </c>
      <c r="C12247" t="s">
        <v>491</v>
      </c>
      <c r="D12247" t="s">
        <v>492</v>
      </c>
      <c r="E12247" t="s">
        <v>493</v>
      </c>
      <c r="F12247" t="s">
        <v>410</v>
      </c>
      <c r="G12247">
        <v>1718</v>
      </c>
      <c r="H12247">
        <v>1718</v>
      </c>
      <c r="I12247">
        <v>1682</v>
      </c>
      <c r="J12247">
        <v>1682</v>
      </c>
      <c r="K12247">
        <v>206</v>
      </c>
      <c r="L12247">
        <v>1</v>
      </c>
      <c r="M12247">
        <v>1395</v>
      </c>
      <c r="N12247">
        <v>102</v>
      </c>
      <c r="O12247">
        <v>14</v>
      </c>
      <c r="P12247">
        <v>1</v>
      </c>
      <c r="Q12247">
        <v>0</v>
      </c>
    </row>
    <row r="12248" spans="1:17" x14ac:dyDescent="0.2">
      <c r="A12248" s="121">
        <v>43281</v>
      </c>
      <c r="B12248" t="s">
        <v>406</v>
      </c>
      <c r="C12248" t="s">
        <v>491</v>
      </c>
      <c r="D12248" t="s">
        <v>494</v>
      </c>
      <c r="E12248" t="s">
        <v>495</v>
      </c>
      <c r="F12248" t="s">
        <v>413</v>
      </c>
      <c r="G12248">
        <v>2968</v>
      </c>
      <c r="H12248">
        <v>2968</v>
      </c>
      <c r="I12248">
        <v>2803</v>
      </c>
      <c r="J12248">
        <v>2803</v>
      </c>
      <c r="K12248">
        <v>628</v>
      </c>
      <c r="L12248">
        <v>5</v>
      </c>
      <c r="M12248">
        <v>2152</v>
      </c>
      <c r="N12248">
        <v>46</v>
      </c>
      <c r="O12248">
        <v>137</v>
      </c>
      <c r="P12248">
        <v>5</v>
      </c>
      <c r="Q12248">
        <v>0</v>
      </c>
    </row>
    <row r="12249" spans="1:17" x14ac:dyDescent="0.2">
      <c r="A12249" s="121">
        <v>43281</v>
      </c>
      <c r="B12249" t="s">
        <v>406</v>
      </c>
      <c r="C12249" t="s">
        <v>491</v>
      </c>
      <c r="D12249" t="s">
        <v>496</v>
      </c>
      <c r="E12249" t="s">
        <v>497</v>
      </c>
      <c r="F12249" t="s">
        <v>413</v>
      </c>
      <c r="G12249">
        <v>5634</v>
      </c>
      <c r="H12249">
        <v>5634</v>
      </c>
      <c r="I12249">
        <v>5029</v>
      </c>
      <c r="J12249">
        <v>5029</v>
      </c>
      <c r="K12249">
        <v>1705</v>
      </c>
      <c r="L12249">
        <v>6</v>
      </c>
      <c r="M12249">
        <v>3641</v>
      </c>
      <c r="N12249">
        <v>110</v>
      </c>
      <c r="O12249">
        <v>172</v>
      </c>
      <c r="P12249">
        <v>65</v>
      </c>
      <c r="Q12249">
        <v>0</v>
      </c>
    </row>
    <row r="12250" spans="1:17" x14ac:dyDescent="0.2">
      <c r="A12250" s="121">
        <v>43281</v>
      </c>
      <c r="B12250" t="s">
        <v>406</v>
      </c>
      <c r="C12250" t="s">
        <v>491</v>
      </c>
      <c r="D12250" t="s">
        <v>498</v>
      </c>
      <c r="E12250" t="s">
        <v>499</v>
      </c>
      <c r="F12250" t="s">
        <v>413</v>
      </c>
      <c r="G12250">
        <v>7909</v>
      </c>
      <c r="H12250">
        <v>7909</v>
      </c>
      <c r="I12250">
        <v>7290</v>
      </c>
      <c r="J12250">
        <v>7290</v>
      </c>
      <c r="K12250">
        <v>2348</v>
      </c>
      <c r="L12250">
        <v>19</v>
      </c>
      <c r="M12250">
        <v>5015</v>
      </c>
      <c r="N12250">
        <v>111</v>
      </c>
      <c r="O12250">
        <v>416</v>
      </c>
      <c r="P12250">
        <v>16</v>
      </c>
      <c r="Q12250">
        <v>0</v>
      </c>
    </row>
    <row r="12251" spans="1:17" x14ac:dyDescent="0.2">
      <c r="A12251" s="121">
        <v>43281</v>
      </c>
      <c r="B12251" t="s">
        <v>406</v>
      </c>
      <c r="C12251" t="s">
        <v>491</v>
      </c>
      <c r="D12251" t="s">
        <v>500</v>
      </c>
      <c r="E12251" t="s">
        <v>620</v>
      </c>
      <c r="F12251" t="s">
        <v>410</v>
      </c>
      <c r="G12251">
        <v>1955</v>
      </c>
      <c r="H12251">
        <v>1955</v>
      </c>
      <c r="I12251">
        <v>1953</v>
      </c>
      <c r="J12251">
        <v>1953</v>
      </c>
      <c r="K12251">
        <v>0</v>
      </c>
      <c r="L12251">
        <v>0</v>
      </c>
      <c r="M12251">
        <v>1755</v>
      </c>
      <c r="N12251">
        <v>140</v>
      </c>
      <c r="O12251">
        <v>60</v>
      </c>
      <c r="P12251">
        <v>0</v>
      </c>
      <c r="Q12251">
        <v>0</v>
      </c>
    </row>
    <row r="12252" spans="1:17" x14ac:dyDescent="0.2">
      <c r="A12252" s="121">
        <v>43281</v>
      </c>
      <c r="B12252" t="s">
        <v>406</v>
      </c>
      <c r="C12252" t="s">
        <v>491</v>
      </c>
      <c r="D12252" t="s">
        <v>502</v>
      </c>
      <c r="E12252" t="s">
        <v>615</v>
      </c>
      <c r="F12252" t="s">
        <v>410</v>
      </c>
      <c r="G12252">
        <v>3222</v>
      </c>
      <c r="H12252">
        <v>3222</v>
      </c>
      <c r="I12252">
        <v>3220</v>
      </c>
      <c r="J12252">
        <v>3220</v>
      </c>
      <c r="K12252">
        <v>0</v>
      </c>
      <c r="L12252">
        <v>0</v>
      </c>
      <c r="M12252">
        <v>2860</v>
      </c>
      <c r="N12252">
        <v>267</v>
      </c>
      <c r="O12252">
        <v>95</v>
      </c>
      <c r="P12252">
        <v>0</v>
      </c>
      <c r="Q12252">
        <v>0</v>
      </c>
    </row>
    <row r="12253" spans="1:17" x14ac:dyDescent="0.2">
      <c r="A12253" s="121">
        <v>43281</v>
      </c>
      <c r="B12253" t="s">
        <v>406</v>
      </c>
      <c r="C12253" t="s">
        <v>491</v>
      </c>
      <c r="D12253" t="s">
        <v>504</v>
      </c>
      <c r="E12253" t="s">
        <v>630</v>
      </c>
      <c r="F12253" t="s">
        <v>413</v>
      </c>
      <c r="G12253">
        <v>8796</v>
      </c>
      <c r="H12253">
        <v>8796</v>
      </c>
      <c r="I12253">
        <v>7908</v>
      </c>
      <c r="J12253">
        <v>7908</v>
      </c>
      <c r="K12253">
        <v>2746</v>
      </c>
      <c r="L12253">
        <v>22</v>
      </c>
      <c r="M12253">
        <v>5704</v>
      </c>
      <c r="N12253">
        <v>76</v>
      </c>
      <c r="O12253">
        <v>248</v>
      </c>
      <c r="P12253">
        <v>14</v>
      </c>
      <c r="Q12253">
        <v>0</v>
      </c>
    </row>
    <row r="12254" spans="1:17" x14ac:dyDescent="0.2">
      <c r="A12254" s="121">
        <v>43281</v>
      </c>
      <c r="B12254" t="s">
        <v>406</v>
      </c>
      <c r="C12254" t="s">
        <v>491</v>
      </c>
      <c r="D12254" t="s">
        <v>506</v>
      </c>
      <c r="E12254" t="s">
        <v>507</v>
      </c>
      <c r="F12254" t="s">
        <v>413</v>
      </c>
      <c r="G12254">
        <v>5586</v>
      </c>
      <c r="H12254">
        <v>5586</v>
      </c>
      <c r="I12254">
        <v>5500</v>
      </c>
      <c r="J12254">
        <v>5500</v>
      </c>
      <c r="K12254">
        <v>1037</v>
      </c>
      <c r="L12254">
        <v>0</v>
      </c>
      <c r="M12254">
        <v>4531</v>
      </c>
      <c r="N12254">
        <v>4</v>
      </c>
      <c r="O12254">
        <v>14</v>
      </c>
      <c r="P12254">
        <v>1</v>
      </c>
      <c r="Q12254">
        <v>0</v>
      </c>
    </row>
    <row r="12255" spans="1:17" x14ac:dyDescent="0.2">
      <c r="A12255" s="121">
        <v>43281</v>
      </c>
      <c r="B12255" t="s">
        <v>406</v>
      </c>
      <c r="C12255" t="s">
        <v>510</v>
      </c>
      <c r="D12255" t="s">
        <v>513</v>
      </c>
      <c r="E12255" t="s">
        <v>514</v>
      </c>
      <c r="F12255" t="s">
        <v>410</v>
      </c>
      <c r="G12255">
        <v>841</v>
      </c>
      <c r="I12255">
        <v>838</v>
      </c>
    </row>
    <row r="12256" spans="1:17" x14ac:dyDescent="0.2">
      <c r="A12256" s="121">
        <v>43281</v>
      </c>
      <c r="B12256" t="s">
        <v>406</v>
      </c>
      <c r="C12256" t="s">
        <v>510</v>
      </c>
      <c r="D12256" t="s">
        <v>515</v>
      </c>
      <c r="E12256" t="s">
        <v>516</v>
      </c>
      <c r="F12256" t="s">
        <v>410</v>
      </c>
      <c r="G12256">
        <v>143</v>
      </c>
      <c r="I12256">
        <v>143</v>
      </c>
    </row>
    <row r="12257" spans="1:17" x14ac:dyDescent="0.2">
      <c r="A12257" s="121">
        <v>43281</v>
      </c>
      <c r="B12257" t="s">
        <v>406</v>
      </c>
      <c r="C12257" t="s">
        <v>510</v>
      </c>
      <c r="D12257" t="s">
        <v>519</v>
      </c>
      <c r="E12257" t="s">
        <v>520</v>
      </c>
      <c r="F12257" t="s">
        <v>410</v>
      </c>
      <c r="G12257">
        <v>407</v>
      </c>
      <c r="I12257">
        <v>402</v>
      </c>
    </row>
    <row r="12258" spans="1:17" x14ac:dyDescent="0.2">
      <c r="A12258" s="121">
        <v>43281</v>
      </c>
      <c r="B12258" t="s">
        <v>406</v>
      </c>
      <c r="C12258" t="s">
        <v>510</v>
      </c>
      <c r="D12258" t="s">
        <v>523</v>
      </c>
      <c r="E12258" t="s">
        <v>524</v>
      </c>
      <c r="F12258" t="s">
        <v>413</v>
      </c>
      <c r="G12258">
        <v>805</v>
      </c>
      <c r="H12258">
        <v>805</v>
      </c>
      <c r="I12258">
        <v>787</v>
      </c>
      <c r="J12258">
        <v>787</v>
      </c>
      <c r="K12258">
        <v>202</v>
      </c>
      <c r="L12258">
        <v>0</v>
      </c>
      <c r="M12258">
        <v>579</v>
      </c>
      <c r="N12258">
        <v>24</v>
      </c>
      <c r="O12258">
        <v>0</v>
      </c>
      <c r="P12258">
        <v>1</v>
      </c>
      <c r="Q12258">
        <v>0</v>
      </c>
    </row>
    <row r="12259" spans="1:17" x14ac:dyDescent="0.2">
      <c r="A12259" s="121">
        <v>43281</v>
      </c>
      <c r="B12259" t="s">
        <v>406</v>
      </c>
      <c r="C12259" t="s">
        <v>510</v>
      </c>
      <c r="D12259" t="s">
        <v>525</v>
      </c>
      <c r="E12259" t="s">
        <v>526</v>
      </c>
      <c r="F12259" t="s">
        <v>410</v>
      </c>
      <c r="G12259">
        <v>514</v>
      </c>
      <c r="I12259">
        <v>513</v>
      </c>
    </row>
    <row r="12260" spans="1:17" x14ac:dyDescent="0.2">
      <c r="A12260" s="121">
        <v>43281</v>
      </c>
      <c r="B12260" t="s">
        <v>406</v>
      </c>
      <c r="C12260" t="s">
        <v>510</v>
      </c>
      <c r="D12260" t="s">
        <v>527</v>
      </c>
      <c r="E12260" t="s">
        <v>528</v>
      </c>
      <c r="F12260" t="s">
        <v>410</v>
      </c>
      <c r="G12260">
        <v>179</v>
      </c>
      <c r="I12260">
        <v>179</v>
      </c>
    </row>
    <row r="12261" spans="1:17" x14ac:dyDescent="0.2">
      <c r="A12261" s="121">
        <v>43281</v>
      </c>
      <c r="B12261" t="s">
        <v>406</v>
      </c>
      <c r="C12261" t="s">
        <v>510</v>
      </c>
      <c r="D12261" t="s">
        <v>529</v>
      </c>
      <c r="E12261" t="s">
        <v>530</v>
      </c>
      <c r="F12261" t="s">
        <v>413</v>
      </c>
      <c r="G12261">
        <v>721</v>
      </c>
      <c r="H12261">
        <v>721</v>
      </c>
      <c r="I12261">
        <v>696</v>
      </c>
      <c r="J12261">
        <v>696</v>
      </c>
      <c r="K12261">
        <v>182</v>
      </c>
      <c r="L12261">
        <v>3</v>
      </c>
      <c r="M12261">
        <v>532</v>
      </c>
      <c r="N12261">
        <v>4</v>
      </c>
      <c r="O12261">
        <v>0</v>
      </c>
      <c r="P12261">
        <v>0</v>
      </c>
      <c r="Q12261">
        <v>0</v>
      </c>
    </row>
    <row r="12262" spans="1:17" x14ac:dyDescent="0.2">
      <c r="A12262" s="121">
        <v>43281</v>
      </c>
      <c r="B12262" t="s">
        <v>406</v>
      </c>
      <c r="C12262" t="s">
        <v>510</v>
      </c>
      <c r="D12262" t="s">
        <v>531</v>
      </c>
      <c r="E12262" t="s">
        <v>532</v>
      </c>
      <c r="F12262" t="s">
        <v>410</v>
      </c>
      <c r="G12262">
        <v>54</v>
      </c>
      <c r="I12262">
        <v>54</v>
      </c>
    </row>
    <row r="12263" spans="1:17" x14ac:dyDescent="0.2">
      <c r="A12263" s="121">
        <v>43281</v>
      </c>
      <c r="B12263" t="s">
        <v>406</v>
      </c>
      <c r="C12263" t="s">
        <v>510</v>
      </c>
      <c r="D12263" t="s">
        <v>533</v>
      </c>
      <c r="E12263" t="s">
        <v>534</v>
      </c>
      <c r="F12263" t="s">
        <v>413</v>
      </c>
      <c r="G12263">
        <v>3252</v>
      </c>
      <c r="H12263">
        <v>3252</v>
      </c>
      <c r="I12263">
        <v>2952</v>
      </c>
      <c r="J12263">
        <v>2952</v>
      </c>
      <c r="K12263">
        <v>750</v>
      </c>
      <c r="L12263">
        <v>3</v>
      </c>
      <c r="M12263">
        <v>2487</v>
      </c>
      <c r="N12263">
        <v>12</v>
      </c>
      <c r="O12263">
        <v>0</v>
      </c>
      <c r="P12263">
        <v>15</v>
      </c>
      <c r="Q12263">
        <v>0</v>
      </c>
    </row>
    <row r="12264" spans="1:17" x14ac:dyDescent="0.2">
      <c r="A12264" s="121">
        <v>43281</v>
      </c>
      <c r="B12264" t="s">
        <v>406</v>
      </c>
      <c r="C12264" t="s">
        <v>510</v>
      </c>
      <c r="D12264" t="s">
        <v>535</v>
      </c>
      <c r="E12264" t="s">
        <v>536</v>
      </c>
      <c r="F12264" t="s">
        <v>410</v>
      </c>
      <c r="G12264">
        <v>390</v>
      </c>
      <c r="I12264">
        <v>387</v>
      </c>
    </row>
    <row r="12265" spans="1:17" x14ac:dyDescent="0.2">
      <c r="A12265" s="121">
        <v>43281</v>
      </c>
      <c r="B12265" t="s">
        <v>406</v>
      </c>
      <c r="C12265" t="s">
        <v>510</v>
      </c>
      <c r="D12265" t="s">
        <v>537</v>
      </c>
      <c r="E12265" t="s">
        <v>538</v>
      </c>
      <c r="F12265" t="s">
        <v>410</v>
      </c>
      <c r="G12265">
        <v>74</v>
      </c>
      <c r="I12265">
        <v>74</v>
      </c>
    </row>
    <row r="12266" spans="1:17" x14ac:dyDescent="0.2">
      <c r="A12266" s="121">
        <v>43281</v>
      </c>
      <c r="B12266" t="s">
        <v>406</v>
      </c>
      <c r="C12266" t="s">
        <v>510</v>
      </c>
      <c r="D12266" t="s">
        <v>539</v>
      </c>
      <c r="E12266" t="s">
        <v>540</v>
      </c>
      <c r="F12266" t="s">
        <v>413</v>
      </c>
      <c r="G12266">
        <v>1047</v>
      </c>
      <c r="H12266">
        <v>1047</v>
      </c>
      <c r="I12266">
        <v>1004</v>
      </c>
      <c r="J12266">
        <v>1004</v>
      </c>
      <c r="K12266">
        <v>160</v>
      </c>
      <c r="L12266">
        <v>1</v>
      </c>
      <c r="M12266">
        <v>880</v>
      </c>
      <c r="N12266">
        <v>6</v>
      </c>
      <c r="O12266">
        <v>0</v>
      </c>
      <c r="P12266">
        <v>0</v>
      </c>
      <c r="Q12266">
        <v>0</v>
      </c>
    </row>
    <row r="12267" spans="1:17" x14ac:dyDescent="0.2">
      <c r="A12267" s="121">
        <v>43281</v>
      </c>
      <c r="B12267" t="s">
        <v>406</v>
      </c>
      <c r="C12267" t="s">
        <v>510</v>
      </c>
      <c r="D12267" t="s">
        <v>541</v>
      </c>
      <c r="E12267" t="s">
        <v>542</v>
      </c>
      <c r="F12267" t="s">
        <v>410</v>
      </c>
      <c r="G12267">
        <v>514</v>
      </c>
      <c r="I12267">
        <v>514</v>
      </c>
    </row>
    <row r="12268" spans="1:17" x14ac:dyDescent="0.2">
      <c r="A12268" s="121">
        <v>43281</v>
      </c>
      <c r="B12268" t="s">
        <v>406</v>
      </c>
      <c r="C12268" t="s">
        <v>510</v>
      </c>
      <c r="D12268" t="s">
        <v>543</v>
      </c>
      <c r="E12268" t="s">
        <v>544</v>
      </c>
      <c r="F12268" t="s">
        <v>410</v>
      </c>
      <c r="G12268">
        <v>262</v>
      </c>
      <c r="I12268">
        <v>262</v>
      </c>
    </row>
    <row r="12269" spans="1:17" x14ac:dyDescent="0.2">
      <c r="A12269" s="121">
        <v>43281</v>
      </c>
      <c r="B12269" t="s">
        <v>406</v>
      </c>
      <c r="C12269" t="s">
        <v>510</v>
      </c>
      <c r="D12269" t="s">
        <v>545</v>
      </c>
      <c r="E12269" t="s">
        <v>546</v>
      </c>
      <c r="F12269" t="s">
        <v>410</v>
      </c>
      <c r="G12269">
        <v>89</v>
      </c>
      <c r="I12269">
        <v>89</v>
      </c>
    </row>
    <row r="12270" spans="1:17" x14ac:dyDescent="0.2">
      <c r="A12270" s="121">
        <v>43281</v>
      </c>
      <c r="B12270" t="s">
        <v>406</v>
      </c>
      <c r="C12270" t="s">
        <v>510</v>
      </c>
      <c r="D12270" t="s">
        <v>547</v>
      </c>
      <c r="E12270" t="s">
        <v>548</v>
      </c>
      <c r="F12270" t="s">
        <v>410</v>
      </c>
      <c r="G12270">
        <v>197</v>
      </c>
      <c r="I12270">
        <v>197</v>
      </c>
    </row>
    <row r="12271" spans="1:17" x14ac:dyDescent="0.2">
      <c r="A12271" s="121">
        <v>43281</v>
      </c>
      <c r="B12271" t="s">
        <v>406</v>
      </c>
      <c r="C12271" t="s">
        <v>510</v>
      </c>
      <c r="D12271" t="s">
        <v>616</v>
      </c>
      <c r="E12271" t="s">
        <v>617</v>
      </c>
      <c r="F12271" t="s">
        <v>410</v>
      </c>
      <c r="G12271">
        <v>418</v>
      </c>
      <c r="I12271">
        <v>412</v>
      </c>
    </row>
    <row r="12272" spans="1:17" x14ac:dyDescent="0.2">
      <c r="A12272" s="121">
        <v>43281</v>
      </c>
      <c r="B12272" t="s">
        <v>406</v>
      </c>
      <c r="C12272" t="s">
        <v>510</v>
      </c>
      <c r="D12272" t="s">
        <v>549</v>
      </c>
      <c r="E12272" t="s">
        <v>550</v>
      </c>
      <c r="F12272" t="s">
        <v>410</v>
      </c>
      <c r="G12272">
        <v>185</v>
      </c>
      <c r="I12272">
        <v>185</v>
      </c>
    </row>
    <row r="12273" spans="1:17" x14ac:dyDescent="0.2">
      <c r="A12273" s="121">
        <v>43281</v>
      </c>
      <c r="B12273" t="s">
        <v>406</v>
      </c>
      <c r="C12273" t="s">
        <v>510</v>
      </c>
      <c r="D12273" t="s">
        <v>625</v>
      </c>
      <c r="E12273" t="s">
        <v>626</v>
      </c>
      <c r="F12273" t="s">
        <v>410</v>
      </c>
      <c r="G12273">
        <v>100</v>
      </c>
      <c r="I12273">
        <v>98</v>
      </c>
    </row>
    <row r="12274" spans="1:17" x14ac:dyDescent="0.2">
      <c r="A12274" s="121">
        <v>43281</v>
      </c>
      <c r="B12274" t="s">
        <v>406</v>
      </c>
      <c r="C12274" t="s">
        <v>551</v>
      </c>
      <c r="D12274" t="s">
        <v>552</v>
      </c>
      <c r="E12274" t="s">
        <v>553</v>
      </c>
      <c r="F12274" t="s">
        <v>413</v>
      </c>
      <c r="G12274">
        <v>5925</v>
      </c>
      <c r="H12274">
        <v>5925</v>
      </c>
      <c r="I12274">
        <v>5669</v>
      </c>
      <c r="J12274">
        <v>5669</v>
      </c>
      <c r="K12274">
        <v>1666</v>
      </c>
      <c r="L12274">
        <v>4</v>
      </c>
      <c r="M12274">
        <v>4127</v>
      </c>
      <c r="N12274">
        <v>102</v>
      </c>
      <c r="O12274">
        <v>26</v>
      </c>
      <c r="P12274">
        <v>5</v>
      </c>
      <c r="Q12274">
        <v>0</v>
      </c>
    </row>
    <row r="12275" spans="1:17" x14ac:dyDescent="0.2">
      <c r="A12275" s="121">
        <v>43281</v>
      </c>
      <c r="B12275" t="s">
        <v>406</v>
      </c>
      <c r="C12275" t="s">
        <v>551</v>
      </c>
      <c r="D12275" t="s">
        <v>554</v>
      </c>
      <c r="E12275" t="s">
        <v>555</v>
      </c>
      <c r="F12275" t="s">
        <v>410</v>
      </c>
      <c r="G12275">
        <v>89</v>
      </c>
      <c r="I12275">
        <v>89</v>
      </c>
    </row>
    <row r="12276" spans="1:17" x14ac:dyDescent="0.2">
      <c r="A12276" s="121">
        <v>43281</v>
      </c>
      <c r="B12276" t="s">
        <v>406</v>
      </c>
      <c r="C12276" t="s">
        <v>551</v>
      </c>
      <c r="D12276" t="s">
        <v>556</v>
      </c>
      <c r="E12276" t="s">
        <v>557</v>
      </c>
      <c r="F12276" t="s">
        <v>410</v>
      </c>
      <c r="G12276">
        <v>73</v>
      </c>
      <c r="I12276">
        <v>73</v>
      </c>
    </row>
    <row r="12277" spans="1:17" x14ac:dyDescent="0.2">
      <c r="A12277" s="121">
        <v>43281</v>
      </c>
      <c r="B12277" t="s">
        <v>406</v>
      </c>
      <c r="C12277" t="s">
        <v>551</v>
      </c>
      <c r="D12277" t="s">
        <v>558</v>
      </c>
      <c r="E12277" t="s">
        <v>559</v>
      </c>
      <c r="F12277" t="s">
        <v>413</v>
      </c>
      <c r="G12277">
        <v>5533</v>
      </c>
      <c r="H12277">
        <v>5533</v>
      </c>
      <c r="I12277">
        <v>4706</v>
      </c>
      <c r="J12277">
        <v>4706</v>
      </c>
      <c r="K12277">
        <v>1540</v>
      </c>
      <c r="L12277">
        <v>4</v>
      </c>
      <c r="M12277">
        <v>3898</v>
      </c>
      <c r="N12277">
        <v>68</v>
      </c>
      <c r="O12277">
        <v>23</v>
      </c>
      <c r="P12277">
        <v>122</v>
      </c>
      <c r="Q12277">
        <v>39</v>
      </c>
    </row>
    <row r="12278" spans="1:17" x14ac:dyDescent="0.2">
      <c r="A12278" s="121">
        <v>43281</v>
      </c>
      <c r="B12278" t="s">
        <v>406</v>
      </c>
      <c r="C12278" t="s">
        <v>551</v>
      </c>
      <c r="D12278" t="s">
        <v>560</v>
      </c>
      <c r="E12278" t="s">
        <v>561</v>
      </c>
      <c r="F12278" t="s">
        <v>413</v>
      </c>
      <c r="G12278">
        <v>6233</v>
      </c>
      <c r="H12278">
        <v>6233</v>
      </c>
      <c r="I12278">
        <v>5644</v>
      </c>
      <c r="J12278">
        <v>5644</v>
      </c>
      <c r="K12278">
        <v>1599</v>
      </c>
      <c r="L12278">
        <v>4</v>
      </c>
      <c r="M12278">
        <v>4455</v>
      </c>
      <c r="N12278">
        <v>78</v>
      </c>
      <c r="O12278">
        <v>97</v>
      </c>
      <c r="P12278">
        <v>44</v>
      </c>
      <c r="Q12278">
        <v>1</v>
      </c>
    </row>
    <row r="12279" spans="1:17" x14ac:dyDescent="0.2">
      <c r="A12279" s="121">
        <v>43281</v>
      </c>
      <c r="B12279" t="s">
        <v>406</v>
      </c>
      <c r="C12279" t="s">
        <v>562</v>
      </c>
      <c r="D12279" t="s">
        <v>605</v>
      </c>
      <c r="E12279" t="s">
        <v>606</v>
      </c>
      <c r="F12279" t="s">
        <v>410</v>
      </c>
      <c r="G12279">
        <v>195</v>
      </c>
      <c r="I12279">
        <v>195</v>
      </c>
    </row>
    <row r="12280" spans="1:17" x14ac:dyDescent="0.2">
      <c r="A12280" s="121">
        <v>43281</v>
      </c>
      <c r="B12280" t="s">
        <v>406</v>
      </c>
      <c r="C12280" t="s">
        <v>562</v>
      </c>
      <c r="D12280" t="s">
        <v>563</v>
      </c>
      <c r="E12280" t="s">
        <v>564</v>
      </c>
      <c r="F12280" t="s">
        <v>410</v>
      </c>
      <c r="G12280">
        <v>3991</v>
      </c>
      <c r="H12280">
        <v>3991</v>
      </c>
      <c r="I12280">
        <v>3577</v>
      </c>
      <c r="J12280">
        <v>3577</v>
      </c>
      <c r="K12280">
        <v>1026</v>
      </c>
      <c r="L12280">
        <v>0</v>
      </c>
      <c r="M12280">
        <v>2929</v>
      </c>
      <c r="N12280">
        <v>36</v>
      </c>
      <c r="O12280">
        <v>0</v>
      </c>
      <c r="P12280">
        <v>42</v>
      </c>
      <c r="Q12280">
        <v>11</v>
      </c>
    </row>
    <row r="12281" spans="1:17" x14ac:dyDescent="0.2">
      <c r="A12281" s="121">
        <v>43281</v>
      </c>
      <c r="B12281" t="s">
        <v>406</v>
      </c>
      <c r="C12281" t="s">
        <v>562</v>
      </c>
      <c r="D12281" t="s">
        <v>565</v>
      </c>
      <c r="E12281" t="s">
        <v>566</v>
      </c>
      <c r="F12281" t="s">
        <v>413</v>
      </c>
      <c r="G12281">
        <v>4976</v>
      </c>
      <c r="H12281">
        <v>4976</v>
      </c>
      <c r="I12281">
        <v>4524</v>
      </c>
      <c r="J12281">
        <v>4524</v>
      </c>
      <c r="K12281">
        <v>916</v>
      </c>
      <c r="L12281">
        <v>5</v>
      </c>
      <c r="M12281">
        <v>3967</v>
      </c>
      <c r="N12281">
        <v>88</v>
      </c>
      <c r="O12281">
        <v>0</v>
      </c>
      <c r="P12281">
        <v>46</v>
      </c>
      <c r="Q12281">
        <v>5</v>
      </c>
    </row>
    <row r="12282" spans="1:17" x14ac:dyDescent="0.2">
      <c r="A12282" s="121">
        <v>43281</v>
      </c>
      <c r="B12282" t="s">
        <v>406</v>
      </c>
      <c r="C12282" t="s">
        <v>562</v>
      </c>
      <c r="D12282" t="s">
        <v>567</v>
      </c>
      <c r="E12282" t="s">
        <v>568</v>
      </c>
      <c r="F12282" t="s">
        <v>413</v>
      </c>
      <c r="G12282">
        <v>9843</v>
      </c>
      <c r="H12282">
        <v>9843</v>
      </c>
      <c r="I12282">
        <v>7544</v>
      </c>
      <c r="J12282">
        <v>7544</v>
      </c>
      <c r="K12282">
        <v>2714</v>
      </c>
      <c r="L12282">
        <v>19</v>
      </c>
      <c r="M12282">
        <v>6960</v>
      </c>
      <c r="N12282">
        <v>150</v>
      </c>
      <c r="O12282">
        <v>0</v>
      </c>
      <c r="P12282">
        <v>254</v>
      </c>
      <c r="Q12282">
        <v>44</v>
      </c>
    </row>
    <row r="12283" spans="1:17" x14ac:dyDescent="0.2">
      <c r="A12283" s="121">
        <v>43281</v>
      </c>
      <c r="B12283" t="s">
        <v>406</v>
      </c>
      <c r="C12283" t="s">
        <v>562</v>
      </c>
      <c r="D12283" t="s">
        <v>569</v>
      </c>
      <c r="E12283" t="s">
        <v>570</v>
      </c>
      <c r="F12283" t="s">
        <v>413</v>
      </c>
      <c r="G12283">
        <v>4205</v>
      </c>
      <c r="H12283">
        <v>4205</v>
      </c>
      <c r="I12283">
        <v>4041</v>
      </c>
      <c r="J12283">
        <v>4041</v>
      </c>
      <c r="K12283">
        <v>531</v>
      </c>
      <c r="L12283">
        <v>0</v>
      </c>
      <c r="M12283">
        <v>3672</v>
      </c>
      <c r="N12283">
        <v>2</v>
      </c>
      <c r="O12283">
        <v>0</v>
      </c>
      <c r="P12283">
        <v>3</v>
      </c>
      <c r="Q12283">
        <v>0</v>
      </c>
    </row>
    <row r="12284" spans="1:17" x14ac:dyDescent="0.2">
      <c r="A12284" s="121">
        <v>43281</v>
      </c>
      <c r="B12284" t="s">
        <v>406</v>
      </c>
      <c r="C12284" t="s">
        <v>571</v>
      </c>
      <c r="D12284" t="s">
        <v>572</v>
      </c>
      <c r="E12284" t="s">
        <v>627</v>
      </c>
      <c r="F12284" t="s">
        <v>413</v>
      </c>
      <c r="G12284">
        <v>648</v>
      </c>
      <c r="H12284">
        <v>648</v>
      </c>
      <c r="I12284">
        <v>633</v>
      </c>
      <c r="J12284">
        <v>633</v>
      </c>
      <c r="K12284">
        <v>137</v>
      </c>
      <c r="L12284">
        <v>1</v>
      </c>
      <c r="M12284">
        <v>500</v>
      </c>
      <c r="N12284">
        <v>4</v>
      </c>
      <c r="O12284">
        <v>6</v>
      </c>
      <c r="P12284">
        <v>0</v>
      </c>
      <c r="Q12284">
        <v>0</v>
      </c>
    </row>
    <row r="12285" spans="1:17" x14ac:dyDescent="0.2">
      <c r="A12285" s="121">
        <v>43281</v>
      </c>
      <c r="B12285" t="s">
        <v>406</v>
      </c>
      <c r="C12285" t="s">
        <v>574</v>
      </c>
      <c r="D12285" t="s">
        <v>575</v>
      </c>
      <c r="E12285" t="s">
        <v>576</v>
      </c>
      <c r="F12285" t="s">
        <v>413</v>
      </c>
      <c r="G12285">
        <v>689</v>
      </c>
      <c r="H12285">
        <v>689</v>
      </c>
      <c r="I12285">
        <v>661</v>
      </c>
      <c r="J12285">
        <v>661</v>
      </c>
      <c r="K12285">
        <v>148</v>
      </c>
      <c r="L12285">
        <v>0</v>
      </c>
      <c r="M12285">
        <v>531</v>
      </c>
      <c r="N12285">
        <v>3</v>
      </c>
      <c r="O12285">
        <v>7</v>
      </c>
      <c r="P12285">
        <v>0</v>
      </c>
      <c r="Q12285">
        <v>0</v>
      </c>
    </row>
    <row r="12286" spans="1:17" x14ac:dyDescent="0.2">
      <c r="A12286" s="121">
        <v>43281</v>
      </c>
      <c r="B12286" t="s">
        <v>406</v>
      </c>
      <c r="C12286" t="s">
        <v>577</v>
      </c>
      <c r="D12286" t="s">
        <v>578</v>
      </c>
      <c r="E12286" t="s">
        <v>579</v>
      </c>
      <c r="F12286" t="s">
        <v>413</v>
      </c>
      <c r="G12286">
        <v>4385</v>
      </c>
      <c r="H12286">
        <v>4385</v>
      </c>
      <c r="I12286">
        <v>4247</v>
      </c>
      <c r="J12286">
        <v>4247</v>
      </c>
      <c r="K12286">
        <v>1251</v>
      </c>
      <c r="L12286">
        <v>7</v>
      </c>
      <c r="M12286">
        <v>2835</v>
      </c>
      <c r="N12286">
        <v>220</v>
      </c>
      <c r="O12286">
        <v>72</v>
      </c>
      <c r="P12286">
        <v>0</v>
      </c>
      <c r="Q12286">
        <v>0</v>
      </c>
    </row>
    <row r="12287" spans="1:17" x14ac:dyDescent="0.2">
      <c r="A12287" s="121">
        <v>43281</v>
      </c>
      <c r="B12287" t="s">
        <v>406</v>
      </c>
      <c r="C12287" t="s">
        <v>577</v>
      </c>
      <c r="D12287" t="s">
        <v>580</v>
      </c>
      <c r="E12287" t="s">
        <v>581</v>
      </c>
      <c r="F12287" t="s">
        <v>413</v>
      </c>
      <c r="G12287">
        <v>2243</v>
      </c>
      <c r="H12287">
        <v>2243</v>
      </c>
      <c r="I12287">
        <v>2199</v>
      </c>
      <c r="J12287">
        <v>2199</v>
      </c>
      <c r="K12287">
        <v>354</v>
      </c>
      <c r="L12287">
        <v>3</v>
      </c>
      <c r="M12287">
        <v>1582</v>
      </c>
      <c r="N12287">
        <v>284</v>
      </c>
      <c r="O12287">
        <v>20</v>
      </c>
      <c r="P12287">
        <v>0</v>
      </c>
      <c r="Q12287">
        <v>0</v>
      </c>
    </row>
    <row r="12288" spans="1:17" x14ac:dyDescent="0.2">
      <c r="A12288" s="121">
        <v>43281</v>
      </c>
      <c r="B12288" t="s">
        <v>406</v>
      </c>
      <c r="C12288" t="s">
        <v>577</v>
      </c>
      <c r="D12288" t="s">
        <v>609</v>
      </c>
      <c r="E12288" t="s">
        <v>610</v>
      </c>
      <c r="F12288" t="s">
        <v>410</v>
      </c>
      <c r="G12288">
        <v>50</v>
      </c>
      <c r="H12288">
        <v>50</v>
      </c>
      <c r="I12288">
        <v>50</v>
      </c>
      <c r="J12288">
        <v>50</v>
      </c>
      <c r="K12288">
        <v>0</v>
      </c>
      <c r="L12288">
        <v>0</v>
      </c>
      <c r="M12288">
        <v>45</v>
      </c>
      <c r="N12288">
        <v>4</v>
      </c>
      <c r="O12288">
        <v>1</v>
      </c>
      <c r="P12288">
        <v>0</v>
      </c>
      <c r="Q12288">
        <v>0</v>
      </c>
    </row>
    <row r="12289" spans="1:17" x14ac:dyDescent="0.2">
      <c r="A12289" s="121">
        <v>43281</v>
      </c>
      <c r="B12289" t="s">
        <v>406</v>
      </c>
      <c r="C12289" t="s">
        <v>577</v>
      </c>
      <c r="D12289" t="s">
        <v>584</v>
      </c>
      <c r="E12289" t="s">
        <v>585</v>
      </c>
      <c r="F12289" t="s">
        <v>410</v>
      </c>
      <c r="G12289">
        <v>349</v>
      </c>
      <c r="H12289">
        <v>349</v>
      </c>
      <c r="I12289">
        <v>349</v>
      </c>
      <c r="J12289">
        <v>349</v>
      </c>
      <c r="K12289">
        <v>0</v>
      </c>
      <c r="L12289">
        <v>0</v>
      </c>
      <c r="M12289">
        <v>327</v>
      </c>
      <c r="N12289">
        <v>19</v>
      </c>
      <c r="O12289">
        <v>3</v>
      </c>
      <c r="P12289">
        <v>0</v>
      </c>
      <c r="Q12289">
        <v>0</v>
      </c>
    </row>
    <row r="12290" spans="1:17" x14ac:dyDescent="0.2">
      <c r="A12290" s="121">
        <v>43281</v>
      </c>
      <c r="B12290" t="s">
        <v>406</v>
      </c>
      <c r="C12290" t="s">
        <v>577</v>
      </c>
      <c r="D12290" t="s">
        <v>586</v>
      </c>
      <c r="E12290" t="s">
        <v>587</v>
      </c>
      <c r="F12290" t="s">
        <v>410</v>
      </c>
      <c r="G12290">
        <v>1270</v>
      </c>
      <c r="H12290">
        <v>1270</v>
      </c>
      <c r="I12290">
        <v>1270</v>
      </c>
      <c r="J12290">
        <v>1270</v>
      </c>
      <c r="K12290">
        <v>0</v>
      </c>
      <c r="L12290">
        <v>2</v>
      </c>
      <c r="M12290">
        <v>1148</v>
      </c>
      <c r="N12290">
        <v>117</v>
      </c>
      <c r="O12290">
        <v>3</v>
      </c>
      <c r="P12290">
        <v>0</v>
      </c>
      <c r="Q12290">
        <v>0</v>
      </c>
    </row>
    <row r="12291" spans="1:17" x14ac:dyDescent="0.2">
      <c r="A12291" s="121">
        <v>43281</v>
      </c>
      <c r="B12291" t="s">
        <v>406</v>
      </c>
      <c r="C12291" t="s">
        <v>577</v>
      </c>
      <c r="D12291" t="s">
        <v>588</v>
      </c>
      <c r="E12291" t="s">
        <v>589</v>
      </c>
      <c r="F12291" t="s">
        <v>410</v>
      </c>
      <c r="G12291">
        <v>114</v>
      </c>
      <c r="H12291">
        <v>114</v>
      </c>
      <c r="I12291">
        <v>114</v>
      </c>
      <c r="J12291">
        <v>114</v>
      </c>
      <c r="K12291">
        <v>0</v>
      </c>
      <c r="L12291">
        <v>0</v>
      </c>
      <c r="M12291">
        <v>111</v>
      </c>
      <c r="N12291">
        <v>2</v>
      </c>
      <c r="O12291">
        <v>1</v>
      </c>
      <c r="P12291">
        <v>0</v>
      </c>
      <c r="Q12291">
        <v>0</v>
      </c>
    </row>
    <row r="12292" spans="1:17" x14ac:dyDescent="0.2">
      <c r="A12292" s="121">
        <v>43281</v>
      </c>
      <c r="B12292" t="s">
        <v>406</v>
      </c>
      <c r="C12292" t="s">
        <v>577</v>
      </c>
      <c r="D12292" t="s">
        <v>613</v>
      </c>
      <c r="E12292" t="s">
        <v>614</v>
      </c>
      <c r="F12292" t="s">
        <v>410</v>
      </c>
      <c r="G12292">
        <v>115</v>
      </c>
      <c r="H12292">
        <v>115</v>
      </c>
      <c r="I12292">
        <v>115</v>
      </c>
      <c r="J12292">
        <v>115</v>
      </c>
      <c r="K12292">
        <v>0</v>
      </c>
      <c r="L12292">
        <v>0</v>
      </c>
      <c r="M12292">
        <v>106</v>
      </c>
      <c r="N12292">
        <v>8</v>
      </c>
      <c r="O12292">
        <v>1</v>
      </c>
      <c r="P12292">
        <v>0</v>
      </c>
      <c r="Q12292">
        <v>0</v>
      </c>
    </row>
    <row r="12293" spans="1:17" x14ac:dyDescent="0.2">
      <c r="A12293" s="121">
        <v>43281</v>
      </c>
      <c r="B12293" t="s">
        <v>406</v>
      </c>
      <c r="C12293" t="s">
        <v>577</v>
      </c>
      <c r="D12293" t="s">
        <v>590</v>
      </c>
      <c r="E12293" t="s">
        <v>591</v>
      </c>
      <c r="F12293" t="s">
        <v>410</v>
      </c>
      <c r="G12293">
        <v>589</v>
      </c>
      <c r="H12293">
        <v>589</v>
      </c>
      <c r="I12293">
        <v>589</v>
      </c>
      <c r="J12293">
        <v>589</v>
      </c>
      <c r="K12293">
        <v>0</v>
      </c>
      <c r="L12293">
        <v>0</v>
      </c>
      <c r="M12293">
        <v>568</v>
      </c>
      <c r="N12293">
        <v>21</v>
      </c>
      <c r="O12293">
        <v>0</v>
      </c>
      <c r="P12293">
        <v>0</v>
      </c>
      <c r="Q12293">
        <v>0</v>
      </c>
    </row>
    <row r="12294" spans="1:17" x14ac:dyDescent="0.2">
      <c r="A12294" s="121">
        <v>43281</v>
      </c>
      <c r="B12294" t="s">
        <v>406</v>
      </c>
      <c r="C12294" t="s">
        <v>577</v>
      </c>
      <c r="D12294" t="s">
        <v>607</v>
      </c>
      <c r="E12294" t="s">
        <v>608</v>
      </c>
      <c r="F12294" t="s">
        <v>410</v>
      </c>
      <c r="G12294">
        <v>267</v>
      </c>
      <c r="H12294">
        <v>267</v>
      </c>
      <c r="I12294">
        <v>267</v>
      </c>
      <c r="J12294">
        <v>267</v>
      </c>
      <c r="K12294">
        <v>0</v>
      </c>
      <c r="L12294">
        <v>0</v>
      </c>
      <c r="M12294">
        <v>260</v>
      </c>
      <c r="N12294">
        <v>6</v>
      </c>
      <c r="O12294">
        <v>1</v>
      </c>
      <c r="P12294">
        <v>0</v>
      </c>
      <c r="Q12294">
        <v>0</v>
      </c>
    </row>
    <row r="12295" spans="1:17" x14ac:dyDescent="0.2">
      <c r="A12295" s="121">
        <v>43281</v>
      </c>
      <c r="B12295" t="s">
        <v>406</v>
      </c>
      <c r="C12295" t="s">
        <v>577</v>
      </c>
      <c r="D12295" t="s">
        <v>592</v>
      </c>
      <c r="E12295" t="s">
        <v>593</v>
      </c>
      <c r="F12295" t="s">
        <v>410</v>
      </c>
      <c r="G12295">
        <v>257</v>
      </c>
      <c r="H12295">
        <v>257</v>
      </c>
      <c r="I12295">
        <v>257</v>
      </c>
      <c r="J12295">
        <v>257</v>
      </c>
      <c r="K12295">
        <v>0</v>
      </c>
      <c r="L12295">
        <v>0</v>
      </c>
      <c r="M12295">
        <v>236</v>
      </c>
      <c r="N12295">
        <v>21</v>
      </c>
      <c r="O12295">
        <v>0</v>
      </c>
      <c r="P12295">
        <v>0</v>
      </c>
      <c r="Q12295">
        <v>0</v>
      </c>
    </row>
    <row r="12296" spans="1:17" x14ac:dyDescent="0.2">
      <c r="A12296" s="121">
        <v>43281</v>
      </c>
      <c r="B12296" t="s">
        <v>406</v>
      </c>
      <c r="C12296" t="s">
        <v>594</v>
      </c>
      <c r="D12296" t="s">
        <v>595</v>
      </c>
      <c r="E12296" t="s">
        <v>596</v>
      </c>
      <c r="F12296" t="s">
        <v>410</v>
      </c>
      <c r="G12296">
        <v>62</v>
      </c>
      <c r="I12296">
        <v>62</v>
      </c>
    </row>
    <row r="12297" spans="1:17" x14ac:dyDescent="0.2">
      <c r="A12297" s="121">
        <v>43281</v>
      </c>
      <c r="B12297" t="s">
        <v>406</v>
      </c>
      <c r="C12297" t="s">
        <v>594</v>
      </c>
      <c r="D12297" t="s">
        <v>597</v>
      </c>
      <c r="E12297" t="s">
        <v>598</v>
      </c>
      <c r="F12297" t="s">
        <v>413</v>
      </c>
      <c r="G12297">
        <v>634</v>
      </c>
      <c r="H12297">
        <v>634</v>
      </c>
      <c r="I12297">
        <v>622</v>
      </c>
      <c r="J12297">
        <v>622</v>
      </c>
      <c r="K12297">
        <v>157</v>
      </c>
      <c r="L12297">
        <v>1</v>
      </c>
      <c r="M12297">
        <v>443</v>
      </c>
      <c r="N12297">
        <v>19</v>
      </c>
      <c r="O12297">
        <v>14</v>
      </c>
      <c r="P12297">
        <v>0</v>
      </c>
      <c r="Q12297">
        <v>0</v>
      </c>
    </row>
    <row r="12298" spans="1:17" x14ac:dyDescent="0.2">
      <c r="A12298" s="121">
        <v>43281</v>
      </c>
      <c r="B12298" t="s">
        <v>406</v>
      </c>
      <c r="C12298" t="s">
        <v>594</v>
      </c>
      <c r="D12298" t="s">
        <v>599</v>
      </c>
      <c r="E12298" t="s">
        <v>600</v>
      </c>
      <c r="F12298" t="s">
        <v>410</v>
      </c>
      <c r="G12298">
        <v>171</v>
      </c>
      <c r="H12298">
        <v>171</v>
      </c>
      <c r="I12298">
        <v>171</v>
      </c>
      <c r="J12298">
        <v>171</v>
      </c>
      <c r="K12298">
        <v>15</v>
      </c>
      <c r="L12298">
        <v>0</v>
      </c>
      <c r="M12298">
        <v>153</v>
      </c>
      <c r="N12298">
        <v>2</v>
      </c>
      <c r="O12298">
        <v>1</v>
      </c>
      <c r="P12298">
        <v>0</v>
      </c>
      <c r="Q12298">
        <v>0</v>
      </c>
    </row>
    <row r="12299" spans="1:17" x14ac:dyDescent="0.2">
      <c r="A12299" s="121">
        <v>43312</v>
      </c>
      <c r="B12299" t="s">
        <v>406</v>
      </c>
      <c r="C12299" t="s">
        <v>407</v>
      </c>
      <c r="D12299" t="s">
        <v>408</v>
      </c>
      <c r="E12299" t="s">
        <v>409</v>
      </c>
      <c r="F12299" t="s">
        <v>410</v>
      </c>
      <c r="G12299">
        <v>346</v>
      </c>
      <c r="I12299">
        <v>341</v>
      </c>
    </row>
    <row r="12300" spans="1:17" x14ac:dyDescent="0.2">
      <c r="A12300" s="121">
        <v>43312</v>
      </c>
      <c r="B12300" t="s">
        <v>406</v>
      </c>
      <c r="C12300" t="s">
        <v>407</v>
      </c>
      <c r="D12300" t="s">
        <v>601</v>
      </c>
      <c r="E12300" t="s">
        <v>602</v>
      </c>
      <c r="F12300" t="s">
        <v>410</v>
      </c>
      <c r="G12300">
        <v>82</v>
      </c>
      <c r="I12300">
        <v>81</v>
      </c>
    </row>
    <row r="12301" spans="1:17" x14ac:dyDescent="0.2">
      <c r="A12301" s="121">
        <v>43312</v>
      </c>
      <c r="B12301" t="s">
        <v>406</v>
      </c>
      <c r="C12301" t="s">
        <v>407</v>
      </c>
      <c r="D12301" t="s">
        <v>411</v>
      </c>
      <c r="E12301" t="s">
        <v>412</v>
      </c>
      <c r="F12301" t="s">
        <v>413</v>
      </c>
      <c r="G12301">
        <v>6046</v>
      </c>
      <c r="H12301">
        <v>6046</v>
      </c>
      <c r="I12301">
        <v>5895</v>
      </c>
      <c r="J12301">
        <v>5895</v>
      </c>
      <c r="K12301">
        <v>1789</v>
      </c>
      <c r="L12301">
        <v>9</v>
      </c>
      <c r="M12301">
        <v>4010</v>
      </c>
      <c r="N12301">
        <v>45</v>
      </c>
      <c r="O12301">
        <v>193</v>
      </c>
      <c r="P12301">
        <v>14</v>
      </c>
      <c r="Q12301">
        <v>2</v>
      </c>
    </row>
    <row r="12302" spans="1:17" x14ac:dyDescent="0.2">
      <c r="A12302" s="121">
        <v>43312</v>
      </c>
      <c r="B12302" t="s">
        <v>406</v>
      </c>
      <c r="C12302" t="s">
        <v>407</v>
      </c>
      <c r="D12302" t="s">
        <v>416</v>
      </c>
      <c r="E12302" t="s">
        <v>417</v>
      </c>
      <c r="F12302" t="s">
        <v>413</v>
      </c>
      <c r="G12302">
        <v>3479</v>
      </c>
      <c r="H12302">
        <v>3479</v>
      </c>
      <c r="I12302">
        <v>3229</v>
      </c>
      <c r="J12302">
        <v>3229</v>
      </c>
      <c r="K12302">
        <v>881</v>
      </c>
      <c r="L12302">
        <v>1</v>
      </c>
      <c r="M12302">
        <v>2493</v>
      </c>
      <c r="N12302">
        <v>65</v>
      </c>
      <c r="O12302">
        <v>39</v>
      </c>
      <c r="P12302">
        <v>67</v>
      </c>
      <c r="Q12302">
        <v>21</v>
      </c>
    </row>
    <row r="12303" spans="1:17" x14ac:dyDescent="0.2">
      <c r="A12303" s="121">
        <v>43312</v>
      </c>
      <c r="B12303" t="s">
        <v>406</v>
      </c>
      <c r="C12303" t="s">
        <v>407</v>
      </c>
      <c r="D12303" t="s">
        <v>618</v>
      </c>
      <c r="E12303" t="s">
        <v>619</v>
      </c>
      <c r="F12303" t="s">
        <v>410</v>
      </c>
      <c r="G12303">
        <v>110</v>
      </c>
      <c r="I12303">
        <v>110</v>
      </c>
    </row>
    <row r="12304" spans="1:17" x14ac:dyDescent="0.2">
      <c r="A12304" s="121">
        <v>43312</v>
      </c>
      <c r="B12304" t="s">
        <v>406</v>
      </c>
      <c r="C12304" t="s">
        <v>418</v>
      </c>
      <c r="D12304" t="s">
        <v>419</v>
      </c>
      <c r="E12304" t="s">
        <v>420</v>
      </c>
      <c r="F12304" t="s">
        <v>410</v>
      </c>
      <c r="G12304">
        <v>12</v>
      </c>
      <c r="I12304">
        <v>12</v>
      </c>
    </row>
    <row r="12305" spans="1:17" x14ac:dyDescent="0.2">
      <c r="A12305" s="121">
        <v>43312</v>
      </c>
      <c r="B12305" t="s">
        <v>406</v>
      </c>
      <c r="C12305" t="s">
        <v>418</v>
      </c>
      <c r="D12305" t="s">
        <v>421</v>
      </c>
      <c r="E12305" t="s">
        <v>422</v>
      </c>
      <c r="F12305" t="s">
        <v>410</v>
      </c>
      <c r="G12305">
        <v>87</v>
      </c>
      <c r="I12305">
        <v>87</v>
      </c>
    </row>
    <row r="12306" spans="1:17" x14ac:dyDescent="0.2">
      <c r="A12306" s="121">
        <v>43312</v>
      </c>
      <c r="B12306" t="s">
        <v>406</v>
      </c>
      <c r="C12306" t="s">
        <v>418</v>
      </c>
      <c r="D12306" t="s">
        <v>423</v>
      </c>
      <c r="E12306" t="s">
        <v>424</v>
      </c>
      <c r="F12306" t="s">
        <v>410</v>
      </c>
      <c r="G12306">
        <v>12</v>
      </c>
      <c r="I12306">
        <v>12</v>
      </c>
    </row>
    <row r="12307" spans="1:17" x14ac:dyDescent="0.2">
      <c r="A12307" s="121">
        <v>43312</v>
      </c>
      <c r="B12307" t="s">
        <v>406</v>
      </c>
      <c r="C12307" t="s">
        <v>418</v>
      </c>
      <c r="D12307" t="s">
        <v>425</v>
      </c>
      <c r="E12307" t="s">
        <v>426</v>
      </c>
      <c r="F12307" t="s">
        <v>410</v>
      </c>
      <c r="G12307">
        <v>50</v>
      </c>
      <c r="I12307">
        <v>50</v>
      </c>
    </row>
    <row r="12308" spans="1:17" x14ac:dyDescent="0.2">
      <c r="A12308" s="121">
        <v>43312</v>
      </c>
      <c r="B12308" t="s">
        <v>406</v>
      </c>
      <c r="C12308" t="s">
        <v>418</v>
      </c>
      <c r="D12308" t="s">
        <v>427</v>
      </c>
      <c r="E12308" t="s">
        <v>428</v>
      </c>
      <c r="F12308" t="s">
        <v>413</v>
      </c>
      <c r="G12308">
        <v>2809</v>
      </c>
      <c r="H12308">
        <v>2809</v>
      </c>
      <c r="I12308">
        <v>2550</v>
      </c>
      <c r="J12308">
        <v>2550</v>
      </c>
      <c r="K12308">
        <v>896</v>
      </c>
      <c r="L12308">
        <v>7</v>
      </c>
      <c r="M12308">
        <v>1668</v>
      </c>
      <c r="N12308">
        <v>224</v>
      </c>
      <c r="O12308">
        <v>14</v>
      </c>
      <c r="P12308">
        <v>14</v>
      </c>
      <c r="Q12308">
        <v>4</v>
      </c>
    </row>
    <row r="12309" spans="1:17" x14ac:dyDescent="0.2">
      <c r="A12309" s="121">
        <v>43312</v>
      </c>
      <c r="B12309" t="s">
        <v>406</v>
      </c>
      <c r="C12309" t="s">
        <v>429</v>
      </c>
      <c r="D12309" t="s">
        <v>430</v>
      </c>
      <c r="E12309" t="s">
        <v>431</v>
      </c>
      <c r="F12309" t="s">
        <v>410</v>
      </c>
      <c r="G12309">
        <v>28</v>
      </c>
      <c r="I12309">
        <v>28</v>
      </c>
    </row>
    <row r="12310" spans="1:17" x14ac:dyDescent="0.2">
      <c r="A12310" s="121">
        <v>43312</v>
      </c>
      <c r="B12310" t="s">
        <v>406</v>
      </c>
      <c r="C12310" t="s">
        <v>429</v>
      </c>
      <c r="D12310" t="s">
        <v>432</v>
      </c>
      <c r="E12310" t="s">
        <v>433</v>
      </c>
      <c r="F12310" t="s">
        <v>410</v>
      </c>
      <c r="G12310">
        <v>52</v>
      </c>
      <c r="I12310">
        <v>52</v>
      </c>
    </row>
    <row r="12311" spans="1:17" x14ac:dyDescent="0.2">
      <c r="A12311" s="121">
        <v>43312</v>
      </c>
      <c r="B12311" t="s">
        <v>406</v>
      </c>
      <c r="C12311" t="s">
        <v>429</v>
      </c>
      <c r="D12311" t="s">
        <v>434</v>
      </c>
      <c r="E12311" t="s">
        <v>435</v>
      </c>
      <c r="F12311" t="s">
        <v>410</v>
      </c>
      <c r="G12311">
        <v>2</v>
      </c>
      <c r="I12311">
        <v>2</v>
      </c>
    </row>
    <row r="12312" spans="1:17" x14ac:dyDescent="0.2">
      <c r="A12312" s="121">
        <v>43312</v>
      </c>
      <c r="B12312" t="s">
        <v>406</v>
      </c>
      <c r="C12312" t="s">
        <v>429</v>
      </c>
      <c r="D12312" t="s">
        <v>436</v>
      </c>
      <c r="E12312" t="s">
        <v>437</v>
      </c>
      <c r="F12312" t="s">
        <v>410</v>
      </c>
      <c r="G12312">
        <v>18</v>
      </c>
      <c r="H12312">
        <v>18</v>
      </c>
      <c r="I12312">
        <v>18</v>
      </c>
      <c r="J12312">
        <v>18</v>
      </c>
      <c r="K12312">
        <v>0</v>
      </c>
      <c r="L12312">
        <v>0</v>
      </c>
      <c r="M12312">
        <v>16</v>
      </c>
      <c r="N12312">
        <v>1</v>
      </c>
      <c r="O12312">
        <v>1</v>
      </c>
      <c r="P12312">
        <v>0</v>
      </c>
      <c r="Q12312">
        <v>0</v>
      </c>
    </row>
    <row r="12313" spans="1:17" x14ac:dyDescent="0.2">
      <c r="A12313" s="121">
        <v>43312</v>
      </c>
      <c r="B12313" t="s">
        <v>406</v>
      </c>
      <c r="C12313" t="s">
        <v>429</v>
      </c>
      <c r="D12313" t="s">
        <v>438</v>
      </c>
      <c r="E12313" t="s">
        <v>439</v>
      </c>
      <c r="F12313" t="s">
        <v>413</v>
      </c>
      <c r="G12313">
        <v>1191</v>
      </c>
      <c r="H12313">
        <v>1191</v>
      </c>
      <c r="I12313">
        <v>1131</v>
      </c>
      <c r="J12313">
        <v>1131</v>
      </c>
      <c r="K12313">
        <v>69</v>
      </c>
      <c r="L12313">
        <v>0</v>
      </c>
      <c r="M12313">
        <v>1031</v>
      </c>
      <c r="N12313">
        <v>62</v>
      </c>
      <c r="O12313">
        <v>29</v>
      </c>
      <c r="P12313">
        <v>5</v>
      </c>
      <c r="Q12313">
        <v>0</v>
      </c>
    </row>
    <row r="12314" spans="1:17" x14ac:dyDescent="0.2">
      <c r="A12314" s="121">
        <v>43312</v>
      </c>
      <c r="B12314" t="s">
        <v>406</v>
      </c>
      <c r="C12314" t="s">
        <v>429</v>
      </c>
      <c r="D12314" t="s">
        <v>440</v>
      </c>
      <c r="E12314" t="s">
        <v>441</v>
      </c>
      <c r="F12314" t="s">
        <v>413</v>
      </c>
      <c r="G12314">
        <v>2958</v>
      </c>
      <c r="H12314">
        <v>2958</v>
      </c>
      <c r="I12314">
        <v>2738</v>
      </c>
      <c r="J12314">
        <v>2738</v>
      </c>
      <c r="K12314">
        <v>785</v>
      </c>
      <c r="L12314">
        <v>9</v>
      </c>
      <c r="M12314">
        <v>2036</v>
      </c>
      <c r="N12314">
        <v>89</v>
      </c>
      <c r="O12314">
        <v>39</v>
      </c>
      <c r="P12314">
        <v>14</v>
      </c>
      <c r="Q12314">
        <v>0</v>
      </c>
    </row>
    <row r="12315" spans="1:17" x14ac:dyDescent="0.2">
      <c r="A12315" s="121">
        <v>43312</v>
      </c>
      <c r="B12315" t="s">
        <v>406</v>
      </c>
      <c r="C12315" t="s">
        <v>442</v>
      </c>
      <c r="D12315" t="s">
        <v>443</v>
      </c>
      <c r="E12315" t="s">
        <v>444</v>
      </c>
      <c r="F12315" t="s">
        <v>413</v>
      </c>
      <c r="G12315">
        <v>5889</v>
      </c>
      <c r="H12315">
        <v>5889</v>
      </c>
      <c r="I12315">
        <v>5573</v>
      </c>
      <c r="J12315">
        <v>5573</v>
      </c>
      <c r="K12315">
        <v>1682</v>
      </c>
      <c r="L12315">
        <v>13</v>
      </c>
      <c r="M12315">
        <v>4006</v>
      </c>
      <c r="N12315">
        <v>122</v>
      </c>
      <c r="O12315">
        <v>66</v>
      </c>
      <c r="P12315">
        <v>5</v>
      </c>
      <c r="Q12315">
        <v>1</v>
      </c>
    </row>
    <row r="12316" spans="1:17" x14ac:dyDescent="0.2">
      <c r="A12316" s="121">
        <v>43312</v>
      </c>
      <c r="B12316" t="s">
        <v>406</v>
      </c>
      <c r="C12316" t="s">
        <v>442</v>
      </c>
      <c r="D12316" t="s">
        <v>445</v>
      </c>
      <c r="E12316" t="s">
        <v>446</v>
      </c>
      <c r="F12316" t="s">
        <v>410</v>
      </c>
      <c r="G12316">
        <v>200</v>
      </c>
      <c r="H12316">
        <v>200</v>
      </c>
      <c r="I12316">
        <v>200</v>
      </c>
      <c r="J12316">
        <v>200</v>
      </c>
      <c r="K12316">
        <v>0</v>
      </c>
      <c r="L12316">
        <v>0</v>
      </c>
      <c r="M12316">
        <v>191</v>
      </c>
      <c r="N12316">
        <v>7</v>
      </c>
      <c r="O12316">
        <v>2</v>
      </c>
      <c r="P12316">
        <v>0</v>
      </c>
      <c r="Q12316">
        <v>0</v>
      </c>
    </row>
    <row r="12317" spans="1:17" x14ac:dyDescent="0.2">
      <c r="A12317" s="121">
        <v>43312</v>
      </c>
      <c r="B12317" t="s">
        <v>406</v>
      </c>
      <c r="C12317" t="s">
        <v>442</v>
      </c>
      <c r="D12317" t="s">
        <v>447</v>
      </c>
      <c r="E12317" t="s">
        <v>448</v>
      </c>
      <c r="F12317" t="s">
        <v>410</v>
      </c>
      <c r="G12317">
        <v>333</v>
      </c>
      <c r="H12317">
        <v>333</v>
      </c>
      <c r="I12317">
        <v>333</v>
      </c>
      <c r="J12317">
        <v>333</v>
      </c>
      <c r="K12317">
        <v>0</v>
      </c>
      <c r="L12317">
        <v>0</v>
      </c>
      <c r="M12317">
        <v>320</v>
      </c>
      <c r="N12317">
        <v>13</v>
      </c>
      <c r="O12317">
        <v>0</v>
      </c>
      <c r="P12317">
        <v>0</v>
      </c>
      <c r="Q12317">
        <v>0</v>
      </c>
    </row>
    <row r="12318" spans="1:17" x14ac:dyDescent="0.2">
      <c r="A12318" s="121">
        <v>43312</v>
      </c>
      <c r="B12318" t="s">
        <v>406</v>
      </c>
      <c r="C12318" t="s">
        <v>442</v>
      </c>
      <c r="D12318" t="s">
        <v>449</v>
      </c>
      <c r="E12318" t="s">
        <v>624</v>
      </c>
      <c r="F12318" t="s">
        <v>410</v>
      </c>
      <c r="G12318">
        <v>1810</v>
      </c>
      <c r="H12318">
        <v>1810</v>
      </c>
      <c r="I12318">
        <v>1807</v>
      </c>
      <c r="J12318">
        <v>1807</v>
      </c>
      <c r="K12318">
        <v>12</v>
      </c>
      <c r="L12318">
        <v>0</v>
      </c>
      <c r="M12318">
        <v>1652</v>
      </c>
      <c r="N12318">
        <v>129</v>
      </c>
      <c r="O12318">
        <v>17</v>
      </c>
      <c r="P12318">
        <v>0</v>
      </c>
      <c r="Q12318">
        <v>0</v>
      </c>
    </row>
    <row r="12319" spans="1:17" x14ac:dyDescent="0.2">
      <c r="A12319" s="121">
        <v>43312</v>
      </c>
      <c r="B12319" t="s">
        <v>406</v>
      </c>
      <c r="C12319" t="s">
        <v>451</v>
      </c>
      <c r="D12319" t="s">
        <v>454</v>
      </c>
      <c r="E12319" t="s">
        <v>621</v>
      </c>
      <c r="F12319" t="s">
        <v>410</v>
      </c>
      <c r="G12319">
        <v>1720</v>
      </c>
      <c r="H12319">
        <v>1720</v>
      </c>
      <c r="I12319">
        <v>1718</v>
      </c>
      <c r="J12319">
        <v>1718</v>
      </c>
      <c r="K12319">
        <v>0</v>
      </c>
      <c r="L12319">
        <v>0</v>
      </c>
      <c r="M12319">
        <v>1297</v>
      </c>
      <c r="N12319">
        <v>166</v>
      </c>
      <c r="O12319">
        <v>257</v>
      </c>
      <c r="P12319">
        <v>0</v>
      </c>
      <c r="Q12319">
        <v>0</v>
      </c>
    </row>
    <row r="12320" spans="1:17" x14ac:dyDescent="0.2">
      <c r="A12320" s="121">
        <v>43312</v>
      </c>
      <c r="B12320" t="s">
        <v>406</v>
      </c>
      <c r="C12320" t="s">
        <v>451</v>
      </c>
      <c r="D12320" t="s">
        <v>622</v>
      </c>
      <c r="E12320" t="s">
        <v>623</v>
      </c>
      <c r="F12320" t="s">
        <v>413</v>
      </c>
      <c r="G12320">
        <v>5719</v>
      </c>
      <c r="H12320">
        <v>5719</v>
      </c>
      <c r="I12320">
        <v>4955</v>
      </c>
      <c r="J12320">
        <v>4955</v>
      </c>
      <c r="K12320">
        <v>1488</v>
      </c>
      <c r="L12320">
        <v>2</v>
      </c>
      <c r="M12320">
        <v>3317</v>
      </c>
      <c r="N12320">
        <v>76</v>
      </c>
      <c r="O12320">
        <v>836</v>
      </c>
      <c r="P12320">
        <v>23</v>
      </c>
      <c r="Q12320">
        <v>0</v>
      </c>
    </row>
    <row r="12321" spans="1:17" x14ac:dyDescent="0.2">
      <c r="A12321" s="121">
        <v>43312</v>
      </c>
      <c r="B12321" t="s">
        <v>406</v>
      </c>
      <c r="C12321" t="s">
        <v>456</v>
      </c>
      <c r="D12321" t="s">
        <v>457</v>
      </c>
      <c r="E12321" t="s">
        <v>458</v>
      </c>
      <c r="F12321" t="s">
        <v>413</v>
      </c>
      <c r="G12321">
        <v>5221</v>
      </c>
      <c r="H12321">
        <v>5221</v>
      </c>
      <c r="I12321">
        <v>4768</v>
      </c>
      <c r="J12321">
        <v>4768</v>
      </c>
      <c r="K12321">
        <v>1356</v>
      </c>
      <c r="L12321">
        <v>11</v>
      </c>
      <c r="M12321">
        <v>3240</v>
      </c>
      <c r="N12321">
        <v>24</v>
      </c>
      <c r="O12321">
        <v>590</v>
      </c>
      <c r="P12321">
        <v>5</v>
      </c>
      <c r="Q12321">
        <v>0</v>
      </c>
    </row>
    <row r="12322" spans="1:17" x14ac:dyDescent="0.2">
      <c r="A12322" s="121">
        <v>43312</v>
      </c>
      <c r="B12322" t="s">
        <v>406</v>
      </c>
      <c r="C12322" t="s">
        <v>456</v>
      </c>
      <c r="D12322" t="s">
        <v>459</v>
      </c>
      <c r="E12322" t="s">
        <v>460</v>
      </c>
      <c r="F12322" t="s">
        <v>413</v>
      </c>
      <c r="G12322">
        <v>1287</v>
      </c>
      <c r="H12322">
        <v>1287</v>
      </c>
      <c r="I12322">
        <v>1282</v>
      </c>
      <c r="J12322">
        <v>1282</v>
      </c>
      <c r="K12322">
        <v>143</v>
      </c>
      <c r="L12322">
        <v>0</v>
      </c>
      <c r="M12322">
        <v>1088</v>
      </c>
      <c r="N12322">
        <v>0</v>
      </c>
      <c r="O12322">
        <v>56</v>
      </c>
      <c r="P12322">
        <v>0</v>
      </c>
      <c r="Q12322">
        <v>0</v>
      </c>
    </row>
    <row r="12323" spans="1:17" x14ac:dyDescent="0.2">
      <c r="A12323" s="121">
        <v>43312</v>
      </c>
      <c r="B12323" t="s">
        <v>406</v>
      </c>
      <c r="C12323" t="s">
        <v>456</v>
      </c>
      <c r="D12323" t="s">
        <v>461</v>
      </c>
      <c r="E12323" t="s">
        <v>462</v>
      </c>
      <c r="F12323" t="s">
        <v>410</v>
      </c>
      <c r="G12323">
        <v>129</v>
      </c>
      <c r="I12323">
        <v>129</v>
      </c>
    </row>
    <row r="12324" spans="1:17" x14ac:dyDescent="0.2">
      <c r="A12324" s="121">
        <v>43312</v>
      </c>
      <c r="B12324" t="s">
        <v>406</v>
      </c>
      <c r="C12324" t="s">
        <v>456</v>
      </c>
      <c r="D12324" t="s">
        <v>463</v>
      </c>
      <c r="E12324" t="s">
        <v>464</v>
      </c>
      <c r="F12324" t="s">
        <v>410</v>
      </c>
      <c r="G12324">
        <v>13</v>
      </c>
      <c r="I12324">
        <v>13</v>
      </c>
    </row>
    <row r="12325" spans="1:17" x14ac:dyDescent="0.2">
      <c r="A12325" s="121">
        <v>43312</v>
      </c>
      <c r="B12325" t="s">
        <v>406</v>
      </c>
      <c r="C12325" t="s">
        <v>456</v>
      </c>
      <c r="D12325" t="s">
        <v>465</v>
      </c>
      <c r="E12325" t="s">
        <v>466</v>
      </c>
      <c r="F12325" t="s">
        <v>410</v>
      </c>
      <c r="G12325">
        <v>45</v>
      </c>
      <c r="I12325">
        <v>45</v>
      </c>
    </row>
    <row r="12326" spans="1:17" x14ac:dyDescent="0.2">
      <c r="A12326" s="121">
        <v>43312</v>
      </c>
      <c r="B12326" t="s">
        <v>406</v>
      </c>
      <c r="C12326" t="s">
        <v>456</v>
      </c>
      <c r="D12326" t="s">
        <v>467</v>
      </c>
      <c r="E12326" t="s">
        <v>468</v>
      </c>
      <c r="F12326" t="s">
        <v>410</v>
      </c>
      <c r="G12326">
        <v>1347</v>
      </c>
      <c r="I12326">
        <v>1347</v>
      </c>
    </row>
    <row r="12327" spans="1:17" x14ac:dyDescent="0.2">
      <c r="A12327" s="121">
        <v>43312</v>
      </c>
      <c r="B12327" t="s">
        <v>406</v>
      </c>
      <c r="C12327" t="s">
        <v>456</v>
      </c>
      <c r="D12327" t="s">
        <v>469</v>
      </c>
      <c r="E12327" t="s">
        <v>470</v>
      </c>
      <c r="F12327" t="s">
        <v>410</v>
      </c>
      <c r="G12327">
        <v>698</v>
      </c>
      <c r="I12327">
        <v>695</v>
      </c>
    </row>
    <row r="12328" spans="1:17" x14ac:dyDescent="0.2">
      <c r="A12328" s="121">
        <v>43312</v>
      </c>
      <c r="B12328" t="s">
        <v>406</v>
      </c>
      <c r="C12328" t="s">
        <v>456</v>
      </c>
      <c r="D12328" t="s">
        <v>471</v>
      </c>
      <c r="E12328" t="s">
        <v>472</v>
      </c>
      <c r="F12328" t="s">
        <v>410</v>
      </c>
      <c r="G12328">
        <v>292</v>
      </c>
      <c r="I12328">
        <v>292</v>
      </c>
    </row>
    <row r="12329" spans="1:17" x14ac:dyDescent="0.2">
      <c r="A12329" s="121">
        <v>43312</v>
      </c>
      <c r="B12329" t="s">
        <v>406</v>
      </c>
      <c r="C12329" t="s">
        <v>456</v>
      </c>
      <c r="D12329" t="s">
        <v>473</v>
      </c>
      <c r="E12329" t="s">
        <v>474</v>
      </c>
      <c r="F12329" t="s">
        <v>410</v>
      </c>
      <c r="G12329">
        <v>168</v>
      </c>
      <c r="I12329">
        <v>168</v>
      </c>
    </row>
    <row r="12330" spans="1:17" x14ac:dyDescent="0.2">
      <c r="A12330" s="121">
        <v>43312</v>
      </c>
      <c r="B12330" t="s">
        <v>406</v>
      </c>
      <c r="C12330" t="s">
        <v>456</v>
      </c>
      <c r="D12330" t="s">
        <v>475</v>
      </c>
      <c r="E12330" t="s">
        <v>476</v>
      </c>
      <c r="F12330" t="s">
        <v>410</v>
      </c>
      <c r="G12330">
        <v>346</v>
      </c>
      <c r="I12330">
        <v>344</v>
      </c>
    </row>
    <row r="12331" spans="1:17" x14ac:dyDescent="0.2">
      <c r="A12331" s="121">
        <v>43312</v>
      </c>
      <c r="B12331" t="s">
        <v>406</v>
      </c>
      <c r="C12331" t="s">
        <v>456</v>
      </c>
      <c r="D12331" t="s">
        <v>477</v>
      </c>
      <c r="E12331" t="s">
        <v>478</v>
      </c>
      <c r="F12331" t="s">
        <v>413</v>
      </c>
      <c r="G12331">
        <v>2300</v>
      </c>
      <c r="H12331">
        <v>2300</v>
      </c>
      <c r="I12331">
        <v>2249</v>
      </c>
      <c r="J12331">
        <v>2249</v>
      </c>
      <c r="K12331">
        <v>389</v>
      </c>
      <c r="L12331">
        <v>2</v>
      </c>
      <c r="M12331">
        <v>1881</v>
      </c>
      <c r="N12331">
        <v>16</v>
      </c>
      <c r="O12331">
        <v>12</v>
      </c>
      <c r="P12331">
        <v>0</v>
      </c>
      <c r="Q12331">
        <v>0</v>
      </c>
    </row>
    <row r="12332" spans="1:17" x14ac:dyDescent="0.2">
      <c r="A12332" s="121">
        <v>43312</v>
      </c>
      <c r="B12332" t="s">
        <v>406</v>
      </c>
      <c r="C12332" t="s">
        <v>456</v>
      </c>
      <c r="D12332" t="s">
        <v>479</v>
      </c>
      <c r="E12332" t="s">
        <v>480</v>
      </c>
      <c r="F12332" t="s">
        <v>410</v>
      </c>
      <c r="G12332">
        <v>68</v>
      </c>
      <c r="I12332">
        <v>68</v>
      </c>
    </row>
    <row r="12333" spans="1:17" x14ac:dyDescent="0.2">
      <c r="A12333" s="121">
        <v>43312</v>
      </c>
      <c r="B12333" t="s">
        <v>406</v>
      </c>
      <c r="C12333" t="s">
        <v>456</v>
      </c>
      <c r="D12333" t="s">
        <v>481</v>
      </c>
      <c r="E12333" t="s">
        <v>482</v>
      </c>
      <c r="F12333" t="s">
        <v>410</v>
      </c>
      <c r="G12333">
        <v>11</v>
      </c>
      <c r="I12333">
        <v>11</v>
      </c>
    </row>
    <row r="12334" spans="1:17" x14ac:dyDescent="0.2">
      <c r="A12334" s="121">
        <v>43312</v>
      </c>
      <c r="B12334" t="s">
        <v>406</v>
      </c>
      <c r="C12334" t="s">
        <v>456</v>
      </c>
      <c r="D12334" t="s">
        <v>483</v>
      </c>
      <c r="E12334" t="s">
        <v>484</v>
      </c>
      <c r="F12334" t="s">
        <v>410</v>
      </c>
      <c r="G12334">
        <v>103</v>
      </c>
      <c r="I12334">
        <v>103</v>
      </c>
    </row>
    <row r="12335" spans="1:17" x14ac:dyDescent="0.2">
      <c r="A12335" s="121">
        <v>43312</v>
      </c>
      <c r="B12335" t="s">
        <v>406</v>
      </c>
      <c r="C12335" t="s">
        <v>456</v>
      </c>
      <c r="D12335" t="s">
        <v>487</v>
      </c>
      <c r="E12335" t="s">
        <v>488</v>
      </c>
      <c r="F12335" t="s">
        <v>410</v>
      </c>
      <c r="G12335">
        <v>20</v>
      </c>
      <c r="I12335">
        <v>20</v>
      </c>
    </row>
    <row r="12336" spans="1:17" x14ac:dyDescent="0.2">
      <c r="A12336" s="121">
        <v>43312</v>
      </c>
      <c r="B12336" t="s">
        <v>406</v>
      </c>
      <c r="C12336" t="s">
        <v>456</v>
      </c>
      <c r="D12336" t="s">
        <v>489</v>
      </c>
      <c r="E12336" t="s">
        <v>490</v>
      </c>
      <c r="F12336" t="s">
        <v>410</v>
      </c>
      <c r="G12336">
        <v>141</v>
      </c>
      <c r="I12336">
        <v>141</v>
      </c>
    </row>
    <row r="12337" spans="1:17" x14ac:dyDescent="0.2">
      <c r="A12337" s="121">
        <v>43312</v>
      </c>
      <c r="B12337" t="s">
        <v>406</v>
      </c>
      <c r="C12337" t="s">
        <v>456</v>
      </c>
      <c r="D12337" t="s">
        <v>628</v>
      </c>
      <c r="E12337" t="s">
        <v>629</v>
      </c>
      <c r="F12337" t="s">
        <v>410</v>
      </c>
      <c r="G12337">
        <v>39</v>
      </c>
      <c r="I12337">
        <v>39</v>
      </c>
    </row>
    <row r="12338" spans="1:17" x14ac:dyDescent="0.2">
      <c r="A12338" s="121">
        <v>43312</v>
      </c>
      <c r="B12338" t="s">
        <v>406</v>
      </c>
      <c r="C12338" t="s">
        <v>491</v>
      </c>
      <c r="D12338" t="s">
        <v>492</v>
      </c>
      <c r="E12338" t="s">
        <v>493</v>
      </c>
      <c r="F12338" t="s">
        <v>410</v>
      </c>
      <c r="G12338">
        <v>1653</v>
      </c>
      <c r="H12338">
        <v>1653</v>
      </c>
      <c r="I12338">
        <v>1621</v>
      </c>
      <c r="J12338">
        <v>1621</v>
      </c>
      <c r="K12338">
        <v>211</v>
      </c>
      <c r="L12338">
        <v>0</v>
      </c>
      <c r="M12338">
        <v>1350</v>
      </c>
      <c r="N12338">
        <v>85</v>
      </c>
      <c r="O12338">
        <v>7</v>
      </c>
      <c r="P12338">
        <v>2</v>
      </c>
      <c r="Q12338">
        <v>0</v>
      </c>
    </row>
    <row r="12339" spans="1:17" x14ac:dyDescent="0.2">
      <c r="A12339" s="121">
        <v>43312</v>
      </c>
      <c r="B12339" t="s">
        <v>406</v>
      </c>
      <c r="C12339" t="s">
        <v>491</v>
      </c>
      <c r="D12339" t="s">
        <v>494</v>
      </c>
      <c r="E12339" t="s">
        <v>495</v>
      </c>
      <c r="F12339" t="s">
        <v>413</v>
      </c>
      <c r="G12339">
        <v>2914</v>
      </c>
      <c r="H12339">
        <v>2914</v>
      </c>
      <c r="I12339">
        <v>2677</v>
      </c>
      <c r="J12339">
        <v>2677</v>
      </c>
      <c r="K12339">
        <v>673</v>
      </c>
      <c r="L12339">
        <v>3</v>
      </c>
      <c r="M12339">
        <v>2018</v>
      </c>
      <c r="N12339">
        <v>43</v>
      </c>
      <c r="O12339">
        <v>177</v>
      </c>
      <c r="P12339">
        <v>6</v>
      </c>
      <c r="Q12339">
        <v>0</v>
      </c>
    </row>
    <row r="12340" spans="1:17" x14ac:dyDescent="0.2">
      <c r="A12340" s="121">
        <v>43312</v>
      </c>
      <c r="B12340" t="s">
        <v>406</v>
      </c>
      <c r="C12340" t="s">
        <v>491</v>
      </c>
      <c r="D12340" t="s">
        <v>496</v>
      </c>
      <c r="E12340" t="s">
        <v>497</v>
      </c>
      <c r="F12340" t="s">
        <v>413</v>
      </c>
      <c r="G12340">
        <v>5657</v>
      </c>
      <c r="H12340">
        <v>5657</v>
      </c>
      <c r="I12340">
        <v>5127</v>
      </c>
      <c r="J12340">
        <v>5127</v>
      </c>
      <c r="K12340">
        <v>1717</v>
      </c>
      <c r="L12340">
        <v>15</v>
      </c>
      <c r="M12340">
        <v>3715</v>
      </c>
      <c r="N12340">
        <v>80</v>
      </c>
      <c r="O12340">
        <v>130</v>
      </c>
      <c r="P12340">
        <v>40</v>
      </c>
      <c r="Q12340">
        <v>1</v>
      </c>
    </row>
    <row r="12341" spans="1:17" x14ac:dyDescent="0.2">
      <c r="A12341" s="121">
        <v>43312</v>
      </c>
      <c r="B12341" t="s">
        <v>406</v>
      </c>
      <c r="C12341" t="s">
        <v>491</v>
      </c>
      <c r="D12341" t="s">
        <v>498</v>
      </c>
      <c r="E12341" t="s">
        <v>499</v>
      </c>
      <c r="F12341" t="s">
        <v>413</v>
      </c>
      <c r="G12341">
        <v>8437</v>
      </c>
      <c r="H12341">
        <v>8437</v>
      </c>
      <c r="I12341">
        <v>7868</v>
      </c>
      <c r="J12341">
        <v>7868</v>
      </c>
      <c r="K12341">
        <v>2442</v>
      </c>
      <c r="L12341">
        <v>17</v>
      </c>
      <c r="M12341">
        <v>5416</v>
      </c>
      <c r="N12341">
        <v>126</v>
      </c>
      <c r="O12341">
        <v>436</v>
      </c>
      <c r="P12341">
        <v>4</v>
      </c>
      <c r="Q12341">
        <v>0</v>
      </c>
    </row>
    <row r="12342" spans="1:17" x14ac:dyDescent="0.2">
      <c r="A12342" s="121">
        <v>43312</v>
      </c>
      <c r="B12342" t="s">
        <v>406</v>
      </c>
      <c r="C12342" t="s">
        <v>491</v>
      </c>
      <c r="D12342" t="s">
        <v>500</v>
      </c>
      <c r="E12342" t="s">
        <v>620</v>
      </c>
      <c r="F12342" t="s">
        <v>410</v>
      </c>
      <c r="G12342">
        <v>2029</v>
      </c>
      <c r="H12342">
        <v>2029</v>
      </c>
      <c r="I12342">
        <v>2013</v>
      </c>
      <c r="J12342">
        <v>2013</v>
      </c>
      <c r="K12342">
        <v>0</v>
      </c>
      <c r="L12342">
        <v>0</v>
      </c>
      <c r="M12342">
        <v>1832</v>
      </c>
      <c r="N12342">
        <v>139</v>
      </c>
      <c r="O12342">
        <v>58</v>
      </c>
      <c r="P12342">
        <v>0</v>
      </c>
      <c r="Q12342">
        <v>0</v>
      </c>
    </row>
    <row r="12343" spans="1:17" x14ac:dyDescent="0.2">
      <c r="A12343" s="121">
        <v>43312</v>
      </c>
      <c r="B12343" t="s">
        <v>406</v>
      </c>
      <c r="C12343" t="s">
        <v>491</v>
      </c>
      <c r="D12343" t="s">
        <v>502</v>
      </c>
      <c r="E12343" t="s">
        <v>615</v>
      </c>
      <c r="F12343" t="s">
        <v>410</v>
      </c>
      <c r="G12343">
        <v>3130</v>
      </c>
      <c r="H12343">
        <v>3130</v>
      </c>
      <c r="I12343">
        <v>3128</v>
      </c>
      <c r="J12343">
        <v>3128</v>
      </c>
      <c r="K12343">
        <v>0</v>
      </c>
      <c r="L12343">
        <v>0</v>
      </c>
      <c r="M12343">
        <v>2742</v>
      </c>
      <c r="N12343">
        <v>346</v>
      </c>
      <c r="O12343">
        <v>42</v>
      </c>
      <c r="P12343">
        <v>0</v>
      </c>
      <c r="Q12343">
        <v>0</v>
      </c>
    </row>
    <row r="12344" spans="1:17" x14ac:dyDescent="0.2">
      <c r="A12344" s="121">
        <v>43312</v>
      </c>
      <c r="B12344" t="s">
        <v>406</v>
      </c>
      <c r="C12344" t="s">
        <v>491</v>
      </c>
      <c r="D12344" t="s">
        <v>504</v>
      </c>
      <c r="E12344" t="s">
        <v>630</v>
      </c>
      <c r="F12344" t="s">
        <v>413</v>
      </c>
      <c r="G12344">
        <v>9231</v>
      </c>
      <c r="H12344">
        <v>9231</v>
      </c>
      <c r="I12344">
        <v>8261</v>
      </c>
      <c r="J12344">
        <v>8261</v>
      </c>
      <c r="K12344">
        <v>2788</v>
      </c>
      <c r="L12344">
        <v>13</v>
      </c>
      <c r="M12344">
        <v>6145</v>
      </c>
      <c r="N12344">
        <v>60</v>
      </c>
      <c r="O12344">
        <v>225</v>
      </c>
      <c r="P12344">
        <v>19</v>
      </c>
      <c r="Q12344">
        <v>1</v>
      </c>
    </row>
    <row r="12345" spans="1:17" x14ac:dyDescent="0.2">
      <c r="A12345" s="121">
        <v>43312</v>
      </c>
      <c r="B12345" t="s">
        <v>406</v>
      </c>
      <c r="C12345" t="s">
        <v>491</v>
      </c>
      <c r="D12345" t="s">
        <v>506</v>
      </c>
      <c r="E12345" t="s">
        <v>507</v>
      </c>
      <c r="F12345" t="s">
        <v>413</v>
      </c>
      <c r="G12345">
        <v>4576</v>
      </c>
      <c r="H12345">
        <v>4576</v>
      </c>
      <c r="I12345">
        <v>4532</v>
      </c>
      <c r="J12345">
        <v>4532</v>
      </c>
      <c r="K12345">
        <v>816</v>
      </c>
      <c r="L12345">
        <v>2</v>
      </c>
      <c r="M12345">
        <v>3748</v>
      </c>
      <c r="N12345">
        <v>6</v>
      </c>
      <c r="O12345">
        <v>4</v>
      </c>
      <c r="P12345">
        <v>0</v>
      </c>
      <c r="Q12345">
        <v>0</v>
      </c>
    </row>
    <row r="12346" spans="1:17" x14ac:dyDescent="0.2">
      <c r="A12346" s="121">
        <v>43312</v>
      </c>
      <c r="B12346" t="s">
        <v>406</v>
      </c>
      <c r="C12346" t="s">
        <v>510</v>
      </c>
      <c r="D12346" t="s">
        <v>513</v>
      </c>
      <c r="E12346" t="s">
        <v>514</v>
      </c>
      <c r="F12346" t="s">
        <v>410</v>
      </c>
      <c r="G12346">
        <v>801</v>
      </c>
      <c r="I12346">
        <v>797</v>
      </c>
    </row>
    <row r="12347" spans="1:17" x14ac:dyDescent="0.2">
      <c r="A12347" s="121">
        <v>43312</v>
      </c>
      <c r="B12347" t="s">
        <v>406</v>
      </c>
      <c r="C12347" t="s">
        <v>510</v>
      </c>
      <c r="D12347" t="s">
        <v>515</v>
      </c>
      <c r="E12347" t="s">
        <v>516</v>
      </c>
      <c r="F12347" t="s">
        <v>410</v>
      </c>
      <c r="G12347">
        <v>160</v>
      </c>
      <c r="I12347">
        <v>159</v>
      </c>
    </row>
    <row r="12348" spans="1:17" x14ac:dyDescent="0.2">
      <c r="A12348" s="121">
        <v>43312</v>
      </c>
      <c r="B12348" t="s">
        <v>406</v>
      </c>
      <c r="C12348" t="s">
        <v>510</v>
      </c>
      <c r="D12348" t="s">
        <v>519</v>
      </c>
      <c r="E12348" t="s">
        <v>520</v>
      </c>
      <c r="F12348" t="s">
        <v>410</v>
      </c>
      <c r="G12348">
        <v>399</v>
      </c>
      <c r="I12348">
        <v>396</v>
      </c>
    </row>
    <row r="12349" spans="1:17" x14ac:dyDescent="0.2">
      <c r="A12349" s="121">
        <v>43312</v>
      </c>
      <c r="B12349" t="s">
        <v>406</v>
      </c>
      <c r="C12349" t="s">
        <v>510</v>
      </c>
      <c r="D12349" t="s">
        <v>523</v>
      </c>
      <c r="E12349" t="s">
        <v>524</v>
      </c>
      <c r="F12349" t="s">
        <v>413</v>
      </c>
      <c r="G12349">
        <v>752</v>
      </c>
      <c r="H12349">
        <v>752</v>
      </c>
      <c r="I12349">
        <v>733</v>
      </c>
      <c r="J12349">
        <v>733</v>
      </c>
      <c r="K12349">
        <v>169</v>
      </c>
      <c r="L12349">
        <v>1</v>
      </c>
      <c r="M12349">
        <v>562</v>
      </c>
      <c r="N12349">
        <v>20</v>
      </c>
      <c r="O12349">
        <v>0</v>
      </c>
      <c r="P12349">
        <v>1</v>
      </c>
      <c r="Q12349">
        <v>0</v>
      </c>
    </row>
    <row r="12350" spans="1:17" x14ac:dyDescent="0.2">
      <c r="A12350" s="121">
        <v>43312</v>
      </c>
      <c r="B12350" t="s">
        <v>406</v>
      </c>
      <c r="C12350" t="s">
        <v>510</v>
      </c>
      <c r="D12350" t="s">
        <v>525</v>
      </c>
      <c r="E12350" t="s">
        <v>526</v>
      </c>
      <c r="F12350" t="s">
        <v>410</v>
      </c>
      <c r="G12350">
        <v>546</v>
      </c>
      <c r="I12350">
        <v>544</v>
      </c>
    </row>
    <row r="12351" spans="1:17" x14ac:dyDescent="0.2">
      <c r="A12351" s="121">
        <v>43312</v>
      </c>
      <c r="B12351" t="s">
        <v>406</v>
      </c>
      <c r="C12351" t="s">
        <v>510</v>
      </c>
      <c r="D12351" t="s">
        <v>527</v>
      </c>
      <c r="E12351" t="s">
        <v>528</v>
      </c>
      <c r="F12351" t="s">
        <v>410</v>
      </c>
      <c r="G12351">
        <v>154</v>
      </c>
      <c r="I12351">
        <v>154</v>
      </c>
    </row>
    <row r="12352" spans="1:17" x14ac:dyDescent="0.2">
      <c r="A12352" s="121">
        <v>43312</v>
      </c>
      <c r="B12352" t="s">
        <v>406</v>
      </c>
      <c r="C12352" t="s">
        <v>510</v>
      </c>
      <c r="D12352" t="s">
        <v>529</v>
      </c>
      <c r="E12352" t="s">
        <v>530</v>
      </c>
      <c r="F12352" t="s">
        <v>413</v>
      </c>
      <c r="G12352">
        <v>775</v>
      </c>
      <c r="H12352">
        <v>775</v>
      </c>
      <c r="I12352">
        <v>746</v>
      </c>
      <c r="J12352">
        <v>746</v>
      </c>
      <c r="K12352">
        <v>184</v>
      </c>
      <c r="L12352">
        <v>1</v>
      </c>
      <c r="M12352">
        <v>585</v>
      </c>
      <c r="N12352">
        <v>5</v>
      </c>
      <c r="O12352">
        <v>0</v>
      </c>
      <c r="P12352">
        <v>2</v>
      </c>
      <c r="Q12352">
        <v>0</v>
      </c>
    </row>
    <row r="12353" spans="1:17" x14ac:dyDescent="0.2">
      <c r="A12353" s="121">
        <v>43312</v>
      </c>
      <c r="B12353" t="s">
        <v>406</v>
      </c>
      <c r="C12353" t="s">
        <v>510</v>
      </c>
      <c r="D12353" t="s">
        <v>531</v>
      </c>
      <c r="E12353" t="s">
        <v>532</v>
      </c>
      <c r="F12353" t="s">
        <v>410</v>
      </c>
      <c r="G12353">
        <v>60</v>
      </c>
      <c r="I12353">
        <v>60</v>
      </c>
    </row>
    <row r="12354" spans="1:17" x14ac:dyDescent="0.2">
      <c r="A12354" s="121">
        <v>43312</v>
      </c>
      <c r="B12354" t="s">
        <v>406</v>
      </c>
      <c r="C12354" t="s">
        <v>510</v>
      </c>
      <c r="D12354" t="s">
        <v>533</v>
      </c>
      <c r="E12354" t="s">
        <v>534</v>
      </c>
      <c r="F12354" t="s">
        <v>413</v>
      </c>
      <c r="G12354">
        <v>3197</v>
      </c>
      <c r="H12354">
        <v>3197</v>
      </c>
      <c r="I12354">
        <v>3043</v>
      </c>
      <c r="J12354">
        <v>3043</v>
      </c>
      <c r="K12354">
        <v>643</v>
      </c>
      <c r="L12354">
        <v>6</v>
      </c>
      <c r="M12354">
        <v>2536</v>
      </c>
      <c r="N12354">
        <v>12</v>
      </c>
      <c r="O12354">
        <v>0</v>
      </c>
      <c r="P12354">
        <v>2</v>
      </c>
      <c r="Q12354">
        <v>0</v>
      </c>
    </row>
    <row r="12355" spans="1:17" x14ac:dyDescent="0.2">
      <c r="A12355" s="121">
        <v>43312</v>
      </c>
      <c r="B12355" t="s">
        <v>406</v>
      </c>
      <c r="C12355" t="s">
        <v>510</v>
      </c>
      <c r="D12355" t="s">
        <v>535</v>
      </c>
      <c r="E12355" t="s">
        <v>536</v>
      </c>
      <c r="F12355" t="s">
        <v>410</v>
      </c>
      <c r="G12355">
        <v>416</v>
      </c>
      <c r="I12355">
        <v>416</v>
      </c>
    </row>
    <row r="12356" spans="1:17" x14ac:dyDescent="0.2">
      <c r="A12356" s="121">
        <v>43312</v>
      </c>
      <c r="B12356" t="s">
        <v>406</v>
      </c>
      <c r="C12356" t="s">
        <v>510</v>
      </c>
      <c r="D12356" t="s">
        <v>537</v>
      </c>
      <c r="E12356" t="s">
        <v>538</v>
      </c>
      <c r="F12356" t="s">
        <v>410</v>
      </c>
      <c r="G12356">
        <v>59</v>
      </c>
      <c r="I12356">
        <v>59</v>
      </c>
    </row>
    <row r="12357" spans="1:17" x14ac:dyDescent="0.2">
      <c r="A12357" s="121">
        <v>43312</v>
      </c>
      <c r="B12357" t="s">
        <v>406</v>
      </c>
      <c r="C12357" t="s">
        <v>510</v>
      </c>
      <c r="D12357" t="s">
        <v>539</v>
      </c>
      <c r="E12357" t="s">
        <v>540</v>
      </c>
      <c r="F12357" t="s">
        <v>413</v>
      </c>
      <c r="G12357">
        <v>1042</v>
      </c>
      <c r="H12357">
        <v>1042</v>
      </c>
      <c r="I12357">
        <v>1009</v>
      </c>
      <c r="J12357">
        <v>1009</v>
      </c>
      <c r="K12357">
        <v>161</v>
      </c>
      <c r="L12357">
        <v>1</v>
      </c>
      <c r="M12357">
        <v>877</v>
      </c>
      <c r="N12357">
        <v>3</v>
      </c>
      <c r="O12357">
        <v>0</v>
      </c>
      <c r="P12357">
        <v>2</v>
      </c>
      <c r="Q12357">
        <v>0</v>
      </c>
    </row>
    <row r="12358" spans="1:17" x14ac:dyDescent="0.2">
      <c r="A12358" s="121">
        <v>43312</v>
      </c>
      <c r="B12358" t="s">
        <v>406</v>
      </c>
      <c r="C12358" t="s">
        <v>510</v>
      </c>
      <c r="D12358" t="s">
        <v>541</v>
      </c>
      <c r="E12358" t="s">
        <v>542</v>
      </c>
      <c r="F12358" t="s">
        <v>410</v>
      </c>
      <c r="G12358">
        <v>485</v>
      </c>
      <c r="I12358">
        <v>485</v>
      </c>
    </row>
    <row r="12359" spans="1:17" x14ac:dyDescent="0.2">
      <c r="A12359" s="121">
        <v>43312</v>
      </c>
      <c r="B12359" t="s">
        <v>406</v>
      </c>
      <c r="C12359" t="s">
        <v>510</v>
      </c>
      <c r="D12359" t="s">
        <v>543</v>
      </c>
      <c r="E12359" t="s">
        <v>544</v>
      </c>
      <c r="F12359" t="s">
        <v>410</v>
      </c>
      <c r="G12359">
        <v>258</v>
      </c>
      <c r="I12359">
        <v>258</v>
      </c>
    </row>
    <row r="12360" spans="1:17" x14ac:dyDescent="0.2">
      <c r="A12360" s="121">
        <v>43312</v>
      </c>
      <c r="B12360" t="s">
        <v>406</v>
      </c>
      <c r="C12360" t="s">
        <v>510</v>
      </c>
      <c r="D12360" t="s">
        <v>545</v>
      </c>
      <c r="E12360" t="s">
        <v>546</v>
      </c>
      <c r="F12360" t="s">
        <v>410</v>
      </c>
      <c r="G12360">
        <v>86</v>
      </c>
      <c r="I12360">
        <v>86</v>
      </c>
    </row>
    <row r="12361" spans="1:17" x14ac:dyDescent="0.2">
      <c r="A12361" s="121">
        <v>43312</v>
      </c>
      <c r="B12361" t="s">
        <v>406</v>
      </c>
      <c r="C12361" t="s">
        <v>510</v>
      </c>
      <c r="D12361" t="s">
        <v>547</v>
      </c>
      <c r="E12361" t="s">
        <v>548</v>
      </c>
      <c r="F12361" t="s">
        <v>410</v>
      </c>
      <c r="G12361">
        <v>151</v>
      </c>
      <c r="I12361">
        <v>151</v>
      </c>
    </row>
    <row r="12362" spans="1:17" x14ac:dyDescent="0.2">
      <c r="A12362" s="121">
        <v>43312</v>
      </c>
      <c r="B12362" t="s">
        <v>406</v>
      </c>
      <c r="C12362" t="s">
        <v>510</v>
      </c>
      <c r="D12362" t="s">
        <v>616</v>
      </c>
      <c r="E12362" t="s">
        <v>617</v>
      </c>
      <c r="F12362" t="s">
        <v>410</v>
      </c>
      <c r="G12362">
        <v>399</v>
      </c>
      <c r="I12362">
        <v>396</v>
      </c>
    </row>
    <row r="12363" spans="1:17" x14ac:dyDescent="0.2">
      <c r="A12363" s="121">
        <v>43312</v>
      </c>
      <c r="B12363" t="s">
        <v>406</v>
      </c>
      <c r="C12363" t="s">
        <v>510</v>
      </c>
      <c r="D12363" t="s">
        <v>549</v>
      </c>
      <c r="E12363" t="s">
        <v>550</v>
      </c>
      <c r="F12363" t="s">
        <v>410</v>
      </c>
      <c r="G12363">
        <v>185</v>
      </c>
      <c r="I12363">
        <v>185</v>
      </c>
    </row>
    <row r="12364" spans="1:17" x14ac:dyDescent="0.2">
      <c r="A12364" s="121">
        <v>43312</v>
      </c>
      <c r="B12364" t="s">
        <v>406</v>
      </c>
      <c r="C12364" t="s">
        <v>510</v>
      </c>
      <c r="D12364" t="s">
        <v>625</v>
      </c>
      <c r="E12364" t="s">
        <v>626</v>
      </c>
      <c r="F12364" t="s">
        <v>410</v>
      </c>
      <c r="G12364">
        <v>111</v>
      </c>
      <c r="I12364">
        <v>108</v>
      </c>
    </row>
    <row r="12365" spans="1:17" x14ac:dyDescent="0.2">
      <c r="A12365" s="121">
        <v>43312</v>
      </c>
      <c r="B12365" t="s">
        <v>406</v>
      </c>
      <c r="C12365" t="s">
        <v>551</v>
      </c>
      <c r="D12365" t="s">
        <v>552</v>
      </c>
      <c r="E12365" t="s">
        <v>553</v>
      </c>
      <c r="F12365" t="s">
        <v>413</v>
      </c>
      <c r="G12365">
        <v>5934</v>
      </c>
      <c r="H12365">
        <v>5934</v>
      </c>
      <c r="I12365">
        <v>5623</v>
      </c>
      <c r="J12365">
        <v>5623</v>
      </c>
      <c r="K12365">
        <v>1782</v>
      </c>
      <c r="L12365">
        <v>5</v>
      </c>
      <c r="M12365">
        <v>4015</v>
      </c>
      <c r="N12365">
        <v>95</v>
      </c>
      <c r="O12365">
        <v>37</v>
      </c>
      <c r="P12365">
        <v>18</v>
      </c>
      <c r="Q12365">
        <v>2</v>
      </c>
    </row>
    <row r="12366" spans="1:17" x14ac:dyDescent="0.2">
      <c r="A12366" s="121">
        <v>43312</v>
      </c>
      <c r="B12366" t="s">
        <v>406</v>
      </c>
      <c r="C12366" t="s">
        <v>551</v>
      </c>
      <c r="D12366" t="s">
        <v>554</v>
      </c>
      <c r="E12366" t="s">
        <v>555</v>
      </c>
      <c r="F12366" t="s">
        <v>410</v>
      </c>
      <c r="G12366">
        <v>79</v>
      </c>
      <c r="I12366">
        <v>79</v>
      </c>
    </row>
    <row r="12367" spans="1:17" x14ac:dyDescent="0.2">
      <c r="A12367" s="121">
        <v>43312</v>
      </c>
      <c r="B12367" t="s">
        <v>406</v>
      </c>
      <c r="C12367" t="s">
        <v>551</v>
      </c>
      <c r="D12367" t="s">
        <v>556</v>
      </c>
      <c r="E12367" t="s">
        <v>557</v>
      </c>
      <c r="F12367" t="s">
        <v>410</v>
      </c>
      <c r="G12367">
        <v>72</v>
      </c>
      <c r="I12367">
        <v>72</v>
      </c>
    </row>
    <row r="12368" spans="1:17" x14ac:dyDescent="0.2">
      <c r="A12368" s="121">
        <v>43312</v>
      </c>
      <c r="B12368" t="s">
        <v>406</v>
      </c>
      <c r="C12368" t="s">
        <v>551</v>
      </c>
      <c r="D12368" t="s">
        <v>558</v>
      </c>
      <c r="E12368" t="s">
        <v>559</v>
      </c>
      <c r="F12368" t="s">
        <v>413</v>
      </c>
      <c r="G12368">
        <v>5416</v>
      </c>
      <c r="H12368">
        <v>5416</v>
      </c>
      <c r="I12368">
        <v>4768</v>
      </c>
      <c r="J12368">
        <v>4768</v>
      </c>
      <c r="K12368">
        <v>1638</v>
      </c>
      <c r="L12368">
        <v>4</v>
      </c>
      <c r="M12368">
        <v>3679</v>
      </c>
      <c r="N12368">
        <v>67</v>
      </c>
      <c r="O12368">
        <v>28</v>
      </c>
      <c r="P12368">
        <v>84</v>
      </c>
      <c r="Q12368">
        <v>22</v>
      </c>
    </row>
    <row r="12369" spans="1:17" x14ac:dyDescent="0.2">
      <c r="A12369" s="121">
        <v>43312</v>
      </c>
      <c r="B12369" t="s">
        <v>406</v>
      </c>
      <c r="C12369" t="s">
        <v>551</v>
      </c>
      <c r="D12369" t="s">
        <v>560</v>
      </c>
      <c r="E12369" t="s">
        <v>561</v>
      </c>
      <c r="F12369" t="s">
        <v>413</v>
      </c>
      <c r="G12369">
        <v>6230</v>
      </c>
      <c r="H12369">
        <v>6230</v>
      </c>
      <c r="I12369">
        <v>5734</v>
      </c>
      <c r="J12369">
        <v>5734</v>
      </c>
      <c r="K12369">
        <v>1637</v>
      </c>
      <c r="L12369">
        <v>6</v>
      </c>
      <c r="M12369">
        <v>4486</v>
      </c>
      <c r="N12369">
        <v>57</v>
      </c>
      <c r="O12369">
        <v>44</v>
      </c>
      <c r="P12369">
        <v>31</v>
      </c>
      <c r="Q12369">
        <v>1</v>
      </c>
    </row>
    <row r="12370" spans="1:17" x14ac:dyDescent="0.2">
      <c r="A12370" s="121">
        <v>43312</v>
      </c>
      <c r="B12370" t="s">
        <v>406</v>
      </c>
      <c r="C12370" t="s">
        <v>562</v>
      </c>
      <c r="D12370" t="s">
        <v>605</v>
      </c>
      <c r="E12370" t="s">
        <v>606</v>
      </c>
      <c r="F12370" t="s">
        <v>410</v>
      </c>
      <c r="G12370">
        <v>241</v>
      </c>
      <c r="I12370">
        <v>241</v>
      </c>
    </row>
    <row r="12371" spans="1:17" x14ac:dyDescent="0.2">
      <c r="A12371" s="121">
        <v>43312</v>
      </c>
      <c r="B12371" t="s">
        <v>406</v>
      </c>
      <c r="C12371" t="s">
        <v>562</v>
      </c>
      <c r="D12371" t="s">
        <v>563</v>
      </c>
      <c r="E12371" t="s">
        <v>564</v>
      </c>
      <c r="F12371" t="s">
        <v>410</v>
      </c>
      <c r="G12371">
        <v>4125</v>
      </c>
      <c r="H12371">
        <v>4125</v>
      </c>
      <c r="I12371">
        <v>3703</v>
      </c>
      <c r="J12371">
        <v>3703</v>
      </c>
      <c r="K12371">
        <v>1066</v>
      </c>
      <c r="L12371">
        <v>0</v>
      </c>
      <c r="M12371">
        <v>3011</v>
      </c>
      <c r="N12371">
        <v>48</v>
      </c>
      <c r="O12371">
        <v>0</v>
      </c>
      <c r="P12371">
        <v>58</v>
      </c>
      <c r="Q12371">
        <v>19</v>
      </c>
    </row>
    <row r="12372" spans="1:17" x14ac:dyDescent="0.2">
      <c r="A12372" s="121">
        <v>43312</v>
      </c>
      <c r="B12372" t="s">
        <v>406</v>
      </c>
      <c r="C12372" t="s">
        <v>562</v>
      </c>
      <c r="D12372" t="s">
        <v>565</v>
      </c>
      <c r="E12372" t="s">
        <v>566</v>
      </c>
      <c r="F12372" t="s">
        <v>413</v>
      </c>
      <c r="G12372">
        <v>4861</v>
      </c>
      <c r="H12372">
        <v>4861</v>
      </c>
      <c r="I12372">
        <v>4403</v>
      </c>
      <c r="J12372">
        <v>4403</v>
      </c>
      <c r="K12372">
        <v>959</v>
      </c>
      <c r="L12372">
        <v>5</v>
      </c>
      <c r="M12372">
        <v>3830</v>
      </c>
      <c r="N12372">
        <v>67</v>
      </c>
      <c r="O12372">
        <v>0</v>
      </c>
      <c r="P12372">
        <v>37</v>
      </c>
      <c r="Q12372">
        <v>7</v>
      </c>
    </row>
    <row r="12373" spans="1:17" x14ac:dyDescent="0.2">
      <c r="A12373" s="121">
        <v>43312</v>
      </c>
      <c r="B12373" t="s">
        <v>406</v>
      </c>
      <c r="C12373" t="s">
        <v>562</v>
      </c>
      <c r="D12373" t="s">
        <v>567</v>
      </c>
      <c r="E12373" t="s">
        <v>568</v>
      </c>
      <c r="F12373" t="s">
        <v>413</v>
      </c>
      <c r="G12373">
        <v>10354</v>
      </c>
      <c r="H12373">
        <v>10354</v>
      </c>
      <c r="I12373">
        <v>8006</v>
      </c>
      <c r="J12373">
        <v>8006</v>
      </c>
      <c r="K12373">
        <v>2737</v>
      </c>
      <c r="L12373">
        <v>19</v>
      </c>
      <c r="M12373">
        <v>7451</v>
      </c>
      <c r="N12373">
        <v>147</v>
      </c>
      <c r="O12373">
        <v>0</v>
      </c>
      <c r="P12373">
        <v>148</v>
      </c>
      <c r="Q12373">
        <v>26</v>
      </c>
    </row>
    <row r="12374" spans="1:17" x14ac:dyDescent="0.2">
      <c r="A12374" s="121">
        <v>43312</v>
      </c>
      <c r="B12374" t="s">
        <v>406</v>
      </c>
      <c r="C12374" t="s">
        <v>562</v>
      </c>
      <c r="D12374" t="s">
        <v>569</v>
      </c>
      <c r="E12374" t="s">
        <v>570</v>
      </c>
      <c r="F12374" t="s">
        <v>413</v>
      </c>
      <c r="G12374">
        <v>3380</v>
      </c>
      <c r="H12374">
        <v>3380</v>
      </c>
      <c r="I12374">
        <v>3304</v>
      </c>
      <c r="J12374">
        <v>3304</v>
      </c>
      <c r="K12374">
        <v>405</v>
      </c>
      <c r="L12374">
        <v>0</v>
      </c>
      <c r="M12374">
        <v>2975</v>
      </c>
      <c r="N12374">
        <v>0</v>
      </c>
      <c r="O12374">
        <v>0</v>
      </c>
      <c r="P12374">
        <v>0</v>
      </c>
      <c r="Q12374">
        <v>0</v>
      </c>
    </row>
    <row r="12375" spans="1:17" x14ac:dyDescent="0.2">
      <c r="A12375" s="121">
        <v>43312</v>
      </c>
      <c r="B12375" t="s">
        <v>406</v>
      </c>
      <c r="C12375" t="s">
        <v>571</v>
      </c>
      <c r="D12375" t="s">
        <v>572</v>
      </c>
      <c r="E12375" t="s">
        <v>627</v>
      </c>
      <c r="F12375" t="s">
        <v>413</v>
      </c>
      <c r="G12375">
        <v>590</v>
      </c>
      <c r="H12375">
        <v>590</v>
      </c>
      <c r="I12375">
        <v>575</v>
      </c>
      <c r="J12375">
        <v>575</v>
      </c>
      <c r="K12375">
        <v>137</v>
      </c>
      <c r="L12375">
        <v>0</v>
      </c>
      <c r="M12375">
        <v>448</v>
      </c>
      <c r="N12375">
        <v>4</v>
      </c>
      <c r="O12375">
        <v>1</v>
      </c>
      <c r="P12375">
        <v>0</v>
      </c>
      <c r="Q12375">
        <v>0</v>
      </c>
    </row>
    <row r="12376" spans="1:17" x14ac:dyDescent="0.2">
      <c r="A12376" s="121">
        <v>43312</v>
      </c>
      <c r="B12376" t="s">
        <v>406</v>
      </c>
      <c r="C12376" t="s">
        <v>574</v>
      </c>
      <c r="D12376" t="s">
        <v>575</v>
      </c>
      <c r="E12376" t="s">
        <v>576</v>
      </c>
      <c r="F12376" t="s">
        <v>413</v>
      </c>
      <c r="G12376">
        <v>632</v>
      </c>
      <c r="H12376">
        <v>632</v>
      </c>
      <c r="I12376">
        <v>599</v>
      </c>
      <c r="J12376">
        <v>599</v>
      </c>
      <c r="K12376">
        <v>158</v>
      </c>
      <c r="L12376">
        <v>0</v>
      </c>
      <c r="M12376">
        <v>467</v>
      </c>
      <c r="N12376">
        <v>2</v>
      </c>
      <c r="O12376">
        <v>5</v>
      </c>
      <c r="P12376">
        <v>2</v>
      </c>
      <c r="Q12376">
        <v>0</v>
      </c>
    </row>
    <row r="12377" spans="1:17" x14ac:dyDescent="0.2">
      <c r="A12377" s="121">
        <v>43312</v>
      </c>
      <c r="B12377" t="s">
        <v>406</v>
      </c>
      <c r="C12377" t="s">
        <v>577</v>
      </c>
      <c r="D12377" t="s">
        <v>578</v>
      </c>
      <c r="E12377" t="s">
        <v>579</v>
      </c>
      <c r="F12377" t="s">
        <v>413</v>
      </c>
      <c r="G12377">
        <v>4375</v>
      </c>
      <c r="H12377">
        <v>4375</v>
      </c>
      <c r="I12377">
        <v>4265</v>
      </c>
      <c r="J12377">
        <v>4265</v>
      </c>
      <c r="K12377">
        <v>1282</v>
      </c>
      <c r="L12377">
        <v>6</v>
      </c>
      <c r="M12377">
        <v>2777</v>
      </c>
      <c r="N12377">
        <v>244</v>
      </c>
      <c r="O12377">
        <v>66</v>
      </c>
      <c r="P12377">
        <v>0</v>
      </c>
      <c r="Q12377">
        <v>0</v>
      </c>
    </row>
    <row r="12378" spans="1:17" x14ac:dyDescent="0.2">
      <c r="A12378" s="121">
        <v>43312</v>
      </c>
      <c r="B12378" t="s">
        <v>406</v>
      </c>
      <c r="C12378" t="s">
        <v>577</v>
      </c>
      <c r="D12378" t="s">
        <v>580</v>
      </c>
      <c r="E12378" t="s">
        <v>581</v>
      </c>
      <c r="F12378" t="s">
        <v>413</v>
      </c>
      <c r="G12378">
        <v>2298</v>
      </c>
      <c r="H12378">
        <v>2298</v>
      </c>
      <c r="I12378">
        <v>2243</v>
      </c>
      <c r="J12378">
        <v>2243</v>
      </c>
      <c r="K12378">
        <v>374</v>
      </c>
      <c r="L12378">
        <v>2</v>
      </c>
      <c r="M12378">
        <v>1563</v>
      </c>
      <c r="N12378">
        <v>339</v>
      </c>
      <c r="O12378">
        <v>20</v>
      </c>
      <c r="P12378">
        <v>0</v>
      </c>
      <c r="Q12378">
        <v>0</v>
      </c>
    </row>
    <row r="12379" spans="1:17" x14ac:dyDescent="0.2">
      <c r="A12379" s="121">
        <v>43312</v>
      </c>
      <c r="B12379" t="s">
        <v>406</v>
      </c>
      <c r="C12379" t="s">
        <v>577</v>
      </c>
      <c r="D12379" t="s">
        <v>609</v>
      </c>
      <c r="E12379" t="s">
        <v>610</v>
      </c>
      <c r="F12379" t="s">
        <v>410</v>
      </c>
      <c r="G12379">
        <v>44</v>
      </c>
      <c r="H12379">
        <v>44</v>
      </c>
      <c r="I12379">
        <v>44</v>
      </c>
      <c r="J12379">
        <v>44</v>
      </c>
      <c r="K12379">
        <v>0</v>
      </c>
      <c r="L12379">
        <v>0</v>
      </c>
      <c r="M12379">
        <v>38</v>
      </c>
      <c r="N12379">
        <v>5</v>
      </c>
      <c r="O12379">
        <v>1</v>
      </c>
      <c r="P12379">
        <v>0</v>
      </c>
      <c r="Q12379">
        <v>0</v>
      </c>
    </row>
    <row r="12380" spans="1:17" x14ac:dyDescent="0.2">
      <c r="A12380" s="121">
        <v>43312</v>
      </c>
      <c r="B12380" t="s">
        <v>406</v>
      </c>
      <c r="C12380" t="s">
        <v>577</v>
      </c>
      <c r="D12380" t="s">
        <v>584</v>
      </c>
      <c r="E12380" t="s">
        <v>585</v>
      </c>
      <c r="F12380" t="s">
        <v>410</v>
      </c>
      <c r="G12380">
        <v>385</v>
      </c>
      <c r="H12380">
        <v>385</v>
      </c>
      <c r="I12380">
        <v>385</v>
      </c>
      <c r="J12380">
        <v>385</v>
      </c>
      <c r="K12380">
        <v>1</v>
      </c>
      <c r="L12380">
        <v>0</v>
      </c>
      <c r="M12380">
        <v>370</v>
      </c>
      <c r="N12380">
        <v>9</v>
      </c>
      <c r="O12380">
        <v>5</v>
      </c>
      <c r="P12380">
        <v>0</v>
      </c>
      <c r="Q12380">
        <v>0</v>
      </c>
    </row>
    <row r="12381" spans="1:17" x14ac:dyDescent="0.2">
      <c r="A12381" s="121">
        <v>43312</v>
      </c>
      <c r="B12381" t="s">
        <v>406</v>
      </c>
      <c r="C12381" t="s">
        <v>577</v>
      </c>
      <c r="D12381" t="s">
        <v>586</v>
      </c>
      <c r="E12381" t="s">
        <v>587</v>
      </c>
      <c r="F12381" t="s">
        <v>410</v>
      </c>
      <c r="G12381">
        <v>1420</v>
      </c>
      <c r="H12381">
        <v>1420</v>
      </c>
      <c r="I12381">
        <v>1419</v>
      </c>
      <c r="J12381">
        <v>1419</v>
      </c>
      <c r="K12381">
        <v>0</v>
      </c>
      <c r="L12381">
        <v>1</v>
      </c>
      <c r="M12381">
        <v>1295</v>
      </c>
      <c r="N12381">
        <v>117</v>
      </c>
      <c r="O12381">
        <v>7</v>
      </c>
      <c r="P12381">
        <v>0</v>
      </c>
      <c r="Q12381">
        <v>0</v>
      </c>
    </row>
    <row r="12382" spans="1:17" x14ac:dyDescent="0.2">
      <c r="A12382" s="121">
        <v>43312</v>
      </c>
      <c r="B12382" t="s">
        <v>406</v>
      </c>
      <c r="C12382" t="s">
        <v>577</v>
      </c>
      <c r="D12382" t="s">
        <v>588</v>
      </c>
      <c r="E12382" t="s">
        <v>589</v>
      </c>
      <c r="F12382" t="s">
        <v>410</v>
      </c>
      <c r="G12382">
        <v>139</v>
      </c>
      <c r="H12382">
        <v>139</v>
      </c>
      <c r="I12382">
        <v>139</v>
      </c>
      <c r="J12382">
        <v>139</v>
      </c>
      <c r="K12382">
        <v>0</v>
      </c>
      <c r="L12382">
        <v>1</v>
      </c>
      <c r="M12382">
        <v>131</v>
      </c>
      <c r="N12382">
        <v>7</v>
      </c>
      <c r="O12382">
        <v>0</v>
      </c>
      <c r="P12382">
        <v>0</v>
      </c>
      <c r="Q12382">
        <v>0</v>
      </c>
    </row>
    <row r="12383" spans="1:17" x14ac:dyDescent="0.2">
      <c r="A12383" s="121">
        <v>43312</v>
      </c>
      <c r="B12383" t="s">
        <v>406</v>
      </c>
      <c r="C12383" t="s">
        <v>577</v>
      </c>
      <c r="D12383" t="s">
        <v>613</v>
      </c>
      <c r="E12383" t="s">
        <v>614</v>
      </c>
      <c r="F12383" t="s">
        <v>410</v>
      </c>
      <c r="G12383">
        <v>141</v>
      </c>
      <c r="H12383">
        <v>141</v>
      </c>
      <c r="I12383">
        <v>141</v>
      </c>
      <c r="J12383">
        <v>141</v>
      </c>
      <c r="K12383">
        <v>0</v>
      </c>
      <c r="L12383">
        <v>0</v>
      </c>
      <c r="M12383">
        <v>128</v>
      </c>
      <c r="N12383">
        <v>5</v>
      </c>
      <c r="O12383">
        <v>8</v>
      </c>
      <c r="P12383">
        <v>0</v>
      </c>
      <c r="Q12383">
        <v>0</v>
      </c>
    </row>
    <row r="12384" spans="1:17" x14ac:dyDescent="0.2">
      <c r="A12384" s="121">
        <v>43312</v>
      </c>
      <c r="B12384" t="s">
        <v>406</v>
      </c>
      <c r="C12384" t="s">
        <v>577</v>
      </c>
      <c r="D12384" t="s">
        <v>590</v>
      </c>
      <c r="E12384" t="s">
        <v>591</v>
      </c>
      <c r="F12384" t="s">
        <v>410</v>
      </c>
      <c r="G12384">
        <v>650</v>
      </c>
      <c r="H12384">
        <v>650</v>
      </c>
      <c r="I12384">
        <v>650</v>
      </c>
      <c r="J12384">
        <v>650</v>
      </c>
      <c r="K12384">
        <v>0</v>
      </c>
      <c r="L12384">
        <v>0</v>
      </c>
      <c r="M12384">
        <v>611</v>
      </c>
      <c r="N12384">
        <v>38</v>
      </c>
      <c r="O12384">
        <v>1</v>
      </c>
      <c r="P12384">
        <v>0</v>
      </c>
      <c r="Q12384">
        <v>0</v>
      </c>
    </row>
    <row r="12385" spans="1:17" x14ac:dyDescent="0.2">
      <c r="A12385" s="121">
        <v>43312</v>
      </c>
      <c r="B12385" t="s">
        <v>406</v>
      </c>
      <c r="C12385" t="s">
        <v>577</v>
      </c>
      <c r="D12385" t="s">
        <v>607</v>
      </c>
      <c r="E12385" t="s">
        <v>608</v>
      </c>
      <c r="F12385" t="s">
        <v>410</v>
      </c>
      <c r="G12385">
        <v>267</v>
      </c>
      <c r="H12385">
        <v>267</v>
      </c>
      <c r="I12385">
        <v>267</v>
      </c>
      <c r="J12385">
        <v>267</v>
      </c>
      <c r="K12385">
        <v>0</v>
      </c>
      <c r="L12385">
        <v>0</v>
      </c>
      <c r="M12385">
        <v>253</v>
      </c>
      <c r="N12385">
        <v>14</v>
      </c>
      <c r="O12385">
        <v>0</v>
      </c>
      <c r="P12385">
        <v>0</v>
      </c>
      <c r="Q12385">
        <v>0</v>
      </c>
    </row>
    <row r="12386" spans="1:17" x14ac:dyDescent="0.2">
      <c r="A12386" s="121">
        <v>43312</v>
      </c>
      <c r="B12386" t="s">
        <v>406</v>
      </c>
      <c r="C12386" t="s">
        <v>577</v>
      </c>
      <c r="D12386" t="s">
        <v>592</v>
      </c>
      <c r="E12386" t="s">
        <v>593</v>
      </c>
      <c r="F12386" t="s">
        <v>410</v>
      </c>
      <c r="G12386">
        <v>219</v>
      </c>
      <c r="H12386">
        <v>219</v>
      </c>
      <c r="I12386">
        <v>219</v>
      </c>
      <c r="J12386">
        <v>219</v>
      </c>
      <c r="K12386">
        <v>0</v>
      </c>
      <c r="L12386">
        <v>0</v>
      </c>
      <c r="M12386">
        <v>206</v>
      </c>
      <c r="N12386">
        <v>12</v>
      </c>
      <c r="O12386">
        <v>1</v>
      </c>
      <c r="P12386">
        <v>0</v>
      </c>
      <c r="Q12386">
        <v>0</v>
      </c>
    </row>
    <row r="12387" spans="1:17" x14ac:dyDescent="0.2">
      <c r="A12387" s="121">
        <v>43312</v>
      </c>
      <c r="B12387" t="s">
        <v>406</v>
      </c>
      <c r="C12387" t="s">
        <v>594</v>
      </c>
      <c r="D12387" t="s">
        <v>595</v>
      </c>
      <c r="E12387" t="s">
        <v>596</v>
      </c>
      <c r="F12387" t="s">
        <v>410</v>
      </c>
      <c r="G12387">
        <v>85</v>
      </c>
      <c r="I12387">
        <v>85</v>
      </c>
    </row>
    <row r="12388" spans="1:17" x14ac:dyDescent="0.2">
      <c r="A12388" s="121">
        <v>43312</v>
      </c>
      <c r="B12388" t="s">
        <v>406</v>
      </c>
      <c r="C12388" t="s">
        <v>594</v>
      </c>
      <c r="D12388" t="s">
        <v>597</v>
      </c>
      <c r="E12388" t="s">
        <v>598</v>
      </c>
      <c r="F12388" t="s">
        <v>413</v>
      </c>
      <c r="G12388">
        <v>655</v>
      </c>
      <c r="H12388">
        <v>655</v>
      </c>
      <c r="I12388">
        <v>647</v>
      </c>
      <c r="J12388">
        <v>647</v>
      </c>
      <c r="K12388">
        <v>185</v>
      </c>
      <c r="L12388">
        <v>0</v>
      </c>
      <c r="M12388">
        <v>443</v>
      </c>
      <c r="N12388">
        <v>7</v>
      </c>
      <c r="O12388">
        <v>20</v>
      </c>
      <c r="P12388">
        <v>0</v>
      </c>
      <c r="Q12388">
        <v>0</v>
      </c>
    </row>
    <row r="12389" spans="1:17" x14ac:dyDescent="0.2">
      <c r="A12389" s="121">
        <v>43312</v>
      </c>
      <c r="B12389" t="s">
        <v>406</v>
      </c>
      <c r="C12389" t="s">
        <v>594</v>
      </c>
      <c r="D12389" t="s">
        <v>599</v>
      </c>
      <c r="E12389" t="s">
        <v>600</v>
      </c>
      <c r="F12389" t="s">
        <v>410</v>
      </c>
      <c r="G12389">
        <v>205</v>
      </c>
      <c r="H12389">
        <v>205</v>
      </c>
      <c r="I12389">
        <v>204</v>
      </c>
      <c r="J12389">
        <v>204</v>
      </c>
      <c r="K12389">
        <v>15</v>
      </c>
      <c r="L12389">
        <v>0</v>
      </c>
      <c r="M12389">
        <v>187</v>
      </c>
      <c r="N12389">
        <v>2</v>
      </c>
      <c r="O12389">
        <v>1</v>
      </c>
      <c r="P12389">
        <v>0</v>
      </c>
      <c r="Q12389">
        <v>0</v>
      </c>
    </row>
    <row r="12390" spans="1:17" x14ac:dyDescent="0.2">
      <c r="A12390" s="121">
        <v>43343</v>
      </c>
      <c r="B12390" t="s">
        <v>406</v>
      </c>
      <c r="C12390" t="s">
        <v>407</v>
      </c>
      <c r="D12390" t="s">
        <v>408</v>
      </c>
      <c r="E12390" t="s">
        <v>409</v>
      </c>
      <c r="F12390" t="s">
        <v>410</v>
      </c>
      <c r="G12390">
        <v>300</v>
      </c>
      <c r="I12390">
        <v>297</v>
      </c>
    </row>
    <row r="12391" spans="1:17" x14ac:dyDescent="0.2">
      <c r="A12391" s="121">
        <v>43343</v>
      </c>
      <c r="B12391" t="s">
        <v>406</v>
      </c>
      <c r="C12391" t="s">
        <v>407</v>
      </c>
      <c r="D12391" t="s">
        <v>601</v>
      </c>
      <c r="E12391" t="s">
        <v>602</v>
      </c>
      <c r="F12391" t="s">
        <v>410</v>
      </c>
      <c r="G12391">
        <v>84</v>
      </c>
      <c r="I12391">
        <v>81</v>
      </c>
    </row>
    <row r="12392" spans="1:17" x14ac:dyDescent="0.2">
      <c r="A12392" s="121">
        <v>43343</v>
      </c>
      <c r="B12392" t="s">
        <v>406</v>
      </c>
      <c r="C12392" t="s">
        <v>407</v>
      </c>
      <c r="D12392" t="s">
        <v>411</v>
      </c>
      <c r="E12392" t="s">
        <v>412</v>
      </c>
      <c r="F12392" t="s">
        <v>413</v>
      </c>
      <c r="G12392">
        <v>5885</v>
      </c>
      <c r="H12392">
        <v>5885</v>
      </c>
      <c r="I12392">
        <v>5591</v>
      </c>
      <c r="J12392">
        <v>5591</v>
      </c>
      <c r="K12392">
        <v>1919</v>
      </c>
      <c r="L12392">
        <v>3</v>
      </c>
      <c r="M12392">
        <v>3631</v>
      </c>
      <c r="N12392">
        <v>63</v>
      </c>
      <c r="O12392">
        <v>269</v>
      </c>
      <c r="P12392">
        <v>68</v>
      </c>
      <c r="Q12392">
        <v>10</v>
      </c>
    </row>
    <row r="12393" spans="1:17" x14ac:dyDescent="0.2">
      <c r="A12393" s="121">
        <v>43343</v>
      </c>
      <c r="B12393" t="s">
        <v>406</v>
      </c>
      <c r="C12393" t="s">
        <v>407</v>
      </c>
      <c r="D12393" t="s">
        <v>416</v>
      </c>
      <c r="E12393" t="s">
        <v>417</v>
      </c>
      <c r="F12393" t="s">
        <v>413</v>
      </c>
      <c r="G12393">
        <v>3383</v>
      </c>
      <c r="H12393">
        <v>3383</v>
      </c>
      <c r="I12393">
        <v>3151</v>
      </c>
      <c r="J12393">
        <v>3151</v>
      </c>
      <c r="K12393">
        <v>890</v>
      </c>
      <c r="L12393">
        <v>3</v>
      </c>
      <c r="M12393">
        <v>2381</v>
      </c>
      <c r="N12393">
        <v>78</v>
      </c>
      <c r="O12393">
        <v>31</v>
      </c>
      <c r="P12393">
        <v>45</v>
      </c>
      <c r="Q12393">
        <v>6</v>
      </c>
    </row>
    <row r="12394" spans="1:17" x14ac:dyDescent="0.2">
      <c r="A12394" s="121">
        <v>43343</v>
      </c>
      <c r="B12394" t="s">
        <v>406</v>
      </c>
      <c r="C12394" t="s">
        <v>407</v>
      </c>
      <c r="D12394" t="s">
        <v>618</v>
      </c>
      <c r="E12394" t="s">
        <v>619</v>
      </c>
      <c r="F12394" t="s">
        <v>410</v>
      </c>
      <c r="G12394">
        <v>96</v>
      </c>
      <c r="I12394">
        <v>96</v>
      </c>
    </row>
    <row r="12395" spans="1:17" x14ac:dyDescent="0.2">
      <c r="A12395" s="121">
        <v>43343</v>
      </c>
      <c r="B12395" t="s">
        <v>406</v>
      </c>
      <c r="C12395" t="s">
        <v>418</v>
      </c>
      <c r="D12395" t="s">
        <v>419</v>
      </c>
      <c r="E12395" t="s">
        <v>420</v>
      </c>
      <c r="F12395" t="s">
        <v>410</v>
      </c>
      <c r="G12395">
        <v>7</v>
      </c>
      <c r="I12395">
        <v>7</v>
      </c>
    </row>
    <row r="12396" spans="1:17" x14ac:dyDescent="0.2">
      <c r="A12396" s="121">
        <v>43343</v>
      </c>
      <c r="B12396" t="s">
        <v>406</v>
      </c>
      <c r="C12396" t="s">
        <v>418</v>
      </c>
      <c r="D12396" t="s">
        <v>421</v>
      </c>
      <c r="E12396" t="s">
        <v>422</v>
      </c>
      <c r="F12396" t="s">
        <v>410</v>
      </c>
      <c r="G12396">
        <v>101</v>
      </c>
      <c r="I12396">
        <v>101</v>
      </c>
    </row>
    <row r="12397" spans="1:17" x14ac:dyDescent="0.2">
      <c r="A12397" s="121">
        <v>43343</v>
      </c>
      <c r="B12397" t="s">
        <v>406</v>
      </c>
      <c r="C12397" t="s">
        <v>418</v>
      </c>
      <c r="D12397" t="s">
        <v>423</v>
      </c>
      <c r="E12397" t="s">
        <v>424</v>
      </c>
      <c r="F12397" t="s">
        <v>410</v>
      </c>
      <c r="G12397">
        <v>11</v>
      </c>
      <c r="I12397">
        <v>11</v>
      </c>
    </row>
    <row r="12398" spans="1:17" x14ac:dyDescent="0.2">
      <c r="A12398" s="121">
        <v>43343</v>
      </c>
      <c r="B12398" t="s">
        <v>406</v>
      </c>
      <c r="C12398" t="s">
        <v>418</v>
      </c>
      <c r="D12398" t="s">
        <v>425</v>
      </c>
      <c r="E12398" t="s">
        <v>426</v>
      </c>
      <c r="F12398" t="s">
        <v>410</v>
      </c>
      <c r="G12398">
        <v>48</v>
      </c>
      <c r="I12398">
        <v>48</v>
      </c>
    </row>
    <row r="12399" spans="1:17" x14ac:dyDescent="0.2">
      <c r="A12399" s="121">
        <v>43343</v>
      </c>
      <c r="B12399" t="s">
        <v>406</v>
      </c>
      <c r="C12399" t="s">
        <v>418</v>
      </c>
      <c r="D12399" t="s">
        <v>427</v>
      </c>
      <c r="E12399" t="s">
        <v>428</v>
      </c>
      <c r="F12399" t="s">
        <v>413</v>
      </c>
      <c r="G12399">
        <v>2742</v>
      </c>
      <c r="H12399">
        <v>2742</v>
      </c>
      <c r="I12399">
        <v>2580</v>
      </c>
      <c r="J12399">
        <v>2580</v>
      </c>
      <c r="K12399">
        <v>845</v>
      </c>
      <c r="L12399">
        <v>5</v>
      </c>
      <c r="M12399">
        <v>1687</v>
      </c>
      <c r="N12399">
        <v>193</v>
      </c>
      <c r="O12399">
        <v>12</v>
      </c>
      <c r="P12399">
        <v>8</v>
      </c>
      <c r="Q12399">
        <v>1</v>
      </c>
    </row>
    <row r="12400" spans="1:17" x14ac:dyDescent="0.2">
      <c r="A12400" s="121">
        <v>43343</v>
      </c>
      <c r="B12400" t="s">
        <v>406</v>
      </c>
      <c r="C12400" t="s">
        <v>429</v>
      </c>
      <c r="D12400" t="s">
        <v>430</v>
      </c>
      <c r="E12400" t="s">
        <v>431</v>
      </c>
      <c r="F12400" t="s">
        <v>410</v>
      </c>
      <c r="G12400">
        <v>26</v>
      </c>
      <c r="I12400">
        <v>26</v>
      </c>
    </row>
    <row r="12401" spans="1:17" x14ac:dyDescent="0.2">
      <c r="A12401" s="121">
        <v>43343</v>
      </c>
      <c r="B12401" t="s">
        <v>406</v>
      </c>
      <c r="C12401" t="s">
        <v>429</v>
      </c>
      <c r="D12401" t="s">
        <v>432</v>
      </c>
      <c r="E12401" t="s">
        <v>433</v>
      </c>
      <c r="F12401" t="s">
        <v>410</v>
      </c>
      <c r="G12401">
        <v>48</v>
      </c>
      <c r="I12401">
        <v>48</v>
      </c>
    </row>
    <row r="12402" spans="1:17" x14ac:dyDescent="0.2">
      <c r="A12402" s="121">
        <v>43343</v>
      </c>
      <c r="B12402" t="s">
        <v>406</v>
      </c>
      <c r="C12402" t="s">
        <v>429</v>
      </c>
      <c r="D12402" t="s">
        <v>434</v>
      </c>
      <c r="E12402" t="s">
        <v>435</v>
      </c>
      <c r="F12402" t="s">
        <v>410</v>
      </c>
      <c r="G12402">
        <v>4</v>
      </c>
      <c r="I12402">
        <v>4</v>
      </c>
    </row>
    <row r="12403" spans="1:17" x14ac:dyDescent="0.2">
      <c r="A12403" s="121">
        <v>43343</v>
      </c>
      <c r="B12403" t="s">
        <v>406</v>
      </c>
      <c r="C12403" t="s">
        <v>429</v>
      </c>
      <c r="D12403" t="s">
        <v>436</v>
      </c>
      <c r="E12403" t="s">
        <v>437</v>
      </c>
      <c r="F12403" t="s">
        <v>410</v>
      </c>
      <c r="G12403">
        <v>25</v>
      </c>
      <c r="H12403">
        <v>25</v>
      </c>
      <c r="I12403">
        <v>25</v>
      </c>
      <c r="J12403">
        <v>25</v>
      </c>
      <c r="K12403">
        <v>0</v>
      </c>
      <c r="L12403">
        <v>0</v>
      </c>
      <c r="M12403">
        <v>21</v>
      </c>
      <c r="N12403">
        <v>4</v>
      </c>
      <c r="O12403">
        <v>0</v>
      </c>
      <c r="P12403">
        <v>0</v>
      </c>
      <c r="Q12403">
        <v>0</v>
      </c>
    </row>
    <row r="12404" spans="1:17" x14ac:dyDescent="0.2">
      <c r="A12404" s="121">
        <v>43343</v>
      </c>
      <c r="B12404" t="s">
        <v>406</v>
      </c>
      <c r="C12404" t="s">
        <v>429</v>
      </c>
      <c r="D12404" t="s">
        <v>438</v>
      </c>
      <c r="E12404" t="s">
        <v>439</v>
      </c>
      <c r="F12404" t="s">
        <v>413</v>
      </c>
      <c r="G12404">
        <v>1205</v>
      </c>
      <c r="H12404">
        <v>1205</v>
      </c>
      <c r="I12404">
        <v>1129</v>
      </c>
      <c r="J12404">
        <v>1129</v>
      </c>
      <c r="K12404">
        <v>77</v>
      </c>
      <c r="L12404">
        <v>1</v>
      </c>
      <c r="M12404">
        <v>1006</v>
      </c>
      <c r="N12404">
        <v>79</v>
      </c>
      <c r="O12404">
        <v>42</v>
      </c>
      <c r="P12404">
        <v>8</v>
      </c>
      <c r="Q12404">
        <v>0</v>
      </c>
    </row>
    <row r="12405" spans="1:17" x14ac:dyDescent="0.2">
      <c r="A12405" s="121">
        <v>43343</v>
      </c>
      <c r="B12405" t="s">
        <v>406</v>
      </c>
      <c r="C12405" t="s">
        <v>429</v>
      </c>
      <c r="D12405" t="s">
        <v>440</v>
      </c>
      <c r="E12405" t="s">
        <v>441</v>
      </c>
      <c r="F12405" t="s">
        <v>413</v>
      </c>
      <c r="G12405">
        <v>2973</v>
      </c>
      <c r="H12405">
        <v>2973</v>
      </c>
      <c r="I12405">
        <v>2776</v>
      </c>
      <c r="J12405">
        <v>2776</v>
      </c>
      <c r="K12405">
        <v>813</v>
      </c>
      <c r="L12405">
        <v>4</v>
      </c>
      <c r="M12405">
        <v>2034</v>
      </c>
      <c r="N12405">
        <v>86</v>
      </c>
      <c r="O12405">
        <v>36</v>
      </c>
      <c r="P12405">
        <v>9</v>
      </c>
      <c r="Q12405">
        <v>1</v>
      </c>
    </row>
    <row r="12406" spans="1:17" x14ac:dyDescent="0.2">
      <c r="A12406" s="121">
        <v>43343</v>
      </c>
      <c r="B12406" t="s">
        <v>406</v>
      </c>
      <c r="C12406" t="s">
        <v>442</v>
      </c>
      <c r="D12406" t="s">
        <v>443</v>
      </c>
      <c r="E12406" t="s">
        <v>444</v>
      </c>
      <c r="F12406" t="s">
        <v>413</v>
      </c>
      <c r="G12406">
        <v>5607</v>
      </c>
      <c r="H12406">
        <v>5607</v>
      </c>
      <c r="I12406">
        <v>5390</v>
      </c>
      <c r="J12406">
        <v>5390</v>
      </c>
      <c r="K12406">
        <v>1626</v>
      </c>
      <c r="L12406">
        <v>4</v>
      </c>
      <c r="M12406">
        <v>3817</v>
      </c>
      <c r="N12406">
        <v>108</v>
      </c>
      <c r="O12406">
        <v>52</v>
      </c>
      <c r="P12406">
        <v>13</v>
      </c>
      <c r="Q12406">
        <v>0</v>
      </c>
    </row>
    <row r="12407" spans="1:17" x14ac:dyDescent="0.2">
      <c r="A12407" s="121">
        <v>43343</v>
      </c>
      <c r="B12407" t="s">
        <v>406</v>
      </c>
      <c r="C12407" t="s">
        <v>442</v>
      </c>
      <c r="D12407" t="s">
        <v>445</v>
      </c>
      <c r="E12407" t="s">
        <v>446</v>
      </c>
      <c r="F12407" t="s">
        <v>410</v>
      </c>
      <c r="G12407">
        <v>193</v>
      </c>
      <c r="H12407">
        <v>193</v>
      </c>
      <c r="I12407">
        <v>193</v>
      </c>
      <c r="J12407">
        <v>193</v>
      </c>
      <c r="K12407">
        <v>0</v>
      </c>
      <c r="L12407">
        <v>0</v>
      </c>
      <c r="M12407">
        <v>186</v>
      </c>
      <c r="N12407">
        <v>6</v>
      </c>
      <c r="O12407">
        <v>1</v>
      </c>
      <c r="P12407">
        <v>0</v>
      </c>
      <c r="Q12407">
        <v>0</v>
      </c>
    </row>
    <row r="12408" spans="1:17" x14ac:dyDescent="0.2">
      <c r="A12408" s="121">
        <v>43343</v>
      </c>
      <c r="B12408" t="s">
        <v>406</v>
      </c>
      <c r="C12408" t="s">
        <v>442</v>
      </c>
      <c r="D12408" t="s">
        <v>447</v>
      </c>
      <c r="E12408" t="s">
        <v>448</v>
      </c>
      <c r="F12408" t="s">
        <v>410</v>
      </c>
      <c r="G12408">
        <v>321</v>
      </c>
      <c r="H12408">
        <v>321</v>
      </c>
      <c r="I12408">
        <v>321</v>
      </c>
      <c r="J12408">
        <v>321</v>
      </c>
      <c r="K12408">
        <v>0</v>
      </c>
      <c r="L12408">
        <v>0</v>
      </c>
      <c r="M12408">
        <v>314</v>
      </c>
      <c r="N12408">
        <v>7</v>
      </c>
      <c r="O12408">
        <v>0</v>
      </c>
      <c r="P12408">
        <v>0</v>
      </c>
      <c r="Q12408">
        <v>0</v>
      </c>
    </row>
    <row r="12409" spans="1:17" x14ac:dyDescent="0.2">
      <c r="A12409" s="121">
        <v>43343</v>
      </c>
      <c r="B12409" t="s">
        <v>406</v>
      </c>
      <c r="C12409" t="s">
        <v>442</v>
      </c>
      <c r="D12409" t="s">
        <v>449</v>
      </c>
      <c r="E12409" t="s">
        <v>624</v>
      </c>
      <c r="F12409" t="s">
        <v>410</v>
      </c>
      <c r="G12409">
        <v>1835</v>
      </c>
      <c r="H12409">
        <v>1835</v>
      </c>
      <c r="I12409">
        <v>1834</v>
      </c>
      <c r="J12409">
        <v>1834</v>
      </c>
      <c r="K12409">
        <v>14</v>
      </c>
      <c r="L12409">
        <v>0</v>
      </c>
      <c r="M12409">
        <v>1645</v>
      </c>
      <c r="N12409">
        <v>155</v>
      </c>
      <c r="O12409">
        <v>21</v>
      </c>
      <c r="P12409">
        <v>0</v>
      </c>
      <c r="Q12409">
        <v>0</v>
      </c>
    </row>
    <row r="12410" spans="1:17" x14ac:dyDescent="0.2">
      <c r="A12410" s="121">
        <v>43343</v>
      </c>
      <c r="B12410" t="s">
        <v>406</v>
      </c>
      <c r="C12410" t="s">
        <v>451</v>
      </c>
      <c r="D12410" t="s">
        <v>454</v>
      </c>
      <c r="E12410" t="s">
        <v>621</v>
      </c>
      <c r="F12410" t="s">
        <v>410</v>
      </c>
      <c r="G12410">
        <v>1749</v>
      </c>
      <c r="H12410">
        <v>1749</v>
      </c>
      <c r="I12410">
        <v>1748</v>
      </c>
      <c r="J12410">
        <v>1748</v>
      </c>
      <c r="K12410">
        <v>3</v>
      </c>
      <c r="L12410">
        <v>0</v>
      </c>
      <c r="M12410">
        <v>1335</v>
      </c>
      <c r="N12410">
        <v>114</v>
      </c>
      <c r="O12410">
        <v>297</v>
      </c>
      <c r="P12410">
        <v>0</v>
      </c>
      <c r="Q12410">
        <v>0</v>
      </c>
    </row>
    <row r="12411" spans="1:17" x14ac:dyDescent="0.2">
      <c r="A12411" s="121">
        <v>43343</v>
      </c>
      <c r="B12411" t="s">
        <v>406</v>
      </c>
      <c r="C12411" t="s">
        <v>451</v>
      </c>
      <c r="D12411" t="s">
        <v>622</v>
      </c>
      <c r="E12411" t="s">
        <v>623</v>
      </c>
      <c r="F12411" t="s">
        <v>413</v>
      </c>
      <c r="G12411">
        <v>5489</v>
      </c>
      <c r="H12411">
        <v>5489</v>
      </c>
      <c r="I12411">
        <v>4369</v>
      </c>
      <c r="J12411">
        <v>4369</v>
      </c>
      <c r="K12411">
        <v>1477</v>
      </c>
      <c r="L12411">
        <v>11</v>
      </c>
      <c r="M12411">
        <v>3073</v>
      </c>
      <c r="N12411">
        <v>79</v>
      </c>
      <c r="O12411">
        <v>849</v>
      </c>
      <c r="P12411">
        <v>44</v>
      </c>
      <c r="Q12411">
        <v>9</v>
      </c>
    </row>
    <row r="12412" spans="1:17" x14ac:dyDescent="0.2">
      <c r="A12412" s="121">
        <v>43343</v>
      </c>
      <c r="B12412" t="s">
        <v>406</v>
      </c>
      <c r="C12412" t="s">
        <v>456</v>
      </c>
      <c r="D12412" t="s">
        <v>457</v>
      </c>
      <c r="E12412" t="s">
        <v>458</v>
      </c>
      <c r="F12412" t="s">
        <v>413</v>
      </c>
      <c r="G12412">
        <v>5247</v>
      </c>
      <c r="H12412">
        <v>5247</v>
      </c>
      <c r="I12412">
        <v>4781</v>
      </c>
      <c r="J12412">
        <v>4781</v>
      </c>
      <c r="K12412">
        <v>1392</v>
      </c>
      <c r="L12412">
        <v>11</v>
      </c>
      <c r="M12412">
        <v>3396</v>
      </c>
      <c r="N12412">
        <v>31</v>
      </c>
      <c r="O12412">
        <v>417</v>
      </c>
      <c r="P12412">
        <v>13</v>
      </c>
      <c r="Q12412">
        <v>0</v>
      </c>
    </row>
    <row r="12413" spans="1:17" x14ac:dyDescent="0.2">
      <c r="A12413" s="121">
        <v>43343</v>
      </c>
      <c r="B12413" t="s">
        <v>406</v>
      </c>
      <c r="C12413" t="s">
        <v>456</v>
      </c>
      <c r="D12413" t="s">
        <v>459</v>
      </c>
      <c r="E12413" t="s">
        <v>460</v>
      </c>
      <c r="F12413" t="s">
        <v>413</v>
      </c>
      <c r="G12413">
        <v>1323</v>
      </c>
      <c r="H12413">
        <v>1323</v>
      </c>
      <c r="I12413">
        <v>1314</v>
      </c>
      <c r="J12413">
        <v>1314</v>
      </c>
      <c r="K12413">
        <v>130</v>
      </c>
      <c r="L12413">
        <v>1</v>
      </c>
      <c r="M12413">
        <v>1151</v>
      </c>
      <c r="N12413">
        <v>0</v>
      </c>
      <c r="O12413">
        <v>41</v>
      </c>
      <c r="P12413">
        <v>0</v>
      </c>
      <c r="Q12413">
        <v>0</v>
      </c>
    </row>
    <row r="12414" spans="1:17" x14ac:dyDescent="0.2">
      <c r="A12414" s="121">
        <v>43343</v>
      </c>
      <c r="B12414" t="s">
        <v>406</v>
      </c>
      <c r="C12414" t="s">
        <v>456</v>
      </c>
      <c r="D12414" t="s">
        <v>461</v>
      </c>
      <c r="E12414" t="s">
        <v>462</v>
      </c>
      <c r="F12414" t="s">
        <v>410</v>
      </c>
      <c r="G12414">
        <v>135</v>
      </c>
      <c r="I12414">
        <v>135</v>
      </c>
    </row>
    <row r="12415" spans="1:17" x14ac:dyDescent="0.2">
      <c r="A12415" s="121">
        <v>43343</v>
      </c>
      <c r="B12415" t="s">
        <v>406</v>
      </c>
      <c r="C12415" t="s">
        <v>456</v>
      </c>
      <c r="D12415" t="s">
        <v>463</v>
      </c>
      <c r="E12415" t="s">
        <v>464</v>
      </c>
      <c r="F12415" t="s">
        <v>410</v>
      </c>
      <c r="G12415">
        <v>12</v>
      </c>
      <c r="I12415">
        <v>12</v>
      </c>
    </row>
    <row r="12416" spans="1:17" x14ac:dyDescent="0.2">
      <c r="A12416" s="121">
        <v>43343</v>
      </c>
      <c r="B12416" t="s">
        <v>406</v>
      </c>
      <c r="C12416" t="s">
        <v>456</v>
      </c>
      <c r="D12416" t="s">
        <v>465</v>
      </c>
      <c r="E12416" t="s">
        <v>466</v>
      </c>
      <c r="F12416" t="s">
        <v>410</v>
      </c>
      <c r="G12416">
        <v>33</v>
      </c>
      <c r="I12416">
        <v>33</v>
      </c>
    </row>
    <row r="12417" spans="1:17" x14ac:dyDescent="0.2">
      <c r="A12417" s="121">
        <v>43343</v>
      </c>
      <c r="B12417" t="s">
        <v>406</v>
      </c>
      <c r="C12417" t="s">
        <v>456</v>
      </c>
      <c r="D12417" t="s">
        <v>467</v>
      </c>
      <c r="E12417" t="s">
        <v>468</v>
      </c>
      <c r="F12417" t="s">
        <v>410</v>
      </c>
      <c r="G12417">
        <v>1291</v>
      </c>
      <c r="I12417">
        <v>1289</v>
      </c>
    </row>
    <row r="12418" spans="1:17" x14ac:dyDescent="0.2">
      <c r="A12418" s="121">
        <v>43343</v>
      </c>
      <c r="B12418" t="s">
        <v>406</v>
      </c>
      <c r="C12418" t="s">
        <v>456</v>
      </c>
      <c r="D12418" t="s">
        <v>469</v>
      </c>
      <c r="E12418" t="s">
        <v>470</v>
      </c>
      <c r="F12418" t="s">
        <v>410</v>
      </c>
      <c r="G12418">
        <v>700</v>
      </c>
      <c r="I12418">
        <v>698</v>
      </c>
    </row>
    <row r="12419" spans="1:17" x14ac:dyDescent="0.2">
      <c r="A12419" s="121">
        <v>43343</v>
      </c>
      <c r="B12419" t="s">
        <v>406</v>
      </c>
      <c r="C12419" t="s">
        <v>456</v>
      </c>
      <c r="D12419" t="s">
        <v>471</v>
      </c>
      <c r="E12419" t="s">
        <v>472</v>
      </c>
      <c r="F12419" t="s">
        <v>410</v>
      </c>
      <c r="G12419">
        <v>251</v>
      </c>
      <c r="I12419">
        <v>250</v>
      </c>
    </row>
    <row r="12420" spans="1:17" x14ac:dyDescent="0.2">
      <c r="A12420" s="121">
        <v>43343</v>
      </c>
      <c r="B12420" t="s">
        <v>406</v>
      </c>
      <c r="C12420" t="s">
        <v>456</v>
      </c>
      <c r="D12420" t="s">
        <v>473</v>
      </c>
      <c r="E12420" t="s">
        <v>474</v>
      </c>
      <c r="F12420" t="s">
        <v>410</v>
      </c>
      <c r="G12420">
        <v>169</v>
      </c>
      <c r="I12420">
        <v>169</v>
      </c>
    </row>
    <row r="12421" spans="1:17" x14ac:dyDescent="0.2">
      <c r="A12421" s="121">
        <v>43343</v>
      </c>
      <c r="B12421" t="s">
        <v>406</v>
      </c>
      <c r="C12421" t="s">
        <v>456</v>
      </c>
      <c r="D12421" t="s">
        <v>475</v>
      </c>
      <c r="E12421" t="s">
        <v>476</v>
      </c>
      <c r="F12421" t="s">
        <v>410</v>
      </c>
      <c r="G12421">
        <v>349</v>
      </c>
      <c r="I12421">
        <v>343</v>
      </c>
    </row>
    <row r="12422" spans="1:17" x14ac:dyDescent="0.2">
      <c r="A12422" s="121">
        <v>43343</v>
      </c>
      <c r="B12422" t="s">
        <v>406</v>
      </c>
      <c r="C12422" t="s">
        <v>456</v>
      </c>
      <c r="D12422" t="s">
        <v>477</v>
      </c>
      <c r="E12422" t="s">
        <v>478</v>
      </c>
      <c r="F12422" t="s">
        <v>413</v>
      </c>
      <c r="G12422">
        <v>2183</v>
      </c>
      <c r="H12422">
        <v>2183</v>
      </c>
      <c r="I12422">
        <v>2083</v>
      </c>
      <c r="J12422">
        <v>2083</v>
      </c>
      <c r="K12422">
        <v>392</v>
      </c>
      <c r="L12422">
        <v>3</v>
      </c>
      <c r="M12422">
        <v>1755</v>
      </c>
      <c r="N12422">
        <v>21</v>
      </c>
      <c r="O12422">
        <v>12</v>
      </c>
      <c r="P12422">
        <v>3</v>
      </c>
      <c r="Q12422">
        <v>0</v>
      </c>
    </row>
    <row r="12423" spans="1:17" x14ac:dyDescent="0.2">
      <c r="A12423" s="121">
        <v>43343</v>
      </c>
      <c r="B12423" t="s">
        <v>406</v>
      </c>
      <c r="C12423" t="s">
        <v>456</v>
      </c>
      <c r="D12423" t="s">
        <v>479</v>
      </c>
      <c r="E12423" t="s">
        <v>480</v>
      </c>
      <c r="F12423" t="s">
        <v>410</v>
      </c>
      <c r="G12423">
        <v>59</v>
      </c>
      <c r="I12423">
        <v>59</v>
      </c>
    </row>
    <row r="12424" spans="1:17" x14ac:dyDescent="0.2">
      <c r="A12424" s="121">
        <v>43343</v>
      </c>
      <c r="B12424" t="s">
        <v>406</v>
      </c>
      <c r="C12424" t="s">
        <v>456</v>
      </c>
      <c r="D12424" t="s">
        <v>481</v>
      </c>
      <c r="E12424" t="s">
        <v>482</v>
      </c>
      <c r="F12424" t="s">
        <v>410</v>
      </c>
      <c r="G12424">
        <v>22</v>
      </c>
      <c r="I12424">
        <v>22</v>
      </c>
    </row>
    <row r="12425" spans="1:17" x14ac:dyDescent="0.2">
      <c r="A12425" s="121">
        <v>43343</v>
      </c>
      <c r="B12425" t="s">
        <v>406</v>
      </c>
      <c r="C12425" t="s">
        <v>456</v>
      </c>
      <c r="D12425" t="s">
        <v>483</v>
      </c>
      <c r="E12425" t="s">
        <v>484</v>
      </c>
      <c r="F12425" t="s">
        <v>410</v>
      </c>
      <c r="G12425">
        <v>110</v>
      </c>
      <c r="I12425">
        <v>110</v>
      </c>
    </row>
    <row r="12426" spans="1:17" x14ac:dyDescent="0.2">
      <c r="A12426" s="121">
        <v>43343</v>
      </c>
      <c r="B12426" t="s">
        <v>406</v>
      </c>
      <c r="C12426" t="s">
        <v>456</v>
      </c>
      <c r="D12426" t="s">
        <v>487</v>
      </c>
      <c r="E12426" t="s">
        <v>488</v>
      </c>
      <c r="F12426" t="s">
        <v>410</v>
      </c>
      <c r="G12426">
        <v>13</v>
      </c>
      <c r="I12426">
        <v>13</v>
      </c>
    </row>
    <row r="12427" spans="1:17" x14ac:dyDescent="0.2">
      <c r="A12427" s="121">
        <v>43343</v>
      </c>
      <c r="B12427" t="s">
        <v>406</v>
      </c>
      <c r="C12427" t="s">
        <v>456</v>
      </c>
      <c r="D12427" t="s">
        <v>489</v>
      </c>
      <c r="E12427" t="s">
        <v>490</v>
      </c>
      <c r="F12427" t="s">
        <v>410</v>
      </c>
      <c r="G12427">
        <v>115</v>
      </c>
      <c r="I12427">
        <v>115</v>
      </c>
    </row>
    <row r="12428" spans="1:17" x14ac:dyDescent="0.2">
      <c r="A12428" s="121">
        <v>43343</v>
      </c>
      <c r="B12428" t="s">
        <v>406</v>
      </c>
      <c r="C12428" t="s">
        <v>456</v>
      </c>
      <c r="D12428" t="s">
        <v>628</v>
      </c>
      <c r="E12428" t="s">
        <v>629</v>
      </c>
      <c r="F12428" t="s">
        <v>410</v>
      </c>
      <c r="G12428">
        <v>31</v>
      </c>
      <c r="I12428">
        <v>31</v>
      </c>
    </row>
    <row r="12429" spans="1:17" x14ac:dyDescent="0.2">
      <c r="A12429" s="121">
        <v>43343</v>
      </c>
      <c r="B12429" t="s">
        <v>406</v>
      </c>
      <c r="C12429" t="s">
        <v>491</v>
      </c>
      <c r="D12429" t="s">
        <v>492</v>
      </c>
      <c r="E12429" t="s">
        <v>493</v>
      </c>
      <c r="F12429" t="s">
        <v>410</v>
      </c>
      <c r="G12429">
        <v>1629</v>
      </c>
      <c r="H12429">
        <v>1629</v>
      </c>
      <c r="I12429">
        <v>1590</v>
      </c>
      <c r="J12429">
        <v>1590</v>
      </c>
      <c r="K12429">
        <v>225</v>
      </c>
      <c r="L12429">
        <v>1</v>
      </c>
      <c r="M12429">
        <v>1299</v>
      </c>
      <c r="N12429">
        <v>89</v>
      </c>
      <c r="O12429">
        <v>15</v>
      </c>
      <c r="P12429">
        <v>2</v>
      </c>
      <c r="Q12429">
        <v>0</v>
      </c>
    </row>
    <row r="12430" spans="1:17" x14ac:dyDescent="0.2">
      <c r="A12430" s="121">
        <v>43343</v>
      </c>
      <c r="B12430" t="s">
        <v>406</v>
      </c>
      <c r="C12430" t="s">
        <v>491</v>
      </c>
      <c r="D12430" t="s">
        <v>494</v>
      </c>
      <c r="E12430" t="s">
        <v>495</v>
      </c>
      <c r="F12430" t="s">
        <v>413</v>
      </c>
      <c r="G12430">
        <v>2716</v>
      </c>
      <c r="H12430">
        <v>2716</v>
      </c>
      <c r="I12430">
        <v>2562</v>
      </c>
      <c r="J12430">
        <v>2562</v>
      </c>
      <c r="K12430">
        <v>631</v>
      </c>
      <c r="L12430">
        <v>3</v>
      </c>
      <c r="M12430">
        <v>1902</v>
      </c>
      <c r="N12430">
        <v>44</v>
      </c>
      <c r="O12430">
        <v>136</v>
      </c>
      <c r="P12430">
        <v>2</v>
      </c>
      <c r="Q12430">
        <v>0</v>
      </c>
    </row>
    <row r="12431" spans="1:17" x14ac:dyDescent="0.2">
      <c r="A12431" s="121">
        <v>43343</v>
      </c>
      <c r="B12431" t="s">
        <v>406</v>
      </c>
      <c r="C12431" t="s">
        <v>491</v>
      </c>
      <c r="D12431" t="s">
        <v>496</v>
      </c>
      <c r="E12431" t="s">
        <v>497</v>
      </c>
      <c r="F12431" t="s">
        <v>413</v>
      </c>
      <c r="G12431">
        <v>5656</v>
      </c>
      <c r="H12431">
        <v>5656</v>
      </c>
      <c r="I12431">
        <v>5037</v>
      </c>
      <c r="J12431">
        <v>5037</v>
      </c>
      <c r="K12431">
        <v>1786</v>
      </c>
      <c r="L12431">
        <v>5</v>
      </c>
      <c r="M12431">
        <v>3639</v>
      </c>
      <c r="N12431">
        <v>94</v>
      </c>
      <c r="O12431">
        <v>132</v>
      </c>
      <c r="P12431">
        <v>84</v>
      </c>
      <c r="Q12431">
        <v>4</v>
      </c>
    </row>
    <row r="12432" spans="1:17" x14ac:dyDescent="0.2">
      <c r="A12432" s="121">
        <v>43343</v>
      </c>
      <c r="B12432" t="s">
        <v>406</v>
      </c>
      <c r="C12432" t="s">
        <v>491</v>
      </c>
      <c r="D12432" t="s">
        <v>498</v>
      </c>
      <c r="E12432" t="s">
        <v>499</v>
      </c>
      <c r="F12432" t="s">
        <v>413</v>
      </c>
      <c r="G12432">
        <v>8201</v>
      </c>
      <c r="H12432">
        <v>8201</v>
      </c>
      <c r="I12432">
        <v>7245</v>
      </c>
      <c r="J12432">
        <v>7245</v>
      </c>
      <c r="K12432">
        <v>2466</v>
      </c>
      <c r="L12432">
        <v>20</v>
      </c>
      <c r="M12432">
        <v>5190</v>
      </c>
      <c r="N12432">
        <v>93</v>
      </c>
      <c r="O12432">
        <v>432</v>
      </c>
      <c r="P12432">
        <v>13</v>
      </c>
      <c r="Q12432">
        <v>0</v>
      </c>
    </row>
    <row r="12433" spans="1:17" x14ac:dyDescent="0.2">
      <c r="A12433" s="121">
        <v>43343</v>
      </c>
      <c r="B12433" t="s">
        <v>406</v>
      </c>
      <c r="C12433" t="s">
        <v>491</v>
      </c>
      <c r="D12433" t="s">
        <v>500</v>
      </c>
      <c r="E12433" t="s">
        <v>620</v>
      </c>
      <c r="F12433" t="s">
        <v>410</v>
      </c>
      <c r="G12433">
        <v>1882</v>
      </c>
      <c r="H12433">
        <v>1882</v>
      </c>
      <c r="I12433">
        <v>1880</v>
      </c>
      <c r="J12433">
        <v>1880</v>
      </c>
      <c r="K12433">
        <v>1</v>
      </c>
      <c r="L12433">
        <v>0</v>
      </c>
      <c r="M12433">
        <v>1706</v>
      </c>
      <c r="N12433">
        <v>136</v>
      </c>
      <c r="O12433">
        <v>39</v>
      </c>
      <c r="P12433">
        <v>0</v>
      </c>
      <c r="Q12433">
        <v>0</v>
      </c>
    </row>
    <row r="12434" spans="1:17" x14ac:dyDescent="0.2">
      <c r="A12434" s="121">
        <v>43343</v>
      </c>
      <c r="B12434" t="s">
        <v>406</v>
      </c>
      <c r="C12434" t="s">
        <v>491</v>
      </c>
      <c r="D12434" t="s">
        <v>502</v>
      </c>
      <c r="E12434" t="s">
        <v>615</v>
      </c>
      <c r="F12434" t="s">
        <v>410</v>
      </c>
      <c r="G12434">
        <v>3121</v>
      </c>
      <c r="H12434">
        <v>3121</v>
      </c>
      <c r="I12434">
        <v>3121</v>
      </c>
      <c r="J12434">
        <v>3121</v>
      </c>
      <c r="K12434">
        <v>0</v>
      </c>
      <c r="L12434">
        <v>0</v>
      </c>
      <c r="M12434">
        <v>2745</v>
      </c>
      <c r="N12434">
        <v>324</v>
      </c>
      <c r="O12434">
        <v>52</v>
      </c>
      <c r="P12434">
        <v>0</v>
      </c>
      <c r="Q12434">
        <v>0</v>
      </c>
    </row>
    <row r="12435" spans="1:17" x14ac:dyDescent="0.2">
      <c r="A12435" s="121">
        <v>43343</v>
      </c>
      <c r="B12435" t="s">
        <v>406</v>
      </c>
      <c r="C12435" t="s">
        <v>491</v>
      </c>
      <c r="D12435" t="s">
        <v>504</v>
      </c>
      <c r="E12435" t="s">
        <v>630</v>
      </c>
      <c r="F12435" t="s">
        <v>413</v>
      </c>
      <c r="G12435">
        <v>8856</v>
      </c>
      <c r="H12435">
        <v>8856</v>
      </c>
      <c r="I12435">
        <v>7572</v>
      </c>
      <c r="J12435">
        <v>7572</v>
      </c>
      <c r="K12435">
        <v>2788</v>
      </c>
      <c r="L12435">
        <v>21</v>
      </c>
      <c r="M12435">
        <v>5684</v>
      </c>
      <c r="N12435">
        <v>70</v>
      </c>
      <c r="O12435">
        <v>293</v>
      </c>
      <c r="P12435">
        <v>46</v>
      </c>
      <c r="Q12435">
        <v>0</v>
      </c>
    </row>
    <row r="12436" spans="1:17" x14ac:dyDescent="0.2">
      <c r="A12436" s="121">
        <v>43343</v>
      </c>
      <c r="B12436" t="s">
        <v>406</v>
      </c>
      <c r="C12436" t="s">
        <v>491</v>
      </c>
      <c r="D12436" t="s">
        <v>506</v>
      </c>
      <c r="E12436" t="s">
        <v>507</v>
      </c>
      <c r="F12436" t="s">
        <v>413</v>
      </c>
      <c r="G12436">
        <v>4924</v>
      </c>
      <c r="H12436">
        <v>4924</v>
      </c>
      <c r="I12436">
        <v>4858</v>
      </c>
      <c r="J12436">
        <v>4858</v>
      </c>
      <c r="K12436">
        <v>1053</v>
      </c>
      <c r="L12436">
        <v>1</v>
      </c>
      <c r="M12436">
        <v>3852</v>
      </c>
      <c r="N12436">
        <v>2</v>
      </c>
      <c r="O12436">
        <v>16</v>
      </c>
      <c r="P12436">
        <v>4</v>
      </c>
      <c r="Q12436">
        <v>0</v>
      </c>
    </row>
    <row r="12437" spans="1:17" x14ac:dyDescent="0.2">
      <c r="A12437" s="121">
        <v>43343</v>
      </c>
      <c r="B12437" t="s">
        <v>406</v>
      </c>
      <c r="C12437" t="s">
        <v>510</v>
      </c>
      <c r="D12437" t="s">
        <v>513</v>
      </c>
      <c r="E12437" t="s">
        <v>514</v>
      </c>
      <c r="F12437" t="s">
        <v>410</v>
      </c>
      <c r="G12437">
        <v>814</v>
      </c>
      <c r="I12437">
        <v>814</v>
      </c>
    </row>
    <row r="12438" spans="1:17" x14ac:dyDescent="0.2">
      <c r="A12438" s="121">
        <v>43343</v>
      </c>
      <c r="B12438" t="s">
        <v>406</v>
      </c>
      <c r="C12438" t="s">
        <v>510</v>
      </c>
      <c r="D12438" t="s">
        <v>515</v>
      </c>
      <c r="E12438" t="s">
        <v>516</v>
      </c>
      <c r="F12438" t="s">
        <v>410</v>
      </c>
      <c r="G12438">
        <v>138</v>
      </c>
      <c r="I12438">
        <v>136</v>
      </c>
    </row>
    <row r="12439" spans="1:17" x14ac:dyDescent="0.2">
      <c r="A12439" s="121">
        <v>43343</v>
      </c>
      <c r="B12439" t="s">
        <v>406</v>
      </c>
      <c r="C12439" t="s">
        <v>510</v>
      </c>
      <c r="D12439" t="s">
        <v>519</v>
      </c>
      <c r="E12439" t="s">
        <v>520</v>
      </c>
      <c r="F12439" t="s">
        <v>410</v>
      </c>
      <c r="G12439">
        <v>367</v>
      </c>
      <c r="I12439">
        <v>360</v>
      </c>
    </row>
    <row r="12440" spans="1:17" x14ac:dyDescent="0.2">
      <c r="A12440" s="121">
        <v>43343</v>
      </c>
      <c r="B12440" t="s">
        <v>406</v>
      </c>
      <c r="C12440" t="s">
        <v>510</v>
      </c>
      <c r="D12440" t="s">
        <v>523</v>
      </c>
      <c r="E12440" t="s">
        <v>524</v>
      </c>
      <c r="F12440" t="s">
        <v>413</v>
      </c>
      <c r="G12440">
        <v>769</v>
      </c>
      <c r="H12440">
        <v>769</v>
      </c>
      <c r="I12440">
        <v>748</v>
      </c>
      <c r="J12440">
        <v>748</v>
      </c>
      <c r="K12440">
        <v>193</v>
      </c>
      <c r="L12440">
        <v>2</v>
      </c>
      <c r="M12440">
        <v>557</v>
      </c>
      <c r="N12440">
        <v>17</v>
      </c>
      <c r="O12440">
        <v>0</v>
      </c>
      <c r="P12440">
        <v>0</v>
      </c>
      <c r="Q12440">
        <v>0</v>
      </c>
    </row>
    <row r="12441" spans="1:17" x14ac:dyDescent="0.2">
      <c r="A12441" s="121">
        <v>43343</v>
      </c>
      <c r="B12441" t="s">
        <v>406</v>
      </c>
      <c r="C12441" t="s">
        <v>510</v>
      </c>
      <c r="D12441" t="s">
        <v>525</v>
      </c>
      <c r="E12441" t="s">
        <v>526</v>
      </c>
      <c r="F12441" t="s">
        <v>410</v>
      </c>
      <c r="G12441">
        <v>513</v>
      </c>
      <c r="I12441">
        <v>512</v>
      </c>
    </row>
    <row r="12442" spans="1:17" x14ac:dyDescent="0.2">
      <c r="A12442" s="121">
        <v>43343</v>
      </c>
      <c r="B12442" t="s">
        <v>406</v>
      </c>
      <c r="C12442" t="s">
        <v>510</v>
      </c>
      <c r="D12442" t="s">
        <v>527</v>
      </c>
      <c r="E12442" t="s">
        <v>528</v>
      </c>
      <c r="F12442" t="s">
        <v>410</v>
      </c>
      <c r="G12442">
        <v>182</v>
      </c>
      <c r="I12442">
        <v>182</v>
      </c>
    </row>
    <row r="12443" spans="1:17" x14ac:dyDescent="0.2">
      <c r="A12443" s="121">
        <v>43343</v>
      </c>
      <c r="B12443" t="s">
        <v>406</v>
      </c>
      <c r="C12443" t="s">
        <v>510</v>
      </c>
      <c r="D12443" t="s">
        <v>529</v>
      </c>
      <c r="E12443" t="s">
        <v>530</v>
      </c>
      <c r="F12443" t="s">
        <v>413</v>
      </c>
      <c r="G12443">
        <v>759</v>
      </c>
      <c r="H12443">
        <v>759</v>
      </c>
      <c r="I12443">
        <v>739</v>
      </c>
      <c r="J12443">
        <v>739</v>
      </c>
      <c r="K12443">
        <v>176</v>
      </c>
      <c r="L12443">
        <v>0</v>
      </c>
      <c r="M12443">
        <v>581</v>
      </c>
      <c r="N12443">
        <v>2</v>
      </c>
      <c r="O12443">
        <v>0</v>
      </c>
      <c r="P12443">
        <v>2</v>
      </c>
      <c r="Q12443">
        <v>1</v>
      </c>
    </row>
    <row r="12444" spans="1:17" x14ac:dyDescent="0.2">
      <c r="A12444" s="121">
        <v>43343</v>
      </c>
      <c r="B12444" t="s">
        <v>406</v>
      </c>
      <c r="C12444" t="s">
        <v>510</v>
      </c>
      <c r="D12444" t="s">
        <v>531</v>
      </c>
      <c r="E12444" t="s">
        <v>532</v>
      </c>
      <c r="F12444" t="s">
        <v>410</v>
      </c>
      <c r="G12444">
        <v>64</v>
      </c>
      <c r="I12444">
        <v>64</v>
      </c>
    </row>
    <row r="12445" spans="1:17" x14ac:dyDescent="0.2">
      <c r="A12445" s="121">
        <v>43343</v>
      </c>
      <c r="B12445" t="s">
        <v>406</v>
      </c>
      <c r="C12445" t="s">
        <v>510</v>
      </c>
      <c r="D12445" t="s">
        <v>533</v>
      </c>
      <c r="E12445" t="s">
        <v>534</v>
      </c>
      <c r="F12445" t="s">
        <v>413</v>
      </c>
      <c r="G12445">
        <v>3339</v>
      </c>
      <c r="H12445">
        <v>3339</v>
      </c>
      <c r="I12445">
        <v>3072</v>
      </c>
      <c r="J12445">
        <v>3072</v>
      </c>
      <c r="K12445">
        <v>782</v>
      </c>
      <c r="L12445">
        <v>4</v>
      </c>
      <c r="M12445">
        <v>2542</v>
      </c>
      <c r="N12445">
        <v>11</v>
      </c>
      <c r="O12445">
        <v>0</v>
      </c>
      <c r="P12445">
        <v>11</v>
      </c>
      <c r="Q12445">
        <v>0</v>
      </c>
    </row>
    <row r="12446" spans="1:17" x14ac:dyDescent="0.2">
      <c r="A12446" s="121">
        <v>43343</v>
      </c>
      <c r="B12446" t="s">
        <v>406</v>
      </c>
      <c r="C12446" t="s">
        <v>510</v>
      </c>
      <c r="D12446" t="s">
        <v>535</v>
      </c>
      <c r="E12446" t="s">
        <v>536</v>
      </c>
      <c r="F12446" t="s">
        <v>410</v>
      </c>
      <c r="G12446">
        <v>408</v>
      </c>
      <c r="I12446">
        <v>408</v>
      </c>
    </row>
    <row r="12447" spans="1:17" x14ac:dyDescent="0.2">
      <c r="A12447" s="121">
        <v>43343</v>
      </c>
      <c r="B12447" t="s">
        <v>406</v>
      </c>
      <c r="C12447" t="s">
        <v>510</v>
      </c>
      <c r="D12447" t="s">
        <v>537</v>
      </c>
      <c r="E12447" t="s">
        <v>538</v>
      </c>
      <c r="F12447" t="s">
        <v>410</v>
      </c>
      <c r="G12447">
        <v>68</v>
      </c>
      <c r="I12447">
        <v>68</v>
      </c>
    </row>
    <row r="12448" spans="1:17" x14ac:dyDescent="0.2">
      <c r="A12448" s="121">
        <v>43343</v>
      </c>
      <c r="B12448" t="s">
        <v>406</v>
      </c>
      <c r="C12448" t="s">
        <v>510</v>
      </c>
      <c r="D12448" t="s">
        <v>539</v>
      </c>
      <c r="E12448" t="s">
        <v>540</v>
      </c>
      <c r="F12448" t="s">
        <v>413</v>
      </c>
      <c r="G12448">
        <v>1008</v>
      </c>
      <c r="H12448">
        <v>1008</v>
      </c>
      <c r="I12448">
        <v>979</v>
      </c>
      <c r="J12448">
        <v>979</v>
      </c>
      <c r="K12448">
        <v>140</v>
      </c>
      <c r="L12448">
        <v>1</v>
      </c>
      <c r="M12448">
        <v>862</v>
      </c>
      <c r="N12448">
        <v>5</v>
      </c>
      <c r="O12448">
        <v>0</v>
      </c>
      <c r="P12448">
        <v>1</v>
      </c>
      <c r="Q12448">
        <v>0</v>
      </c>
    </row>
    <row r="12449" spans="1:17" x14ac:dyDescent="0.2">
      <c r="A12449" s="121">
        <v>43343</v>
      </c>
      <c r="B12449" t="s">
        <v>406</v>
      </c>
      <c r="C12449" t="s">
        <v>510</v>
      </c>
      <c r="D12449" t="s">
        <v>541</v>
      </c>
      <c r="E12449" t="s">
        <v>542</v>
      </c>
      <c r="F12449" t="s">
        <v>410</v>
      </c>
      <c r="G12449">
        <v>476</v>
      </c>
      <c r="I12449">
        <v>476</v>
      </c>
    </row>
    <row r="12450" spans="1:17" x14ac:dyDescent="0.2">
      <c r="A12450" s="121">
        <v>43343</v>
      </c>
      <c r="B12450" t="s">
        <v>406</v>
      </c>
      <c r="C12450" t="s">
        <v>510</v>
      </c>
      <c r="D12450" t="s">
        <v>543</v>
      </c>
      <c r="E12450" t="s">
        <v>544</v>
      </c>
      <c r="F12450" t="s">
        <v>410</v>
      </c>
      <c r="G12450">
        <v>277</v>
      </c>
      <c r="I12450">
        <v>277</v>
      </c>
    </row>
    <row r="12451" spans="1:17" x14ac:dyDescent="0.2">
      <c r="A12451" s="121">
        <v>43343</v>
      </c>
      <c r="B12451" t="s">
        <v>406</v>
      </c>
      <c r="C12451" t="s">
        <v>510</v>
      </c>
      <c r="D12451" t="s">
        <v>545</v>
      </c>
      <c r="E12451" t="s">
        <v>546</v>
      </c>
      <c r="F12451" t="s">
        <v>410</v>
      </c>
      <c r="G12451">
        <v>78</v>
      </c>
      <c r="I12451">
        <v>78</v>
      </c>
    </row>
    <row r="12452" spans="1:17" x14ac:dyDescent="0.2">
      <c r="A12452" s="121">
        <v>43343</v>
      </c>
      <c r="B12452" t="s">
        <v>406</v>
      </c>
      <c r="C12452" t="s">
        <v>510</v>
      </c>
      <c r="D12452" t="s">
        <v>547</v>
      </c>
      <c r="E12452" t="s">
        <v>548</v>
      </c>
      <c r="F12452" t="s">
        <v>410</v>
      </c>
      <c r="G12452">
        <v>187</v>
      </c>
      <c r="I12452">
        <v>187</v>
      </c>
    </row>
    <row r="12453" spans="1:17" x14ac:dyDescent="0.2">
      <c r="A12453" s="121">
        <v>43343</v>
      </c>
      <c r="B12453" t="s">
        <v>406</v>
      </c>
      <c r="C12453" t="s">
        <v>510</v>
      </c>
      <c r="D12453" t="s">
        <v>616</v>
      </c>
      <c r="E12453" t="s">
        <v>617</v>
      </c>
      <c r="F12453" t="s">
        <v>410</v>
      </c>
      <c r="G12453">
        <v>399</v>
      </c>
      <c r="I12453">
        <v>396</v>
      </c>
    </row>
    <row r="12454" spans="1:17" x14ac:dyDescent="0.2">
      <c r="A12454" s="121">
        <v>43343</v>
      </c>
      <c r="B12454" t="s">
        <v>406</v>
      </c>
      <c r="C12454" t="s">
        <v>510</v>
      </c>
      <c r="D12454" t="s">
        <v>549</v>
      </c>
      <c r="E12454" t="s">
        <v>550</v>
      </c>
      <c r="F12454" t="s">
        <v>410</v>
      </c>
      <c r="G12454">
        <v>219</v>
      </c>
      <c r="I12454">
        <v>219</v>
      </c>
    </row>
    <row r="12455" spans="1:17" x14ac:dyDescent="0.2">
      <c r="A12455" s="121">
        <v>43343</v>
      </c>
      <c r="B12455" t="s">
        <v>406</v>
      </c>
      <c r="C12455" t="s">
        <v>510</v>
      </c>
      <c r="D12455" t="s">
        <v>625</v>
      </c>
      <c r="E12455" t="s">
        <v>626</v>
      </c>
      <c r="F12455" t="s">
        <v>410</v>
      </c>
      <c r="G12455">
        <v>87</v>
      </c>
      <c r="I12455">
        <v>86</v>
      </c>
    </row>
    <row r="12456" spans="1:17" x14ac:dyDescent="0.2">
      <c r="A12456" s="121">
        <v>43343</v>
      </c>
      <c r="B12456" t="s">
        <v>406</v>
      </c>
      <c r="C12456" t="s">
        <v>551</v>
      </c>
      <c r="D12456" t="s">
        <v>552</v>
      </c>
      <c r="E12456" t="s">
        <v>553</v>
      </c>
      <c r="F12456" t="s">
        <v>413</v>
      </c>
      <c r="G12456">
        <v>5816</v>
      </c>
      <c r="H12456">
        <v>5816</v>
      </c>
      <c r="I12456">
        <v>5494</v>
      </c>
      <c r="J12456">
        <v>5494</v>
      </c>
      <c r="K12456">
        <v>1744</v>
      </c>
      <c r="L12456">
        <v>5</v>
      </c>
      <c r="M12456">
        <v>3947</v>
      </c>
      <c r="N12456">
        <v>81</v>
      </c>
      <c r="O12456">
        <v>39</v>
      </c>
      <c r="P12456">
        <v>8</v>
      </c>
      <c r="Q12456">
        <v>0</v>
      </c>
    </row>
    <row r="12457" spans="1:17" x14ac:dyDescent="0.2">
      <c r="A12457" s="121">
        <v>43343</v>
      </c>
      <c r="B12457" t="s">
        <v>406</v>
      </c>
      <c r="C12457" t="s">
        <v>551</v>
      </c>
      <c r="D12457" t="s">
        <v>554</v>
      </c>
      <c r="E12457" t="s">
        <v>555</v>
      </c>
      <c r="F12457" t="s">
        <v>410</v>
      </c>
      <c r="G12457">
        <v>47</v>
      </c>
      <c r="I12457">
        <v>47</v>
      </c>
    </row>
    <row r="12458" spans="1:17" x14ac:dyDescent="0.2">
      <c r="A12458" s="121">
        <v>43343</v>
      </c>
      <c r="B12458" t="s">
        <v>406</v>
      </c>
      <c r="C12458" t="s">
        <v>551</v>
      </c>
      <c r="D12458" t="s">
        <v>556</v>
      </c>
      <c r="E12458" t="s">
        <v>557</v>
      </c>
      <c r="F12458" t="s">
        <v>410</v>
      </c>
      <c r="G12458">
        <v>61</v>
      </c>
      <c r="I12458">
        <v>61</v>
      </c>
    </row>
    <row r="12459" spans="1:17" x14ac:dyDescent="0.2">
      <c r="A12459" s="121">
        <v>43343</v>
      </c>
      <c r="B12459" t="s">
        <v>406</v>
      </c>
      <c r="C12459" t="s">
        <v>551</v>
      </c>
      <c r="D12459" t="s">
        <v>558</v>
      </c>
      <c r="E12459" t="s">
        <v>559</v>
      </c>
      <c r="F12459" t="s">
        <v>413</v>
      </c>
      <c r="G12459">
        <v>5741</v>
      </c>
      <c r="H12459">
        <v>5741</v>
      </c>
      <c r="I12459">
        <v>5405</v>
      </c>
      <c r="J12459">
        <v>5405</v>
      </c>
      <c r="K12459">
        <v>1720</v>
      </c>
      <c r="L12459">
        <v>1</v>
      </c>
      <c r="M12459">
        <v>3936</v>
      </c>
      <c r="N12459">
        <v>78</v>
      </c>
      <c r="O12459">
        <v>6</v>
      </c>
      <c r="P12459">
        <v>39</v>
      </c>
      <c r="Q12459">
        <v>8</v>
      </c>
    </row>
    <row r="12460" spans="1:17" x14ac:dyDescent="0.2">
      <c r="A12460" s="121">
        <v>43343</v>
      </c>
      <c r="B12460" t="s">
        <v>406</v>
      </c>
      <c r="C12460" t="s">
        <v>551</v>
      </c>
      <c r="D12460" t="s">
        <v>560</v>
      </c>
      <c r="E12460" t="s">
        <v>561</v>
      </c>
      <c r="F12460" t="s">
        <v>413</v>
      </c>
      <c r="G12460">
        <v>6231</v>
      </c>
      <c r="H12460">
        <v>6231</v>
      </c>
      <c r="I12460">
        <v>5664</v>
      </c>
      <c r="J12460">
        <v>5664</v>
      </c>
      <c r="K12460">
        <v>1872</v>
      </c>
      <c r="L12460">
        <v>6</v>
      </c>
      <c r="M12460">
        <v>4230</v>
      </c>
      <c r="N12460">
        <v>87</v>
      </c>
      <c r="O12460">
        <v>36</v>
      </c>
      <c r="P12460">
        <v>45</v>
      </c>
      <c r="Q12460">
        <v>4</v>
      </c>
    </row>
    <row r="12461" spans="1:17" x14ac:dyDescent="0.2">
      <c r="A12461" s="121">
        <v>43343</v>
      </c>
      <c r="B12461" t="s">
        <v>406</v>
      </c>
      <c r="C12461" t="s">
        <v>562</v>
      </c>
      <c r="D12461" t="s">
        <v>605</v>
      </c>
      <c r="E12461" t="s">
        <v>606</v>
      </c>
      <c r="F12461" t="s">
        <v>410</v>
      </c>
      <c r="G12461">
        <v>205</v>
      </c>
      <c r="I12461">
        <v>205</v>
      </c>
    </row>
    <row r="12462" spans="1:17" x14ac:dyDescent="0.2">
      <c r="A12462" s="121">
        <v>43343</v>
      </c>
      <c r="B12462" t="s">
        <v>406</v>
      </c>
      <c r="C12462" t="s">
        <v>562</v>
      </c>
      <c r="D12462" t="s">
        <v>563</v>
      </c>
      <c r="E12462" t="s">
        <v>564</v>
      </c>
      <c r="F12462" t="s">
        <v>410</v>
      </c>
      <c r="G12462">
        <v>4394</v>
      </c>
      <c r="H12462">
        <v>4394</v>
      </c>
      <c r="I12462">
        <v>3889</v>
      </c>
      <c r="J12462">
        <v>3889</v>
      </c>
      <c r="K12462">
        <v>1118</v>
      </c>
      <c r="L12462">
        <v>0</v>
      </c>
      <c r="M12462">
        <v>3259</v>
      </c>
      <c r="N12462">
        <v>17</v>
      </c>
      <c r="O12462">
        <v>0</v>
      </c>
      <c r="P12462">
        <v>66</v>
      </c>
      <c r="Q12462">
        <v>28</v>
      </c>
    </row>
    <row r="12463" spans="1:17" x14ac:dyDescent="0.2">
      <c r="A12463" s="121">
        <v>43343</v>
      </c>
      <c r="B12463" t="s">
        <v>406</v>
      </c>
      <c r="C12463" t="s">
        <v>562</v>
      </c>
      <c r="D12463" t="s">
        <v>565</v>
      </c>
      <c r="E12463" t="s">
        <v>566</v>
      </c>
      <c r="F12463" t="s">
        <v>413</v>
      </c>
      <c r="G12463">
        <v>4956</v>
      </c>
      <c r="H12463">
        <v>4956</v>
      </c>
      <c r="I12463">
        <v>4292</v>
      </c>
      <c r="J12463">
        <v>4292</v>
      </c>
      <c r="K12463">
        <v>1071</v>
      </c>
      <c r="L12463">
        <v>5</v>
      </c>
      <c r="M12463">
        <v>3827</v>
      </c>
      <c r="N12463">
        <v>53</v>
      </c>
      <c r="O12463">
        <v>0</v>
      </c>
      <c r="P12463">
        <v>49</v>
      </c>
      <c r="Q12463">
        <v>8</v>
      </c>
    </row>
    <row r="12464" spans="1:17" x14ac:dyDescent="0.2">
      <c r="A12464" s="121">
        <v>43343</v>
      </c>
      <c r="B12464" t="s">
        <v>406</v>
      </c>
      <c r="C12464" t="s">
        <v>562</v>
      </c>
      <c r="D12464" t="s">
        <v>567</v>
      </c>
      <c r="E12464" t="s">
        <v>568</v>
      </c>
      <c r="F12464" t="s">
        <v>413</v>
      </c>
      <c r="G12464">
        <v>10866</v>
      </c>
      <c r="H12464">
        <v>10866</v>
      </c>
      <c r="I12464">
        <v>8463</v>
      </c>
      <c r="J12464">
        <v>8463</v>
      </c>
      <c r="K12464">
        <v>2871</v>
      </c>
      <c r="L12464">
        <v>9</v>
      </c>
      <c r="M12464">
        <v>7846</v>
      </c>
      <c r="N12464">
        <v>140</v>
      </c>
      <c r="O12464">
        <v>0</v>
      </c>
      <c r="P12464">
        <v>217</v>
      </c>
      <c r="Q12464">
        <v>34</v>
      </c>
    </row>
    <row r="12465" spans="1:17" x14ac:dyDescent="0.2">
      <c r="A12465" s="121">
        <v>43343</v>
      </c>
      <c r="B12465" t="s">
        <v>406</v>
      </c>
      <c r="C12465" t="s">
        <v>562</v>
      </c>
      <c r="D12465" t="s">
        <v>569</v>
      </c>
      <c r="E12465" t="s">
        <v>570</v>
      </c>
      <c r="F12465" t="s">
        <v>413</v>
      </c>
      <c r="G12465">
        <v>3644</v>
      </c>
      <c r="H12465">
        <v>3644</v>
      </c>
      <c r="I12465">
        <v>3512</v>
      </c>
      <c r="J12465">
        <v>3512</v>
      </c>
      <c r="K12465">
        <v>486</v>
      </c>
      <c r="L12465">
        <v>0</v>
      </c>
      <c r="M12465">
        <v>3155</v>
      </c>
      <c r="N12465">
        <v>3</v>
      </c>
      <c r="O12465">
        <v>0</v>
      </c>
      <c r="P12465">
        <v>0</v>
      </c>
      <c r="Q12465">
        <v>0</v>
      </c>
    </row>
    <row r="12466" spans="1:17" x14ac:dyDescent="0.2">
      <c r="A12466" s="121">
        <v>43343</v>
      </c>
      <c r="B12466" t="s">
        <v>406</v>
      </c>
      <c r="C12466" t="s">
        <v>571</v>
      </c>
      <c r="D12466" t="s">
        <v>572</v>
      </c>
      <c r="E12466" t="s">
        <v>627</v>
      </c>
      <c r="F12466" t="s">
        <v>413</v>
      </c>
      <c r="G12466">
        <v>622</v>
      </c>
      <c r="H12466">
        <v>622</v>
      </c>
      <c r="I12466">
        <v>601</v>
      </c>
      <c r="J12466">
        <v>601</v>
      </c>
      <c r="K12466">
        <v>146</v>
      </c>
      <c r="L12466">
        <v>0</v>
      </c>
      <c r="M12466">
        <v>470</v>
      </c>
      <c r="N12466">
        <v>3</v>
      </c>
      <c r="O12466">
        <v>3</v>
      </c>
      <c r="P12466">
        <v>0</v>
      </c>
      <c r="Q12466">
        <v>0</v>
      </c>
    </row>
    <row r="12467" spans="1:17" x14ac:dyDescent="0.2">
      <c r="A12467" s="121">
        <v>43343</v>
      </c>
      <c r="B12467" t="s">
        <v>406</v>
      </c>
      <c r="C12467" t="s">
        <v>574</v>
      </c>
      <c r="D12467" t="s">
        <v>575</v>
      </c>
      <c r="E12467" t="s">
        <v>576</v>
      </c>
      <c r="F12467" t="s">
        <v>413</v>
      </c>
      <c r="G12467">
        <v>658</v>
      </c>
      <c r="H12467">
        <v>658</v>
      </c>
      <c r="I12467">
        <v>645</v>
      </c>
      <c r="J12467">
        <v>645</v>
      </c>
      <c r="K12467">
        <v>151</v>
      </c>
      <c r="L12467">
        <v>1</v>
      </c>
      <c r="M12467">
        <v>497</v>
      </c>
      <c r="N12467">
        <v>4</v>
      </c>
      <c r="O12467">
        <v>5</v>
      </c>
      <c r="P12467">
        <v>2</v>
      </c>
      <c r="Q12467">
        <v>0</v>
      </c>
    </row>
    <row r="12468" spans="1:17" x14ac:dyDescent="0.2">
      <c r="A12468" s="121">
        <v>43343</v>
      </c>
      <c r="B12468" t="s">
        <v>406</v>
      </c>
      <c r="C12468" t="s">
        <v>577</v>
      </c>
      <c r="D12468" t="s">
        <v>578</v>
      </c>
      <c r="E12468" t="s">
        <v>579</v>
      </c>
      <c r="F12468" t="s">
        <v>413</v>
      </c>
      <c r="G12468">
        <v>4367</v>
      </c>
      <c r="H12468">
        <v>4367</v>
      </c>
      <c r="I12468">
        <v>4186</v>
      </c>
      <c r="J12468">
        <v>4186</v>
      </c>
      <c r="K12468">
        <v>1308</v>
      </c>
      <c r="L12468">
        <v>8</v>
      </c>
      <c r="M12468">
        <v>2757</v>
      </c>
      <c r="N12468">
        <v>229</v>
      </c>
      <c r="O12468">
        <v>65</v>
      </c>
      <c r="P12468">
        <v>0</v>
      </c>
      <c r="Q12468">
        <v>0</v>
      </c>
    </row>
    <row r="12469" spans="1:17" x14ac:dyDescent="0.2">
      <c r="A12469" s="121">
        <v>43343</v>
      </c>
      <c r="B12469" t="s">
        <v>406</v>
      </c>
      <c r="C12469" t="s">
        <v>577</v>
      </c>
      <c r="D12469" t="s">
        <v>580</v>
      </c>
      <c r="E12469" t="s">
        <v>581</v>
      </c>
      <c r="F12469" t="s">
        <v>413</v>
      </c>
      <c r="G12469">
        <v>2179</v>
      </c>
      <c r="H12469">
        <v>2179</v>
      </c>
      <c r="I12469">
        <v>2075</v>
      </c>
      <c r="J12469">
        <v>2075</v>
      </c>
      <c r="K12469">
        <v>335</v>
      </c>
      <c r="L12469">
        <v>3</v>
      </c>
      <c r="M12469">
        <v>1472</v>
      </c>
      <c r="N12469">
        <v>344</v>
      </c>
      <c r="O12469">
        <v>25</v>
      </c>
      <c r="P12469">
        <v>3</v>
      </c>
      <c r="Q12469">
        <v>0</v>
      </c>
    </row>
    <row r="12470" spans="1:17" x14ac:dyDescent="0.2">
      <c r="A12470" s="121">
        <v>43343</v>
      </c>
      <c r="B12470" t="s">
        <v>406</v>
      </c>
      <c r="C12470" t="s">
        <v>577</v>
      </c>
      <c r="D12470" t="s">
        <v>609</v>
      </c>
      <c r="E12470" t="s">
        <v>610</v>
      </c>
      <c r="F12470" t="s">
        <v>410</v>
      </c>
      <c r="G12470">
        <v>29</v>
      </c>
      <c r="H12470">
        <v>29</v>
      </c>
      <c r="I12470">
        <v>29</v>
      </c>
      <c r="J12470">
        <v>29</v>
      </c>
      <c r="K12470">
        <v>0</v>
      </c>
      <c r="L12470">
        <v>0</v>
      </c>
      <c r="M12470">
        <v>26</v>
      </c>
      <c r="N12470">
        <v>3</v>
      </c>
      <c r="O12470">
        <v>0</v>
      </c>
      <c r="P12470">
        <v>0</v>
      </c>
      <c r="Q12470">
        <v>0</v>
      </c>
    </row>
    <row r="12471" spans="1:17" x14ac:dyDescent="0.2">
      <c r="A12471" s="121">
        <v>43343</v>
      </c>
      <c r="B12471" t="s">
        <v>406</v>
      </c>
      <c r="C12471" t="s">
        <v>577</v>
      </c>
      <c r="D12471" t="s">
        <v>584</v>
      </c>
      <c r="E12471" t="s">
        <v>585</v>
      </c>
      <c r="F12471" t="s">
        <v>410</v>
      </c>
      <c r="G12471">
        <v>332</v>
      </c>
      <c r="H12471">
        <v>332</v>
      </c>
      <c r="I12471">
        <v>332</v>
      </c>
      <c r="J12471">
        <v>332</v>
      </c>
      <c r="K12471">
        <v>0</v>
      </c>
      <c r="L12471">
        <v>0</v>
      </c>
      <c r="M12471">
        <v>315</v>
      </c>
      <c r="N12471">
        <v>9</v>
      </c>
      <c r="O12471">
        <v>8</v>
      </c>
      <c r="P12471">
        <v>0</v>
      </c>
      <c r="Q12471">
        <v>0</v>
      </c>
    </row>
    <row r="12472" spans="1:17" x14ac:dyDescent="0.2">
      <c r="A12472" s="121">
        <v>43343</v>
      </c>
      <c r="B12472" t="s">
        <v>406</v>
      </c>
      <c r="C12472" t="s">
        <v>577</v>
      </c>
      <c r="D12472" t="s">
        <v>586</v>
      </c>
      <c r="E12472" t="s">
        <v>587</v>
      </c>
      <c r="F12472" t="s">
        <v>410</v>
      </c>
      <c r="G12472">
        <v>1326</v>
      </c>
      <c r="H12472">
        <v>1326</v>
      </c>
      <c r="I12472">
        <v>1326</v>
      </c>
      <c r="J12472">
        <v>1326</v>
      </c>
      <c r="K12472">
        <v>0</v>
      </c>
      <c r="L12472">
        <v>0</v>
      </c>
      <c r="M12472">
        <v>1221</v>
      </c>
      <c r="N12472">
        <v>99</v>
      </c>
      <c r="O12472">
        <v>6</v>
      </c>
      <c r="P12472">
        <v>0</v>
      </c>
      <c r="Q12472">
        <v>0</v>
      </c>
    </row>
    <row r="12473" spans="1:17" x14ac:dyDescent="0.2">
      <c r="A12473" s="121">
        <v>43343</v>
      </c>
      <c r="B12473" t="s">
        <v>406</v>
      </c>
      <c r="C12473" t="s">
        <v>577</v>
      </c>
      <c r="D12473" t="s">
        <v>588</v>
      </c>
      <c r="E12473" t="s">
        <v>589</v>
      </c>
      <c r="F12473" t="s">
        <v>410</v>
      </c>
      <c r="G12473">
        <v>133</v>
      </c>
      <c r="H12473">
        <v>133</v>
      </c>
      <c r="I12473">
        <v>133</v>
      </c>
      <c r="J12473">
        <v>133</v>
      </c>
      <c r="K12473">
        <v>0</v>
      </c>
      <c r="L12473">
        <v>0</v>
      </c>
      <c r="M12473">
        <v>128</v>
      </c>
      <c r="N12473">
        <v>5</v>
      </c>
      <c r="O12473">
        <v>0</v>
      </c>
      <c r="P12473">
        <v>0</v>
      </c>
      <c r="Q12473">
        <v>0</v>
      </c>
    </row>
    <row r="12474" spans="1:17" x14ac:dyDescent="0.2">
      <c r="A12474" s="121">
        <v>43343</v>
      </c>
      <c r="B12474" t="s">
        <v>406</v>
      </c>
      <c r="C12474" t="s">
        <v>577</v>
      </c>
      <c r="D12474" t="s">
        <v>613</v>
      </c>
      <c r="E12474" t="s">
        <v>614</v>
      </c>
      <c r="F12474" t="s">
        <v>410</v>
      </c>
      <c r="G12474">
        <v>87</v>
      </c>
      <c r="H12474">
        <v>87</v>
      </c>
      <c r="I12474">
        <v>87</v>
      </c>
      <c r="J12474">
        <v>87</v>
      </c>
      <c r="K12474">
        <v>0</v>
      </c>
      <c r="L12474">
        <v>0</v>
      </c>
      <c r="M12474">
        <v>78</v>
      </c>
      <c r="N12474">
        <v>4</v>
      </c>
      <c r="O12474">
        <v>5</v>
      </c>
      <c r="P12474">
        <v>0</v>
      </c>
      <c r="Q12474">
        <v>0</v>
      </c>
    </row>
    <row r="12475" spans="1:17" x14ac:dyDescent="0.2">
      <c r="A12475" s="121">
        <v>43343</v>
      </c>
      <c r="B12475" t="s">
        <v>406</v>
      </c>
      <c r="C12475" t="s">
        <v>577</v>
      </c>
      <c r="D12475" t="s">
        <v>590</v>
      </c>
      <c r="E12475" t="s">
        <v>591</v>
      </c>
      <c r="F12475" t="s">
        <v>410</v>
      </c>
      <c r="G12475">
        <v>566</v>
      </c>
      <c r="H12475">
        <v>566</v>
      </c>
      <c r="I12475">
        <v>566</v>
      </c>
      <c r="J12475">
        <v>566</v>
      </c>
      <c r="K12475">
        <v>0</v>
      </c>
      <c r="L12475">
        <v>0</v>
      </c>
      <c r="M12475">
        <v>540</v>
      </c>
      <c r="N12475">
        <v>26</v>
      </c>
      <c r="O12475">
        <v>0</v>
      </c>
      <c r="P12475">
        <v>0</v>
      </c>
      <c r="Q12475">
        <v>0</v>
      </c>
    </row>
    <row r="12476" spans="1:17" x14ac:dyDescent="0.2">
      <c r="A12476" s="121">
        <v>43343</v>
      </c>
      <c r="B12476" t="s">
        <v>406</v>
      </c>
      <c r="C12476" t="s">
        <v>577</v>
      </c>
      <c r="D12476" t="s">
        <v>607</v>
      </c>
      <c r="E12476" t="s">
        <v>608</v>
      </c>
      <c r="F12476" t="s">
        <v>410</v>
      </c>
      <c r="G12476">
        <v>207</v>
      </c>
      <c r="H12476">
        <v>207</v>
      </c>
      <c r="I12476">
        <v>207</v>
      </c>
      <c r="J12476">
        <v>207</v>
      </c>
      <c r="K12476">
        <v>0</v>
      </c>
      <c r="L12476">
        <v>0</v>
      </c>
      <c r="M12476">
        <v>198</v>
      </c>
      <c r="N12476">
        <v>9</v>
      </c>
      <c r="O12476">
        <v>0</v>
      </c>
      <c r="P12476">
        <v>0</v>
      </c>
      <c r="Q12476">
        <v>0</v>
      </c>
    </row>
    <row r="12477" spans="1:17" x14ac:dyDescent="0.2">
      <c r="A12477" s="121">
        <v>43343</v>
      </c>
      <c r="B12477" t="s">
        <v>406</v>
      </c>
      <c r="C12477" t="s">
        <v>577</v>
      </c>
      <c r="D12477" t="s">
        <v>592</v>
      </c>
      <c r="E12477" t="s">
        <v>593</v>
      </c>
      <c r="F12477" t="s">
        <v>410</v>
      </c>
      <c r="G12477">
        <v>268</v>
      </c>
      <c r="H12477">
        <v>268</v>
      </c>
      <c r="I12477">
        <v>268</v>
      </c>
      <c r="J12477">
        <v>268</v>
      </c>
      <c r="K12477">
        <v>0</v>
      </c>
      <c r="L12477">
        <v>0</v>
      </c>
      <c r="M12477">
        <v>243</v>
      </c>
      <c r="N12477">
        <v>19</v>
      </c>
      <c r="O12477">
        <v>6</v>
      </c>
      <c r="P12477">
        <v>0</v>
      </c>
      <c r="Q12477">
        <v>0</v>
      </c>
    </row>
    <row r="12478" spans="1:17" x14ac:dyDescent="0.2">
      <c r="A12478" s="121">
        <v>43343</v>
      </c>
      <c r="B12478" t="s">
        <v>406</v>
      </c>
      <c r="C12478" t="s">
        <v>594</v>
      </c>
      <c r="D12478" t="s">
        <v>595</v>
      </c>
      <c r="E12478" t="s">
        <v>596</v>
      </c>
      <c r="F12478" t="s">
        <v>410</v>
      </c>
      <c r="G12478">
        <v>71</v>
      </c>
      <c r="I12478">
        <v>71</v>
      </c>
    </row>
    <row r="12479" spans="1:17" x14ac:dyDescent="0.2">
      <c r="A12479" s="121">
        <v>43343</v>
      </c>
      <c r="B12479" t="s">
        <v>406</v>
      </c>
      <c r="C12479" t="s">
        <v>594</v>
      </c>
      <c r="D12479" t="s">
        <v>597</v>
      </c>
      <c r="E12479" t="s">
        <v>598</v>
      </c>
      <c r="F12479" t="s">
        <v>413</v>
      </c>
      <c r="G12479">
        <v>595</v>
      </c>
      <c r="H12479">
        <v>595</v>
      </c>
      <c r="I12479">
        <v>591</v>
      </c>
      <c r="J12479">
        <v>591</v>
      </c>
      <c r="K12479">
        <v>161</v>
      </c>
      <c r="L12479">
        <v>2</v>
      </c>
      <c r="M12479">
        <v>409</v>
      </c>
      <c r="N12479">
        <v>11</v>
      </c>
      <c r="O12479">
        <v>12</v>
      </c>
      <c r="P12479">
        <v>0</v>
      </c>
      <c r="Q12479">
        <v>0</v>
      </c>
    </row>
    <row r="12480" spans="1:17" x14ac:dyDescent="0.2">
      <c r="A12480" s="121">
        <v>43343</v>
      </c>
      <c r="B12480" t="s">
        <v>406</v>
      </c>
      <c r="C12480" t="s">
        <v>594</v>
      </c>
      <c r="D12480" t="s">
        <v>599</v>
      </c>
      <c r="E12480" t="s">
        <v>600</v>
      </c>
      <c r="F12480" t="s">
        <v>410</v>
      </c>
      <c r="G12480">
        <v>165</v>
      </c>
      <c r="H12480">
        <v>165</v>
      </c>
      <c r="I12480">
        <v>165</v>
      </c>
      <c r="J12480">
        <v>165</v>
      </c>
      <c r="K12480">
        <v>10</v>
      </c>
      <c r="L12480">
        <v>0</v>
      </c>
      <c r="M12480">
        <v>154</v>
      </c>
      <c r="N12480">
        <v>1</v>
      </c>
      <c r="O12480">
        <v>0</v>
      </c>
      <c r="P12480">
        <v>0</v>
      </c>
      <c r="Q12480">
        <v>0</v>
      </c>
    </row>
    <row r="12481" spans="1:17" x14ac:dyDescent="0.2">
      <c r="A12481" s="121">
        <v>43373</v>
      </c>
      <c r="B12481" t="s">
        <v>406</v>
      </c>
      <c r="C12481" t="s">
        <v>407</v>
      </c>
      <c r="D12481" t="s">
        <v>408</v>
      </c>
      <c r="E12481" t="s">
        <v>409</v>
      </c>
      <c r="F12481" t="s">
        <v>410</v>
      </c>
      <c r="G12481">
        <v>238</v>
      </c>
      <c r="I12481">
        <v>235</v>
      </c>
    </row>
    <row r="12482" spans="1:17" x14ac:dyDescent="0.2">
      <c r="A12482" s="121">
        <v>43373</v>
      </c>
      <c r="B12482" t="s">
        <v>406</v>
      </c>
      <c r="C12482" t="s">
        <v>407</v>
      </c>
      <c r="D12482" t="s">
        <v>601</v>
      </c>
      <c r="E12482" t="s">
        <v>602</v>
      </c>
      <c r="F12482" t="s">
        <v>410</v>
      </c>
      <c r="G12482">
        <v>59</v>
      </c>
      <c r="I12482">
        <v>58</v>
      </c>
    </row>
    <row r="12483" spans="1:17" x14ac:dyDescent="0.2">
      <c r="A12483" s="121">
        <v>43373</v>
      </c>
      <c r="B12483" t="s">
        <v>406</v>
      </c>
      <c r="C12483" t="s">
        <v>407</v>
      </c>
      <c r="D12483" t="s">
        <v>411</v>
      </c>
      <c r="E12483" t="s">
        <v>412</v>
      </c>
      <c r="F12483" t="s">
        <v>413</v>
      </c>
      <c r="G12483">
        <v>6059</v>
      </c>
      <c r="H12483">
        <v>6059</v>
      </c>
      <c r="I12483">
        <v>5639</v>
      </c>
      <c r="J12483">
        <v>5639</v>
      </c>
      <c r="K12483">
        <v>1982</v>
      </c>
      <c r="L12483">
        <v>6</v>
      </c>
      <c r="M12483">
        <v>3785</v>
      </c>
      <c r="N12483">
        <v>46</v>
      </c>
      <c r="O12483">
        <v>240</v>
      </c>
      <c r="P12483">
        <v>96</v>
      </c>
      <c r="Q12483">
        <v>18</v>
      </c>
    </row>
    <row r="12484" spans="1:17" x14ac:dyDescent="0.2">
      <c r="A12484" s="121">
        <v>43373</v>
      </c>
      <c r="B12484" t="s">
        <v>406</v>
      </c>
      <c r="C12484" t="s">
        <v>407</v>
      </c>
      <c r="D12484" t="s">
        <v>416</v>
      </c>
      <c r="E12484" t="s">
        <v>417</v>
      </c>
      <c r="F12484" t="s">
        <v>413</v>
      </c>
      <c r="G12484">
        <v>3232</v>
      </c>
      <c r="H12484">
        <v>3232</v>
      </c>
      <c r="I12484">
        <v>2884</v>
      </c>
      <c r="J12484">
        <v>2884</v>
      </c>
      <c r="K12484">
        <v>852</v>
      </c>
      <c r="L12484">
        <v>4</v>
      </c>
      <c r="M12484">
        <v>2239</v>
      </c>
      <c r="N12484">
        <v>95</v>
      </c>
      <c r="O12484">
        <v>42</v>
      </c>
      <c r="P12484">
        <v>97</v>
      </c>
      <c r="Q12484">
        <v>34</v>
      </c>
    </row>
    <row r="12485" spans="1:17" x14ac:dyDescent="0.2">
      <c r="A12485" s="121">
        <v>43373</v>
      </c>
      <c r="B12485" t="s">
        <v>406</v>
      </c>
      <c r="C12485" t="s">
        <v>407</v>
      </c>
      <c r="D12485" t="s">
        <v>618</v>
      </c>
      <c r="E12485" t="s">
        <v>619</v>
      </c>
      <c r="F12485" t="s">
        <v>410</v>
      </c>
      <c r="G12485">
        <v>77</v>
      </c>
      <c r="I12485">
        <v>77</v>
      </c>
    </row>
    <row r="12486" spans="1:17" x14ac:dyDescent="0.2">
      <c r="A12486" s="121">
        <v>43373</v>
      </c>
      <c r="B12486" t="s">
        <v>406</v>
      </c>
      <c r="C12486" t="s">
        <v>418</v>
      </c>
      <c r="D12486" t="s">
        <v>419</v>
      </c>
      <c r="E12486" t="s">
        <v>420</v>
      </c>
      <c r="F12486" t="s">
        <v>410</v>
      </c>
      <c r="G12486">
        <v>6</v>
      </c>
      <c r="I12486">
        <v>6</v>
      </c>
    </row>
    <row r="12487" spans="1:17" x14ac:dyDescent="0.2">
      <c r="A12487" s="121">
        <v>43373</v>
      </c>
      <c r="B12487" t="s">
        <v>406</v>
      </c>
      <c r="C12487" t="s">
        <v>418</v>
      </c>
      <c r="D12487" t="s">
        <v>421</v>
      </c>
      <c r="E12487" t="s">
        <v>422</v>
      </c>
      <c r="F12487" t="s">
        <v>410</v>
      </c>
      <c r="G12487">
        <v>68</v>
      </c>
      <c r="I12487">
        <v>68</v>
      </c>
    </row>
    <row r="12488" spans="1:17" x14ac:dyDescent="0.2">
      <c r="A12488" s="121">
        <v>43373</v>
      </c>
      <c r="B12488" t="s">
        <v>406</v>
      </c>
      <c r="C12488" t="s">
        <v>418</v>
      </c>
      <c r="D12488" t="s">
        <v>423</v>
      </c>
      <c r="E12488" t="s">
        <v>424</v>
      </c>
      <c r="F12488" t="s">
        <v>410</v>
      </c>
      <c r="G12488">
        <v>8</v>
      </c>
      <c r="I12488">
        <v>8</v>
      </c>
    </row>
    <row r="12489" spans="1:17" x14ac:dyDescent="0.2">
      <c r="A12489" s="121">
        <v>43373</v>
      </c>
      <c r="B12489" t="s">
        <v>406</v>
      </c>
      <c r="C12489" t="s">
        <v>418</v>
      </c>
      <c r="D12489" t="s">
        <v>425</v>
      </c>
      <c r="E12489" t="s">
        <v>426</v>
      </c>
      <c r="F12489" t="s">
        <v>410</v>
      </c>
      <c r="G12489">
        <v>43</v>
      </c>
      <c r="I12489">
        <v>43</v>
      </c>
    </row>
    <row r="12490" spans="1:17" x14ac:dyDescent="0.2">
      <c r="A12490" s="121">
        <v>43373</v>
      </c>
      <c r="B12490" t="s">
        <v>406</v>
      </c>
      <c r="C12490" t="s">
        <v>418</v>
      </c>
      <c r="D12490" t="s">
        <v>427</v>
      </c>
      <c r="E12490" t="s">
        <v>428</v>
      </c>
      <c r="F12490" t="s">
        <v>413</v>
      </c>
      <c r="G12490">
        <v>2627</v>
      </c>
      <c r="H12490">
        <v>2627</v>
      </c>
      <c r="I12490">
        <v>2525</v>
      </c>
      <c r="J12490">
        <v>2525</v>
      </c>
      <c r="K12490">
        <v>844</v>
      </c>
      <c r="L12490">
        <v>5</v>
      </c>
      <c r="M12490">
        <v>1588</v>
      </c>
      <c r="N12490">
        <v>181</v>
      </c>
      <c r="O12490">
        <v>9</v>
      </c>
      <c r="P12490">
        <v>2</v>
      </c>
      <c r="Q12490">
        <v>0</v>
      </c>
    </row>
    <row r="12491" spans="1:17" x14ac:dyDescent="0.2">
      <c r="A12491" s="121">
        <v>43373</v>
      </c>
      <c r="B12491" t="s">
        <v>406</v>
      </c>
      <c r="C12491" t="s">
        <v>429</v>
      </c>
      <c r="D12491" t="s">
        <v>430</v>
      </c>
      <c r="E12491" t="s">
        <v>431</v>
      </c>
      <c r="F12491" t="s">
        <v>410</v>
      </c>
      <c r="G12491">
        <v>24</v>
      </c>
      <c r="I12491">
        <v>24</v>
      </c>
    </row>
    <row r="12492" spans="1:17" x14ac:dyDescent="0.2">
      <c r="A12492" s="121">
        <v>43373</v>
      </c>
      <c r="B12492" t="s">
        <v>406</v>
      </c>
      <c r="C12492" t="s">
        <v>429</v>
      </c>
      <c r="D12492" t="s">
        <v>432</v>
      </c>
      <c r="E12492" t="s">
        <v>433</v>
      </c>
      <c r="F12492" t="s">
        <v>410</v>
      </c>
      <c r="G12492">
        <v>44</v>
      </c>
      <c r="I12492">
        <v>44</v>
      </c>
    </row>
    <row r="12493" spans="1:17" x14ac:dyDescent="0.2">
      <c r="A12493" s="121">
        <v>43373</v>
      </c>
      <c r="B12493" t="s">
        <v>406</v>
      </c>
      <c r="C12493" t="s">
        <v>429</v>
      </c>
      <c r="D12493" t="s">
        <v>434</v>
      </c>
      <c r="E12493" t="s">
        <v>435</v>
      </c>
      <c r="F12493" t="s">
        <v>410</v>
      </c>
      <c r="G12493">
        <v>1</v>
      </c>
      <c r="I12493">
        <v>1</v>
      </c>
    </row>
    <row r="12494" spans="1:17" x14ac:dyDescent="0.2">
      <c r="A12494" s="121">
        <v>43373</v>
      </c>
      <c r="B12494" t="s">
        <v>406</v>
      </c>
      <c r="C12494" t="s">
        <v>429</v>
      </c>
      <c r="D12494" t="s">
        <v>436</v>
      </c>
      <c r="E12494" t="s">
        <v>437</v>
      </c>
      <c r="F12494" t="s">
        <v>410</v>
      </c>
      <c r="G12494">
        <v>9</v>
      </c>
      <c r="H12494">
        <v>9</v>
      </c>
      <c r="I12494">
        <v>9</v>
      </c>
      <c r="J12494">
        <v>9</v>
      </c>
      <c r="K12494">
        <v>0</v>
      </c>
      <c r="L12494">
        <v>0</v>
      </c>
      <c r="M12494">
        <v>8</v>
      </c>
      <c r="N12494">
        <v>1</v>
      </c>
      <c r="O12494">
        <v>0</v>
      </c>
      <c r="P12494">
        <v>0</v>
      </c>
      <c r="Q12494">
        <v>0</v>
      </c>
    </row>
    <row r="12495" spans="1:17" x14ac:dyDescent="0.2">
      <c r="A12495" s="121">
        <v>43373</v>
      </c>
      <c r="B12495" t="s">
        <v>406</v>
      </c>
      <c r="C12495" t="s">
        <v>429</v>
      </c>
      <c r="D12495" t="s">
        <v>438</v>
      </c>
      <c r="E12495" t="s">
        <v>439</v>
      </c>
      <c r="F12495" t="s">
        <v>413</v>
      </c>
      <c r="G12495">
        <v>1074</v>
      </c>
      <c r="H12495">
        <v>1074</v>
      </c>
      <c r="I12495">
        <v>990</v>
      </c>
      <c r="J12495">
        <v>990</v>
      </c>
      <c r="K12495">
        <v>75</v>
      </c>
      <c r="L12495">
        <v>0</v>
      </c>
      <c r="M12495">
        <v>887</v>
      </c>
      <c r="N12495">
        <v>73</v>
      </c>
      <c r="O12495">
        <v>39</v>
      </c>
      <c r="P12495">
        <v>3</v>
      </c>
      <c r="Q12495">
        <v>1</v>
      </c>
    </row>
    <row r="12496" spans="1:17" x14ac:dyDescent="0.2">
      <c r="A12496" s="121">
        <v>43373</v>
      </c>
      <c r="B12496" t="s">
        <v>406</v>
      </c>
      <c r="C12496" t="s">
        <v>429</v>
      </c>
      <c r="D12496" t="s">
        <v>440</v>
      </c>
      <c r="E12496" t="s">
        <v>441</v>
      </c>
      <c r="F12496" t="s">
        <v>413</v>
      </c>
      <c r="G12496">
        <v>2843</v>
      </c>
      <c r="H12496">
        <v>2843</v>
      </c>
      <c r="I12496">
        <v>2616</v>
      </c>
      <c r="J12496">
        <v>2616</v>
      </c>
      <c r="K12496">
        <v>840</v>
      </c>
      <c r="L12496">
        <v>1</v>
      </c>
      <c r="M12496">
        <v>1874</v>
      </c>
      <c r="N12496">
        <v>93</v>
      </c>
      <c r="O12496">
        <v>35</v>
      </c>
      <c r="P12496">
        <v>4</v>
      </c>
      <c r="Q12496">
        <v>0</v>
      </c>
    </row>
    <row r="12497" spans="1:17" x14ac:dyDescent="0.2">
      <c r="A12497" s="121">
        <v>43373</v>
      </c>
      <c r="B12497" t="s">
        <v>406</v>
      </c>
      <c r="C12497" t="s">
        <v>442</v>
      </c>
      <c r="D12497" t="s">
        <v>443</v>
      </c>
      <c r="E12497" t="s">
        <v>444</v>
      </c>
      <c r="F12497" t="s">
        <v>413</v>
      </c>
      <c r="G12497">
        <v>5537</v>
      </c>
      <c r="H12497">
        <v>5537</v>
      </c>
      <c r="I12497">
        <v>5196</v>
      </c>
      <c r="J12497">
        <v>5196</v>
      </c>
      <c r="K12497">
        <v>1596</v>
      </c>
      <c r="L12497">
        <v>14</v>
      </c>
      <c r="M12497">
        <v>3751</v>
      </c>
      <c r="N12497">
        <v>121</v>
      </c>
      <c r="O12497">
        <v>55</v>
      </c>
      <c r="P12497">
        <v>7</v>
      </c>
      <c r="Q12497">
        <v>0</v>
      </c>
    </row>
    <row r="12498" spans="1:17" x14ac:dyDescent="0.2">
      <c r="A12498" s="121">
        <v>43373</v>
      </c>
      <c r="B12498" t="s">
        <v>406</v>
      </c>
      <c r="C12498" t="s">
        <v>442</v>
      </c>
      <c r="D12498" t="s">
        <v>445</v>
      </c>
      <c r="E12498" t="s">
        <v>446</v>
      </c>
      <c r="F12498" t="s">
        <v>410</v>
      </c>
      <c r="G12498">
        <v>142</v>
      </c>
      <c r="H12498">
        <v>142</v>
      </c>
      <c r="I12498">
        <v>142</v>
      </c>
      <c r="J12498">
        <v>142</v>
      </c>
      <c r="K12498">
        <v>2</v>
      </c>
      <c r="L12498">
        <v>0</v>
      </c>
      <c r="M12498">
        <v>128</v>
      </c>
      <c r="N12498">
        <v>6</v>
      </c>
      <c r="O12498">
        <v>6</v>
      </c>
      <c r="P12498">
        <v>0</v>
      </c>
      <c r="Q12498">
        <v>0</v>
      </c>
    </row>
    <row r="12499" spans="1:17" x14ac:dyDescent="0.2">
      <c r="A12499" s="121">
        <v>43373</v>
      </c>
      <c r="B12499" t="s">
        <v>406</v>
      </c>
      <c r="C12499" t="s">
        <v>442</v>
      </c>
      <c r="D12499" t="s">
        <v>447</v>
      </c>
      <c r="E12499" t="s">
        <v>448</v>
      </c>
      <c r="F12499" t="s">
        <v>410</v>
      </c>
      <c r="G12499">
        <v>317</v>
      </c>
      <c r="H12499">
        <v>317</v>
      </c>
      <c r="I12499">
        <v>317</v>
      </c>
      <c r="J12499">
        <v>317</v>
      </c>
      <c r="K12499">
        <v>0</v>
      </c>
      <c r="L12499">
        <v>0</v>
      </c>
      <c r="M12499">
        <v>301</v>
      </c>
      <c r="N12499">
        <v>16</v>
      </c>
      <c r="O12499">
        <v>0</v>
      </c>
      <c r="P12499">
        <v>0</v>
      </c>
      <c r="Q12499">
        <v>0</v>
      </c>
    </row>
    <row r="12500" spans="1:17" x14ac:dyDescent="0.2">
      <c r="A12500" s="121">
        <v>43373</v>
      </c>
      <c r="B12500" t="s">
        <v>406</v>
      </c>
      <c r="C12500" t="s">
        <v>442</v>
      </c>
      <c r="D12500" t="s">
        <v>449</v>
      </c>
      <c r="E12500" t="s">
        <v>624</v>
      </c>
      <c r="F12500" t="s">
        <v>410</v>
      </c>
      <c r="G12500">
        <v>1752</v>
      </c>
      <c r="H12500">
        <v>1752</v>
      </c>
      <c r="I12500">
        <v>1751</v>
      </c>
      <c r="J12500">
        <v>1751</v>
      </c>
      <c r="K12500">
        <v>15</v>
      </c>
      <c r="L12500">
        <v>0</v>
      </c>
      <c r="M12500">
        <v>1569</v>
      </c>
      <c r="N12500">
        <v>152</v>
      </c>
      <c r="O12500">
        <v>16</v>
      </c>
      <c r="P12500">
        <v>1</v>
      </c>
      <c r="Q12500">
        <v>0</v>
      </c>
    </row>
    <row r="12501" spans="1:17" x14ac:dyDescent="0.2">
      <c r="A12501" s="121">
        <v>43373</v>
      </c>
      <c r="B12501" t="s">
        <v>406</v>
      </c>
      <c r="C12501" t="s">
        <v>451</v>
      </c>
      <c r="D12501" t="s">
        <v>454</v>
      </c>
      <c r="E12501" t="s">
        <v>621</v>
      </c>
      <c r="F12501" t="s">
        <v>410</v>
      </c>
      <c r="G12501">
        <v>1734</v>
      </c>
      <c r="H12501">
        <v>1734</v>
      </c>
      <c r="I12501">
        <v>1727</v>
      </c>
      <c r="J12501">
        <v>1727</v>
      </c>
      <c r="K12501">
        <v>1</v>
      </c>
      <c r="L12501">
        <v>0</v>
      </c>
      <c r="M12501">
        <v>1300</v>
      </c>
      <c r="N12501">
        <v>150</v>
      </c>
      <c r="O12501">
        <v>283</v>
      </c>
      <c r="P12501">
        <v>0</v>
      </c>
      <c r="Q12501">
        <v>0</v>
      </c>
    </row>
    <row r="12502" spans="1:17" x14ac:dyDescent="0.2">
      <c r="A12502" s="121">
        <v>43373</v>
      </c>
      <c r="B12502" t="s">
        <v>406</v>
      </c>
      <c r="C12502" t="s">
        <v>451</v>
      </c>
      <c r="D12502" t="s">
        <v>622</v>
      </c>
      <c r="E12502" t="s">
        <v>623</v>
      </c>
      <c r="F12502" t="s">
        <v>413</v>
      </c>
      <c r="G12502">
        <v>5467</v>
      </c>
      <c r="H12502">
        <v>5467</v>
      </c>
      <c r="I12502">
        <v>4191</v>
      </c>
      <c r="J12502">
        <v>4191</v>
      </c>
      <c r="K12502">
        <v>1438</v>
      </c>
      <c r="L12502">
        <v>7</v>
      </c>
      <c r="M12502">
        <v>3090</v>
      </c>
      <c r="N12502">
        <v>69</v>
      </c>
      <c r="O12502">
        <v>863</v>
      </c>
      <c r="P12502">
        <v>134</v>
      </c>
      <c r="Q12502">
        <v>47</v>
      </c>
    </row>
    <row r="12503" spans="1:17" x14ac:dyDescent="0.2">
      <c r="A12503" s="121">
        <v>43373</v>
      </c>
      <c r="B12503" t="s">
        <v>406</v>
      </c>
      <c r="C12503" t="s">
        <v>456</v>
      </c>
      <c r="D12503" t="s">
        <v>457</v>
      </c>
      <c r="E12503" t="s">
        <v>458</v>
      </c>
      <c r="F12503" t="s">
        <v>413</v>
      </c>
      <c r="G12503">
        <v>5125</v>
      </c>
      <c r="H12503">
        <v>5125</v>
      </c>
      <c r="I12503">
        <v>4603</v>
      </c>
      <c r="J12503">
        <v>4603</v>
      </c>
      <c r="K12503">
        <v>1357</v>
      </c>
      <c r="L12503">
        <v>10</v>
      </c>
      <c r="M12503">
        <v>3235</v>
      </c>
      <c r="N12503">
        <v>26</v>
      </c>
      <c r="O12503">
        <v>497</v>
      </c>
      <c r="P12503">
        <v>14</v>
      </c>
      <c r="Q12503">
        <v>1</v>
      </c>
    </row>
    <row r="12504" spans="1:17" x14ac:dyDescent="0.2">
      <c r="A12504" s="121">
        <v>43373</v>
      </c>
      <c r="B12504" t="s">
        <v>406</v>
      </c>
      <c r="C12504" t="s">
        <v>456</v>
      </c>
      <c r="D12504" t="s">
        <v>459</v>
      </c>
      <c r="E12504" t="s">
        <v>460</v>
      </c>
      <c r="F12504" t="s">
        <v>413</v>
      </c>
      <c r="G12504">
        <v>1533</v>
      </c>
      <c r="H12504">
        <v>1533</v>
      </c>
      <c r="I12504">
        <v>1524</v>
      </c>
      <c r="J12504">
        <v>1524</v>
      </c>
      <c r="K12504">
        <v>148</v>
      </c>
      <c r="L12504">
        <v>0</v>
      </c>
      <c r="M12504">
        <v>1352</v>
      </c>
      <c r="N12504">
        <v>0</v>
      </c>
      <c r="O12504">
        <v>33</v>
      </c>
      <c r="P12504">
        <v>0</v>
      </c>
      <c r="Q12504">
        <v>0</v>
      </c>
    </row>
    <row r="12505" spans="1:17" x14ac:dyDescent="0.2">
      <c r="A12505" s="121">
        <v>43373</v>
      </c>
      <c r="B12505" t="s">
        <v>406</v>
      </c>
      <c r="C12505" t="s">
        <v>456</v>
      </c>
      <c r="D12505" t="s">
        <v>461</v>
      </c>
      <c r="E12505" t="s">
        <v>462</v>
      </c>
      <c r="F12505" t="s">
        <v>410</v>
      </c>
      <c r="G12505">
        <v>98</v>
      </c>
      <c r="I12505">
        <v>98</v>
      </c>
    </row>
    <row r="12506" spans="1:17" x14ac:dyDescent="0.2">
      <c r="A12506" s="121">
        <v>43373</v>
      </c>
      <c r="B12506" t="s">
        <v>406</v>
      </c>
      <c r="C12506" t="s">
        <v>456</v>
      </c>
      <c r="D12506" t="s">
        <v>463</v>
      </c>
      <c r="E12506" t="s">
        <v>464</v>
      </c>
      <c r="F12506" t="s">
        <v>410</v>
      </c>
      <c r="G12506">
        <v>4</v>
      </c>
      <c r="I12506">
        <v>4</v>
      </c>
    </row>
    <row r="12507" spans="1:17" x14ac:dyDescent="0.2">
      <c r="A12507" s="121">
        <v>43373</v>
      </c>
      <c r="B12507" t="s">
        <v>406</v>
      </c>
      <c r="C12507" t="s">
        <v>456</v>
      </c>
      <c r="D12507" t="s">
        <v>465</v>
      </c>
      <c r="E12507" t="s">
        <v>466</v>
      </c>
      <c r="F12507" t="s">
        <v>410</v>
      </c>
      <c r="G12507">
        <v>29</v>
      </c>
      <c r="I12507">
        <v>29</v>
      </c>
    </row>
    <row r="12508" spans="1:17" x14ac:dyDescent="0.2">
      <c r="A12508" s="121">
        <v>43373</v>
      </c>
      <c r="B12508" t="s">
        <v>406</v>
      </c>
      <c r="C12508" t="s">
        <v>456</v>
      </c>
      <c r="D12508" t="s">
        <v>467</v>
      </c>
      <c r="E12508" t="s">
        <v>468</v>
      </c>
      <c r="F12508" t="s">
        <v>410</v>
      </c>
      <c r="G12508">
        <v>1236</v>
      </c>
      <c r="I12508">
        <v>1236</v>
      </c>
    </row>
    <row r="12509" spans="1:17" x14ac:dyDescent="0.2">
      <c r="A12509" s="121">
        <v>43373</v>
      </c>
      <c r="B12509" t="s">
        <v>406</v>
      </c>
      <c r="C12509" t="s">
        <v>456</v>
      </c>
      <c r="D12509" t="s">
        <v>469</v>
      </c>
      <c r="E12509" t="s">
        <v>470</v>
      </c>
      <c r="F12509" t="s">
        <v>410</v>
      </c>
      <c r="G12509">
        <v>675</v>
      </c>
      <c r="I12509">
        <v>674</v>
      </c>
    </row>
    <row r="12510" spans="1:17" x14ac:dyDescent="0.2">
      <c r="A12510" s="121">
        <v>43373</v>
      </c>
      <c r="B12510" t="s">
        <v>406</v>
      </c>
      <c r="C12510" t="s">
        <v>456</v>
      </c>
      <c r="D12510" t="s">
        <v>471</v>
      </c>
      <c r="E12510" t="s">
        <v>472</v>
      </c>
      <c r="F12510" t="s">
        <v>410</v>
      </c>
      <c r="G12510">
        <v>278</v>
      </c>
      <c r="I12510">
        <v>278</v>
      </c>
    </row>
    <row r="12511" spans="1:17" x14ac:dyDescent="0.2">
      <c r="A12511" s="121">
        <v>43373</v>
      </c>
      <c r="B12511" t="s">
        <v>406</v>
      </c>
      <c r="C12511" t="s">
        <v>456</v>
      </c>
      <c r="D12511" t="s">
        <v>473</v>
      </c>
      <c r="E12511" t="s">
        <v>474</v>
      </c>
      <c r="F12511" t="s">
        <v>410</v>
      </c>
      <c r="G12511">
        <v>154</v>
      </c>
      <c r="I12511">
        <v>154</v>
      </c>
    </row>
    <row r="12512" spans="1:17" x14ac:dyDescent="0.2">
      <c r="A12512" s="121">
        <v>43373</v>
      </c>
      <c r="B12512" t="s">
        <v>406</v>
      </c>
      <c r="C12512" t="s">
        <v>456</v>
      </c>
      <c r="D12512" t="s">
        <v>475</v>
      </c>
      <c r="E12512" t="s">
        <v>476</v>
      </c>
      <c r="F12512" t="s">
        <v>410</v>
      </c>
      <c r="G12512">
        <v>254</v>
      </c>
      <c r="I12512">
        <v>249</v>
      </c>
    </row>
    <row r="12513" spans="1:17" x14ac:dyDescent="0.2">
      <c r="A12513" s="121">
        <v>43373</v>
      </c>
      <c r="B12513" t="s">
        <v>406</v>
      </c>
      <c r="C12513" t="s">
        <v>456</v>
      </c>
      <c r="D12513" t="s">
        <v>477</v>
      </c>
      <c r="E12513" t="s">
        <v>478</v>
      </c>
      <c r="F12513" t="s">
        <v>413</v>
      </c>
      <c r="G12513">
        <v>2230</v>
      </c>
      <c r="H12513">
        <v>2230</v>
      </c>
      <c r="I12513">
        <v>2140</v>
      </c>
      <c r="J12513">
        <v>2140</v>
      </c>
      <c r="K12513">
        <v>364</v>
      </c>
      <c r="L12513">
        <v>1</v>
      </c>
      <c r="M12513">
        <v>1836</v>
      </c>
      <c r="N12513">
        <v>17</v>
      </c>
      <c r="O12513">
        <v>12</v>
      </c>
      <c r="P12513">
        <v>2</v>
      </c>
      <c r="Q12513">
        <v>0</v>
      </c>
    </row>
    <row r="12514" spans="1:17" x14ac:dyDescent="0.2">
      <c r="A12514" s="121">
        <v>43373</v>
      </c>
      <c r="B12514" t="s">
        <v>406</v>
      </c>
      <c r="C12514" t="s">
        <v>456</v>
      </c>
      <c r="D12514" t="s">
        <v>479</v>
      </c>
      <c r="E12514" t="s">
        <v>480</v>
      </c>
      <c r="F12514" t="s">
        <v>410</v>
      </c>
      <c r="G12514">
        <v>61</v>
      </c>
      <c r="I12514">
        <v>61</v>
      </c>
    </row>
    <row r="12515" spans="1:17" x14ac:dyDescent="0.2">
      <c r="A12515" s="121">
        <v>43373</v>
      </c>
      <c r="B12515" t="s">
        <v>406</v>
      </c>
      <c r="C12515" t="s">
        <v>456</v>
      </c>
      <c r="D12515" t="s">
        <v>481</v>
      </c>
      <c r="E12515" t="s">
        <v>482</v>
      </c>
      <c r="F12515" t="s">
        <v>410</v>
      </c>
      <c r="G12515">
        <v>12</v>
      </c>
      <c r="I12515">
        <v>12</v>
      </c>
    </row>
    <row r="12516" spans="1:17" x14ac:dyDescent="0.2">
      <c r="A12516" s="121">
        <v>43373</v>
      </c>
      <c r="B12516" t="s">
        <v>406</v>
      </c>
      <c r="C12516" t="s">
        <v>456</v>
      </c>
      <c r="D12516" t="s">
        <v>483</v>
      </c>
      <c r="E12516" t="s">
        <v>484</v>
      </c>
      <c r="F12516" t="s">
        <v>410</v>
      </c>
      <c r="G12516">
        <v>78</v>
      </c>
      <c r="I12516">
        <v>78</v>
      </c>
    </row>
    <row r="12517" spans="1:17" x14ac:dyDescent="0.2">
      <c r="A12517" s="121">
        <v>43373</v>
      </c>
      <c r="B12517" t="s">
        <v>406</v>
      </c>
      <c r="C12517" t="s">
        <v>456</v>
      </c>
      <c r="D12517" t="s">
        <v>487</v>
      </c>
      <c r="E12517" t="s">
        <v>488</v>
      </c>
      <c r="F12517" t="s">
        <v>410</v>
      </c>
      <c r="G12517">
        <v>15</v>
      </c>
      <c r="I12517">
        <v>15</v>
      </c>
    </row>
    <row r="12518" spans="1:17" x14ac:dyDescent="0.2">
      <c r="A12518" s="121">
        <v>43373</v>
      </c>
      <c r="B12518" t="s">
        <v>406</v>
      </c>
      <c r="C12518" t="s">
        <v>456</v>
      </c>
      <c r="D12518" t="s">
        <v>489</v>
      </c>
      <c r="E12518" t="s">
        <v>490</v>
      </c>
      <c r="F12518" t="s">
        <v>410</v>
      </c>
      <c r="G12518">
        <v>119</v>
      </c>
      <c r="I12518">
        <v>119</v>
      </c>
    </row>
    <row r="12519" spans="1:17" x14ac:dyDescent="0.2">
      <c r="A12519" s="121">
        <v>43373</v>
      </c>
      <c r="B12519" t="s">
        <v>406</v>
      </c>
      <c r="C12519" t="s">
        <v>456</v>
      </c>
      <c r="D12519" t="s">
        <v>628</v>
      </c>
      <c r="E12519" t="s">
        <v>629</v>
      </c>
      <c r="F12519" t="s">
        <v>410</v>
      </c>
      <c r="G12519">
        <v>39</v>
      </c>
      <c r="I12519">
        <v>39</v>
      </c>
    </row>
    <row r="12520" spans="1:17" x14ac:dyDescent="0.2">
      <c r="A12520" s="121">
        <v>43373</v>
      </c>
      <c r="B12520" t="s">
        <v>406</v>
      </c>
      <c r="C12520" t="s">
        <v>491</v>
      </c>
      <c r="D12520" t="s">
        <v>492</v>
      </c>
      <c r="E12520" t="s">
        <v>493</v>
      </c>
      <c r="F12520" t="s">
        <v>410</v>
      </c>
      <c r="G12520">
        <v>1527</v>
      </c>
      <c r="H12520">
        <v>1527</v>
      </c>
      <c r="I12520">
        <v>1491</v>
      </c>
      <c r="J12520">
        <v>1491</v>
      </c>
      <c r="K12520">
        <v>171</v>
      </c>
      <c r="L12520">
        <v>1</v>
      </c>
      <c r="M12520">
        <v>1255</v>
      </c>
      <c r="N12520">
        <v>90</v>
      </c>
      <c r="O12520">
        <v>10</v>
      </c>
      <c r="P12520">
        <v>0</v>
      </c>
      <c r="Q12520">
        <v>0</v>
      </c>
    </row>
    <row r="12521" spans="1:17" x14ac:dyDescent="0.2">
      <c r="A12521" s="121">
        <v>43373</v>
      </c>
      <c r="B12521" t="s">
        <v>406</v>
      </c>
      <c r="C12521" t="s">
        <v>491</v>
      </c>
      <c r="D12521" t="s">
        <v>494</v>
      </c>
      <c r="E12521" t="s">
        <v>495</v>
      </c>
      <c r="F12521" t="s">
        <v>413</v>
      </c>
      <c r="G12521">
        <v>2635</v>
      </c>
      <c r="H12521">
        <v>2635</v>
      </c>
      <c r="I12521">
        <v>2441</v>
      </c>
      <c r="J12521">
        <v>2441</v>
      </c>
      <c r="K12521">
        <v>640</v>
      </c>
      <c r="L12521">
        <v>5</v>
      </c>
      <c r="M12521">
        <v>1835</v>
      </c>
      <c r="N12521">
        <v>48</v>
      </c>
      <c r="O12521">
        <v>107</v>
      </c>
      <c r="P12521">
        <v>5</v>
      </c>
      <c r="Q12521">
        <v>0</v>
      </c>
    </row>
    <row r="12522" spans="1:17" x14ac:dyDescent="0.2">
      <c r="A12522" s="121">
        <v>43373</v>
      </c>
      <c r="B12522" t="s">
        <v>406</v>
      </c>
      <c r="C12522" t="s">
        <v>491</v>
      </c>
      <c r="D12522" t="s">
        <v>496</v>
      </c>
      <c r="E12522" t="s">
        <v>497</v>
      </c>
      <c r="F12522" t="s">
        <v>413</v>
      </c>
      <c r="G12522">
        <v>5574</v>
      </c>
      <c r="H12522">
        <v>5574</v>
      </c>
      <c r="I12522">
        <v>4836</v>
      </c>
      <c r="J12522">
        <v>4836</v>
      </c>
      <c r="K12522">
        <v>1708</v>
      </c>
      <c r="L12522">
        <v>12</v>
      </c>
      <c r="M12522">
        <v>3646</v>
      </c>
      <c r="N12522">
        <v>108</v>
      </c>
      <c r="O12522">
        <v>100</v>
      </c>
      <c r="P12522">
        <v>94</v>
      </c>
      <c r="Q12522">
        <v>1</v>
      </c>
    </row>
    <row r="12523" spans="1:17" x14ac:dyDescent="0.2">
      <c r="A12523" s="121">
        <v>43373</v>
      </c>
      <c r="B12523" t="s">
        <v>406</v>
      </c>
      <c r="C12523" t="s">
        <v>491</v>
      </c>
      <c r="D12523" t="s">
        <v>498</v>
      </c>
      <c r="E12523" t="s">
        <v>499</v>
      </c>
      <c r="F12523" t="s">
        <v>413</v>
      </c>
      <c r="G12523">
        <v>8001</v>
      </c>
      <c r="H12523">
        <v>8001</v>
      </c>
      <c r="I12523">
        <v>6893</v>
      </c>
      <c r="J12523">
        <v>6893</v>
      </c>
      <c r="K12523">
        <v>2333</v>
      </c>
      <c r="L12523">
        <v>20</v>
      </c>
      <c r="M12523">
        <v>5166</v>
      </c>
      <c r="N12523">
        <v>106</v>
      </c>
      <c r="O12523">
        <v>376</v>
      </c>
      <c r="P12523">
        <v>25</v>
      </c>
      <c r="Q12523">
        <v>0</v>
      </c>
    </row>
    <row r="12524" spans="1:17" x14ac:dyDescent="0.2">
      <c r="A12524" s="121">
        <v>43373</v>
      </c>
      <c r="B12524" t="s">
        <v>406</v>
      </c>
      <c r="C12524" t="s">
        <v>491</v>
      </c>
      <c r="D12524" t="s">
        <v>500</v>
      </c>
      <c r="E12524" t="s">
        <v>620</v>
      </c>
      <c r="F12524" t="s">
        <v>410</v>
      </c>
      <c r="G12524">
        <v>1823</v>
      </c>
      <c r="H12524">
        <v>1823</v>
      </c>
      <c r="I12524">
        <v>1822</v>
      </c>
      <c r="J12524">
        <v>1822</v>
      </c>
      <c r="K12524">
        <v>0</v>
      </c>
      <c r="L12524">
        <v>0</v>
      </c>
      <c r="M12524">
        <v>1662</v>
      </c>
      <c r="N12524">
        <v>129</v>
      </c>
      <c r="O12524">
        <v>32</v>
      </c>
      <c r="P12524">
        <v>0</v>
      </c>
      <c r="Q12524">
        <v>0</v>
      </c>
    </row>
    <row r="12525" spans="1:17" x14ac:dyDescent="0.2">
      <c r="A12525" s="121">
        <v>43373</v>
      </c>
      <c r="B12525" t="s">
        <v>406</v>
      </c>
      <c r="C12525" t="s">
        <v>491</v>
      </c>
      <c r="D12525" t="s">
        <v>502</v>
      </c>
      <c r="E12525" t="s">
        <v>615</v>
      </c>
      <c r="F12525" t="s">
        <v>410</v>
      </c>
      <c r="G12525">
        <v>2968</v>
      </c>
      <c r="H12525">
        <v>2968</v>
      </c>
      <c r="I12525">
        <v>2967</v>
      </c>
      <c r="J12525">
        <v>2967</v>
      </c>
      <c r="K12525">
        <v>1</v>
      </c>
      <c r="L12525">
        <v>0</v>
      </c>
      <c r="M12525">
        <v>2639</v>
      </c>
      <c r="N12525">
        <v>251</v>
      </c>
      <c r="O12525">
        <v>77</v>
      </c>
      <c r="P12525">
        <v>0</v>
      </c>
      <c r="Q12525">
        <v>0</v>
      </c>
    </row>
    <row r="12526" spans="1:17" x14ac:dyDescent="0.2">
      <c r="A12526" s="121">
        <v>43373</v>
      </c>
      <c r="B12526" t="s">
        <v>406</v>
      </c>
      <c r="C12526" t="s">
        <v>491</v>
      </c>
      <c r="D12526" t="s">
        <v>504</v>
      </c>
      <c r="E12526" t="s">
        <v>630</v>
      </c>
      <c r="F12526" t="s">
        <v>413</v>
      </c>
      <c r="G12526">
        <v>8641</v>
      </c>
      <c r="H12526">
        <v>8641</v>
      </c>
      <c r="I12526">
        <v>7439</v>
      </c>
      <c r="J12526">
        <v>7439</v>
      </c>
      <c r="K12526">
        <v>2709</v>
      </c>
      <c r="L12526">
        <v>27</v>
      </c>
      <c r="M12526">
        <v>5573</v>
      </c>
      <c r="N12526">
        <v>74</v>
      </c>
      <c r="O12526">
        <v>258</v>
      </c>
      <c r="P12526">
        <v>65</v>
      </c>
      <c r="Q12526">
        <v>1</v>
      </c>
    </row>
    <row r="12527" spans="1:17" x14ac:dyDescent="0.2">
      <c r="A12527" s="121">
        <v>43373</v>
      </c>
      <c r="B12527" t="s">
        <v>406</v>
      </c>
      <c r="C12527" t="s">
        <v>491</v>
      </c>
      <c r="D12527" t="s">
        <v>506</v>
      </c>
      <c r="E12527" t="s">
        <v>507</v>
      </c>
      <c r="F12527" t="s">
        <v>413</v>
      </c>
      <c r="G12527">
        <v>5344</v>
      </c>
      <c r="H12527">
        <v>5344</v>
      </c>
      <c r="I12527">
        <v>5235</v>
      </c>
      <c r="J12527">
        <v>5235</v>
      </c>
      <c r="K12527">
        <v>1084</v>
      </c>
      <c r="L12527">
        <v>4</v>
      </c>
      <c r="M12527">
        <v>4239</v>
      </c>
      <c r="N12527">
        <v>5</v>
      </c>
      <c r="O12527">
        <v>12</v>
      </c>
      <c r="P12527">
        <v>2</v>
      </c>
      <c r="Q12527">
        <v>0</v>
      </c>
    </row>
    <row r="12528" spans="1:17" x14ac:dyDescent="0.2">
      <c r="A12528" s="121">
        <v>43373</v>
      </c>
      <c r="B12528" t="s">
        <v>406</v>
      </c>
      <c r="C12528" t="s">
        <v>510</v>
      </c>
      <c r="D12528" t="s">
        <v>513</v>
      </c>
      <c r="E12528" t="s">
        <v>514</v>
      </c>
      <c r="F12528" t="s">
        <v>410</v>
      </c>
      <c r="G12528">
        <v>692</v>
      </c>
      <c r="I12528">
        <v>690</v>
      </c>
    </row>
    <row r="12529" spans="1:17" x14ac:dyDescent="0.2">
      <c r="A12529" s="121">
        <v>43373</v>
      </c>
      <c r="B12529" t="s">
        <v>406</v>
      </c>
      <c r="C12529" t="s">
        <v>510</v>
      </c>
      <c r="D12529" t="s">
        <v>515</v>
      </c>
      <c r="E12529" t="s">
        <v>516</v>
      </c>
      <c r="F12529" t="s">
        <v>410</v>
      </c>
      <c r="G12529">
        <v>112</v>
      </c>
      <c r="I12529">
        <v>112</v>
      </c>
    </row>
    <row r="12530" spans="1:17" x14ac:dyDescent="0.2">
      <c r="A12530" s="121">
        <v>43373</v>
      </c>
      <c r="B12530" t="s">
        <v>406</v>
      </c>
      <c r="C12530" t="s">
        <v>510</v>
      </c>
      <c r="D12530" t="s">
        <v>519</v>
      </c>
      <c r="E12530" t="s">
        <v>520</v>
      </c>
      <c r="F12530" t="s">
        <v>410</v>
      </c>
      <c r="G12530">
        <v>357</v>
      </c>
      <c r="I12530">
        <v>350</v>
      </c>
    </row>
    <row r="12531" spans="1:17" x14ac:dyDescent="0.2">
      <c r="A12531" s="121">
        <v>43373</v>
      </c>
      <c r="B12531" t="s">
        <v>406</v>
      </c>
      <c r="C12531" t="s">
        <v>510</v>
      </c>
      <c r="D12531" t="s">
        <v>523</v>
      </c>
      <c r="E12531" t="s">
        <v>524</v>
      </c>
      <c r="F12531" t="s">
        <v>413</v>
      </c>
      <c r="G12531">
        <v>645</v>
      </c>
      <c r="H12531">
        <v>645</v>
      </c>
      <c r="I12531">
        <v>626</v>
      </c>
      <c r="J12531">
        <v>626</v>
      </c>
      <c r="K12531">
        <v>175</v>
      </c>
      <c r="L12531">
        <v>0</v>
      </c>
      <c r="M12531">
        <v>456</v>
      </c>
      <c r="N12531">
        <v>14</v>
      </c>
      <c r="O12531">
        <v>0</v>
      </c>
      <c r="P12531">
        <v>2</v>
      </c>
      <c r="Q12531">
        <v>0</v>
      </c>
    </row>
    <row r="12532" spans="1:17" x14ac:dyDescent="0.2">
      <c r="A12532" s="121">
        <v>43373</v>
      </c>
      <c r="B12532" t="s">
        <v>406</v>
      </c>
      <c r="C12532" t="s">
        <v>510</v>
      </c>
      <c r="D12532" t="s">
        <v>525</v>
      </c>
      <c r="E12532" t="s">
        <v>526</v>
      </c>
      <c r="F12532" t="s">
        <v>410</v>
      </c>
      <c r="G12532">
        <v>491</v>
      </c>
      <c r="I12532">
        <v>487</v>
      </c>
    </row>
    <row r="12533" spans="1:17" x14ac:dyDescent="0.2">
      <c r="A12533" s="121">
        <v>43373</v>
      </c>
      <c r="B12533" t="s">
        <v>406</v>
      </c>
      <c r="C12533" t="s">
        <v>510</v>
      </c>
      <c r="D12533" t="s">
        <v>527</v>
      </c>
      <c r="E12533" t="s">
        <v>528</v>
      </c>
      <c r="F12533" t="s">
        <v>410</v>
      </c>
      <c r="G12533">
        <v>207</v>
      </c>
      <c r="I12533">
        <v>206</v>
      </c>
    </row>
    <row r="12534" spans="1:17" x14ac:dyDescent="0.2">
      <c r="A12534" s="121">
        <v>43373</v>
      </c>
      <c r="B12534" t="s">
        <v>406</v>
      </c>
      <c r="C12534" t="s">
        <v>510</v>
      </c>
      <c r="D12534" t="s">
        <v>529</v>
      </c>
      <c r="E12534" t="s">
        <v>530</v>
      </c>
      <c r="F12534" t="s">
        <v>413</v>
      </c>
      <c r="G12534">
        <v>670</v>
      </c>
      <c r="H12534">
        <v>670</v>
      </c>
      <c r="I12534">
        <v>639</v>
      </c>
      <c r="J12534">
        <v>639</v>
      </c>
      <c r="K12534">
        <v>205</v>
      </c>
      <c r="L12534">
        <v>0</v>
      </c>
      <c r="M12534">
        <v>462</v>
      </c>
      <c r="N12534">
        <v>3</v>
      </c>
      <c r="O12534">
        <v>0</v>
      </c>
      <c r="P12534">
        <v>3</v>
      </c>
      <c r="Q12534">
        <v>0</v>
      </c>
    </row>
    <row r="12535" spans="1:17" x14ac:dyDescent="0.2">
      <c r="A12535" s="121">
        <v>43373</v>
      </c>
      <c r="B12535" t="s">
        <v>406</v>
      </c>
      <c r="C12535" t="s">
        <v>510</v>
      </c>
      <c r="D12535" t="s">
        <v>531</v>
      </c>
      <c r="E12535" t="s">
        <v>532</v>
      </c>
      <c r="F12535" t="s">
        <v>410</v>
      </c>
      <c r="G12535">
        <v>37</v>
      </c>
      <c r="I12535">
        <v>37</v>
      </c>
    </row>
    <row r="12536" spans="1:17" x14ac:dyDescent="0.2">
      <c r="A12536" s="121">
        <v>43373</v>
      </c>
      <c r="B12536" t="s">
        <v>406</v>
      </c>
      <c r="C12536" t="s">
        <v>510</v>
      </c>
      <c r="D12536" t="s">
        <v>533</v>
      </c>
      <c r="E12536" t="s">
        <v>534</v>
      </c>
      <c r="F12536" t="s">
        <v>413</v>
      </c>
      <c r="G12536">
        <v>3069</v>
      </c>
      <c r="H12536">
        <v>3069</v>
      </c>
      <c r="I12536">
        <v>2847</v>
      </c>
      <c r="J12536">
        <v>2847</v>
      </c>
      <c r="K12536">
        <v>766</v>
      </c>
      <c r="L12536">
        <v>5</v>
      </c>
      <c r="M12536">
        <v>2282</v>
      </c>
      <c r="N12536">
        <v>16</v>
      </c>
      <c r="O12536">
        <v>0</v>
      </c>
      <c r="P12536">
        <v>4</v>
      </c>
      <c r="Q12536">
        <v>0</v>
      </c>
    </row>
    <row r="12537" spans="1:17" x14ac:dyDescent="0.2">
      <c r="A12537" s="121">
        <v>43373</v>
      </c>
      <c r="B12537" t="s">
        <v>406</v>
      </c>
      <c r="C12537" t="s">
        <v>510</v>
      </c>
      <c r="D12537" t="s">
        <v>535</v>
      </c>
      <c r="E12537" t="s">
        <v>536</v>
      </c>
      <c r="F12537" t="s">
        <v>410</v>
      </c>
      <c r="G12537">
        <v>407</v>
      </c>
      <c r="I12537">
        <v>407</v>
      </c>
    </row>
    <row r="12538" spans="1:17" x14ac:dyDescent="0.2">
      <c r="A12538" s="121">
        <v>43373</v>
      </c>
      <c r="B12538" t="s">
        <v>406</v>
      </c>
      <c r="C12538" t="s">
        <v>510</v>
      </c>
      <c r="D12538" t="s">
        <v>537</v>
      </c>
      <c r="E12538" t="s">
        <v>538</v>
      </c>
      <c r="F12538" t="s">
        <v>410</v>
      </c>
      <c r="G12538">
        <v>66</v>
      </c>
      <c r="I12538">
        <v>66</v>
      </c>
    </row>
    <row r="12539" spans="1:17" x14ac:dyDescent="0.2">
      <c r="A12539" s="121">
        <v>43373</v>
      </c>
      <c r="B12539" t="s">
        <v>406</v>
      </c>
      <c r="C12539" t="s">
        <v>510</v>
      </c>
      <c r="D12539" t="s">
        <v>539</v>
      </c>
      <c r="E12539" t="s">
        <v>540</v>
      </c>
      <c r="F12539" t="s">
        <v>413</v>
      </c>
      <c r="G12539">
        <v>866</v>
      </c>
      <c r="H12539">
        <v>866</v>
      </c>
      <c r="I12539">
        <v>839</v>
      </c>
      <c r="J12539">
        <v>839</v>
      </c>
      <c r="K12539">
        <v>153</v>
      </c>
      <c r="L12539">
        <v>1</v>
      </c>
      <c r="M12539">
        <v>710</v>
      </c>
      <c r="N12539">
        <v>2</v>
      </c>
      <c r="O12539">
        <v>0</v>
      </c>
      <c r="P12539">
        <v>0</v>
      </c>
      <c r="Q12539">
        <v>0</v>
      </c>
    </row>
    <row r="12540" spans="1:17" x14ac:dyDescent="0.2">
      <c r="A12540" s="121">
        <v>43373</v>
      </c>
      <c r="B12540" t="s">
        <v>406</v>
      </c>
      <c r="C12540" t="s">
        <v>510</v>
      </c>
      <c r="D12540" t="s">
        <v>541</v>
      </c>
      <c r="E12540" t="s">
        <v>542</v>
      </c>
      <c r="F12540" t="s">
        <v>410</v>
      </c>
      <c r="G12540">
        <v>446</v>
      </c>
      <c r="I12540">
        <v>445</v>
      </c>
    </row>
    <row r="12541" spans="1:17" x14ac:dyDescent="0.2">
      <c r="A12541" s="121">
        <v>43373</v>
      </c>
      <c r="B12541" t="s">
        <v>406</v>
      </c>
      <c r="C12541" t="s">
        <v>510</v>
      </c>
      <c r="D12541" t="s">
        <v>543</v>
      </c>
      <c r="E12541" t="s">
        <v>544</v>
      </c>
      <c r="F12541" t="s">
        <v>410</v>
      </c>
      <c r="G12541">
        <v>213</v>
      </c>
      <c r="I12541">
        <v>213</v>
      </c>
    </row>
    <row r="12542" spans="1:17" x14ac:dyDescent="0.2">
      <c r="A12542" s="121">
        <v>43373</v>
      </c>
      <c r="B12542" t="s">
        <v>406</v>
      </c>
      <c r="C12542" t="s">
        <v>510</v>
      </c>
      <c r="D12542" t="s">
        <v>545</v>
      </c>
      <c r="E12542" t="s">
        <v>546</v>
      </c>
      <c r="F12542" t="s">
        <v>410</v>
      </c>
      <c r="G12542">
        <v>49</v>
      </c>
      <c r="I12542">
        <v>49</v>
      </c>
    </row>
    <row r="12543" spans="1:17" x14ac:dyDescent="0.2">
      <c r="A12543" s="121">
        <v>43373</v>
      </c>
      <c r="B12543" t="s">
        <v>406</v>
      </c>
      <c r="C12543" t="s">
        <v>510</v>
      </c>
      <c r="D12543" t="s">
        <v>547</v>
      </c>
      <c r="E12543" t="s">
        <v>548</v>
      </c>
      <c r="F12543" t="s">
        <v>410</v>
      </c>
      <c r="G12543">
        <v>157</v>
      </c>
      <c r="I12543">
        <v>157</v>
      </c>
    </row>
    <row r="12544" spans="1:17" x14ac:dyDescent="0.2">
      <c r="A12544" s="121">
        <v>43373</v>
      </c>
      <c r="B12544" t="s">
        <v>406</v>
      </c>
      <c r="C12544" t="s">
        <v>510</v>
      </c>
      <c r="D12544" t="s">
        <v>616</v>
      </c>
      <c r="E12544" t="s">
        <v>617</v>
      </c>
      <c r="F12544" t="s">
        <v>410</v>
      </c>
      <c r="G12544">
        <v>391</v>
      </c>
      <c r="I12544">
        <v>384</v>
      </c>
    </row>
    <row r="12545" spans="1:17" x14ac:dyDescent="0.2">
      <c r="A12545" s="121">
        <v>43373</v>
      </c>
      <c r="B12545" t="s">
        <v>406</v>
      </c>
      <c r="C12545" t="s">
        <v>510</v>
      </c>
      <c r="D12545" t="s">
        <v>549</v>
      </c>
      <c r="E12545" t="s">
        <v>550</v>
      </c>
      <c r="F12545" t="s">
        <v>410</v>
      </c>
      <c r="G12545">
        <v>116</v>
      </c>
      <c r="I12545">
        <v>116</v>
      </c>
    </row>
    <row r="12546" spans="1:17" x14ac:dyDescent="0.2">
      <c r="A12546" s="121">
        <v>43373</v>
      </c>
      <c r="B12546" t="s">
        <v>406</v>
      </c>
      <c r="C12546" t="s">
        <v>510</v>
      </c>
      <c r="D12546" t="s">
        <v>625</v>
      </c>
      <c r="E12546" t="s">
        <v>626</v>
      </c>
      <c r="F12546" t="s">
        <v>410</v>
      </c>
      <c r="G12546">
        <v>76</v>
      </c>
      <c r="I12546">
        <v>75</v>
      </c>
    </row>
    <row r="12547" spans="1:17" x14ac:dyDescent="0.2">
      <c r="A12547" s="121">
        <v>43373</v>
      </c>
      <c r="B12547" t="s">
        <v>406</v>
      </c>
      <c r="C12547" t="s">
        <v>551</v>
      </c>
      <c r="D12547" t="s">
        <v>552</v>
      </c>
      <c r="E12547" t="s">
        <v>553</v>
      </c>
      <c r="F12547" t="s">
        <v>413</v>
      </c>
      <c r="G12547">
        <v>5689</v>
      </c>
      <c r="H12547">
        <v>5689</v>
      </c>
      <c r="I12547">
        <v>5290</v>
      </c>
      <c r="J12547">
        <v>5290</v>
      </c>
      <c r="K12547">
        <v>1773</v>
      </c>
      <c r="L12547">
        <v>1</v>
      </c>
      <c r="M12547">
        <v>3752</v>
      </c>
      <c r="N12547">
        <v>110</v>
      </c>
      <c r="O12547">
        <v>53</v>
      </c>
      <c r="P12547">
        <v>11</v>
      </c>
      <c r="Q12547">
        <v>0</v>
      </c>
    </row>
    <row r="12548" spans="1:17" x14ac:dyDescent="0.2">
      <c r="A12548" s="121">
        <v>43373</v>
      </c>
      <c r="B12548" t="s">
        <v>406</v>
      </c>
      <c r="C12548" t="s">
        <v>551</v>
      </c>
      <c r="D12548" t="s">
        <v>554</v>
      </c>
      <c r="E12548" t="s">
        <v>555</v>
      </c>
      <c r="F12548" t="s">
        <v>410</v>
      </c>
      <c r="G12548">
        <v>67</v>
      </c>
      <c r="I12548">
        <v>67</v>
      </c>
    </row>
    <row r="12549" spans="1:17" x14ac:dyDescent="0.2">
      <c r="A12549" s="121">
        <v>43373</v>
      </c>
      <c r="B12549" t="s">
        <v>406</v>
      </c>
      <c r="C12549" t="s">
        <v>551</v>
      </c>
      <c r="D12549" t="s">
        <v>556</v>
      </c>
      <c r="E12549" t="s">
        <v>557</v>
      </c>
      <c r="F12549" t="s">
        <v>410</v>
      </c>
      <c r="G12549">
        <v>62</v>
      </c>
      <c r="I12549">
        <v>62</v>
      </c>
    </row>
    <row r="12550" spans="1:17" x14ac:dyDescent="0.2">
      <c r="A12550" s="121">
        <v>43373</v>
      </c>
      <c r="B12550" t="s">
        <v>406</v>
      </c>
      <c r="C12550" t="s">
        <v>551</v>
      </c>
      <c r="D12550" t="s">
        <v>558</v>
      </c>
      <c r="E12550" t="s">
        <v>559</v>
      </c>
      <c r="F12550" t="s">
        <v>413</v>
      </c>
      <c r="G12550">
        <v>5445</v>
      </c>
      <c r="H12550">
        <v>5445</v>
      </c>
      <c r="I12550">
        <v>4945</v>
      </c>
      <c r="J12550">
        <v>4945</v>
      </c>
      <c r="K12550">
        <v>1483</v>
      </c>
      <c r="L12550">
        <v>4</v>
      </c>
      <c r="M12550">
        <v>3863</v>
      </c>
      <c r="N12550">
        <v>77</v>
      </c>
      <c r="O12550">
        <v>18</v>
      </c>
      <c r="P12550">
        <v>40</v>
      </c>
      <c r="Q12550">
        <v>11</v>
      </c>
    </row>
    <row r="12551" spans="1:17" x14ac:dyDescent="0.2">
      <c r="A12551" s="121">
        <v>43373</v>
      </c>
      <c r="B12551" t="s">
        <v>406</v>
      </c>
      <c r="C12551" t="s">
        <v>551</v>
      </c>
      <c r="D12551" t="s">
        <v>560</v>
      </c>
      <c r="E12551" t="s">
        <v>561</v>
      </c>
      <c r="F12551" t="s">
        <v>413</v>
      </c>
      <c r="G12551">
        <v>5970</v>
      </c>
      <c r="H12551">
        <v>5970</v>
      </c>
      <c r="I12551">
        <v>5356</v>
      </c>
      <c r="J12551">
        <v>5356</v>
      </c>
      <c r="K12551">
        <v>1708</v>
      </c>
      <c r="L12551">
        <v>6</v>
      </c>
      <c r="M12551">
        <v>4143</v>
      </c>
      <c r="N12551">
        <v>72</v>
      </c>
      <c r="O12551">
        <v>41</v>
      </c>
      <c r="P12551">
        <v>39</v>
      </c>
      <c r="Q12551">
        <v>2</v>
      </c>
    </row>
    <row r="12552" spans="1:17" x14ac:dyDescent="0.2">
      <c r="A12552" s="121">
        <v>43373</v>
      </c>
      <c r="B12552" t="s">
        <v>406</v>
      </c>
      <c r="C12552" t="s">
        <v>562</v>
      </c>
      <c r="D12552" t="s">
        <v>605</v>
      </c>
      <c r="E12552" t="s">
        <v>606</v>
      </c>
      <c r="F12552" t="s">
        <v>410</v>
      </c>
      <c r="G12552">
        <v>181</v>
      </c>
      <c r="I12552">
        <v>181</v>
      </c>
    </row>
    <row r="12553" spans="1:17" x14ac:dyDescent="0.2">
      <c r="A12553" s="121">
        <v>43373</v>
      </c>
      <c r="B12553" t="s">
        <v>406</v>
      </c>
      <c r="C12553" t="s">
        <v>562</v>
      </c>
      <c r="D12553" t="s">
        <v>563</v>
      </c>
      <c r="E12553" t="s">
        <v>564</v>
      </c>
      <c r="F12553" t="s">
        <v>410</v>
      </c>
      <c r="G12553">
        <v>3951</v>
      </c>
      <c r="H12553">
        <v>3951</v>
      </c>
      <c r="I12553">
        <v>3479</v>
      </c>
      <c r="J12553">
        <v>3479</v>
      </c>
      <c r="K12553">
        <v>1019</v>
      </c>
      <c r="L12553">
        <v>1</v>
      </c>
      <c r="M12553">
        <v>2920</v>
      </c>
      <c r="N12553">
        <v>11</v>
      </c>
      <c r="O12553">
        <v>0</v>
      </c>
      <c r="P12553">
        <v>97</v>
      </c>
      <c r="Q12553">
        <v>47</v>
      </c>
    </row>
    <row r="12554" spans="1:17" x14ac:dyDescent="0.2">
      <c r="A12554" s="121">
        <v>43373</v>
      </c>
      <c r="B12554" t="s">
        <v>406</v>
      </c>
      <c r="C12554" t="s">
        <v>562</v>
      </c>
      <c r="D12554" t="s">
        <v>565</v>
      </c>
      <c r="E12554" t="s">
        <v>566</v>
      </c>
      <c r="F12554" t="s">
        <v>413</v>
      </c>
      <c r="G12554">
        <v>4909</v>
      </c>
      <c r="H12554">
        <v>4909</v>
      </c>
      <c r="I12554">
        <v>4269</v>
      </c>
      <c r="J12554">
        <v>4269</v>
      </c>
      <c r="K12554">
        <v>1003</v>
      </c>
      <c r="L12554">
        <v>6</v>
      </c>
      <c r="M12554">
        <v>3819</v>
      </c>
      <c r="N12554">
        <v>81</v>
      </c>
      <c r="O12554">
        <v>0</v>
      </c>
      <c r="P12554">
        <v>73</v>
      </c>
      <c r="Q12554">
        <v>11</v>
      </c>
    </row>
    <row r="12555" spans="1:17" x14ac:dyDescent="0.2">
      <c r="A12555" s="121">
        <v>43373</v>
      </c>
      <c r="B12555" t="s">
        <v>406</v>
      </c>
      <c r="C12555" t="s">
        <v>562</v>
      </c>
      <c r="D12555" t="s">
        <v>567</v>
      </c>
      <c r="E12555" t="s">
        <v>568</v>
      </c>
      <c r="F12555" t="s">
        <v>413</v>
      </c>
      <c r="G12555">
        <v>10111</v>
      </c>
      <c r="H12555">
        <v>10111</v>
      </c>
      <c r="I12555">
        <v>7601</v>
      </c>
      <c r="J12555">
        <v>7601</v>
      </c>
      <c r="K12555">
        <v>2692</v>
      </c>
      <c r="L12555">
        <v>12</v>
      </c>
      <c r="M12555">
        <v>7241</v>
      </c>
      <c r="N12555">
        <v>166</v>
      </c>
      <c r="O12555">
        <v>0</v>
      </c>
      <c r="P12555">
        <v>289</v>
      </c>
      <c r="Q12555">
        <v>63</v>
      </c>
    </row>
    <row r="12556" spans="1:17" x14ac:dyDescent="0.2">
      <c r="A12556" s="121">
        <v>43373</v>
      </c>
      <c r="B12556" t="s">
        <v>406</v>
      </c>
      <c r="C12556" t="s">
        <v>562</v>
      </c>
      <c r="D12556" t="s">
        <v>569</v>
      </c>
      <c r="E12556" t="s">
        <v>570</v>
      </c>
      <c r="F12556" t="s">
        <v>413</v>
      </c>
      <c r="G12556">
        <v>3966</v>
      </c>
      <c r="H12556">
        <v>3966</v>
      </c>
      <c r="I12556">
        <v>3766</v>
      </c>
      <c r="J12556">
        <v>3766</v>
      </c>
      <c r="K12556">
        <v>554</v>
      </c>
      <c r="L12556">
        <v>0</v>
      </c>
      <c r="M12556">
        <v>3412</v>
      </c>
      <c r="N12556">
        <v>0</v>
      </c>
      <c r="O12556">
        <v>0</v>
      </c>
      <c r="P12556">
        <v>4</v>
      </c>
      <c r="Q12556">
        <v>0</v>
      </c>
    </row>
    <row r="12557" spans="1:17" x14ac:dyDescent="0.2">
      <c r="A12557" s="121">
        <v>43373</v>
      </c>
      <c r="B12557" t="s">
        <v>406</v>
      </c>
      <c r="C12557" t="s">
        <v>571</v>
      </c>
      <c r="D12557" t="s">
        <v>572</v>
      </c>
      <c r="E12557" t="s">
        <v>627</v>
      </c>
      <c r="F12557" t="s">
        <v>413</v>
      </c>
      <c r="G12557">
        <v>572</v>
      </c>
      <c r="H12557">
        <v>572</v>
      </c>
      <c r="I12557">
        <v>536</v>
      </c>
      <c r="J12557">
        <v>536</v>
      </c>
      <c r="K12557">
        <v>157</v>
      </c>
      <c r="L12557">
        <v>2</v>
      </c>
      <c r="M12557">
        <v>407</v>
      </c>
      <c r="N12557">
        <v>1</v>
      </c>
      <c r="O12557">
        <v>5</v>
      </c>
      <c r="P12557">
        <v>2</v>
      </c>
      <c r="Q12557">
        <v>0</v>
      </c>
    </row>
    <row r="12558" spans="1:17" x14ac:dyDescent="0.2">
      <c r="A12558" s="121">
        <v>43373</v>
      </c>
      <c r="B12558" t="s">
        <v>406</v>
      </c>
      <c r="C12558" t="s">
        <v>574</v>
      </c>
      <c r="D12558" t="s">
        <v>575</v>
      </c>
      <c r="E12558" t="s">
        <v>576</v>
      </c>
      <c r="F12558" t="s">
        <v>413</v>
      </c>
      <c r="G12558">
        <v>589</v>
      </c>
      <c r="H12558">
        <v>589</v>
      </c>
      <c r="I12558">
        <v>569</v>
      </c>
      <c r="J12558">
        <v>569</v>
      </c>
      <c r="K12558">
        <v>147</v>
      </c>
      <c r="L12558">
        <v>0</v>
      </c>
      <c r="M12558">
        <v>435</v>
      </c>
      <c r="N12558">
        <v>3</v>
      </c>
      <c r="O12558">
        <v>4</v>
      </c>
      <c r="P12558">
        <v>0</v>
      </c>
      <c r="Q12558">
        <v>0</v>
      </c>
    </row>
    <row r="12559" spans="1:17" x14ac:dyDescent="0.2">
      <c r="A12559" s="121">
        <v>43373</v>
      </c>
      <c r="B12559" t="s">
        <v>406</v>
      </c>
      <c r="C12559" t="s">
        <v>577</v>
      </c>
      <c r="D12559" t="s">
        <v>578</v>
      </c>
      <c r="E12559" t="s">
        <v>579</v>
      </c>
      <c r="F12559" t="s">
        <v>413</v>
      </c>
      <c r="G12559">
        <v>4354</v>
      </c>
      <c r="H12559">
        <v>4354</v>
      </c>
      <c r="I12559">
        <v>4210</v>
      </c>
      <c r="J12559">
        <v>4210</v>
      </c>
      <c r="K12559">
        <v>1297</v>
      </c>
      <c r="L12559">
        <v>8</v>
      </c>
      <c r="M12559">
        <v>2749</v>
      </c>
      <c r="N12559">
        <v>226</v>
      </c>
      <c r="O12559">
        <v>74</v>
      </c>
      <c r="P12559">
        <v>0</v>
      </c>
      <c r="Q12559">
        <v>0</v>
      </c>
    </row>
    <row r="12560" spans="1:17" x14ac:dyDescent="0.2">
      <c r="A12560" s="121">
        <v>43373</v>
      </c>
      <c r="B12560" t="s">
        <v>406</v>
      </c>
      <c r="C12560" t="s">
        <v>577</v>
      </c>
      <c r="D12560" t="s">
        <v>580</v>
      </c>
      <c r="E12560" t="s">
        <v>581</v>
      </c>
      <c r="F12560" t="s">
        <v>413</v>
      </c>
      <c r="G12560">
        <v>2258</v>
      </c>
      <c r="H12560">
        <v>2258</v>
      </c>
      <c r="I12560">
        <v>2165</v>
      </c>
      <c r="J12560">
        <v>2165</v>
      </c>
      <c r="K12560">
        <v>361</v>
      </c>
      <c r="L12560">
        <v>4</v>
      </c>
      <c r="M12560">
        <v>1542</v>
      </c>
      <c r="N12560">
        <v>331</v>
      </c>
      <c r="O12560">
        <v>20</v>
      </c>
      <c r="P12560">
        <v>1</v>
      </c>
      <c r="Q12560">
        <v>0</v>
      </c>
    </row>
    <row r="12561" spans="1:17" x14ac:dyDescent="0.2">
      <c r="A12561" s="121">
        <v>43373</v>
      </c>
      <c r="B12561" t="s">
        <v>406</v>
      </c>
      <c r="C12561" t="s">
        <v>577</v>
      </c>
      <c r="D12561" t="s">
        <v>609</v>
      </c>
      <c r="E12561" t="s">
        <v>610</v>
      </c>
      <c r="F12561" t="s">
        <v>410</v>
      </c>
      <c r="G12561">
        <v>42</v>
      </c>
      <c r="H12561">
        <v>42</v>
      </c>
      <c r="I12561">
        <v>42</v>
      </c>
      <c r="J12561">
        <v>42</v>
      </c>
      <c r="K12561">
        <v>0</v>
      </c>
      <c r="L12561">
        <v>0</v>
      </c>
      <c r="M12561">
        <v>34</v>
      </c>
      <c r="N12561">
        <v>6</v>
      </c>
      <c r="O12561">
        <v>2</v>
      </c>
      <c r="P12561">
        <v>0</v>
      </c>
      <c r="Q12561">
        <v>0</v>
      </c>
    </row>
    <row r="12562" spans="1:17" x14ac:dyDescent="0.2">
      <c r="A12562" s="121">
        <v>43373</v>
      </c>
      <c r="B12562" t="s">
        <v>406</v>
      </c>
      <c r="C12562" t="s">
        <v>577</v>
      </c>
      <c r="D12562" t="s">
        <v>584</v>
      </c>
      <c r="E12562" t="s">
        <v>585</v>
      </c>
      <c r="F12562" t="s">
        <v>410</v>
      </c>
      <c r="G12562">
        <v>279</v>
      </c>
      <c r="H12562">
        <v>279</v>
      </c>
      <c r="I12562">
        <v>279</v>
      </c>
      <c r="J12562">
        <v>279</v>
      </c>
      <c r="K12562">
        <v>0</v>
      </c>
      <c r="L12562">
        <v>0</v>
      </c>
      <c r="M12562">
        <v>264</v>
      </c>
      <c r="N12562">
        <v>14</v>
      </c>
      <c r="O12562">
        <v>1</v>
      </c>
      <c r="P12562">
        <v>0</v>
      </c>
      <c r="Q12562">
        <v>0</v>
      </c>
    </row>
    <row r="12563" spans="1:17" x14ac:dyDescent="0.2">
      <c r="A12563" s="121">
        <v>43373</v>
      </c>
      <c r="B12563" t="s">
        <v>406</v>
      </c>
      <c r="C12563" t="s">
        <v>577</v>
      </c>
      <c r="D12563" t="s">
        <v>586</v>
      </c>
      <c r="E12563" t="s">
        <v>587</v>
      </c>
      <c r="F12563" t="s">
        <v>410</v>
      </c>
      <c r="G12563">
        <v>1382</v>
      </c>
      <c r="H12563">
        <v>1382</v>
      </c>
      <c r="I12563">
        <v>1382</v>
      </c>
      <c r="J12563">
        <v>1382</v>
      </c>
      <c r="K12563">
        <v>0</v>
      </c>
      <c r="L12563">
        <v>0</v>
      </c>
      <c r="M12563">
        <v>1268</v>
      </c>
      <c r="N12563">
        <v>114</v>
      </c>
      <c r="O12563">
        <v>0</v>
      </c>
      <c r="P12563">
        <v>0</v>
      </c>
      <c r="Q12563">
        <v>0</v>
      </c>
    </row>
    <row r="12564" spans="1:17" x14ac:dyDescent="0.2">
      <c r="A12564" s="121">
        <v>43373</v>
      </c>
      <c r="B12564" t="s">
        <v>406</v>
      </c>
      <c r="C12564" t="s">
        <v>577</v>
      </c>
      <c r="D12564" t="s">
        <v>588</v>
      </c>
      <c r="E12564" t="s">
        <v>589</v>
      </c>
      <c r="F12564" t="s">
        <v>410</v>
      </c>
      <c r="G12564">
        <v>108</v>
      </c>
      <c r="H12564">
        <v>108</v>
      </c>
      <c r="I12564">
        <v>108</v>
      </c>
      <c r="J12564">
        <v>108</v>
      </c>
      <c r="K12564">
        <v>0</v>
      </c>
      <c r="L12564">
        <v>0</v>
      </c>
      <c r="M12564">
        <v>104</v>
      </c>
      <c r="N12564">
        <v>3</v>
      </c>
      <c r="O12564">
        <v>1</v>
      </c>
      <c r="P12564">
        <v>0</v>
      </c>
      <c r="Q12564">
        <v>0</v>
      </c>
    </row>
    <row r="12565" spans="1:17" x14ac:dyDescent="0.2">
      <c r="A12565" s="121">
        <v>43373</v>
      </c>
      <c r="B12565" t="s">
        <v>406</v>
      </c>
      <c r="C12565" t="s">
        <v>577</v>
      </c>
      <c r="D12565" t="s">
        <v>613</v>
      </c>
      <c r="E12565" t="s">
        <v>614</v>
      </c>
      <c r="F12565" t="s">
        <v>410</v>
      </c>
      <c r="G12565">
        <v>76</v>
      </c>
      <c r="H12565">
        <v>76</v>
      </c>
      <c r="I12565">
        <v>76</v>
      </c>
      <c r="J12565">
        <v>76</v>
      </c>
      <c r="K12565">
        <v>0</v>
      </c>
      <c r="L12565">
        <v>0</v>
      </c>
      <c r="M12565">
        <v>72</v>
      </c>
      <c r="N12565">
        <v>3</v>
      </c>
      <c r="O12565">
        <v>1</v>
      </c>
      <c r="P12565">
        <v>0</v>
      </c>
      <c r="Q12565">
        <v>0</v>
      </c>
    </row>
    <row r="12566" spans="1:17" x14ac:dyDescent="0.2">
      <c r="A12566" s="121">
        <v>43373</v>
      </c>
      <c r="B12566" t="s">
        <v>406</v>
      </c>
      <c r="C12566" t="s">
        <v>577</v>
      </c>
      <c r="D12566" t="s">
        <v>590</v>
      </c>
      <c r="E12566" t="s">
        <v>591</v>
      </c>
      <c r="F12566" t="s">
        <v>410</v>
      </c>
      <c r="G12566">
        <v>497</v>
      </c>
      <c r="H12566">
        <v>497</v>
      </c>
      <c r="I12566">
        <v>497</v>
      </c>
      <c r="J12566">
        <v>497</v>
      </c>
      <c r="K12566">
        <v>0</v>
      </c>
      <c r="L12566">
        <v>0</v>
      </c>
      <c r="M12566">
        <v>485</v>
      </c>
      <c r="N12566">
        <v>12</v>
      </c>
      <c r="O12566">
        <v>0</v>
      </c>
      <c r="P12566">
        <v>0</v>
      </c>
      <c r="Q12566">
        <v>0</v>
      </c>
    </row>
    <row r="12567" spans="1:17" x14ac:dyDescent="0.2">
      <c r="A12567" s="121">
        <v>43373</v>
      </c>
      <c r="B12567" t="s">
        <v>406</v>
      </c>
      <c r="C12567" t="s">
        <v>577</v>
      </c>
      <c r="D12567" t="s">
        <v>607</v>
      </c>
      <c r="E12567" t="s">
        <v>608</v>
      </c>
      <c r="F12567" t="s">
        <v>410</v>
      </c>
      <c r="G12567">
        <v>149</v>
      </c>
      <c r="H12567">
        <v>149</v>
      </c>
      <c r="I12567">
        <v>149</v>
      </c>
      <c r="J12567">
        <v>149</v>
      </c>
      <c r="K12567">
        <v>0</v>
      </c>
      <c r="L12567">
        <v>0</v>
      </c>
      <c r="M12567">
        <v>139</v>
      </c>
      <c r="N12567">
        <v>10</v>
      </c>
      <c r="O12567">
        <v>0</v>
      </c>
      <c r="P12567">
        <v>0</v>
      </c>
      <c r="Q12567">
        <v>0</v>
      </c>
    </row>
    <row r="12568" spans="1:17" x14ac:dyDescent="0.2">
      <c r="A12568" s="121">
        <v>43373</v>
      </c>
      <c r="B12568" t="s">
        <v>406</v>
      </c>
      <c r="C12568" t="s">
        <v>577</v>
      </c>
      <c r="D12568" t="s">
        <v>592</v>
      </c>
      <c r="E12568" t="s">
        <v>593</v>
      </c>
      <c r="F12568" t="s">
        <v>410</v>
      </c>
      <c r="G12568">
        <v>270</v>
      </c>
      <c r="H12568">
        <v>270</v>
      </c>
      <c r="I12568">
        <v>270</v>
      </c>
      <c r="J12568">
        <v>270</v>
      </c>
      <c r="K12568">
        <v>0</v>
      </c>
      <c r="L12568">
        <v>1</v>
      </c>
      <c r="M12568">
        <v>251</v>
      </c>
      <c r="N12568">
        <v>18</v>
      </c>
      <c r="O12568">
        <v>0</v>
      </c>
      <c r="P12568">
        <v>0</v>
      </c>
      <c r="Q12568">
        <v>0</v>
      </c>
    </row>
    <row r="12569" spans="1:17" x14ac:dyDescent="0.2">
      <c r="A12569" s="121">
        <v>43373</v>
      </c>
      <c r="B12569" t="s">
        <v>406</v>
      </c>
      <c r="C12569" t="s">
        <v>594</v>
      </c>
      <c r="D12569" t="s">
        <v>595</v>
      </c>
      <c r="E12569" t="s">
        <v>596</v>
      </c>
      <c r="F12569" t="s">
        <v>410</v>
      </c>
      <c r="G12569">
        <v>53</v>
      </c>
      <c r="I12569">
        <v>53</v>
      </c>
    </row>
    <row r="12570" spans="1:17" x14ac:dyDescent="0.2">
      <c r="A12570" s="121">
        <v>43373</v>
      </c>
      <c r="B12570" t="s">
        <v>406</v>
      </c>
      <c r="C12570" t="s">
        <v>594</v>
      </c>
      <c r="D12570" t="s">
        <v>597</v>
      </c>
      <c r="E12570" t="s">
        <v>598</v>
      </c>
      <c r="F12570" t="s">
        <v>413</v>
      </c>
      <c r="G12570">
        <v>540</v>
      </c>
      <c r="H12570">
        <v>540</v>
      </c>
      <c r="I12570">
        <v>528</v>
      </c>
      <c r="J12570">
        <v>528</v>
      </c>
      <c r="K12570">
        <v>149</v>
      </c>
      <c r="L12570">
        <v>0</v>
      </c>
      <c r="M12570">
        <v>381</v>
      </c>
      <c r="N12570">
        <v>4</v>
      </c>
      <c r="O12570">
        <v>6</v>
      </c>
      <c r="P12570">
        <v>0</v>
      </c>
      <c r="Q12570">
        <v>0</v>
      </c>
    </row>
    <row r="12571" spans="1:17" x14ac:dyDescent="0.2">
      <c r="A12571" s="121">
        <v>43373</v>
      </c>
      <c r="B12571" t="s">
        <v>406</v>
      </c>
      <c r="C12571" t="s">
        <v>594</v>
      </c>
      <c r="D12571" t="s">
        <v>599</v>
      </c>
      <c r="E12571" t="s">
        <v>600</v>
      </c>
      <c r="F12571" t="s">
        <v>410</v>
      </c>
      <c r="G12571">
        <v>195</v>
      </c>
      <c r="H12571">
        <v>195</v>
      </c>
      <c r="I12571">
        <v>194</v>
      </c>
      <c r="J12571">
        <v>194</v>
      </c>
      <c r="K12571">
        <v>14</v>
      </c>
      <c r="L12571">
        <v>0</v>
      </c>
      <c r="M12571">
        <v>180</v>
      </c>
      <c r="N12571">
        <v>1</v>
      </c>
      <c r="O12571">
        <v>0</v>
      </c>
      <c r="P12571">
        <v>0</v>
      </c>
      <c r="Q12571">
        <v>0</v>
      </c>
    </row>
    <row r="12572" spans="1:17" x14ac:dyDescent="0.2">
      <c r="A12572" s="121">
        <v>43404</v>
      </c>
      <c r="B12572" t="s">
        <v>406</v>
      </c>
      <c r="C12572" t="s">
        <v>407</v>
      </c>
      <c r="D12572" t="s">
        <v>408</v>
      </c>
      <c r="E12572" t="s">
        <v>409</v>
      </c>
      <c r="F12572" t="s">
        <v>410</v>
      </c>
      <c r="G12572">
        <v>231</v>
      </c>
      <c r="I12572">
        <v>227</v>
      </c>
    </row>
    <row r="12573" spans="1:17" x14ac:dyDescent="0.2">
      <c r="A12573" s="121">
        <v>43404</v>
      </c>
      <c r="B12573" t="s">
        <v>406</v>
      </c>
      <c r="C12573" t="s">
        <v>407</v>
      </c>
      <c r="D12573" t="s">
        <v>601</v>
      </c>
      <c r="E12573" t="s">
        <v>602</v>
      </c>
      <c r="F12573" t="s">
        <v>410</v>
      </c>
      <c r="G12573">
        <v>51</v>
      </c>
      <c r="I12573">
        <v>48</v>
      </c>
    </row>
    <row r="12574" spans="1:17" x14ac:dyDescent="0.2">
      <c r="A12574" s="121">
        <v>43404</v>
      </c>
      <c r="B12574" t="s">
        <v>406</v>
      </c>
      <c r="C12574" t="s">
        <v>407</v>
      </c>
      <c r="D12574" t="s">
        <v>411</v>
      </c>
      <c r="E12574" t="s">
        <v>412</v>
      </c>
      <c r="F12574" t="s">
        <v>413</v>
      </c>
      <c r="G12574">
        <v>6216</v>
      </c>
      <c r="H12574">
        <v>6216</v>
      </c>
      <c r="I12574">
        <v>5899</v>
      </c>
      <c r="J12574">
        <v>5899</v>
      </c>
      <c r="K12574">
        <v>2144</v>
      </c>
      <c r="L12574">
        <v>8</v>
      </c>
      <c r="M12574">
        <v>3744</v>
      </c>
      <c r="N12574">
        <v>43</v>
      </c>
      <c r="O12574">
        <v>277</v>
      </c>
      <c r="P12574">
        <v>63</v>
      </c>
      <c r="Q12574">
        <v>7</v>
      </c>
    </row>
    <row r="12575" spans="1:17" x14ac:dyDescent="0.2">
      <c r="A12575" s="121">
        <v>43404</v>
      </c>
      <c r="B12575" t="s">
        <v>406</v>
      </c>
      <c r="C12575" t="s">
        <v>407</v>
      </c>
      <c r="D12575" t="s">
        <v>416</v>
      </c>
      <c r="E12575" t="s">
        <v>417</v>
      </c>
      <c r="F12575" t="s">
        <v>413</v>
      </c>
      <c r="G12575">
        <v>3166</v>
      </c>
      <c r="H12575">
        <v>3166</v>
      </c>
      <c r="I12575">
        <v>2881</v>
      </c>
      <c r="J12575">
        <v>2881</v>
      </c>
      <c r="K12575">
        <v>825</v>
      </c>
      <c r="L12575">
        <v>10</v>
      </c>
      <c r="M12575">
        <v>2190</v>
      </c>
      <c r="N12575">
        <v>92</v>
      </c>
      <c r="O12575">
        <v>49</v>
      </c>
      <c r="P12575">
        <v>52</v>
      </c>
      <c r="Q12575">
        <v>6</v>
      </c>
    </row>
    <row r="12576" spans="1:17" x14ac:dyDescent="0.2">
      <c r="A12576" s="121">
        <v>43404</v>
      </c>
      <c r="B12576" t="s">
        <v>406</v>
      </c>
      <c r="C12576" t="s">
        <v>407</v>
      </c>
      <c r="D12576" t="s">
        <v>618</v>
      </c>
      <c r="E12576" t="s">
        <v>619</v>
      </c>
      <c r="F12576" t="s">
        <v>410</v>
      </c>
      <c r="G12576">
        <v>80</v>
      </c>
      <c r="I12576">
        <v>80</v>
      </c>
    </row>
    <row r="12577" spans="1:17" x14ac:dyDescent="0.2">
      <c r="A12577" s="121">
        <v>43404</v>
      </c>
      <c r="B12577" t="s">
        <v>406</v>
      </c>
      <c r="C12577" t="s">
        <v>418</v>
      </c>
      <c r="D12577" t="s">
        <v>419</v>
      </c>
      <c r="E12577" t="s">
        <v>420</v>
      </c>
      <c r="F12577" t="s">
        <v>410</v>
      </c>
      <c r="G12577">
        <v>14</v>
      </c>
      <c r="I12577">
        <v>14</v>
      </c>
    </row>
    <row r="12578" spans="1:17" x14ac:dyDescent="0.2">
      <c r="A12578" s="121">
        <v>43404</v>
      </c>
      <c r="B12578" t="s">
        <v>406</v>
      </c>
      <c r="C12578" t="s">
        <v>418</v>
      </c>
      <c r="D12578" t="s">
        <v>421</v>
      </c>
      <c r="E12578" t="s">
        <v>422</v>
      </c>
      <c r="F12578" t="s">
        <v>410</v>
      </c>
      <c r="G12578">
        <v>73</v>
      </c>
      <c r="I12578">
        <v>73</v>
      </c>
    </row>
    <row r="12579" spans="1:17" x14ac:dyDescent="0.2">
      <c r="A12579" s="121">
        <v>43404</v>
      </c>
      <c r="B12579" t="s">
        <v>406</v>
      </c>
      <c r="C12579" t="s">
        <v>418</v>
      </c>
      <c r="D12579" t="s">
        <v>423</v>
      </c>
      <c r="E12579" t="s">
        <v>424</v>
      </c>
      <c r="F12579" t="s">
        <v>410</v>
      </c>
      <c r="G12579">
        <v>9</v>
      </c>
      <c r="I12579">
        <v>9</v>
      </c>
    </row>
    <row r="12580" spans="1:17" x14ac:dyDescent="0.2">
      <c r="A12580" s="121">
        <v>43404</v>
      </c>
      <c r="B12580" t="s">
        <v>406</v>
      </c>
      <c r="C12580" t="s">
        <v>418</v>
      </c>
      <c r="D12580" t="s">
        <v>425</v>
      </c>
      <c r="E12580" t="s">
        <v>426</v>
      </c>
      <c r="F12580" t="s">
        <v>410</v>
      </c>
      <c r="G12580">
        <v>39</v>
      </c>
      <c r="I12580">
        <v>39</v>
      </c>
    </row>
    <row r="12581" spans="1:17" x14ac:dyDescent="0.2">
      <c r="A12581" s="121">
        <v>43404</v>
      </c>
      <c r="B12581" t="s">
        <v>406</v>
      </c>
      <c r="C12581" t="s">
        <v>418</v>
      </c>
      <c r="D12581" t="s">
        <v>427</v>
      </c>
      <c r="E12581" t="s">
        <v>428</v>
      </c>
      <c r="F12581" t="s">
        <v>413</v>
      </c>
      <c r="G12581">
        <v>2726</v>
      </c>
      <c r="H12581">
        <v>2726</v>
      </c>
      <c r="I12581">
        <v>2573</v>
      </c>
      <c r="J12581">
        <v>2573</v>
      </c>
      <c r="K12581">
        <v>907</v>
      </c>
      <c r="L12581">
        <v>4</v>
      </c>
      <c r="M12581">
        <v>1653</v>
      </c>
      <c r="N12581">
        <v>151</v>
      </c>
      <c r="O12581">
        <v>11</v>
      </c>
      <c r="P12581">
        <v>7</v>
      </c>
      <c r="Q12581">
        <v>2</v>
      </c>
    </row>
    <row r="12582" spans="1:17" x14ac:dyDescent="0.2">
      <c r="A12582" s="121">
        <v>43404</v>
      </c>
      <c r="B12582" t="s">
        <v>406</v>
      </c>
      <c r="C12582" t="s">
        <v>429</v>
      </c>
      <c r="D12582" t="s">
        <v>430</v>
      </c>
      <c r="E12582" t="s">
        <v>431</v>
      </c>
      <c r="F12582" t="s">
        <v>410</v>
      </c>
      <c r="G12582">
        <v>14</v>
      </c>
      <c r="I12582">
        <v>14</v>
      </c>
    </row>
    <row r="12583" spans="1:17" x14ac:dyDescent="0.2">
      <c r="A12583" s="121">
        <v>43404</v>
      </c>
      <c r="B12583" t="s">
        <v>406</v>
      </c>
      <c r="C12583" t="s">
        <v>429</v>
      </c>
      <c r="D12583" t="s">
        <v>432</v>
      </c>
      <c r="E12583" t="s">
        <v>433</v>
      </c>
      <c r="F12583" t="s">
        <v>410</v>
      </c>
      <c r="G12583">
        <v>37</v>
      </c>
      <c r="I12583">
        <v>37</v>
      </c>
    </row>
    <row r="12584" spans="1:17" x14ac:dyDescent="0.2">
      <c r="A12584" s="121">
        <v>43404</v>
      </c>
      <c r="B12584" t="s">
        <v>406</v>
      </c>
      <c r="C12584" t="s">
        <v>429</v>
      </c>
      <c r="D12584" t="s">
        <v>434</v>
      </c>
      <c r="E12584" t="s">
        <v>435</v>
      </c>
      <c r="F12584" t="s">
        <v>410</v>
      </c>
      <c r="G12584">
        <v>1</v>
      </c>
      <c r="I12584">
        <v>1</v>
      </c>
    </row>
    <row r="12585" spans="1:17" x14ac:dyDescent="0.2">
      <c r="A12585" s="121">
        <v>43404</v>
      </c>
      <c r="B12585" t="s">
        <v>406</v>
      </c>
      <c r="C12585" t="s">
        <v>429</v>
      </c>
      <c r="D12585" t="s">
        <v>436</v>
      </c>
      <c r="E12585" t="s">
        <v>437</v>
      </c>
      <c r="F12585" t="s">
        <v>410</v>
      </c>
      <c r="G12585">
        <v>6</v>
      </c>
      <c r="H12585">
        <v>6</v>
      </c>
      <c r="I12585">
        <v>6</v>
      </c>
      <c r="J12585">
        <v>6</v>
      </c>
      <c r="K12585">
        <v>0</v>
      </c>
      <c r="L12585">
        <v>0</v>
      </c>
      <c r="M12585">
        <v>6</v>
      </c>
      <c r="N12585">
        <v>0</v>
      </c>
      <c r="O12585">
        <v>0</v>
      </c>
      <c r="P12585">
        <v>0</v>
      </c>
      <c r="Q12585">
        <v>0</v>
      </c>
    </row>
    <row r="12586" spans="1:17" x14ac:dyDescent="0.2">
      <c r="A12586" s="121">
        <v>43404</v>
      </c>
      <c r="B12586" t="s">
        <v>406</v>
      </c>
      <c r="C12586" t="s">
        <v>429</v>
      </c>
      <c r="D12586" t="s">
        <v>438</v>
      </c>
      <c r="E12586" t="s">
        <v>439</v>
      </c>
      <c r="F12586" t="s">
        <v>413</v>
      </c>
      <c r="G12586">
        <v>1078</v>
      </c>
      <c r="H12586">
        <v>1078</v>
      </c>
      <c r="I12586">
        <v>993</v>
      </c>
      <c r="J12586">
        <v>993</v>
      </c>
      <c r="K12586">
        <v>77</v>
      </c>
      <c r="L12586">
        <v>1</v>
      </c>
      <c r="M12586">
        <v>888</v>
      </c>
      <c r="N12586">
        <v>70</v>
      </c>
      <c r="O12586">
        <v>42</v>
      </c>
      <c r="P12586">
        <v>9</v>
      </c>
      <c r="Q12586">
        <v>1</v>
      </c>
    </row>
    <row r="12587" spans="1:17" x14ac:dyDescent="0.2">
      <c r="A12587" s="121">
        <v>43404</v>
      </c>
      <c r="B12587" t="s">
        <v>406</v>
      </c>
      <c r="C12587" t="s">
        <v>429</v>
      </c>
      <c r="D12587" t="s">
        <v>440</v>
      </c>
      <c r="E12587" t="s">
        <v>441</v>
      </c>
      <c r="F12587" t="s">
        <v>413</v>
      </c>
      <c r="G12587">
        <v>2725</v>
      </c>
      <c r="H12587">
        <v>2725</v>
      </c>
      <c r="I12587">
        <v>2608</v>
      </c>
      <c r="J12587">
        <v>2608</v>
      </c>
      <c r="K12587">
        <v>837</v>
      </c>
      <c r="L12587">
        <v>5</v>
      </c>
      <c r="M12587">
        <v>1775</v>
      </c>
      <c r="N12587">
        <v>77</v>
      </c>
      <c r="O12587">
        <v>31</v>
      </c>
      <c r="P12587">
        <v>4</v>
      </c>
      <c r="Q12587">
        <v>0</v>
      </c>
    </row>
    <row r="12588" spans="1:17" x14ac:dyDescent="0.2">
      <c r="A12588" s="121">
        <v>43404</v>
      </c>
      <c r="B12588" t="s">
        <v>406</v>
      </c>
      <c r="C12588" t="s">
        <v>442</v>
      </c>
      <c r="D12588" t="s">
        <v>443</v>
      </c>
      <c r="E12588" t="s">
        <v>444</v>
      </c>
      <c r="F12588" t="s">
        <v>413</v>
      </c>
      <c r="G12588">
        <v>5479</v>
      </c>
      <c r="H12588">
        <v>5479</v>
      </c>
      <c r="I12588">
        <v>5167</v>
      </c>
      <c r="J12588">
        <v>5167</v>
      </c>
      <c r="K12588">
        <v>1657</v>
      </c>
      <c r="L12588">
        <v>8</v>
      </c>
      <c r="M12588">
        <v>3625</v>
      </c>
      <c r="N12588">
        <v>144</v>
      </c>
      <c r="O12588">
        <v>45</v>
      </c>
      <c r="P12588">
        <v>9</v>
      </c>
      <c r="Q12588">
        <v>0</v>
      </c>
    </row>
    <row r="12589" spans="1:17" x14ac:dyDescent="0.2">
      <c r="A12589" s="121">
        <v>43404</v>
      </c>
      <c r="B12589" t="s">
        <v>406</v>
      </c>
      <c r="C12589" t="s">
        <v>442</v>
      </c>
      <c r="D12589" t="s">
        <v>445</v>
      </c>
      <c r="E12589" t="s">
        <v>446</v>
      </c>
      <c r="F12589" t="s">
        <v>410</v>
      </c>
      <c r="G12589">
        <v>156</v>
      </c>
      <c r="H12589">
        <v>156</v>
      </c>
      <c r="I12589">
        <v>156</v>
      </c>
      <c r="J12589">
        <v>156</v>
      </c>
      <c r="K12589">
        <v>0</v>
      </c>
      <c r="L12589">
        <v>0</v>
      </c>
      <c r="M12589">
        <v>144</v>
      </c>
      <c r="N12589">
        <v>5</v>
      </c>
      <c r="O12589">
        <v>7</v>
      </c>
      <c r="P12589">
        <v>0</v>
      </c>
      <c r="Q12589">
        <v>0</v>
      </c>
    </row>
    <row r="12590" spans="1:17" x14ac:dyDescent="0.2">
      <c r="A12590" s="121">
        <v>43404</v>
      </c>
      <c r="B12590" t="s">
        <v>406</v>
      </c>
      <c r="C12590" t="s">
        <v>442</v>
      </c>
      <c r="D12590" t="s">
        <v>447</v>
      </c>
      <c r="E12590" t="s">
        <v>448</v>
      </c>
      <c r="F12590" t="s">
        <v>410</v>
      </c>
      <c r="G12590">
        <v>313</v>
      </c>
      <c r="H12590">
        <v>313</v>
      </c>
      <c r="I12590">
        <v>313</v>
      </c>
      <c r="J12590">
        <v>313</v>
      </c>
      <c r="K12590">
        <v>0</v>
      </c>
      <c r="L12590">
        <v>0</v>
      </c>
      <c r="M12590">
        <v>300</v>
      </c>
      <c r="N12590">
        <v>11</v>
      </c>
      <c r="O12590">
        <v>2</v>
      </c>
      <c r="P12590">
        <v>0</v>
      </c>
      <c r="Q12590">
        <v>0</v>
      </c>
    </row>
    <row r="12591" spans="1:17" x14ac:dyDescent="0.2">
      <c r="A12591" s="121">
        <v>43404</v>
      </c>
      <c r="B12591" t="s">
        <v>406</v>
      </c>
      <c r="C12591" t="s">
        <v>442</v>
      </c>
      <c r="D12591" t="s">
        <v>449</v>
      </c>
      <c r="E12591" t="s">
        <v>624</v>
      </c>
      <c r="F12591" t="s">
        <v>410</v>
      </c>
      <c r="G12591">
        <v>1603</v>
      </c>
      <c r="H12591">
        <v>1603</v>
      </c>
      <c r="I12591">
        <v>1596</v>
      </c>
      <c r="J12591">
        <v>1596</v>
      </c>
      <c r="K12591">
        <v>19</v>
      </c>
      <c r="L12591">
        <v>0</v>
      </c>
      <c r="M12591">
        <v>1458</v>
      </c>
      <c r="N12591">
        <v>114</v>
      </c>
      <c r="O12591">
        <v>12</v>
      </c>
      <c r="P12591">
        <v>0</v>
      </c>
      <c r="Q12591">
        <v>0</v>
      </c>
    </row>
    <row r="12592" spans="1:17" x14ac:dyDescent="0.2">
      <c r="A12592" s="121">
        <v>43404</v>
      </c>
      <c r="B12592" t="s">
        <v>406</v>
      </c>
      <c r="C12592" t="s">
        <v>451</v>
      </c>
      <c r="D12592" t="s">
        <v>454</v>
      </c>
      <c r="E12592" t="s">
        <v>621</v>
      </c>
      <c r="F12592" t="s">
        <v>410</v>
      </c>
      <c r="G12592">
        <v>1692</v>
      </c>
      <c r="H12592">
        <v>1692</v>
      </c>
      <c r="I12592">
        <v>1672</v>
      </c>
      <c r="J12592">
        <v>1672</v>
      </c>
      <c r="K12592">
        <v>0</v>
      </c>
      <c r="L12592">
        <v>0</v>
      </c>
      <c r="M12592">
        <v>1268</v>
      </c>
      <c r="N12592">
        <v>155</v>
      </c>
      <c r="O12592">
        <v>269</v>
      </c>
      <c r="P12592">
        <v>0</v>
      </c>
      <c r="Q12592">
        <v>0</v>
      </c>
    </row>
    <row r="12593" spans="1:17" x14ac:dyDescent="0.2">
      <c r="A12593" s="121">
        <v>43404</v>
      </c>
      <c r="B12593" t="s">
        <v>406</v>
      </c>
      <c r="C12593" t="s">
        <v>451</v>
      </c>
      <c r="D12593" t="s">
        <v>622</v>
      </c>
      <c r="E12593" t="s">
        <v>623</v>
      </c>
      <c r="F12593" t="s">
        <v>413</v>
      </c>
      <c r="G12593">
        <v>5370</v>
      </c>
      <c r="H12593">
        <v>5370</v>
      </c>
      <c r="I12593">
        <v>4197</v>
      </c>
      <c r="J12593">
        <v>4197</v>
      </c>
      <c r="K12593">
        <v>1438</v>
      </c>
      <c r="L12593">
        <v>10</v>
      </c>
      <c r="M12593">
        <v>3084</v>
      </c>
      <c r="N12593">
        <v>81</v>
      </c>
      <c r="O12593">
        <v>757</v>
      </c>
      <c r="P12593">
        <v>127</v>
      </c>
      <c r="Q12593">
        <v>36</v>
      </c>
    </row>
    <row r="12594" spans="1:17" x14ac:dyDescent="0.2">
      <c r="A12594" s="121">
        <v>43404</v>
      </c>
      <c r="B12594" t="s">
        <v>406</v>
      </c>
      <c r="C12594" t="s">
        <v>456</v>
      </c>
      <c r="D12594" t="s">
        <v>457</v>
      </c>
      <c r="E12594" t="s">
        <v>458</v>
      </c>
      <c r="F12594" t="s">
        <v>413</v>
      </c>
      <c r="G12594">
        <v>5076</v>
      </c>
      <c r="H12594">
        <v>5076</v>
      </c>
      <c r="I12594">
        <v>4683</v>
      </c>
      <c r="J12594">
        <v>4683</v>
      </c>
      <c r="K12594">
        <v>1344</v>
      </c>
      <c r="L12594">
        <v>14</v>
      </c>
      <c r="M12594">
        <v>3278</v>
      </c>
      <c r="N12594">
        <v>19</v>
      </c>
      <c r="O12594">
        <v>421</v>
      </c>
      <c r="P12594">
        <v>7</v>
      </c>
      <c r="Q12594">
        <v>0</v>
      </c>
    </row>
    <row r="12595" spans="1:17" x14ac:dyDescent="0.2">
      <c r="A12595" s="121">
        <v>43404</v>
      </c>
      <c r="B12595" t="s">
        <v>406</v>
      </c>
      <c r="C12595" t="s">
        <v>456</v>
      </c>
      <c r="D12595" t="s">
        <v>459</v>
      </c>
      <c r="E12595" t="s">
        <v>460</v>
      </c>
      <c r="F12595" t="s">
        <v>413</v>
      </c>
      <c r="G12595">
        <v>1163</v>
      </c>
      <c r="H12595">
        <v>1163</v>
      </c>
      <c r="I12595">
        <v>1153</v>
      </c>
      <c r="J12595">
        <v>1153</v>
      </c>
      <c r="K12595">
        <v>123</v>
      </c>
      <c r="L12595">
        <v>0</v>
      </c>
      <c r="M12595">
        <v>998</v>
      </c>
      <c r="N12595">
        <v>0</v>
      </c>
      <c r="O12595">
        <v>42</v>
      </c>
      <c r="P12595">
        <v>0</v>
      </c>
      <c r="Q12595">
        <v>0</v>
      </c>
    </row>
    <row r="12596" spans="1:17" x14ac:dyDescent="0.2">
      <c r="A12596" s="121">
        <v>43404</v>
      </c>
      <c r="B12596" t="s">
        <v>406</v>
      </c>
      <c r="C12596" t="s">
        <v>456</v>
      </c>
      <c r="D12596" t="s">
        <v>461</v>
      </c>
      <c r="E12596" t="s">
        <v>462</v>
      </c>
      <c r="F12596" t="s">
        <v>410</v>
      </c>
      <c r="G12596">
        <v>102</v>
      </c>
      <c r="I12596">
        <v>102</v>
      </c>
    </row>
    <row r="12597" spans="1:17" x14ac:dyDescent="0.2">
      <c r="A12597" s="121">
        <v>43404</v>
      </c>
      <c r="B12597" t="s">
        <v>406</v>
      </c>
      <c r="C12597" t="s">
        <v>456</v>
      </c>
      <c r="D12597" t="s">
        <v>463</v>
      </c>
      <c r="E12597" t="s">
        <v>464</v>
      </c>
      <c r="F12597" t="s">
        <v>410</v>
      </c>
      <c r="G12597">
        <v>4</v>
      </c>
      <c r="I12597">
        <v>4</v>
      </c>
    </row>
    <row r="12598" spans="1:17" x14ac:dyDescent="0.2">
      <c r="A12598" s="121">
        <v>43404</v>
      </c>
      <c r="B12598" t="s">
        <v>406</v>
      </c>
      <c r="C12598" t="s">
        <v>456</v>
      </c>
      <c r="D12598" t="s">
        <v>465</v>
      </c>
      <c r="E12598" t="s">
        <v>466</v>
      </c>
      <c r="F12598" t="s">
        <v>410</v>
      </c>
      <c r="G12598">
        <v>30</v>
      </c>
      <c r="I12598">
        <v>30</v>
      </c>
    </row>
    <row r="12599" spans="1:17" x14ac:dyDescent="0.2">
      <c r="A12599" s="121">
        <v>43404</v>
      </c>
      <c r="B12599" t="s">
        <v>406</v>
      </c>
      <c r="C12599" t="s">
        <v>456</v>
      </c>
      <c r="D12599" t="s">
        <v>467</v>
      </c>
      <c r="E12599" t="s">
        <v>468</v>
      </c>
      <c r="F12599" t="s">
        <v>410</v>
      </c>
      <c r="G12599">
        <v>1186</v>
      </c>
      <c r="I12599">
        <v>1184</v>
      </c>
    </row>
    <row r="12600" spans="1:17" x14ac:dyDescent="0.2">
      <c r="A12600" s="121">
        <v>43404</v>
      </c>
      <c r="B12600" t="s">
        <v>406</v>
      </c>
      <c r="C12600" t="s">
        <v>456</v>
      </c>
      <c r="D12600" t="s">
        <v>469</v>
      </c>
      <c r="E12600" t="s">
        <v>470</v>
      </c>
      <c r="F12600" t="s">
        <v>410</v>
      </c>
      <c r="G12600">
        <v>544</v>
      </c>
      <c r="I12600">
        <v>541</v>
      </c>
    </row>
    <row r="12601" spans="1:17" x14ac:dyDescent="0.2">
      <c r="A12601" s="121">
        <v>43404</v>
      </c>
      <c r="B12601" t="s">
        <v>406</v>
      </c>
      <c r="C12601" t="s">
        <v>456</v>
      </c>
      <c r="D12601" t="s">
        <v>471</v>
      </c>
      <c r="E12601" t="s">
        <v>472</v>
      </c>
      <c r="F12601" t="s">
        <v>410</v>
      </c>
      <c r="G12601">
        <v>263</v>
      </c>
      <c r="I12601">
        <v>261</v>
      </c>
    </row>
    <row r="12602" spans="1:17" x14ac:dyDescent="0.2">
      <c r="A12602" s="121">
        <v>43404</v>
      </c>
      <c r="B12602" t="s">
        <v>406</v>
      </c>
      <c r="C12602" t="s">
        <v>456</v>
      </c>
      <c r="D12602" t="s">
        <v>473</v>
      </c>
      <c r="E12602" t="s">
        <v>474</v>
      </c>
      <c r="F12602" t="s">
        <v>410</v>
      </c>
      <c r="G12602">
        <v>129</v>
      </c>
      <c r="I12602">
        <v>129</v>
      </c>
    </row>
    <row r="12603" spans="1:17" x14ac:dyDescent="0.2">
      <c r="A12603" s="121">
        <v>43404</v>
      </c>
      <c r="B12603" t="s">
        <v>406</v>
      </c>
      <c r="C12603" t="s">
        <v>456</v>
      </c>
      <c r="D12603" t="s">
        <v>475</v>
      </c>
      <c r="E12603" t="s">
        <v>476</v>
      </c>
      <c r="F12603" t="s">
        <v>410</v>
      </c>
      <c r="G12603">
        <v>277</v>
      </c>
      <c r="I12603">
        <v>272</v>
      </c>
    </row>
    <row r="12604" spans="1:17" x14ac:dyDescent="0.2">
      <c r="A12604" s="121">
        <v>43404</v>
      </c>
      <c r="B12604" t="s">
        <v>406</v>
      </c>
      <c r="C12604" t="s">
        <v>456</v>
      </c>
      <c r="D12604" t="s">
        <v>477</v>
      </c>
      <c r="E12604" t="s">
        <v>478</v>
      </c>
      <c r="F12604" t="s">
        <v>413</v>
      </c>
      <c r="G12604">
        <v>1850</v>
      </c>
      <c r="H12604">
        <v>1850</v>
      </c>
      <c r="I12604">
        <v>1757</v>
      </c>
      <c r="J12604">
        <v>1757</v>
      </c>
      <c r="K12604">
        <v>377</v>
      </c>
      <c r="L12604">
        <v>4</v>
      </c>
      <c r="M12604">
        <v>1445</v>
      </c>
      <c r="N12604">
        <v>11</v>
      </c>
      <c r="O12604">
        <v>13</v>
      </c>
      <c r="P12604">
        <v>4</v>
      </c>
      <c r="Q12604">
        <v>1</v>
      </c>
    </row>
    <row r="12605" spans="1:17" x14ac:dyDescent="0.2">
      <c r="A12605" s="121">
        <v>43404</v>
      </c>
      <c r="B12605" t="s">
        <v>406</v>
      </c>
      <c r="C12605" t="s">
        <v>456</v>
      </c>
      <c r="D12605" t="s">
        <v>479</v>
      </c>
      <c r="E12605" t="s">
        <v>480</v>
      </c>
      <c r="F12605" t="s">
        <v>410</v>
      </c>
      <c r="G12605">
        <v>47</v>
      </c>
      <c r="I12605">
        <v>47</v>
      </c>
    </row>
    <row r="12606" spans="1:17" x14ac:dyDescent="0.2">
      <c r="A12606" s="121">
        <v>43404</v>
      </c>
      <c r="B12606" t="s">
        <v>406</v>
      </c>
      <c r="C12606" t="s">
        <v>456</v>
      </c>
      <c r="D12606" t="s">
        <v>481</v>
      </c>
      <c r="E12606" t="s">
        <v>482</v>
      </c>
      <c r="F12606" t="s">
        <v>410</v>
      </c>
      <c r="G12606">
        <v>25</v>
      </c>
      <c r="I12606">
        <v>25</v>
      </c>
    </row>
    <row r="12607" spans="1:17" x14ac:dyDescent="0.2">
      <c r="A12607" s="121">
        <v>43404</v>
      </c>
      <c r="B12607" t="s">
        <v>406</v>
      </c>
      <c r="C12607" t="s">
        <v>456</v>
      </c>
      <c r="D12607" t="s">
        <v>483</v>
      </c>
      <c r="E12607" t="s">
        <v>484</v>
      </c>
      <c r="F12607" t="s">
        <v>410</v>
      </c>
      <c r="G12607">
        <v>98</v>
      </c>
      <c r="I12607">
        <v>98</v>
      </c>
    </row>
    <row r="12608" spans="1:17" x14ac:dyDescent="0.2">
      <c r="A12608" s="121">
        <v>43404</v>
      </c>
      <c r="B12608" t="s">
        <v>406</v>
      </c>
      <c r="C12608" t="s">
        <v>456</v>
      </c>
      <c r="D12608" t="s">
        <v>487</v>
      </c>
      <c r="E12608" t="s">
        <v>488</v>
      </c>
      <c r="F12608" t="s">
        <v>410</v>
      </c>
      <c r="G12608">
        <v>20</v>
      </c>
      <c r="I12608">
        <v>20</v>
      </c>
    </row>
    <row r="12609" spans="1:17" x14ac:dyDescent="0.2">
      <c r="A12609" s="121">
        <v>43404</v>
      </c>
      <c r="B12609" t="s">
        <v>406</v>
      </c>
      <c r="C12609" t="s">
        <v>456</v>
      </c>
      <c r="D12609" t="s">
        <v>489</v>
      </c>
      <c r="E12609" t="s">
        <v>490</v>
      </c>
      <c r="F12609" t="s">
        <v>410</v>
      </c>
      <c r="G12609">
        <v>72</v>
      </c>
      <c r="I12609">
        <v>72</v>
      </c>
    </row>
    <row r="12610" spans="1:17" x14ac:dyDescent="0.2">
      <c r="A12610" s="121">
        <v>43404</v>
      </c>
      <c r="B12610" t="s">
        <v>406</v>
      </c>
      <c r="C12610" t="s">
        <v>456</v>
      </c>
      <c r="D12610" t="s">
        <v>628</v>
      </c>
      <c r="E12610" t="s">
        <v>629</v>
      </c>
      <c r="F12610" t="s">
        <v>410</v>
      </c>
      <c r="G12610">
        <v>43</v>
      </c>
      <c r="I12610">
        <v>43</v>
      </c>
    </row>
    <row r="12611" spans="1:17" x14ac:dyDescent="0.2">
      <c r="A12611" s="121">
        <v>43404</v>
      </c>
      <c r="B12611" t="s">
        <v>406</v>
      </c>
      <c r="C12611" t="s">
        <v>491</v>
      </c>
      <c r="D12611" t="s">
        <v>492</v>
      </c>
      <c r="E12611" t="s">
        <v>493</v>
      </c>
      <c r="F12611" t="s">
        <v>410</v>
      </c>
      <c r="G12611">
        <v>1463</v>
      </c>
      <c r="H12611">
        <v>1463</v>
      </c>
      <c r="I12611">
        <v>1439</v>
      </c>
      <c r="J12611">
        <v>1439</v>
      </c>
      <c r="K12611">
        <v>211</v>
      </c>
      <c r="L12611">
        <v>0</v>
      </c>
      <c r="M12611">
        <v>1158</v>
      </c>
      <c r="N12611">
        <v>79</v>
      </c>
      <c r="O12611">
        <v>15</v>
      </c>
      <c r="P12611">
        <v>1</v>
      </c>
      <c r="Q12611">
        <v>0</v>
      </c>
    </row>
    <row r="12612" spans="1:17" x14ac:dyDescent="0.2">
      <c r="A12612" s="121">
        <v>43404</v>
      </c>
      <c r="B12612" t="s">
        <v>406</v>
      </c>
      <c r="C12612" t="s">
        <v>491</v>
      </c>
      <c r="D12612" t="s">
        <v>494</v>
      </c>
      <c r="E12612" t="s">
        <v>495</v>
      </c>
      <c r="F12612" t="s">
        <v>413</v>
      </c>
      <c r="G12612">
        <v>2792</v>
      </c>
      <c r="H12612">
        <v>2792</v>
      </c>
      <c r="I12612">
        <v>2506</v>
      </c>
      <c r="J12612">
        <v>2506</v>
      </c>
      <c r="K12612">
        <v>703</v>
      </c>
      <c r="L12612">
        <v>2</v>
      </c>
      <c r="M12612">
        <v>1961</v>
      </c>
      <c r="N12612">
        <v>37</v>
      </c>
      <c r="O12612">
        <v>89</v>
      </c>
      <c r="P12612">
        <v>16</v>
      </c>
      <c r="Q12612">
        <v>0</v>
      </c>
    </row>
    <row r="12613" spans="1:17" x14ac:dyDescent="0.2">
      <c r="A12613" s="121">
        <v>43404</v>
      </c>
      <c r="B12613" t="s">
        <v>406</v>
      </c>
      <c r="C12613" t="s">
        <v>491</v>
      </c>
      <c r="D12613" t="s">
        <v>496</v>
      </c>
      <c r="E12613" t="s">
        <v>497</v>
      </c>
      <c r="F12613" t="s">
        <v>413</v>
      </c>
      <c r="G12613">
        <v>5610</v>
      </c>
      <c r="H12613">
        <v>5610</v>
      </c>
      <c r="I12613">
        <v>4851</v>
      </c>
      <c r="J12613">
        <v>4851</v>
      </c>
      <c r="K12613">
        <v>1828</v>
      </c>
      <c r="L12613">
        <v>7</v>
      </c>
      <c r="M12613">
        <v>3551</v>
      </c>
      <c r="N12613">
        <v>105</v>
      </c>
      <c r="O12613">
        <v>119</v>
      </c>
      <c r="P12613">
        <v>126</v>
      </c>
      <c r="Q12613">
        <v>1</v>
      </c>
    </row>
    <row r="12614" spans="1:17" x14ac:dyDescent="0.2">
      <c r="A12614" s="121">
        <v>43404</v>
      </c>
      <c r="B12614" t="s">
        <v>406</v>
      </c>
      <c r="C12614" t="s">
        <v>491</v>
      </c>
      <c r="D12614" t="s">
        <v>498</v>
      </c>
      <c r="E12614" t="s">
        <v>499</v>
      </c>
      <c r="F12614" t="s">
        <v>413</v>
      </c>
      <c r="G12614">
        <v>8120</v>
      </c>
      <c r="H12614">
        <v>8120</v>
      </c>
      <c r="I12614">
        <v>7295</v>
      </c>
      <c r="J12614">
        <v>7295</v>
      </c>
      <c r="K12614">
        <v>2436</v>
      </c>
      <c r="L12614">
        <v>17</v>
      </c>
      <c r="M12614">
        <v>5175</v>
      </c>
      <c r="N12614">
        <v>127</v>
      </c>
      <c r="O12614">
        <v>365</v>
      </c>
      <c r="P12614">
        <v>20</v>
      </c>
      <c r="Q12614">
        <v>1</v>
      </c>
    </row>
    <row r="12615" spans="1:17" x14ac:dyDescent="0.2">
      <c r="A12615" s="121">
        <v>43404</v>
      </c>
      <c r="B12615" t="s">
        <v>406</v>
      </c>
      <c r="C12615" t="s">
        <v>491</v>
      </c>
      <c r="D12615" t="s">
        <v>500</v>
      </c>
      <c r="E12615" t="s">
        <v>620</v>
      </c>
      <c r="F12615" t="s">
        <v>410</v>
      </c>
      <c r="G12615">
        <v>1798</v>
      </c>
      <c r="H12615">
        <v>1798</v>
      </c>
      <c r="I12615">
        <v>1798</v>
      </c>
      <c r="J12615">
        <v>1798</v>
      </c>
      <c r="K12615">
        <v>0</v>
      </c>
      <c r="L12615">
        <v>0</v>
      </c>
      <c r="M12615">
        <v>1652</v>
      </c>
      <c r="N12615">
        <v>111</v>
      </c>
      <c r="O12615">
        <v>35</v>
      </c>
      <c r="P12615">
        <v>0</v>
      </c>
      <c r="Q12615">
        <v>0</v>
      </c>
    </row>
    <row r="12616" spans="1:17" x14ac:dyDescent="0.2">
      <c r="A12616" s="121">
        <v>43404</v>
      </c>
      <c r="B12616" t="s">
        <v>406</v>
      </c>
      <c r="C12616" t="s">
        <v>491</v>
      </c>
      <c r="D12616" t="s">
        <v>502</v>
      </c>
      <c r="E12616" t="s">
        <v>615</v>
      </c>
      <c r="F12616" t="s">
        <v>410</v>
      </c>
      <c r="G12616">
        <v>2924</v>
      </c>
      <c r="H12616">
        <v>2924</v>
      </c>
      <c r="I12616">
        <v>2924</v>
      </c>
      <c r="J12616">
        <v>2924</v>
      </c>
      <c r="K12616">
        <v>0</v>
      </c>
      <c r="L12616">
        <v>0</v>
      </c>
      <c r="M12616">
        <v>2632</v>
      </c>
      <c r="N12616">
        <v>240</v>
      </c>
      <c r="O12616">
        <v>52</v>
      </c>
      <c r="P12616">
        <v>0</v>
      </c>
      <c r="Q12616">
        <v>0</v>
      </c>
    </row>
    <row r="12617" spans="1:17" x14ac:dyDescent="0.2">
      <c r="A12617" s="121">
        <v>43404</v>
      </c>
      <c r="B12617" t="s">
        <v>406</v>
      </c>
      <c r="C12617" t="s">
        <v>491</v>
      </c>
      <c r="D12617" t="s">
        <v>504</v>
      </c>
      <c r="E12617" t="s">
        <v>630</v>
      </c>
      <c r="F12617" t="s">
        <v>413</v>
      </c>
      <c r="G12617">
        <v>8714</v>
      </c>
      <c r="H12617">
        <v>8714</v>
      </c>
      <c r="I12617">
        <v>7449</v>
      </c>
      <c r="J12617">
        <v>7449</v>
      </c>
      <c r="K12617">
        <v>2770</v>
      </c>
      <c r="L12617">
        <v>21</v>
      </c>
      <c r="M12617">
        <v>5586</v>
      </c>
      <c r="N12617">
        <v>68</v>
      </c>
      <c r="O12617">
        <v>269</v>
      </c>
      <c r="P12617">
        <v>55</v>
      </c>
      <c r="Q12617">
        <v>1</v>
      </c>
    </row>
    <row r="12618" spans="1:17" x14ac:dyDescent="0.2">
      <c r="A12618" s="121">
        <v>43404</v>
      </c>
      <c r="B12618" t="s">
        <v>406</v>
      </c>
      <c r="C12618" t="s">
        <v>491</v>
      </c>
      <c r="D12618" t="s">
        <v>506</v>
      </c>
      <c r="E12618" t="s">
        <v>507</v>
      </c>
      <c r="F12618" t="s">
        <v>413</v>
      </c>
      <c r="G12618">
        <v>5409</v>
      </c>
      <c r="H12618">
        <v>5409</v>
      </c>
      <c r="I12618">
        <v>5275</v>
      </c>
      <c r="J12618">
        <v>5275</v>
      </c>
      <c r="K12618">
        <v>1176</v>
      </c>
      <c r="L12618">
        <v>0</v>
      </c>
      <c r="M12618">
        <v>4219</v>
      </c>
      <c r="N12618">
        <v>3</v>
      </c>
      <c r="O12618">
        <v>11</v>
      </c>
      <c r="P12618">
        <v>1</v>
      </c>
      <c r="Q12618">
        <v>0</v>
      </c>
    </row>
    <row r="12619" spans="1:17" x14ac:dyDescent="0.2">
      <c r="A12619" s="121">
        <v>43404</v>
      </c>
      <c r="B12619" t="s">
        <v>406</v>
      </c>
      <c r="C12619" t="s">
        <v>510</v>
      </c>
      <c r="D12619" t="s">
        <v>513</v>
      </c>
      <c r="E12619" t="s">
        <v>514</v>
      </c>
      <c r="F12619" t="s">
        <v>410</v>
      </c>
      <c r="G12619">
        <v>703</v>
      </c>
      <c r="I12619">
        <v>700</v>
      </c>
    </row>
    <row r="12620" spans="1:17" x14ac:dyDescent="0.2">
      <c r="A12620" s="121">
        <v>43404</v>
      </c>
      <c r="B12620" t="s">
        <v>406</v>
      </c>
      <c r="C12620" t="s">
        <v>510</v>
      </c>
      <c r="D12620" t="s">
        <v>515</v>
      </c>
      <c r="E12620" t="s">
        <v>516</v>
      </c>
      <c r="F12620" t="s">
        <v>410</v>
      </c>
      <c r="G12620">
        <v>84</v>
      </c>
      <c r="I12620">
        <v>84</v>
      </c>
    </row>
    <row r="12621" spans="1:17" x14ac:dyDescent="0.2">
      <c r="A12621" s="121">
        <v>43404</v>
      </c>
      <c r="B12621" t="s">
        <v>406</v>
      </c>
      <c r="C12621" t="s">
        <v>510</v>
      </c>
      <c r="D12621" t="s">
        <v>519</v>
      </c>
      <c r="E12621" t="s">
        <v>520</v>
      </c>
      <c r="F12621" t="s">
        <v>410</v>
      </c>
      <c r="G12621">
        <v>305</v>
      </c>
      <c r="I12621">
        <v>298</v>
      </c>
    </row>
    <row r="12622" spans="1:17" x14ac:dyDescent="0.2">
      <c r="A12622" s="121">
        <v>43404</v>
      </c>
      <c r="B12622" t="s">
        <v>406</v>
      </c>
      <c r="C12622" t="s">
        <v>510</v>
      </c>
      <c r="D12622" t="s">
        <v>523</v>
      </c>
      <c r="E12622" t="s">
        <v>524</v>
      </c>
      <c r="F12622" t="s">
        <v>413</v>
      </c>
      <c r="G12622">
        <v>602</v>
      </c>
      <c r="H12622">
        <v>602</v>
      </c>
      <c r="I12622">
        <v>584</v>
      </c>
      <c r="J12622">
        <v>584</v>
      </c>
      <c r="K12622">
        <v>170</v>
      </c>
      <c r="L12622">
        <v>2</v>
      </c>
      <c r="M12622">
        <v>418</v>
      </c>
      <c r="N12622">
        <v>12</v>
      </c>
      <c r="O12622">
        <v>0</v>
      </c>
      <c r="P12622">
        <v>1</v>
      </c>
      <c r="Q12622">
        <v>1</v>
      </c>
    </row>
    <row r="12623" spans="1:17" x14ac:dyDescent="0.2">
      <c r="A12623" s="121">
        <v>43404</v>
      </c>
      <c r="B12623" t="s">
        <v>406</v>
      </c>
      <c r="C12623" t="s">
        <v>510</v>
      </c>
      <c r="D12623" t="s">
        <v>525</v>
      </c>
      <c r="E12623" t="s">
        <v>526</v>
      </c>
      <c r="F12623" t="s">
        <v>410</v>
      </c>
      <c r="G12623">
        <v>444</v>
      </c>
      <c r="I12623">
        <v>437</v>
      </c>
    </row>
    <row r="12624" spans="1:17" x14ac:dyDescent="0.2">
      <c r="A12624" s="121">
        <v>43404</v>
      </c>
      <c r="B12624" t="s">
        <v>406</v>
      </c>
      <c r="C12624" t="s">
        <v>510</v>
      </c>
      <c r="D12624" t="s">
        <v>527</v>
      </c>
      <c r="E12624" t="s">
        <v>528</v>
      </c>
      <c r="F12624" t="s">
        <v>410</v>
      </c>
      <c r="G12624">
        <v>148</v>
      </c>
      <c r="I12624">
        <v>148</v>
      </c>
    </row>
    <row r="12625" spans="1:17" x14ac:dyDescent="0.2">
      <c r="A12625" s="121">
        <v>43404</v>
      </c>
      <c r="B12625" t="s">
        <v>406</v>
      </c>
      <c r="C12625" t="s">
        <v>510</v>
      </c>
      <c r="D12625" t="s">
        <v>529</v>
      </c>
      <c r="E12625" t="s">
        <v>530</v>
      </c>
      <c r="F12625" t="s">
        <v>413</v>
      </c>
      <c r="G12625">
        <v>680</v>
      </c>
      <c r="H12625">
        <v>680</v>
      </c>
      <c r="I12625">
        <v>658</v>
      </c>
      <c r="J12625">
        <v>658</v>
      </c>
      <c r="K12625">
        <v>198</v>
      </c>
      <c r="L12625">
        <v>1</v>
      </c>
      <c r="M12625">
        <v>479</v>
      </c>
      <c r="N12625">
        <v>2</v>
      </c>
      <c r="O12625">
        <v>0</v>
      </c>
      <c r="P12625">
        <v>1</v>
      </c>
      <c r="Q12625">
        <v>0</v>
      </c>
    </row>
    <row r="12626" spans="1:17" x14ac:dyDescent="0.2">
      <c r="A12626" s="121">
        <v>43404</v>
      </c>
      <c r="B12626" t="s">
        <v>406</v>
      </c>
      <c r="C12626" t="s">
        <v>510</v>
      </c>
      <c r="D12626" t="s">
        <v>531</v>
      </c>
      <c r="E12626" t="s">
        <v>532</v>
      </c>
      <c r="F12626" t="s">
        <v>410</v>
      </c>
      <c r="G12626">
        <v>36</v>
      </c>
      <c r="I12626">
        <v>36</v>
      </c>
    </row>
    <row r="12627" spans="1:17" x14ac:dyDescent="0.2">
      <c r="A12627" s="121">
        <v>43404</v>
      </c>
      <c r="B12627" t="s">
        <v>406</v>
      </c>
      <c r="C12627" t="s">
        <v>510</v>
      </c>
      <c r="D12627" t="s">
        <v>533</v>
      </c>
      <c r="E12627" t="s">
        <v>534</v>
      </c>
      <c r="F12627" t="s">
        <v>413</v>
      </c>
      <c r="G12627">
        <v>2842</v>
      </c>
      <c r="H12627">
        <v>2842</v>
      </c>
      <c r="I12627">
        <v>2679</v>
      </c>
      <c r="J12627">
        <v>2679</v>
      </c>
      <c r="K12627">
        <v>713</v>
      </c>
      <c r="L12627">
        <v>4</v>
      </c>
      <c r="M12627">
        <v>2113</v>
      </c>
      <c r="N12627">
        <v>12</v>
      </c>
      <c r="O12627">
        <v>0</v>
      </c>
      <c r="P12627">
        <v>4</v>
      </c>
      <c r="Q12627">
        <v>0</v>
      </c>
    </row>
    <row r="12628" spans="1:17" x14ac:dyDescent="0.2">
      <c r="A12628" s="121">
        <v>43404</v>
      </c>
      <c r="B12628" t="s">
        <v>406</v>
      </c>
      <c r="C12628" t="s">
        <v>510</v>
      </c>
      <c r="D12628" t="s">
        <v>535</v>
      </c>
      <c r="E12628" t="s">
        <v>536</v>
      </c>
      <c r="F12628" t="s">
        <v>410</v>
      </c>
      <c r="G12628">
        <v>401</v>
      </c>
      <c r="I12628">
        <v>401</v>
      </c>
    </row>
    <row r="12629" spans="1:17" x14ac:dyDescent="0.2">
      <c r="A12629" s="121">
        <v>43404</v>
      </c>
      <c r="B12629" t="s">
        <v>406</v>
      </c>
      <c r="C12629" t="s">
        <v>510</v>
      </c>
      <c r="D12629" t="s">
        <v>537</v>
      </c>
      <c r="E12629" t="s">
        <v>538</v>
      </c>
      <c r="F12629" t="s">
        <v>410</v>
      </c>
      <c r="G12629">
        <v>50</v>
      </c>
      <c r="I12629">
        <v>50</v>
      </c>
    </row>
    <row r="12630" spans="1:17" x14ac:dyDescent="0.2">
      <c r="A12630" s="121">
        <v>43404</v>
      </c>
      <c r="B12630" t="s">
        <v>406</v>
      </c>
      <c r="C12630" t="s">
        <v>510</v>
      </c>
      <c r="D12630" t="s">
        <v>539</v>
      </c>
      <c r="E12630" t="s">
        <v>540</v>
      </c>
      <c r="F12630" t="s">
        <v>413</v>
      </c>
      <c r="G12630">
        <v>750</v>
      </c>
      <c r="H12630">
        <v>750</v>
      </c>
      <c r="I12630">
        <v>729</v>
      </c>
      <c r="J12630">
        <v>729</v>
      </c>
      <c r="K12630">
        <v>139</v>
      </c>
      <c r="L12630">
        <v>1</v>
      </c>
      <c r="M12630">
        <v>604</v>
      </c>
      <c r="N12630">
        <v>6</v>
      </c>
      <c r="O12630">
        <v>0</v>
      </c>
      <c r="P12630">
        <v>2</v>
      </c>
      <c r="Q12630">
        <v>0</v>
      </c>
    </row>
    <row r="12631" spans="1:17" x14ac:dyDescent="0.2">
      <c r="A12631" s="121">
        <v>43404</v>
      </c>
      <c r="B12631" t="s">
        <v>406</v>
      </c>
      <c r="C12631" t="s">
        <v>510</v>
      </c>
      <c r="D12631" t="s">
        <v>541</v>
      </c>
      <c r="E12631" t="s">
        <v>542</v>
      </c>
      <c r="F12631" t="s">
        <v>410</v>
      </c>
      <c r="G12631">
        <v>356</v>
      </c>
      <c r="I12631">
        <v>356</v>
      </c>
    </row>
    <row r="12632" spans="1:17" x14ac:dyDescent="0.2">
      <c r="A12632" s="121">
        <v>43404</v>
      </c>
      <c r="B12632" t="s">
        <v>406</v>
      </c>
      <c r="C12632" t="s">
        <v>510</v>
      </c>
      <c r="D12632" t="s">
        <v>543</v>
      </c>
      <c r="E12632" t="s">
        <v>544</v>
      </c>
      <c r="F12632" t="s">
        <v>410</v>
      </c>
      <c r="G12632">
        <v>169</v>
      </c>
      <c r="I12632">
        <v>169</v>
      </c>
    </row>
    <row r="12633" spans="1:17" x14ac:dyDescent="0.2">
      <c r="A12633" s="121">
        <v>43404</v>
      </c>
      <c r="B12633" t="s">
        <v>406</v>
      </c>
      <c r="C12633" t="s">
        <v>510</v>
      </c>
      <c r="D12633" t="s">
        <v>545</v>
      </c>
      <c r="E12633" t="s">
        <v>546</v>
      </c>
      <c r="F12633" t="s">
        <v>410</v>
      </c>
      <c r="G12633">
        <v>38</v>
      </c>
      <c r="I12633">
        <v>38</v>
      </c>
    </row>
    <row r="12634" spans="1:17" x14ac:dyDescent="0.2">
      <c r="A12634" s="121">
        <v>43404</v>
      </c>
      <c r="B12634" t="s">
        <v>406</v>
      </c>
      <c r="C12634" t="s">
        <v>510</v>
      </c>
      <c r="D12634" t="s">
        <v>547</v>
      </c>
      <c r="E12634" t="s">
        <v>548</v>
      </c>
      <c r="F12634" t="s">
        <v>410</v>
      </c>
      <c r="G12634">
        <v>156</v>
      </c>
      <c r="I12634">
        <v>156</v>
      </c>
    </row>
    <row r="12635" spans="1:17" x14ac:dyDescent="0.2">
      <c r="A12635" s="121">
        <v>43404</v>
      </c>
      <c r="B12635" t="s">
        <v>406</v>
      </c>
      <c r="C12635" t="s">
        <v>510</v>
      </c>
      <c r="D12635" t="s">
        <v>616</v>
      </c>
      <c r="E12635" t="s">
        <v>617</v>
      </c>
      <c r="F12635" t="s">
        <v>410</v>
      </c>
      <c r="G12635">
        <v>316</v>
      </c>
      <c r="I12635">
        <v>311</v>
      </c>
    </row>
    <row r="12636" spans="1:17" x14ac:dyDescent="0.2">
      <c r="A12636" s="121">
        <v>43404</v>
      </c>
      <c r="B12636" t="s">
        <v>406</v>
      </c>
      <c r="C12636" t="s">
        <v>510</v>
      </c>
      <c r="D12636" t="s">
        <v>549</v>
      </c>
      <c r="E12636" t="s">
        <v>550</v>
      </c>
      <c r="F12636" t="s">
        <v>410</v>
      </c>
      <c r="G12636">
        <v>130</v>
      </c>
      <c r="I12636">
        <v>130</v>
      </c>
    </row>
    <row r="12637" spans="1:17" x14ac:dyDescent="0.2">
      <c r="A12637" s="121">
        <v>43404</v>
      </c>
      <c r="B12637" t="s">
        <v>406</v>
      </c>
      <c r="C12637" t="s">
        <v>510</v>
      </c>
      <c r="D12637" t="s">
        <v>625</v>
      </c>
      <c r="E12637" t="s">
        <v>626</v>
      </c>
      <c r="F12637" t="s">
        <v>410</v>
      </c>
      <c r="G12637">
        <v>76</v>
      </c>
      <c r="I12637">
        <v>74</v>
      </c>
    </row>
    <row r="12638" spans="1:17" x14ac:dyDescent="0.2">
      <c r="A12638" s="121">
        <v>43404</v>
      </c>
      <c r="B12638" t="s">
        <v>406</v>
      </c>
      <c r="C12638" t="s">
        <v>551</v>
      </c>
      <c r="D12638" t="s">
        <v>552</v>
      </c>
      <c r="E12638" t="s">
        <v>553</v>
      </c>
      <c r="F12638" t="s">
        <v>413</v>
      </c>
      <c r="G12638">
        <v>5872</v>
      </c>
      <c r="H12638">
        <v>5872</v>
      </c>
      <c r="I12638">
        <v>5586</v>
      </c>
      <c r="J12638">
        <v>5586</v>
      </c>
      <c r="K12638">
        <v>1885</v>
      </c>
      <c r="L12638">
        <v>4</v>
      </c>
      <c r="M12638">
        <v>3854</v>
      </c>
      <c r="N12638">
        <v>93</v>
      </c>
      <c r="O12638">
        <v>36</v>
      </c>
      <c r="P12638">
        <v>18</v>
      </c>
      <c r="Q12638">
        <v>2</v>
      </c>
    </row>
    <row r="12639" spans="1:17" x14ac:dyDescent="0.2">
      <c r="A12639" s="121">
        <v>43404</v>
      </c>
      <c r="B12639" t="s">
        <v>406</v>
      </c>
      <c r="C12639" t="s">
        <v>551</v>
      </c>
      <c r="D12639" t="s">
        <v>554</v>
      </c>
      <c r="E12639" t="s">
        <v>555</v>
      </c>
      <c r="F12639" t="s">
        <v>410</v>
      </c>
      <c r="G12639">
        <v>54</v>
      </c>
      <c r="I12639">
        <v>54</v>
      </c>
    </row>
    <row r="12640" spans="1:17" x14ac:dyDescent="0.2">
      <c r="A12640" s="121">
        <v>43404</v>
      </c>
      <c r="B12640" t="s">
        <v>406</v>
      </c>
      <c r="C12640" t="s">
        <v>551</v>
      </c>
      <c r="D12640" t="s">
        <v>556</v>
      </c>
      <c r="E12640" t="s">
        <v>557</v>
      </c>
      <c r="F12640" t="s">
        <v>410</v>
      </c>
      <c r="G12640">
        <v>45</v>
      </c>
      <c r="I12640">
        <v>45</v>
      </c>
    </row>
    <row r="12641" spans="1:17" x14ac:dyDescent="0.2">
      <c r="A12641" s="121">
        <v>43404</v>
      </c>
      <c r="B12641" t="s">
        <v>406</v>
      </c>
      <c r="C12641" t="s">
        <v>551</v>
      </c>
      <c r="D12641" t="s">
        <v>558</v>
      </c>
      <c r="E12641" t="s">
        <v>559</v>
      </c>
      <c r="F12641" t="s">
        <v>413</v>
      </c>
      <c r="G12641">
        <v>5392</v>
      </c>
      <c r="H12641">
        <v>5392</v>
      </c>
      <c r="I12641">
        <v>4794</v>
      </c>
      <c r="J12641">
        <v>4794</v>
      </c>
      <c r="K12641">
        <v>1601</v>
      </c>
      <c r="L12641">
        <v>3</v>
      </c>
      <c r="M12641">
        <v>3703</v>
      </c>
      <c r="N12641">
        <v>71</v>
      </c>
      <c r="O12641">
        <v>14</v>
      </c>
      <c r="P12641">
        <v>112</v>
      </c>
      <c r="Q12641">
        <v>34</v>
      </c>
    </row>
    <row r="12642" spans="1:17" x14ac:dyDescent="0.2">
      <c r="A12642" s="121">
        <v>43404</v>
      </c>
      <c r="B12642" t="s">
        <v>406</v>
      </c>
      <c r="C12642" t="s">
        <v>551</v>
      </c>
      <c r="D12642" t="s">
        <v>560</v>
      </c>
      <c r="E12642" t="s">
        <v>561</v>
      </c>
      <c r="F12642" t="s">
        <v>413</v>
      </c>
      <c r="G12642">
        <v>5991</v>
      </c>
      <c r="H12642">
        <v>5991</v>
      </c>
      <c r="I12642">
        <v>5326</v>
      </c>
      <c r="J12642">
        <v>5326</v>
      </c>
      <c r="K12642">
        <v>1813</v>
      </c>
      <c r="L12642">
        <v>11</v>
      </c>
      <c r="M12642">
        <v>4064</v>
      </c>
      <c r="N12642">
        <v>74</v>
      </c>
      <c r="O12642">
        <v>29</v>
      </c>
      <c r="P12642">
        <v>40</v>
      </c>
      <c r="Q12642">
        <v>7</v>
      </c>
    </row>
    <row r="12643" spans="1:17" x14ac:dyDescent="0.2">
      <c r="A12643" s="121">
        <v>43404</v>
      </c>
      <c r="B12643" t="s">
        <v>406</v>
      </c>
      <c r="C12643" t="s">
        <v>562</v>
      </c>
      <c r="D12643" t="s">
        <v>605</v>
      </c>
      <c r="E12643" t="s">
        <v>606</v>
      </c>
      <c r="F12643" t="s">
        <v>410</v>
      </c>
      <c r="G12643">
        <v>181</v>
      </c>
      <c r="I12643">
        <v>181</v>
      </c>
    </row>
    <row r="12644" spans="1:17" x14ac:dyDescent="0.2">
      <c r="A12644" s="121">
        <v>43404</v>
      </c>
      <c r="B12644" t="s">
        <v>406</v>
      </c>
      <c r="C12644" t="s">
        <v>562</v>
      </c>
      <c r="D12644" t="s">
        <v>563</v>
      </c>
      <c r="E12644" t="s">
        <v>564</v>
      </c>
      <c r="F12644" t="s">
        <v>410</v>
      </c>
      <c r="G12644">
        <v>4066</v>
      </c>
      <c r="H12644">
        <v>4066</v>
      </c>
      <c r="I12644">
        <v>3745</v>
      </c>
      <c r="J12644">
        <v>3745</v>
      </c>
      <c r="K12644">
        <v>1148</v>
      </c>
      <c r="L12644">
        <v>0</v>
      </c>
      <c r="M12644">
        <v>2916</v>
      </c>
      <c r="N12644">
        <v>2</v>
      </c>
      <c r="O12644">
        <v>0</v>
      </c>
      <c r="P12644">
        <v>43</v>
      </c>
      <c r="Q12644">
        <v>18</v>
      </c>
    </row>
    <row r="12645" spans="1:17" x14ac:dyDescent="0.2">
      <c r="A12645" s="121">
        <v>43404</v>
      </c>
      <c r="B12645" t="s">
        <v>406</v>
      </c>
      <c r="C12645" t="s">
        <v>562</v>
      </c>
      <c r="D12645" t="s">
        <v>565</v>
      </c>
      <c r="E12645" t="s">
        <v>566</v>
      </c>
      <c r="F12645" t="s">
        <v>413</v>
      </c>
      <c r="G12645">
        <v>4791</v>
      </c>
      <c r="H12645">
        <v>4791</v>
      </c>
      <c r="I12645">
        <v>4211</v>
      </c>
      <c r="J12645">
        <v>4211</v>
      </c>
      <c r="K12645">
        <v>1053</v>
      </c>
      <c r="L12645">
        <v>3</v>
      </c>
      <c r="M12645">
        <v>3674</v>
      </c>
      <c r="N12645">
        <v>61</v>
      </c>
      <c r="O12645">
        <v>0</v>
      </c>
      <c r="P12645">
        <v>64</v>
      </c>
      <c r="Q12645">
        <v>8</v>
      </c>
    </row>
    <row r="12646" spans="1:17" x14ac:dyDescent="0.2">
      <c r="A12646" s="121">
        <v>43404</v>
      </c>
      <c r="B12646" t="s">
        <v>406</v>
      </c>
      <c r="C12646" t="s">
        <v>562</v>
      </c>
      <c r="D12646" t="s">
        <v>567</v>
      </c>
      <c r="E12646" t="s">
        <v>568</v>
      </c>
      <c r="F12646" t="s">
        <v>413</v>
      </c>
      <c r="G12646">
        <v>10190</v>
      </c>
      <c r="H12646">
        <v>10190</v>
      </c>
      <c r="I12646">
        <v>8761</v>
      </c>
      <c r="J12646">
        <v>8761</v>
      </c>
      <c r="K12646">
        <v>2775</v>
      </c>
      <c r="L12646">
        <v>9</v>
      </c>
      <c r="M12646">
        <v>7289</v>
      </c>
      <c r="N12646">
        <v>117</v>
      </c>
      <c r="O12646">
        <v>0</v>
      </c>
      <c r="P12646">
        <v>173</v>
      </c>
      <c r="Q12646">
        <v>33</v>
      </c>
    </row>
    <row r="12647" spans="1:17" x14ac:dyDescent="0.2">
      <c r="A12647" s="121">
        <v>43404</v>
      </c>
      <c r="B12647" t="s">
        <v>406</v>
      </c>
      <c r="C12647" t="s">
        <v>562</v>
      </c>
      <c r="D12647" t="s">
        <v>569</v>
      </c>
      <c r="E12647" t="s">
        <v>570</v>
      </c>
      <c r="F12647" t="s">
        <v>413</v>
      </c>
      <c r="G12647">
        <v>4024</v>
      </c>
      <c r="H12647">
        <v>4024</v>
      </c>
      <c r="I12647">
        <v>3858</v>
      </c>
      <c r="J12647">
        <v>3858</v>
      </c>
      <c r="K12647">
        <v>609</v>
      </c>
      <c r="L12647">
        <v>0</v>
      </c>
      <c r="M12647">
        <v>3414</v>
      </c>
      <c r="N12647">
        <v>1</v>
      </c>
      <c r="O12647">
        <v>0</v>
      </c>
      <c r="P12647">
        <v>8</v>
      </c>
      <c r="Q12647">
        <v>0</v>
      </c>
    </row>
    <row r="12648" spans="1:17" x14ac:dyDescent="0.2">
      <c r="A12648" s="121">
        <v>43404</v>
      </c>
      <c r="B12648" t="s">
        <v>406</v>
      </c>
      <c r="C12648" t="s">
        <v>571</v>
      </c>
      <c r="D12648" t="s">
        <v>572</v>
      </c>
      <c r="E12648" t="s">
        <v>627</v>
      </c>
      <c r="F12648" t="s">
        <v>413</v>
      </c>
      <c r="G12648">
        <v>493</v>
      </c>
      <c r="H12648">
        <v>493</v>
      </c>
      <c r="I12648">
        <v>470</v>
      </c>
      <c r="J12648">
        <v>470</v>
      </c>
      <c r="K12648">
        <v>140</v>
      </c>
      <c r="L12648">
        <v>0</v>
      </c>
      <c r="M12648">
        <v>347</v>
      </c>
      <c r="N12648">
        <v>5</v>
      </c>
      <c r="O12648">
        <v>1</v>
      </c>
      <c r="P12648">
        <v>0</v>
      </c>
      <c r="Q12648">
        <v>0</v>
      </c>
    </row>
    <row r="12649" spans="1:17" x14ac:dyDescent="0.2">
      <c r="A12649" s="121">
        <v>43404</v>
      </c>
      <c r="B12649" t="s">
        <v>406</v>
      </c>
      <c r="C12649" t="s">
        <v>574</v>
      </c>
      <c r="D12649" t="s">
        <v>575</v>
      </c>
      <c r="E12649" t="s">
        <v>576</v>
      </c>
      <c r="F12649" t="s">
        <v>413</v>
      </c>
      <c r="G12649">
        <v>653</v>
      </c>
      <c r="H12649">
        <v>653</v>
      </c>
      <c r="I12649">
        <v>626</v>
      </c>
      <c r="J12649">
        <v>626</v>
      </c>
      <c r="K12649">
        <v>162</v>
      </c>
      <c r="L12649">
        <v>0</v>
      </c>
      <c r="M12649">
        <v>481</v>
      </c>
      <c r="N12649">
        <v>4</v>
      </c>
      <c r="O12649">
        <v>6</v>
      </c>
      <c r="P12649">
        <v>1</v>
      </c>
      <c r="Q12649">
        <v>0</v>
      </c>
    </row>
    <row r="12650" spans="1:17" x14ac:dyDescent="0.2">
      <c r="A12650" s="121">
        <v>43404</v>
      </c>
      <c r="B12650" t="s">
        <v>406</v>
      </c>
      <c r="C12650" t="s">
        <v>577</v>
      </c>
      <c r="D12650" t="s">
        <v>578</v>
      </c>
      <c r="E12650" t="s">
        <v>579</v>
      </c>
      <c r="F12650" t="s">
        <v>413</v>
      </c>
      <c r="G12650">
        <v>4041</v>
      </c>
      <c r="H12650">
        <v>4041</v>
      </c>
      <c r="I12650">
        <v>3954</v>
      </c>
      <c r="J12650">
        <v>3954</v>
      </c>
      <c r="K12650">
        <v>1211</v>
      </c>
      <c r="L12650">
        <v>5</v>
      </c>
      <c r="M12650">
        <v>2558</v>
      </c>
      <c r="N12650">
        <v>217</v>
      </c>
      <c r="O12650">
        <v>50</v>
      </c>
      <c r="P12650">
        <v>0</v>
      </c>
      <c r="Q12650">
        <v>0</v>
      </c>
    </row>
    <row r="12651" spans="1:17" x14ac:dyDescent="0.2">
      <c r="A12651" s="121">
        <v>43404</v>
      </c>
      <c r="B12651" t="s">
        <v>406</v>
      </c>
      <c r="C12651" t="s">
        <v>577</v>
      </c>
      <c r="D12651" t="s">
        <v>580</v>
      </c>
      <c r="E12651" t="s">
        <v>581</v>
      </c>
      <c r="F12651" t="s">
        <v>413</v>
      </c>
      <c r="G12651">
        <v>2030</v>
      </c>
      <c r="H12651">
        <v>2030</v>
      </c>
      <c r="I12651">
        <v>1999</v>
      </c>
      <c r="J12651">
        <v>1999</v>
      </c>
      <c r="K12651">
        <v>330</v>
      </c>
      <c r="L12651">
        <v>2</v>
      </c>
      <c r="M12651">
        <v>1392</v>
      </c>
      <c r="N12651">
        <v>282</v>
      </c>
      <c r="O12651">
        <v>24</v>
      </c>
      <c r="P12651">
        <v>1</v>
      </c>
      <c r="Q12651">
        <v>0</v>
      </c>
    </row>
    <row r="12652" spans="1:17" x14ac:dyDescent="0.2">
      <c r="A12652" s="121">
        <v>43404</v>
      </c>
      <c r="B12652" t="s">
        <v>406</v>
      </c>
      <c r="C12652" t="s">
        <v>577</v>
      </c>
      <c r="D12652" t="s">
        <v>609</v>
      </c>
      <c r="E12652" t="s">
        <v>610</v>
      </c>
      <c r="F12652" t="s">
        <v>410</v>
      </c>
      <c r="G12652">
        <v>40</v>
      </c>
      <c r="H12652">
        <v>40</v>
      </c>
      <c r="I12652">
        <v>40</v>
      </c>
      <c r="J12652">
        <v>40</v>
      </c>
      <c r="K12652">
        <v>0</v>
      </c>
      <c r="L12652">
        <v>0</v>
      </c>
      <c r="M12652">
        <v>34</v>
      </c>
      <c r="N12652">
        <v>2</v>
      </c>
      <c r="O12652">
        <v>4</v>
      </c>
      <c r="P12652">
        <v>0</v>
      </c>
      <c r="Q12652">
        <v>0</v>
      </c>
    </row>
    <row r="12653" spans="1:17" x14ac:dyDescent="0.2">
      <c r="A12653" s="121">
        <v>43404</v>
      </c>
      <c r="B12653" t="s">
        <v>406</v>
      </c>
      <c r="C12653" t="s">
        <v>577</v>
      </c>
      <c r="D12653" t="s">
        <v>584</v>
      </c>
      <c r="E12653" t="s">
        <v>585</v>
      </c>
      <c r="F12653" t="s">
        <v>410</v>
      </c>
      <c r="G12653">
        <v>252</v>
      </c>
      <c r="H12653">
        <v>252</v>
      </c>
      <c r="I12653">
        <v>252</v>
      </c>
      <c r="J12653">
        <v>252</v>
      </c>
      <c r="K12653">
        <v>0</v>
      </c>
      <c r="L12653">
        <v>0</v>
      </c>
      <c r="M12653">
        <v>242</v>
      </c>
      <c r="N12653">
        <v>10</v>
      </c>
      <c r="O12653">
        <v>0</v>
      </c>
      <c r="P12653">
        <v>0</v>
      </c>
      <c r="Q12653">
        <v>0</v>
      </c>
    </row>
    <row r="12654" spans="1:17" x14ac:dyDescent="0.2">
      <c r="A12654" s="121">
        <v>43404</v>
      </c>
      <c r="B12654" t="s">
        <v>406</v>
      </c>
      <c r="C12654" t="s">
        <v>577</v>
      </c>
      <c r="D12654" t="s">
        <v>586</v>
      </c>
      <c r="E12654" t="s">
        <v>587</v>
      </c>
      <c r="F12654" t="s">
        <v>410</v>
      </c>
      <c r="G12654">
        <v>1192</v>
      </c>
      <c r="H12654">
        <v>1192</v>
      </c>
      <c r="I12654">
        <v>1192</v>
      </c>
      <c r="J12654">
        <v>1192</v>
      </c>
      <c r="K12654">
        <v>0</v>
      </c>
      <c r="L12654">
        <v>0</v>
      </c>
      <c r="M12654">
        <v>1054</v>
      </c>
      <c r="N12654">
        <v>134</v>
      </c>
      <c r="O12654">
        <v>4</v>
      </c>
      <c r="P12654">
        <v>0</v>
      </c>
      <c r="Q12654">
        <v>0</v>
      </c>
    </row>
    <row r="12655" spans="1:17" x14ac:dyDescent="0.2">
      <c r="A12655" s="121">
        <v>43404</v>
      </c>
      <c r="B12655" t="s">
        <v>406</v>
      </c>
      <c r="C12655" t="s">
        <v>577</v>
      </c>
      <c r="D12655" t="s">
        <v>588</v>
      </c>
      <c r="E12655" t="s">
        <v>589</v>
      </c>
      <c r="F12655" t="s">
        <v>410</v>
      </c>
      <c r="G12655">
        <v>99</v>
      </c>
      <c r="H12655">
        <v>99</v>
      </c>
      <c r="I12655">
        <v>99</v>
      </c>
      <c r="J12655">
        <v>99</v>
      </c>
      <c r="K12655">
        <v>0</v>
      </c>
      <c r="L12655">
        <v>0</v>
      </c>
      <c r="M12655">
        <v>92</v>
      </c>
      <c r="N12655">
        <v>7</v>
      </c>
      <c r="O12655">
        <v>0</v>
      </c>
      <c r="P12655">
        <v>0</v>
      </c>
      <c r="Q12655">
        <v>0</v>
      </c>
    </row>
    <row r="12656" spans="1:17" x14ac:dyDescent="0.2">
      <c r="A12656" s="121">
        <v>43404</v>
      </c>
      <c r="B12656" t="s">
        <v>406</v>
      </c>
      <c r="C12656" t="s">
        <v>577</v>
      </c>
      <c r="D12656" t="s">
        <v>613</v>
      </c>
      <c r="E12656" t="s">
        <v>614</v>
      </c>
      <c r="F12656" t="s">
        <v>410</v>
      </c>
      <c r="G12656">
        <v>60</v>
      </c>
      <c r="H12656">
        <v>60</v>
      </c>
      <c r="I12656">
        <v>60</v>
      </c>
      <c r="J12656">
        <v>60</v>
      </c>
      <c r="K12656">
        <v>0</v>
      </c>
      <c r="L12656">
        <v>0</v>
      </c>
      <c r="M12656">
        <v>51</v>
      </c>
      <c r="N12656">
        <v>7</v>
      </c>
      <c r="O12656">
        <v>2</v>
      </c>
      <c r="P12656">
        <v>0</v>
      </c>
      <c r="Q12656">
        <v>0</v>
      </c>
    </row>
    <row r="12657" spans="1:17" x14ac:dyDescent="0.2">
      <c r="A12657" s="121">
        <v>43404</v>
      </c>
      <c r="B12657" t="s">
        <v>406</v>
      </c>
      <c r="C12657" t="s">
        <v>577</v>
      </c>
      <c r="D12657" t="s">
        <v>590</v>
      </c>
      <c r="E12657" t="s">
        <v>591</v>
      </c>
      <c r="F12657" t="s">
        <v>410</v>
      </c>
      <c r="G12657">
        <v>526</v>
      </c>
      <c r="H12657">
        <v>526</v>
      </c>
      <c r="I12657">
        <v>526</v>
      </c>
      <c r="J12657">
        <v>526</v>
      </c>
      <c r="K12657">
        <v>0</v>
      </c>
      <c r="L12657">
        <v>0</v>
      </c>
      <c r="M12657">
        <v>501</v>
      </c>
      <c r="N12657">
        <v>24</v>
      </c>
      <c r="O12657">
        <v>1</v>
      </c>
      <c r="P12657">
        <v>0</v>
      </c>
      <c r="Q12657">
        <v>0</v>
      </c>
    </row>
    <row r="12658" spans="1:17" x14ac:dyDescent="0.2">
      <c r="A12658" s="121">
        <v>43404</v>
      </c>
      <c r="B12658" t="s">
        <v>406</v>
      </c>
      <c r="C12658" t="s">
        <v>577</v>
      </c>
      <c r="D12658" t="s">
        <v>607</v>
      </c>
      <c r="E12658" t="s">
        <v>608</v>
      </c>
      <c r="F12658" t="s">
        <v>410</v>
      </c>
      <c r="G12658">
        <v>68</v>
      </c>
      <c r="H12658">
        <v>68</v>
      </c>
      <c r="I12658">
        <v>68</v>
      </c>
      <c r="J12658">
        <v>68</v>
      </c>
      <c r="K12658">
        <v>0</v>
      </c>
      <c r="L12658">
        <v>0</v>
      </c>
      <c r="M12658">
        <v>63</v>
      </c>
      <c r="N12658">
        <v>5</v>
      </c>
      <c r="O12658">
        <v>0</v>
      </c>
      <c r="P12658">
        <v>0</v>
      </c>
      <c r="Q12658">
        <v>0</v>
      </c>
    </row>
    <row r="12659" spans="1:17" x14ac:dyDescent="0.2">
      <c r="A12659" s="121">
        <v>43404</v>
      </c>
      <c r="B12659" t="s">
        <v>406</v>
      </c>
      <c r="C12659" t="s">
        <v>577</v>
      </c>
      <c r="D12659" t="s">
        <v>592</v>
      </c>
      <c r="E12659" t="s">
        <v>593</v>
      </c>
      <c r="F12659" t="s">
        <v>410</v>
      </c>
      <c r="G12659">
        <v>256</v>
      </c>
      <c r="H12659">
        <v>256</v>
      </c>
      <c r="I12659">
        <v>256</v>
      </c>
      <c r="J12659">
        <v>256</v>
      </c>
      <c r="K12659">
        <v>0</v>
      </c>
      <c r="L12659">
        <v>1</v>
      </c>
      <c r="M12659">
        <v>233</v>
      </c>
      <c r="N12659">
        <v>22</v>
      </c>
      <c r="O12659">
        <v>0</v>
      </c>
      <c r="P12659">
        <v>0</v>
      </c>
      <c r="Q12659">
        <v>0</v>
      </c>
    </row>
    <row r="12660" spans="1:17" x14ac:dyDescent="0.2">
      <c r="A12660" s="121">
        <v>43404</v>
      </c>
      <c r="B12660" t="s">
        <v>406</v>
      </c>
      <c r="C12660" t="s">
        <v>594</v>
      </c>
      <c r="D12660" t="s">
        <v>595</v>
      </c>
      <c r="E12660" t="s">
        <v>596</v>
      </c>
      <c r="F12660" t="s">
        <v>410</v>
      </c>
      <c r="G12660">
        <v>62</v>
      </c>
      <c r="I12660">
        <v>62</v>
      </c>
    </row>
    <row r="12661" spans="1:17" x14ac:dyDescent="0.2">
      <c r="A12661" s="121">
        <v>43404</v>
      </c>
      <c r="B12661" t="s">
        <v>406</v>
      </c>
      <c r="C12661" t="s">
        <v>594</v>
      </c>
      <c r="D12661" t="s">
        <v>597</v>
      </c>
      <c r="E12661" t="s">
        <v>598</v>
      </c>
      <c r="F12661" t="s">
        <v>413</v>
      </c>
      <c r="G12661">
        <v>514</v>
      </c>
      <c r="H12661">
        <v>514</v>
      </c>
      <c r="I12661">
        <v>509</v>
      </c>
      <c r="J12661">
        <v>509</v>
      </c>
      <c r="K12661">
        <v>150</v>
      </c>
      <c r="L12661">
        <v>1</v>
      </c>
      <c r="M12661">
        <v>339</v>
      </c>
      <c r="N12661">
        <v>12</v>
      </c>
      <c r="O12661">
        <v>12</v>
      </c>
      <c r="P12661">
        <v>0</v>
      </c>
      <c r="Q12661">
        <v>0</v>
      </c>
    </row>
    <row r="12662" spans="1:17" x14ac:dyDescent="0.2">
      <c r="A12662" s="121">
        <v>43404</v>
      </c>
      <c r="B12662" t="s">
        <v>406</v>
      </c>
      <c r="C12662" t="s">
        <v>594</v>
      </c>
      <c r="D12662" t="s">
        <v>599</v>
      </c>
      <c r="E12662" t="s">
        <v>600</v>
      </c>
      <c r="F12662" t="s">
        <v>410</v>
      </c>
      <c r="G12662">
        <v>149</v>
      </c>
      <c r="H12662">
        <v>149</v>
      </c>
      <c r="I12662">
        <v>149</v>
      </c>
      <c r="J12662">
        <v>149</v>
      </c>
      <c r="K12662">
        <v>15</v>
      </c>
      <c r="L12662">
        <v>0</v>
      </c>
      <c r="M12662">
        <v>133</v>
      </c>
      <c r="N12662">
        <v>1</v>
      </c>
      <c r="O12662">
        <v>0</v>
      </c>
      <c r="P12662">
        <v>0</v>
      </c>
      <c r="Q12662">
        <v>0</v>
      </c>
    </row>
    <row r="12663" spans="1:17" x14ac:dyDescent="0.2">
      <c r="A12663" s="121">
        <v>43434</v>
      </c>
      <c r="B12663" t="s">
        <v>406</v>
      </c>
      <c r="C12663" t="s">
        <v>407</v>
      </c>
      <c r="D12663" t="s">
        <v>408</v>
      </c>
      <c r="E12663" t="s">
        <v>409</v>
      </c>
      <c r="F12663" t="s">
        <v>410</v>
      </c>
      <c r="G12663">
        <v>177</v>
      </c>
      <c r="I12663">
        <v>174</v>
      </c>
    </row>
    <row r="12664" spans="1:17" x14ac:dyDescent="0.2">
      <c r="A12664" s="121">
        <v>43434</v>
      </c>
      <c r="B12664" t="s">
        <v>406</v>
      </c>
      <c r="C12664" t="s">
        <v>407</v>
      </c>
      <c r="D12664" t="s">
        <v>601</v>
      </c>
      <c r="E12664" t="s">
        <v>602</v>
      </c>
      <c r="F12664" t="s">
        <v>410</v>
      </c>
      <c r="G12664">
        <v>38</v>
      </c>
      <c r="I12664">
        <v>38</v>
      </c>
    </row>
    <row r="12665" spans="1:17" x14ac:dyDescent="0.2">
      <c r="A12665" s="121">
        <v>43434</v>
      </c>
      <c r="B12665" t="s">
        <v>406</v>
      </c>
      <c r="C12665" t="s">
        <v>407</v>
      </c>
      <c r="D12665" t="s">
        <v>411</v>
      </c>
      <c r="E12665" t="s">
        <v>412</v>
      </c>
      <c r="F12665" t="s">
        <v>413</v>
      </c>
      <c r="G12665">
        <v>6021</v>
      </c>
      <c r="H12665">
        <v>6021</v>
      </c>
      <c r="I12665">
        <v>5601</v>
      </c>
      <c r="J12665">
        <v>5601</v>
      </c>
      <c r="K12665">
        <v>2166</v>
      </c>
      <c r="L12665">
        <v>6</v>
      </c>
      <c r="M12665">
        <v>3505</v>
      </c>
      <c r="N12665">
        <v>42</v>
      </c>
      <c r="O12665">
        <v>302</v>
      </c>
      <c r="P12665">
        <v>111</v>
      </c>
      <c r="Q12665">
        <v>25</v>
      </c>
    </row>
    <row r="12666" spans="1:17" x14ac:dyDescent="0.2">
      <c r="A12666" s="121">
        <v>43434</v>
      </c>
      <c r="B12666" t="s">
        <v>406</v>
      </c>
      <c r="C12666" t="s">
        <v>407</v>
      </c>
      <c r="D12666" t="s">
        <v>416</v>
      </c>
      <c r="E12666" t="s">
        <v>417</v>
      </c>
      <c r="F12666" t="s">
        <v>413</v>
      </c>
      <c r="G12666">
        <v>3051</v>
      </c>
      <c r="H12666">
        <v>3051</v>
      </c>
      <c r="I12666">
        <v>2734</v>
      </c>
      <c r="J12666">
        <v>2734</v>
      </c>
      <c r="K12666">
        <v>869</v>
      </c>
      <c r="L12666">
        <v>5</v>
      </c>
      <c r="M12666">
        <v>2034</v>
      </c>
      <c r="N12666">
        <v>85</v>
      </c>
      <c r="O12666">
        <v>58</v>
      </c>
      <c r="P12666">
        <v>71</v>
      </c>
      <c r="Q12666">
        <v>20</v>
      </c>
    </row>
    <row r="12667" spans="1:17" x14ac:dyDescent="0.2">
      <c r="A12667" s="121">
        <v>43434</v>
      </c>
      <c r="B12667" t="s">
        <v>406</v>
      </c>
      <c r="C12667" t="s">
        <v>407</v>
      </c>
      <c r="D12667" t="s">
        <v>618</v>
      </c>
      <c r="E12667" t="s">
        <v>619</v>
      </c>
      <c r="F12667" t="s">
        <v>410</v>
      </c>
      <c r="G12667">
        <v>56</v>
      </c>
      <c r="I12667">
        <v>56</v>
      </c>
    </row>
    <row r="12668" spans="1:17" x14ac:dyDescent="0.2">
      <c r="A12668" s="121">
        <v>43434</v>
      </c>
      <c r="B12668" t="s">
        <v>406</v>
      </c>
      <c r="C12668" t="s">
        <v>418</v>
      </c>
      <c r="D12668" t="s">
        <v>419</v>
      </c>
      <c r="E12668" t="s">
        <v>420</v>
      </c>
      <c r="F12668" t="s">
        <v>410</v>
      </c>
      <c r="G12668">
        <v>7</v>
      </c>
      <c r="I12668">
        <v>7</v>
      </c>
    </row>
    <row r="12669" spans="1:17" x14ac:dyDescent="0.2">
      <c r="A12669" s="121">
        <v>43434</v>
      </c>
      <c r="B12669" t="s">
        <v>406</v>
      </c>
      <c r="C12669" t="s">
        <v>418</v>
      </c>
      <c r="D12669" t="s">
        <v>421</v>
      </c>
      <c r="E12669" t="s">
        <v>422</v>
      </c>
      <c r="F12669" t="s">
        <v>410</v>
      </c>
      <c r="G12669">
        <v>65</v>
      </c>
      <c r="I12669">
        <v>65</v>
      </c>
    </row>
    <row r="12670" spans="1:17" x14ac:dyDescent="0.2">
      <c r="A12670" s="121">
        <v>43434</v>
      </c>
      <c r="B12670" t="s">
        <v>406</v>
      </c>
      <c r="C12670" t="s">
        <v>418</v>
      </c>
      <c r="D12670" t="s">
        <v>423</v>
      </c>
      <c r="E12670" t="s">
        <v>424</v>
      </c>
      <c r="F12670" t="s">
        <v>410</v>
      </c>
      <c r="G12670">
        <v>11</v>
      </c>
      <c r="I12670">
        <v>11</v>
      </c>
    </row>
    <row r="12671" spans="1:17" x14ac:dyDescent="0.2">
      <c r="A12671" s="121">
        <v>43434</v>
      </c>
      <c r="B12671" t="s">
        <v>406</v>
      </c>
      <c r="C12671" t="s">
        <v>418</v>
      </c>
      <c r="D12671" t="s">
        <v>425</v>
      </c>
      <c r="E12671" t="s">
        <v>426</v>
      </c>
      <c r="F12671" t="s">
        <v>410</v>
      </c>
      <c r="G12671">
        <v>50</v>
      </c>
      <c r="I12671">
        <v>50</v>
      </c>
    </row>
    <row r="12672" spans="1:17" x14ac:dyDescent="0.2">
      <c r="A12672" s="121">
        <v>43434</v>
      </c>
      <c r="B12672" t="s">
        <v>406</v>
      </c>
      <c r="C12672" t="s">
        <v>418</v>
      </c>
      <c r="D12672" t="s">
        <v>427</v>
      </c>
      <c r="E12672" t="s">
        <v>428</v>
      </c>
      <c r="F12672" t="s">
        <v>413</v>
      </c>
      <c r="G12672">
        <v>2445</v>
      </c>
      <c r="H12672">
        <v>2445</v>
      </c>
      <c r="I12672">
        <v>2356</v>
      </c>
      <c r="J12672">
        <v>2356</v>
      </c>
      <c r="K12672">
        <v>857</v>
      </c>
      <c r="L12672">
        <v>5</v>
      </c>
      <c r="M12672">
        <v>1429</v>
      </c>
      <c r="N12672">
        <v>144</v>
      </c>
      <c r="O12672">
        <v>10</v>
      </c>
      <c r="P12672">
        <v>1</v>
      </c>
      <c r="Q12672">
        <v>0</v>
      </c>
    </row>
    <row r="12673" spans="1:17" x14ac:dyDescent="0.2">
      <c r="A12673" s="121">
        <v>43434</v>
      </c>
      <c r="B12673" t="s">
        <v>406</v>
      </c>
      <c r="C12673" t="s">
        <v>429</v>
      </c>
      <c r="D12673" t="s">
        <v>430</v>
      </c>
      <c r="E12673" t="s">
        <v>431</v>
      </c>
      <c r="F12673" t="s">
        <v>410</v>
      </c>
      <c r="G12673">
        <v>26</v>
      </c>
      <c r="I12673">
        <v>26</v>
      </c>
    </row>
    <row r="12674" spans="1:17" x14ac:dyDescent="0.2">
      <c r="A12674" s="121">
        <v>43434</v>
      </c>
      <c r="B12674" t="s">
        <v>406</v>
      </c>
      <c r="C12674" t="s">
        <v>429</v>
      </c>
      <c r="D12674" t="s">
        <v>432</v>
      </c>
      <c r="E12674" t="s">
        <v>433</v>
      </c>
      <c r="F12674" t="s">
        <v>410</v>
      </c>
      <c r="G12674">
        <v>38</v>
      </c>
      <c r="I12674">
        <v>38</v>
      </c>
    </row>
    <row r="12675" spans="1:17" x14ac:dyDescent="0.2">
      <c r="A12675" s="121">
        <v>43434</v>
      </c>
      <c r="B12675" t="s">
        <v>406</v>
      </c>
      <c r="C12675" t="s">
        <v>429</v>
      </c>
      <c r="D12675" t="s">
        <v>434</v>
      </c>
      <c r="E12675" t="s">
        <v>435</v>
      </c>
      <c r="F12675" t="s">
        <v>410</v>
      </c>
      <c r="G12675">
        <v>1</v>
      </c>
      <c r="I12675">
        <v>1</v>
      </c>
    </row>
    <row r="12676" spans="1:17" x14ac:dyDescent="0.2">
      <c r="A12676" s="121">
        <v>43434</v>
      </c>
      <c r="B12676" t="s">
        <v>406</v>
      </c>
      <c r="C12676" t="s">
        <v>429</v>
      </c>
      <c r="D12676" t="s">
        <v>436</v>
      </c>
      <c r="E12676" t="s">
        <v>437</v>
      </c>
      <c r="F12676" t="s">
        <v>410</v>
      </c>
      <c r="G12676">
        <v>13</v>
      </c>
      <c r="H12676">
        <v>13</v>
      </c>
      <c r="I12676">
        <v>13</v>
      </c>
      <c r="J12676">
        <v>13</v>
      </c>
      <c r="K12676">
        <v>0</v>
      </c>
      <c r="L12676">
        <v>0</v>
      </c>
      <c r="M12676">
        <v>11</v>
      </c>
      <c r="N12676">
        <v>2</v>
      </c>
      <c r="O12676">
        <v>0</v>
      </c>
      <c r="P12676">
        <v>0</v>
      </c>
      <c r="Q12676">
        <v>0</v>
      </c>
    </row>
    <row r="12677" spans="1:17" x14ac:dyDescent="0.2">
      <c r="A12677" s="121">
        <v>43434</v>
      </c>
      <c r="B12677" t="s">
        <v>406</v>
      </c>
      <c r="C12677" t="s">
        <v>429</v>
      </c>
      <c r="D12677" t="s">
        <v>438</v>
      </c>
      <c r="E12677" t="s">
        <v>439</v>
      </c>
      <c r="F12677" t="s">
        <v>413</v>
      </c>
      <c r="G12677">
        <v>957</v>
      </c>
      <c r="H12677">
        <v>957</v>
      </c>
      <c r="I12677">
        <v>892</v>
      </c>
      <c r="J12677">
        <v>892</v>
      </c>
      <c r="K12677">
        <v>71</v>
      </c>
      <c r="L12677">
        <v>0</v>
      </c>
      <c r="M12677">
        <v>783</v>
      </c>
      <c r="N12677">
        <v>70</v>
      </c>
      <c r="O12677">
        <v>33</v>
      </c>
      <c r="P12677">
        <v>11</v>
      </c>
      <c r="Q12677">
        <v>3</v>
      </c>
    </row>
    <row r="12678" spans="1:17" x14ac:dyDescent="0.2">
      <c r="A12678" s="121">
        <v>43434</v>
      </c>
      <c r="B12678" t="s">
        <v>406</v>
      </c>
      <c r="C12678" t="s">
        <v>429</v>
      </c>
      <c r="D12678" t="s">
        <v>440</v>
      </c>
      <c r="E12678" t="s">
        <v>441</v>
      </c>
      <c r="F12678" t="s">
        <v>413</v>
      </c>
      <c r="G12678">
        <v>2677</v>
      </c>
      <c r="H12678">
        <v>2677</v>
      </c>
      <c r="I12678">
        <v>2562</v>
      </c>
      <c r="J12678">
        <v>2562</v>
      </c>
      <c r="K12678">
        <v>871</v>
      </c>
      <c r="L12678">
        <v>2</v>
      </c>
      <c r="M12678">
        <v>1699</v>
      </c>
      <c r="N12678">
        <v>78</v>
      </c>
      <c r="O12678">
        <v>27</v>
      </c>
      <c r="P12678">
        <v>6</v>
      </c>
      <c r="Q12678">
        <v>0</v>
      </c>
    </row>
    <row r="12679" spans="1:17" x14ac:dyDescent="0.2">
      <c r="A12679" s="121">
        <v>43434</v>
      </c>
      <c r="B12679" t="s">
        <v>406</v>
      </c>
      <c r="C12679" t="s">
        <v>442</v>
      </c>
      <c r="D12679" t="s">
        <v>443</v>
      </c>
      <c r="E12679" t="s">
        <v>444</v>
      </c>
      <c r="F12679" t="s">
        <v>413</v>
      </c>
      <c r="G12679">
        <v>5412</v>
      </c>
      <c r="H12679">
        <v>5412</v>
      </c>
      <c r="I12679">
        <v>5085</v>
      </c>
      <c r="J12679">
        <v>5085</v>
      </c>
      <c r="K12679">
        <v>1610</v>
      </c>
      <c r="L12679">
        <v>10</v>
      </c>
      <c r="M12679">
        <v>3629</v>
      </c>
      <c r="N12679">
        <v>109</v>
      </c>
      <c r="O12679">
        <v>54</v>
      </c>
      <c r="P12679">
        <v>6</v>
      </c>
      <c r="Q12679">
        <v>0</v>
      </c>
    </row>
    <row r="12680" spans="1:17" x14ac:dyDescent="0.2">
      <c r="A12680" s="121">
        <v>43434</v>
      </c>
      <c r="B12680" t="s">
        <v>406</v>
      </c>
      <c r="C12680" t="s">
        <v>442</v>
      </c>
      <c r="D12680" t="s">
        <v>445</v>
      </c>
      <c r="E12680" t="s">
        <v>446</v>
      </c>
      <c r="F12680" t="s">
        <v>410</v>
      </c>
      <c r="G12680">
        <v>132</v>
      </c>
      <c r="H12680">
        <v>132</v>
      </c>
      <c r="I12680">
        <v>132</v>
      </c>
      <c r="J12680">
        <v>132</v>
      </c>
      <c r="K12680">
        <v>1</v>
      </c>
      <c r="L12680">
        <v>0</v>
      </c>
      <c r="M12680">
        <v>126</v>
      </c>
      <c r="N12680">
        <v>3</v>
      </c>
      <c r="O12680">
        <v>2</v>
      </c>
      <c r="P12680">
        <v>0</v>
      </c>
      <c r="Q12680">
        <v>0</v>
      </c>
    </row>
    <row r="12681" spans="1:17" x14ac:dyDescent="0.2">
      <c r="A12681" s="121">
        <v>43434</v>
      </c>
      <c r="B12681" t="s">
        <v>406</v>
      </c>
      <c r="C12681" t="s">
        <v>442</v>
      </c>
      <c r="D12681" t="s">
        <v>447</v>
      </c>
      <c r="E12681" t="s">
        <v>448</v>
      </c>
      <c r="F12681" t="s">
        <v>410</v>
      </c>
      <c r="G12681">
        <v>293</v>
      </c>
      <c r="H12681">
        <v>293</v>
      </c>
      <c r="I12681">
        <v>293</v>
      </c>
      <c r="J12681">
        <v>293</v>
      </c>
      <c r="K12681">
        <v>0</v>
      </c>
      <c r="L12681">
        <v>0</v>
      </c>
      <c r="M12681">
        <v>278</v>
      </c>
      <c r="N12681">
        <v>15</v>
      </c>
      <c r="O12681">
        <v>0</v>
      </c>
      <c r="P12681">
        <v>0</v>
      </c>
      <c r="Q12681">
        <v>0</v>
      </c>
    </row>
    <row r="12682" spans="1:17" x14ac:dyDescent="0.2">
      <c r="A12682" s="121">
        <v>43434</v>
      </c>
      <c r="B12682" t="s">
        <v>406</v>
      </c>
      <c r="C12682" t="s">
        <v>442</v>
      </c>
      <c r="D12682" t="s">
        <v>449</v>
      </c>
      <c r="E12682" t="s">
        <v>624</v>
      </c>
      <c r="F12682" t="s">
        <v>410</v>
      </c>
      <c r="G12682">
        <v>1621</v>
      </c>
      <c r="H12682">
        <v>1621</v>
      </c>
      <c r="I12682">
        <v>1620</v>
      </c>
      <c r="J12682">
        <v>1620</v>
      </c>
      <c r="K12682">
        <v>20</v>
      </c>
      <c r="L12682">
        <v>0</v>
      </c>
      <c r="M12682">
        <v>1468</v>
      </c>
      <c r="N12682">
        <v>120</v>
      </c>
      <c r="O12682">
        <v>13</v>
      </c>
      <c r="P12682">
        <v>0</v>
      </c>
      <c r="Q12682">
        <v>0</v>
      </c>
    </row>
    <row r="12683" spans="1:17" x14ac:dyDescent="0.2">
      <c r="A12683" s="121">
        <v>43434</v>
      </c>
      <c r="B12683" t="s">
        <v>406</v>
      </c>
      <c r="C12683" t="s">
        <v>451</v>
      </c>
      <c r="D12683" t="s">
        <v>454</v>
      </c>
      <c r="E12683" t="s">
        <v>621</v>
      </c>
      <c r="F12683" t="s">
        <v>410</v>
      </c>
      <c r="G12683">
        <v>1587</v>
      </c>
      <c r="H12683">
        <v>1587</v>
      </c>
      <c r="I12683">
        <v>1587</v>
      </c>
      <c r="J12683">
        <v>1587</v>
      </c>
      <c r="K12683">
        <v>2</v>
      </c>
      <c r="L12683">
        <v>0</v>
      </c>
      <c r="M12683">
        <v>1212</v>
      </c>
      <c r="N12683">
        <v>145</v>
      </c>
      <c r="O12683">
        <v>228</v>
      </c>
      <c r="P12683">
        <v>0</v>
      </c>
      <c r="Q12683">
        <v>0</v>
      </c>
    </row>
    <row r="12684" spans="1:17" x14ac:dyDescent="0.2">
      <c r="A12684" s="121">
        <v>43434</v>
      </c>
      <c r="B12684" t="s">
        <v>406</v>
      </c>
      <c r="C12684" t="s">
        <v>451</v>
      </c>
      <c r="D12684" t="s">
        <v>622</v>
      </c>
      <c r="E12684" t="s">
        <v>623</v>
      </c>
      <c r="F12684" t="s">
        <v>413</v>
      </c>
      <c r="G12684">
        <v>5207</v>
      </c>
      <c r="H12684">
        <v>5207</v>
      </c>
      <c r="I12684">
        <v>3736</v>
      </c>
      <c r="J12684">
        <v>3736</v>
      </c>
      <c r="K12684">
        <v>1373</v>
      </c>
      <c r="L12684">
        <v>9</v>
      </c>
      <c r="M12684">
        <v>2923</v>
      </c>
      <c r="N12684">
        <v>77</v>
      </c>
      <c r="O12684">
        <v>825</v>
      </c>
      <c r="P12684">
        <v>323</v>
      </c>
      <c r="Q12684">
        <v>84</v>
      </c>
    </row>
    <row r="12685" spans="1:17" x14ac:dyDescent="0.2">
      <c r="A12685" s="121">
        <v>43434</v>
      </c>
      <c r="B12685" t="s">
        <v>406</v>
      </c>
      <c r="C12685" t="s">
        <v>456</v>
      </c>
      <c r="D12685" t="s">
        <v>457</v>
      </c>
      <c r="E12685" t="s">
        <v>458</v>
      </c>
      <c r="F12685" t="s">
        <v>413</v>
      </c>
      <c r="G12685">
        <v>4723</v>
      </c>
      <c r="H12685">
        <v>4723</v>
      </c>
      <c r="I12685">
        <v>4337</v>
      </c>
      <c r="J12685">
        <v>4337</v>
      </c>
      <c r="K12685">
        <v>1219</v>
      </c>
      <c r="L12685">
        <v>13</v>
      </c>
      <c r="M12685">
        <v>3081</v>
      </c>
      <c r="N12685">
        <v>27</v>
      </c>
      <c r="O12685">
        <v>383</v>
      </c>
      <c r="P12685">
        <v>8</v>
      </c>
      <c r="Q12685">
        <v>0</v>
      </c>
    </row>
    <row r="12686" spans="1:17" x14ac:dyDescent="0.2">
      <c r="A12686" s="121">
        <v>43434</v>
      </c>
      <c r="B12686" t="s">
        <v>406</v>
      </c>
      <c r="C12686" t="s">
        <v>456</v>
      </c>
      <c r="D12686" t="s">
        <v>459</v>
      </c>
      <c r="E12686" t="s">
        <v>460</v>
      </c>
      <c r="F12686" t="s">
        <v>413</v>
      </c>
      <c r="G12686">
        <v>1269</v>
      </c>
      <c r="H12686">
        <v>1269</v>
      </c>
      <c r="I12686">
        <v>1261</v>
      </c>
      <c r="J12686">
        <v>1261</v>
      </c>
      <c r="K12686">
        <v>128</v>
      </c>
      <c r="L12686">
        <v>0</v>
      </c>
      <c r="M12686">
        <v>1076</v>
      </c>
      <c r="N12686">
        <v>0</v>
      </c>
      <c r="O12686">
        <v>65</v>
      </c>
      <c r="P12686">
        <v>0</v>
      </c>
      <c r="Q12686">
        <v>0</v>
      </c>
    </row>
    <row r="12687" spans="1:17" x14ac:dyDescent="0.2">
      <c r="A12687" s="121">
        <v>43434</v>
      </c>
      <c r="B12687" t="s">
        <v>406</v>
      </c>
      <c r="C12687" t="s">
        <v>456</v>
      </c>
      <c r="D12687" t="s">
        <v>461</v>
      </c>
      <c r="E12687" t="s">
        <v>462</v>
      </c>
      <c r="F12687" t="s">
        <v>410</v>
      </c>
      <c r="G12687">
        <v>83</v>
      </c>
      <c r="I12687">
        <v>83</v>
      </c>
    </row>
    <row r="12688" spans="1:17" x14ac:dyDescent="0.2">
      <c r="A12688" s="121">
        <v>43434</v>
      </c>
      <c r="B12688" t="s">
        <v>406</v>
      </c>
      <c r="C12688" t="s">
        <v>456</v>
      </c>
      <c r="D12688" t="s">
        <v>463</v>
      </c>
      <c r="E12688" t="s">
        <v>464</v>
      </c>
      <c r="F12688" t="s">
        <v>410</v>
      </c>
      <c r="G12688">
        <v>3</v>
      </c>
      <c r="I12688">
        <v>3</v>
      </c>
    </row>
    <row r="12689" spans="1:17" x14ac:dyDescent="0.2">
      <c r="A12689" s="121">
        <v>43434</v>
      </c>
      <c r="B12689" t="s">
        <v>406</v>
      </c>
      <c r="C12689" t="s">
        <v>456</v>
      </c>
      <c r="D12689" t="s">
        <v>465</v>
      </c>
      <c r="E12689" t="s">
        <v>466</v>
      </c>
      <c r="F12689" t="s">
        <v>410</v>
      </c>
      <c r="G12689">
        <v>32</v>
      </c>
      <c r="I12689">
        <v>32</v>
      </c>
    </row>
    <row r="12690" spans="1:17" x14ac:dyDescent="0.2">
      <c r="A12690" s="121">
        <v>43434</v>
      </c>
      <c r="B12690" t="s">
        <v>406</v>
      </c>
      <c r="C12690" t="s">
        <v>456</v>
      </c>
      <c r="D12690" t="s">
        <v>467</v>
      </c>
      <c r="E12690" t="s">
        <v>468</v>
      </c>
      <c r="F12690" t="s">
        <v>410</v>
      </c>
      <c r="G12690">
        <v>1197</v>
      </c>
      <c r="I12690">
        <v>1197</v>
      </c>
    </row>
    <row r="12691" spans="1:17" x14ac:dyDescent="0.2">
      <c r="A12691" s="121">
        <v>43434</v>
      </c>
      <c r="B12691" t="s">
        <v>406</v>
      </c>
      <c r="C12691" t="s">
        <v>456</v>
      </c>
      <c r="D12691" t="s">
        <v>469</v>
      </c>
      <c r="E12691" t="s">
        <v>470</v>
      </c>
      <c r="F12691" t="s">
        <v>410</v>
      </c>
      <c r="G12691">
        <v>560</v>
      </c>
      <c r="I12691">
        <v>560</v>
      </c>
    </row>
    <row r="12692" spans="1:17" x14ac:dyDescent="0.2">
      <c r="A12692" s="121">
        <v>43434</v>
      </c>
      <c r="B12692" t="s">
        <v>406</v>
      </c>
      <c r="C12692" t="s">
        <v>456</v>
      </c>
      <c r="D12692" t="s">
        <v>471</v>
      </c>
      <c r="E12692" t="s">
        <v>472</v>
      </c>
      <c r="F12692" t="s">
        <v>410</v>
      </c>
      <c r="G12692">
        <v>229</v>
      </c>
      <c r="I12692">
        <v>228</v>
      </c>
    </row>
    <row r="12693" spans="1:17" x14ac:dyDescent="0.2">
      <c r="A12693" s="121">
        <v>43434</v>
      </c>
      <c r="B12693" t="s">
        <v>406</v>
      </c>
      <c r="C12693" t="s">
        <v>456</v>
      </c>
      <c r="D12693" t="s">
        <v>473</v>
      </c>
      <c r="E12693" t="s">
        <v>474</v>
      </c>
      <c r="F12693" t="s">
        <v>410</v>
      </c>
      <c r="G12693">
        <v>126</v>
      </c>
      <c r="I12693">
        <v>126</v>
      </c>
    </row>
    <row r="12694" spans="1:17" x14ac:dyDescent="0.2">
      <c r="A12694" s="121">
        <v>43434</v>
      </c>
      <c r="B12694" t="s">
        <v>406</v>
      </c>
      <c r="C12694" t="s">
        <v>456</v>
      </c>
      <c r="D12694" t="s">
        <v>475</v>
      </c>
      <c r="E12694" t="s">
        <v>476</v>
      </c>
      <c r="F12694" t="s">
        <v>410</v>
      </c>
      <c r="G12694">
        <v>256</v>
      </c>
      <c r="I12694">
        <v>244</v>
      </c>
    </row>
    <row r="12695" spans="1:17" x14ac:dyDescent="0.2">
      <c r="A12695" s="121">
        <v>43434</v>
      </c>
      <c r="B12695" t="s">
        <v>406</v>
      </c>
      <c r="C12695" t="s">
        <v>456</v>
      </c>
      <c r="D12695" t="s">
        <v>477</v>
      </c>
      <c r="E12695" t="s">
        <v>478</v>
      </c>
      <c r="F12695" t="s">
        <v>413</v>
      </c>
      <c r="G12695">
        <v>2061</v>
      </c>
      <c r="H12695">
        <v>2061</v>
      </c>
      <c r="I12695">
        <v>1865</v>
      </c>
      <c r="J12695">
        <v>1865</v>
      </c>
      <c r="K12695">
        <v>410</v>
      </c>
      <c r="L12695">
        <v>2</v>
      </c>
      <c r="M12695">
        <v>1620</v>
      </c>
      <c r="N12695">
        <v>21</v>
      </c>
      <c r="O12695">
        <v>8</v>
      </c>
      <c r="P12695">
        <v>12</v>
      </c>
      <c r="Q12695">
        <v>0</v>
      </c>
    </row>
    <row r="12696" spans="1:17" x14ac:dyDescent="0.2">
      <c r="A12696" s="121">
        <v>43434</v>
      </c>
      <c r="B12696" t="s">
        <v>406</v>
      </c>
      <c r="C12696" t="s">
        <v>456</v>
      </c>
      <c r="D12696" t="s">
        <v>479</v>
      </c>
      <c r="E12696" t="s">
        <v>480</v>
      </c>
      <c r="F12696" t="s">
        <v>410</v>
      </c>
      <c r="G12696">
        <v>43</v>
      </c>
      <c r="I12696">
        <v>43</v>
      </c>
    </row>
    <row r="12697" spans="1:17" x14ac:dyDescent="0.2">
      <c r="A12697" s="121">
        <v>43434</v>
      </c>
      <c r="B12697" t="s">
        <v>406</v>
      </c>
      <c r="C12697" t="s">
        <v>456</v>
      </c>
      <c r="D12697" t="s">
        <v>481</v>
      </c>
      <c r="E12697" t="s">
        <v>482</v>
      </c>
      <c r="F12697" t="s">
        <v>410</v>
      </c>
      <c r="G12697">
        <v>12</v>
      </c>
      <c r="I12697">
        <v>12</v>
      </c>
    </row>
    <row r="12698" spans="1:17" x14ac:dyDescent="0.2">
      <c r="A12698" s="121">
        <v>43434</v>
      </c>
      <c r="B12698" t="s">
        <v>406</v>
      </c>
      <c r="C12698" t="s">
        <v>456</v>
      </c>
      <c r="D12698" t="s">
        <v>483</v>
      </c>
      <c r="E12698" t="s">
        <v>484</v>
      </c>
      <c r="F12698" t="s">
        <v>410</v>
      </c>
      <c r="G12698">
        <v>60</v>
      </c>
      <c r="I12698">
        <v>60</v>
      </c>
    </row>
    <row r="12699" spans="1:17" x14ac:dyDescent="0.2">
      <c r="A12699" s="121">
        <v>43434</v>
      </c>
      <c r="B12699" t="s">
        <v>406</v>
      </c>
      <c r="C12699" t="s">
        <v>456</v>
      </c>
      <c r="D12699" t="s">
        <v>487</v>
      </c>
      <c r="E12699" t="s">
        <v>488</v>
      </c>
      <c r="F12699" t="s">
        <v>410</v>
      </c>
      <c r="G12699">
        <v>14</v>
      </c>
      <c r="I12699">
        <v>14</v>
      </c>
    </row>
    <row r="12700" spans="1:17" x14ac:dyDescent="0.2">
      <c r="A12700" s="121">
        <v>43434</v>
      </c>
      <c r="B12700" t="s">
        <v>406</v>
      </c>
      <c r="C12700" t="s">
        <v>456</v>
      </c>
      <c r="D12700" t="s">
        <v>489</v>
      </c>
      <c r="E12700" t="s">
        <v>490</v>
      </c>
      <c r="F12700" t="s">
        <v>410</v>
      </c>
      <c r="G12700">
        <v>83</v>
      </c>
      <c r="I12700">
        <v>83</v>
      </c>
    </row>
    <row r="12701" spans="1:17" x14ac:dyDescent="0.2">
      <c r="A12701" s="121">
        <v>43434</v>
      </c>
      <c r="B12701" t="s">
        <v>406</v>
      </c>
      <c r="C12701" t="s">
        <v>456</v>
      </c>
      <c r="D12701" t="s">
        <v>628</v>
      </c>
      <c r="E12701" t="s">
        <v>629</v>
      </c>
      <c r="F12701" t="s">
        <v>410</v>
      </c>
      <c r="G12701">
        <v>37</v>
      </c>
      <c r="I12701">
        <v>37</v>
      </c>
    </row>
    <row r="12702" spans="1:17" x14ac:dyDescent="0.2">
      <c r="A12702" s="121">
        <v>43434</v>
      </c>
      <c r="B12702" t="s">
        <v>406</v>
      </c>
      <c r="C12702" t="s">
        <v>491</v>
      </c>
      <c r="D12702" t="s">
        <v>492</v>
      </c>
      <c r="E12702" t="s">
        <v>493</v>
      </c>
      <c r="F12702" t="s">
        <v>410</v>
      </c>
      <c r="G12702">
        <v>1354</v>
      </c>
      <c r="H12702">
        <v>1354</v>
      </c>
      <c r="I12702">
        <v>1308</v>
      </c>
      <c r="J12702">
        <v>1308</v>
      </c>
      <c r="K12702">
        <v>223</v>
      </c>
      <c r="L12702">
        <v>0</v>
      </c>
      <c r="M12702">
        <v>1040</v>
      </c>
      <c r="N12702">
        <v>79</v>
      </c>
      <c r="O12702">
        <v>12</v>
      </c>
      <c r="P12702">
        <v>1</v>
      </c>
      <c r="Q12702">
        <v>0</v>
      </c>
    </row>
    <row r="12703" spans="1:17" x14ac:dyDescent="0.2">
      <c r="A12703" s="121">
        <v>43434</v>
      </c>
      <c r="B12703" t="s">
        <v>406</v>
      </c>
      <c r="C12703" t="s">
        <v>491</v>
      </c>
      <c r="D12703" t="s">
        <v>494</v>
      </c>
      <c r="E12703" t="s">
        <v>495</v>
      </c>
      <c r="F12703" t="s">
        <v>413</v>
      </c>
      <c r="G12703">
        <v>2462</v>
      </c>
      <c r="H12703">
        <v>2462</v>
      </c>
      <c r="I12703">
        <v>2278</v>
      </c>
      <c r="J12703">
        <v>2278</v>
      </c>
      <c r="K12703">
        <v>614</v>
      </c>
      <c r="L12703">
        <v>6</v>
      </c>
      <c r="M12703">
        <v>1683</v>
      </c>
      <c r="N12703">
        <v>47</v>
      </c>
      <c r="O12703">
        <v>112</v>
      </c>
      <c r="P12703">
        <v>7</v>
      </c>
      <c r="Q12703">
        <v>0</v>
      </c>
    </row>
    <row r="12704" spans="1:17" x14ac:dyDescent="0.2">
      <c r="A12704" s="121">
        <v>43434</v>
      </c>
      <c r="B12704" t="s">
        <v>406</v>
      </c>
      <c r="C12704" t="s">
        <v>491</v>
      </c>
      <c r="D12704" t="s">
        <v>496</v>
      </c>
      <c r="E12704" t="s">
        <v>497</v>
      </c>
      <c r="F12704" t="s">
        <v>413</v>
      </c>
      <c r="G12704">
        <v>5437</v>
      </c>
      <c r="H12704">
        <v>5437</v>
      </c>
      <c r="I12704">
        <v>4825</v>
      </c>
      <c r="J12704">
        <v>4825</v>
      </c>
      <c r="K12704">
        <v>1777</v>
      </c>
      <c r="L12704">
        <v>12</v>
      </c>
      <c r="M12704">
        <v>3449</v>
      </c>
      <c r="N12704">
        <v>120</v>
      </c>
      <c r="O12704">
        <v>79</v>
      </c>
      <c r="P12704">
        <v>73</v>
      </c>
      <c r="Q12704">
        <v>0</v>
      </c>
    </row>
    <row r="12705" spans="1:17" x14ac:dyDescent="0.2">
      <c r="A12705" s="121">
        <v>43434</v>
      </c>
      <c r="B12705" t="s">
        <v>406</v>
      </c>
      <c r="C12705" t="s">
        <v>491</v>
      </c>
      <c r="D12705" t="s">
        <v>498</v>
      </c>
      <c r="E12705" t="s">
        <v>499</v>
      </c>
      <c r="F12705" t="s">
        <v>413</v>
      </c>
      <c r="G12705">
        <v>7875</v>
      </c>
      <c r="H12705">
        <v>7875</v>
      </c>
      <c r="I12705">
        <v>7019</v>
      </c>
      <c r="J12705">
        <v>7019</v>
      </c>
      <c r="K12705">
        <v>2431</v>
      </c>
      <c r="L12705">
        <v>18</v>
      </c>
      <c r="M12705">
        <v>4964</v>
      </c>
      <c r="N12705">
        <v>95</v>
      </c>
      <c r="O12705">
        <v>367</v>
      </c>
      <c r="P12705">
        <v>18</v>
      </c>
      <c r="Q12705">
        <v>0</v>
      </c>
    </row>
    <row r="12706" spans="1:17" x14ac:dyDescent="0.2">
      <c r="A12706" s="121">
        <v>43434</v>
      </c>
      <c r="B12706" t="s">
        <v>406</v>
      </c>
      <c r="C12706" t="s">
        <v>491</v>
      </c>
      <c r="D12706" t="s">
        <v>500</v>
      </c>
      <c r="E12706" t="s">
        <v>620</v>
      </c>
      <c r="F12706" t="s">
        <v>410</v>
      </c>
      <c r="G12706">
        <v>1705</v>
      </c>
      <c r="H12706">
        <v>1705</v>
      </c>
      <c r="I12706">
        <v>1705</v>
      </c>
      <c r="J12706">
        <v>1705</v>
      </c>
      <c r="K12706">
        <v>0</v>
      </c>
      <c r="L12706">
        <v>0</v>
      </c>
      <c r="M12706">
        <v>1547</v>
      </c>
      <c r="N12706">
        <v>105</v>
      </c>
      <c r="O12706">
        <v>53</v>
      </c>
      <c r="P12706">
        <v>0</v>
      </c>
      <c r="Q12706">
        <v>0</v>
      </c>
    </row>
    <row r="12707" spans="1:17" x14ac:dyDescent="0.2">
      <c r="A12707" s="121">
        <v>43434</v>
      </c>
      <c r="B12707" t="s">
        <v>406</v>
      </c>
      <c r="C12707" t="s">
        <v>491</v>
      </c>
      <c r="D12707" t="s">
        <v>502</v>
      </c>
      <c r="E12707" t="s">
        <v>615</v>
      </c>
      <c r="F12707" t="s">
        <v>410</v>
      </c>
      <c r="G12707">
        <v>2685</v>
      </c>
      <c r="H12707">
        <v>2685</v>
      </c>
      <c r="I12707">
        <v>2683</v>
      </c>
      <c r="J12707">
        <v>2683</v>
      </c>
      <c r="K12707">
        <v>1</v>
      </c>
      <c r="L12707">
        <v>0</v>
      </c>
      <c r="M12707">
        <v>2460</v>
      </c>
      <c r="N12707">
        <v>182</v>
      </c>
      <c r="O12707">
        <v>42</v>
      </c>
      <c r="P12707">
        <v>0</v>
      </c>
      <c r="Q12707">
        <v>0</v>
      </c>
    </row>
    <row r="12708" spans="1:17" x14ac:dyDescent="0.2">
      <c r="A12708" s="121">
        <v>43434</v>
      </c>
      <c r="B12708" t="s">
        <v>406</v>
      </c>
      <c r="C12708" t="s">
        <v>491</v>
      </c>
      <c r="D12708" t="s">
        <v>504</v>
      </c>
      <c r="E12708" t="s">
        <v>630</v>
      </c>
      <c r="F12708" t="s">
        <v>413</v>
      </c>
      <c r="G12708">
        <v>8286</v>
      </c>
      <c r="H12708">
        <v>8286</v>
      </c>
      <c r="I12708">
        <v>6967</v>
      </c>
      <c r="J12708">
        <v>6967</v>
      </c>
      <c r="K12708">
        <v>2657</v>
      </c>
      <c r="L12708">
        <v>29</v>
      </c>
      <c r="M12708">
        <v>5288</v>
      </c>
      <c r="N12708">
        <v>66</v>
      </c>
      <c r="O12708">
        <v>246</v>
      </c>
      <c r="P12708">
        <v>111</v>
      </c>
      <c r="Q12708">
        <v>1</v>
      </c>
    </row>
    <row r="12709" spans="1:17" x14ac:dyDescent="0.2">
      <c r="A12709" s="121">
        <v>43434</v>
      </c>
      <c r="B12709" t="s">
        <v>406</v>
      </c>
      <c r="C12709" t="s">
        <v>491</v>
      </c>
      <c r="D12709" t="s">
        <v>506</v>
      </c>
      <c r="E12709" t="s">
        <v>507</v>
      </c>
      <c r="F12709" t="s">
        <v>413</v>
      </c>
      <c r="G12709">
        <v>6272</v>
      </c>
      <c r="H12709">
        <v>6272</v>
      </c>
      <c r="I12709">
        <v>5736</v>
      </c>
      <c r="J12709">
        <v>5736</v>
      </c>
      <c r="K12709">
        <v>1465</v>
      </c>
      <c r="L12709">
        <v>2</v>
      </c>
      <c r="M12709">
        <v>4747</v>
      </c>
      <c r="N12709">
        <v>3</v>
      </c>
      <c r="O12709">
        <v>55</v>
      </c>
      <c r="P12709">
        <v>23</v>
      </c>
      <c r="Q12709">
        <v>5</v>
      </c>
    </row>
    <row r="12710" spans="1:17" x14ac:dyDescent="0.2">
      <c r="A12710" s="121">
        <v>43434</v>
      </c>
      <c r="B12710" t="s">
        <v>406</v>
      </c>
      <c r="C12710" t="s">
        <v>510</v>
      </c>
      <c r="D12710" t="s">
        <v>513</v>
      </c>
      <c r="E12710" t="s">
        <v>514</v>
      </c>
      <c r="F12710" t="s">
        <v>410</v>
      </c>
      <c r="G12710">
        <v>628</v>
      </c>
      <c r="I12710">
        <v>627</v>
      </c>
    </row>
    <row r="12711" spans="1:17" x14ac:dyDescent="0.2">
      <c r="A12711" s="121">
        <v>43434</v>
      </c>
      <c r="B12711" t="s">
        <v>406</v>
      </c>
      <c r="C12711" t="s">
        <v>510</v>
      </c>
      <c r="D12711" t="s">
        <v>515</v>
      </c>
      <c r="E12711" t="s">
        <v>516</v>
      </c>
      <c r="F12711" t="s">
        <v>410</v>
      </c>
      <c r="G12711">
        <v>91</v>
      </c>
      <c r="I12711">
        <v>91</v>
      </c>
    </row>
    <row r="12712" spans="1:17" x14ac:dyDescent="0.2">
      <c r="A12712" s="121">
        <v>43434</v>
      </c>
      <c r="B12712" t="s">
        <v>406</v>
      </c>
      <c r="C12712" t="s">
        <v>510</v>
      </c>
      <c r="D12712" t="s">
        <v>519</v>
      </c>
      <c r="E12712" t="s">
        <v>520</v>
      </c>
      <c r="F12712" t="s">
        <v>410</v>
      </c>
      <c r="G12712">
        <v>326</v>
      </c>
      <c r="I12712">
        <v>318</v>
      </c>
    </row>
    <row r="12713" spans="1:17" x14ac:dyDescent="0.2">
      <c r="A12713" s="121">
        <v>43434</v>
      </c>
      <c r="B12713" t="s">
        <v>406</v>
      </c>
      <c r="C12713" t="s">
        <v>510</v>
      </c>
      <c r="D12713" t="s">
        <v>523</v>
      </c>
      <c r="E12713" t="s">
        <v>524</v>
      </c>
      <c r="F12713" t="s">
        <v>413</v>
      </c>
      <c r="G12713">
        <v>577</v>
      </c>
      <c r="H12713">
        <v>577</v>
      </c>
      <c r="I12713">
        <v>559</v>
      </c>
      <c r="J12713">
        <v>559</v>
      </c>
      <c r="K12713">
        <v>151</v>
      </c>
      <c r="L12713">
        <v>0</v>
      </c>
      <c r="M12713">
        <v>409</v>
      </c>
      <c r="N12713">
        <v>17</v>
      </c>
      <c r="O12713">
        <v>0</v>
      </c>
      <c r="P12713">
        <v>1</v>
      </c>
      <c r="Q12713">
        <v>0</v>
      </c>
    </row>
    <row r="12714" spans="1:17" x14ac:dyDescent="0.2">
      <c r="A12714" s="121">
        <v>43434</v>
      </c>
      <c r="B12714" t="s">
        <v>406</v>
      </c>
      <c r="C12714" t="s">
        <v>510</v>
      </c>
      <c r="D12714" t="s">
        <v>525</v>
      </c>
      <c r="E12714" t="s">
        <v>526</v>
      </c>
      <c r="F12714" t="s">
        <v>410</v>
      </c>
      <c r="G12714">
        <v>384</v>
      </c>
      <c r="I12714">
        <v>383</v>
      </c>
    </row>
    <row r="12715" spans="1:17" x14ac:dyDescent="0.2">
      <c r="A12715" s="121">
        <v>43434</v>
      </c>
      <c r="B12715" t="s">
        <v>406</v>
      </c>
      <c r="C12715" t="s">
        <v>510</v>
      </c>
      <c r="D12715" t="s">
        <v>527</v>
      </c>
      <c r="E12715" t="s">
        <v>528</v>
      </c>
      <c r="F12715" t="s">
        <v>410</v>
      </c>
      <c r="G12715">
        <v>169</v>
      </c>
      <c r="I12715">
        <v>169</v>
      </c>
    </row>
    <row r="12716" spans="1:17" x14ac:dyDescent="0.2">
      <c r="A12716" s="121">
        <v>43434</v>
      </c>
      <c r="B12716" t="s">
        <v>406</v>
      </c>
      <c r="C12716" t="s">
        <v>510</v>
      </c>
      <c r="D12716" t="s">
        <v>529</v>
      </c>
      <c r="E12716" t="s">
        <v>530</v>
      </c>
      <c r="F12716" t="s">
        <v>413</v>
      </c>
      <c r="G12716">
        <v>675</v>
      </c>
      <c r="H12716">
        <v>675</v>
      </c>
      <c r="I12716">
        <v>661</v>
      </c>
      <c r="J12716">
        <v>661</v>
      </c>
      <c r="K12716">
        <v>181</v>
      </c>
      <c r="L12716">
        <v>1</v>
      </c>
      <c r="M12716">
        <v>492</v>
      </c>
      <c r="N12716">
        <v>1</v>
      </c>
      <c r="O12716">
        <v>0</v>
      </c>
      <c r="P12716">
        <v>1</v>
      </c>
      <c r="Q12716">
        <v>0</v>
      </c>
    </row>
    <row r="12717" spans="1:17" x14ac:dyDescent="0.2">
      <c r="A12717" s="121">
        <v>43434</v>
      </c>
      <c r="B12717" t="s">
        <v>406</v>
      </c>
      <c r="C12717" t="s">
        <v>510</v>
      </c>
      <c r="D12717" t="s">
        <v>531</v>
      </c>
      <c r="E12717" t="s">
        <v>532</v>
      </c>
      <c r="F12717" t="s">
        <v>410</v>
      </c>
      <c r="G12717">
        <v>38</v>
      </c>
      <c r="I12717">
        <v>38</v>
      </c>
    </row>
    <row r="12718" spans="1:17" x14ac:dyDescent="0.2">
      <c r="A12718" s="121">
        <v>43434</v>
      </c>
      <c r="B12718" t="s">
        <v>406</v>
      </c>
      <c r="C12718" t="s">
        <v>510</v>
      </c>
      <c r="D12718" t="s">
        <v>533</v>
      </c>
      <c r="E12718" t="s">
        <v>534</v>
      </c>
      <c r="F12718" t="s">
        <v>413</v>
      </c>
      <c r="G12718">
        <v>2709</v>
      </c>
      <c r="H12718">
        <v>2709</v>
      </c>
      <c r="I12718">
        <v>2572</v>
      </c>
      <c r="J12718">
        <v>2572</v>
      </c>
      <c r="K12718">
        <v>668</v>
      </c>
      <c r="L12718">
        <v>4</v>
      </c>
      <c r="M12718">
        <v>2028</v>
      </c>
      <c r="N12718">
        <v>9</v>
      </c>
      <c r="O12718">
        <v>0</v>
      </c>
      <c r="P12718">
        <v>2</v>
      </c>
      <c r="Q12718">
        <v>0</v>
      </c>
    </row>
    <row r="12719" spans="1:17" x14ac:dyDescent="0.2">
      <c r="A12719" s="121">
        <v>43434</v>
      </c>
      <c r="B12719" t="s">
        <v>406</v>
      </c>
      <c r="C12719" t="s">
        <v>510</v>
      </c>
      <c r="D12719" t="s">
        <v>535</v>
      </c>
      <c r="E12719" t="s">
        <v>536</v>
      </c>
      <c r="F12719" t="s">
        <v>410</v>
      </c>
      <c r="G12719">
        <v>362</v>
      </c>
      <c r="I12719">
        <v>362</v>
      </c>
    </row>
    <row r="12720" spans="1:17" x14ac:dyDescent="0.2">
      <c r="A12720" s="121">
        <v>43434</v>
      </c>
      <c r="B12720" t="s">
        <v>406</v>
      </c>
      <c r="C12720" t="s">
        <v>510</v>
      </c>
      <c r="D12720" t="s">
        <v>537</v>
      </c>
      <c r="E12720" t="s">
        <v>538</v>
      </c>
      <c r="F12720" t="s">
        <v>410</v>
      </c>
      <c r="G12720">
        <v>58</v>
      </c>
      <c r="I12720">
        <v>58</v>
      </c>
    </row>
    <row r="12721" spans="1:17" x14ac:dyDescent="0.2">
      <c r="A12721" s="121">
        <v>43434</v>
      </c>
      <c r="B12721" t="s">
        <v>406</v>
      </c>
      <c r="C12721" t="s">
        <v>510</v>
      </c>
      <c r="D12721" t="s">
        <v>539</v>
      </c>
      <c r="E12721" t="s">
        <v>540</v>
      </c>
      <c r="F12721" t="s">
        <v>413</v>
      </c>
      <c r="G12721">
        <v>658</v>
      </c>
      <c r="H12721">
        <v>658</v>
      </c>
      <c r="I12721">
        <v>627</v>
      </c>
      <c r="J12721">
        <v>627</v>
      </c>
      <c r="K12721">
        <v>131</v>
      </c>
      <c r="L12721">
        <v>0</v>
      </c>
      <c r="M12721">
        <v>518</v>
      </c>
      <c r="N12721">
        <v>9</v>
      </c>
      <c r="O12721">
        <v>0</v>
      </c>
      <c r="P12721">
        <v>0</v>
      </c>
      <c r="Q12721">
        <v>0</v>
      </c>
    </row>
    <row r="12722" spans="1:17" x14ac:dyDescent="0.2">
      <c r="A12722" s="121">
        <v>43434</v>
      </c>
      <c r="B12722" t="s">
        <v>406</v>
      </c>
      <c r="C12722" t="s">
        <v>510</v>
      </c>
      <c r="D12722" t="s">
        <v>541</v>
      </c>
      <c r="E12722" t="s">
        <v>542</v>
      </c>
      <c r="F12722" t="s">
        <v>410</v>
      </c>
      <c r="G12722">
        <v>317</v>
      </c>
      <c r="I12722">
        <v>317</v>
      </c>
    </row>
    <row r="12723" spans="1:17" x14ac:dyDescent="0.2">
      <c r="A12723" s="121">
        <v>43434</v>
      </c>
      <c r="B12723" t="s">
        <v>406</v>
      </c>
      <c r="C12723" t="s">
        <v>510</v>
      </c>
      <c r="D12723" t="s">
        <v>543</v>
      </c>
      <c r="E12723" t="s">
        <v>544</v>
      </c>
      <c r="F12723" t="s">
        <v>410</v>
      </c>
      <c r="G12723">
        <v>179</v>
      </c>
      <c r="I12723">
        <v>179</v>
      </c>
    </row>
    <row r="12724" spans="1:17" x14ac:dyDescent="0.2">
      <c r="A12724" s="121">
        <v>43434</v>
      </c>
      <c r="B12724" t="s">
        <v>406</v>
      </c>
      <c r="C12724" t="s">
        <v>510</v>
      </c>
      <c r="D12724" t="s">
        <v>547</v>
      </c>
      <c r="E12724" t="s">
        <v>548</v>
      </c>
      <c r="F12724" t="s">
        <v>410</v>
      </c>
      <c r="G12724">
        <v>143</v>
      </c>
      <c r="I12724">
        <v>143</v>
      </c>
    </row>
    <row r="12725" spans="1:17" x14ac:dyDescent="0.2">
      <c r="A12725" s="121">
        <v>43434</v>
      </c>
      <c r="B12725" t="s">
        <v>406</v>
      </c>
      <c r="C12725" t="s">
        <v>510</v>
      </c>
      <c r="D12725" t="s">
        <v>616</v>
      </c>
      <c r="E12725" t="s">
        <v>617</v>
      </c>
      <c r="F12725" t="s">
        <v>410</v>
      </c>
      <c r="G12725">
        <v>363</v>
      </c>
      <c r="I12725">
        <v>361</v>
      </c>
    </row>
    <row r="12726" spans="1:17" x14ac:dyDescent="0.2">
      <c r="A12726" s="121">
        <v>43434</v>
      </c>
      <c r="B12726" t="s">
        <v>406</v>
      </c>
      <c r="C12726" t="s">
        <v>510</v>
      </c>
      <c r="D12726" t="s">
        <v>549</v>
      </c>
      <c r="E12726" t="s">
        <v>550</v>
      </c>
      <c r="F12726" t="s">
        <v>410</v>
      </c>
      <c r="G12726">
        <v>105</v>
      </c>
      <c r="I12726">
        <v>105</v>
      </c>
    </row>
    <row r="12727" spans="1:17" x14ac:dyDescent="0.2">
      <c r="A12727" s="121">
        <v>43434</v>
      </c>
      <c r="B12727" t="s">
        <v>406</v>
      </c>
      <c r="C12727" t="s">
        <v>510</v>
      </c>
      <c r="D12727" t="s">
        <v>625</v>
      </c>
      <c r="E12727" t="s">
        <v>626</v>
      </c>
      <c r="F12727" t="s">
        <v>410</v>
      </c>
      <c r="G12727">
        <v>58</v>
      </c>
      <c r="I12727">
        <v>57</v>
      </c>
    </row>
    <row r="12728" spans="1:17" x14ac:dyDescent="0.2">
      <c r="A12728" s="121">
        <v>43434</v>
      </c>
      <c r="B12728" t="s">
        <v>406</v>
      </c>
      <c r="C12728" t="s">
        <v>551</v>
      </c>
      <c r="D12728" t="s">
        <v>552</v>
      </c>
      <c r="E12728" t="s">
        <v>553</v>
      </c>
      <c r="F12728" t="s">
        <v>413</v>
      </c>
      <c r="G12728">
        <v>5709</v>
      </c>
      <c r="H12728">
        <v>5709</v>
      </c>
      <c r="I12728">
        <v>5366</v>
      </c>
      <c r="J12728">
        <v>5366</v>
      </c>
      <c r="K12728">
        <v>1845</v>
      </c>
      <c r="L12728">
        <v>5</v>
      </c>
      <c r="M12728">
        <v>3706</v>
      </c>
      <c r="N12728">
        <v>127</v>
      </c>
      <c r="O12728">
        <v>26</v>
      </c>
      <c r="P12728">
        <v>8</v>
      </c>
      <c r="Q12728">
        <v>1</v>
      </c>
    </row>
    <row r="12729" spans="1:17" x14ac:dyDescent="0.2">
      <c r="A12729" s="121">
        <v>43434</v>
      </c>
      <c r="B12729" t="s">
        <v>406</v>
      </c>
      <c r="C12729" t="s">
        <v>551</v>
      </c>
      <c r="D12729" t="s">
        <v>554</v>
      </c>
      <c r="E12729" t="s">
        <v>555</v>
      </c>
      <c r="F12729" t="s">
        <v>410</v>
      </c>
      <c r="G12729">
        <v>49</v>
      </c>
      <c r="I12729">
        <v>49</v>
      </c>
    </row>
    <row r="12730" spans="1:17" x14ac:dyDescent="0.2">
      <c r="A12730" s="121">
        <v>43434</v>
      </c>
      <c r="B12730" t="s">
        <v>406</v>
      </c>
      <c r="C12730" t="s">
        <v>551</v>
      </c>
      <c r="D12730" t="s">
        <v>556</v>
      </c>
      <c r="E12730" t="s">
        <v>557</v>
      </c>
      <c r="F12730" t="s">
        <v>410</v>
      </c>
      <c r="G12730">
        <v>41</v>
      </c>
      <c r="I12730">
        <v>41</v>
      </c>
    </row>
    <row r="12731" spans="1:17" x14ac:dyDescent="0.2">
      <c r="A12731" s="121">
        <v>43434</v>
      </c>
      <c r="B12731" t="s">
        <v>406</v>
      </c>
      <c r="C12731" t="s">
        <v>551</v>
      </c>
      <c r="D12731" t="s">
        <v>558</v>
      </c>
      <c r="E12731" t="s">
        <v>559</v>
      </c>
      <c r="F12731" t="s">
        <v>413</v>
      </c>
      <c r="G12731">
        <v>5291</v>
      </c>
      <c r="H12731">
        <v>5291</v>
      </c>
      <c r="I12731">
        <v>4796</v>
      </c>
      <c r="J12731">
        <v>4796</v>
      </c>
      <c r="K12731">
        <v>1666</v>
      </c>
      <c r="L12731">
        <v>5</v>
      </c>
      <c r="M12731">
        <v>3517</v>
      </c>
      <c r="N12731">
        <v>90</v>
      </c>
      <c r="O12731">
        <v>13</v>
      </c>
      <c r="P12731">
        <v>52</v>
      </c>
      <c r="Q12731">
        <v>13</v>
      </c>
    </row>
    <row r="12732" spans="1:17" x14ac:dyDescent="0.2">
      <c r="A12732" s="121">
        <v>43434</v>
      </c>
      <c r="B12732" t="s">
        <v>406</v>
      </c>
      <c r="C12732" t="s">
        <v>551</v>
      </c>
      <c r="D12732" t="s">
        <v>560</v>
      </c>
      <c r="E12732" t="s">
        <v>561</v>
      </c>
      <c r="F12732" t="s">
        <v>413</v>
      </c>
      <c r="G12732">
        <v>5917</v>
      </c>
      <c r="H12732">
        <v>5917</v>
      </c>
      <c r="I12732">
        <v>4911</v>
      </c>
      <c r="J12732">
        <v>4911</v>
      </c>
      <c r="K12732">
        <v>1785</v>
      </c>
      <c r="L12732">
        <v>7</v>
      </c>
      <c r="M12732">
        <v>3996</v>
      </c>
      <c r="N12732">
        <v>86</v>
      </c>
      <c r="O12732">
        <v>43</v>
      </c>
      <c r="P12732">
        <v>171</v>
      </c>
      <c r="Q12732">
        <v>32</v>
      </c>
    </row>
    <row r="12733" spans="1:17" x14ac:dyDescent="0.2">
      <c r="A12733" s="121">
        <v>43434</v>
      </c>
      <c r="B12733" t="s">
        <v>406</v>
      </c>
      <c r="C12733" t="s">
        <v>562</v>
      </c>
      <c r="D12733" t="s">
        <v>605</v>
      </c>
      <c r="E12733" t="s">
        <v>606</v>
      </c>
      <c r="F12733" t="s">
        <v>410</v>
      </c>
      <c r="G12733">
        <v>141</v>
      </c>
      <c r="I12733">
        <v>141</v>
      </c>
    </row>
    <row r="12734" spans="1:17" x14ac:dyDescent="0.2">
      <c r="A12734" s="121">
        <v>43434</v>
      </c>
      <c r="B12734" t="s">
        <v>406</v>
      </c>
      <c r="C12734" t="s">
        <v>562</v>
      </c>
      <c r="D12734" t="s">
        <v>563</v>
      </c>
      <c r="E12734" t="s">
        <v>564</v>
      </c>
      <c r="F12734" t="s">
        <v>410</v>
      </c>
      <c r="G12734">
        <v>3826</v>
      </c>
      <c r="H12734">
        <v>3826</v>
      </c>
      <c r="I12734">
        <v>3533</v>
      </c>
      <c r="J12734">
        <v>3533</v>
      </c>
      <c r="K12734">
        <v>1123</v>
      </c>
      <c r="L12734">
        <v>0</v>
      </c>
      <c r="M12734">
        <v>2702</v>
      </c>
      <c r="N12734">
        <v>1</v>
      </c>
      <c r="O12734">
        <v>0</v>
      </c>
      <c r="P12734">
        <v>15</v>
      </c>
      <c r="Q12734">
        <v>3</v>
      </c>
    </row>
    <row r="12735" spans="1:17" x14ac:dyDescent="0.2">
      <c r="A12735" s="121">
        <v>43434</v>
      </c>
      <c r="B12735" t="s">
        <v>406</v>
      </c>
      <c r="C12735" t="s">
        <v>562</v>
      </c>
      <c r="D12735" t="s">
        <v>565</v>
      </c>
      <c r="E12735" t="s">
        <v>566</v>
      </c>
      <c r="F12735" t="s">
        <v>413</v>
      </c>
      <c r="G12735">
        <v>4832</v>
      </c>
      <c r="H12735">
        <v>4832</v>
      </c>
      <c r="I12735">
        <v>4185</v>
      </c>
      <c r="J12735">
        <v>4185</v>
      </c>
      <c r="K12735">
        <v>999</v>
      </c>
      <c r="L12735">
        <v>4</v>
      </c>
      <c r="M12735">
        <v>3750</v>
      </c>
      <c r="N12735">
        <v>79</v>
      </c>
      <c r="O12735">
        <v>0</v>
      </c>
      <c r="P12735">
        <v>62</v>
      </c>
      <c r="Q12735">
        <v>9</v>
      </c>
    </row>
    <row r="12736" spans="1:17" x14ac:dyDescent="0.2">
      <c r="A12736" s="121">
        <v>43434</v>
      </c>
      <c r="B12736" t="s">
        <v>406</v>
      </c>
      <c r="C12736" t="s">
        <v>562</v>
      </c>
      <c r="D12736" t="s">
        <v>567</v>
      </c>
      <c r="E12736" t="s">
        <v>568</v>
      </c>
      <c r="F12736" t="s">
        <v>413</v>
      </c>
      <c r="G12736">
        <v>9888</v>
      </c>
      <c r="H12736">
        <v>9888</v>
      </c>
      <c r="I12736">
        <v>8629</v>
      </c>
      <c r="J12736">
        <v>8629</v>
      </c>
      <c r="K12736">
        <v>2779</v>
      </c>
      <c r="L12736">
        <v>11</v>
      </c>
      <c r="M12736">
        <v>6978</v>
      </c>
      <c r="N12736">
        <v>120</v>
      </c>
      <c r="O12736">
        <v>0</v>
      </c>
      <c r="P12736">
        <v>111</v>
      </c>
      <c r="Q12736">
        <v>12</v>
      </c>
    </row>
    <row r="12737" spans="1:17" x14ac:dyDescent="0.2">
      <c r="A12737" s="121">
        <v>43434</v>
      </c>
      <c r="B12737" t="s">
        <v>406</v>
      </c>
      <c r="C12737" t="s">
        <v>562</v>
      </c>
      <c r="D12737" t="s">
        <v>569</v>
      </c>
      <c r="E12737" t="s">
        <v>570</v>
      </c>
      <c r="F12737" t="s">
        <v>413</v>
      </c>
      <c r="G12737">
        <v>4808</v>
      </c>
      <c r="H12737">
        <v>4808</v>
      </c>
      <c r="I12737">
        <v>4477</v>
      </c>
      <c r="J12737">
        <v>4477</v>
      </c>
      <c r="K12737">
        <v>724</v>
      </c>
      <c r="L12737">
        <v>2</v>
      </c>
      <c r="M12737">
        <v>4082</v>
      </c>
      <c r="N12737">
        <v>0</v>
      </c>
      <c r="O12737">
        <v>0</v>
      </c>
      <c r="P12737">
        <v>10</v>
      </c>
      <c r="Q12737">
        <v>2</v>
      </c>
    </row>
    <row r="12738" spans="1:17" x14ac:dyDescent="0.2">
      <c r="A12738" s="121">
        <v>43434</v>
      </c>
      <c r="B12738" t="s">
        <v>406</v>
      </c>
      <c r="C12738" t="s">
        <v>571</v>
      </c>
      <c r="D12738" t="s">
        <v>572</v>
      </c>
      <c r="E12738" t="s">
        <v>627</v>
      </c>
      <c r="F12738" t="s">
        <v>413</v>
      </c>
      <c r="G12738">
        <v>520</v>
      </c>
      <c r="H12738">
        <v>520</v>
      </c>
      <c r="I12738">
        <v>493</v>
      </c>
      <c r="J12738">
        <v>493</v>
      </c>
      <c r="K12738">
        <v>151</v>
      </c>
      <c r="L12738">
        <v>2</v>
      </c>
      <c r="M12738">
        <v>360</v>
      </c>
      <c r="N12738">
        <v>2</v>
      </c>
      <c r="O12738">
        <v>5</v>
      </c>
      <c r="P12738">
        <v>0</v>
      </c>
      <c r="Q12738">
        <v>0</v>
      </c>
    </row>
    <row r="12739" spans="1:17" x14ac:dyDescent="0.2">
      <c r="A12739" s="121">
        <v>43434</v>
      </c>
      <c r="B12739" t="s">
        <v>406</v>
      </c>
      <c r="C12739" t="s">
        <v>574</v>
      </c>
      <c r="D12739" t="s">
        <v>575</v>
      </c>
      <c r="E12739" t="s">
        <v>576</v>
      </c>
      <c r="F12739" t="s">
        <v>413</v>
      </c>
      <c r="G12739">
        <v>682</v>
      </c>
      <c r="H12739">
        <v>682</v>
      </c>
      <c r="I12739">
        <v>663</v>
      </c>
      <c r="J12739">
        <v>663</v>
      </c>
      <c r="K12739">
        <v>177</v>
      </c>
      <c r="L12739">
        <v>0</v>
      </c>
      <c r="M12739">
        <v>495</v>
      </c>
      <c r="N12739">
        <v>1</v>
      </c>
      <c r="O12739">
        <v>9</v>
      </c>
      <c r="P12739">
        <v>1</v>
      </c>
      <c r="Q12739">
        <v>0</v>
      </c>
    </row>
    <row r="12740" spans="1:17" x14ac:dyDescent="0.2">
      <c r="A12740" s="121">
        <v>43434</v>
      </c>
      <c r="B12740" t="s">
        <v>406</v>
      </c>
      <c r="C12740" t="s">
        <v>577</v>
      </c>
      <c r="D12740" t="s">
        <v>578</v>
      </c>
      <c r="E12740" t="s">
        <v>579</v>
      </c>
      <c r="F12740" t="s">
        <v>413</v>
      </c>
      <c r="G12740">
        <v>4163</v>
      </c>
      <c r="H12740">
        <v>4163</v>
      </c>
      <c r="I12740">
        <v>3992</v>
      </c>
      <c r="J12740">
        <v>3992</v>
      </c>
      <c r="K12740">
        <v>1397</v>
      </c>
      <c r="L12740">
        <v>7</v>
      </c>
      <c r="M12740">
        <v>2521</v>
      </c>
      <c r="N12740">
        <v>199</v>
      </c>
      <c r="O12740">
        <v>39</v>
      </c>
      <c r="P12740">
        <v>2</v>
      </c>
      <c r="Q12740">
        <v>0</v>
      </c>
    </row>
    <row r="12741" spans="1:17" x14ac:dyDescent="0.2">
      <c r="A12741" s="121">
        <v>43434</v>
      </c>
      <c r="B12741" t="s">
        <v>406</v>
      </c>
      <c r="C12741" t="s">
        <v>577</v>
      </c>
      <c r="D12741" t="s">
        <v>580</v>
      </c>
      <c r="E12741" t="s">
        <v>581</v>
      </c>
      <c r="F12741" t="s">
        <v>413</v>
      </c>
      <c r="G12741">
        <v>1857</v>
      </c>
      <c r="H12741">
        <v>1857</v>
      </c>
      <c r="I12741">
        <v>1809</v>
      </c>
      <c r="J12741">
        <v>1809</v>
      </c>
      <c r="K12741">
        <v>354</v>
      </c>
      <c r="L12741">
        <v>1</v>
      </c>
      <c r="M12741">
        <v>1200</v>
      </c>
      <c r="N12741">
        <v>291</v>
      </c>
      <c r="O12741">
        <v>11</v>
      </c>
      <c r="P12741">
        <v>0</v>
      </c>
      <c r="Q12741">
        <v>0</v>
      </c>
    </row>
    <row r="12742" spans="1:17" x14ac:dyDescent="0.2">
      <c r="A12742" s="121">
        <v>43434</v>
      </c>
      <c r="B12742" t="s">
        <v>406</v>
      </c>
      <c r="C12742" t="s">
        <v>577</v>
      </c>
      <c r="D12742" t="s">
        <v>609</v>
      </c>
      <c r="E12742" t="s">
        <v>610</v>
      </c>
      <c r="F12742" t="s">
        <v>410</v>
      </c>
      <c r="G12742">
        <v>40</v>
      </c>
      <c r="H12742">
        <v>40</v>
      </c>
      <c r="I12742">
        <v>40</v>
      </c>
      <c r="J12742">
        <v>40</v>
      </c>
      <c r="K12742">
        <v>0</v>
      </c>
      <c r="L12742">
        <v>0</v>
      </c>
      <c r="M12742">
        <v>36</v>
      </c>
      <c r="N12742">
        <v>4</v>
      </c>
      <c r="O12742">
        <v>0</v>
      </c>
      <c r="P12742">
        <v>0</v>
      </c>
      <c r="Q12742">
        <v>0</v>
      </c>
    </row>
    <row r="12743" spans="1:17" x14ac:dyDescent="0.2">
      <c r="A12743" s="121">
        <v>43434</v>
      </c>
      <c r="B12743" t="s">
        <v>406</v>
      </c>
      <c r="C12743" t="s">
        <v>577</v>
      </c>
      <c r="D12743" t="s">
        <v>584</v>
      </c>
      <c r="E12743" t="s">
        <v>585</v>
      </c>
      <c r="F12743" t="s">
        <v>410</v>
      </c>
      <c r="G12743">
        <v>270</v>
      </c>
      <c r="H12743">
        <v>270</v>
      </c>
      <c r="I12743">
        <v>270</v>
      </c>
      <c r="J12743">
        <v>270</v>
      </c>
      <c r="K12743">
        <v>0</v>
      </c>
      <c r="L12743">
        <v>0</v>
      </c>
      <c r="M12743">
        <v>255</v>
      </c>
      <c r="N12743">
        <v>9</v>
      </c>
      <c r="O12743">
        <v>6</v>
      </c>
      <c r="P12743">
        <v>0</v>
      </c>
      <c r="Q12743">
        <v>0</v>
      </c>
    </row>
    <row r="12744" spans="1:17" x14ac:dyDescent="0.2">
      <c r="A12744" s="121">
        <v>43434</v>
      </c>
      <c r="B12744" t="s">
        <v>406</v>
      </c>
      <c r="C12744" t="s">
        <v>577</v>
      </c>
      <c r="D12744" t="s">
        <v>586</v>
      </c>
      <c r="E12744" t="s">
        <v>587</v>
      </c>
      <c r="F12744" t="s">
        <v>410</v>
      </c>
      <c r="G12744">
        <v>1217</v>
      </c>
      <c r="H12744">
        <v>1217</v>
      </c>
      <c r="I12744">
        <v>1216</v>
      </c>
      <c r="J12744">
        <v>1216</v>
      </c>
      <c r="K12744">
        <v>0</v>
      </c>
      <c r="L12744">
        <v>2</v>
      </c>
      <c r="M12744">
        <v>1098</v>
      </c>
      <c r="N12744">
        <v>114</v>
      </c>
      <c r="O12744">
        <v>3</v>
      </c>
      <c r="P12744">
        <v>0</v>
      </c>
      <c r="Q12744">
        <v>0</v>
      </c>
    </row>
    <row r="12745" spans="1:17" x14ac:dyDescent="0.2">
      <c r="A12745" s="121">
        <v>43434</v>
      </c>
      <c r="B12745" t="s">
        <v>406</v>
      </c>
      <c r="C12745" t="s">
        <v>577</v>
      </c>
      <c r="D12745" t="s">
        <v>588</v>
      </c>
      <c r="E12745" t="s">
        <v>589</v>
      </c>
      <c r="F12745" t="s">
        <v>410</v>
      </c>
      <c r="G12745">
        <v>93</v>
      </c>
      <c r="H12745">
        <v>93</v>
      </c>
      <c r="I12745">
        <v>93</v>
      </c>
      <c r="J12745">
        <v>93</v>
      </c>
      <c r="K12745">
        <v>0</v>
      </c>
      <c r="L12745">
        <v>0</v>
      </c>
      <c r="M12745">
        <v>87</v>
      </c>
      <c r="N12745">
        <v>4</v>
      </c>
      <c r="O12745">
        <v>2</v>
      </c>
      <c r="P12745">
        <v>0</v>
      </c>
      <c r="Q12745">
        <v>0</v>
      </c>
    </row>
    <row r="12746" spans="1:17" x14ac:dyDescent="0.2">
      <c r="A12746" s="121">
        <v>43434</v>
      </c>
      <c r="B12746" t="s">
        <v>406</v>
      </c>
      <c r="C12746" t="s">
        <v>577</v>
      </c>
      <c r="D12746" t="s">
        <v>613</v>
      </c>
      <c r="E12746" t="s">
        <v>614</v>
      </c>
      <c r="F12746" t="s">
        <v>410</v>
      </c>
      <c r="G12746">
        <v>49</v>
      </c>
      <c r="H12746">
        <v>49</v>
      </c>
      <c r="I12746">
        <v>49</v>
      </c>
      <c r="J12746">
        <v>49</v>
      </c>
      <c r="K12746">
        <v>0</v>
      </c>
      <c r="L12746">
        <v>0</v>
      </c>
      <c r="M12746">
        <v>48</v>
      </c>
      <c r="N12746">
        <v>1</v>
      </c>
      <c r="O12746">
        <v>0</v>
      </c>
      <c r="P12746">
        <v>0</v>
      </c>
      <c r="Q12746">
        <v>0</v>
      </c>
    </row>
    <row r="12747" spans="1:17" x14ac:dyDescent="0.2">
      <c r="A12747" s="121">
        <v>43434</v>
      </c>
      <c r="B12747" t="s">
        <v>406</v>
      </c>
      <c r="C12747" t="s">
        <v>577</v>
      </c>
      <c r="D12747" t="s">
        <v>590</v>
      </c>
      <c r="E12747" t="s">
        <v>591</v>
      </c>
      <c r="F12747" t="s">
        <v>410</v>
      </c>
      <c r="G12747">
        <v>404</v>
      </c>
      <c r="H12747">
        <v>404</v>
      </c>
      <c r="I12747">
        <v>404</v>
      </c>
      <c r="J12747">
        <v>404</v>
      </c>
      <c r="K12747">
        <v>0</v>
      </c>
      <c r="L12747">
        <v>0</v>
      </c>
      <c r="M12747">
        <v>392</v>
      </c>
      <c r="N12747">
        <v>11</v>
      </c>
      <c r="O12747">
        <v>1</v>
      </c>
      <c r="P12747">
        <v>0</v>
      </c>
      <c r="Q12747">
        <v>0</v>
      </c>
    </row>
    <row r="12748" spans="1:17" x14ac:dyDescent="0.2">
      <c r="A12748" s="121">
        <v>43434</v>
      </c>
      <c r="B12748" t="s">
        <v>406</v>
      </c>
      <c r="C12748" t="s">
        <v>577</v>
      </c>
      <c r="D12748" t="s">
        <v>607</v>
      </c>
      <c r="E12748" t="s">
        <v>608</v>
      </c>
      <c r="F12748" t="s">
        <v>410</v>
      </c>
      <c r="G12748">
        <v>94</v>
      </c>
      <c r="H12748">
        <v>94</v>
      </c>
      <c r="I12748">
        <v>94</v>
      </c>
      <c r="J12748">
        <v>94</v>
      </c>
      <c r="K12748">
        <v>0</v>
      </c>
      <c r="L12748">
        <v>0</v>
      </c>
      <c r="M12748">
        <v>90</v>
      </c>
      <c r="N12748">
        <v>4</v>
      </c>
      <c r="O12748">
        <v>0</v>
      </c>
      <c r="P12748">
        <v>0</v>
      </c>
      <c r="Q12748">
        <v>0</v>
      </c>
    </row>
    <row r="12749" spans="1:17" x14ac:dyDescent="0.2">
      <c r="A12749" s="121">
        <v>43434</v>
      </c>
      <c r="B12749" t="s">
        <v>406</v>
      </c>
      <c r="C12749" t="s">
        <v>577</v>
      </c>
      <c r="D12749" t="s">
        <v>592</v>
      </c>
      <c r="E12749" t="s">
        <v>593</v>
      </c>
      <c r="F12749" t="s">
        <v>410</v>
      </c>
      <c r="G12749">
        <v>245</v>
      </c>
      <c r="H12749">
        <v>245</v>
      </c>
      <c r="I12749">
        <v>245</v>
      </c>
      <c r="J12749">
        <v>245</v>
      </c>
      <c r="K12749">
        <v>0</v>
      </c>
      <c r="L12749">
        <v>0</v>
      </c>
      <c r="M12749">
        <v>226</v>
      </c>
      <c r="N12749">
        <v>19</v>
      </c>
      <c r="O12749">
        <v>0</v>
      </c>
      <c r="P12749">
        <v>0</v>
      </c>
      <c r="Q12749">
        <v>0</v>
      </c>
    </row>
    <row r="12750" spans="1:17" x14ac:dyDescent="0.2">
      <c r="A12750" s="121">
        <v>43434</v>
      </c>
      <c r="B12750" t="s">
        <v>406</v>
      </c>
      <c r="C12750" t="s">
        <v>594</v>
      </c>
      <c r="D12750" t="s">
        <v>595</v>
      </c>
      <c r="E12750" t="s">
        <v>596</v>
      </c>
      <c r="F12750" t="s">
        <v>410</v>
      </c>
      <c r="G12750">
        <v>42</v>
      </c>
      <c r="I12750">
        <v>42</v>
      </c>
    </row>
    <row r="12751" spans="1:17" x14ac:dyDescent="0.2">
      <c r="A12751" s="121">
        <v>43434</v>
      </c>
      <c r="B12751" t="s">
        <v>406</v>
      </c>
      <c r="C12751" t="s">
        <v>594</v>
      </c>
      <c r="D12751" t="s">
        <v>597</v>
      </c>
      <c r="E12751" t="s">
        <v>598</v>
      </c>
      <c r="F12751" t="s">
        <v>413</v>
      </c>
      <c r="G12751">
        <v>487</v>
      </c>
      <c r="H12751">
        <v>487</v>
      </c>
      <c r="I12751">
        <v>480</v>
      </c>
      <c r="J12751">
        <v>480</v>
      </c>
      <c r="K12751">
        <v>142</v>
      </c>
      <c r="L12751">
        <v>1</v>
      </c>
      <c r="M12751">
        <v>324</v>
      </c>
      <c r="N12751">
        <v>8</v>
      </c>
      <c r="O12751">
        <v>12</v>
      </c>
      <c r="P12751">
        <v>0</v>
      </c>
      <c r="Q12751">
        <v>0</v>
      </c>
    </row>
    <row r="12752" spans="1:17" x14ac:dyDescent="0.2">
      <c r="A12752" s="121">
        <v>43434</v>
      </c>
      <c r="B12752" t="s">
        <v>406</v>
      </c>
      <c r="C12752" t="s">
        <v>594</v>
      </c>
      <c r="D12752" t="s">
        <v>599</v>
      </c>
      <c r="E12752" t="s">
        <v>600</v>
      </c>
      <c r="F12752" t="s">
        <v>410</v>
      </c>
      <c r="G12752">
        <v>141</v>
      </c>
      <c r="H12752">
        <v>141</v>
      </c>
      <c r="I12752">
        <v>140</v>
      </c>
      <c r="J12752">
        <v>140</v>
      </c>
      <c r="K12752">
        <v>15</v>
      </c>
      <c r="L12752">
        <v>0</v>
      </c>
      <c r="M12752">
        <v>125</v>
      </c>
      <c r="N12752">
        <v>0</v>
      </c>
      <c r="O12752">
        <v>1</v>
      </c>
      <c r="P12752">
        <v>0</v>
      </c>
      <c r="Q12752">
        <v>0</v>
      </c>
    </row>
    <row r="12753" spans="1:17" x14ac:dyDescent="0.2">
      <c r="A12753" s="121">
        <v>43465</v>
      </c>
      <c r="B12753" t="s">
        <v>406</v>
      </c>
      <c r="C12753" t="s">
        <v>407</v>
      </c>
      <c r="D12753" t="s">
        <v>408</v>
      </c>
      <c r="E12753" t="s">
        <v>409</v>
      </c>
      <c r="F12753" t="s">
        <v>410</v>
      </c>
      <c r="G12753">
        <v>191</v>
      </c>
      <c r="I12753">
        <v>185</v>
      </c>
    </row>
    <row r="12754" spans="1:17" x14ac:dyDescent="0.2">
      <c r="A12754" s="121">
        <v>43465</v>
      </c>
      <c r="B12754" t="s">
        <v>406</v>
      </c>
      <c r="C12754" t="s">
        <v>407</v>
      </c>
      <c r="D12754" t="s">
        <v>601</v>
      </c>
      <c r="E12754" t="s">
        <v>602</v>
      </c>
      <c r="F12754" t="s">
        <v>410</v>
      </c>
      <c r="G12754">
        <v>47</v>
      </c>
      <c r="I12754">
        <v>47</v>
      </c>
    </row>
    <row r="12755" spans="1:17" x14ac:dyDescent="0.2">
      <c r="A12755" s="121">
        <v>43465</v>
      </c>
      <c r="B12755" t="s">
        <v>406</v>
      </c>
      <c r="C12755" t="s">
        <v>407</v>
      </c>
      <c r="D12755" t="s">
        <v>411</v>
      </c>
      <c r="E12755" t="s">
        <v>412</v>
      </c>
      <c r="F12755" t="s">
        <v>413</v>
      </c>
      <c r="G12755">
        <v>6170</v>
      </c>
      <c r="H12755">
        <v>6170</v>
      </c>
      <c r="I12755">
        <v>5553</v>
      </c>
      <c r="J12755">
        <v>5553</v>
      </c>
      <c r="K12755">
        <v>2215</v>
      </c>
      <c r="L12755">
        <v>8</v>
      </c>
      <c r="M12755">
        <v>3605</v>
      </c>
      <c r="N12755">
        <v>81</v>
      </c>
      <c r="O12755">
        <v>261</v>
      </c>
      <c r="P12755">
        <v>176</v>
      </c>
      <c r="Q12755">
        <v>35</v>
      </c>
    </row>
    <row r="12756" spans="1:17" x14ac:dyDescent="0.2">
      <c r="A12756" s="121">
        <v>43465</v>
      </c>
      <c r="B12756" t="s">
        <v>406</v>
      </c>
      <c r="C12756" t="s">
        <v>407</v>
      </c>
      <c r="D12756" t="s">
        <v>416</v>
      </c>
      <c r="E12756" t="s">
        <v>417</v>
      </c>
      <c r="F12756" t="s">
        <v>413</v>
      </c>
      <c r="G12756">
        <v>3129</v>
      </c>
      <c r="H12756">
        <v>3129</v>
      </c>
      <c r="I12756">
        <v>2873</v>
      </c>
      <c r="J12756">
        <v>2873</v>
      </c>
      <c r="K12756">
        <v>974</v>
      </c>
      <c r="L12756">
        <v>7</v>
      </c>
      <c r="M12756">
        <v>1998</v>
      </c>
      <c r="N12756">
        <v>80</v>
      </c>
      <c r="O12756">
        <v>70</v>
      </c>
      <c r="P12756">
        <v>51</v>
      </c>
      <c r="Q12756">
        <v>18</v>
      </c>
    </row>
    <row r="12757" spans="1:17" x14ac:dyDescent="0.2">
      <c r="A12757" s="121">
        <v>43465</v>
      </c>
      <c r="B12757" t="s">
        <v>406</v>
      </c>
      <c r="C12757" t="s">
        <v>407</v>
      </c>
      <c r="D12757" t="s">
        <v>618</v>
      </c>
      <c r="E12757" t="s">
        <v>619</v>
      </c>
      <c r="F12757" t="s">
        <v>410</v>
      </c>
      <c r="G12757">
        <v>61</v>
      </c>
      <c r="I12757">
        <v>60</v>
      </c>
    </row>
    <row r="12758" spans="1:17" x14ac:dyDescent="0.2">
      <c r="A12758" s="121">
        <v>43465</v>
      </c>
      <c r="B12758" t="s">
        <v>406</v>
      </c>
      <c r="C12758" t="s">
        <v>418</v>
      </c>
      <c r="D12758" t="s">
        <v>419</v>
      </c>
      <c r="E12758" t="s">
        <v>420</v>
      </c>
      <c r="F12758" t="s">
        <v>410</v>
      </c>
      <c r="G12758">
        <v>8</v>
      </c>
      <c r="I12758">
        <v>8</v>
      </c>
    </row>
    <row r="12759" spans="1:17" x14ac:dyDescent="0.2">
      <c r="A12759" s="121">
        <v>43465</v>
      </c>
      <c r="B12759" t="s">
        <v>406</v>
      </c>
      <c r="C12759" t="s">
        <v>418</v>
      </c>
      <c r="D12759" t="s">
        <v>421</v>
      </c>
      <c r="E12759" t="s">
        <v>422</v>
      </c>
      <c r="F12759" t="s">
        <v>410</v>
      </c>
      <c r="G12759">
        <v>64</v>
      </c>
      <c r="I12759">
        <v>64</v>
      </c>
    </row>
    <row r="12760" spans="1:17" x14ac:dyDescent="0.2">
      <c r="A12760" s="121">
        <v>43465</v>
      </c>
      <c r="B12760" t="s">
        <v>406</v>
      </c>
      <c r="C12760" t="s">
        <v>418</v>
      </c>
      <c r="D12760" t="s">
        <v>423</v>
      </c>
      <c r="E12760" t="s">
        <v>424</v>
      </c>
      <c r="F12760" t="s">
        <v>410</v>
      </c>
      <c r="G12760">
        <v>7</v>
      </c>
      <c r="I12760">
        <v>7</v>
      </c>
    </row>
    <row r="12761" spans="1:17" x14ac:dyDescent="0.2">
      <c r="A12761" s="121">
        <v>43465</v>
      </c>
      <c r="B12761" t="s">
        <v>406</v>
      </c>
      <c r="C12761" t="s">
        <v>418</v>
      </c>
      <c r="D12761" t="s">
        <v>425</v>
      </c>
      <c r="E12761" t="s">
        <v>426</v>
      </c>
      <c r="F12761" t="s">
        <v>410</v>
      </c>
      <c r="G12761">
        <v>25</v>
      </c>
      <c r="I12761">
        <v>25</v>
      </c>
    </row>
    <row r="12762" spans="1:17" x14ac:dyDescent="0.2">
      <c r="A12762" s="121">
        <v>43465</v>
      </c>
      <c r="B12762" t="s">
        <v>406</v>
      </c>
      <c r="C12762" t="s">
        <v>418</v>
      </c>
      <c r="D12762" t="s">
        <v>427</v>
      </c>
      <c r="E12762" t="s">
        <v>428</v>
      </c>
      <c r="F12762" t="s">
        <v>413</v>
      </c>
      <c r="G12762">
        <v>2464</v>
      </c>
      <c r="H12762">
        <v>2464</v>
      </c>
      <c r="I12762">
        <v>2312</v>
      </c>
      <c r="J12762">
        <v>2312</v>
      </c>
      <c r="K12762">
        <v>859</v>
      </c>
      <c r="L12762">
        <v>3</v>
      </c>
      <c r="M12762">
        <v>1444</v>
      </c>
      <c r="N12762">
        <v>151</v>
      </c>
      <c r="O12762">
        <v>7</v>
      </c>
      <c r="P12762">
        <v>10</v>
      </c>
      <c r="Q12762">
        <v>3</v>
      </c>
    </row>
    <row r="12763" spans="1:17" x14ac:dyDescent="0.2">
      <c r="A12763" s="121">
        <v>43465</v>
      </c>
      <c r="B12763" t="s">
        <v>406</v>
      </c>
      <c r="C12763" t="s">
        <v>429</v>
      </c>
      <c r="D12763" t="s">
        <v>430</v>
      </c>
      <c r="E12763" t="s">
        <v>431</v>
      </c>
      <c r="F12763" t="s">
        <v>410</v>
      </c>
      <c r="G12763">
        <v>17</v>
      </c>
      <c r="I12763">
        <v>17</v>
      </c>
    </row>
    <row r="12764" spans="1:17" x14ac:dyDescent="0.2">
      <c r="A12764" s="121">
        <v>43465</v>
      </c>
      <c r="B12764" t="s">
        <v>406</v>
      </c>
      <c r="C12764" t="s">
        <v>429</v>
      </c>
      <c r="D12764" t="s">
        <v>432</v>
      </c>
      <c r="E12764" t="s">
        <v>433</v>
      </c>
      <c r="F12764" t="s">
        <v>410</v>
      </c>
      <c r="G12764">
        <v>22</v>
      </c>
      <c r="I12764">
        <v>22</v>
      </c>
    </row>
    <row r="12765" spans="1:17" x14ac:dyDescent="0.2">
      <c r="A12765" s="121">
        <v>43465</v>
      </c>
      <c r="B12765" t="s">
        <v>406</v>
      </c>
      <c r="C12765" t="s">
        <v>429</v>
      </c>
      <c r="D12765" t="s">
        <v>434</v>
      </c>
      <c r="E12765" t="s">
        <v>435</v>
      </c>
      <c r="F12765" t="s">
        <v>410</v>
      </c>
      <c r="G12765">
        <v>4</v>
      </c>
      <c r="I12765">
        <v>4</v>
      </c>
    </row>
    <row r="12766" spans="1:17" x14ac:dyDescent="0.2">
      <c r="A12766" s="121">
        <v>43465</v>
      </c>
      <c r="B12766" t="s">
        <v>406</v>
      </c>
      <c r="C12766" t="s">
        <v>429</v>
      </c>
      <c r="D12766" t="s">
        <v>436</v>
      </c>
      <c r="E12766" t="s">
        <v>437</v>
      </c>
      <c r="F12766" t="s">
        <v>410</v>
      </c>
      <c r="G12766">
        <v>10</v>
      </c>
      <c r="H12766">
        <v>10</v>
      </c>
      <c r="I12766">
        <v>10</v>
      </c>
      <c r="J12766">
        <v>10</v>
      </c>
      <c r="K12766">
        <v>0</v>
      </c>
      <c r="L12766">
        <v>0</v>
      </c>
      <c r="M12766">
        <v>10</v>
      </c>
      <c r="N12766">
        <v>0</v>
      </c>
      <c r="O12766">
        <v>0</v>
      </c>
      <c r="P12766">
        <v>0</v>
      </c>
      <c r="Q12766">
        <v>0</v>
      </c>
    </row>
    <row r="12767" spans="1:17" x14ac:dyDescent="0.2">
      <c r="A12767" s="121">
        <v>43465</v>
      </c>
      <c r="B12767" t="s">
        <v>406</v>
      </c>
      <c r="C12767" t="s">
        <v>429</v>
      </c>
      <c r="D12767" t="s">
        <v>438</v>
      </c>
      <c r="E12767" t="s">
        <v>439</v>
      </c>
      <c r="F12767" t="s">
        <v>413</v>
      </c>
      <c r="G12767">
        <v>1036</v>
      </c>
      <c r="H12767">
        <v>1036</v>
      </c>
      <c r="I12767">
        <v>941</v>
      </c>
      <c r="J12767">
        <v>941</v>
      </c>
      <c r="K12767">
        <v>79</v>
      </c>
      <c r="L12767">
        <v>3</v>
      </c>
      <c r="M12767">
        <v>830</v>
      </c>
      <c r="N12767">
        <v>95</v>
      </c>
      <c r="O12767">
        <v>29</v>
      </c>
      <c r="P12767">
        <v>17</v>
      </c>
      <c r="Q12767">
        <v>1</v>
      </c>
    </row>
    <row r="12768" spans="1:17" x14ac:dyDescent="0.2">
      <c r="A12768" s="121">
        <v>43465</v>
      </c>
      <c r="B12768" t="s">
        <v>406</v>
      </c>
      <c r="C12768" t="s">
        <v>429</v>
      </c>
      <c r="D12768" t="s">
        <v>440</v>
      </c>
      <c r="E12768" t="s">
        <v>441</v>
      </c>
      <c r="F12768" t="s">
        <v>413</v>
      </c>
      <c r="G12768">
        <v>2821</v>
      </c>
      <c r="H12768">
        <v>2821</v>
      </c>
      <c r="I12768">
        <v>2517</v>
      </c>
      <c r="J12768">
        <v>2517</v>
      </c>
      <c r="K12768">
        <v>923</v>
      </c>
      <c r="L12768">
        <v>6</v>
      </c>
      <c r="M12768">
        <v>1735</v>
      </c>
      <c r="N12768">
        <v>121</v>
      </c>
      <c r="O12768">
        <v>36</v>
      </c>
      <c r="P12768">
        <v>16</v>
      </c>
      <c r="Q12768">
        <v>1</v>
      </c>
    </row>
    <row r="12769" spans="1:17" x14ac:dyDescent="0.2">
      <c r="A12769" s="121">
        <v>43465</v>
      </c>
      <c r="B12769" t="s">
        <v>406</v>
      </c>
      <c r="C12769" t="s">
        <v>442</v>
      </c>
      <c r="D12769" t="s">
        <v>443</v>
      </c>
      <c r="E12769" t="s">
        <v>444</v>
      </c>
      <c r="F12769" t="s">
        <v>413</v>
      </c>
      <c r="G12769">
        <v>5651</v>
      </c>
      <c r="H12769">
        <v>5651</v>
      </c>
      <c r="I12769">
        <v>5126</v>
      </c>
      <c r="J12769">
        <v>5126</v>
      </c>
      <c r="K12769">
        <v>1867</v>
      </c>
      <c r="L12769">
        <v>9</v>
      </c>
      <c r="M12769">
        <v>3572</v>
      </c>
      <c r="N12769">
        <v>139</v>
      </c>
      <c r="O12769">
        <v>64</v>
      </c>
      <c r="P12769">
        <v>25</v>
      </c>
      <c r="Q12769">
        <v>1</v>
      </c>
    </row>
    <row r="12770" spans="1:17" x14ac:dyDescent="0.2">
      <c r="A12770" s="121">
        <v>43465</v>
      </c>
      <c r="B12770" t="s">
        <v>406</v>
      </c>
      <c r="C12770" t="s">
        <v>442</v>
      </c>
      <c r="D12770" t="s">
        <v>445</v>
      </c>
      <c r="E12770" t="s">
        <v>446</v>
      </c>
      <c r="F12770" t="s">
        <v>410</v>
      </c>
      <c r="G12770">
        <v>117</v>
      </c>
      <c r="H12770">
        <v>117</v>
      </c>
      <c r="I12770">
        <v>116</v>
      </c>
      <c r="J12770">
        <v>116</v>
      </c>
      <c r="K12770">
        <v>2</v>
      </c>
      <c r="L12770">
        <v>0</v>
      </c>
      <c r="M12770">
        <v>111</v>
      </c>
      <c r="N12770">
        <v>4</v>
      </c>
      <c r="O12770">
        <v>0</v>
      </c>
      <c r="P12770">
        <v>0</v>
      </c>
      <c r="Q12770">
        <v>0</v>
      </c>
    </row>
    <row r="12771" spans="1:17" x14ac:dyDescent="0.2">
      <c r="A12771" s="121">
        <v>43465</v>
      </c>
      <c r="B12771" t="s">
        <v>406</v>
      </c>
      <c r="C12771" t="s">
        <v>442</v>
      </c>
      <c r="D12771" t="s">
        <v>447</v>
      </c>
      <c r="E12771" t="s">
        <v>448</v>
      </c>
      <c r="F12771" t="s">
        <v>410</v>
      </c>
      <c r="G12771">
        <v>181</v>
      </c>
      <c r="H12771">
        <v>181</v>
      </c>
      <c r="I12771">
        <v>180</v>
      </c>
      <c r="J12771">
        <v>180</v>
      </c>
      <c r="K12771">
        <v>0</v>
      </c>
      <c r="L12771">
        <v>0</v>
      </c>
      <c r="M12771">
        <v>176</v>
      </c>
      <c r="N12771">
        <v>4</v>
      </c>
      <c r="O12771">
        <v>1</v>
      </c>
      <c r="P12771">
        <v>0</v>
      </c>
      <c r="Q12771">
        <v>0</v>
      </c>
    </row>
    <row r="12772" spans="1:17" x14ac:dyDescent="0.2">
      <c r="A12772" s="121">
        <v>43465</v>
      </c>
      <c r="B12772" t="s">
        <v>406</v>
      </c>
      <c r="C12772" t="s">
        <v>442</v>
      </c>
      <c r="D12772" t="s">
        <v>449</v>
      </c>
      <c r="E12772" t="s">
        <v>624</v>
      </c>
      <c r="F12772" t="s">
        <v>410</v>
      </c>
      <c r="G12772">
        <v>1476</v>
      </c>
      <c r="H12772">
        <v>1476</v>
      </c>
      <c r="I12772">
        <v>1471</v>
      </c>
      <c r="J12772">
        <v>1471</v>
      </c>
      <c r="K12772">
        <v>24</v>
      </c>
      <c r="L12772">
        <v>0</v>
      </c>
      <c r="M12772">
        <v>1300</v>
      </c>
      <c r="N12772">
        <v>136</v>
      </c>
      <c r="O12772">
        <v>16</v>
      </c>
      <c r="P12772">
        <v>1</v>
      </c>
      <c r="Q12772">
        <v>0</v>
      </c>
    </row>
    <row r="12773" spans="1:17" x14ac:dyDescent="0.2">
      <c r="A12773" s="121">
        <v>43465</v>
      </c>
      <c r="B12773" t="s">
        <v>406</v>
      </c>
      <c r="C12773" t="s">
        <v>451</v>
      </c>
      <c r="D12773" t="s">
        <v>454</v>
      </c>
      <c r="E12773" t="s">
        <v>621</v>
      </c>
      <c r="F12773" t="s">
        <v>410</v>
      </c>
      <c r="G12773">
        <v>1475</v>
      </c>
      <c r="H12773">
        <v>1475</v>
      </c>
      <c r="I12773">
        <v>1475</v>
      </c>
      <c r="J12773">
        <v>1475</v>
      </c>
      <c r="K12773">
        <v>0</v>
      </c>
      <c r="L12773">
        <v>0</v>
      </c>
      <c r="M12773">
        <v>1108</v>
      </c>
      <c r="N12773">
        <v>162</v>
      </c>
      <c r="O12773">
        <v>205</v>
      </c>
      <c r="P12773">
        <v>0</v>
      </c>
      <c r="Q12773">
        <v>0</v>
      </c>
    </row>
    <row r="12774" spans="1:17" x14ac:dyDescent="0.2">
      <c r="A12774" s="121">
        <v>43465</v>
      </c>
      <c r="B12774" t="s">
        <v>406</v>
      </c>
      <c r="C12774" t="s">
        <v>451</v>
      </c>
      <c r="D12774" t="s">
        <v>622</v>
      </c>
      <c r="E12774" t="s">
        <v>623</v>
      </c>
      <c r="F12774" t="s">
        <v>413</v>
      </c>
      <c r="G12774">
        <v>5468</v>
      </c>
      <c r="H12774">
        <v>5468</v>
      </c>
      <c r="I12774">
        <v>3971</v>
      </c>
      <c r="J12774">
        <v>3971</v>
      </c>
      <c r="K12774">
        <v>1584</v>
      </c>
      <c r="L12774">
        <v>9</v>
      </c>
      <c r="M12774">
        <v>3024</v>
      </c>
      <c r="N12774">
        <v>77</v>
      </c>
      <c r="O12774">
        <v>774</v>
      </c>
      <c r="P12774">
        <v>236</v>
      </c>
      <c r="Q12774">
        <v>59</v>
      </c>
    </row>
    <row r="12775" spans="1:17" x14ac:dyDescent="0.2">
      <c r="A12775" s="121">
        <v>43465</v>
      </c>
      <c r="B12775" t="s">
        <v>406</v>
      </c>
      <c r="C12775" t="s">
        <v>456</v>
      </c>
      <c r="D12775" t="s">
        <v>457</v>
      </c>
      <c r="E12775" t="s">
        <v>458</v>
      </c>
      <c r="F12775" t="s">
        <v>413</v>
      </c>
      <c r="G12775">
        <v>5091</v>
      </c>
      <c r="H12775">
        <v>5091</v>
      </c>
      <c r="I12775">
        <v>4547</v>
      </c>
      <c r="J12775">
        <v>4547</v>
      </c>
      <c r="K12775">
        <v>1384</v>
      </c>
      <c r="L12775">
        <v>21</v>
      </c>
      <c r="M12775">
        <v>3238</v>
      </c>
      <c r="N12775">
        <v>19</v>
      </c>
      <c r="O12775">
        <v>429</v>
      </c>
      <c r="P12775">
        <v>19</v>
      </c>
      <c r="Q12775">
        <v>2</v>
      </c>
    </row>
    <row r="12776" spans="1:17" x14ac:dyDescent="0.2">
      <c r="A12776" s="121">
        <v>43465</v>
      </c>
      <c r="B12776" t="s">
        <v>406</v>
      </c>
      <c r="C12776" t="s">
        <v>456</v>
      </c>
      <c r="D12776" t="s">
        <v>459</v>
      </c>
      <c r="E12776" t="s">
        <v>460</v>
      </c>
      <c r="F12776" t="s">
        <v>413</v>
      </c>
      <c r="G12776">
        <v>1231</v>
      </c>
      <c r="H12776">
        <v>1231</v>
      </c>
      <c r="I12776">
        <v>1222</v>
      </c>
      <c r="J12776">
        <v>1222</v>
      </c>
      <c r="K12776">
        <v>149</v>
      </c>
      <c r="L12776">
        <v>1</v>
      </c>
      <c r="M12776">
        <v>1008</v>
      </c>
      <c r="N12776">
        <v>1</v>
      </c>
      <c r="O12776">
        <v>72</v>
      </c>
      <c r="P12776">
        <v>1</v>
      </c>
      <c r="Q12776">
        <v>0</v>
      </c>
    </row>
    <row r="12777" spans="1:17" x14ac:dyDescent="0.2">
      <c r="A12777" s="121">
        <v>43465</v>
      </c>
      <c r="B12777" t="s">
        <v>406</v>
      </c>
      <c r="C12777" t="s">
        <v>456</v>
      </c>
      <c r="D12777" t="s">
        <v>461</v>
      </c>
      <c r="E12777" t="s">
        <v>462</v>
      </c>
      <c r="F12777" t="s">
        <v>410</v>
      </c>
      <c r="G12777">
        <v>77</v>
      </c>
      <c r="I12777">
        <v>77</v>
      </c>
    </row>
    <row r="12778" spans="1:17" x14ac:dyDescent="0.2">
      <c r="A12778" s="121">
        <v>43465</v>
      </c>
      <c r="B12778" t="s">
        <v>406</v>
      </c>
      <c r="C12778" t="s">
        <v>456</v>
      </c>
      <c r="D12778" t="s">
        <v>463</v>
      </c>
      <c r="E12778" t="s">
        <v>464</v>
      </c>
      <c r="F12778" t="s">
        <v>410</v>
      </c>
      <c r="G12778">
        <v>9</v>
      </c>
      <c r="I12778">
        <v>9</v>
      </c>
    </row>
    <row r="12779" spans="1:17" x14ac:dyDescent="0.2">
      <c r="A12779" s="121">
        <v>43465</v>
      </c>
      <c r="B12779" t="s">
        <v>406</v>
      </c>
      <c r="C12779" t="s">
        <v>456</v>
      </c>
      <c r="D12779" t="s">
        <v>465</v>
      </c>
      <c r="E12779" t="s">
        <v>466</v>
      </c>
      <c r="F12779" t="s">
        <v>410</v>
      </c>
      <c r="G12779">
        <v>20</v>
      </c>
      <c r="I12779">
        <v>20</v>
      </c>
    </row>
    <row r="12780" spans="1:17" x14ac:dyDescent="0.2">
      <c r="A12780" s="121">
        <v>43465</v>
      </c>
      <c r="B12780" t="s">
        <v>406</v>
      </c>
      <c r="C12780" t="s">
        <v>456</v>
      </c>
      <c r="D12780" t="s">
        <v>467</v>
      </c>
      <c r="E12780" t="s">
        <v>468</v>
      </c>
      <c r="F12780" t="s">
        <v>410</v>
      </c>
      <c r="G12780">
        <v>1329</v>
      </c>
      <c r="I12780">
        <v>1329</v>
      </c>
    </row>
    <row r="12781" spans="1:17" x14ac:dyDescent="0.2">
      <c r="A12781" s="121">
        <v>43465</v>
      </c>
      <c r="B12781" t="s">
        <v>406</v>
      </c>
      <c r="C12781" t="s">
        <v>456</v>
      </c>
      <c r="D12781" t="s">
        <v>469</v>
      </c>
      <c r="E12781" t="s">
        <v>470</v>
      </c>
      <c r="F12781" t="s">
        <v>410</v>
      </c>
      <c r="G12781">
        <v>696</v>
      </c>
      <c r="I12781">
        <v>696</v>
      </c>
    </row>
    <row r="12782" spans="1:17" x14ac:dyDescent="0.2">
      <c r="A12782" s="121">
        <v>43465</v>
      </c>
      <c r="B12782" t="s">
        <v>406</v>
      </c>
      <c r="C12782" t="s">
        <v>456</v>
      </c>
      <c r="D12782" t="s">
        <v>471</v>
      </c>
      <c r="E12782" t="s">
        <v>472</v>
      </c>
      <c r="F12782" t="s">
        <v>410</v>
      </c>
      <c r="G12782">
        <v>245</v>
      </c>
      <c r="I12782">
        <v>243</v>
      </c>
    </row>
    <row r="12783" spans="1:17" x14ac:dyDescent="0.2">
      <c r="A12783" s="121">
        <v>43465</v>
      </c>
      <c r="B12783" t="s">
        <v>406</v>
      </c>
      <c r="C12783" t="s">
        <v>456</v>
      </c>
      <c r="D12783" t="s">
        <v>473</v>
      </c>
      <c r="E12783" t="s">
        <v>474</v>
      </c>
      <c r="F12783" t="s">
        <v>410</v>
      </c>
      <c r="G12783">
        <v>111</v>
      </c>
      <c r="I12783">
        <v>111</v>
      </c>
    </row>
    <row r="12784" spans="1:17" x14ac:dyDescent="0.2">
      <c r="A12784" s="121">
        <v>43465</v>
      </c>
      <c r="B12784" t="s">
        <v>406</v>
      </c>
      <c r="C12784" t="s">
        <v>456</v>
      </c>
      <c r="D12784" t="s">
        <v>475</v>
      </c>
      <c r="E12784" t="s">
        <v>476</v>
      </c>
      <c r="F12784" t="s">
        <v>410</v>
      </c>
      <c r="G12784">
        <v>242</v>
      </c>
      <c r="I12784">
        <v>241</v>
      </c>
    </row>
    <row r="12785" spans="1:17" x14ac:dyDescent="0.2">
      <c r="A12785" s="121">
        <v>43465</v>
      </c>
      <c r="B12785" t="s">
        <v>406</v>
      </c>
      <c r="C12785" t="s">
        <v>456</v>
      </c>
      <c r="D12785" t="s">
        <v>477</v>
      </c>
      <c r="E12785" t="s">
        <v>478</v>
      </c>
      <c r="F12785" t="s">
        <v>413</v>
      </c>
      <c r="G12785">
        <v>2087</v>
      </c>
      <c r="H12785">
        <v>2087</v>
      </c>
      <c r="I12785">
        <v>1904</v>
      </c>
      <c r="J12785">
        <v>1904</v>
      </c>
      <c r="K12785">
        <v>408</v>
      </c>
      <c r="L12785">
        <v>3</v>
      </c>
      <c r="M12785">
        <v>1652</v>
      </c>
      <c r="N12785">
        <v>23</v>
      </c>
      <c r="O12785">
        <v>1</v>
      </c>
      <c r="P12785">
        <v>12</v>
      </c>
      <c r="Q12785">
        <v>2</v>
      </c>
    </row>
    <row r="12786" spans="1:17" x14ac:dyDescent="0.2">
      <c r="A12786" s="121">
        <v>43465</v>
      </c>
      <c r="B12786" t="s">
        <v>406</v>
      </c>
      <c r="C12786" t="s">
        <v>456</v>
      </c>
      <c r="D12786" t="s">
        <v>479</v>
      </c>
      <c r="E12786" t="s">
        <v>480</v>
      </c>
      <c r="F12786" t="s">
        <v>410</v>
      </c>
      <c r="G12786">
        <v>48</v>
      </c>
      <c r="I12786">
        <v>48</v>
      </c>
    </row>
    <row r="12787" spans="1:17" x14ac:dyDescent="0.2">
      <c r="A12787" s="121">
        <v>43465</v>
      </c>
      <c r="B12787" t="s">
        <v>406</v>
      </c>
      <c r="C12787" t="s">
        <v>456</v>
      </c>
      <c r="D12787" t="s">
        <v>481</v>
      </c>
      <c r="E12787" t="s">
        <v>482</v>
      </c>
      <c r="F12787" t="s">
        <v>410</v>
      </c>
      <c r="G12787">
        <v>13</v>
      </c>
      <c r="I12787">
        <v>13</v>
      </c>
    </row>
    <row r="12788" spans="1:17" x14ac:dyDescent="0.2">
      <c r="A12788" s="121">
        <v>43465</v>
      </c>
      <c r="B12788" t="s">
        <v>406</v>
      </c>
      <c r="C12788" t="s">
        <v>456</v>
      </c>
      <c r="D12788" t="s">
        <v>483</v>
      </c>
      <c r="E12788" t="s">
        <v>484</v>
      </c>
      <c r="F12788" t="s">
        <v>410</v>
      </c>
      <c r="G12788">
        <v>71</v>
      </c>
      <c r="I12788">
        <v>71</v>
      </c>
    </row>
    <row r="12789" spans="1:17" x14ac:dyDescent="0.2">
      <c r="A12789" s="121">
        <v>43465</v>
      </c>
      <c r="B12789" t="s">
        <v>406</v>
      </c>
      <c r="C12789" t="s">
        <v>456</v>
      </c>
      <c r="D12789" t="s">
        <v>487</v>
      </c>
      <c r="E12789" t="s">
        <v>488</v>
      </c>
      <c r="F12789" t="s">
        <v>410</v>
      </c>
      <c r="G12789">
        <v>12</v>
      </c>
      <c r="I12789">
        <v>12</v>
      </c>
    </row>
    <row r="12790" spans="1:17" x14ac:dyDescent="0.2">
      <c r="A12790" s="121">
        <v>43465</v>
      </c>
      <c r="B12790" t="s">
        <v>406</v>
      </c>
      <c r="C12790" t="s">
        <v>456</v>
      </c>
      <c r="D12790" t="s">
        <v>489</v>
      </c>
      <c r="E12790" t="s">
        <v>490</v>
      </c>
      <c r="F12790" t="s">
        <v>410</v>
      </c>
      <c r="G12790">
        <v>82</v>
      </c>
      <c r="I12790">
        <v>82</v>
      </c>
    </row>
    <row r="12791" spans="1:17" x14ac:dyDescent="0.2">
      <c r="A12791" s="121">
        <v>43465</v>
      </c>
      <c r="B12791" t="s">
        <v>406</v>
      </c>
      <c r="C12791" t="s">
        <v>456</v>
      </c>
      <c r="D12791" t="s">
        <v>628</v>
      </c>
      <c r="E12791" t="s">
        <v>629</v>
      </c>
      <c r="F12791" t="s">
        <v>410</v>
      </c>
      <c r="G12791">
        <v>21</v>
      </c>
      <c r="I12791">
        <v>21</v>
      </c>
    </row>
    <row r="12792" spans="1:17" x14ac:dyDescent="0.2">
      <c r="A12792" s="121">
        <v>43465</v>
      </c>
      <c r="B12792" t="s">
        <v>406</v>
      </c>
      <c r="C12792" t="s">
        <v>491</v>
      </c>
      <c r="D12792" t="s">
        <v>492</v>
      </c>
      <c r="E12792" t="s">
        <v>493</v>
      </c>
      <c r="F12792" t="s">
        <v>410</v>
      </c>
      <c r="G12792">
        <v>1423</v>
      </c>
      <c r="H12792">
        <v>1423</v>
      </c>
      <c r="I12792">
        <v>1354</v>
      </c>
      <c r="J12792">
        <v>1354</v>
      </c>
      <c r="K12792">
        <v>210</v>
      </c>
      <c r="L12792">
        <v>0</v>
      </c>
      <c r="M12792">
        <v>1115</v>
      </c>
      <c r="N12792">
        <v>81</v>
      </c>
      <c r="O12792">
        <v>17</v>
      </c>
      <c r="P12792">
        <v>3</v>
      </c>
      <c r="Q12792">
        <v>0</v>
      </c>
    </row>
    <row r="12793" spans="1:17" x14ac:dyDescent="0.2">
      <c r="A12793" s="121">
        <v>43465</v>
      </c>
      <c r="B12793" t="s">
        <v>406</v>
      </c>
      <c r="C12793" t="s">
        <v>491</v>
      </c>
      <c r="D12793" t="s">
        <v>494</v>
      </c>
      <c r="E12793" t="s">
        <v>495</v>
      </c>
      <c r="F12793" t="s">
        <v>413</v>
      </c>
      <c r="G12793">
        <v>2715</v>
      </c>
      <c r="H12793">
        <v>2715</v>
      </c>
      <c r="I12793">
        <v>2394</v>
      </c>
      <c r="J12793">
        <v>2394</v>
      </c>
      <c r="K12793">
        <v>691</v>
      </c>
      <c r="L12793">
        <v>4</v>
      </c>
      <c r="M12793">
        <v>1870</v>
      </c>
      <c r="N12793">
        <v>55</v>
      </c>
      <c r="O12793">
        <v>95</v>
      </c>
      <c r="P12793">
        <v>9</v>
      </c>
      <c r="Q12793">
        <v>0</v>
      </c>
    </row>
    <row r="12794" spans="1:17" x14ac:dyDescent="0.2">
      <c r="A12794" s="121">
        <v>43465</v>
      </c>
      <c r="B12794" t="s">
        <v>406</v>
      </c>
      <c r="C12794" t="s">
        <v>491</v>
      </c>
      <c r="D12794" t="s">
        <v>496</v>
      </c>
      <c r="E12794" t="s">
        <v>497</v>
      </c>
      <c r="F12794" t="s">
        <v>413</v>
      </c>
      <c r="G12794">
        <v>5716</v>
      </c>
      <c r="H12794">
        <v>5716</v>
      </c>
      <c r="I12794">
        <v>4848</v>
      </c>
      <c r="J12794">
        <v>4848</v>
      </c>
      <c r="K12794">
        <v>1892</v>
      </c>
      <c r="L12794">
        <v>6</v>
      </c>
      <c r="M12794">
        <v>3573</v>
      </c>
      <c r="N12794">
        <v>141</v>
      </c>
      <c r="O12794">
        <v>104</v>
      </c>
      <c r="P12794">
        <v>86</v>
      </c>
      <c r="Q12794">
        <v>0</v>
      </c>
    </row>
    <row r="12795" spans="1:17" x14ac:dyDescent="0.2">
      <c r="A12795" s="121">
        <v>43465</v>
      </c>
      <c r="B12795" t="s">
        <v>406</v>
      </c>
      <c r="C12795" t="s">
        <v>491</v>
      </c>
      <c r="D12795" t="s">
        <v>498</v>
      </c>
      <c r="E12795" t="s">
        <v>499</v>
      </c>
      <c r="F12795" t="s">
        <v>413</v>
      </c>
      <c r="G12795">
        <v>8115</v>
      </c>
      <c r="H12795">
        <v>8115</v>
      </c>
      <c r="I12795">
        <v>6896</v>
      </c>
      <c r="J12795">
        <v>6896</v>
      </c>
      <c r="K12795">
        <v>2612</v>
      </c>
      <c r="L12795">
        <v>19</v>
      </c>
      <c r="M12795">
        <v>4928</v>
      </c>
      <c r="N12795">
        <v>112</v>
      </c>
      <c r="O12795">
        <v>444</v>
      </c>
      <c r="P12795">
        <v>39</v>
      </c>
      <c r="Q12795">
        <v>1</v>
      </c>
    </row>
    <row r="12796" spans="1:17" x14ac:dyDescent="0.2">
      <c r="A12796" s="121">
        <v>43465</v>
      </c>
      <c r="B12796" t="s">
        <v>406</v>
      </c>
      <c r="C12796" t="s">
        <v>491</v>
      </c>
      <c r="D12796" t="s">
        <v>500</v>
      </c>
      <c r="E12796" t="s">
        <v>620</v>
      </c>
      <c r="F12796" t="s">
        <v>410</v>
      </c>
      <c r="G12796">
        <v>1612</v>
      </c>
      <c r="H12796">
        <v>1612</v>
      </c>
      <c r="I12796">
        <v>1565</v>
      </c>
      <c r="J12796">
        <v>1565</v>
      </c>
      <c r="K12796">
        <v>0</v>
      </c>
      <c r="L12796">
        <v>0</v>
      </c>
      <c r="M12796">
        <v>1429</v>
      </c>
      <c r="N12796">
        <v>129</v>
      </c>
      <c r="O12796">
        <v>54</v>
      </c>
      <c r="P12796">
        <v>0</v>
      </c>
      <c r="Q12796">
        <v>0</v>
      </c>
    </row>
    <row r="12797" spans="1:17" x14ac:dyDescent="0.2">
      <c r="A12797" s="121">
        <v>43465</v>
      </c>
      <c r="B12797" t="s">
        <v>406</v>
      </c>
      <c r="C12797" t="s">
        <v>491</v>
      </c>
      <c r="D12797" t="s">
        <v>502</v>
      </c>
      <c r="E12797" t="s">
        <v>615</v>
      </c>
      <c r="F12797" t="s">
        <v>410</v>
      </c>
      <c r="G12797">
        <v>2517</v>
      </c>
      <c r="H12797">
        <v>2517</v>
      </c>
      <c r="I12797">
        <v>2516</v>
      </c>
      <c r="J12797">
        <v>2516</v>
      </c>
      <c r="K12797">
        <v>1</v>
      </c>
      <c r="L12797">
        <v>0</v>
      </c>
      <c r="M12797">
        <v>2268</v>
      </c>
      <c r="N12797">
        <v>188</v>
      </c>
      <c r="O12797">
        <v>60</v>
      </c>
      <c r="P12797">
        <v>0</v>
      </c>
      <c r="Q12797">
        <v>0</v>
      </c>
    </row>
    <row r="12798" spans="1:17" x14ac:dyDescent="0.2">
      <c r="A12798" s="121">
        <v>43465</v>
      </c>
      <c r="B12798" t="s">
        <v>406</v>
      </c>
      <c r="C12798" t="s">
        <v>491</v>
      </c>
      <c r="D12798" t="s">
        <v>504</v>
      </c>
      <c r="E12798" t="s">
        <v>630</v>
      </c>
      <c r="F12798" t="s">
        <v>413</v>
      </c>
      <c r="G12798">
        <v>8805</v>
      </c>
      <c r="H12798">
        <v>8805</v>
      </c>
      <c r="I12798">
        <v>7000</v>
      </c>
      <c r="J12798">
        <v>7000</v>
      </c>
      <c r="K12798">
        <v>2822</v>
      </c>
      <c r="L12798">
        <v>27</v>
      </c>
      <c r="M12798">
        <v>5593</v>
      </c>
      <c r="N12798">
        <v>59</v>
      </c>
      <c r="O12798">
        <v>304</v>
      </c>
      <c r="P12798">
        <v>140</v>
      </c>
      <c r="Q12798">
        <v>4</v>
      </c>
    </row>
    <row r="12799" spans="1:17" x14ac:dyDescent="0.2">
      <c r="A12799" s="121">
        <v>43465</v>
      </c>
      <c r="B12799" t="s">
        <v>406</v>
      </c>
      <c r="C12799" t="s">
        <v>491</v>
      </c>
      <c r="D12799" t="s">
        <v>506</v>
      </c>
      <c r="E12799" t="s">
        <v>507</v>
      </c>
      <c r="F12799" t="s">
        <v>413</v>
      </c>
      <c r="G12799">
        <v>5885</v>
      </c>
      <c r="H12799">
        <v>5885</v>
      </c>
      <c r="I12799">
        <v>5595</v>
      </c>
      <c r="J12799">
        <v>5595</v>
      </c>
      <c r="K12799">
        <v>1364</v>
      </c>
      <c r="L12799">
        <v>6</v>
      </c>
      <c r="M12799">
        <v>4477</v>
      </c>
      <c r="N12799">
        <v>2</v>
      </c>
      <c r="O12799">
        <v>36</v>
      </c>
      <c r="P12799">
        <v>0</v>
      </c>
      <c r="Q12799">
        <v>0</v>
      </c>
    </row>
    <row r="12800" spans="1:17" x14ac:dyDescent="0.2">
      <c r="A12800" s="121">
        <v>43465</v>
      </c>
      <c r="B12800" t="s">
        <v>406</v>
      </c>
      <c r="C12800" t="s">
        <v>510</v>
      </c>
      <c r="D12800" t="s">
        <v>513</v>
      </c>
      <c r="E12800" t="s">
        <v>514</v>
      </c>
      <c r="F12800" t="s">
        <v>410</v>
      </c>
      <c r="G12800">
        <v>662</v>
      </c>
      <c r="I12800">
        <v>660</v>
      </c>
    </row>
    <row r="12801" spans="1:17" x14ac:dyDescent="0.2">
      <c r="A12801" s="121">
        <v>43465</v>
      </c>
      <c r="B12801" t="s">
        <v>406</v>
      </c>
      <c r="C12801" t="s">
        <v>510</v>
      </c>
      <c r="D12801" t="s">
        <v>515</v>
      </c>
      <c r="E12801" t="s">
        <v>516</v>
      </c>
      <c r="F12801" t="s">
        <v>410</v>
      </c>
      <c r="G12801">
        <v>104</v>
      </c>
      <c r="I12801">
        <v>103</v>
      </c>
    </row>
    <row r="12802" spans="1:17" x14ac:dyDescent="0.2">
      <c r="A12802" s="121">
        <v>43465</v>
      </c>
      <c r="B12802" t="s">
        <v>406</v>
      </c>
      <c r="C12802" t="s">
        <v>510</v>
      </c>
      <c r="D12802" t="s">
        <v>519</v>
      </c>
      <c r="E12802" t="s">
        <v>520</v>
      </c>
      <c r="F12802" t="s">
        <v>410</v>
      </c>
      <c r="G12802">
        <v>331</v>
      </c>
      <c r="I12802">
        <v>321</v>
      </c>
    </row>
    <row r="12803" spans="1:17" x14ac:dyDescent="0.2">
      <c r="A12803" s="121">
        <v>43465</v>
      </c>
      <c r="B12803" t="s">
        <v>406</v>
      </c>
      <c r="C12803" t="s">
        <v>510</v>
      </c>
      <c r="D12803" t="s">
        <v>523</v>
      </c>
      <c r="E12803" t="s">
        <v>524</v>
      </c>
      <c r="F12803" t="s">
        <v>413</v>
      </c>
      <c r="G12803">
        <v>636</v>
      </c>
      <c r="H12803">
        <v>636</v>
      </c>
      <c r="I12803">
        <v>613</v>
      </c>
      <c r="J12803">
        <v>613</v>
      </c>
      <c r="K12803">
        <v>149</v>
      </c>
      <c r="L12803">
        <v>3</v>
      </c>
      <c r="M12803">
        <v>465</v>
      </c>
      <c r="N12803">
        <v>19</v>
      </c>
      <c r="O12803">
        <v>0</v>
      </c>
      <c r="P12803">
        <v>0</v>
      </c>
      <c r="Q12803">
        <v>0</v>
      </c>
    </row>
    <row r="12804" spans="1:17" x14ac:dyDescent="0.2">
      <c r="A12804" s="121">
        <v>43465</v>
      </c>
      <c r="B12804" t="s">
        <v>406</v>
      </c>
      <c r="C12804" t="s">
        <v>510</v>
      </c>
      <c r="D12804" t="s">
        <v>525</v>
      </c>
      <c r="E12804" t="s">
        <v>526</v>
      </c>
      <c r="F12804" t="s">
        <v>410</v>
      </c>
      <c r="G12804">
        <v>465</v>
      </c>
      <c r="I12804">
        <v>464</v>
      </c>
    </row>
    <row r="12805" spans="1:17" x14ac:dyDescent="0.2">
      <c r="A12805" s="121">
        <v>43465</v>
      </c>
      <c r="B12805" t="s">
        <v>406</v>
      </c>
      <c r="C12805" t="s">
        <v>510</v>
      </c>
      <c r="D12805" t="s">
        <v>527</v>
      </c>
      <c r="E12805" t="s">
        <v>528</v>
      </c>
      <c r="F12805" t="s">
        <v>410</v>
      </c>
      <c r="G12805">
        <v>147</v>
      </c>
      <c r="I12805">
        <v>147</v>
      </c>
    </row>
    <row r="12806" spans="1:17" x14ac:dyDescent="0.2">
      <c r="A12806" s="121">
        <v>43465</v>
      </c>
      <c r="B12806" t="s">
        <v>406</v>
      </c>
      <c r="C12806" t="s">
        <v>510</v>
      </c>
      <c r="D12806" t="s">
        <v>529</v>
      </c>
      <c r="E12806" t="s">
        <v>530</v>
      </c>
      <c r="F12806" t="s">
        <v>413</v>
      </c>
      <c r="G12806">
        <v>701</v>
      </c>
      <c r="H12806">
        <v>701</v>
      </c>
      <c r="I12806">
        <v>674</v>
      </c>
      <c r="J12806">
        <v>674</v>
      </c>
      <c r="K12806">
        <v>199</v>
      </c>
      <c r="L12806">
        <v>0</v>
      </c>
      <c r="M12806">
        <v>496</v>
      </c>
      <c r="N12806">
        <v>6</v>
      </c>
      <c r="O12806">
        <v>0</v>
      </c>
      <c r="P12806">
        <v>1</v>
      </c>
      <c r="Q12806">
        <v>0</v>
      </c>
    </row>
    <row r="12807" spans="1:17" x14ac:dyDescent="0.2">
      <c r="A12807" s="121">
        <v>43465</v>
      </c>
      <c r="B12807" t="s">
        <v>406</v>
      </c>
      <c r="C12807" t="s">
        <v>510</v>
      </c>
      <c r="D12807" t="s">
        <v>531</v>
      </c>
      <c r="E12807" t="s">
        <v>532</v>
      </c>
      <c r="F12807" t="s">
        <v>410</v>
      </c>
      <c r="G12807">
        <v>29</v>
      </c>
      <c r="I12807">
        <v>29</v>
      </c>
    </row>
    <row r="12808" spans="1:17" x14ac:dyDescent="0.2">
      <c r="A12808" s="121">
        <v>43465</v>
      </c>
      <c r="B12808" t="s">
        <v>406</v>
      </c>
      <c r="C12808" t="s">
        <v>510</v>
      </c>
      <c r="D12808" t="s">
        <v>533</v>
      </c>
      <c r="E12808" t="s">
        <v>534</v>
      </c>
      <c r="F12808" t="s">
        <v>413</v>
      </c>
      <c r="G12808">
        <v>2959</v>
      </c>
      <c r="H12808">
        <v>2959</v>
      </c>
      <c r="I12808">
        <v>2723</v>
      </c>
      <c r="J12808">
        <v>2723</v>
      </c>
      <c r="K12808">
        <v>749</v>
      </c>
      <c r="L12808">
        <v>1</v>
      </c>
      <c r="M12808">
        <v>2201</v>
      </c>
      <c r="N12808">
        <v>8</v>
      </c>
      <c r="O12808">
        <v>0</v>
      </c>
      <c r="P12808">
        <v>20</v>
      </c>
      <c r="Q12808">
        <v>0</v>
      </c>
    </row>
    <row r="12809" spans="1:17" x14ac:dyDescent="0.2">
      <c r="A12809" s="121">
        <v>43465</v>
      </c>
      <c r="B12809" t="s">
        <v>406</v>
      </c>
      <c r="C12809" t="s">
        <v>510</v>
      </c>
      <c r="D12809" t="s">
        <v>535</v>
      </c>
      <c r="E12809" t="s">
        <v>536</v>
      </c>
      <c r="F12809" t="s">
        <v>410</v>
      </c>
      <c r="G12809">
        <v>344</v>
      </c>
      <c r="I12809">
        <v>344</v>
      </c>
    </row>
    <row r="12810" spans="1:17" x14ac:dyDescent="0.2">
      <c r="A12810" s="121">
        <v>43465</v>
      </c>
      <c r="B12810" t="s">
        <v>406</v>
      </c>
      <c r="C12810" t="s">
        <v>510</v>
      </c>
      <c r="D12810" t="s">
        <v>537</v>
      </c>
      <c r="E12810" t="s">
        <v>538</v>
      </c>
      <c r="F12810" t="s">
        <v>410</v>
      </c>
      <c r="G12810">
        <v>43</v>
      </c>
      <c r="I12810">
        <v>43</v>
      </c>
    </row>
    <row r="12811" spans="1:17" x14ac:dyDescent="0.2">
      <c r="A12811" s="121">
        <v>43465</v>
      </c>
      <c r="B12811" t="s">
        <v>406</v>
      </c>
      <c r="C12811" t="s">
        <v>510</v>
      </c>
      <c r="D12811" t="s">
        <v>539</v>
      </c>
      <c r="E12811" t="s">
        <v>540</v>
      </c>
      <c r="F12811" t="s">
        <v>413</v>
      </c>
      <c r="G12811">
        <v>639</v>
      </c>
      <c r="H12811">
        <v>639</v>
      </c>
      <c r="I12811">
        <v>613</v>
      </c>
      <c r="J12811">
        <v>613</v>
      </c>
      <c r="K12811">
        <v>134</v>
      </c>
      <c r="L12811">
        <v>1</v>
      </c>
      <c r="M12811">
        <v>501</v>
      </c>
      <c r="N12811">
        <v>3</v>
      </c>
      <c r="O12811">
        <v>0</v>
      </c>
      <c r="P12811">
        <v>1</v>
      </c>
      <c r="Q12811">
        <v>0</v>
      </c>
    </row>
    <row r="12812" spans="1:17" x14ac:dyDescent="0.2">
      <c r="A12812" s="121">
        <v>43465</v>
      </c>
      <c r="B12812" t="s">
        <v>406</v>
      </c>
      <c r="C12812" t="s">
        <v>510</v>
      </c>
      <c r="D12812" t="s">
        <v>541</v>
      </c>
      <c r="E12812" t="s">
        <v>542</v>
      </c>
      <c r="F12812" t="s">
        <v>410</v>
      </c>
      <c r="G12812">
        <v>385</v>
      </c>
      <c r="I12812">
        <v>385</v>
      </c>
    </row>
    <row r="12813" spans="1:17" x14ac:dyDescent="0.2">
      <c r="A12813" s="121">
        <v>43465</v>
      </c>
      <c r="B12813" t="s">
        <v>406</v>
      </c>
      <c r="C12813" t="s">
        <v>510</v>
      </c>
      <c r="D12813" t="s">
        <v>543</v>
      </c>
      <c r="E12813" t="s">
        <v>544</v>
      </c>
      <c r="F12813" t="s">
        <v>410</v>
      </c>
      <c r="G12813">
        <v>179</v>
      </c>
      <c r="I12813">
        <v>179</v>
      </c>
    </row>
    <row r="12814" spans="1:17" x14ac:dyDescent="0.2">
      <c r="A12814" s="121">
        <v>43465</v>
      </c>
      <c r="B12814" t="s">
        <v>406</v>
      </c>
      <c r="C12814" t="s">
        <v>510</v>
      </c>
      <c r="D12814" t="s">
        <v>547</v>
      </c>
      <c r="E12814" t="s">
        <v>548</v>
      </c>
      <c r="F12814" t="s">
        <v>410</v>
      </c>
      <c r="G12814">
        <v>97</v>
      </c>
      <c r="I12814">
        <v>97</v>
      </c>
    </row>
    <row r="12815" spans="1:17" x14ac:dyDescent="0.2">
      <c r="A12815" s="121">
        <v>43465</v>
      </c>
      <c r="B12815" t="s">
        <v>406</v>
      </c>
      <c r="C12815" t="s">
        <v>510</v>
      </c>
      <c r="D12815" t="s">
        <v>616</v>
      </c>
      <c r="E12815" t="s">
        <v>617</v>
      </c>
      <c r="F12815" t="s">
        <v>410</v>
      </c>
      <c r="G12815">
        <v>381</v>
      </c>
      <c r="I12815">
        <v>374</v>
      </c>
    </row>
    <row r="12816" spans="1:17" x14ac:dyDescent="0.2">
      <c r="A12816" s="121">
        <v>43465</v>
      </c>
      <c r="B12816" t="s">
        <v>406</v>
      </c>
      <c r="C12816" t="s">
        <v>510</v>
      </c>
      <c r="D12816" t="s">
        <v>549</v>
      </c>
      <c r="E12816" t="s">
        <v>550</v>
      </c>
      <c r="F12816" t="s">
        <v>410</v>
      </c>
      <c r="G12816">
        <v>107</v>
      </c>
      <c r="I12816">
        <v>107</v>
      </c>
    </row>
    <row r="12817" spans="1:17" x14ac:dyDescent="0.2">
      <c r="A12817" s="121">
        <v>43465</v>
      </c>
      <c r="B12817" t="s">
        <v>406</v>
      </c>
      <c r="C12817" t="s">
        <v>510</v>
      </c>
      <c r="D12817" t="s">
        <v>625</v>
      </c>
      <c r="E12817" t="s">
        <v>626</v>
      </c>
      <c r="F12817" t="s">
        <v>410</v>
      </c>
      <c r="G12817">
        <v>74</v>
      </c>
      <c r="I12817">
        <v>74</v>
      </c>
    </row>
    <row r="12818" spans="1:17" x14ac:dyDescent="0.2">
      <c r="A12818" s="121">
        <v>43465</v>
      </c>
      <c r="B12818" t="s">
        <v>406</v>
      </c>
      <c r="C12818" t="s">
        <v>551</v>
      </c>
      <c r="D12818" t="s">
        <v>552</v>
      </c>
      <c r="E12818" t="s">
        <v>553</v>
      </c>
      <c r="F12818" t="s">
        <v>413</v>
      </c>
      <c r="G12818">
        <v>5792</v>
      </c>
      <c r="H12818">
        <v>5792</v>
      </c>
      <c r="I12818">
        <v>5363</v>
      </c>
      <c r="J12818">
        <v>5363</v>
      </c>
      <c r="K12818">
        <v>1940</v>
      </c>
      <c r="L12818">
        <v>6</v>
      </c>
      <c r="M12818">
        <v>3698</v>
      </c>
      <c r="N12818">
        <v>96</v>
      </c>
      <c r="O12818">
        <v>52</v>
      </c>
      <c r="P12818">
        <v>18</v>
      </c>
      <c r="Q12818">
        <v>0</v>
      </c>
    </row>
    <row r="12819" spans="1:17" x14ac:dyDescent="0.2">
      <c r="A12819" s="121">
        <v>43465</v>
      </c>
      <c r="B12819" t="s">
        <v>406</v>
      </c>
      <c r="C12819" t="s">
        <v>551</v>
      </c>
      <c r="D12819" t="s">
        <v>554</v>
      </c>
      <c r="E12819" t="s">
        <v>555</v>
      </c>
      <c r="F12819" t="s">
        <v>410</v>
      </c>
      <c r="G12819">
        <v>71</v>
      </c>
      <c r="I12819">
        <v>71</v>
      </c>
    </row>
    <row r="12820" spans="1:17" x14ac:dyDescent="0.2">
      <c r="A12820" s="121">
        <v>43465</v>
      </c>
      <c r="B12820" t="s">
        <v>406</v>
      </c>
      <c r="C12820" t="s">
        <v>551</v>
      </c>
      <c r="D12820" t="s">
        <v>556</v>
      </c>
      <c r="E12820" t="s">
        <v>557</v>
      </c>
      <c r="F12820" t="s">
        <v>410</v>
      </c>
      <c r="G12820">
        <v>46</v>
      </c>
      <c r="I12820">
        <v>46</v>
      </c>
    </row>
    <row r="12821" spans="1:17" x14ac:dyDescent="0.2">
      <c r="A12821" s="121">
        <v>43465</v>
      </c>
      <c r="B12821" t="s">
        <v>406</v>
      </c>
      <c r="C12821" t="s">
        <v>551</v>
      </c>
      <c r="D12821" t="s">
        <v>558</v>
      </c>
      <c r="E12821" t="s">
        <v>559</v>
      </c>
      <c r="F12821" t="s">
        <v>413</v>
      </c>
      <c r="G12821">
        <v>5307</v>
      </c>
      <c r="H12821">
        <v>5307</v>
      </c>
      <c r="I12821">
        <v>4863</v>
      </c>
      <c r="J12821">
        <v>4863</v>
      </c>
      <c r="K12821">
        <v>1684</v>
      </c>
      <c r="L12821">
        <v>5</v>
      </c>
      <c r="M12821">
        <v>3526</v>
      </c>
      <c r="N12821">
        <v>76</v>
      </c>
      <c r="O12821">
        <v>16</v>
      </c>
      <c r="P12821">
        <v>47</v>
      </c>
      <c r="Q12821">
        <v>1</v>
      </c>
    </row>
    <row r="12822" spans="1:17" x14ac:dyDescent="0.2">
      <c r="A12822" s="121">
        <v>43465</v>
      </c>
      <c r="B12822" t="s">
        <v>406</v>
      </c>
      <c r="C12822" t="s">
        <v>551</v>
      </c>
      <c r="D12822" t="s">
        <v>560</v>
      </c>
      <c r="E12822" t="s">
        <v>561</v>
      </c>
      <c r="F12822" t="s">
        <v>413</v>
      </c>
      <c r="G12822">
        <v>5941</v>
      </c>
      <c r="H12822">
        <v>5941</v>
      </c>
      <c r="I12822">
        <v>5191</v>
      </c>
      <c r="J12822">
        <v>5191</v>
      </c>
      <c r="K12822">
        <v>1764</v>
      </c>
      <c r="L12822">
        <v>8</v>
      </c>
      <c r="M12822">
        <v>4024</v>
      </c>
      <c r="N12822">
        <v>67</v>
      </c>
      <c r="O12822">
        <v>78</v>
      </c>
      <c r="P12822">
        <v>65</v>
      </c>
      <c r="Q12822">
        <v>4</v>
      </c>
    </row>
    <row r="12823" spans="1:17" x14ac:dyDescent="0.2">
      <c r="A12823" s="121">
        <v>43465</v>
      </c>
      <c r="B12823" t="s">
        <v>406</v>
      </c>
      <c r="C12823" t="s">
        <v>562</v>
      </c>
      <c r="D12823" t="s">
        <v>605</v>
      </c>
      <c r="E12823" t="s">
        <v>606</v>
      </c>
      <c r="F12823" t="s">
        <v>410</v>
      </c>
      <c r="G12823">
        <v>114</v>
      </c>
      <c r="I12823">
        <v>114</v>
      </c>
    </row>
    <row r="12824" spans="1:17" x14ac:dyDescent="0.2">
      <c r="A12824" s="121">
        <v>43465</v>
      </c>
      <c r="B12824" t="s">
        <v>406</v>
      </c>
      <c r="C12824" t="s">
        <v>562</v>
      </c>
      <c r="D12824" t="s">
        <v>563</v>
      </c>
      <c r="E12824" t="s">
        <v>564</v>
      </c>
      <c r="F12824" t="s">
        <v>410</v>
      </c>
      <c r="G12824">
        <v>3770</v>
      </c>
      <c r="H12824">
        <v>3770</v>
      </c>
      <c r="I12824">
        <v>3186</v>
      </c>
      <c r="J12824">
        <v>3186</v>
      </c>
      <c r="K12824">
        <v>1190</v>
      </c>
      <c r="L12824">
        <v>0</v>
      </c>
      <c r="M12824">
        <v>2579</v>
      </c>
      <c r="N12824">
        <v>1</v>
      </c>
      <c r="O12824">
        <v>0</v>
      </c>
      <c r="P12824">
        <v>66</v>
      </c>
      <c r="Q12824">
        <v>33</v>
      </c>
    </row>
    <row r="12825" spans="1:17" x14ac:dyDescent="0.2">
      <c r="A12825" s="121">
        <v>43465</v>
      </c>
      <c r="B12825" t="s">
        <v>406</v>
      </c>
      <c r="C12825" t="s">
        <v>562</v>
      </c>
      <c r="D12825" t="s">
        <v>565</v>
      </c>
      <c r="E12825" t="s">
        <v>566</v>
      </c>
      <c r="F12825" t="s">
        <v>413</v>
      </c>
      <c r="G12825">
        <v>4906</v>
      </c>
      <c r="H12825">
        <v>4906</v>
      </c>
      <c r="I12825">
        <v>4169</v>
      </c>
      <c r="J12825">
        <v>4169</v>
      </c>
      <c r="K12825">
        <v>1199</v>
      </c>
      <c r="L12825">
        <v>8</v>
      </c>
      <c r="M12825">
        <v>3603</v>
      </c>
      <c r="N12825">
        <v>96</v>
      </c>
      <c r="O12825">
        <v>0</v>
      </c>
      <c r="P12825">
        <v>65</v>
      </c>
      <c r="Q12825">
        <v>6</v>
      </c>
    </row>
    <row r="12826" spans="1:17" x14ac:dyDescent="0.2">
      <c r="A12826" s="121">
        <v>43465</v>
      </c>
      <c r="B12826" t="s">
        <v>406</v>
      </c>
      <c r="C12826" t="s">
        <v>562</v>
      </c>
      <c r="D12826" t="s">
        <v>567</v>
      </c>
      <c r="E12826" t="s">
        <v>568</v>
      </c>
      <c r="F12826" t="s">
        <v>413</v>
      </c>
      <c r="G12826">
        <v>10273</v>
      </c>
      <c r="H12826">
        <v>10273</v>
      </c>
      <c r="I12826">
        <v>8582</v>
      </c>
      <c r="J12826">
        <v>8582</v>
      </c>
      <c r="K12826">
        <v>3018</v>
      </c>
      <c r="L12826">
        <v>9</v>
      </c>
      <c r="M12826">
        <v>7101</v>
      </c>
      <c r="N12826">
        <v>145</v>
      </c>
      <c r="O12826">
        <v>0</v>
      </c>
      <c r="P12826">
        <v>224</v>
      </c>
      <c r="Q12826">
        <v>28</v>
      </c>
    </row>
    <row r="12827" spans="1:17" x14ac:dyDescent="0.2">
      <c r="A12827" s="121">
        <v>43465</v>
      </c>
      <c r="B12827" t="s">
        <v>406</v>
      </c>
      <c r="C12827" t="s">
        <v>562</v>
      </c>
      <c r="D12827" t="s">
        <v>569</v>
      </c>
      <c r="E12827" t="s">
        <v>570</v>
      </c>
      <c r="F12827" t="s">
        <v>413</v>
      </c>
      <c r="G12827">
        <v>4649</v>
      </c>
      <c r="H12827">
        <v>4649</v>
      </c>
      <c r="I12827">
        <v>4298</v>
      </c>
      <c r="J12827">
        <v>4298</v>
      </c>
      <c r="K12827">
        <v>724</v>
      </c>
      <c r="L12827">
        <v>0</v>
      </c>
      <c r="M12827">
        <v>3925</v>
      </c>
      <c r="N12827">
        <v>0</v>
      </c>
      <c r="O12827">
        <v>0</v>
      </c>
      <c r="P12827">
        <v>12</v>
      </c>
      <c r="Q12827">
        <v>0</v>
      </c>
    </row>
    <row r="12828" spans="1:17" x14ac:dyDescent="0.2">
      <c r="A12828" s="121">
        <v>43465</v>
      </c>
      <c r="B12828" t="s">
        <v>406</v>
      </c>
      <c r="C12828" t="s">
        <v>571</v>
      </c>
      <c r="D12828" t="s">
        <v>572</v>
      </c>
      <c r="E12828" t="s">
        <v>627</v>
      </c>
      <c r="F12828" t="s">
        <v>413</v>
      </c>
      <c r="G12828">
        <v>535</v>
      </c>
      <c r="H12828">
        <v>535</v>
      </c>
      <c r="I12828">
        <v>506</v>
      </c>
      <c r="J12828">
        <v>506</v>
      </c>
      <c r="K12828">
        <v>135</v>
      </c>
      <c r="L12828">
        <v>0</v>
      </c>
      <c r="M12828">
        <v>396</v>
      </c>
      <c r="N12828">
        <v>2</v>
      </c>
      <c r="O12828">
        <v>2</v>
      </c>
      <c r="P12828">
        <v>0</v>
      </c>
      <c r="Q12828">
        <v>0</v>
      </c>
    </row>
    <row r="12829" spans="1:17" x14ac:dyDescent="0.2">
      <c r="A12829" s="121">
        <v>43465</v>
      </c>
      <c r="B12829" t="s">
        <v>406</v>
      </c>
      <c r="C12829" t="s">
        <v>574</v>
      </c>
      <c r="D12829" t="s">
        <v>575</v>
      </c>
      <c r="E12829" t="s">
        <v>576</v>
      </c>
      <c r="F12829" t="s">
        <v>413</v>
      </c>
      <c r="G12829">
        <v>649</v>
      </c>
      <c r="H12829">
        <v>649</v>
      </c>
      <c r="I12829">
        <v>633</v>
      </c>
      <c r="J12829">
        <v>633</v>
      </c>
      <c r="K12829">
        <v>141</v>
      </c>
      <c r="L12829">
        <v>0</v>
      </c>
      <c r="M12829">
        <v>500</v>
      </c>
      <c r="N12829">
        <v>3</v>
      </c>
      <c r="O12829">
        <v>5</v>
      </c>
      <c r="P12829">
        <v>0</v>
      </c>
      <c r="Q12829">
        <v>0</v>
      </c>
    </row>
    <row r="12830" spans="1:17" x14ac:dyDescent="0.2">
      <c r="A12830" s="121">
        <v>43465</v>
      </c>
      <c r="B12830" t="s">
        <v>406</v>
      </c>
      <c r="C12830" t="s">
        <v>577</v>
      </c>
      <c r="D12830" t="s">
        <v>578</v>
      </c>
      <c r="E12830" t="s">
        <v>579</v>
      </c>
      <c r="F12830" t="s">
        <v>413</v>
      </c>
      <c r="G12830">
        <v>4114</v>
      </c>
      <c r="H12830">
        <v>4114</v>
      </c>
      <c r="I12830">
        <v>3942</v>
      </c>
      <c r="J12830">
        <v>3942</v>
      </c>
      <c r="K12830">
        <v>1471</v>
      </c>
      <c r="L12830">
        <v>9</v>
      </c>
      <c r="M12830">
        <v>2369</v>
      </c>
      <c r="N12830">
        <v>213</v>
      </c>
      <c r="O12830">
        <v>52</v>
      </c>
      <c r="P12830">
        <v>2</v>
      </c>
      <c r="Q12830">
        <v>0</v>
      </c>
    </row>
    <row r="12831" spans="1:17" x14ac:dyDescent="0.2">
      <c r="A12831" s="121">
        <v>43465</v>
      </c>
      <c r="B12831" t="s">
        <v>406</v>
      </c>
      <c r="C12831" t="s">
        <v>577</v>
      </c>
      <c r="D12831" t="s">
        <v>580</v>
      </c>
      <c r="E12831" t="s">
        <v>581</v>
      </c>
      <c r="F12831" t="s">
        <v>413</v>
      </c>
      <c r="G12831">
        <v>1965</v>
      </c>
      <c r="H12831">
        <v>1965</v>
      </c>
      <c r="I12831">
        <v>1919</v>
      </c>
      <c r="J12831">
        <v>1919</v>
      </c>
      <c r="K12831">
        <v>366</v>
      </c>
      <c r="L12831">
        <v>3</v>
      </c>
      <c r="M12831">
        <v>1227</v>
      </c>
      <c r="N12831">
        <v>354</v>
      </c>
      <c r="O12831">
        <v>15</v>
      </c>
      <c r="P12831">
        <v>0</v>
      </c>
      <c r="Q12831">
        <v>0</v>
      </c>
    </row>
    <row r="12832" spans="1:17" x14ac:dyDescent="0.2">
      <c r="A12832" s="121">
        <v>43465</v>
      </c>
      <c r="B12832" t="s">
        <v>406</v>
      </c>
      <c r="C12832" t="s">
        <v>577</v>
      </c>
      <c r="D12832" t="s">
        <v>609</v>
      </c>
      <c r="E12832" t="s">
        <v>610</v>
      </c>
      <c r="F12832" t="s">
        <v>410</v>
      </c>
      <c r="G12832">
        <v>20</v>
      </c>
      <c r="H12832">
        <v>20</v>
      </c>
      <c r="I12832">
        <v>20</v>
      </c>
      <c r="J12832">
        <v>20</v>
      </c>
      <c r="K12832">
        <v>0</v>
      </c>
      <c r="L12832">
        <v>0</v>
      </c>
      <c r="M12832">
        <v>19</v>
      </c>
      <c r="N12832">
        <v>1</v>
      </c>
      <c r="O12832">
        <v>0</v>
      </c>
      <c r="P12832">
        <v>0</v>
      </c>
      <c r="Q12832">
        <v>0</v>
      </c>
    </row>
    <row r="12833" spans="1:17" x14ac:dyDescent="0.2">
      <c r="A12833" s="121">
        <v>43465</v>
      </c>
      <c r="B12833" t="s">
        <v>406</v>
      </c>
      <c r="C12833" t="s">
        <v>577</v>
      </c>
      <c r="D12833" t="s">
        <v>584</v>
      </c>
      <c r="E12833" t="s">
        <v>585</v>
      </c>
      <c r="F12833" t="s">
        <v>410</v>
      </c>
      <c r="G12833">
        <v>258</v>
      </c>
      <c r="H12833">
        <v>258</v>
      </c>
      <c r="I12833">
        <v>258</v>
      </c>
      <c r="J12833">
        <v>258</v>
      </c>
      <c r="K12833">
        <v>0</v>
      </c>
      <c r="L12833">
        <v>0</v>
      </c>
      <c r="M12833">
        <v>247</v>
      </c>
      <c r="N12833">
        <v>11</v>
      </c>
      <c r="O12833">
        <v>0</v>
      </c>
      <c r="P12833">
        <v>0</v>
      </c>
      <c r="Q12833">
        <v>0</v>
      </c>
    </row>
    <row r="12834" spans="1:17" x14ac:dyDescent="0.2">
      <c r="A12834" s="121">
        <v>43465</v>
      </c>
      <c r="B12834" t="s">
        <v>406</v>
      </c>
      <c r="C12834" t="s">
        <v>577</v>
      </c>
      <c r="D12834" t="s">
        <v>586</v>
      </c>
      <c r="E12834" t="s">
        <v>587</v>
      </c>
      <c r="F12834" t="s">
        <v>410</v>
      </c>
      <c r="G12834">
        <v>1268</v>
      </c>
      <c r="H12834">
        <v>1268</v>
      </c>
      <c r="I12834">
        <v>1267</v>
      </c>
      <c r="J12834">
        <v>1267</v>
      </c>
      <c r="K12834">
        <v>0</v>
      </c>
      <c r="L12834">
        <v>0</v>
      </c>
      <c r="M12834">
        <v>1159</v>
      </c>
      <c r="N12834">
        <v>105</v>
      </c>
      <c r="O12834">
        <v>4</v>
      </c>
      <c r="P12834">
        <v>0</v>
      </c>
      <c r="Q12834">
        <v>0</v>
      </c>
    </row>
    <row r="12835" spans="1:17" x14ac:dyDescent="0.2">
      <c r="A12835" s="121">
        <v>43465</v>
      </c>
      <c r="B12835" t="s">
        <v>406</v>
      </c>
      <c r="C12835" t="s">
        <v>577</v>
      </c>
      <c r="D12835" t="s">
        <v>588</v>
      </c>
      <c r="E12835" t="s">
        <v>589</v>
      </c>
      <c r="F12835" t="s">
        <v>410</v>
      </c>
      <c r="G12835">
        <v>60</v>
      </c>
      <c r="H12835">
        <v>60</v>
      </c>
      <c r="I12835">
        <v>60</v>
      </c>
      <c r="J12835">
        <v>60</v>
      </c>
      <c r="K12835">
        <v>0</v>
      </c>
      <c r="L12835">
        <v>0</v>
      </c>
      <c r="M12835">
        <v>57</v>
      </c>
      <c r="N12835">
        <v>3</v>
      </c>
      <c r="O12835">
        <v>0</v>
      </c>
      <c r="P12835">
        <v>0</v>
      </c>
      <c r="Q12835">
        <v>0</v>
      </c>
    </row>
    <row r="12836" spans="1:17" x14ac:dyDescent="0.2">
      <c r="A12836" s="121">
        <v>43465</v>
      </c>
      <c r="B12836" t="s">
        <v>406</v>
      </c>
      <c r="C12836" t="s">
        <v>577</v>
      </c>
      <c r="D12836" t="s">
        <v>613</v>
      </c>
      <c r="E12836" t="s">
        <v>614</v>
      </c>
      <c r="F12836" t="s">
        <v>410</v>
      </c>
      <c r="G12836">
        <v>38</v>
      </c>
      <c r="H12836">
        <v>38</v>
      </c>
      <c r="I12836">
        <v>38</v>
      </c>
      <c r="J12836">
        <v>38</v>
      </c>
      <c r="K12836">
        <v>0</v>
      </c>
      <c r="L12836">
        <v>0</v>
      </c>
      <c r="M12836">
        <v>35</v>
      </c>
      <c r="N12836">
        <v>2</v>
      </c>
      <c r="O12836">
        <v>1</v>
      </c>
      <c r="P12836">
        <v>0</v>
      </c>
      <c r="Q12836">
        <v>0</v>
      </c>
    </row>
    <row r="12837" spans="1:17" x14ac:dyDescent="0.2">
      <c r="A12837" s="121">
        <v>43465</v>
      </c>
      <c r="B12837" t="s">
        <v>406</v>
      </c>
      <c r="C12837" t="s">
        <v>577</v>
      </c>
      <c r="D12837" t="s">
        <v>590</v>
      </c>
      <c r="E12837" t="s">
        <v>591</v>
      </c>
      <c r="F12837" t="s">
        <v>410</v>
      </c>
      <c r="G12837">
        <v>455</v>
      </c>
      <c r="H12837">
        <v>455</v>
      </c>
      <c r="I12837">
        <v>455</v>
      </c>
      <c r="J12837">
        <v>455</v>
      </c>
      <c r="K12837">
        <v>0</v>
      </c>
      <c r="L12837">
        <v>0</v>
      </c>
      <c r="M12837">
        <v>436</v>
      </c>
      <c r="N12837">
        <v>19</v>
      </c>
      <c r="O12837">
        <v>0</v>
      </c>
      <c r="P12837">
        <v>0</v>
      </c>
      <c r="Q12837">
        <v>0</v>
      </c>
    </row>
    <row r="12838" spans="1:17" x14ac:dyDescent="0.2">
      <c r="A12838" s="121">
        <v>43465</v>
      </c>
      <c r="B12838" t="s">
        <v>406</v>
      </c>
      <c r="C12838" t="s">
        <v>577</v>
      </c>
      <c r="D12838" t="s">
        <v>607</v>
      </c>
      <c r="E12838" t="s">
        <v>608</v>
      </c>
      <c r="F12838" t="s">
        <v>410</v>
      </c>
      <c r="G12838">
        <v>54</v>
      </c>
      <c r="H12838">
        <v>54</v>
      </c>
      <c r="I12838">
        <v>54</v>
      </c>
      <c r="J12838">
        <v>54</v>
      </c>
      <c r="K12838">
        <v>0</v>
      </c>
      <c r="L12838">
        <v>0</v>
      </c>
      <c r="M12838">
        <v>51</v>
      </c>
      <c r="N12838">
        <v>3</v>
      </c>
      <c r="O12838">
        <v>0</v>
      </c>
      <c r="P12838">
        <v>0</v>
      </c>
      <c r="Q12838">
        <v>0</v>
      </c>
    </row>
    <row r="12839" spans="1:17" x14ac:dyDescent="0.2">
      <c r="A12839" s="121">
        <v>43465</v>
      </c>
      <c r="B12839" t="s">
        <v>406</v>
      </c>
      <c r="C12839" t="s">
        <v>577</v>
      </c>
      <c r="D12839" t="s">
        <v>592</v>
      </c>
      <c r="E12839" t="s">
        <v>593</v>
      </c>
      <c r="F12839" t="s">
        <v>410</v>
      </c>
      <c r="G12839">
        <v>204</v>
      </c>
      <c r="H12839">
        <v>204</v>
      </c>
      <c r="I12839">
        <v>204</v>
      </c>
      <c r="J12839">
        <v>204</v>
      </c>
      <c r="K12839">
        <v>0</v>
      </c>
      <c r="L12839">
        <v>1</v>
      </c>
      <c r="M12839">
        <v>191</v>
      </c>
      <c r="N12839">
        <v>12</v>
      </c>
      <c r="O12839">
        <v>0</v>
      </c>
      <c r="P12839">
        <v>0</v>
      </c>
      <c r="Q12839">
        <v>0</v>
      </c>
    </row>
    <row r="12840" spans="1:17" x14ac:dyDescent="0.2">
      <c r="A12840" s="121">
        <v>43465</v>
      </c>
      <c r="B12840" t="s">
        <v>406</v>
      </c>
      <c r="C12840" t="s">
        <v>594</v>
      </c>
      <c r="D12840" t="s">
        <v>595</v>
      </c>
      <c r="E12840" t="s">
        <v>596</v>
      </c>
      <c r="F12840" t="s">
        <v>410</v>
      </c>
      <c r="G12840">
        <v>45</v>
      </c>
      <c r="I12840">
        <v>45</v>
      </c>
    </row>
    <row r="12841" spans="1:17" x14ac:dyDescent="0.2">
      <c r="A12841" s="121">
        <v>43465</v>
      </c>
      <c r="B12841" t="s">
        <v>406</v>
      </c>
      <c r="C12841" t="s">
        <v>594</v>
      </c>
      <c r="D12841" t="s">
        <v>597</v>
      </c>
      <c r="E12841" t="s">
        <v>598</v>
      </c>
      <c r="F12841" t="s">
        <v>413</v>
      </c>
      <c r="G12841">
        <v>546</v>
      </c>
      <c r="H12841">
        <v>546</v>
      </c>
      <c r="I12841">
        <v>540</v>
      </c>
      <c r="J12841">
        <v>540</v>
      </c>
      <c r="K12841">
        <v>157</v>
      </c>
      <c r="L12841">
        <v>0</v>
      </c>
      <c r="M12841">
        <v>364</v>
      </c>
      <c r="N12841">
        <v>10</v>
      </c>
      <c r="O12841">
        <v>15</v>
      </c>
      <c r="P12841">
        <v>0</v>
      </c>
      <c r="Q12841">
        <v>0</v>
      </c>
    </row>
    <row r="12842" spans="1:17" x14ac:dyDescent="0.2">
      <c r="A12842" s="121">
        <v>43465</v>
      </c>
      <c r="B12842" t="s">
        <v>406</v>
      </c>
      <c r="C12842" t="s">
        <v>594</v>
      </c>
      <c r="D12842" t="s">
        <v>599</v>
      </c>
      <c r="E12842" t="s">
        <v>600</v>
      </c>
      <c r="F12842" t="s">
        <v>410</v>
      </c>
      <c r="G12842">
        <v>147</v>
      </c>
      <c r="H12842">
        <v>147</v>
      </c>
      <c r="I12842">
        <v>146</v>
      </c>
      <c r="J12842">
        <v>146</v>
      </c>
      <c r="K12842">
        <v>15</v>
      </c>
      <c r="L12842">
        <v>0</v>
      </c>
      <c r="M12842">
        <v>130</v>
      </c>
      <c r="N12842">
        <v>1</v>
      </c>
      <c r="O12842">
        <v>1</v>
      </c>
      <c r="P12842">
        <v>0</v>
      </c>
      <c r="Q12842">
        <v>0</v>
      </c>
    </row>
    <row r="12843" spans="1:17" x14ac:dyDescent="0.2">
      <c r="A12843" s="121">
        <v>43496</v>
      </c>
      <c r="B12843" t="s">
        <v>406</v>
      </c>
      <c r="C12843" t="s">
        <v>407</v>
      </c>
      <c r="D12843" t="s">
        <v>408</v>
      </c>
      <c r="E12843" t="s">
        <v>409</v>
      </c>
      <c r="F12843" t="s">
        <v>410</v>
      </c>
      <c r="G12843">
        <v>172</v>
      </c>
      <c r="I12843">
        <v>168</v>
      </c>
    </row>
    <row r="12844" spans="1:17" x14ac:dyDescent="0.2">
      <c r="A12844" s="121">
        <v>43496</v>
      </c>
      <c r="B12844" t="s">
        <v>406</v>
      </c>
      <c r="C12844" t="s">
        <v>407</v>
      </c>
      <c r="D12844" t="s">
        <v>601</v>
      </c>
      <c r="E12844" t="s">
        <v>602</v>
      </c>
      <c r="F12844" t="s">
        <v>410</v>
      </c>
      <c r="G12844">
        <v>83</v>
      </c>
      <c r="I12844">
        <v>83</v>
      </c>
    </row>
    <row r="12845" spans="1:17" x14ac:dyDescent="0.2">
      <c r="A12845" s="121">
        <v>43496</v>
      </c>
      <c r="B12845" t="s">
        <v>406</v>
      </c>
      <c r="C12845" t="s">
        <v>407</v>
      </c>
      <c r="D12845" t="s">
        <v>411</v>
      </c>
      <c r="E12845" t="s">
        <v>412</v>
      </c>
      <c r="F12845" t="s">
        <v>413</v>
      </c>
      <c r="G12845">
        <v>6098</v>
      </c>
      <c r="H12845">
        <v>6098</v>
      </c>
      <c r="I12845">
        <v>5418</v>
      </c>
      <c r="J12845">
        <v>5418</v>
      </c>
      <c r="K12845">
        <v>2163</v>
      </c>
      <c r="L12845">
        <v>7</v>
      </c>
      <c r="M12845">
        <v>3600</v>
      </c>
      <c r="N12845">
        <v>78</v>
      </c>
      <c r="O12845">
        <v>250</v>
      </c>
      <c r="P12845">
        <v>203</v>
      </c>
      <c r="Q12845">
        <v>82</v>
      </c>
    </row>
    <row r="12846" spans="1:17" x14ac:dyDescent="0.2">
      <c r="A12846" s="121">
        <v>43496</v>
      </c>
      <c r="B12846" t="s">
        <v>406</v>
      </c>
      <c r="C12846" t="s">
        <v>407</v>
      </c>
      <c r="D12846" t="s">
        <v>416</v>
      </c>
      <c r="E12846" t="s">
        <v>417</v>
      </c>
      <c r="F12846" t="s">
        <v>413</v>
      </c>
      <c r="G12846">
        <v>3173</v>
      </c>
      <c r="H12846">
        <v>3173</v>
      </c>
      <c r="I12846">
        <v>2692</v>
      </c>
      <c r="J12846">
        <v>2692</v>
      </c>
      <c r="K12846">
        <v>964</v>
      </c>
      <c r="L12846">
        <v>7</v>
      </c>
      <c r="M12846">
        <v>2065</v>
      </c>
      <c r="N12846">
        <v>75</v>
      </c>
      <c r="O12846">
        <v>62</v>
      </c>
      <c r="P12846">
        <v>168</v>
      </c>
      <c r="Q12846">
        <v>67</v>
      </c>
    </row>
    <row r="12847" spans="1:17" x14ac:dyDescent="0.2">
      <c r="A12847" s="121">
        <v>43496</v>
      </c>
      <c r="B12847" t="s">
        <v>406</v>
      </c>
      <c r="C12847" t="s">
        <v>407</v>
      </c>
      <c r="D12847" t="s">
        <v>618</v>
      </c>
      <c r="E12847" t="s">
        <v>619</v>
      </c>
      <c r="F12847" t="s">
        <v>410</v>
      </c>
      <c r="G12847">
        <v>69</v>
      </c>
      <c r="I12847">
        <v>68</v>
      </c>
    </row>
    <row r="12848" spans="1:17" x14ac:dyDescent="0.2">
      <c r="A12848" s="121">
        <v>43496</v>
      </c>
      <c r="B12848" t="s">
        <v>406</v>
      </c>
      <c r="C12848" t="s">
        <v>418</v>
      </c>
      <c r="D12848" t="s">
        <v>419</v>
      </c>
      <c r="E12848" t="s">
        <v>420</v>
      </c>
      <c r="F12848" t="s">
        <v>410</v>
      </c>
      <c r="G12848">
        <v>2</v>
      </c>
      <c r="I12848">
        <v>2</v>
      </c>
    </row>
    <row r="12849" spans="1:17" x14ac:dyDescent="0.2">
      <c r="A12849" s="121">
        <v>43496</v>
      </c>
      <c r="B12849" t="s">
        <v>406</v>
      </c>
      <c r="C12849" t="s">
        <v>418</v>
      </c>
      <c r="D12849" t="s">
        <v>421</v>
      </c>
      <c r="E12849" t="s">
        <v>422</v>
      </c>
      <c r="F12849" t="s">
        <v>410</v>
      </c>
      <c r="G12849">
        <v>55</v>
      </c>
      <c r="I12849">
        <v>55</v>
      </c>
    </row>
    <row r="12850" spans="1:17" x14ac:dyDescent="0.2">
      <c r="A12850" s="121">
        <v>43496</v>
      </c>
      <c r="B12850" t="s">
        <v>406</v>
      </c>
      <c r="C12850" t="s">
        <v>418</v>
      </c>
      <c r="D12850" t="s">
        <v>423</v>
      </c>
      <c r="E12850" t="s">
        <v>424</v>
      </c>
      <c r="F12850" t="s">
        <v>410</v>
      </c>
      <c r="G12850">
        <v>7</v>
      </c>
      <c r="I12850">
        <v>7</v>
      </c>
    </row>
    <row r="12851" spans="1:17" x14ac:dyDescent="0.2">
      <c r="A12851" s="121">
        <v>43496</v>
      </c>
      <c r="B12851" t="s">
        <v>406</v>
      </c>
      <c r="C12851" t="s">
        <v>418</v>
      </c>
      <c r="D12851" t="s">
        <v>425</v>
      </c>
      <c r="E12851" t="s">
        <v>426</v>
      </c>
      <c r="F12851" t="s">
        <v>410</v>
      </c>
      <c r="G12851">
        <v>33</v>
      </c>
      <c r="I12851">
        <v>33</v>
      </c>
    </row>
    <row r="12852" spans="1:17" x14ac:dyDescent="0.2">
      <c r="A12852" s="121">
        <v>43496</v>
      </c>
      <c r="B12852" t="s">
        <v>406</v>
      </c>
      <c r="C12852" t="s">
        <v>418</v>
      </c>
      <c r="D12852" t="s">
        <v>427</v>
      </c>
      <c r="E12852" t="s">
        <v>428</v>
      </c>
      <c r="F12852" t="s">
        <v>413</v>
      </c>
      <c r="G12852">
        <v>2575</v>
      </c>
      <c r="H12852">
        <v>2575</v>
      </c>
      <c r="I12852">
        <v>2397</v>
      </c>
      <c r="J12852">
        <v>2397</v>
      </c>
      <c r="K12852">
        <v>940</v>
      </c>
      <c r="L12852">
        <v>7</v>
      </c>
      <c r="M12852">
        <v>1411</v>
      </c>
      <c r="N12852">
        <v>210</v>
      </c>
      <c r="O12852">
        <v>7</v>
      </c>
      <c r="P12852">
        <v>19</v>
      </c>
      <c r="Q12852">
        <v>2</v>
      </c>
    </row>
    <row r="12853" spans="1:17" x14ac:dyDescent="0.2">
      <c r="A12853" s="121">
        <v>43496</v>
      </c>
      <c r="B12853" t="s">
        <v>406</v>
      </c>
      <c r="C12853" t="s">
        <v>429</v>
      </c>
      <c r="D12853" t="s">
        <v>430</v>
      </c>
      <c r="E12853" t="s">
        <v>431</v>
      </c>
      <c r="F12853" t="s">
        <v>410</v>
      </c>
      <c r="G12853">
        <v>16</v>
      </c>
      <c r="I12853">
        <v>16</v>
      </c>
    </row>
    <row r="12854" spans="1:17" x14ac:dyDescent="0.2">
      <c r="A12854" s="121">
        <v>43496</v>
      </c>
      <c r="B12854" t="s">
        <v>406</v>
      </c>
      <c r="C12854" t="s">
        <v>429</v>
      </c>
      <c r="D12854" t="s">
        <v>432</v>
      </c>
      <c r="E12854" t="s">
        <v>433</v>
      </c>
      <c r="F12854" t="s">
        <v>410</v>
      </c>
      <c r="G12854">
        <v>30</v>
      </c>
      <c r="I12854">
        <v>30</v>
      </c>
    </row>
    <row r="12855" spans="1:17" x14ac:dyDescent="0.2">
      <c r="A12855" s="121">
        <v>43496</v>
      </c>
      <c r="B12855" t="s">
        <v>406</v>
      </c>
      <c r="C12855" t="s">
        <v>429</v>
      </c>
      <c r="D12855" t="s">
        <v>434</v>
      </c>
      <c r="E12855" t="s">
        <v>435</v>
      </c>
      <c r="F12855" t="s">
        <v>410</v>
      </c>
      <c r="G12855">
        <v>1</v>
      </c>
      <c r="I12855">
        <v>1</v>
      </c>
    </row>
    <row r="12856" spans="1:17" x14ac:dyDescent="0.2">
      <c r="A12856" s="121">
        <v>43496</v>
      </c>
      <c r="B12856" t="s">
        <v>406</v>
      </c>
      <c r="C12856" t="s">
        <v>429</v>
      </c>
      <c r="D12856" t="s">
        <v>436</v>
      </c>
      <c r="E12856" t="s">
        <v>437</v>
      </c>
      <c r="F12856" t="s">
        <v>410</v>
      </c>
      <c r="G12856">
        <v>11</v>
      </c>
      <c r="H12856">
        <v>11</v>
      </c>
      <c r="I12856">
        <v>11</v>
      </c>
      <c r="J12856">
        <v>11</v>
      </c>
      <c r="K12856">
        <v>0</v>
      </c>
      <c r="L12856">
        <v>0</v>
      </c>
      <c r="M12856">
        <v>11</v>
      </c>
      <c r="N12856">
        <v>0</v>
      </c>
      <c r="O12856">
        <v>0</v>
      </c>
      <c r="P12856">
        <v>0</v>
      </c>
      <c r="Q12856">
        <v>0</v>
      </c>
    </row>
    <row r="12857" spans="1:17" x14ac:dyDescent="0.2">
      <c r="A12857" s="121">
        <v>43496</v>
      </c>
      <c r="B12857" t="s">
        <v>406</v>
      </c>
      <c r="C12857" t="s">
        <v>429</v>
      </c>
      <c r="D12857" t="s">
        <v>438</v>
      </c>
      <c r="E12857" t="s">
        <v>439</v>
      </c>
      <c r="F12857" t="s">
        <v>413</v>
      </c>
      <c r="G12857">
        <v>1041</v>
      </c>
      <c r="H12857">
        <v>1041</v>
      </c>
      <c r="I12857">
        <v>969</v>
      </c>
      <c r="J12857">
        <v>969</v>
      </c>
      <c r="K12857">
        <v>72</v>
      </c>
      <c r="L12857">
        <v>0</v>
      </c>
      <c r="M12857">
        <v>886</v>
      </c>
      <c r="N12857">
        <v>67</v>
      </c>
      <c r="O12857">
        <v>16</v>
      </c>
      <c r="P12857">
        <v>7</v>
      </c>
      <c r="Q12857">
        <v>0</v>
      </c>
    </row>
    <row r="12858" spans="1:17" x14ac:dyDescent="0.2">
      <c r="A12858" s="121">
        <v>43496</v>
      </c>
      <c r="B12858" t="s">
        <v>406</v>
      </c>
      <c r="C12858" t="s">
        <v>429</v>
      </c>
      <c r="D12858" t="s">
        <v>440</v>
      </c>
      <c r="E12858" t="s">
        <v>441</v>
      </c>
      <c r="F12858" t="s">
        <v>413</v>
      </c>
      <c r="G12858">
        <v>2653</v>
      </c>
      <c r="H12858">
        <v>2653</v>
      </c>
      <c r="I12858">
        <v>2357</v>
      </c>
      <c r="J12858">
        <v>2357</v>
      </c>
      <c r="K12858">
        <v>901</v>
      </c>
      <c r="L12858">
        <v>5</v>
      </c>
      <c r="M12858">
        <v>1608</v>
      </c>
      <c r="N12858">
        <v>94</v>
      </c>
      <c r="O12858">
        <v>45</v>
      </c>
      <c r="P12858">
        <v>29</v>
      </c>
      <c r="Q12858">
        <v>2</v>
      </c>
    </row>
    <row r="12859" spans="1:17" x14ac:dyDescent="0.2">
      <c r="A12859" s="121">
        <v>43496</v>
      </c>
      <c r="B12859" t="s">
        <v>406</v>
      </c>
      <c r="C12859" t="s">
        <v>442</v>
      </c>
      <c r="D12859" t="s">
        <v>443</v>
      </c>
      <c r="E12859" t="s">
        <v>444</v>
      </c>
      <c r="F12859" t="s">
        <v>413</v>
      </c>
      <c r="G12859">
        <v>5515</v>
      </c>
      <c r="H12859">
        <v>5515</v>
      </c>
      <c r="I12859">
        <v>4903</v>
      </c>
      <c r="J12859">
        <v>4903</v>
      </c>
      <c r="K12859">
        <v>1757</v>
      </c>
      <c r="L12859">
        <v>8</v>
      </c>
      <c r="M12859">
        <v>3582</v>
      </c>
      <c r="N12859">
        <v>115</v>
      </c>
      <c r="O12859">
        <v>53</v>
      </c>
      <c r="P12859">
        <v>41</v>
      </c>
      <c r="Q12859">
        <v>0</v>
      </c>
    </row>
    <row r="12860" spans="1:17" x14ac:dyDescent="0.2">
      <c r="A12860" s="121">
        <v>43496</v>
      </c>
      <c r="B12860" t="s">
        <v>406</v>
      </c>
      <c r="C12860" t="s">
        <v>442</v>
      </c>
      <c r="D12860" t="s">
        <v>445</v>
      </c>
      <c r="E12860" t="s">
        <v>446</v>
      </c>
      <c r="F12860" t="s">
        <v>410</v>
      </c>
      <c r="G12860">
        <v>132</v>
      </c>
      <c r="H12860">
        <v>132</v>
      </c>
      <c r="I12860">
        <v>132</v>
      </c>
      <c r="J12860">
        <v>132</v>
      </c>
      <c r="K12860">
        <v>2</v>
      </c>
      <c r="L12860">
        <v>0</v>
      </c>
      <c r="M12860">
        <v>121</v>
      </c>
      <c r="N12860">
        <v>6</v>
      </c>
      <c r="O12860">
        <v>3</v>
      </c>
      <c r="P12860">
        <v>0</v>
      </c>
      <c r="Q12860">
        <v>0</v>
      </c>
    </row>
    <row r="12861" spans="1:17" x14ac:dyDescent="0.2">
      <c r="A12861" s="121">
        <v>43496</v>
      </c>
      <c r="B12861" t="s">
        <v>406</v>
      </c>
      <c r="C12861" t="s">
        <v>442</v>
      </c>
      <c r="D12861" t="s">
        <v>447</v>
      </c>
      <c r="E12861" t="s">
        <v>448</v>
      </c>
      <c r="F12861" t="s">
        <v>410</v>
      </c>
      <c r="G12861">
        <v>203</v>
      </c>
      <c r="H12861">
        <v>203</v>
      </c>
      <c r="I12861">
        <v>203</v>
      </c>
      <c r="J12861">
        <v>203</v>
      </c>
      <c r="K12861">
        <v>0</v>
      </c>
      <c r="L12861">
        <v>0</v>
      </c>
      <c r="M12861">
        <v>192</v>
      </c>
      <c r="N12861">
        <v>11</v>
      </c>
      <c r="O12861">
        <v>0</v>
      </c>
      <c r="P12861">
        <v>0</v>
      </c>
      <c r="Q12861">
        <v>0</v>
      </c>
    </row>
    <row r="12862" spans="1:17" x14ac:dyDescent="0.2">
      <c r="A12862" s="121">
        <v>43496</v>
      </c>
      <c r="B12862" t="s">
        <v>406</v>
      </c>
      <c r="C12862" t="s">
        <v>442</v>
      </c>
      <c r="D12862" t="s">
        <v>449</v>
      </c>
      <c r="E12862" t="s">
        <v>624</v>
      </c>
      <c r="F12862" t="s">
        <v>410</v>
      </c>
      <c r="G12862">
        <v>1547</v>
      </c>
      <c r="H12862">
        <v>1547</v>
      </c>
      <c r="I12862">
        <v>1547</v>
      </c>
      <c r="J12862">
        <v>1547</v>
      </c>
      <c r="K12862">
        <v>18</v>
      </c>
      <c r="L12862">
        <v>0</v>
      </c>
      <c r="M12862">
        <v>1385</v>
      </c>
      <c r="N12862">
        <v>135</v>
      </c>
      <c r="O12862">
        <v>9</v>
      </c>
      <c r="P12862">
        <v>0</v>
      </c>
      <c r="Q12862">
        <v>0</v>
      </c>
    </row>
    <row r="12863" spans="1:17" x14ac:dyDescent="0.2">
      <c r="A12863" s="121">
        <v>43496</v>
      </c>
      <c r="B12863" t="s">
        <v>406</v>
      </c>
      <c r="C12863" t="s">
        <v>451</v>
      </c>
      <c r="D12863" t="s">
        <v>454</v>
      </c>
      <c r="E12863" t="s">
        <v>621</v>
      </c>
      <c r="F12863" t="s">
        <v>410</v>
      </c>
      <c r="G12863">
        <v>1501</v>
      </c>
      <c r="H12863">
        <v>1501</v>
      </c>
      <c r="I12863">
        <v>1499</v>
      </c>
      <c r="J12863">
        <v>1499</v>
      </c>
      <c r="K12863">
        <v>2</v>
      </c>
      <c r="L12863">
        <v>0</v>
      </c>
      <c r="M12863">
        <v>1143</v>
      </c>
      <c r="N12863">
        <v>124</v>
      </c>
      <c r="O12863">
        <v>232</v>
      </c>
      <c r="P12863">
        <v>0</v>
      </c>
      <c r="Q12863">
        <v>0</v>
      </c>
    </row>
    <row r="12864" spans="1:17" x14ac:dyDescent="0.2">
      <c r="A12864" s="121">
        <v>43496</v>
      </c>
      <c r="B12864" t="s">
        <v>406</v>
      </c>
      <c r="C12864" t="s">
        <v>451</v>
      </c>
      <c r="D12864" t="s">
        <v>622</v>
      </c>
      <c r="E12864" t="s">
        <v>623</v>
      </c>
      <c r="F12864" t="s">
        <v>413</v>
      </c>
      <c r="G12864">
        <v>5416</v>
      </c>
      <c r="H12864">
        <v>5416</v>
      </c>
      <c r="I12864">
        <v>4179</v>
      </c>
      <c r="J12864">
        <v>4179</v>
      </c>
      <c r="K12864">
        <v>1562</v>
      </c>
      <c r="L12864">
        <v>6</v>
      </c>
      <c r="M12864">
        <v>3030</v>
      </c>
      <c r="N12864">
        <v>61</v>
      </c>
      <c r="O12864">
        <v>757</v>
      </c>
      <c r="P12864">
        <v>273</v>
      </c>
      <c r="Q12864">
        <v>49</v>
      </c>
    </row>
    <row r="12865" spans="1:17" x14ac:dyDescent="0.2">
      <c r="A12865" s="121">
        <v>43496</v>
      </c>
      <c r="B12865" t="s">
        <v>406</v>
      </c>
      <c r="C12865" t="s">
        <v>456</v>
      </c>
      <c r="D12865" t="s">
        <v>457</v>
      </c>
      <c r="E12865" t="s">
        <v>458</v>
      </c>
      <c r="F12865" t="s">
        <v>413</v>
      </c>
      <c r="G12865">
        <v>4970</v>
      </c>
      <c r="H12865">
        <v>4970</v>
      </c>
      <c r="I12865">
        <v>4282</v>
      </c>
      <c r="J12865">
        <v>4282</v>
      </c>
      <c r="K12865">
        <v>1401</v>
      </c>
      <c r="L12865">
        <v>21</v>
      </c>
      <c r="M12865">
        <v>3211</v>
      </c>
      <c r="N12865">
        <v>18</v>
      </c>
      <c r="O12865">
        <v>319</v>
      </c>
      <c r="P12865">
        <v>37</v>
      </c>
      <c r="Q12865">
        <v>5</v>
      </c>
    </row>
    <row r="12866" spans="1:17" x14ac:dyDescent="0.2">
      <c r="A12866" s="121">
        <v>43496</v>
      </c>
      <c r="B12866" t="s">
        <v>406</v>
      </c>
      <c r="C12866" t="s">
        <v>456</v>
      </c>
      <c r="D12866" t="s">
        <v>459</v>
      </c>
      <c r="E12866" t="s">
        <v>460</v>
      </c>
      <c r="F12866" t="s">
        <v>413</v>
      </c>
      <c r="G12866">
        <v>1316</v>
      </c>
      <c r="H12866">
        <v>1316</v>
      </c>
      <c r="I12866">
        <v>1294</v>
      </c>
      <c r="J12866">
        <v>1294</v>
      </c>
      <c r="K12866">
        <v>114</v>
      </c>
      <c r="L12866">
        <v>1</v>
      </c>
      <c r="M12866">
        <v>1113</v>
      </c>
      <c r="N12866">
        <v>0</v>
      </c>
      <c r="O12866">
        <v>88</v>
      </c>
      <c r="P12866">
        <v>1</v>
      </c>
      <c r="Q12866">
        <v>0</v>
      </c>
    </row>
    <row r="12867" spans="1:17" x14ac:dyDescent="0.2">
      <c r="A12867" s="121">
        <v>43496</v>
      </c>
      <c r="B12867" t="s">
        <v>406</v>
      </c>
      <c r="C12867" t="s">
        <v>456</v>
      </c>
      <c r="D12867" t="s">
        <v>461</v>
      </c>
      <c r="E12867" t="s">
        <v>462</v>
      </c>
      <c r="F12867" t="s">
        <v>410</v>
      </c>
      <c r="G12867">
        <v>81</v>
      </c>
      <c r="I12867">
        <v>81</v>
      </c>
    </row>
    <row r="12868" spans="1:17" x14ac:dyDescent="0.2">
      <c r="A12868" s="121">
        <v>43496</v>
      </c>
      <c r="B12868" t="s">
        <v>406</v>
      </c>
      <c r="C12868" t="s">
        <v>456</v>
      </c>
      <c r="D12868" t="s">
        <v>463</v>
      </c>
      <c r="E12868" t="s">
        <v>464</v>
      </c>
      <c r="F12868" t="s">
        <v>410</v>
      </c>
      <c r="G12868">
        <v>4</v>
      </c>
      <c r="I12868">
        <v>4</v>
      </c>
    </row>
    <row r="12869" spans="1:17" x14ac:dyDescent="0.2">
      <c r="A12869" s="121">
        <v>43496</v>
      </c>
      <c r="B12869" t="s">
        <v>406</v>
      </c>
      <c r="C12869" t="s">
        <v>456</v>
      </c>
      <c r="D12869" t="s">
        <v>465</v>
      </c>
      <c r="E12869" t="s">
        <v>466</v>
      </c>
      <c r="F12869" t="s">
        <v>410</v>
      </c>
      <c r="G12869">
        <v>23</v>
      </c>
      <c r="I12869">
        <v>23</v>
      </c>
    </row>
    <row r="12870" spans="1:17" x14ac:dyDescent="0.2">
      <c r="A12870" s="121">
        <v>43496</v>
      </c>
      <c r="B12870" t="s">
        <v>406</v>
      </c>
      <c r="C12870" t="s">
        <v>456</v>
      </c>
      <c r="D12870" t="s">
        <v>467</v>
      </c>
      <c r="E12870" t="s">
        <v>468</v>
      </c>
      <c r="F12870" t="s">
        <v>410</v>
      </c>
      <c r="G12870">
        <v>1291</v>
      </c>
      <c r="I12870">
        <v>1291</v>
      </c>
    </row>
    <row r="12871" spans="1:17" x14ac:dyDescent="0.2">
      <c r="A12871" s="121">
        <v>43496</v>
      </c>
      <c r="B12871" t="s">
        <v>406</v>
      </c>
      <c r="C12871" t="s">
        <v>456</v>
      </c>
      <c r="D12871" t="s">
        <v>469</v>
      </c>
      <c r="E12871" t="s">
        <v>470</v>
      </c>
      <c r="F12871" t="s">
        <v>410</v>
      </c>
      <c r="G12871">
        <v>621</v>
      </c>
      <c r="I12871">
        <v>619</v>
      </c>
    </row>
    <row r="12872" spans="1:17" x14ac:dyDescent="0.2">
      <c r="A12872" s="121">
        <v>43496</v>
      </c>
      <c r="B12872" t="s">
        <v>406</v>
      </c>
      <c r="C12872" t="s">
        <v>456</v>
      </c>
      <c r="D12872" t="s">
        <v>471</v>
      </c>
      <c r="E12872" t="s">
        <v>472</v>
      </c>
      <c r="F12872" t="s">
        <v>410</v>
      </c>
      <c r="G12872">
        <v>218</v>
      </c>
      <c r="I12872">
        <v>216</v>
      </c>
    </row>
    <row r="12873" spans="1:17" x14ac:dyDescent="0.2">
      <c r="A12873" s="121">
        <v>43496</v>
      </c>
      <c r="B12873" t="s">
        <v>406</v>
      </c>
      <c r="C12873" t="s">
        <v>456</v>
      </c>
      <c r="D12873" t="s">
        <v>473</v>
      </c>
      <c r="E12873" t="s">
        <v>474</v>
      </c>
      <c r="F12873" t="s">
        <v>410</v>
      </c>
      <c r="G12873">
        <v>126</v>
      </c>
      <c r="I12873">
        <v>126</v>
      </c>
    </row>
    <row r="12874" spans="1:17" x14ac:dyDescent="0.2">
      <c r="A12874" s="121">
        <v>43496</v>
      </c>
      <c r="B12874" t="s">
        <v>406</v>
      </c>
      <c r="C12874" t="s">
        <v>456</v>
      </c>
      <c r="D12874" t="s">
        <v>475</v>
      </c>
      <c r="E12874" t="s">
        <v>476</v>
      </c>
      <c r="F12874" t="s">
        <v>410</v>
      </c>
      <c r="G12874">
        <v>247</v>
      </c>
      <c r="I12874">
        <v>246</v>
      </c>
    </row>
    <row r="12875" spans="1:17" x14ac:dyDescent="0.2">
      <c r="A12875" s="121">
        <v>43496</v>
      </c>
      <c r="B12875" t="s">
        <v>406</v>
      </c>
      <c r="C12875" t="s">
        <v>456</v>
      </c>
      <c r="D12875" t="s">
        <v>477</v>
      </c>
      <c r="E12875" t="s">
        <v>478</v>
      </c>
      <c r="F12875" t="s">
        <v>413</v>
      </c>
      <c r="G12875">
        <v>1950</v>
      </c>
      <c r="H12875">
        <v>1950</v>
      </c>
      <c r="I12875">
        <v>1866</v>
      </c>
      <c r="J12875">
        <v>1866</v>
      </c>
      <c r="K12875">
        <v>343</v>
      </c>
      <c r="L12875">
        <v>6</v>
      </c>
      <c r="M12875">
        <v>1576</v>
      </c>
      <c r="N12875">
        <v>21</v>
      </c>
      <c r="O12875">
        <v>4</v>
      </c>
      <c r="P12875">
        <v>1</v>
      </c>
      <c r="Q12875">
        <v>0</v>
      </c>
    </row>
    <row r="12876" spans="1:17" x14ac:dyDescent="0.2">
      <c r="A12876" s="121">
        <v>43496</v>
      </c>
      <c r="B12876" t="s">
        <v>406</v>
      </c>
      <c r="C12876" t="s">
        <v>456</v>
      </c>
      <c r="D12876" t="s">
        <v>479</v>
      </c>
      <c r="E12876" t="s">
        <v>480</v>
      </c>
      <c r="F12876" t="s">
        <v>410</v>
      </c>
      <c r="G12876">
        <v>40</v>
      </c>
      <c r="I12876">
        <v>40</v>
      </c>
    </row>
    <row r="12877" spans="1:17" x14ac:dyDescent="0.2">
      <c r="A12877" s="121">
        <v>43496</v>
      </c>
      <c r="B12877" t="s">
        <v>406</v>
      </c>
      <c r="C12877" t="s">
        <v>456</v>
      </c>
      <c r="D12877" t="s">
        <v>481</v>
      </c>
      <c r="E12877" t="s">
        <v>482</v>
      </c>
      <c r="F12877" t="s">
        <v>410</v>
      </c>
      <c r="G12877">
        <v>13</v>
      </c>
      <c r="I12877">
        <v>13</v>
      </c>
    </row>
    <row r="12878" spans="1:17" x14ac:dyDescent="0.2">
      <c r="A12878" s="121">
        <v>43496</v>
      </c>
      <c r="B12878" t="s">
        <v>406</v>
      </c>
      <c r="C12878" t="s">
        <v>456</v>
      </c>
      <c r="D12878" t="s">
        <v>483</v>
      </c>
      <c r="E12878" t="s">
        <v>484</v>
      </c>
      <c r="F12878" t="s">
        <v>410</v>
      </c>
      <c r="G12878">
        <v>86</v>
      </c>
      <c r="I12878">
        <v>86</v>
      </c>
    </row>
    <row r="12879" spans="1:17" x14ac:dyDescent="0.2">
      <c r="A12879" s="121">
        <v>43496</v>
      </c>
      <c r="B12879" t="s">
        <v>406</v>
      </c>
      <c r="C12879" t="s">
        <v>456</v>
      </c>
      <c r="D12879" t="s">
        <v>487</v>
      </c>
      <c r="E12879" t="s">
        <v>488</v>
      </c>
      <c r="F12879" t="s">
        <v>410</v>
      </c>
      <c r="G12879">
        <v>8</v>
      </c>
      <c r="I12879">
        <v>8</v>
      </c>
    </row>
    <row r="12880" spans="1:17" x14ac:dyDescent="0.2">
      <c r="A12880" s="121">
        <v>43496</v>
      </c>
      <c r="B12880" t="s">
        <v>406</v>
      </c>
      <c r="C12880" t="s">
        <v>456</v>
      </c>
      <c r="D12880" t="s">
        <v>489</v>
      </c>
      <c r="E12880" t="s">
        <v>490</v>
      </c>
      <c r="F12880" t="s">
        <v>410</v>
      </c>
      <c r="G12880">
        <v>79</v>
      </c>
      <c r="I12880">
        <v>79</v>
      </c>
    </row>
    <row r="12881" spans="1:17" x14ac:dyDescent="0.2">
      <c r="A12881" s="121">
        <v>43496</v>
      </c>
      <c r="B12881" t="s">
        <v>406</v>
      </c>
      <c r="C12881" t="s">
        <v>456</v>
      </c>
      <c r="D12881" t="s">
        <v>628</v>
      </c>
      <c r="E12881" t="s">
        <v>629</v>
      </c>
      <c r="F12881" t="s">
        <v>410</v>
      </c>
      <c r="G12881">
        <v>39</v>
      </c>
      <c r="I12881">
        <v>39</v>
      </c>
    </row>
    <row r="12882" spans="1:17" x14ac:dyDescent="0.2">
      <c r="A12882" s="121">
        <v>43496</v>
      </c>
      <c r="B12882" t="s">
        <v>406</v>
      </c>
      <c r="C12882" t="s">
        <v>491</v>
      </c>
      <c r="D12882" t="s">
        <v>492</v>
      </c>
      <c r="E12882" t="s">
        <v>493</v>
      </c>
      <c r="F12882" t="s">
        <v>410</v>
      </c>
      <c r="G12882">
        <v>1445</v>
      </c>
      <c r="H12882">
        <v>1445</v>
      </c>
      <c r="I12882">
        <v>1386</v>
      </c>
      <c r="J12882">
        <v>1386</v>
      </c>
      <c r="K12882">
        <v>275</v>
      </c>
      <c r="L12882">
        <v>0</v>
      </c>
      <c r="M12882">
        <v>1092</v>
      </c>
      <c r="N12882">
        <v>69</v>
      </c>
      <c r="O12882">
        <v>9</v>
      </c>
      <c r="P12882">
        <v>3</v>
      </c>
      <c r="Q12882">
        <v>0</v>
      </c>
    </row>
    <row r="12883" spans="1:17" x14ac:dyDescent="0.2">
      <c r="A12883" s="121">
        <v>43496</v>
      </c>
      <c r="B12883" t="s">
        <v>406</v>
      </c>
      <c r="C12883" t="s">
        <v>491</v>
      </c>
      <c r="D12883" t="s">
        <v>494</v>
      </c>
      <c r="E12883" t="s">
        <v>495</v>
      </c>
      <c r="F12883" t="s">
        <v>413</v>
      </c>
      <c r="G12883">
        <v>2708</v>
      </c>
      <c r="H12883">
        <v>2708</v>
      </c>
      <c r="I12883">
        <v>2351</v>
      </c>
      <c r="J12883">
        <v>2351</v>
      </c>
      <c r="K12883">
        <v>727</v>
      </c>
      <c r="L12883">
        <v>2</v>
      </c>
      <c r="M12883">
        <v>1830</v>
      </c>
      <c r="N12883">
        <v>52</v>
      </c>
      <c r="O12883">
        <v>97</v>
      </c>
      <c r="P12883">
        <v>18</v>
      </c>
      <c r="Q12883">
        <v>0</v>
      </c>
    </row>
    <row r="12884" spans="1:17" x14ac:dyDescent="0.2">
      <c r="A12884" s="121">
        <v>43496</v>
      </c>
      <c r="B12884" t="s">
        <v>406</v>
      </c>
      <c r="C12884" t="s">
        <v>491</v>
      </c>
      <c r="D12884" t="s">
        <v>496</v>
      </c>
      <c r="E12884" t="s">
        <v>497</v>
      </c>
      <c r="F12884" t="s">
        <v>413</v>
      </c>
      <c r="G12884">
        <v>5806</v>
      </c>
      <c r="H12884">
        <v>5806</v>
      </c>
      <c r="I12884">
        <v>4797</v>
      </c>
      <c r="J12884">
        <v>4797</v>
      </c>
      <c r="K12884">
        <v>1969</v>
      </c>
      <c r="L12884">
        <v>8</v>
      </c>
      <c r="M12884">
        <v>3585</v>
      </c>
      <c r="N12884">
        <v>144</v>
      </c>
      <c r="O12884">
        <v>100</v>
      </c>
      <c r="P12884">
        <v>231</v>
      </c>
      <c r="Q12884">
        <v>7</v>
      </c>
    </row>
    <row r="12885" spans="1:17" x14ac:dyDescent="0.2">
      <c r="A12885" s="121">
        <v>43496</v>
      </c>
      <c r="B12885" t="s">
        <v>406</v>
      </c>
      <c r="C12885" t="s">
        <v>491</v>
      </c>
      <c r="D12885" t="s">
        <v>498</v>
      </c>
      <c r="E12885" t="s">
        <v>499</v>
      </c>
      <c r="F12885" t="s">
        <v>413</v>
      </c>
      <c r="G12885">
        <v>8036</v>
      </c>
      <c r="H12885">
        <v>8036</v>
      </c>
      <c r="I12885">
        <v>6744</v>
      </c>
      <c r="J12885">
        <v>6744</v>
      </c>
      <c r="K12885">
        <v>2559</v>
      </c>
      <c r="L12885">
        <v>23</v>
      </c>
      <c r="M12885">
        <v>4946</v>
      </c>
      <c r="N12885">
        <v>116</v>
      </c>
      <c r="O12885">
        <v>392</v>
      </c>
      <c r="P12885">
        <v>28</v>
      </c>
      <c r="Q12885">
        <v>0</v>
      </c>
    </row>
    <row r="12886" spans="1:17" x14ac:dyDescent="0.2">
      <c r="A12886" s="121">
        <v>43496</v>
      </c>
      <c r="B12886" t="s">
        <v>406</v>
      </c>
      <c r="C12886" t="s">
        <v>491</v>
      </c>
      <c r="D12886" t="s">
        <v>500</v>
      </c>
      <c r="E12886" t="s">
        <v>620</v>
      </c>
      <c r="F12886" t="s">
        <v>410</v>
      </c>
      <c r="G12886">
        <v>1704</v>
      </c>
      <c r="H12886">
        <v>1704</v>
      </c>
      <c r="I12886">
        <v>1701</v>
      </c>
      <c r="J12886">
        <v>1701</v>
      </c>
      <c r="K12886">
        <v>0</v>
      </c>
      <c r="L12886">
        <v>0</v>
      </c>
      <c r="M12886">
        <v>1550</v>
      </c>
      <c r="N12886">
        <v>121</v>
      </c>
      <c r="O12886">
        <v>33</v>
      </c>
      <c r="P12886">
        <v>0</v>
      </c>
      <c r="Q12886">
        <v>0</v>
      </c>
    </row>
    <row r="12887" spans="1:17" x14ac:dyDescent="0.2">
      <c r="A12887" s="121">
        <v>43496</v>
      </c>
      <c r="B12887" t="s">
        <v>406</v>
      </c>
      <c r="C12887" t="s">
        <v>491</v>
      </c>
      <c r="D12887" t="s">
        <v>502</v>
      </c>
      <c r="E12887" t="s">
        <v>615</v>
      </c>
      <c r="F12887" t="s">
        <v>410</v>
      </c>
      <c r="G12887">
        <v>2734</v>
      </c>
      <c r="H12887">
        <v>2734</v>
      </c>
      <c r="I12887">
        <v>2731</v>
      </c>
      <c r="J12887">
        <v>2731</v>
      </c>
      <c r="K12887">
        <v>0</v>
      </c>
      <c r="L12887">
        <v>0</v>
      </c>
      <c r="M12887">
        <v>2462</v>
      </c>
      <c r="N12887">
        <v>200</v>
      </c>
      <c r="O12887">
        <v>72</v>
      </c>
      <c r="P12887">
        <v>1</v>
      </c>
      <c r="Q12887">
        <v>0</v>
      </c>
    </row>
    <row r="12888" spans="1:17" x14ac:dyDescent="0.2">
      <c r="A12888" s="121">
        <v>43496</v>
      </c>
      <c r="B12888" t="s">
        <v>406</v>
      </c>
      <c r="C12888" t="s">
        <v>491</v>
      </c>
      <c r="D12888" t="s">
        <v>504</v>
      </c>
      <c r="E12888" t="s">
        <v>630</v>
      </c>
      <c r="F12888" t="s">
        <v>413</v>
      </c>
      <c r="G12888">
        <v>8834</v>
      </c>
      <c r="H12888">
        <v>8834</v>
      </c>
      <c r="I12888">
        <v>7001</v>
      </c>
      <c r="J12888">
        <v>7001</v>
      </c>
      <c r="K12888">
        <v>2784</v>
      </c>
      <c r="L12888">
        <v>32</v>
      </c>
      <c r="M12888">
        <v>5645</v>
      </c>
      <c r="N12888">
        <v>74</v>
      </c>
      <c r="O12888">
        <v>299</v>
      </c>
      <c r="P12888">
        <v>267</v>
      </c>
      <c r="Q12888">
        <v>43</v>
      </c>
    </row>
    <row r="12889" spans="1:17" x14ac:dyDescent="0.2">
      <c r="A12889" s="121">
        <v>43496</v>
      </c>
      <c r="B12889" t="s">
        <v>406</v>
      </c>
      <c r="C12889" t="s">
        <v>491</v>
      </c>
      <c r="D12889" t="s">
        <v>506</v>
      </c>
      <c r="E12889" t="s">
        <v>507</v>
      </c>
      <c r="F12889" t="s">
        <v>413</v>
      </c>
      <c r="G12889">
        <v>6149</v>
      </c>
      <c r="H12889">
        <v>6149</v>
      </c>
      <c r="I12889">
        <v>5883</v>
      </c>
      <c r="J12889">
        <v>5883</v>
      </c>
      <c r="K12889">
        <v>1281</v>
      </c>
      <c r="L12889">
        <v>1</v>
      </c>
      <c r="M12889">
        <v>4806</v>
      </c>
      <c r="N12889">
        <v>0</v>
      </c>
      <c r="O12889">
        <v>61</v>
      </c>
      <c r="P12889">
        <v>0</v>
      </c>
      <c r="Q12889">
        <v>0</v>
      </c>
    </row>
    <row r="12890" spans="1:17" x14ac:dyDescent="0.2">
      <c r="A12890" s="121">
        <v>43496</v>
      </c>
      <c r="B12890" t="s">
        <v>406</v>
      </c>
      <c r="C12890" t="s">
        <v>510</v>
      </c>
      <c r="D12890" t="s">
        <v>513</v>
      </c>
      <c r="E12890" t="s">
        <v>514</v>
      </c>
      <c r="F12890" t="s">
        <v>410</v>
      </c>
      <c r="G12890">
        <v>644</v>
      </c>
      <c r="I12890">
        <v>640</v>
      </c>
    </row>
    <row r="12891" spans="1:17" x14ac:dyDescent="0.2">
      <c r="A12891" s="121">
        <v>43496</v>
      </c>
      <c r="B12891" t="s">
        <v>406</v>
      </c>
      <c r="C12891" t="s">
        <v>510</v>
      </c>
      <c r="D12891" t="s">
        <v>515</v>
      </c>
      <c r="E12891" t="s">
        <v>516</v>
      </c>
      <c r="F12891" t="s">
        <v>410</v>
      </c>
      <c r="G12891">
        <v>94</v>
      </c>
      <c r="I12891">
        <v>92</v>
      </c>
    </row>
    <row r="12892" spans="1:17" x14ac:dyDescent="0.2">
      <c r="A12892" s="121">
        <v>43496</v>
      </c>
      <c r="B12892" t="s">
        <v>406</v>
      </c>
      <c r="C12892" t="s">
        <v>510</v>
      </c>
      <c r="D12892" t="s">
        <v>519</v>
      </c>
      <c r="E12892" t="s">
        <v>520</v>
      </c>
      <c r="F12892" t="s">
        <v>410</v>
      </c>
      <c r="G12892">
        <v>337</v>
      </c>
      <c r="I12892">
        <v>330</v>
      </c>
    </row>
    <row r="12893" spans="1:17" x14ac:dyDescent="0.2">
      <c r="A12893" s="121">
        <v>43496</v>
      </c>
      <c r="B12893" t="s">
        <v>406</v>
      </c>
      <c r="C12893" t="s">
        <v>510</v>
      </c>
      <c r="D12893" t="s">
        <v>523</v>
      </c>
      <c r="E12893" t="s">
        <v>524</v>
      </c>
      <c r="F12893" t="s">
        <v>413</v>
      </c>
      <c r="G12893">
        <v>615</v>
      </c>
      <c r="H12893">
        <v>615</v>
      </c>
      <c r="I12893">
        <v>603</v>
      </c>
      <c r="J12893">
        <v>603</v>
      </c>
      <c r="K12893">
        <v>195</v>
      </c>
      <c r="L12893">
        <v>0</v>
      </c>
      <c r="M12893">
        <v>409</v>
      </c>
      <c r="N12893">
        <v>11</v>
      </c>
      <c r="O12893">
        <v>0</v>
      </c>
      <c r="P12893">
        <v>2</v>
      </c>
      <c r="Q12893">
        <v>0</v>
      </c>
    </row>
    <row r="12894" spans="1:17" x14ac:dyDescent="0.2">
      <c r="A12894" s="121">
        <v>43496</v>
      </c>
      <c r="B12894" t="s">
        <v>406</v>
      </c>
      <c r="C12894" t="s">
        <v>510</v>
      </c>
      <c r="D12894" t="s">
        <v>525</v>
      </c>
      <c r="E12894" t="s">
        <v>526</v>
      </c>
      <c r="F12894" t="s">
        <v>410</v>
      </c>
      <c r="G12894">
        <v>420</v>
      </c>
      <c r="I12894">
        <v>418</v>
      </c>
    </row>
    <row r="12895" spans="1:17" x14ac:dyDescent="0.2">
      <c r="A12895" s="121">
        <v>43496</v>
      </c>
      <c r="B12895" t="s">
        <v>406</v>
      </c>
      <c r="C12895" t="s">
        <v>510</v>
      </c>
      <c r="D12895" t="s">
        <v>527</v>
      </c>
      <c r="E12895" t="s">
        <v>528</v>
      </c>
      <c r="F12895" t="s">
        <v>410</v>
      </c>
      <c r="G12895">
        <v>161</v>
      </c>
      <c r="I12895">
        <v>160</v>
      </c>
    </row>
    <row r="12896" spans="1:17" x14ac:dyDescent="0.2">
      <c r="A12896" s="121">
        <v>43496</v>
      </c>
      <c r="B12896" t="s">
        <v>406</v>
      </c>
      <c r="C12896" t="s">
        <v>510</v>
      </c>
      <c r="D12896" t="s">
        <v>529</v>
      </c>
      <c r="E12896" t="s">
        <v>530</v>
      </c>
      <c r="F12896" t="s">
        <v>413</v>
      </c>
      <c r="G12896">
        <v>682</v>
      </c>
      <c r="H12896">
        <v>682</v>
      </c>
      <c r="I12896">
        <v>656</v>
      </c>
      <c r="J12896">
        <v>656</v>
      </c>
      <c r="K12896">
        <v>216</v>
      </c>
      <c r="L12896">
        <v>1</v>
      </c>
      <c r="M12896">
        <v>464</v>
      </c>
      <c r="N12896">
        <v>1</v>
      </c>
      <c r="O12896">
        <v>0</v>
      </c>
      <c r="P12896">
        <v>6</v>
      </c>
      <c r="Q12896">
        <v>3</v>
      </c>
    </row>
    <row r="12897" spans="1:17" x14ac:dyDescent="0.2">
      <c r="A12897" s="121">
        <v>43496</v>
      </c>
      <c r="B12897" t="s">
        <v>406</v>
      </c>
      <c r="C12897" t="s">
        <v>510</v>
      </c>
      <c r="D12897" t="s">
        <v>531</v>
      </c>
      <c r="E12897" t="s">
        <v>532</v>
      </c>
      <c r="F12897" t="s">
        <v>410</v>
      </c>
      <c r="G12897">
        <v>25</v>
      </c>
      <c r="I12897">
        <v>25</v>
      </c>
    </row>
    <row r="12898" spans="1:17" x14ac:dyDescent="0.2">
      <c r="A12898" s="121">
        <v>43496</v>
      </c>
      <c r="B12898" t="s">
        <v>406</v>
      </c>
      <c r="C12898" t="s">
        <v>510</v>
      </c>
      <c r="D12898" t="s">
        <v>533</v>
      </c>
      <c r="E12898" t="s">
        <v>534</v>
      </c>
      <c r="F12898" t="s">
        <v>413</v>
      </c>
      <c r="G12898">
        <v>2836</v>
      </c>
      <c r="H12898">
        <v>2836</v>
      </c>
      <c r="I12898">
        <v>2534</v>
      </c>
      <c r="J12898">
        <v>2534</v>
      </c>
      <c r="K12898">
        <v>709</v>
      </c>
      <c r="L12898">
        <v>4</v>
      </c>
      <c r="M12898">
        <v>2105</v>
      </c>
      <c r="N12898">
        <v>18</v>
      </c>
      <c r="O12898">
        <v>0</v>
      </c>
      <c r="P12898">
        <v>37</v>
      </c>
      <c r="Q12898">
        <v>2</v>
      </c>
    </row>
    <row r="12899" spans="1:17" x14ac:dyDescent="0.2">
      <c r="A12899" s="121">
        <v>43496</v>
      </c>
      <c r="B12899" t="s">
        <v>406</v>
      </c>
      <c r="C12899" t="s">
        <v>510</v>
      </c>
      <c r="D12899" t="s">
        <v>535</v>
      </c>
      <c r="E12899" t="s">
        <v>536</v>
      </c>
      <c r="F12899" t="s">
        <v>410</v>
      </c>
      <c r="G12899">
        <v>270</v>
      </c>
      <c r="I12899">
        <v>270</v>
      </c>
    </row>
    <row r="12900" spans="1:17" x14ac:dyDescent="0.2">
      <c r="A12900" s="121">
        <v>43496</v>
      </c>
      <c r="B12900" t="s">
        <v>406</v>
      </c>
      <c r="C12900" t="s">
        <v>510</v>
      </c>
      <c r="D12900" t="s">
        <v>537</v>
      </c>
      <c r="E12900" t="s">
        <v>538</v>
      </c>
      <c r="F12900" t="s">
        <v>410</v>
      </c>
      <c r="G12900">
        <v>41</v>
      </c>
      <c r="I12900">
        <v>41</v>
      </c>
    </row>
    <row r="12901" spans="1:17" x14ac:dyDescent="0.2">
      <c r="A12901" s="121">
        <v>43496</v>
      </c>
      <c r="B12901" t="s">
        <v>406</v>
      </c>
      <c r="C12901" t="s">
        <v>510</v>
      </c>
      <c r="D12901" t="s">
        <v>539</v>
      </c>
      <c r="E12901" t="s">
        <v>540</v>
      </c>
      <c r="F12901" t="s">
        <v>413</v>
      </c>
      <c r="G12901">
        <v>664</v>
      </c>
      <c r="H12901">
        <v>664</v>
      </c>
      <c r="I12901">
        <v>640</v>
      </c>
      <c r="J12901">
        <v>640</v>
      </c>
      <c r="K12901">
        <v>134</v>
      </c>
      <c r="L12901">
        <v>2</v>
      </c>
      <c r="M12901">
        <v>521</v>
      </c>
      <c r="N12901">
        <v>7</v>
      </c>
      <c r="O12901">
        <v>0</v>
      </c>
      <c r="P12901">
        <v>1</v>
      </c>
      <c r="Q12901">
        <v>0</v>
      </c>
    </row>
    <row r="12902" spans="1:17" x14ac:dyDescent="0.2">
      <c r="A12902" s="121">
        <v>43496</v>
      </c>
      <c r="B12902" t="s">
        <v>406</v>
      </c>
      <c r="C12902" t="s">
        <v>510</v>
      </c>
      <c r="D12902" t="s">
        <v>541</v>
      </c>
      <c r="E12902" t="s">
        <v>542</v>
      </c>
      <c r="F12902" t="s">
        <v>410</v>
      </c>
      <c r="G12902">
        <v>399</v>
      </c>
      <c r="I12902">
        <v>399</v>
      </c>
    </row>
    <row r="12903" spans="1:17" x14ac:dyDescent="0.2">
      <c r="A12903" s="121">
        <v>43496</v>
      </c>
      <c r="B12903" t="s">
        <v>406</v>
      </c>
      <c r="C12903" t="s">
        <v>510</v>
      </c>
      <c r="D12903" t="s">
        <v>543</v>
      </c>
      <c r="E12903" t="s">
        <v>544</v>
      </c>
      <c r="F12903" t="s">
        <v>410</v>
      </c>
      <c r="G12903">
        <v>168</v>
      </c>
      <c r="I12903">
        <v>168</v>
      </c>
    </row>
    <row r="12904" spans="1:17" x14ac:dyDescent="0.2">
      <c r="A12904" s="121">
        <v>43496</v>
      </c>
      <c r="B12904" t="s">
        <v>406</v>
      </c>
      <c r="C12904" t="s">
        <v>510</v>
      </c>
      <c r="D12904" t="s">
        <v>547</v>
      </c>
      <c r="E12904" t="s">
        <v>548</v>
      </c>
      <c r="F12904" t="s">
        <v>410</v>
      </c>
      <c r="G12904">
        <v>108</v>
      </c>
      <c r="I12904">
        <v>108</v>
      </c>
    </row>
    <row r="12905" spans="1:17" x14ac:dyDescent="0.2">
      <c r="A12905" s="121">
        <v>43496</v>
      </c>
      <c r="B12905" t="s">
        <v>406</v>
      </c>
      <c r="C12905" t="s">
        <v>510</v>
      </c>
      <c r="D12905" t="s">
        <v>616</v>
      </c>
      <c r="E12905" t="s">
        <v>617</v>
      </c>
      <c r="F12905" t="s">
        <v>410</v>
      </c>
      <c r="G12905">
        <v>439</v>
      </c>
      <c r="I12905">
        <v>424</v>
      </c>
    </row>
    <row r="12906" spans="1:17" x14ac:dyDescent="0.2">
      <c r="A12906" s="121">
        <v>43496</v>
      </c>
      <c r="B12906" t="s">
        <v>406</v>
      </c>
      <c r="C12906" t="s">
        <v>510</v>
      </c>
      <c r="D12906" t="s">
        <v>549</v>
      </c>
      <c r="E12906" t="s">
        <v>550</v>
      </c>
      <c r="F12906" t="s">
        <v>410</v>
      </c>
      <c r="G12906">
        <v>110</v>
      </c>
      <c r="I12906">
        <v>110</v>
      </c>
    </row>
    <row r="12907" spans="1:17" x14ac:dyDescent="0.2">
      <c r="A12907" s="121">
        <v>43496</v>
      </c>
      <c r="B12907" t="s">
        <v>406</v>
      </c>
      <c r="C12907" t="s">
        <v>510</v>
      </c>
      <c r="D12907" t="s">
        <v>625</v>
      </c>
      <c r="E12907" t="s">
        <v>626</v>
      </c>
      <c r="F12907" t="s">
        <v>410</v>
      </c>
      <c r="G12907">
        <v>63</v>
      </c>
      <c r="I12907">
        <v>62</v>
      </c>
    </row>
    <row r="12908" spans="1:17" x14ac:dyDescent="0.2">
      <c r="A12908" s="121">
        <v>43496</v>
      </c>
      <c r="B12908" t="s">
        <v>406</v>
      </c>
      <c r="C12908" t="s">
        <v>551</v>
      </c>
      <c r="D12908" t="s">
        <v>552</v>
      </c>
      <c r="E12908" t="s">
        <v>553</v>
      </c>
      <c r="F12908" t="s">
        <v>413</v>
      </c>
      <c r="G12908">
        <v>6074</v>
      </c>
      <c r="H12908">
        <v>6074</v>
      </c>
      <c r="I12908">
        <v>5642</v>
      </c>
      <c r="J12908">
        <v>5642</v>
      </c>
      <c r="K12908">
        <v>2137</v>
      </c>
      <c r="L12908">
        <v>9</v>
      </c>
      <c r="M12908">
        <v>3828</v>
      </c>
      <c r="N12908">
        <v>85</v>
      </c>
      <c r="O12908">
        <v>15</v>
      </c>
      <c r="P12908">
        <v>11</v>
      </c>
      <c r="Q12908">
        <v>1</v>
      </c>
    </row>
    <row r="12909" spans="1:17" x14ac:dyDescent="0.2">
      <c r="A12909" s="121">
        <v>43496</v>
      </c>
      <c r="B12909" t="s">
        <v>406</v>
      </c>
      <c r="C12909" t="s">
        <v>551</v>
      </c>
      <c r="D12909" t="s">
        <v>554</v>
      </c>
      <c r="E12909" t="s">
        <v>555</v>
      </c>
      <c r="F12909" t="s">
        <v>410</v>
      </c>
      <c r="G12909">
        <v>79</v>
      </c>
      <c r="I12909">
        <v>79</v>
      </c>
    </row>
    <row r="12910" spans="1:17" x14ac:dyDescent="0.2">
      <c r="A12910" s="121">
        <v>43496</v>
      </c>
      <c r="B12910" t="s">
        <v>406</v>
      </c>
      <c r="C12910" t="s">
        <v>551</v>
      </c>
      <c r="D12910" t="s">
        <v>556</v>
      </c>
      <c r="E12910" t="s">
        <v>557</v>
      </c>
      <c r="F12910" t="s">
        <v>410</v>
      </c>
      <c r="G12910">
        <v>36</v>
      </c>
      <c r="I12910">
        <v>36</v>
      </c>
    </row>
    <row r="12911" spans="1:17" x14ac:dyDescent="0.2">
      <c r="A12911" s="121">
        <v>43496</v>
      </c>
      <c r="B12911" t="s">
        <v>406</v>
      </c>
      <c r="C12911" t="s">
        <v>551</v>
      </c>
      <c r="D12911" t="s">
        <v>558</v>
      </c>
      <c r="E12911" t="s">
        <v>559</v>
      </c>
      <c r="F12911" t="s">
        <v>413</v>
      </c>
      <c r="G12911">
        <v>5705</v>
      </c>
      <c r="H12911">
        <v>5705</v>
      </c>
      <c r="I12911">
        <v>4732</v>
      </c>
      <c r="J12911">
        <v>4732</v>
      </c>
      <c r="K12911">
        <v>1769</v>
      </c>
      <c r="L12911">
        <v>10</v>
      </c>
      <c r="M12911">
        <v>3825</v>
      </c>
      <c r="N12911">
        <v>76</v>
      </c>
      <c r="O12911">
        <v>25</v>
      </c>
      <c r="P12911">
        <v>119</v>
      </c>
      <c r="Q12911">
        <v>50</v>
      </c>
    </row>
    <row r="12912" spans="1:17" x14ac:dyDescent="0.2">
      <c r="A12912" s="121">
        <v>43496</v>
      </c>
      <c r="B12912" t="s">
        <v>406</v>
      </c>
      <c r="C12912" t="s">
        <v>551</v>
      </c>
      <c r="D12912" t="s">
        <v>560</v>
      </c>
      <c r="E12912" t="s">
        <v>561</v>
      </c>
      <c r="F12912" t="s">
        <v>413</v>
      </c>
      <c r="G12912">
        <v>6127</v>
      </c>
      <c r="H12912">
        <v>6127</v>
      </c>
      <c r="I12912">
        <v>5204</v>
      </c>
      <c r="J12912">
        <v>5204</v>
      </c>
      <c r="K12912">
        <v>1909</v>
      </c>
      <c r="L12912">
        <v>7</v>
      </c>
      <c r="M12912">
        <v>4072</v>
      </c>
      <c r="N12912">
        <v>75</v>
      </c>
      <c r="O12912">
        <v>64</v>
      </c>
      <c r="P12912">
        <v>151</v>
      </c>
      <c r="Q12912">
        <v>29</v>
      </c>
    </row>
    <row r="12913" spans="1:17" x14ac:dyDescent="0.2">
      <c r="A12913" s="121">
        <v>43496</v>
      </c>
      <c r="B12913" t="s">
        <v>406</v>
      </c>
      <c r="C12913" t="s">
        <v>562</v>
      </c>
      <c r="D12913" t="s">
        <v>605</v>
      </c>
      <c r="E12913" t="s">
        <v>606</v>
      </c>
      <c r="F12913" t="s">
        <v>410</v>
      </c>
      <c r="G12913">
        <v>149</v>
      </c>
      <c r="I12913">
        <v>149</v>
      </c>
    </row>
    <row r="12914" spans="1:17" x14ac:dyDescent="0.2">
      <c r="A12914" s="121">
        <v>43496</v>
      </c>
      <c r="B12914" t="s">
        <v>406</v>
      </c>
      <c r="C12914" t="s">
        <v>562</v>
      </c>
      <c r="D12914" t="s">
        <v>563</v>
      </c>
      <c r="E12914" t="s">
        <v>564</v>
      </c>
      <c r="F12914" t="s">
        <v>410</v>
      </c>
      <c r="G12914">
        <v>4191</v>
      </c>
      <c r="H12914">
        <v>4191</v>
      </c>
      <c r="I12914">
        <v>3442</v>
      </c>
      <c r="J12914">
        <v>3442</v>
      </c>
      <c r="K12914">
        <v>1242</v>
      </c>
      <c r="L12914">
        <v>0</v>
      </c>
      <c r="M12914">
        <v>2949</v>
      </c>
      <c r="N12914">
        <v>0</v>
      </c>
      <c r="O12914">
        <v>0</v>
      </c>
      <c r="P12914">
        <v>148</v>
      </c>
      <c r="Q12914">
        <v>64</v>
      </c>
    </row>
    <row r="12915" spans="1:17" x14ac:dyDescent="0.2">
      <c r="A12915" s="121">
        <v>43496</v>
      </c>
      <c r="B12915" t="s">
        <v>406</v>
      </c>
      <c r="C12915" t="s">
        <v>562</v>
      </c>
      <c r="D12915" t="s">
        <v>565</v>
      </c>
      <c r="E12915" t="s">
        <v>566</v>
      </c>
      <c r="F12915" t="s">
        <v>413</v>
      </c>
      <c r="G12915">
        <v>4845</v>
      </c>
      <c r="H12915">
        <v>4845</v>
      </c>
      <c r="I12915">
        <v>3977</v>
      </c>
      <c r="J12915">
        <v>3977</v>
      </c>
      <c r="K12915">
        <v>1104</v>
      </c>
      <c r="L12915">
        <v>3</v>
      </c>
      <c r="M12915">
        <v>3629</v>
      </c>
      <c r="N12915">
        <v>109</v>
      </c>
      <c r="O12915">
        <v>0</v>
      </c>
      <c r="P12915">
        <v>158</v>
      </c>
      <c r="Q12915">
        <v>28</v>
      </c>
    </row>
    <row r="12916" spans="1:17" x14ac:dyDescent="0.2">
      <c r="A12916" s="121">
        <v>43496</v>
      </c>
      <c r="B12916" t="s">
        <v>406</v>
      </c>
      <c r="C12916" t="s">
        <v>562</v>
      </c>
      <c r="D12916" t="s">
        <v>567</v>
      </c>
      <c r="E12916" t="s">
        <v>568</v>
      </c>
      <c r="F12916" t="s">
        <v>413</v>
      </c>
      <c r="G12916">
        <v>10165</v>
      </c>
      <c r="H12916">
        <v>10165</v>
      </c>
      <c r="I12916">
        <v>8696</v>
      </c>
      <c r="J12916">
        <v>8696</v>
      </c>
      <c r="K12916">
        <v>2900</v>
      </c>
      <c r="L12916">
        <v>14</v>
      </c>
      <c r="M12916">
        <v>7092</v>
      </c>
      <c r="N12916">
        <v>159</v>
      </c>
      <c r="O12916">
        <v>0</v>
      </c>
      <c r="P12916">
        <v>258</v>
      </c>
      <c r="Q12916">
        <v>67</v>
      </c>
    </row>
    <row r="12917" spans="1:17" x14ac:dyDescent="0.2">
      <c r="A12917" s="121">
        <v>43496</v>
      </c>
      <c r="B12917" t="s">
        <v>406</v>
      </c>
      <c r="C12917" t="s">
        <v>562</v>
      </c>
      <c r="D12917" t="s">
        <v>569</v>
      </c>
      <c r="E12917" t="s">
        <v>570</v>
      </c>
      <c r="F12917" t="s">
        <v>413</v>
      </c>
      <c r="G12917">
        <v>4385</v>
      </c>
      <c r="H12917">
        <v>4385</v>
      </c>
      <c r="I12917">
        <v>4073</v>
      </c>
      <c r="J12917">
        <v>4073</v>
      </c>
      <c r="K12917">
        <v>664</v>
      </c>
      <c r="L12917">
        <v>0</v>
      </c>
      <c r="M12917">
        <v>3720</v>
      </c>
      <c r="N12917">
        <v>1</v>
      </c>
      <c r="O12917">
        <v>0</v>
      </c>
      <c r="P12917">
        <v>9</v>
      </c>
      <c r="Q12917">
        <v>0</v>
      </c>
    </row>
    <row r="12918" spans="1:17" x14ac:dyDescent="0.2">
      <c r="A12918" s="121">
        <v>43496</v>
      </c>
      <c r="B12918" t="s">
        <v>406</v>
      </c>
      <c r="C12918" t="s">
        <v>571</v>
      </c>
      <c r="D12918" t="s">
        <v>572</v>
      </c>
      <c r="E12918" t="s">
        <v>627</v>
      </c>
      <c r="F12918" t="s">
        <v>413</v>
      </c>
      <c r="G12918">
        <v>520</v>
      </c>
      <c r="H12918">
        <v>520</v>
      </c>
      <c r="I12918">
        <v>499</v>
      </c>
      <c r="J12918">
        <v>499</v>
      </c>
      <c r="K12918">
        <v>160</v>
      </c>
      <c r="L12918">
        <v>0</v>
      </c>
      <c r="M12918">
        <v>352</v>
      </c>
      <c r="N12918">
        <v>7</v>
      </c>
      <c r="O12918">
        <v>1</v>
      </c>
      <c r="P12918">
        <v>2</v>
      </c>
      <c r="Q12918">
        <v>2</v>
      </c>
    </row>
    <row r="12919" spans="1:17" x14ac:dyDescent="0.2">
      <c r="A12919" s="121">
        <v>43496</v>
      </c>
      <c r="B12919" t="s">
        <v>406</v>
      </c>
      <c r="C12919" t="s">
        <v>574</v>
      </c>
      <c r="D12919" t="s">
        <v>575</v>
      </c>
      <c r="E12919" t="s">
        <v>576</v>
      </c>
      <c r="F12919" t="s">
        <v>413</v>
      </c>
      <c r="G12919">
        <v>625</v>
      </c>
      <c r="H12919">
        <v>625</v>
      </c>
      <c r="I12919">
        <v>599</v>
      </c>
      <c r="J12919">
        <v>599</v>
      </c>
      <c r="K12919">
        <v>168</v>
      </c>
      <c r="L12919">
        <v>0</v>
      </c>
      <c r="M12919">
        <v>450</v>
      </c>
      <c r="N12919">
        <v>5</v>
      </c>
      <c r="O12919">
        <v>2</v>
      </c>
      <c r="P12919">
        <v>0</v>
      </c>
      <c r="Q12919">
        <v>0</v>
      </c>
    </row>
    <row r="12920" spans="1:17" x14ac:dyDescent="0.2">
      <c r="A12920" s="121">
        <v>43496</v>
      </c>
      <c r="B12920" t="s">
        <v>406</v>
      </c>
      <c r="C12920" t="s">
        <v>577</v>
      </c>
      <c r="D12920" t="s">
        <v>578</v>
      </c>
      <c r="E12920" t="s">
        <v>579</v>
      </c>
      <c r="F12920" t="s">
        <v>413</v>
      </c>
      <c r="G12920">
        <v>4009</v>
      </c>
      <c r="H12920">
        <v>4009</v>
      </c>
      <c r="I12920">
        <v>3855</v>
      </c>
      <c r="J12920">
        <v>3855</v>
      </c>
      <c r="K12920">
        <v>1372</v>
      </c>
      <c r="L12920">
        <v>3</v>
      </c>
      <c r="M12920">
        <v>2367</v>
      </c>
      <c r="N12920">
        <v>229</v>
      </c>
      <c r="O12920">
        <v>38</v>
      </c>
      <c r="P12920">
        <v>0</v>
      </c>
      <c r="Q12920">
        <v>0</v>
      </c>
    </row>
    <row r="12921" spans="1:17" x14ac:dyDescent="0.2">
      <c r="A12921" s="121">
        <v>43496</v>
      </c>
      <c r="B12921" t="s">
        <v>406</v>
      </c>
      <c r="C12921" t="s">
        <v>577</v>
      </c>
      <c r="D12921" t="s">
        <v>580</v>
      </c>
      <c r="E12921" t="s">
        <v>581</v>
      </c>
      <c r="F12921" t="s">
        <v>413</v>
      </c>
      <c r="G12921">
        <v>2012</v>
      </c>
      <c r="H12921">
        <v>2012</v>
      </c>
      <c r="I12921">
        <v>1916</v>
      </c>
      <c r="J12921">
        <v>1916</v>
      </c>
      <c r="K12921">
        <v>417</v>
      </c>
      <c r="L12921">
        <v>6</v>
      </c>
      <c r="M12921">
        <v>1252</v>
      </c>
      <c r="N12921">
        <v>313</v>
      </c>
      <c r="O12921">
        <v>24</v>
      </c>
      <c r="P12921">
        <v>1</v>
      </c>
      <c r="Q12921">
        <v>0</v>
      </c>
    </row>
    <row r="12922" spans="1:17" x14ac:dyDescent="0.2">
      <c r="A12922" s="121">
        <v>43496</v>
      </c>
      <c r="B12922" t="s">
        <v>406</v>
      </c>
      <c r="C12922" t="s">
        <v>577</v>
      </c>
      <c r="D12922" t="s">
        <v>609</v>
      </c>
      <c r="E12922" t="s">
        <v>610</v>
      </c>
      <c r="F12922" t="s">
        <v>410</v>
      </c>
      <c r="G12922">
        <v>20</v>
      </c>
      <c r="H12922">
        <v>20</v>
      </c>
      <c r="I12922">
        <v>20</v>
      </c>
      <c r="J12922">
        <v>20</v>
      </c>
      <c r="K12922">
        <v>0</v>
      </c>
      <c r="L12922">
        <v>0</v>
      </c>
      <c r="M12922">
        <v>16</v>
      </c>
      <c r="N12922">
        <v>3</v>
      </c>
      <c r="O12922">
        <v>1</v>
      </c>
      <c r="P12922">
        <v>0</v>
      </c>
      <c r="Q12922">
        <v>0</v>
      </c>
    </row>
    <row r="12923" spans="1:17" x14ac:dyDescent="0.2">
      <c r="A12923" s="121">
        <v>43496</v>
      </c>
      <c r="B12923" t="s">
        <v>406</v>
      </c>
      <c r="C12923" t="s">
        <v>577</v>
      </c>
      <c r="D12923" t="s">
        <v>584</v>
      </c>
      <c r="E12923" t="s">
        <v>585</v>
      </c>
      <c r="F12923" t="s">
        <v>410</v>
      </c>
      <c r="G12923">
        <v>233</v>
      </c>
      <c r="H12923">
        <v>233</v>
      </c>
      <c r="I12923">
        <v>233</v>
      </c>
      <c r="J12923">
        <v>233</v>
      </c>
      <c r="K12923">
        <v>0</v>
      </c>
      <c r="L12923">
        <v>0</v>
      </c>
      <c r="M12923">
        <v>218</v>
      </c>
      <c r="N12923">
        <v>12</v>
      </c>
      <c r="O12923">
        <v>3</v>
      </c>
      <c r="P12923">
        <v>0</v>
      </c>
      <c r="Q12923">
        <v>0</v>
      </c>
    </row>
    <row r="12924" spans="1:17" x14ac:dyDescent="0.2">
      <c r="A12924" s="121">
        <v>43496</v>
      </c>
      <c r="B12924" t="s">
        <v>406</v>
      </c>
      <c r="C12924" t="s">
        <v>577</v>
      </c>
      <c r="D12924" t="s">
        <v>586</v>
      </c>
      <c r="E12924" t="s">
        <v>587</v>
      </c>
      <c r="F12924" t="s">
        <v>410</v>
      </c>
      <c r="G12924">
        <v>1277</v>
      </c>
      <c r="H12924">
        <v>1277</v>
      </c>
      <c r="I12924">
        <v>1277</v>
      </c>
      <c r="J12924">
        <v>1277</v>
      </c>
      <c r="K12924">
        <v>0</v>
      </c>
      <c r="L12924">
        <v>1</v>
      </c>
      <c r="M12924">
        <v>1159</v>
      </c>
      <c r="N12924">
        <v>115</v>
      </c>
      <c r="O12924">
        <v>2</v>
      </c>
      <c r="P12924">
        <v>0</v>
      </c>
      <c r="Q12924">
        <v>0</v>
      </c>
    </row>
    <row r="12925" spans="1:17" x14ac:dyDescent="0.2">
      <c r="A12925" s="121">
        <v>43496</v>
      </c>
      <c r="B12925" t="s">
        <v>406</v>
      </c>
      <c r="C12925" t="s">
        <v>577</v>
      </c>
      <c r="D12925" t="s">
        <v>588</v>
      </c>
      <c r="E12925" t="s">
        <v>589</v>
      </c>
      <c r="F12925" t="s">
        <v>410</v>
      </c>
      <c r="G12925">
        <v>60</v>
      </c>
      <c r="H12925">
        <v>60</v>
      </c>
      <c r="I12925">
        <v>60</v>
      </c>
      <c r="J12925">
        <v>60</v>
      </c>
      <c r="K12925">
        <v>0</v>
      </c>
      <c r="L12925">
        <v>0</v>
      </c>
      <c r="M12925">
        <v>57</v>
      </c>
      <c r="N12925">
        <v>3</v>
      </c>
      <c r="O12925">
        <v>0</v>
      </c>
      <c r="P12925">
        <v>0</v>
      </c>
      <c r="Q12925">
        <v>0</v>
      </c>
    </row>
    <row r="12926" spans="1:17" x14ac:dyDescent="0.2">
      <c r="A12926" s="121">
        <v>43496</v>
      </c>
      <c r="B12926" t="s">
        <v>406</v>
      </c>
      <c r="C12926" t="s">
        <v>577</v>
      </c>
      <c r="D12926" t="s">
        <v>613</v>
      </c>
      <c r="E12926" t="s">
        <v>614</v>
      </c>
      <c r="F12926" t="s">
        <v>410</v>
      </c>
      <c r="G12926">
        <v>74</v>
      </c>
      <c r="H12926">
        <v>74</v>
      </c>
      <c r="I12926">
        <v>74</v>
      </c>
      <c r="J12926">
        <v>74</v>
      </c>
      <c r="K12926">
        <v>0</v>
      </c>
      <c r="L12926">
        <v>0</v>
      </c>
      <c r="M12926">
        <v>63</v>
      </c>
      <c r="N12926">
        <v>7</v>
      </c>
      <c r="O12926">
        <v>4</v>
      </c>
      <c r="P12926">
        <v>0</v>
      </c>
      <c r="Q12926">
        <v>0</v>
      </c>
    </row>
    <row r="12927" spans="1:17" x14ac:dyDescent="0.2">
      <c r="A12927" s="121">
        <v>43496</v>
      </c>
      <c r="B12927" t="s">
        <v>406</v>
      </c>
      <c r="C12927" t="s">
        <v>577</v>
      </c>
      <c r="D12927" t="s">
        <v>590</v>
      </c>
      <c r="E12927" t="s">
        <v>591</v>
      </c>
      <c r="F12927" t="s">
        <v>410</v>
      </c>
      <c r="G12927">
        <v>387</v>
      </c>
      <c r="H12927">
        <v>387</v>
      </c>
      <c r="I12927">
        <v>387</v>
      </c>
      <c r="J12927">
        <v>387</v>
      </c>
      <c r="K12927">
        <v>0</v>
      </c>
      <c r="L12927">
        <v>0</v>
      </c>
      <c r="M12927">
        <v>362</v>
      </c>
      <c r="N12927">
        <v>25</v>
      </c>
      <c r="O12927">
        <v>0</v>
      </c>
      <c r="P12927">
        <v>0</v>
      </c>
      <c r="Q12927">
        <v>0</v>
      </c>
    </row>
    <row r="12928" spans="1:17" x14ac:dyDescent="0.2">
      <c r="A12928" s="121">
        <v>43496</v>
      </c>
      <c r="B12928" t="s">
        <v>406</v>
      </c>
      <c r="C12928" t="s">
        <v>577</v>
      </c>
      <c r="D12928" t="s">
        <v>607</v>
      </c>
      <c r="E12928" t="s">
        <v>608</v>
      </c>
      <c r="F12928" t="s">
        <v>410</v>
      </c>
      <c r="G12928">
        <v>74</v>
      </c>
      <c r="H12928">
        <v>74</v>
      </c>
      <c r="I12928">
        <v>74</v>
      </c>
      <c r="J12928">
        <v>74</v>
      </c>
      <c r="K12928">
        <v>0</v>
      </c>
      <c r="L12928">
        <v>0</v>
      </c>
      <c r="M12928">
        <v>68</v>
      </c>
      <c r="N12928">
        <v>5</v>
      </c>
      <c r="O12928">
        <v>1</v>
      </c>
      <c r="P12928">
        <v>0</v>
      </c>
      <c r="Q12928">
        <v>0</v>
      </c>
    </row>
    <row r="12929" spans="1:17" x14ac:dyDescent="0.2">
      <c r="A12929" s="121">
        <v>43496</v>
      </c>
      <c r="B12929" t="s">
        <v>406</v>
      </c>
      <c r="C12929" t="s">
        <v>577</v>
      </c>
      <c r="D12929" t="s">
        <v>592</v>
      </c>
      <c r="E12929" t="s">
        <v>593</v>
      </c>
      <c r="F12929" t="s">
        <v>410</v>
      </c>
      <c r="G12929">
        <v>223</v>
      </c>
      <c r="H12929">
        <v>223</v>
      </c>
      <c r="I12929">
        <v>223</v>
      </c>
      <c r="J12929">
        <v>223</v>
      </c>
      <c r="K12929">
        <v>0</v>
      </c>
      <c r="L12929">
        <v>0</v>
      </c>
      <c r="M12929">
        <v>206</v>
      </c>
      <c r="N12929">
        <v>17</v>
      </c>
      <c r="O12929">
        <v>0</v>
      </c>
      <c r="P12929">
        <v>0</v>
      </c>
      <c r="Q12929">
        <v>0</v>
      </c>
    </row>
    <row r="12930" spans="1:17" x14ac:dyDescent="0.2">
      <c r="A12930" s="121">
        <v>43496</v>
      </c>
      <c r="B12930" t="s">
        <v>406</v>
      </c>
      <c r="C12930" t="s">
        <v>594</v>
      </c>
      <c r="D12930" t="s">
        <v>595</v>
      </c>
      <c r="E12930" t="s">
        <v>596</v>
      </c>
      <c r="F12930" t="s">
        <v>410</v>
      </c>
      <c r="G12930">
        <v>38</v>
      </c>
      <c r="I12930">
        <v>38</v>
      </c>
    </row>
    <row r="12931" spans="1:17" x14ac:dyDescent="0.2">
      <c r="A12931" s="121">
        <v>43496</v>
      </c>
      <c r="B12931" t="s">
        <v>406</v>
      </c>
      <c r="C12931" t="s">
        <v>594</v>
      </c>
      <c r="D12931" t="s">
        <v>597</v>
      </c>
      <c r="E12931" t="s">
        <v>598</v>
      </c>
      <c r="F12931" t="s">
        <v>413</v>
      </c>
      <c r="G12931">
        <v>503</v>
      </c>
      <c r="H12931">
        <v>503</v>
      </c>
      <c r="I12931">
        <v>493</v>
      </c>
      <c r="J12931">
        <v>493</v>
      </c>
      <c r="K12931">
        <v>175</v>
      </c>
      <c r="L12931">
        <v>0</v>
      </c>
      <c r="M12931">
        <v>301</v>
      </c>
      <c r="N12931">
        <v>9</v>
      </c>
      <c r="O12931">
        <v>18</v>
      </c>
      <c r="P12931">
        <v>0</v>
      </c>
      <c r="Q12931">
        <v>0</v>
      </c>
    </row>
    <row r="12932" spans="1:17" x14ac:dyDescent="0.2">
      <c r="A12932" s="121">
        <v>43496</v>
      </c>
      <c r="B12932" t="s">
        <v>406</v>
      </c>
      <c r="C12932" t="s">
        <v>594</v>
      </c>
      <c r="D12932" t="s">
        <v>599</v>
      </c>
      <c r="E12932" t="s">
        <v>600</v>
      </c>
      <c r="F12932" t="s">
        <v>410</v>
      </c>
      <c r="G12932">
        <v>137</v>
      </c>
      <c r="H12932">
        <v>137</v>
      </c>
      <c r="I12932">
        <v>137</v>
      </c>
      <c r="J12932">
        <v>137</v>
      </c>
      <c r="K12932">
        <v>15</v>
      </c>
      <c r="L12932">
        <v>0</v>
      </c>
      <c r="M12932">
        <v>122</v>
      </c>
      <c r="N12932">
        <v>0</v>
      </c>
      <c r="O12932">
        <v>0</v>
      </c>
      <c r="P12932">
        <v>0</v>
      </c>
      <c r="Q12932">
        <v>0</v>
      </c>
    </row>
    <row r="12933" spans="1:17" x14ac:dyDescent="0.2">
      <c r="A12933" s="121">
        <v>43524</v>
      </c>
      <c r="B12933" t="s">
        <v>406</v>
      </c>
      <c r="C12933" t="s">
        <v>407</v>
      </c>
      <c r="D12933" t="s">
        <v>408</v>
      </c>
      <c r="E12933" t="s">
        <v>409</v>
      </c>
      <c r="F12933" t="s">
        <v>410</v>
      </c>
      <c r="G12933">
        <v>172</v>
      </c>
      <c r="I12933">
        <v>168</v>
      </c>
    </row>
    <row r="12934" spans="1:17" x14ac:dyDescent="0.2">
      <c r="A12934" s="121">
        <v>43524</v>
      </c>
      <c r="B12934" t="s">
        <v>406</v>
      </c>
      <c r="C12934" t="s">
        <v>407</v>
      </c>
      <c r="D12934" t="s">
        <v>601</v>
      </c>
      <c r="E12934" t="s">
        <v>602</v>
      </c>
      <c r="F12934" t="s">
        <v>410</v>
      </c>
      <c r="G12934">
        <v>46</v>
      </c>
      <c r="I12934">
        <v>45</v>
      </c>
    </row>
    <row r="12935" spans="1:17" x14ac:dyDescent="0.2">
      <c r="A12935" s="121">
        <v>43524</v>
      </c>
      <c r="B12935" t="s">
        <v>406</v>
      </c>
      <c r="C12935" t="s">
        <v>407</v>
      </c>
      <c r="D12935" t="s">
        <v>411</v>
      </c>
      <c r="E12935" t="s">
        <v>412</v>
      </c>
      <c r="F12935" t="s">
        <v>413</v>
      </c>
      <c r="G12935">
        <v>5587</v>
      </c>
      <c r="H12935">
        <v>5587</v>
      </c>
      <c r="I12935">
        <v>4927</v>
      </c>
      <c r="J12935">
        <v>4927</v>
      </c>
      <c r="K12935">
        <v>1914</v>
      </c>
      <c r="L12935">
        <v>5</v>
      </c>
      <c r="M12935">
        <v>3360</v>
      </c>
      <c r="N12935">
        <v>59</v>
      </c>
      <c r="O12935">
        <v>249</v>
      </c>
      <c r="P12935">
        <v>219</v>
      </c>
      <c r="Q12935">
        <v>76</v>
      </c>
    </row>
    <row r="12936" spans="1:17" x14ac:dyDescent="0.2">
      <c r="A12936" s="121">
        <v>43524</v>
      </c>
      <c r="B12936" t="s">
        <v>406</v>
      </c>
      <c r="C12936" t="s">
        <v>407</v>
      </c>
      <c r="D12936" t="s">
        <v>416</v>
      </c>
      <c r="E12936" t="s">
        <v>417</v>
      </c>
      <c r="F12936" t="s">
        <v>413</v>
      </c>
      <c r="G12936">
        <v>2917</v>
      </c>
      <c r="H12936">
        <v>2917</v>
      </c>
      <c r="I12936">
        <v>2387</v>
      </c>
      <c r="J12936">
        <v>2387</v>
      </c>
      <c r="K12936">
        <v>774</v>
      </c>
      <c r="L12936">
        <v>10</v>
      </c>
      <c r="M12936">
        <v>2008</v>
      </c>
      <c r="N12936">
        <v>74</v>
      </c>
      <c r="O12936">
        <v>51</v>
      </c>
      <c r="P12936">
        <v>190</v>
      </c>
      <c r="Q12936">
        <v>78</v>
      </c>
    </row>
    <row r="12937" spans="1:17" x14ac:dyDescent="0.2">
      <c r="A12937" s="121">
        <v>43524</v>
      </c>
      <c r="B12937" t="s">
        <v>406</v>
      </c>
      <c r="C12937" t="s">
        <v>407</v>
      </c>
      <c r="D12937" t="s">
        <v>618</v>
      </c>
      <c r="E12937" t="s">
        <v>619</v>
      </c>
      <c r="F12937" t="s">
        <v>410</v>
      </c>
      <c r="G12937">
        <v>60</v>
      </c>
      <c r="I12937">
        <v>60</v>
      </c>
    </row>
    <row r="12938" spans="1:17" x14ac:dyDescent="0.2">
      <c r="A12938" s="121">
        <v>43524</v>
      </c>
      <c r="B12938" t="s">
        <v>406</v>
      </c>
      <c r="C12938" t="s">
        <v>418</v>
      </c>
      <c r="D12938" t="s">
        <v>419</v>
      </c>
      <c r="E12938" t="s">
        <v>420</v>
      </c>
      <c r="F12938" t="s">
        <v>410</v>
      </c>
      <c r="G12938">
        <v>7</v>
      </c>
      <c r="I12938">
        <v>7</v>
      </c>
    </row>
    <row r="12939" spans="1:17" x14ac:dyDescent="0.2">
      <c r="A12939" s="121">
        <v>43524</v>
      </c>
      <c r="B12939" t="s">
        <v>406</v>
      </c>
      <c r="C12939" t="s">
        <v>418</v>
      </c>
      <c r="D12939" t="s">
        <v>421</v>
      </c>
      <c r="E12939" t="s">
        <v>422</v>
      </c>
      <c r="F12939" t="s">
        <v>410</v>
      </c>
      <c r="G12939">
        <v>63</v>
      </c>
      <c r="I12939">
        <v>63</v>
      </c>
    </row>
    <row r="12940" spans="1:17" x14ac:dyDescent="0.2">
      <c r="A12940" s="121">
        <v>43524</v>
      </c>
      <c r="B12940" t="s">
        <v>406</v>
      </c>
      <c r="C12940" t="s">
        <v>418</v>
      </c>
      <c r="D12940" t="s">
        <v>423</v>
      </c>
      <c r="E12940" t="s">
        <v>424</v>
      </c>
      <c r="F12940" t="s">
        <v>410</v>
      </c>
      <c r="G12940">
        <v>6</v>
      </c>
      <c r="I12940">
        <v>6</v>
      </c>
    </row>
    <row r="12941" spans="1:17" x14ac:dyDescent="0.2">
      <c r="A12941" s="121">
        <v>43524</v>
      </c>
      <c r="B12941" t="s">
        <v>406</v>
      </c>
      <c r="C12941" t="s">
        <v>418</v>
      </c>
      <c r="D12941" t="s">
        <v>425</v>
      </c>
      <c r="E12941" t="s">
        <v>426</v>
      </c>
      <c r="F12941" t="s">
        <v>410</v>
      </c>
      <c r="G12941">
        <v>34</v>
      </c>
      <c r="I12941">
        <v>34</v>
      </c>
    </row>
    <row r="12942" spans="1:17" x14ac:dyDescent="0.2">
      <c r="A12942" s="121">
        <v>43524</v>
      </c>
      <c r="B12942" t="s">
        <v>406</v>
      </c>
      <c r="C12942" t="s">
        <v>418</v>
      </c>
      <c r="D12942" t="s">
        <v>427</v>
      </c>
      <c r="E12942" t="s">
        <v>428</v>
      </c>
      <c r="F12942" t="s">
        <v>413</v>
      </c>
      <c r="G12942">
        <v>2315</v>
      </c>
      <c r="H12942">
        <v>2315</v>
      </c>
      <c r="I12942">
        <v>2105</v>
      </c>
      <c r="J12942">
        <v>2105</v>
      </c>
      <c r="K12942">
        <v>794</v>
      </c>
      <c r="L12942">
        <v>2</v>
      </c>
      <c r="M12942">
        <v>1371</v>
      </c>
      <c r="N12942">
        <v>132</v>
      </c>
      <c r="O12942">
        <v>16</v>
      </c>
      <c r="P12942">
        <v>40</v>
      </c>
      <c r="Q12942">
        <v>21</v>
      </c>
    </row>
    <row r="12943" spans="1:17" x14ac:dyDescent="0.2">
      <c r="A12943" s="121">
        <v>43524</v>
      </c>
      <c r="B12943" t="s">
        <v>406</v>
      </c>
      <c r="C12943" t="s">
        <v>429</v>
      </c>
      <c r="D12943" t="s">
        <v>430</v>
      </c>
      <c r="E12943" t="s">
        <v>431</v>
      </c>
      <c r="F12943" t="s">
        <v>410</v>
      </c>
      <c r="G12943">
        <v>15</v>
      </c>
      <c r="I12943">
        <v>15</v>
      </c>
    </row>
    <row r="12944" spans="1:17" x14ac:dyDescent="0.2">
      <c r="A12944" s="121">
        <v>43524</v>
      </c>
      <c r="B12944" t="s">
        <v>406</v>
      </c>
      <c r="C12944" t="s">
        <v>429</v>
      </c>
      <c r="D12944" t="s">
        <v>432</v>
      </c>
      <c r="E12944" t="s">
        <v>433</v>
      </c>
      <c r="F12944" t="s">
        <v>410</v>
      </c>
      <c r="G12944">
        <v>23</v>
      </c>
      <c r="I12944">
        <v>23</v>
      </c>
    </row>
    <row r="12945" spans="1:17" x14ac:dyDescent="0.2">
      <c r="A12945" s="121">
        <v>43524</v>
      </c>
      <c r="B12945" t="s">
        <v>406</v>
      </c>
      <c r="C12945" t="s">
        <v>429</v>
      </c>
      <c r="D12945" t="s">
        <v>434</v>
      </c>
      <c r="E12945" t="s">
        <v>435</v>
      </c>
      <c r="F12945" t="s">
        <v>410</v>
      </c>
      <c r="G12945">
        <v>3</v>
      </c>
      <c r="I12945">
        <v>3</v>
      </c>
    </row>
    <row r="12946" spans="1:17" x14ac:dyDescent="0.2">
      <c r="A12946" s="121">
        <v>43524</v>
      </c>
      <c r="B12946" t="s">
        <v>406</v>
      </c>
      <c r="C12946" t="s">
        <v>429</v>
      </c>
      <c r="D12946" t="s">
        <v>436</v>
      </c>
      <c r="E12946" t="s">
        <v>437</v>
      </c>
      <c r="F12946" t="s">
        <v>410</v>
      </c>
      <c r="G12946">
        <v>2</v>
      </c>
      <c r="H12946">
        <v>2</v>
      </c>
      <c r="I12946">
        <v>2</v>
      </c>
      <c r="J12946">
        <v>2</v>
      </c>
      <c r="K12946">
        <v>0</v>
      </c>
      <c r="L12946">
        <v>0</v>
      </c>
      <c r="M12946">
        <v>2</v>
      </c>
      <c r="N12946">
        <v>0</v>
      </c>
      <c r="O12946">
        <v>0</v>
      </c>
      <c r="P12946">
        <v>0</v>
      </c>
      <c r="Q12946">
        <v>0</v>
      </c>
    </row>
    <row r="12947" spans="1:17" x14ac:dyDescent="0.2">
      <c r="A12947" s="121">
        <v>43524</v>
      </c>
      <c r="B12947" t="s">
        <v>406</v>
      </c>
      <c r="C12947" t="s">
        <v>429</v>
      </c>
      <c r="D12947" t="s">
        <v>438</v>
      </c>
      <c r="E12947" t="s">
        <v>439</v>
      </c>
      <c r="F12947" t="s">
        <v>413</v>
      </c>
      <c r="G12947">
        <v>971</v>
      </c>
      <c r="H12947">
        <v>971</v>
      </c>
      <c r="I12947">
        <v>901</v>
      </c>
      <c r="J12947">
        <v>901</v>
      </c>
      <c r="K12947">
        <v>70</v>
      </c>
      <c r="L12947">
        <v>1</v>
      </c>
      <c r="M12947">
        <v>792</v>
      </c>
      <c r="N12947">
        <v>87</v>
      </c>
      <c r="O12947">
        <v>21</v>
      </c>
      <c r="P12947">
        <v>8</v>
      </c>
      <c r="Q12947">
        <v>2</v>
      </c>
    </row>
    <row r="12948" spans="1:17" x14ac:dyDescent="0.2">
      <c r="A12948" s="121">
        <v>43524</v>
      </c>
      <c r="B12948" t="s">
        <v>406</v>
      </c>
      <c r="C12948" t="s">
        <v>429</v>
      </c>
      <c r="D12948" t="s">
        <v>440</v>
      </c>
      <c r="E12948" t="s">
        <v>441</v>
      </c>
      <c r="F12948" t="s">
        <v>413</v>
      </c>
      <c r="G12948">
        <v>2680</v>
      </c>
      <c r="H12948">
        <v>2680</v>
      </c>
      <c r="I12948">
        <v>2323</v>
      </c>
      <c r="J12948">
        <v>2323</v>
      </c>
      <c r="K12948">
        <v>862</v>
      </c>
      <c r="L12948">
        <v>8</v>
      </c>
      <c r="M12948">
        <v>1688</v>
      </c>
      <c r="N12948">
        <v>91</v>
      </c>
      <c r="O12948">
        <v>31</v>
      </c>
      <c r="P12948">
        <v>29</v>
      </c>
      <c r="Q12948">
        <v>6</v>
      </c>
    </row>
    <row r="12949" spans="1:17" x14ac:dyDescent="0.2">
      <c r="A12949" s="121">
        <v>43524</v>
      </c>
      <c r="B12949" t="s">
        <v>406</v>
      </c>
      <c r="C12949" t="s">
        <v>442</v>
      </c>
      <c r="D12949" t="s">
        <v>443</v>
      </c>
      <c r="E12949" t="s">
        <v>444</v>
      </c>
      <c r="F12949" t="s">
        <v>413</v>
      </c>
      <c r="G12949">
        <v>5153</v>
      </c>
      <c r="H12949">
        <v>5153</v>
      </c>
      <c r="I12949">
        <v>4590</v>
      </c>
      <c r="J12949">
        <v>4590</v>
      </c>
      <c r="K12949">
        <v>1649</v>
      </c>
      <c r="L12949">
        <v>11</v>
      </c>
      <c r="M12949">
        <v>3334</v>
      </c>
      <c r="N12949">
        <v>99</v>
      </c>
      <c r="O12949">
        <v>60</v>
      </c>
      <c r="P12949">
        <v>25</v>
      </c>
      <c r="Q12949">
        <v>1</v>
      </c>
    </row>
    <row r="12950" spans="1:17" x14ac:dyDescent="0.2">
      <c r="A12950" s="121">
        <v>43524</v>
      </c>
      <c r="B12950" t="s">
        <v>406</v>
      </c>
      <c r="C12950" t="s">
        <v>442</v>
      </c>
      <c r="D12950" t="s">
        <v>445</v>
      </c>
      <c r="E12950" t="s">
        <v>446</v>
      </c>
      <c r="F12950" t="s">
        <v>410</v>
      </c>
      <c r="G12950">
        <v>143</v>
      </c>
      <c r="H12950">
        <v>143</v>
      </c>
      <c r="I12950">
        <v>143</v>
      </c>
      <c r="J12950">
        <v>143</v>
      </c>
      <c r="K12950">
        <v>2</v>
      </c>
      <c r="L12950">
        <v>0</v>
      </c>
      <c r="M12950">
        <v>129</v>
      </c>
      <c r="N12950">
        <v>10</v>
      </c>
      <c r="O12950">
        <v>2</v>
      </c>
      <c r="P12950">
        <v>0</v>
      </c>
      <c r="Q12950">
        <v>0</v>
      </c>
    </row>
    <row r="12951" spans="1:17" x14ac:dyDescent="0.2">
      <c r="A12951" s="121">
        <v>43524</v>
      </c>
      <c r="B12951" t="s">
        <v>406</v>
      </c>
      <c r="C12951" t="s">
        <v>442</v>
      </c>
      <c r="D12951" t="s">
        <v>447</v>
      </c>
      <c r="E12951" t="s">
        <v>448</v>
      </c>
      <c r="F12951" t="s">
        <v>410</v>
      </c>
      <c r="G12951">
        <v>273</v>
      </c>
      <c r="H12951">
        <v>273</v>
      </c>
      <c r="I12951">
        <v>273</v>
      </c>
      <c r="J12951">
        <v>273</v>
      </c>
      <c r="K12951">
        <v>0</v>
      </c>
      <c r="L12951">
        <v>0</v>
      </c>
      <c r="M12951">
        <v>265</v>
      </c>
      <c r="N12951">
        <v>7</v>
      </c>
      <c r="O12951">
        <v>1</v>
      </c>
      <c r="P12951">
        <v>0</v>
      </c>
      <c r="Q12951">
        <v>0</v>
      </c>
    </row>
    <row r="12952" spans="1:17" x14ac:dyDescent="0.2">
      <c r="A12952" s="121">
        <v>43524</v>
      </c>
      <c r="B12952" t="s">
        <v>406</v>
      </c>
      <c r="C12952" t="s">
        <v>442</v>
      </c>
      <c r="D12952" t="s">
        <v>449</v>
      </c>
      <c r="E12952" t="s">
        <v>624</v>
      </c>
      <c r="F12952" t="s">
        <v>410</v>
      </c>
      <c r="G12952">
        <v>1552</v>
      </c>
      <c r="H12952">
        <v>1552</v>
      </c>
      <c r="I12952">
        <v>1550</v>
      </c>
      <c r="J12952">
        <v>1550</v>
      </c>
      <c r="K12952">
        <v>18</v>
      </c>
      <c r="L12952">
        <v>0</v>
      </c>
      <c r="M12952">
        <v>1423</v>
      </c>
      <c r="N12952">
        <v>97</v>
      </c>
      <c r="O12952">
        <v>14</v>
      </c>
      <c r="P12952">
        <v>2</v>
      </c>
      <c r="Q12952">
        <v>0</v>
      </c>
    </row>
    <row r="12953" spans="1:17" x14ac:dyDescent="0.2">
      <c r="A12953" s="121">
        <v>43524</v>
      </c>
      <c r="B12953" t="s">
        <v>406</v>
      </c>
      <c r="C12953" t="s">
        <v>451</v>
      </c>
      <c r="D12953" t="s">
        <v>454</v>
      </c>
      <c r="E12953" t="s">
        <v>621</v>
      </c>
      <c r="F12953" t="s">
        <v>410</v>
      </c>
      <c r="G12953">
        <v>1464</v>
      </c>
      <c r="H12953">
        <v>1464</v>
      </c>
      <c r="I12953">
        <v>1464</v>
      </c>
      <c r="J12953">
        <v>1464</v>
      </c>
      <c r="K12953">
        <v>0</v>
      </c>
      <c r="L12953">
        <v>0</v>
      </c>
      <c r="M12953">
        <v>1168</v>
      </c>
      <c r="N12953">
        <v>85</v>
      </c>
      <c r="O12953">
        <v>211</v>
      </c>
      <c r="P12953">
        <v>0</v>
      </c>
      <c r="Q12953">
        <v>0</v>
      </c>
    </row>
    <row r="12954" spans="1:17" x14ac:dyDescent="0.2">
      <c r="A12954" s="121">
        <v>43524</v>
      </c>
      <c r="B12954" t="s">
        <v>406</v>
      </c>
      <c r="C12954" t="s">
        <v>451</v>
      </c>
      <c r="D12954" t="s">
        <v>622</v>
      </c>
      <c r="E12954" t="s">
        <v>623</v>
      </c>
      <c r="F12954" t="s">
        <v>413</v>
      </c>
      <c r="G12954">
        <v>4877</v>
      </c>
      <c r="H12954">
        <v>4877</v>
      </c>
      <c r="I12954">
        <v>4563</v>
      </c>
      <c r="J12954">
        <v>4563</v>
      </c>
      <c r="K12954">
        <v>1343</v>
      </c>
      <c r="L12954">
        <v>7</v>
      </c>
      <c r="M12954">
        <v>2970</v>
      </c>
      <c r="N12954">
        <v>54</v>
      </c>
      <c r="O12954">
        <v>503</v>
      </c>
      <c r="P12954">
        <v>14</v>
      </c>
      <c r="Q12954">
        <v>1</v>
      </c>
    </row>
    <row r="12955" spans="1:17" x14ac:dyDescent="0.2">
      <c r="A12955" s="121">
        <v>43524</v>
      </c>
      <c r="B12955" t="s">
        <v>406</v>
      </c>
      <c r="C12955" t="s">
        <v>456</v>
      </c>
      <c r="D12955" t="s">
        <v>457</v>
      </c>
      <c r="E12955" t="s">
        <v>458</v>
      </c>
      <c r="F12955" t="s">
        <v>413</v>
      </c>
      <c r="G12955">
        <v>4892</v>
      </c>
      <c r="H12955">
        <v>4892</v>
      </c>
      <c r="I12955">
        <v>4001</v>
      </c>
      <c r="J12955">
        <v>4001</v>
      </c>
      <c r="K12955">
        <v>1278</v>
      </c>
      <c r="L12955">
        <v>13</v>
      </c>
      <c r="M12955">
        <v>3246</v>
      </c>
      <c r="N12955">
        <v>26</v>
      </c>
      <c r="O12955">
        <v>329</v>
      </c>
      <c r="P12955">
        <v>45</v>
      </c>
      <c r="Q12955">
        <v>6</v>
      </c>
    </row>
    <row r="12956" spans="1:17" x14ac:dyDescent="0.2">
      <c r="A12956" s="121">
        <v>43524</v>
      </c>
      <c r="B12956" t="s">
        <v>406</v>
      </c>
      <c r="C12956" t="s">
        <v>456</v>
      </c>
      <c r="D12956" t="s">
        <v>459</v>
      </c>
      <c r="E12956" t="s">
        <v>460</v>
      </c>
      <c r="F12956" t="s">
        <v>413</v>
      </c>
      <c r="G12956">
        <v>1245</v>
      </c>
      <c r="H12956">
        <v>1245</v>
      </c>
      <c r="I12956">
        <v>1230</v>
      </c>
      <c r="J12956">
        <v>1230</v>
      </c>
      <c r="K12956">
        <v>136</v>
      </c>
      <c r="L12956">
        <v>0</v>
      </c>
      <c r="M12956">
        <v>1058</v>
      </c>
      <c r="N12956">
        <v>2</v>
      </c>
      <c r="O12956">
        <v>49</v>
      </c>
      <c r="P12956">
        <v>0</v>
      </c>
      <c r="Q12956">
        <v>0</v>
      </c>
    </row>
    <row r="12957" spans="1:17" x14ac:dyDescent="0.2">
      <c r="A12957" s="121">
        <v>43524</v>
      </c>
      <c r="B12957" t="s">
        <v>406</v>
      </c>
      <c r="C12957" t="s">
        <v>456</v>
      </c>
      <c r="D12957" t="s">
        <v>461</v>
      </c>
      <c r="E12957" t="s">
        <v>462</v>
      </c>
      <c r="F12957" t="s">
        <v>410</v>
      </c>
      <c r="G12957">
        <v>73</v>
      </c>
      <c r="I12957">
        <v>73</v>
      </c>
    </row>
    <row r="12958" spans="1:17" x14ac:dyDescent="0.2">
      <c r="A12958" s="121">
        <v>43524</v>
      </c>
      <c r="B12958" t="s">
        <v>406</v>
      </c>
      <c r="C12958" t="s">
        <v>456</v>
      </c>
      <c r="D12958" t="s">
        <v>463</v>
      </c>
      <c r="E12958" t="s">
        <v>464</v>
      </c>
      <c r="F12958" t="s">
        <v>410</v>
      </c>
      <c r="G12958">
        <v>1</v>
      </c>
      <c r="I12958">
        <v>1</v>
      </c>
    </row>
    <row r="12959" spans="1:17" x14ac:dyDescent="0.2">
      <c r="A12959" s="121">
        <v>43524</v>
      </c>
      <c r="B12959" t="s">
        <v>406</v>
      </c>
      <c r="C12959" t="s">
        <v>456</v>
      </c>
      <c r="D12959" t="s">
        <v>465</v>
      </c>
      <c r="E12959" t="s">
        <v>466</v>
      </c>
      <c r="F12959" t="s">
        <v>410</v>
      </c>
      <c r="G12959">
        <v>37</v>
      </c>
      <c r="I12959">
        <v>37</v>
      </c>
    </row>
    <row r="12960" spans="1:17" x14ac:dyDescent="0.2">
      <c r="A12960" s="121">
        <v>43524</v>
      </c>
      <c r="B12960" t="s">
        <v>406</v>
      </c>
      <c r="C12960" t="s">
        <v>456</v>
      </c>
      <c r="D12960" t="s">
        <v>467</v>
      </c>
      <c r="E12960" t="s">
        <v>468</v>
      </c>
      <c r="F12960" t="s">
        <v>410</v>
      </c>
      <c r="G12960">
        <v>1327</v>
      </c>
      <c r="I12960">
        <v>1327</v>
      </c>
    </row>
    <row r="12961" spans="1:17" x14ac:dyDescent="0.2">
      <c r="A12961" s="121">
        <v>43524</v>
      </c>
      <c r="B12961" t="s">
        <v>406</v>
      </c>
      <c r="C12961" t="s">
        <v>456</v>
      </c>
      <c r="D12961" t="s">
        <v>469</v>
      </c>
      <c r="E12961" t="s">
        <v>470</v>
      </c>
      <c r="F12961" t="s">
        <v>410</v>
      </c>
      <c r="G12961">
        <v>550</v>
      </c>
      <c r="I12961">
        <v>548</v>
      </c>
    </row>
    <row r="12962" spans="1:17" x14ac:dyDescent="0.2">
      <c r="A12962" s="121">
        <v>43524</v>
      </c>
      <c r="B12962" t="s">
        <v>406</v>
      </c>
      <c r="C12962" t="s">
        <v>456</v>
      </c>
      <c r="D12962" t="s">
        <v>471</v>
      </c>
      <c r="E12962" t="s">
        <v>472</v>
      </c>
      <c r="F12962" t="s">
        <v>410</v>
      </c>
      <c r="G12962">
        <v>206</v>
      </c>
      <c r="I12962">
        <v>203</v>
      </c>
    </row>
    <row r="12963" spans="1:17" x14ac:dyDescent="0.2">
      <c r="A12963" s="121">
        <v>43524</v>
      </c>
      <c r="B12963" t="s">
        <v>406</v>
      </c>
      <c r="C12963" t="s">
        <v>456</v>
      </c>
      <c r="D12963" t="s">
        <v>473</v>
      </c>
      <c r="E12963" t="s">
        <v>474</v>
      </c>
      <c r="F12963" t="s">
        <v>410</v>
      </c>
      <c r="G12963">
        <v>123</v>
      </c>
      <c r="I12963">
        <v>123</v>
      </c>
    </row>
    <row r="12964" spans="1:17" x14ac:dyDescent="0.2">
      <c r="A12964" s="121">
        <v>43524</v>
      </c>
      <c r="B12964" t="s">
        <v>406</v>
      </c>
      <c r="C12964" t="s">
        <v>456</v>
      </c>
      <c r="D12964" t="s">
        <v>475</v>
      </c>
      <c r="E12964" t="s">
        <v>476</v>
      </c>
      <c r="F12964" t="s">
        <v>410</v>
      </c>
      <c r="G12964">
        <v>257</v>
      </c>
      <c r="I12964">
        <v>254</v>
      </c>
    </row>
    <row r="12965" spans="1:17" x14ac:dyDescent="0.2">
      <c r="A12965" s="121">
        <v>43524</v>
      </c>
      <c r="B12965" t="s">
        <v>406</v>
      </c>
      <c r="C12965" t="s">
        <v>456</v>
      </c>
      <c r="D12965" t="s">
        <v>477</v>
      </c>
      <c r="E12965" t="s">
        <v>478</v>
      </c>
      <c r="F12965" t="s">
        <v>413</v>
      </c>
      <c r="G12965">
        <v>1950</v>
      </c>
      <c r="H12965">
        <v>1950</v>
      </c>
      <c r="I12965">
        <v>1845</v>
      </c>
      <c r="J12965">
        <v>1845</v>
      </c>
      <c r="K12965">
        <v>367</v>
      </c>
      <c r="L12965">
        <v>0</v>
      </c>
      <c r="M12965">
        <v>1569</v>
      </c>
      <c r="N12965">
        <v>13</v>
      </c>
      <c r="O12965">
        <v>1</v>
      </c>
      <c r="P12965">
        <v>5</v>
      </c>
      <c r="Q12965">
        <v>0</v>
      </c>
    </row>
    <row r="12966" spans="1:17" x14ac:dyDescent="0.2">
      <c r="A12966" s="121">
        <v>43524</v>
      </c>
      <c r="B12966" t="s">
        <v>406</v>
      </c>
      <c r="C12966" t="s">
        <v>456</v>
      </c>
      <c r="D12966" t="s">
        <v>479</v>
      </c>
      <c r="E12966" t="s">
        <v>480</v>
      </c>
      <c r="F12966" t="s">
        <v>410</v>
      </c>
      <c r="G12966">
        <v>45</v>
      </c>
      <c r="I12966">
        <v>45</v>
      </c>
    </row>
    <row r="12967" spans="1:17" x14ac:dyDescent="0.2">
      <c r="A12967" s="121">
        <v>43524</v>
      </c>
      <c r="B12967" t="s">
        <v>406</v>
      </c>
      <c r="C12967" t="s">
        <v>456</v>
      </c>
      <c r="D12967" t="s">
        <v>481</v>
      </c>
      <c r="E12967" t="s">
        <v>482</v>
      </c>
      <c r="F12967" t="s">
        <v>410</v>
      </c>
      <c r="G12967">
        <v>12</v>
      </c>
      <c r="I12967">
        <v>12</v>
      </c>
    </row>
    <row r="12968" spans="1:17" x14ac:dyDescent="0.2">
      <c r="A12968" s="121">
        <v>43524</v>
      </c>
      <c r="B12968" t="s">
        <v>406</v>
      </c>
      <c r="C12968" t="s">
        <v>456</v>
      </c>
      <c r="D12968" t="s">
        <v>483</v>
      </c>
      <c r="E12968" t="s">
        <v>484</v>
      </c>
      <c r="F12968" t="s">
        <v>410</v>
      </c>
      <c r="G12968">
        <v>71</v>
      </c>
      <c r="I12968">
        <v>71</v>
      </c>
    </row>
    <row r="12969" spans="1:17" x14ac:dyDescent="0.2">
      <c r="A12969" s="121">
        <v>43524</v>
      </c>
      <c r="B12969" t="s">
        <v>406</v>
      </c>
      <c r="C12969" t="s">
        <v>456</v>
      </c>
      <c r="D12969" t="s">
        <v>487</v>
      </c>
      <c r="E12969" t="s">
        <v>488</v>
      </c>
      <c r="F12969" t="s">
        <v>410</v>
      </c>
      <c r="G12969">
        <v>15</v>
      </c>
      <c r="I12969">
        <v>15</v>
      </c>
    </row>
    <row r="12970" spans="1:17" x14ac:dyDescent="0.2">
      <c r="A12970" s="121">
        <v>43524</v>
      </c>
      <c r="B12970" t="s">
        <v>406</v>
      </c>
      <c r="C12970" t="s">
        <v>456</v>
      </c>
      <c r="D12970" t="s">
        <v>489</v>
      </c>
      <c r="E12970" t="s">
        <v>490</v>
      </c>
      <c r="F12970" t="s">
        <v>410</v>
      </c>
      <c r="G12970">
        <v>80</v>
      </c>
      <c r="I12970">
        <v>80</v>
      </c>
    </row>
    <row r="12971" spans="1:17" x14ac:dyDescent="0.2">
      <c r="A12971" s="121">
        <v>43524</v>
      </c>
      <c r="B12971" t="s">
        <v>406</v>
      </c>
      <c r="C12971" t="s">
        <v>456</v>
      </c>
      <c r="D12971" t="s">
        <v>628</v>
      </c>
      <c r="E12971" t="s">
        <v>629</v>
      </c>
      <c r="F12971" t="s">
        <v>410</v>
      </c>
      <c r="G12971">
        <v>36</v>
      </c>
      <c r="I12971">
        <v>36</v>
      </c>
    </row>
    <row r="12972" spans="1:17" x14ac:dyDescent="0.2">
      <c r="A12972" s="121">
        <v>43524</v>
      </c>
      <c r="B12972" t="s">
        <v>406</v>
      </c>
      <c r="C12972" t="s">
        <v>491</v>
      </c>
      <c r="D12972" t="s">
        <v>492</v>
      </c>
      <c r="E12972" t="s">
        <v>493</v>
      </c>
      <c r="F12972" t="s">
        <v>410</v>
      </c>
      <c r="G12972">
        <v>1421</v>
      </c>
      <c r="H12972">
        <v>1421</v>
      </c>
      <c r="I12972">
        <v>1369</v>
      </c>
      <c r="J12972">
        <v>1369</v>
      </c>
      <c r="K12972">
        <v>200</v>
      </c>
      <c r="L12972">
        <v>1</v>
      </c>
      <c r="M12972">
        <v>1121</v>
      </c>
      <c r="N12972">
        <v>83</v>
      </c>
      <c r="O12972">
        <v>16</v>
      </c>
      <c r="P12972">
        <v>0</v>
      </c>
      <c r="Q12972">
        <v>0</v>
      </c>
    </row>
    <row r="12973" spans="1:17" x14ac:dyDescent="0.2">
      <c r="A12973" s="121">
        <v>43524</v>
      </c>
      <c r="B12973" t="s">
        <v>406</v>
      </c>
      <c r="C12973" t="s">
        <v>491</v>
      </c>
      <c r="D12973" t="s">
        <v>494</v>
      </c>
      <c r="E12973" t="s">
        <v>495</v>
      </c>
      <c r="F12973" t="s">
        <v>413</v>
      </c>
      <c r="G12973">
        <v>2494</v>
      </c>
      <c r="H12973">
        <v>2494</v>
      </c>
      <c r="I12973">
        <v>2275</v>
      </c>
      <c r="J12973">
        <v>2275</v>
      </c>
      <c r="K12973">
        <v>654</v>
      </c>
      <c r="L12973">
        <v>4</v>
      </c>
      <c r="M12973">
        <v>1686</v>
      </c>
      <c r="N12973">
        <v>35</v>
      </c>
      <c r="O12973">
        <v>115</v>
      </c>
      <c r="P12973">
        <v>13</v>
      </c>
      <c r="Q12973">
        <v>0</v>
      </c>
    </row>
    <row r="12974" spans="1:17" x14ac:dyDescent="0.2">
      <c r="A12974" s="121">
        <v>43524</v>
      </c>
      <c r="B12974" t="s">
        <v>406</v>
      </c>
      <c r="C12974" t="s">
        <v>491</v>
      </c>
      <c r="D12974" t="s">
        <v>496</v>
      </c>
      <c r="E12974" t="s">
        <v>497</v>
      </c>
      <c r="F12974" t="s">
        <v>413</v>
      </c>
      <c r="G12974">
        <v>5052</v>
      </c>
      <c r="H12974">
        <v>5052</v>
      </c>
      <c r="I12974">
        <v>4257</v>
      </c>
      <c r="J12974">
        <v>4257</v>
      </c>
      <c r="K12974">
        <v>1698</v>
      </c>
      <c r="L12974">
        <v>6</v>
      </c>
      <c r="M12974">
        <v>3150</v>
      </c>
      <c r="N12974">
        <v>117</v>
      </c>
      <c r="O12974">
        <v>81</v>
      </c>
      <c r="P12974">
        <v>103</v>
      </c>
      <c r="Q12974">
        <v>2</v>
      </c>
    </row>
    <row r="12975" spans="1:17" x14ac:dyDescent="0.2">
      <c r="A12975" s="121">
        <v>43524</v>
      </c>
      <c r="B12975" t="s">
        <v>406</v>
      </c>
      <c r="C12975" t="s">
        <v>491</v>
      </c>
      <c r="D12975" t="s">
        <v>498</v>
      </c>
      <c r="E12975" t="s">
        <v>499</v>
      </c>
      <c r="F12975" t="s">
        <v>413</v>
      </c>
      <c r="G12975">
        <v>7591</v>
      </c>
      <c r="H12975">
        <v>7591</v>
      </c>
      <c r="I12975">
        <v>6256</v>
      </c>
      <c r="J12975">
        <v>6256</v>
      </c>
      <c r="K12975">
        <v>2371</v>
      </c>
      <c r="L12975">
        <v>12</v>
      </c>
      <c r="M12975">
        <v>4721</v>
      </c>
      <c r="N12975">
        <v>88</v>
      </c>
      <c r="O12975">
        <v>399</v>
      </c>
      <c r="P12975">
        <v>74</v>
      </c>
      <c r="Q12975">
        <v>2</v>
      </c>
    </row>
    <row r="12976" spans="1:17" x14ac:dyDescent="0.2">
      <c r="A12976" s="121">
        <v>43524</v>
      </c>
      <c r="B12976" t="s">
        <v>406</v>
      </c>
      <c r="C12976" t="s">
        <v>491</v>
      </c>
      <c r="D12976" t="s">
        <v>500</v>
      </c>
      <c r="E12976" t="s">
        <v>620</v>
      </c>
      <c r="F12976" t="s">
        <v>410</v>
      </c>
      <c r="G12976">
        <v>1639</v>
      </c>
      <c r="H12976">
        <v>1639</v>
      </c>
      <c r="I12976">
        <v>1631</v>
      </c>
      <c r="J12976">
        <v>1631</v>
      </c>
      <c r="K12976">
        <v>0</v>
      </c>
      <c r="L12976">
        <v>0</v>
      </c>
      <c r="M12976">
        <v>1455</v>
      </c>
      <c r="N12976">
        <v>116</v>
      </c>
      <c r="O12976">
        <v>68</v>
      </c>
      <c r="P12976">
        <v>0</v>
      </c>
      <c r="Q12976">
        <v>0</v>
      </c>
    </row>
    <row r="12977" spans="1:17" x14ac:dyDescent="0.2">
      <c r="A12977" s="121">
        <v>43524</v>
      </c>
      <c r="B12977" t="s">
        <v>406</v>
      </c>
      <c r="C12977" t="s">
        <v>491</v>
      </c>
      <c r="D12977" t="s">
        <v>502</v>
      </c>
      <c r="E12977" t="s">
        <v>615</v>
      </c>
      <c r="F12977" t="s">
        <v>410</v>
      </c>
      <c r="G12977">
        <v>2705</v>
      </c>
      <c r="H12977">
        <v>2705</v>
      </c>
      <c r="I12977">
        <v>2704</v>
      </c>
      <c r="J12977">
        <v>2704</v>
      </c>
      <c r="K12977">
        <v>0</v>
      </c>
      <c r="L12977">
        <v>0</v>
      </c>
      <c r="M12977">
        <v>2422</v>
      </c>
      <c r="N12977">
        <v>181</v>
      </c>
      <c r="O12977">
        <v>102</v>
      </c>
      <c r="P12977">
        <v>0</v>
      </c>
      <c r="Q12977">
        <v>0</v>
      </c>
    </row>
    <row r="12978" spans="1:17" x14ac:dyDescent="0.2">
      <c r="A12978" s="121">
        <v>43524</v>
      </c>
      <c r="B12978" t="s">
        <v>406</v>
      </c>
      <c r="C12978" t="s">
        <v>491</v>
      </c>
      <c r="D12978" t="s">
        <v>504</v>
      </c>
      <c r="E12978" t="s">
        <v>630</v>
      </c>
      <c r="F12978" t="s">
        <v>413</v>
      </c>
      <c r="G12978">
        <v>7858</v>
      </c>
      <c r="H12978">
        <v>7858</v>
      </c>
      <c r="I12978">
        <v>6263</v>
      </c>
      <c r="J12978">
        <v>6263</v>
      </c>
      <c r="K12978">
        <v>2441</v>
      </c>
      <c r="L12978">
        <v>22</v>
      </c>
      <c r="M12978">
        <v>5050</v>
      </c>
      <c r="N12978">
        <v>64</v>
      </c>
      <c r="O12978">
        <v>281</v>
      </c>
      <c r="P12978">
        <v>132</v>
      </c>
      <c r="Q12978">
        <v>19</v>
      </c>
    </row>
    <row r="12979" spans="1:17" x14ac:dyDescent="0.2">
      <c r="A12979" s="121">
        <v>43524</v>
      </c>
      <c r="B12979" t="s">
        <v>406</v>
      </c>
      <c r="C12979" t="s">
        <v>491</v>
      </c>
      <c r="D12979" t="s">
        <v>506</v>
      </c>
      <c r="E12979" t="s">
        <v>507</v>
      </c>
      <c r="F12979" t="s">
        <v>413</v>
      </c>
      <c r="G12979">
        <v>5651</v>
      </c>
      <c r="H12979">
        <v>5651</v>
      </c>
      <c r="I12979">
        <v>5332</v>
      </c>
      <c r="J12979">
        <v>5332</v>
      </c>
      <c r="K12979">
        <v>1194</v>
      </c>
      <c r="L12979">
        <v>2</v>
      </c>
      <c r="M12979">
        <v>4412</v>
      </c>
      <c r="N12979">
        <v>4</v>
      </c>
      <c r="O12979">
        <v>39</v>
      </c>
      <c r="P12979">
        <v>1</v>
      </c>
      <c r="Q12979">
        <v>0</v>
      </c>
    </row>
    <row r="12980" spans="1:17" x14ac:dyDescent="0.2">
      <c r="A12980" s="121">
        <v>43524</v>
      </c>
      <c r="B12980" t="s">
        <v>406</v>
      </c>
      <c r="C12980" t="s">
        <v>510</v>
      </c>
      <c r="D12980" t="s">
        <v>513</v>
      </c>
      <c r="E12980" t="s">
        <v>514</v>
      </c>
      <c r="F12980" t="s">
        <v>410</v>
      </c>
      <c r="G12980">
        <v>616</v>
      </c>
      <c r="I12980">
        <v>612</v>
      </c>
    </row>
    <row r="12981" spans="1:17" x14ac:dyDescent="0.2">
      <c r="A12981" s="121">
        <v>43524</v>
      </c>
      <c r="B12981" t="s">
        <v>406</v>
      </c>
      <c r="C12981" t="s">
        <v>510</v>
      </c>
      <c r="D12981" t="s">
        <v>515</v>
      </c>
      <c r="E12981" t="s">
        <v>516</v>
      </c>
      <c r="F12981" t="s">
        <v>410</v>
      </c>
      <c r="G12981">
        <v>78</v>
      </c>
      <c r="I12981">
        <v>78</v>
      </c>
    </row>
    <row r="12982" spans="1:17" x14ac:dyDescent="0.2">
      <c r="A12982" s="121">
        <v>43524</v>
      </c>
      <c r="B12982" t="s">
        <v>406</v>
      </c>
      <c r="C12982" t="s">
        <v>510</v>
      </c>
      <c r="D12982" t="s">
        <v>519</v>
      </c>
      <c r="E12982" t="s">
        <v>520</v>
      </c>
      <c r="F12982" t="s">
        <v>410</v>
      </c>
      <c r="G12982">
        <v>272</v>
      </c>
      <c r="I12982">
        <v>265</v>
      </c>
    </row>
    <row r="12983" spans="1:17" x14ac:dyDescent="0.2">
      <c r="A12983" s="121">
        <v>43524</v>
      </c>
      <c r="B12983" t="s">
        <v>406</v>
      </c>
      <c r="C12983" t="s">
        <v>510</v>
      </c>
      <c r="D12983" t="s">
        <v>523</v>
      </c>
      <c r="E12983" t="s">
        <v>524</v>
      </c>
      <c r="F12983" t="s">
        <v>413</v>
      </c>
      <c r="G12983">
        <v>555</v>
      </c>
      <c r="H12983">
        <v>555</v>
      </c>
      <c r="I12983">
        <v>535</v>
      </c>
      <c r="J12983">
        <v>535</v>
      </c>
      <c r="K12983">
        <v>140</v>
      </c>
      <c r="L12983">
        <v>2</v>
      </c>
      <c r="M12983">
        <v>393</v>
      </c>
      <c r="N12983">
        <v>20</v>
      </c>
      <c r="O12983">
        <v>0</v>
      </c>
      <c r="P12983">
        <v>2</v>
      </c>
      <c r="Q12983">
        <v>0</v>
      </c>
    </row>
    <row r="12984" spans="1:17" x14ac:dyDescent="0.2">
      <c r="A12984" s="121">
        <v>43524</v>
      </c>
      <c r="B12984" t="s">
        <v>406</v>
      </c>
      <c r="C12984" t="s">
        <v>510</v>
      </c>
      <c r="D12984" t="s">
        <v>525</v>
      </c>
      <c r="E12984" t="s">
        <v>526</v>
      </c>
      <c r="F12984" t="s">
        <v>410</v>
      </c>
      <c r="G12984">
        <v>398</v>
      </c>
      <c r="I12984">
        <v>395</v>
      </c>
    </row>
    <row r="12985" spans="1:17" x14ac:dyDescent="0.2">
      <c r="A12985" s="121">
        <v>43524</v>
      </c>
      <c r="B12985" t="s">
        <v>406</v>
      </c>
      <c r="C12985" t="s">
        <v>510</v>
      </c>
      <c r="D12985" t="s">
        <v>527</v>
      </c>
      <c r="E12985" t="s">
        <v>528</v>
      </c>
      <c r="F12985" t="s">
        <v>410</v>
      </c>
      <c r="G12985">
        <v>155</v>
      </c>
      <c r="I12985">
        <v>155</v>
      </c>
    </row>
    <row r="12986" spans="1:17" x14ac:dyDescent="0.2">
      <c r="A12986" s="121">
        <v>43524</v>
      </c>
      <c r="B12986" t="s">
        <v>406</v>
      </c>
      <c r="C12986" t="s">
        <v>510</v>
      </c>
      <c r="D12986" t="s">
        <v>529</v>
      </c>
      <c r="E12986" t="s">
        <v>530</v>
      </c>
      <c r="F12986" t="s">
        <v>413</v>
      </c>
      <c r="G12986">
        <v>608</v>
      </c>
      <c r="H12986">
        <v>608</v>
      </c>
      <c r="I12986">
        <v>566</v>
      </c>
      <c r="J12986">
        <v>566</v>
      </c>
      <c r="K12986">
        <v>166</v>
      </c>
      <c r="L12986">
        <v>1</v>
      </c>
      <c r="M12986">
        <v>440</v>
      </c>
      <c r="N12986">
        <v>1</v>
      </c>
      <c r="O12986">
        <v>0</v>
      </c>
      <c r="P12986">
        <v>7</v>
      </c>
      <c r="Q12986">
        <v>5</v>
      </c>
    </row>
    <row r="12987" spans="1:17" x14ac:dyDescent="0.2">
      <c r="A12987" s="121">
        <v>43524</v>
      </c>
      <c r="B12987" t="s">
        <v>406</v>
      </c>
      <c r="C12987" t="s">
        <v>510</v>
      </c>
      <c r="D12987" t="s">
        <v>531</v>
      </c>
      <c r="E12987" t="s">
        <v>532</v>
      </c>
      <c r="F12987" t="s">
        <v>410</v>
      </c>
      <c r="G12987">
        <v>25</v>
      </c>
      <c r="I12987">
        <v>25</v>
      </c>
    </row>
    <row r="12988" spans="1:17" x14ac:dyDescent="0.2">
      <c r="A12988" s="121">
        <v>43524</v>
      </c>
      <c r="B12988" t="s">
        <v>406</v>
      </c>
      <c r="C12988" t="s">
        <v>510</v>
      </c>
      <c r="D12988" t="s">
        <v>533</v>
      </c>
      <c r="E12988" t="s">
        <v>534</v>
      </c>
      <c r="F12988" t="s">
        <v>413</v>
      </c>
      <c r="G12988">
        <v>2714</v>
      </c>
      <c r="H12988">
        <v>2714</v>
      </c>
      <c r="I12988">
        <v>2444</v>
      </c>
      <c r="J12988">
        <v>2444</v>
      </c>
      <c r="K12988">
        <v>607</v>
      </c>
      <c r="L12988">
        <v>2</v>
      </c>
      <c r="M12988">
        <v>2095</v>
      </c>
      <c r="N12988">
        <v>10</v>
      </c>
      <c r="O12988">
        <v>0</v>
      </c>
      <c r="P12988">
        <v>29</v>
      </c>
      <c r="Q12988">
        <v>0</v>
      </c>
    </row>
    <row r="12989" spans="1:17" x14ac:dyDescent="0.2">
      <c r="A12989" s="121">
        <v>43524</v>
      </c>
      <c r="B12989" t="s">
        <v>406</v>
      </c>
      <c r="C12989" t="s">
        <v>510</v>
      </c>
      <c r="D12989" t="s">
        <v>535</v>
      </c>
      <c r="E12989" t="s">
        <v>536</v>
      </c>
      <c r="F12989" t="s">
        <v>410</v>
      </c>
      <c r="G12989">
        <v>297</v>
      </c>
      <c r="I12989">
        <v>296</v>
      </c>
    </row>
    <row r="12990" spans="1:17" x14ac:dyDescent="0.2">
      <c r="A12990" s="121">
        <v>43524</v>
      </c>
      <c r="B12990" t="s">
        <v>406</v>
      </c>
      <c r="C12990" t="s">
        <v>510</v>
      </c>
      <c r="D12990" t="s">
        <v>537</v>
      </c>
      <c r="E12990" t="s">
        <v>538</v>
      </c>
      <c r="F12990" t="s">
        <v>410</v>
      </c>
      <c r="G12990">
        <v>40</v>
      </c>
      <c r="I12990">
        <v>40</v>
      </c>
    </row>
    <row r="12991" spans="1:17" x14ac:dyDescent="0.2">
      <c r="A12991" s="121">
        <v>43524</v>
      </c>
      <c r="B12991" t="s">
        <v>406</v>
      </c>
      <c r="C12991" t="s">
        <v>510</v>
      </c>
      <c r="D12991" t="s">
        <v>539</v>
      </c>
      <c r="E12991" t="s">
        <v>540</v>
      </c>
      <c r="F12991" t="s">
        <v>413</v>
      </c>
      <c r="G12991">
        <v>639</v>
      </c>
      <c r="H12991">
        <v>639</v>
      </c>
      <c r="I12991">
        <v>615</v>
      </c>
      <c r="J12991">
        <v>615</v>
      </c>
      <c r="K12991">
        <v>144</v>
      </c>
      <c r="L12991">
        <v>0</v>
      </c>
      <c r="M12991">
        <v>492</v>
      </c>
      <c r="N12991">
        <v>3</v>
      </c>
      <c r="O12991">
        <v>0</v>
      </c>
      <c r="P12991">
        <v>1</v>
      </c>
      <c r="Q12991">
        <v>0</v>
      </c>
    </row>
    <row r="12992" spans="1:17" x14ac:dyDescent="0.2">
      <c r="A12992" s="121">
        <v>43524</v>
      </c>
      <c r="B12992" t="s">
        <v>406</v>
      </c>
      <c r="C12992" t="s">
        <v>510</v>
      </c>
      <c r="D12992" t="s">
        <v>541</v>
      </c>
      <c r="E12992" t="s">
        <v>542</v>
      </c>
      <c r="F12992" t="s">
        <v>410</v>
      </c>
      <c r="G12992">
        <v>325</v>
      </c>
      <c r="I12992">
        <v>325</v>
      </c>
    </row>
    <row r="12993" spans="1:17" x14ac:dyDescent="0.2">
      <c r="A12993" s="121">
        <v>43524</v>
      </c>
      <c r="B12993" t="s">
        <v>406</v>
      </c>
      <c r="C12993" t="s">
        <v>510</v>
      </c>
      <c r="D12993" t="s">
        <v>543</v>
      </c>
      <c r="E12993" t="s">
        <v>544</v>
      </c>
      <c r="F12993" t="s">
        <v>410</v>
      </c>
      <c r="G12993">
        <v>172</v>
      </c>
      <c r="I12993">
        <v>171</v>
      </c>
    </row>
    <row r="12994" spans="1:17" x14ac:dyDescent="0.2">
      <c r="A12994" s="121">
        <v>43524</v>
      </c>
      <c r="B12994" t="s">
        <v>406</v>
      </c>
      <c r="C12994" t="s">
        <v>510</v>
      </c>
      <c r="D12994" t="s">
        <v>547</v>
      </c>
      <c r="E12994" t="s">
        <v>548</v>
      </c>
      <c r="F12994" t="s">
        <v>410</v>
      </c>
      <c r="G12994">
        <v>183</v>
      </c>
      <c r="I12994">
        <v>183</v>
      </c>
    </row>
    <row r="12995" spans="1:17" x14ac:dyDescent="0.2">
      <c r="A12995" s="121">
        <v>43524</v>
      </c>
      <c r="B12995" t="s">
        <v>406</v>
      </c>
      <c r="C12995" t="s">
        <v>510</v>
      </c>
      <c r="D12995" t="s">
        <v>616</v>
      </c>
      <c r="E12995" t="s">
        <v>617</v>
      </c>
      <c r="F12995" t="s">
        <v>410</v>
      </c>
      <c r="G12995">
        <v>346</v>
      </c>
      <c r="I12995">
        <v>343</v>
      </c>
    </row>
    <row r="12996" spans="1:17" x14ac:dyDescent="0.2">
      <c r="A12996" s="121">
        <v>43524</v>
      </c>
      <c r="B12996" t="s">
        <v>406</v>
      </c>
      <c r="C12996" t="s">
        <v>510</v>
      </c>
      <c r="D12996" t="s">
        <v>549</v>
      </c>
      <c r="E12996" t="s">
        <v>550</v>
      </c>
      <c r="F12996" t="s">
        <v>410</v>
      </c>
      <c r="G12996">
        <v>136</v>
      </c>
      <c r="I12996">
        <v>136</v>
      </c>
    </row>
    <row r="12997" spans="1:17" x14ac:dyDescent="0.2">
      <c r="A12997" s="121">
        <v>43524</v>
      </c>
      <c r="B12997" t="s">
        <v>406</v>
      </c>
      <c r="C12997" t="s">
        <v>510</v>
      </c>
      <c r="D12997" t="s">
        <v>625</v>
      </c>
      <c r="E12997" t="s">
        <v>626</v>
      </c>
      <c r="F12997" t="s">
        <v>410</v>
      </c>
      <c r="G12997">
        <v>52</v>
      </c>
      <c r="I12997">
        <v>51</v>
      </c>
    </row>
    <row r="12998" spans="1:17" x14ac:dyDescent="0.2">
      <c r="A12998" s="121">
        <v>43524</v>
      </c>
      <c r="B12998" t="s">
        <v>406</v>
      </c>
      <c r="C12998" t="s">
        <v>551</v>
      </c>
      <c r="D12998" t="s">
        <v>552</v>
      </c>
      <c r="E12998" t="s">
        <v>553</v>
      </c>
      <c r="F12998" t="s">
        <v>413</v>
      </c>
      <c r="G12998">
        <v>5510</v>
      </c>
      <c r="H12998">
        <v>5510</v>
      </c>
      <c r="I12998">
        <v>5166</v>
      </c>
      <c r="J12998">
        <v>5166</v>
      </c>
      <c r="K12998">
        <v>1872</v>
      </c>
      <c r="L12998">
        <v>12</v>
      </c>
      <c r="M12998">
        <v>3496</v>
      </c>
      <c r="N12998">
        <v>103</v>
      </c>
      <c r="O12998">
        <v>27</v>
      </c>
      <c r="P12998">
        <v>17</v>
      </c>
      <c r="Q12998">
        <v>8</v>
      </c>
    </row>
    <row r="12999" spans="1:17" x14ac:dyDescent="0.2">
      <c r="A12999" s="121">
        <v>43524</v>
      </c>
      <c r="B12999" t="s">
        <v>406</v>
      </c>
      <c r="C12999" t="s">
        <v>551</v>
      </c>
      <c r="D12999" t="s">
        <v>554</v>
      </c>
      <c r="E12999" t="s">
        <v>555</v>
      </c>
      <c r="F12999" t="s">
        <v>410</v>
      </c>
      <c r="G12999">
        <v>75</v>
      </c>
      <c r="I12999">
        <v>75</v>
      </c>
    </row>
    <row r="13000" spans="1:17" x14ac:dyDescent="0.2">
      <c r="A13000" s="121">
        <v>43524</v>
      </c>
      <c r="B13000" t="s">
        <v>406</v>
      </c>
      <c r="C13000" t="s">
        <v>551</v>
      </c>
      <c r="D13000" t="s">
        <v>556</v>
      </c>
      <c r="E13000" t="s">
        <v>557</v>
      </c>
      <c r="F13000" t="s">
        <v>410</v>
      </c>
      <c r="G13000">
        <v>63</v>
      </c>
      <c r="I13000">
        <v>63</v>
      </c>
    </row>
    <row r="13001" spans="1:17" x14ac:dyDescent="0.2">
      <c r="A13001" s="121">
        <v>43524</v>
      </c>
      <c r="B13001" t="s">
        <v>406</v>
      </c>
      <c r="C13001" t="s">
        <v>551</v>
      </c>
      <c r="D13001" t="s">
        <v>558</v>
      </c>
      <c r="E13001" t="s">
        <v>559</v>
      </c>
      <c r="F13001" t="s">
        <v>413</v>
      </c>
      <c r="G13001">
        <v>5183</v>
      </c>
      <c r="H13001">
        <v>5183</v>
      </c>
      <c r="I13001">
        <v>4633</v>
      </c>
      <c r="J13001">
        <v>4633</v>
      </c>
      <c r="K13001">
        <v>1566</v>
      </c>
      <c r="L13001">
        <v>6</v>
      </c>
      <c r="M13001">
        <v>3521</v>
      </c>
      <c r="N13001">
        <v>74</v>
      </c>
      <c r="O13001">
        <v>16</v>
      </c>
      <c r="P13001">
        <v>89</v>
      </c>
      <c r="Q13001">
        <v>30</v>
      </c>
    </row>
    <row r="13002" spans="1:17" x14ac:dyDescent="0.2">
      <c r="A13002" s="121">
        <v>43524</v>
      </c>
      <c r="B13002" t="s">
        <v>406</v>
      </c>
      <c r="C13002" t="s">
        <v>551</v>
      </c>
      <c r="D13002" t="s">
        <v>560</v>
      </c>
      <c r="E13002" t="s">
        <v>561</v>
      </c>
      <c r="F13002" t="s">
        <v>413</v>
      </c>
      <c r="G13002">
        <v>5707</v>
      </c>
      <c r="H13002">
        <v>5707</v>
      </c>
      <c r="I13002">
        <v>4861</v>
      </c>
      <c r="J13002">
        <v>4861</v>
      </c>
      <c r="K13002">
        <v>1719</v>
      </c>
      <c r="L13002">
        <v>6</v>
      </c>
      <c r="M13002">
        <v>3835</v>
      </c>
      <c r="N13002">
        <v>56</v>
      </c>
      <c r="O13002">
        <v>91</v>
      </c>
      <c r="P13002">
        <v>148</v>
      </c>
      <c r="Q13002">
        <v>24</v>
      </c>
    </row>
    <row r="13003" spans="1:17" x14ac:dyDescent="0.2">
      <c r="A13003" s="121">
        <v>43524</v>
      </c>
      <c r="B13003" t="s">
        <v>406</v>
      </c>
      <c r="C13003" t="s">
        <v>562</v>
      </c>
      <c r="D13003" t="s">
        <v>605</v>
      </c>
      <c r="E13003" t="s">
        <v>606</v>
      </c>
      <c r="F13003" t="s">
        <v>410</v>
      </c>
      <c r="G13003">
        <v>117</v>
      </c>
      <c r="I13003">
        <v>117</v>
      </c>
    </row>
    <row r="13004" spans="1:17" x14ac:dyDescent="0.2">
      <c r="A13004" s="121">
        <v>43524</v>
      </c>
      <c r="B13004" t="s">
        <v>406</v>
      </c>
      <c r="C13004" t="s">
        <v>562</v>
      </c>
      <c r="D13004" t="s">
        <v>563</v>
      </c>
      <c r="E13004" t="s">
        <v>564</v>
      </c>
      <c r="F13004" t="s">
        <v>410</v>
      </c>
      <c r="G13004">
        <v>3931</v>
      </c>
      <c r="H13004">
        <v>3931</v>
      </c>
      <c r="I13004">
        <v>3250</v>
      </c>
      <c r="J13004">
        <v>3250</v>
      </c>
      <c r="K13004">
        <v>1141</v>
      </c>
      <c r="L13004">
        <v>0</v>
      </c>
      <c r="M13004">
        <v>2787</v>
      </c>
      <c r="N13004">
        <v>3</v>
      </c>
      <c r="O13004">
        <v>0</v>
      </c>
      <c r="P13004">
        <v>97</v>
      </c>
      <c r="Q13004">
        <v>25</v>
      </c>
    </row>
    <row r="13005" spans="1:17" x14ac:dyDescent="0.2">
      <c r="A13005" s="121">
        <v>43524</v>
      </c>
      <c r="B13005" t="s">
        <v>406</v>
      </c>
      <c r="C13005" t="s">
        <v>562</v>
      </c>
      <c r="D13005" t="s">
        <v>565</v>
      </c>
      <c r="E13005" t="s">
        <v>566</v>
      </c>
      <c r="F13005" t="s">
        <v>413</v>
      </c>
      <c r="G13005">
        <v>4528</v>
      </c>
      <c r="H13005">
        <v>4528</v>
      </c>
      <c r="I13005">
        <v>3863</v>
      </c>
      <c r="J13005">
        <v>3863</v>
      </c>
      <c r="K13005">
        <v>918</v>
      </c>
      <c r="L13005">
        <v>5</v>
      </c>
      <c r="M13005">
        <v>3548</v>
      </c>
      <c r="N13005">
        <v>57</v>
      </c>
      <c r="O13005">
        <v>0</v>
      </c>
      <c r="P13005">
        <v>77</v>
      </c>
      <c r="Q13005">
        <v>5</v>
      </c>
    </row>
    <row r="13006" spans="1:17" x14ac:dyDescent="0.2">
      <c r="A13006" s="121">
        <v>43524</v>
      </c>
      <c r="B13006" t="s">
        <v>406</v>
      </c>
      <c r="C13006" t="s">
        <v>562</v>
      </c>
      <c r="D13006" t="s">
        <v>567</v>
      </c>
      <c r="E13006" t="s">
        <v>568</v>
      </c>
      <c r="F13006" t="s">
        <v>413</v>
      </c>
      <c r="G13006">
        <v>9452</v>
      </c>
      <c r="H13006">
        <v>9452</v>
      </c>
      <c r="I13006">
        <v>7738</v>
      </c>
      <c r="J13006">
        <v>7738</v>
      </c>
      <c r="K13006">
        <v>2618</v>
      </c>
      <c r="L13006">
        <v>13</v>
      </c>
      <c r="M13006">
        <v>6701</v>
      </c>
      <c r="N13006">
        <v>120</v>
      </c>
      <c r="O13006">
        <v>0</v>
      </c>
      <c r="P13006">
        <v>250</v>
      </c>
      <c r="Q13006">
        <v>56</v>
      </c>
    </row>
    <row r="13007" spans="1:17" x14ac:dyDescent="0.2">
      <c r="A13007" s="121">
        <v>43524</v>
      </c>
      <c r="B13007" t="s">
        <v>406</v>
      </c>
      <c r="C13007" t="s">
        <v>562</v>
      </c>
      <c r="D13007" t="s">
        <v>569</v>
      </c>
      <c r="E13007" t="s">
        <v>570</v>
      </c>
      <c r="F13007" t="s">
        <v>413</v>
      </c>
      <c r="G13007">
        <v>4231</v>
      </c>
      <c r="H13007">
        <v>4231</v>
      </c>
      <c r="I13007">
        <v>3941</v>
      </c>
      <c r="J13007">
        <v>3941</v>
      </c>
      <c r="K13007">
        <v>585</v>
      </c>
      <c r="L13007">
        <v>0</v>
      </c>
      <c r="M13007">
        <v>3644</v>
      </c>
      <c r="N13007">
        <v>2</v>
      </c>
      <c r="O13007">
        <v>0</v>
      </c>
      <c r="P13007">
        <v>17</v>
      </c>
      <c r="Q13007">
        <v>0</v>
      </c>
    </row>
    <row r="13008" spans="1:17" x14ac:dyDescent="0.2">
      <c r="A13008" s="121">
        <v>43524</v>
      </c>
      <c r="B13008" t="s">
        <v>406</v>
      </c>
      <c r="C13008" t="s">
        <v>571</v>
      </c>
      <c r="D13008" t="s">
        <v>572</v>
      </c>
      <c r="E13008" t="s">
        <v>627</v>
      </c>
      <c r="F13008" t="s">
        <v>413</v>
      </c>
      <c r="G13008">
        <v>500</v>
      </c>
      <c r="H13008">
        <v>500</v>
      </c>
      <c r="I13008">
        <v>478</v>
      </c>
      <c r="J13008">
        <v>478</v>
      </c>
      <c r="K13008">
        <v>124</v>
      </c>
      <c r="L13008">
        <v>0</v>
      </c>
      <c r="M13008">
        <v>373</v>
      </c>
      <c r="N13008">
        <v>1</v>
      </c>
      <c r="O13008">
        <v>2</v>
      </c>
      <c r="P13008">
        <v>3</v>
      </c>
      <c r="Q13008">
        <v>1</v>
      </c>
    </row>
    <row r="13009" spans="1:17" x14ac:dyDescent="0.2">
      <c r="A13009" s="121">
        <v>43524</v>
      </c>
      <c r="B13009" t="s">
        <v>406</v>
      </c>
      <c r="C13009" t="s">
        <v>574</v>
      </c>
      <c r="D13009" t="s">
        <v>575</v>
      </c>
      <c r="E13009" t="s">
        <v>576</v>
      </c>
      <c r="F13009" t="s">
        <v>413</v>
      </c>
      <c r="G13009">
        <v>616</v>
      </c>
      <c r="H13009">
        <v>616</v>
      </c>
      <c r="I13009">
        <v>579</v>
      </c>
      <c r="J13009">
        <v>579</v>
      </c>
      <c r="K13009">
        <v>136</v>
      </c>
      <c r="L13009">
        <v>0</v>
      </c>
      <c r="M13009">
        <v>472</v>
      </c>
      <c r="N13009">
        <v>3</v>
      </c>
      <c r="O13009">
        <v>5</v>
      </c>
      <c r="P13009">
        <v>0</v>
      </c>
      <c r="Q13009">
        <v>0</v>
      </c>
    </row>
    <row r="13010" spans="1:17" x14ac:dyDescent="0.2">
      <c r="A13010" s="121">
        <v>43524</v>
      </c>
      <c r="B13010" t="s">
        <v>406</v>
      </c>
      <c r="C13010" t="s">
        <v>577</v>
      </c>
      <c r="D13010" t="s">
        <v>578</v>
      </c>
      <c r="E13010" t="s">
        <v>579</v>
      </c>
      <c r="F13010" t="s">
        <v>413</v>
      </c>
      <c r="G13010">
        <v>3947</v>
      </c>
      <c r="H13010">
        <v>3947</v>
      </c>
      <c r="I13010">
        <v>3720</v>
      </c>
      <c r="J13010">
        <v>3720</v>
      </c>
      <c r="K13010">
        <v>1297</v>
      </c>
      <c r="L13010">
        <v>11</v>
      </c>
      <c r="M13010">
        <v>2362</v>
      </c>
      <c r="N13010">
        <v>213</v>
      </c>
      <c r="O13010">
        <v>64</v>
      </c>
      <c r="P13010">
        <v>0</v>
      </c>
      <c r="Q13010">
        <v>0</v>
      </c>
    </row>
    <row r="13011" spans="1:17" x14ac:dyDescent="0.2">
      <c r="A13011" s="121">
        <v>43524</v>
      </c>
      <c r="B13011" t="s">
        <v>406</v>
      </c>
      <c r="C13011" t="s">
        <v>577</v>
      </c>
      <c r="D13011" t="s">
        <v>580</v>
      </c>
      <c r="E13011" t="s">
        <v>581</v>
      </c>
      <c r="F13011" t="s">
        <v>413</v>
      </c>
      <c r="G13011">
        <v>1900</v>
      </c>
      <c r="H13011">
        <v>1900</v>
      </c>
      <c r="I13011">
        <v>1827</v>
      </c>
      <c r="J13011">
        <v>1827</v>
      </c>
      <c r="K13011">
        <v>328</v>
      </c>
      <c r="L13011">
        <v>3</v>
      </c>
      <c r="M13011">
        <v>1263</v>
      </c>
      <c r="N13011">
        <v>278</v>
      </c>
      <c r="O13011">
        <v>28</v>
      </c>
      <c r="P13011">
        <v>2</v>
      </c>
      <c r="Q13011">
        <v>1</v>
      </c>
    </row>
    <row r="13012" spans="1:17" x14ac:dyDescent="0.2">
      <c r="A13012" s="121">
        <v>43524</v>
      </c>
      <c r="B13012" t="s">
        <v>406</v>
      </c>
      <c r="C13012" t="s">
        <v>577</v>
      </c>
      <c r="D13012" t="s">
        <v>609</v>
      </c>
      <c r="E13012" t="s">
        <v>610</v>
      </c>
      <c r="F13012" t="s">
        <v>410</v>
      </c>
      <c r="G13012">
        <v>17</v>
      </c>
      <c r="H13012">
        <v>17</v>
      </c>
      <c r="I13012">
        <v>17</v>
      </c>
      <c r="J13012">
        <v>17</v>
      </c>
      <c r="K13012">
        <v>0</v>
      </c>
      <c r="L13012">
        <v>0</v>
      </c>
      <c r="M13012">
        <v>14</v>
      </c>
      <c r="N13012">
        <v>2</v>
      </c>
      <c r="O13012">
        <v>1</v>
      </c>
      <c r="P13012">
        <v>0</v>
      </c>
      <c r="Q13012">
        <v>0</v>
      </c>
    </row>
    <row r="13013" spans="1:17" x14ac:dyDescent="0.2">
      <c r="A13013" s="121">
        <v>43524</v>
      </c>
      <c r="B13013" t="s">
        <v>406</v>
      </c>
      <c r="C13013" t="s">
        <v>577</v>
      </c>
      <c r="D13013" t="s">
        <v>584</v>
      </c>
      <c r="E13013" t="s">
        <v>585</v>
      </c>
      <c r="F13013" t="s">
        <v>410</v>
      </c>
      <c r="G13013">
        <v>238</v>
      </c>
      <c r="H13013">
        <v>238</v>
      </c>
      <c r="I13013">
        <v>238</v>
      </c>
      <c r="J13013">
        <v>238</v>
      </c>
      <c r="K13013">
        <v>0</v>
      </c>
      <c r="L13013">
        <v>0</v>
      </c>
      <c r="M13013">
        <v>225</v>
      </c>
      <c r="N13013">
        <v>11</v>
      </c>
      <c r="O13013">
        <v>2</v>
      </c>
      <c r="P13013">
        <v>0</v>
      </c>
      <c r="Q13013">
        <v>0</v>
      </c>
    </row>
    <row r="13014" spans="1:17" x14ac:dyDescent="0.2">
      <c r="A13014" s="121">
        <v>43524</v>
      </c>
      <c r="B13014" t="s">
        <v>406</v>
      </c>
      <c r="C13014" t="s">
        <v>577</v>
      </c>
      <c r="D13014" t="s">
        <v>586</v>
      </c>
      <c r="E13014" t="s">
        <v>587</v>
      </c>
      <c r="F13014" t="s">
        <v>410</v>
      </c>
      <c r="G13014">
        <v>1201</v>
      </c>
      <c r="H13014">
        <v>1201</v>
      </c>
      <c r="I13014">
        <v>1201</v>
      </c>
      <c r="J13014">
        <v>1201</v>
      </c>
      <c r="K13014">
        <v>0</v>
      </c>
      <c r="L13014">
        <v>1</v>
      </c>
      <c r="M13014">
        <v>1104</v>
      </c>
      <c r="N13014">
        <v>91</v>
      </c>
      <c r="O13014">
        <v>5</v>
      </c>
      <c r="P13014">
        <v>0</v>
      </c>
      <c r="Q13014">
        <v>0</v>
      </c>
    </row>
    <row r="13015" spans="1:17" x14ac:dyDescent="0.2">
      <c r="A13015" s="121">
        <v>43524</v>
      </c>
      <c r="B13015" t="s">
        <v>406</v>
      </c>
      <c r="C13015" t="s">
        <v>577</v>
      </c>
      <c r="D13015" t="s">
        <v>588</v>
      </c>
      <c r="E13015" t="s">
        <v>589</v>
      </c>
      <c r="F13015" t="s">
        <v>410</v>
      </c>
      <c r="G13015">
        <v>86</v>
      </c>
      <c r="H13015">
        <v>86</v>
      </c>
      <c r="I13015">
        <v>86</v>
      </c>
      <c r="J13015">
        <v>86</v>
      </c>
      <c r="K13015">
        <v>0</v>
      </c>
      <c r="L13015">
        <v>0</v>
      </c>
      <c r="M13015">
        <v>84</v>
      </c>
      <c r="N13015">
        <v>2</v>
      </c>
      <c r="O13015">
        <v>0</v>
      </c>
      <c r="P13015">
        <v>0</v>
      </c>
      <c r="Q13015">
        <v>0</v>
      </c>
    </row>
    <row r="13016" spans="1:17" x14ac:dyDescent="0.2">
      <c r="A13016" s="121">
        <v>43524</v>
      </c>
      <c r="B13016" t="s">
        <v>406</v>
      </c>
      <c r="C13016" t="s">
        <v>577</v>
      </c>
      <c r="D13016" t="s">
        <v>613</v>
      </c>
      <c r="E13016" t="s">
        <v>614</v>
      </c>
      <c r="F13016" t="s">
        <v>410</v>
      </c>
      <c r="G13016">
        <v>64</v>
      </c>
      <c r="H13016">
        <v>64</v>
      </c>
      <c r="I13016">
        <v>64</v>
      </c>
      <c r="J13016">
        <v>64</v>
      </c>
      <c r="K13016">
        <v>0</v>
      </c>
      <c r="L13016">
        <v>0</v>
      </c>
      <c r="M13016">
        <v>50</v>
      </c>
      <c r="N13016">
        <v>10</v>
      </c>
      <c r="O13016">
        <v>4</v>
      </c>
      <c r="P13016">
        <v>0</v>
      </c>
      <c r="Q13016">
        <v>0</v>
      </c>
    </row>
    <row r="13017" spans="1:17" x14ac:dyDescent="0.2">
      <c r="A13017" s="121">
        <v>43524</v>
      </c>
      <c r="B13017" t="s">
        <v>406</v>
      </c>
      <c r="C13017" t="s">
        <v>577</v>
      </c>
      <c r="D13017" t="s">
        <v>590</v>
      </c>
      <c r="E13017" t="s">
        <v>591</v>
      </c>
      <c r="F13017" t="s">
        <v>410</v>
      </c>
      <c r="G13017">
        <v>406</v>
      </c>
      <c r="H13017">
        <v>406</v>
      </c>
      <c r="I13017">
        <v>406</v>
      </c>
      <c r="J13017">
        <v>406</v>
      </c>
      <c r="K13017">
        <v>0</v>
      </c>
      <c r="L13017">
        <v>0</v>
      </c>
      <c r="M13017">
        <v>390</v>
      </c>
      <c r="N13017">
        <v>16</v>
      </c>
      <c r="O13017">
        <v>0</v>
      </c>
      <c r="P13017">
        <v>0</v>
      </c>
      <c r="Q13017">
        <v>0</v>
      </c>
    </row>
    <row r="13018" spans="1:17" x14ac:dyDescent="0.2">
      <c r="A13018" s="121">
        <v>43524</v>
      </c>
      <c r="B13018" t="s">
        <v>406</v>
      </c>
      <c r="C13018" t="s">
        <v>577</v>
      </c>
      <c r="D13018" t="s">
        <v>607</v>
      </c>
      <c r="E13018" t="s">
        <v>608</v>
      </c>
      <c r="F13018" t="s">
        <v>410</v>
      </c>
      <c r="G13018">
        <v>79</v>
      </c>
      <c r="H13018">
        <v>79</v>
      </c>
      <c r="I13018">
        <v>79</v>
      </c>
      <c r="J13018">
        <v>79</v>
      </c>
      <c r="K13018">
        <v>0</v>
      </c>
      <c r="L13018">
        <v>0</v>
      </c>
      <c r="M13018">
        <v>74</v>
      </c>
      <c r="N13018">
        <v>5</v>
      </c>
      <c r="O13018">
        <v>0</v>
      </c>
      <c r="P13018">
        <v>0</v>
      </c>
      <c r="Q13018">
        <v>0</v>
      </c>
    </row>
    <row r="13019" spans="1:17" x14ac:dyDescent="0.2">
      <c r="A13019" s="121">
        <v>43524</v>
      </c>
      <c r="B13019" t="s">
        <v>406</v>
      </c>
      <c r="C13019" t="s">
        <v>577</v>
      </c>
      <c r="D13019" t="s">
        <v>592</v>
      </c>
      <c r="E13019" t="s">
        <v>593</v>
      </c>
      <c r="F13019" t="s">
        <v>410</v>
      </c>
      <c r="G13019">
        <v>246</v>
      </c>
      <c r="H13019">
        <v>246</v>
      </c>
      <c r="I13019">
        <v>246</v>
      </c>
      <c r="J13019">
        <v>246</v>
      </c>
      <c r="K13019">
        <v>0</v>
      </c>
      <c r="L13019">
        <v>0</v>
      </c>
      <c r="M13019">
        <v>227</v>
      </c>
      <c r="N13019">
        <v>19</v>
      </c>
      <c r="O13019">
        <v>0</v>
      </c>
      <c r="P13019">
        <v>0</v>
      </c>
      <c r="Q13019">
        <v>0</v>
      </c>
    </row>
    <row r="13020" spans="1:17" x14ac:dyDescent="0.2">
      <c r="A13020" s="121">
        <v>43524</v>
      </c>
      <c r="B13020" t="s">
        <v>406</v>
      </c>
      <c r="C13020" t="s">
        <v>594</v>
      </c>
      <c r="D13020" t="s">
        <v>595</v>
      </c>
      <c r="E13020" t="s">
        <v>596</v>
      </c>
      <c r="F13020" t="s">
        <v>410</v>
      </c>
      <c r="G13020">
        <v>37</v>
      </c>
      <c r="I13020">
        <v>37</v>
      </c>
    </row>
    <row r="13021" spans="1:17" x14ac:dyDescent="0.2">
      <c r="A13021" s="121">
        <v>43524</v>
      </c>
      <c r="B13021" t="s">
        <v>406</v>
      </c>
      <c r="C13021" t="s">
        <v>594</v>
      </c>
      <c r="D13021" t="s">
        <v>597</v>
      </c>
      <c r="E13021" t="s">
        <v>598</v>
      </c>
      <c r="F13021" t="s">
        <v>413</v>
      </c>
      <c r="G13021">
        <v>487</v>
      </c>
      <c r="H13021">
        <v>487</v>
      </c>
      <c r="I13021">
        <v>480</v>
      </c>
      <c r="J13021">
        <v>480</v>
      </c>
      <c r="K13021">
        <v>148</v>
      </c>
      <c r="L13021">
        <v>0</v>
      </c>
      <c r="M13021">
        <v>319</v>
      </c>
      <c r="N13021">
        <v>8</v>
      </c>
      <c r="O13021">
        <v>12</v>
      </c>
      <c r="P13021">
        <v>0</v>
      </c>
      <c r="Q13021">
        <v>0</v>
      </c>
    </row>
    <row r="13022" spans="1:17" x14ac:dyDescent="0.2">
      <c r="A13022" s="121">
        <v>43524</v>
      </c>
      <c r="B13022" t="s">
        <v>406</v>
      </c>
      <c r="C13022" t="s">
        <v>594</v>
      </c>
      <c r="D13022" t="s">
        <v>599</v>
      </c>
      <c r="E13022" t="s">
        <v>600</v>
      </c>
      <c r="F13022" t="s">
        <v>410</v>
      </c>
      <c r="G13022">
        <v>121</v>
      </c>
      <c r="H13022">
        <v>121</v>
      </c>
      <c r="I13022">
        <v>121</v>
      </c>
      <c r="J13022">
        <v>121</v>
      </c>
      <c r="K13022">
        <v>15</v>
      </c>
      <c r="L13022">
        <v>0</v>
      </c>
      <c r="M13022">
        <v>106</v>
      </c>
      <c r="N13022">
        <v>0</v>
      </c>
      <c r="O13022">
        <v>0</v>
      </c>
      <c r="P13022">
        <v>0</v>
      </c>
      <c r="Q13022">
        <v>0</v>
      </c>
    </row>
    <row r="13023" spans="1:17" x14ac:dyDescent="0.2">
      <c r="A13023" s="121">
        <v>43555</v>
      </c>
      <c r="B13023" t="s">
        <v>406</v>
      </c>
      <c r="C13023" t="s">
        <v>407</v>
      </c>
      <c r="D13023" t="s">
        <v>408</v>
      </c>
      <c r="E13023" t="s">
        <v>409</v>
      </c>
      <c r="F13023" t="s">
        <v>410</v>
      </c>
      <c r="G13023">
        <v>182</v>
      </c>
      <c r="I13023">
        <v>179</v>
      </c>
    </row>
    <row r="13024" spans="1:17" x14ac:dyDescent="0.2">
      <c r="A13024" s="121">
        <v>43555</v>
      </c>
      <c r="B13024" t="s">
        <v>406</v>
      </c>
      <c r="C13024" t="s">
        <v>407</v>
      </c>
      <c r="D13024" t="s">
        <v>601</v>
      </c>
      <c r="E13024" t="s">
        <v>602</v>
      </c>
      <c r="F13024" t="s">
        <v>410</v>
      </c>
      <c r="G13024">
        <v>48</v>
      </c>
      <c r="I13024">
        <v>47</v>
      </c>
    </row>
    <row r="13025" spans="1:17" x14ac:dyDescent="0.2">
      <c r="A13025" s="121">
        <v>43555</v>
      </c>
      <c r="B13025" t="s">
        <v>406</v>
      </c>
      <c r="C13025" t="s">
        <v>407</v>
      </c>
      <c r="D13025" t="s">
        <v>411</v>
      </c>
      <c r="E13025" t="s">
        <v>412</v>
      </c>
      <c r="F13025" t="s">
        <v>413</v>
      </c>
      <c r="G13025">
        <v>6396</v>
      </c>
      <c r="H13025">
        <v>6396</v>
      </c>
      <c r="I13025">
        <v>5676</v>
      </c>
      <c r="J13025">
        <v>5676</v>
      </c>
      <c r="K13025">
        <v>2129</v>
      </c>
      <c r="L13025">
        <v>9</v>
      </c>
      <c r="M13025">
        <v>3879</v>
      </c>
      <c r="N13025">
        <v>84</v>
      </c>
      <c r="O13025">
        <v>295</v>
      </c>
      <c r="P13025">
        <v>225</v>
      </c>
      <c r="Q13025">
        <v>57</v>
      </c>
    </row>
    <row r="13026" spans="1:17" x14ac:dyDescent="0.2">
      <c r="A13026" s="121">
        <v>43555</v>
      </c>
      <c r="B13026" t="s">
        <v>406</v>
      </c>
      <c r="C13026" t="s">
        <v>407</v>
      </c>
      <c r="D13026" t="s">
        <v>416</v>
      </c>
      <c r="E13026" t="s">
        <v>417</v>
      </c>
      <c r="F13026" t="s">
        <v>413</v>
      </c>
      <c r="G13026">
        <v>3382</v>
      </c>
      <c r="H13026">
        <v>3382</v>
      </c>
      <c r="I13026">
        <v>2777</v>
      </c>
      <c r="J13026">
        <v>2777</v>
      </c>
      <c r="K13026">
        <v>985</v>
      </c>
      <c r="L13026">
        <v>6</v>
      </c>
      <c r="M13026">
        <v>2246</v>
      </c>
      <c r="N13026">
        <v>85</v>
      </c>
      <c r="O13026">
        <v>60</v>
      </c>
      <c r="P13026">
        <v>193</v>
      </c>
      <c r="Q13026">
        <v>68</v>
      </c>
    </row>
    <row r="13027" spans="1:17" x14ac:dyDescent="0.2">
      <c r="A13027" s="121">
        <v>43555</v>
      </c>
      <c r="B13027" t="s">
        <v>406</v>
      </c>
      <c r="C13027" t="s">
        <v>407</v>
      </c>
      <c r="D13027" t="s">
        <v>618</v>
      </c>
      <c r="E13027" t="s">
        <v>619</v>
      </c>
      <c r="F13027" t="s">
        <v>410</v>
      </c>
      <c r="G13027">
        <v>62</v>
      </c>
      <c r="I13027">
        <v>62</v>
      </c>
    </row>
    <row r="13028" spans="1:17" x14ac:dyDescent="0.2">
      <c r="A13028" s="121">
        <v>43555</v>
      </c>
      <c r="B13028" t="s">
        <v>406</v>
      </c>
      <c r="C13028" t="s">
        <v>418</v>
      </c>
      <c r="D13028" t="s">
        <v>419</v>
      </c>
      <c r="E13028" t="s">
        <v>420</v>
      </c>
      <c r="F13028" t="s">
        <v>410</v>
      </c>
      <c r="G13028">
        <v>8</v>
      </c>
      <c r="I13028">
        <v>8</v>
      </c>
    </row>
    <row r="13029" spans="1:17" x14ac:dyDescent="0.2">
      <c r="A13029" s="121">
        <v>43555</v>
      </c>
      <c r="B13029" t="s">
        <v>406</v>
      </c>
      <c r="C13029" t="s">
        <v>418</v>
      </c>
      <c r="D13029" t="s">
        <v>421</v>
      </c>
      <c r="E13029" t="s">
        <v>422</v>
      </c>
      <c r="F13029" t="s">
        <v>410</v>
      </c>
      <c r="G13029">
        <v>66</v>
      </c>
      <c r="I13029">
        <v>66</v>
      </c>
    </row>
    <row r="13030" spans="1:17" x14ac:dyDescent="0.2">
      <c r="A13030" s="121">
        <v>43555</v>
      </c>
      <c r="B13030" t="s">
        <v>406</v>
      </c>
      <c r="C13030" t="s">
        <v>418</v>
      </c>
      <c r="D13030" t="s">
        <v>423</v>
      </c>
      <c r="E13030" t="s">
        <v>424</v>
      </c>
      <c r="F13030" t="s">
        <v>410</v>
      </c>
      <c r="G13030">
        <v>5</v>
      </c>
      <c r="I13030">
        <v>5</v>
      </c>
    </row>
    <row r="13031" spans="1:17" x14ac:dyDescent="0.2">
      <c r="A13031" s="121">
        <v>43555</v>
      </c>
      <c r="B13031" t="s">
        <v>406</v>
      </c>
      <c r="C13031" t="s">
        <v>418</v>
      </c>
      <c r="D13031" t="s">
        <v>425</v>
      </c>
      <c r="E13031" t="s">
        <v>426</v>
      </c>
      <c r="F13031" t="s">
        <v>410</v>
      </c>
      <c r="G13031">
        <v>45</v>
      </c>
      <c r="I13031">
        <v>45</v>
      </c>
    </row>
    <row r="13032" spans="1:17" x14ac:dyDescent="0.2">
      <c r="A13032" s="121">
        <v>43555</v>
      </c>
      <c r="B13032" t="s">
        <v>406</v>
      </c>
      <c r="C13032" t="s">
        <v>418</v>
      </c>
      <c r="D13032" t="s">
        <v>427</v>
      </c>
      <c r="E13032" t="s">
        <v>428</v>
      </c>
      <c r="F13032" t="s">
        <v>413</v>
      </c>
      <c r="G13032">
        <v>2560</v>
      </c>
      <c r="H13032">
        <v>2560</v>
      </c>
      <c r="I13032">
        <v>2471</v>
      </c>
      <c r="J13032">
        <v>2471</v>
      </c>
      <c r="K13032">
        <v>849</v>
      </c>
      <c r="L13032">
        <v>1</v>
      </c>
      <c r="M13032">
        <v>1547</v>
      </c>
      <c r="N13032">
        <v>154</v>
      </c>
      <c r="O13032">
        <v>9</v>
      </c>
      <c r="P13032">
        <v>6</v>
      </c>
      <c r="Q13032">
        <v>1</v>
      </c>
    </row>
    <row r="13033" spans="1:17" x14ac:dyDescent="0.2">
      <c r="A13033" s="121">
        <v>43555</v>
      </c>
      <c r="B13033" t="s">
        <v>406</v>
      </c>
      <c r="C13033" t="s">
        <v>429</v>
      </c>
      <c r="D13033" t="s">
        <v>430</v>
      </c>
      <c r="E13033" t="s">
        <v>431</v>
      </c>
      <c r="F13033" t="s">
        <v>410</v>
      </c>
      <c r="G13033">
        <v>18</v>
      </c>
      <c r="I13033">
        <v>18</v>
      </c>
    </row>
    <row r="13034" spans="1:17" x14ac:dyDescent="0.2">
      <c r="A13034" s="121">
        <v>43555</v>
      </c>
      <c r="B13034" t="s">
        <v>406</v>
      </c>
      <c r="C13034" t="s">
        <v>429</v>
      </c>
      <c r="D13034" t="s">
        <v>432</v>
      </c>
      <c r="E13034" t="s">
        <v>433</v>
      </c>
      <c r="F13034" t="s">
        <v>410</v>
      </c>
      <c r="G13034">
        <v>32</v>
      </c>
      <c r="I13034">
        <v>32</v>
      </c>
    </row>
    <row r="13035" spans="1:17" x14ac:dyDescent="0.2">
      <c r="A13035" s="121">
        <v>43555</v>
      </c>
      <c r="B13035" t="s">
        <v>406</v>
      </c>
      <c r="C13035" t="s">
        <v>429</v>
      </c>
      <c r="D13035" t="s">
        <v>436</v>
      </c>
      <c r="E13035" t="s">
        <v>437</v>
      </c>
      <c r="F13035" t="s">
        <v>410</v>
      </c>
      <c r="G13035">
        <v>20</v>
      </c>
      <c r="H13035">
        <v>20</v>
      </c>
      <c r="I13035">
        <v>19</v>
      </c>
      <c r="J13035">
        <v>19</v>
      </c>
      <c r="K13035">
        <v>0</v>
      </c>
      <c r="L13035">
        <v>0</v>
      </c>
      <c r="M13035">
        <v>18</v>
      </c>
      <c r="N13035">
        <v>2</v>
      </c>
      <c r="O13035">
        <v>0</v>
      </c>
      <c r="P13035">
        <v>0</v>
      </c>
      <c r="Q13035">
        <v>0</v>
      </c>
    </row>
    <row r="13036" spans="1:17" x14ac:dyDescent="0.2">
      <c r="A13036" s="121">
        <v>43555</v>
      </c>
      <c r="B13036" t="s">
        <v>406</v>
      </c>
      <c r="C13036" t="s">
        <v>429</v>
      </c>
      <c r="D13036" t="s">
        <v>438</v>
      </c>
      <c r="E13036" t="s">
        <v>439</v>
      </c>
      <c r="F13036" t="s">
        <v>413</v>
      </c>
      <c r="G13036">
        <v>992</v>
      </c>
      <c r="H13036">
        <v>992</v>
      </c>
      <c r="I13036">
        <v>934</v>
      </c>
      <c r="J13036">
        <v>934</v>
      </c>
      <c r="K13036">
        <v>67</v>
      </c>
      <c r="L13036">
        <v>1</v>
      </c>
      <c r="M13036">
        <v>817</v>
      </c>
      <c r="N13036">
        <v>83</v>
      </c>
      <c r="O13036">
        <v>24</v>
      </c>
      <c r="P13036">
        <v>4</v>
      </c>
      <c r="Q13036">
        <v>0</v>
      </c>
    </row>
    <row r="13037" spans="1:17" x14ac:dyDescent="0.2">
      <c r="A13037" s="121">
        <v>43555</v>
      </c>
      <c r="B13037" t="s">
        <v>406</v>
      </c>
      <c r="C13037" t="s">
        <v>429</v>
      </c>
      <c r="D13037" t="s">
        <v>440</v>
      </c>
      <c r="E13037" t="s">
        <v>441</v>
      </c>
      <c r="F13037" t="s">
        <v>413</v>
      </c>
      <c r="G13037">
        <v>2742</v>
      </c>
      <c r="H13037">
        <v>2742</v>
      </c>
      <c r="I13037">
        <v>2545</v>
      </c>
      <c r="J13037">
        <v>2545</v>
      </c>
      <c r="K13037">
        <v>841</v>
      </c>
      <c r="L13037">
        <v>7</v>
      </c>
      <c r="M13037">
        <v>1788</v>
      </c>
      <c r="N13037">
        <v>71</v>
      </c>
      <c r="O13037">
        <v>35</v>
      </c>
      <c r="P13037">
        <v>19</v>
      </c>
      <c r="Q13037">
        <v>5</v>
      </c>
    </row>
    <row r="13038" spans="1:17" x14ac:dyDescent="0.2">
      <c r="A13038" s="121">
        <v>43555</v>
      </c>
      <c r="B13038" t="s">
        <v>406</v>
      </c>
      <c r="C13038" t="s">
        <v>442</v>
      </c>
      <c r="D13038" t="s">
        <v>443</v>
      </c>
      <c r="E13038" t="s">
        <v>444</v>
      </c>
      <c r="F13038" t="s">
        <v>413</v>
      </c>
      <c r="G13038">
        <v>5794</v>
      </c>
      <c r="H13038">
        <v>5794</v>
      </c>
      <c r="I13038">
        <v>5365</v>
      </c>
      <c r="J13038">
        <v>5365</v>
      </c>
      <c r="K13038">
        <v>1807</v>
      </c>
      <c r="L13038">
        <v>7</v>
      </c>
      <c r="M13038">
        <v>3809</v>
      </c>
      <c r="N13038">
        <v>89</v>
      </c>
      <c r="O13038">
        <v>82</v>
      </c>
      <c r="P13038">
        <v>12</v>
      </c>
      <c r="Q13038">
        <v>0</v>
      </c>
    </row>
    <row r="13039" spans="1:17" x14ac:dyDescent="0.2">
      <c r="A13039" s="121">
        <v>43555</v>
      </c>
      <c r="B13039" t="s">
        <v>406</v>
      </c>
      <c r="C13039" t="s">
        <v>442</v>
      </c>
      <c r="D13039" t="s">
        <v>445</v>
      </c>
      <c r="E13039" t="s">
        <v>446</v>
      </c>
      <c r="F13039" t="s">
        <v>410</v>
      </c>
      <c r="G13039">
        <v>147</v>
      </c>
      <c r="H13039">
        <v>147</v>
      </c>
      <c r="I13039">
        <v>146</v>
      </c>
      <c r="J13039">
        <v>146</v>
      </c>
      <c r="K13039">
        <v>1</v>
      </c>
      <c r="L13039">
        <v>0</v>
      </c>
      <c r="M13039">
        <v>142</v>
      </c>
      <c r="N13039">
        <v>4</v>
      </c>
      <c r="O13039">
        <v>0</v>
      </c>
      <c r="P13039">
        <v>0</v>
      </c>
      <c r="Q13039">
        <v>0</v>
      </c>
    </row>
    <row r="13040" spans="1:17" x14ac:dyDescent="0.2">
      <c r="A13040" s="121">
        <v>43555</v>
      </c>
      <c r="B13040" t="s">
        <v>406</v>
      </c>
      <c r="C13040" t="s">
        <v>442</v>
      </c>
      <c r="D13040" t="s">
        <v>447</v>
      </c>
      <c r="E13040" t="s">
        <v>448</v>
      </c>
      <c r="F13040" t="s">
        <v>410</v>
      </c>
      <c r="G13040">
        <v>264</v>
      </c>
      <c r="H13040">
        <v>264</v>
      </c>
      <c r="I13040">
        <v>264</v>
      </c>
      <c r="J13040">
        <v>264</v>
      </c>
      <c r="K13040">
        <v>0</v>
      </c>
      <c r="L13040">
        <v>0</v>
      </c>
      <c r="M13040">
        <v>256</v>
      </c>
      <c r="N13040">
        <v>8</v>
      </c>
      <c r="O13040">
        <v>0</v>
      </c>
      <c r="P13040">
        <v>0</v>
      </c>
      <c r="Q13040">
        <v>0</v>
      </c>
    </row>
    <row r="13041" spans="1:17" x14ac:dyDescent="0.2">
      <c r="A13041" s="121">
        <v>43555</v>
      </c>
      <c r="B13041" t="s">
        <v>406</v>
      </c>
      <c r="C13041" t="s">
        <v>442</v>
      </c>
      <c r="D13041" t="s">
        <v>449</v>
      </c>
      <c r="E13041" t="s">
        <v>624</v>
      </c>
      <c r="F13041" t="s">
        <v>410</v>
      </c>
      <c r="G13041">
        <v>1726</v>
      </c>
      <c r="H13041">
        <v>1726</v>
      </c>
      <c r="I13041">
        <v>1723</v>
      </c>
      <c r="J13041">
        <v>1723</v>
      </c>
      <c r="K13041">
        <v>20</v>
      </c>
      <c r="L13041">
        <v>0</v>
      </c>
      <c r="M13041">
        <v>1564</v>
      </c>
      <c r="N13041">
        <v>116</v>
      </c>
      <c r="O13041">
        <v>26</v>
      </c>
      <c r="P13041">
        <v>1</v>
      </c>
      <c r="Q13041">
        <v>1</v>
      </c>
    </row>
    <row r="13042" spans="1:17" x14ac:dyDescent="0.2">
      <c r="A13042" s="121">
        <v>43555</v>
      </c>
      <c r="B13042" t="s">
        <v>406</v>
      </c>
      <c r="C13042" t="s">
        <v>451</v>
      </c>
      <c r="D13042" t="s">
        <v>454</v>
      </c>
      <c r="E13042" t="s">
        <v>621</v>
      </c>
      <c r="F13042" t="s">
        <v>410</v>
      </c>
      <c r="G13042">
        <v>1757</v>
      </c>
      <c r="H13042">
        <v>1757</v>
      </c>
      <c r="I13042">
        <v>1757</v>
      </c>
      <c r="J13042">
        <v>1757</v>
      </c>
      <c r="K13042">
        <v>1</v>
      </c>
      <c r="L13042">
        <v>0</v>
      </c>
      <c r="M13042">
        <v>1346</v>
      </c>
      <c r="N13042">
        <v>116</v>
      </c>
      <c r="O13042">
        <v>294</v>
      </c>
      <c r="P13042">
        <v>0</v>
      </c>
      <c r="Q13042">
        <v>0</v>
      </c>
    </row>
    <row r="13043" spans="1:17" x14ac:dyDescent="0.2">
      <c r="A13043" s="121">
        <v>43555</v>
      </c>
      <c r="B13043" t="s">
        <v>406</v>
      </c>
      <c r="C13043" t="s">
        <v>451</v>
      </c>
      <c r="D13043" t="s">
        <v>622</v>
      </c>
      <c r="E13043" t="s">
        <v>623</v>
      </c>
      <c r="F13043" t="s">
        <v>413</v>
      </c>
      <c r="G13043">
        <v>5656</v>
      </c>
      <c r="H13043">
        <v>5656</v>
      </c>
      <c r="I13043">
        <v>5341</v>
      </c>
      <c r="J13043">
        <v>5341</v>
      </c>
      <c r="K13043">
        <v>1490</v>
      </c>
      <c r="L13043">
        <v>6</v>
      </c>
      <c r="M13043">
        <v>3470</v>
      </c>
      <c r="N13043">
        <v>55</v>
      </c>
      <c r="O13043">
        <v>635</v>
      </c>
      <c r="P13043">
        <v>13</v>
      </c>
      <c r="Q13043">
        <v>2</v>
      </c>
    </row>
    <row r="13044" spans="1:17" x14ac:dyDescent="0.2">
      <c r="A13044" s="121">
        <v>43555</v>
      </c>
      <c r="B13044" t="s">
        <v>406</v>
      </c>
      <c r="C13044" t="s">
        <v>456</v>
      </c>
      <c r="D13044" t="s">
        <v>457</v>
      </c>
      <c r="E13044" t="s">
        <v>458</v>
      </c>
      <c r="F13044" t="s">
        <v>413</v>
      </c>
      <c r="G13044">
        <v>5132</v>
      </c>
      <c r="H13044">
        <v>5132</v>
      </c>
      <c r="I13044">
        <v>4632</v>
      </c>
      <c r="J13044">
        <v>4632</v>
      </c>
      <c r="K13044">
        <v>1310</v>
      </c>
      <c r="L13044">
        <v>10</v>
      </c>
      <c r="M13044">
        <v>3426</v>
      </c>
      <c r="N13044">
        <v>16</v>
      </c>
      <c r="O13044">
        <v>370</v>
      </c>
      <c r="P13044">
        <v>22</v>
      </c>
      <c r="Q13044">
        <v>3</v>
      </c>
    </row>
    <row r="13045" spans="1:17" x14ac:dyDescent="0.2">
      <c r="A13045" s="121">
        <v>43555</v>
      </c>
      <c r="B13045" t="s">
        <v>406</v>
      </c>
      <c r="C13045" t="s">
        <v>456</v>
      </c>
      <c r="D13045" t="s">
        <v>459</v>
      </c>
      <c r="E13045" t="s">
        <v>460</v>
      </c>
      <c r="F13045" t="s">
        <v>413</v>
      </c>
      <c r="G13045">
        <v>1591</v>
      </c>
      <c r="H13045">
        <v>1591</v>
      </c>
      <c r="I13045">
        <v>1583</v>
      </c>
      <c r="J13045">
        <v>1583</v>
      </c>
      <c r="K13045">
        <v>114</v>
      </c>
      <c r="L13045">
        <v>0</v>
      </c>
      <c r="M13045">
        <v>1402</v>
      </c>
      <c r="N13045">
        <v>1</v>
      </c>
      <c r="O13045">
        <v>74</v>
      </c>
      <c r="P13045">
        <v>0</v>
      </c>
      <c r="Q13045">
        <v>0</v>
      </c>
    </row>
    <row r="13046" spans="1:17" x14ac:dyDescent="0.2">
      <c r="A13046" s="121">
        <v>43555</v>
      </c>
      <c r="B13046" t="s">
        <v>406</v>
      </c>
      <c r="C13046" t="s">
        <v>456</v>
      </c>
      <c r="D13046" t="s">
        <v>461</v>
      </c>
      <c r="E13046" t="s">
        <v>462</v>
      </c>
      <c r="F13046" t="s">
        <v>410</v>
      </c>
      <c r="G13046">
        <v>84</v>
      </c>
      <c r="I13046">
        <v>84</v>
      </c>
    </row>
    <row r="13047" spans="1:17" x14ac:dyDescent="0.2">
      <c r="A13047" s="121">
        <v>43555</v>
      </c>
      <c r="B13047" t="s">
        <v>406</v>
      </c>
      <c r="C13047" t="s">
        <v>456</v>
      </c>
      <c r="D13047" t="s">
        <v>465</v>
      </c>
      <c r="E13047" t="s">
        <v>466</v>
      </c>
      <c r="F13047" t="s">
        <v>410</v>
      </c>
      <c r="G13047">
        <v>31</v>
      </c>
      <c r="I13047">
        <v>31</v>
      </c>
    </row>
    <row r="13048" spans="1:17" x14ac:dyDescent="0.2">
      <c r="A13048" s="121">
        <v>43555</v>
      </c>
      <c r="B13048" t="s">
        <v>406</v>
      </c>
      <c r="C13048" t="s">
        <v>456</v>
      </c>
      <c r="D13048" t="s">
        <v>467</v>
      </c>
      <c r="E13048" t="s">
        <v>468</v>
      </c>
      <c r="F13048" t="s">
        <v>410</v>
      </c>
      <c r="G13048">
        <v>1336</v>
      </c>
      <c r="I13048">
        <v>1335</v>
      </c>
    </row>
    <row r="13049" spans="1:17" x14ac:dyDescent="0.2">
      <c r="A13049" s="121">
        <v>43555</v>
      </c>
      <c r="B13049" t="s">
        <v>406</v>
      </c>
      <c r="C13049" t="s">
        <v>456</v>
      </c>
      <c r="D13049" t="s">
        <v>469</v>
      </c>
      <c r="E13049" t="s">
        <v>470</v>
      </c>
      <c r="F13049" t="s">
        <v>410</v>
      </c>
      <c r="G13049">
        <v>646</v>
      </c>
      <c r="I13049">
        <v>646</v>
      </c>
    </row>
    <row r="13050" spans="1:17" x14ac:dyDescent="0.2">
      <c r="A13050" s="121">
        <v>43555</v>
      </c>
      <c r="B13050" t="s">
        <v>406</v>
      </c>
      <c r="C13050" t="s">
        <v>456</v>
      </c>
      <c r="D13050" t="s">
        <v>471</v>
      </c>
      <c r="E13050" t="s">
        <v>472</v>
      </c>
      <c r="F13050" t="s">
        <v>410</v>
      </c>
      <c r="G13050">
        <v>240</v>
      </c>
      <c r="I13050">
        <v>239</v>
      </c>
    </row>
    <row r="13051" spans="1:17" x14ac:dyDescent="0.2">
      <c r="A13051" s="121">
        <v>43555</v>
      </c>
      <c r="B13051" t="s">
        <v>406</v>
      </c>
      <c r="C13051" t="s">
        <v>456</v>
      </c>
      <c r="D13051" t="s">
        <v>473</v>
      </c>
      <c r="E13051" t="s">
        <v>474</v>
      </c>
      <c r="F13051" t="s">
        <v>410</v>
      </c>
      <c r="G13051">
        <v>140</v>
      </c>
      <c r="I13051">
        <v>140</v>
      </c>
    </row>
    <row r="13052" spans="1:17" x14ac:dyDescent="0.2">
      <c r="A13052" s="121">
        <v>43555</v>
      </c>
      <c r="B13052" t="s">
        <v>406</v>
      </c>
      <c r="C13052" t="s">
        <v>456</v>
      </c>
      <c r="D13052" t="s">
        <v>475</v>
      </c>
      <c r="E13052" t="s">
        <v>476</v>
      </c>
      <c r="F13052" t="s">
        <v>410</v>
      </c>
      <c r="G13052">
        <v>267</v>
      </c>
      <c r="I13052">
        <v>256</v>
      </c>
    </row>
    <row r="13053" spans="1:17" x14ac:dyDescent="0.2">
      <c r="A13053" s="121">
        <v>43555</v>
      </c>
      <c r="B13053" t="s">
        <v>406</v>
      </c>
      <c r="C13053" t="s">
        <v>456</v>
      </c>
      <c r="D13053" t="s">
        <v>477</v>
      </c>
      <c r="E13053" t="s">
        <v>478</v>
      </c>
      <c r="F13053" t="s">
        <v>413</v>
      </c>
      <c r="G13053">
        <v>2102</v>
      </c>
      <c r="H13053">
        <v>2102</v>
      </c>
      <c r="I13053">
        <v>2000</v>
      </c>
      <c r="J13053">
        <v>2000</v>
      </c>
      <c r="K13053">
        <v>369</v>
      </c>
      <c r="L13053">
        <v>3</v>
      </c>
      <c r="M13053">
        <v>1707</v>
      </c>
      <c r="N13053">
        <v>23</v>
      </c>
      <c r="O13053">
        <v>0</v>
      </c>
      <c r="P13053">
        <v>4</v>
      </c>
      <c r="Q13053">
        <v>0</v>
      </c>
    </row>
    <row r="13054" spans="1:17" x14ac:dyDescent="0.2">
      <c r="A13054" s="121">
        <v>43555</v>
      </c>
      <c r="B13054" t="s">
        <v>406</v>
      </c>
      <c r="C13054" t="s">
        <v>456</v>
      </c>
      <c r="D13054" t="s">
        <v>479</v>
      </c>
      <c r="E13054" t="s">
        <v>480</v>
      </c>
      <c r="F13054" t="s">
        <v>410</v>
      </c>
      <c r="G13054">
        <v>52</v>
      </c>
      <c r="I13054">
        <v>52</v>
      </c>
    </row>
    <row r="13055" spans="1:17" x14ac:dyDescent="0.2">
      <c r="A13055" s="121">
        <v>43555</v>
      </c>
      <c r="B13055" t="s">
        <v>406</v>
      </c>
      <c r="C13055" t="s">
        <v>456</v>
      </c>
      <c r="D13055" t="s">
        <v>481</v>
      </c>
      <c r="E13055" t="s">
        <v>482</v>
      </c>
      <c r="F13055" t="s">
        <v>410</v>
      </c>
      <c r="G13055">
        <v>11</v>
      </c>
      <c r="I13055">
        <v>11</v>
      </c>
    </row>
    <row r="13056" spans="1:17" x14ac:dyDescent="0.2">
      <c r="A13056" s="121">
        <v>43555</v>
      </c>
      <c r="B13056" t="s">
        <v>406</v>
      </c>
      <c r="C13056" t="s">
        <v>456</v>
      </c>
      <c r="D13056" t="s">
        <v>483</v>
      </c>
      <c r="E13056" t="s">
        <v>484</v>
      </c>
      <c r="F13056" t="s">
        <v>410</v>
      </c>
      <c r="G13056">
        <v>85</v>
      </c>
      <c r="I13056">
        <v>85</v>
      </c>
    </row>
    <row r="13057" spans="1:17" x14ac:dyDescent="0.2">
      <c r="A13057" s="121">
        <v>43555</v>
      </c>
      <c r="B13057" t="s">
        <v>406</v>
      </c>
      <c r="C13057" t="s">
        <v>456</v>
      </c>
      <c r="D13057" t="s">
        <v>487</v>
      </c>
      <c r="E13057" t="s">
        <v>488</v>
      </c>
      <c r="F13057" t="s">
        <v>410</v>
      </c>
      <c r="G13057">
        <v>13</v>
      </c>
      <c r="I13057">
        <v>13</v>
      </c>
    </row>
    <row r="13058" spans="1:17" x14ac:dyDescent="0.2">
      <c r="A13058" s="121">
        <v>43555</v>
      </c>
      <c r="B13058" t="s">
        <v>406</v>
      </c>
      <c r="C13058" t="s">
        <v>456</v>
      </c>
      <c r="D13058" t="s">
        <v>489</v>
      </c>
      <c r="E13058" t="s">
        <v>490</v>
      </c>
      <c r="F13058" t="s">
        <v>410</v>
      </c>
      <c r="G13058">
        <v>104</v>
      </c>
      <c r="I13058">
        <v>104</v>
      </c>
    </row>
    <row r="13059" spans="1:17" x14ac:dyDescent="0.2">
      <c r="A13059" s="121">
        <v>43555</v>
      </c>
      <c r="B13059" t="s">
        <v>406</v>
      </c>
      <c r="C13059" t="s">
        <v>456</v>
      </c>
      <c r="D13059" t="s">
        <v>628</v>
      </c>
      <c r="E13059" t="s">
        <v>629</v>
      </c>
      <c r="F13059" t="s">
        <v>410</v>
      </c>
      <c r="G13059">
        <v>37</v>
      </c>
      <c r="I13059">
        <v>37</v>
      </c>
    </row>
    <row r="13060" spans="1:17" x14ac:dyDescent="0.2">
      <c r="A13060" s="121">
        <v>43555</v>
      </c>
      <c r="B13060" t="s">
        <v>406</v>
      </c>
      <c r="C13060" t="s">
        <v>491</v>
      </c>
      <c r="D13060" t="s">
        <v>492</v>
      </c>
      <c r="E13060" t="s">
        <v>493</v>
      </c>
      <c r="F13060" t="s">
        <v>410</v>
      </c>
      <c r="G13060">
        <v>1607</v>
      </c>
      <c r="H13060">
        <v>1607</v>
      </c>
      <c r="I13060">
        <v>1569</v>
      </c>
      <c r="J13060">
        <v>1569</v>
      </c>
      <c r="K13060">
        <v>237</v>
      </c>
      <c r="L13060">
        <v>1</v>
      </c>
      <c r="M13060">
        <v>1290</v>
      </c>
      <c r="N13060">
        <v>63</v>
      </c>
      <c r="O13060">
        <v>16</v>
      </c>
      <c r="P13060">
        <v>1</v>
      </c>
      <c r="Q13060">
        <v>0</v>
      </c>
    </row>
    <row r="13061" spans="1:17" x14ac:dyDescent="0.2">
      <c r="A13061" s="121">
        <v>43555</v>
      </c>
      <c r="B13061" t="s">
        <v>406</v>
      </c>
      <c r="C13061" t="s">
        <v>491</v>
      </c>
      <c r="D13061" t="s">
        <v>494</v>
      </c>
      <c r="E13061" t="s">
        <v>495</v>
      </c>
      <c r="F13061" t="s">
        <v>413</v>
      </c>
      <c r="G13061">
        <v>2731</v>
      </c>
      <c r="H13061">
        <v>2731</v>
      </c>
      <c r="I13061">
        <v>2428</v>
      </c>
      <c r="J13061">
        <v>2428</v>
      </c>
      <c r="K13061">
        <v>692</v>
      </c>
      <c r="L13061">
        <v>4</v>
      </c>
      <c r="M13061">
        <v>1831</v>
      </c>
      <c r="N13061">
        <v>46</v>
      </c>
      <c r="O13061">
        <v>158</v>
      </c>
      <c r="P13061">
        <v>18</v>
      </c>
      <c r="Q13061">
        <v>0</v>
      </c>
    </row>
    <row r="13062" spans="1:17" x14ac:dyDescent="0.2">
      <c r="A13062" s="121">
        <v>43555</v>
      </c>
      <c r="B13062" t="s">
        <v>406</v>
      </c>
      <c r="C13062" t="s">
        <v>491</v>
      </c>
      <c r="D13062" t="s">
        <v>496</v>
      </c>
      <c r="E13062" t="s">
        <v>497</v>
      </c>
      <c r="F13062" t="s">
        <v>413</v>
      </c>
      <c r="G13062">
        <v>5655</v>
      </c>
      <c r="H13062">
        <v>5655</v>
      </c>
      <c r="I13062">
        <v>5100</v>
      </c>
      <c r="J13062">
        <v>5100</v>
      </c>
      <c r="K13062">
        <v>1747</v>
      </c>
      <c r="L13062">
        <v>7</v>
      </c>
      <c r="M13062">
        <v>3686</v>
      </c>
      <c r="N13062">
        <v>103</v>
      </c>
      <c r="O13062">
        <v>112</v>
      </c>
      <c r="P13062">
        <v>56</v>
      </c>
      <c r="Q13062">
        <v>0</v>
      </c>
    </row>
    <row r="13063" spans="1:17" x14ac:dyDescent="0.2">
      <c r="A13063" s="121">
        <v>43555</v>
      </c>
      <c r="B13063" t="s">
        <v>406</v>
      </c>
      <c r="C13063" t="s">
        <v>491</v>
      </c>
      <c r="D13063" t="s">
        <v>498</v>
      </c>
      <c r="E13063" t="s">
        <v>499</v>
      </c>
      <c r="F13063" t="s">
        <v>413</v>
      </c>
      <c r="G13063">
        <v>8290</v>
      </c>
      <c r="H13063">
        <v>8290</v>
      </c>
      <c r="I13063">
        <v>6717</v>
      </c>
      <c r="J13063">
        <v>6717</v>
      </c>
      <c r="K13063">
        <v>2484</v>
      </c>
      <c r="L13063">
        <v>22</v>
      </c>
      <c r="M13063">
        <v>5170</v>
      </c>
      <c r="N13063">
        <v>128</v>
      </c>
      <c r="O13063">
        <v>486</v>
      </c>
      <c r="P13063">
        <v>50</v>
      </c>
      <c r="Q13063">
        <v>0</v>
      </c>
    </row>
    <row r="13064" spans="1:17" x14ac:dyDescent="0.2">
      <c r="A13064" s="121">
        <v>43555</v>
      </c>
      <c r="B13064" t="s">
        <v>406</v>
      </c>
      <c r="C13064" t="s">
        <v>491</v>
      </c>
      <c r="D13064" t="s">
        <v>500</v>
      </c>
      <c r="E13064" t="s">
        <v>620</v>
      </c>
      <c r="F13064" t="s">
        <v>410</v>
      </c>
      <c r="G13064">
        <v>1912</v>
      </c>
      <c r="H13064">
        <v>1912</v>
      </c>
      <c r="I13064">
        <v>1877</v>
      </c>
      <c r="J13064">
        <v>1877</v>
      </c>
      <c r="K13064">
        <v>0</v>
      </c>
      <c r="L13064">
        <v>0</v>
      </c>
      <c r="M13064">
        <v>1656</v>
      </c>
      <c r="N13064">
        <v>130</v>
      </c>
      <c r="O13064">
        <v>126</v>
      </c>
      <c r="P13064">
        <v>0</v>
      </c>
      <c r="Q13064">
        <v>0</v>
      </c>
    </row>
    <row r="13065" spans="1:17" x14ac:dyDescent="0.2">
      <c r="A13065" s="121">
        <v>43555</v>
      </c>
      <c r="B13065" t="s">
        <v>406</v>
      </c>
      <c r="C13065" t="s">
        <v>491</v>
      </c>
      <c r="D13065" t="s">
        <v>502</v>
      </c>
      <c r="E13065" t="s">
        <v>615</v>
      </c>
      <c r="F13065" t="s">
        <v>410</v>
      </c>
      <c r="G13065">
        <v>3062</v>
      </c>
      <c r="H13065">
        <v>3062</v>
      </c>
      <c r="I13065">
        <v>3061</v>
      </c>
      <c r="J13065">
        <v>3061</v>
      </c>
      <c r="K13065">
        <v>1</v>
      </c>
      <c r="L13065">
        <v>1</v>
      </c>
      <c r="M13065">
        <v>2787</v>
      </c>
      <c r="N13065">
        <v>219</v>
      </c>
      <c r="O13065">
        <v>54</v>
      </c>
      <c r="P13065">
        <v>0</v>
      </c>
      <c r="Q13065">
        <v>0</v>
      </c>
    </row>
    <row r="13066" spans="1:17" x14ac:dyDescent="0.2">
      <c r="A13066" s="121">
        <v>43555</v>
      </c>
      <c r="B13066" t="s">
        <v>406</v>
      </c>
      <c r="C13066" t="s">
        <v>491</v>
      </c>
      <c r="D13066" t="s">
        <v>504</v>
      </c>
      <c r="E13066" t="s">
        <v>630</v>
      </c>
      <c r="F13066" t="s">
        <v>413</v>
      </c>
      <c r="G13066">
        <v>8845</v>
      </c>
      <c r="H13066">
        <v>8845</v>
      </c>
      <c r="I13066">
        <v>7356</v>
      </c>
      <c r="J13066">
        <v>7356</v>
      </c>
      <c r="K13066">
        <v>2825</v>
      </c>
      <c r="L13066">
        <v>24</v>
      </c>
      <c r="M13066">
        <v>5646</v>
      </c>
      <c r="N13066">
        <v>43</v>
      </c>
      <c r="O13066">
        <v>307</v>
      </c>
      <c r="P13066">
        <v>36</v>
      </c>
      <c r="Q13066">
        <v>1</v>
      </c>
    </row>
    <row r="13067" spans="1:17" x14ac:dyDescent="0.2">
      <c r="A13067" s="121">
        <v>43555</v>
      </c>
      <c r="B13067" t="s">
        <v>406</v>
      </c>
      <c r="C13067" t="s">
        <v>491</v>
      </c>
      <c r="D13067" t="s">
        <v>506</v>
      </c>
      <c r="E13067" t="s">
        <v>507</v>
      </c>
      <c r="F13067" t="s">
        <v>413</v>
      </c>
      <c r="G13067">
        <v>6171</v>
      </c>
      <c r="H13067">
        <v>6171</v>
      </c>
      <c r="I13067">
        <v>5910</v>
      </c>
      <c r="J13067">
        <v>5910</v>
      </c>
      <c r="K13067">
        <v>1367</v>
      </c>
      <c r="L13067">
        <v>2</v>
      </c>
      <c r="M13067">
        <v>4749</v>
      </c>
      <c r="N13067">
        <v>1</v>
      </c>
      <c r="O13067">
        <v>52</v>
      </c>
      <c r="P13067">
        <v>0</v>
      </c>
      <c r="Q13067">
        <v>0</v>
      </c>
    </row>
    <row r="13068" spans="1:17" x14ac:dyDescent="0.2">
      <c r="A13068" s="121">
        <v>43555</v>
      </c>
      <c r="B13068" t="s">
        <v>406</v>
      </c>
      <c r="C13068" t="s">
        <v>510</v>
      </c>
      <c r="D13068" t="s">
        <v>513</v>
      </c>
      <c r="E13068" t="s">
        <v>514</v>
      </c>
      <c r="F13068" t="s">
        <v>410</v>
      </c>
      <c r="G13068">
        <v>701</v>
      </c>
      <c r="I13068">
        <v>694</v>
      </c>
    </row>
    <row r="13069" spans="1:17" x14ac:dyDescent="0.2">
      <c r="A13069" s="121">
        <v>43555</v>
      </c>
      <c r="B13069" t="s">
        <v>406</v>
      </c>
      <c r="C13069" t="s">
        <v>510</v>
      </c>
      <c r="D13069" t="s">
        <v>515</v>
      </c>
      <c r="E13069" t="s">
        <v>516</v>
      </c>
      <c r="F13069" t="s">
        <v>410</v>
      </c>
      <c r="G13069">
        <v>99</v>
      </c>
      <c r="I13069">
        <v>99</v>
      </c>
    </row>
    <row r="13070" spans="1:17" x14ac:dyDescent="0.2">
      <c r="A13070" s="121">
        <v>43555</v>
      </c>
      <c r="B13070" t="s">
        <v>406</v>
      </c>
      <c r="C13070" t="s">
        <v>510</v>
      </c>
      <c r="D13070" t="s">
        <v>519</v>
      </c>
      <c r="E13070" t="s">
        <v>520</v>
      </c>
      <c r="F13070" t="s">
        <v>410</v>
      </c>
      <c r="G13070">
        <v>381</v>
      </c>
      <c r="I13070">
        <v>370</v>
      </c>
    </row>
    <row r="13071" spans="1:17" x14ac:dyDescent="0.2">
      <c r="A13071" s="121">
        <v>43555</v>
      </c>
      <c r="B13071" t="s">
        <v>406</v>
      </c>
      <c r="C13071" t="s">
        <v>510</v>
      </c>
      <c r="D13071" t="s">
        <v>523</v>
      </c>
      <c r="E13071" t="s">
        <v>524</v>
      </c>
      <c r="F13071" t="s">
        <v>413</v>
      </c>
      <c r="G13071">
        <v>663</v>
      </c>
      <c r="H13071">
        <v>663</v>
      </c>
      <c r="I13071">
        <v>643</v>
      </c>
      <c r="J13071">
        <v>643</v>
      </c>
      <c r="K13071">
        <v>149</v>
      </c>
      <c r="L13071">
        <v>0</v>
      </c>
      <c r="M13071">
        <v>493</v>
      </c>
      <c r="N13071">
        <v>21</v>
      </c>
      <c r="O13071">
        <v>0</v>
      </c>
      <c r="P13071">
        <v>1</v>
      </c>
      <c r="Q13071">
        <v>0</v>
      </c>
    </row>
    <row r="13072" spans="1:17" x14ac:dyDescent="0.2">
      <c r="A13072" s="121">
        <v>43555</v>
      </c>
      <c r="B13072" t="s">
        <v>406</v>
      </c>
      <c r="C13072" t="s">
        <v>510</v>
      </c>
      <c r="D13072" t="s">
        <v>525</v>
      </c>
      <c r="E13072" t="s">
        <v>526</v>
      </c>
      <c r="F13072" t="s">
        <v>410</v>
      </c>
      <c r="G13072">
        <v>573</v>
      </c>
      <c r="I13072">
        <v>572</v>
      </c>
    </row>
    <row r="13073" spans="1:17" x14ac:dyDescent="0.2">
      <c r="A13073" s="121">
        <v>43555</v>
      </c>
      <c r="B13073" t="s">
        <v>406</v>
      </c>
      <c r="C13073" t="s">
        <v>510</v>
      </c>
      <c r="D13073" t="s">
        <v>527</v>
      </c>
      <c r="E13073" t="s">
        <v>528</v>
      </c>
      <c r="F13073" t="s">
        <v>410</v>
      </c>
      <c r="G13073">
        <v>142</v>
      </c>
      <c r="I13073">
        <v>142</v>
      </c>
    </row>
    <row r="13074" spans="1:17" x14ac:dyDescent="0.2">
      <c r="A13074" s="121">
        <v>43555</v>
      </c>
      <c r="B13074" t="s">
        <v>406</v>
      </c>
      <c r="C13074" t="s">
        <v>510</v>
      </c>
      <c r="D13074" t="s">
        <v>529</v>
      </c>
      <c r="E13074" t="s">
        <v>530</v>
      </c>
      <c r="F13074" t="s">
        <v>413</v>
      </c>
      <c r="G13074">
        <v>717</v>
      </c>
      <c r="H13074">
        <v>717</v>
      </c>
      <c r="I13074">
        <v>651</v>
      </c>
      <c r="J13074">
        <v>651</v>
      </c>
      <c r="K13074">
        <v>194</v>
      </c>
      <c r="L13074">
        <v>0</v>
      </c>
      <c r="M13074">
        <v>517</v>
      </c>
      <c r="N13074">
        <v>6</v>
      </c>
      <c r="O13074">
        <v>0</v>
      </c>
      <c r="P13074">
        <v>12</v>
      </c>
      <c r="Q13074">
        <v>3</v>
      </c>
    </row>
    <row r="13075" spans="1:17" x14ac:dyDescent="0.2">
      <c r="A13075" s="121">
        <v>43555</v>
      </c>
      <c r="B13075" t="s">
        <v>406</v>
      </c>
      <c r="C13075" t="s">
        <v>510</v>
      </c>
      <c r="D13075" t="s">
        <v>531</v>
      </c>
      <c r="E13075" t="s">
        <v>532</v>
      </c>
      <c r="F13075" t="s">
        <v>410</v>
      </c>
      <c r="G13075">
        <v>47</v>
      </c>
      <c r="I13075">
        <v>47</v>
      </c>
    </row>
    <row r="13076" spans="1:17" x14ac:dyDescent="0.2">
      <c r="A13076" s="121">
        <v>43555</v>
      </c>
      <c r="B13076" t="s">
        <v>406</v>
      </c>
      <c r="C13076" t="s">
        <v>510</v>
      </c>
      <c r="D13076" t="s">
        <v>533</v>
      </c>
      <c r="E13076" t="s">
        <v>534</v>
      </c>
      <c r="F13076" t="s">
        <v>413</v>
      </c>
      <c r="G13076">
        <v>2955</v>
      </c>
      <c r="H13076">
        <v>2955</v>
      </c>
      <c r="I13076">
        <v>2780</v>
      </c>
      <c r="J13076">
        <v>2780</v>
      </c>
      <c r="K13076">
        <v>699</v>
      </c>
      <c r="L13076">
        <v>3</v>
      </c>
      <c r="M13076">
        <v>2242</v>
      </c>
      <c r="N13076">
        <v>11</v>
      </c>
      <c r="O13076">
        <v>0</v>
      </c>
      <c r="P13076">
        <v>4</v>
      </c>
      <c r="Q13076">
        <v>0</v>
      </c>
    </row>
    <row r="13077" spans="1:17" x14ac:dyDescent="0.2">
      <c r="A13077" s="121">
        <v>43555</v>
      </c>
      <c r="B13077" t="s">
        <v>406</v>
      </c>
      <c r="C13077" t="s">
        <v>510</v>
      </c>
      <c r="D13077" t="s">
        <v>535</v>
      </c>
      <c r="E13077" t="s">
        <v>536</v>
      </c>
      <c r="F13077" t="s">
        <v>410</v>
      </c>
      <c r="G13077">
        <v>340</v>
      </c>
      <c r="I13077">
        <v>340</v>
      </c>
    </row>
    <row r="13078" spans="1:17" x14ac:dyDescent="0.2">
      <c r="A13078" s="121">
        <v>43555</v>
      </c>
      <c r="B13078" t="s">
        <v>406</v>
      </c>
      <c r="C13078" t="s">
        <v>510</v>
      </c>
      <c r="D13078" t="s">
        <v>537</v>
      </c>
      <c r="E13078" t="s">
        <v>538</v>
      </c>
      <c r="F13078" t="s">
        <v>410</v>
      </c>
      <c r="G13078">
        <v>47</v>
      </c>
      <c r="I13078">
        <v>47</v>
      </c>
    </row>
    <row r="13079" spans="1:17" x14ac:dyDescent="0.2">
      <c r="A13079" s="121">
        <v>43555</v>
      </c>
      <c r="B13079" t="s">
        <v>406</v>
      </c>
      <c r="C13079" t="s">
        <v>510</v>
      </c>
      <c r="D13079" t="s">
        <v>539</v>
      </c>
      <c r="E13079" t="s">
        <v>540</v>
      </c>
      <c r="F13079" t="s">
        <v>413</v>
      </c>
      <c r="G13079">
        <v>739</v>
      </c>
      <c r="H13079">
        <v>739</v>
      </c>
      <c r="I13079">
        <v>709</v>
      </c>
      <c r="J13079">
        <v>709</v>
      </c>
      <c r="K13079">
        <v>136</v>
      </c>
      <c r="L13079">
        <v>0</v>
      </c>
      <c r="M13079">
        <v>601</v>
      </c>
      <c r="N13079">
        <v>2</v>
      </c>
      <c r="O13079">
        <v>0</v>
      </c>
      <c r="P13079">
        <v>2</v>
      </c>
      <c r="Q13079">
        <v>0</v>
      </c>
    </row>
    <row r="13080" spans="1:17" x14ac:dyDescent="0.2">
      <c r="A13080" s="121">
        <v>43555</v>
      </c>
      <c r="B13080" t="s">
        <v>406</v>
      </c>
      <c r="C13080" t="s">
        <v>510</v>
      </c>
      <c r="D13080" t="s">
        <v>541</v>
      </c>
      <c r="E13080" t="s">
        <v>542</v>
      </c>
      <c r="F13080" t="s">
        <v>410</v>
      </c>
      <c r="G13080">
        <v>396</v>
      </c>
      <c r="I13080">
        <v>394</v>
      </c>
    </row>
    <row r="13081" spans="1:17" x14ac:dyDescent="0.2">
      <c r="A13081" s="121">
        <v>43555</v>
      </c>
      <c r="B13081" t="s">
        <v>406</v>
      </c>
      <c r="C13081" t="s">
        <v>510</v>
      </c>
      <c r="D13081" t="s">
        <v>543</v>
      </c>
      <c r="E13081" t="s">
        <v>544</v>
      </c>
      <c r="F13081" t="s">
        <v>410</v>
      </c>
      <c r="G13081">
        <v>175</v>
      </c>
      <c r="I13081">
        <v>175</v>
      </c>
    </row>
    <row r="13082" spans="1:17" x14ac:dyDescent="0.2">
      <c r="A13082" s="121">
        <v>43555</v>
      </c>
      <c r="B13082" t="s">
        <v>406</v>
      </c>
      <c r="C13082" t="s">
        <v>510</v>
      </c>
      <c r="D13082" t="s">
        <v>547</v>
      </c>
      <c r="E13082" t="s">
        <v>548</v>
      </c>
      <c r="F13082" t="s">
        <v>410</v>
      </c>
      <c r="G13082">
        <v>164</v>
      </c>
      <c r="I13082">
        <v>164</v>
      </c>
    </row>
    <row r="13083" spans="1:17" x14ac:dyDescent="0.2">
      <c r="A13083" s="121">
        <v>43555</v>
      </c>
      <c r="B13083" t="s">
        <v>406</v>
      </c>
      <c r="C13083" t="s">
        <v>510</v>
      </c>
      <c r="D13083" t="s">
        <v>616</v>
      </c>
      <c r="E13083" t="s">
        <v>617</v>
      </c>
      <c r="F13083" t="s">
        <v>410</v>
      </c>
      <c r="G13083">
        <v>409</v>
      </c>
      <c r="I13083">
        <v>404</v>
      </c>
    </row>
    <row r="13084" spans="1:17" x14ac:dyDescent="0.2">
      <c r="A13084" s="121">
        <v>43555</v>
      </c>
      <c r="B13084" t="s">
        <v>406</v>
      </c>
      <c r="C13084" t="s">
        <v>510</v>
      </c>
      <c r="D13084" t="s">
        <v>549</v>
      </c>
      <c r="E13084" t="s">
        <v>550</v>
      </c>
      <c r="F13084" t="s">
        <v>410</v>
      </c>
      <c r="G13084">
        <v>119</v>
      </c>
      <c r="I13084">
        <v>119</v>
      </c>
    </row>
    <row r="13085" spans="1:17" x14ac:dyDescent="0.2">
      <c r="A13085" s="121">
        <v>43555</v>
      </c>
      <c r="B13085" t="s">
        <v>406</v>
      </c>
      <c r="C13085" t="s">
        <v>510</v>
      </c>
      <c r="D13085" t="s">
        <v>625</v>
      </c>
      <c r="E13085" t="s">
        <v>626</v>
      </c>
      <c r="F13085" t="s">
        <v>410</v>
      </c>
      <c r="G13085">
        <v>86</v>
      </c>
      <c r="I13085">
        <v>86</v>
      </c>
    </row>
    <row r="13086" spans="1:17" x14ac:dyDescent="0.2">
      <c r="A13086" s="121">
        <v>43555</v>
      </c>
      <c r="B13086" t="s">
        <v>406</v>
      </c>
      <c r="C13086" t="s">
        <v>551</v>
      </c>
      <c r="D13086" t="s">
        <v>552</v>
      </c>
      <c r="E13086" t="s">
        <v>553</v>
      </c>
      <c r="F13086" t="s">
        <v>413</v>
      </c>
      <c r="G13086">
        <v>6074</v>
      </c>
      <c r="H13086">
        <v>6074</v>
      </c>
      <c r="I13086">
        <v>5748</v>
      </c>
      <c r="J13086">
        <v>5748</v>
      </c>
      <c r="K13086">
        <v>2131</v>
      </c>
      <c r="L13086">
        <v>9</v>
      </c>
      <c r="M13086">
        <v>3781</v>
      </c>
      <c r="N13086">
        <v>104</v>
      </c>
      <c r="O13086">
        <v>49</v>
      </c>
      <c r="P13086">
        <v>14</v>
      </c>
      <c r="Q13086">
        <v>2</v>
      </c>
    </row>
    <row r="13087" spans="1:17" x14ac:dyDescent="0.2">
      <c r="A13087" s="121">
        <v>43555</v>
      </c>
      <c r="B13087" t="s">
        <v>406</v>
      </c>
      <c r="C13087" t="s">
        <v>551</v>
      </c>
      <c r="D13087" t="s">
        <v>554</v>
      </c>
      <c r="E13087" t="s">
        <v>555</v>
      </c>
      <c r="F13087" t="s">
        <v>410</v>
      </c>
      <c r="G13087">
        <v>62</v>
      </c>
      <c r="H13087">
        <v>62</v>
      </c>
      <c r="I13087">
        <v>62</v>
      </c>
      <c r="J13087">
        <v>62</v>
      </c>
      <c r="K13087">
        <v>4</v>
      </c>
      <c r="L13087">
        <v>0</v>
      </c>
      <c r="M13087">
        <v>52</v>
      </c>
      <c r="N13087">
        <v>3</v>
      </c>
      <c r="O13087">
        <v>3</v>
      </c>
      <c r="P13087">
        <v>0</v>
      </c>
      <c r="Q13087">
        <v>0</v>
      </c>
    </row>
    <row r="13088" spans="1:17" x14ac:dyDescent="0.2">
      <c r="A13088" s="121">
        <v>43555</v>
      </c>
      <c r="B13088" t="s">
        <v>406</v>
      </c>
      <c r="C13088" t="s">
        <v>551</v>
      </c>
      <c r="D13088" t="s">
        <v>556</v>
      </c>
      <c r="E13088" t="s">
        <v>557</v>
      </c>
      <c r="F13088" t="s">
        <v>410</v>
      </c>
      <c r="G13088">
        <v>31</v>
      </c>
      <c r="H13088">
        <v>31</v>
      </c>
      <c r="I13088">
        <v>31</v>
      </c>
      <c r="J13088">
        <v>31</v>
      </c>
      <c r="K13088">
        <v>0</v>
      </c>
      <c r="L13088">
        <v>0</v>
      </c>
      <c r="M13088">
        <v>27</v>
      </c>
      <c r="N13088">
        <v>4</v>
      </c>
      <c r="O13088">
        <v>0</v>
      </c>
      <c r="P13088">
        <v>0</v>
      </c>
      <c r="Q13088">
        <v>0</v>
      </c>
    </row>
    <row r="13089" spans="1:17" x14ac:dyDescent="0.2">
      <c r="A13089" s="121">
        <v>43555</v>
      </c>
      <c r="B13089" t="s">
        <v>406</v>
      </c>
      <c r="C13089" t="s">
        <v>551</v>
      </c>
      <c r="D13089" t="s">
        <v>558</v>
      </c>
      <c r="E13089" t="s">
        <v>559</v>
      </c>
      <c r="F13089" t="s">
        <v>413</v>
      </c>
      <c r="G13089">
        <v>5642</v>
      </c>
      <c r="H13089">
        <v>5642</v>
      </c>
      <c r="I13089">
        <v>5062</v>
      </c>
      <c r="J13089">
        <v>5062</v>
      </c>
      <c r="K13089">
        <v>1683</v>
      </c>
      <c r="L13089">
        <v>5</v>
      </c>
      <c r="M13089">
        <v>3871</v>
      </c>
      <c r="N13089">
        <v>67</v>
      </c>
      <c r="O13089">
        <v>16</v>
      </c>
      <c r="P13089">
        <v>77</v>
      </c>
      <c r="Q13089">
        <v>23</v>
      </c>
    </row>
    <row r="13090" spans="1:17" x14ac:dyDescent="0.2">
      <c r="A13090" s="121">
        <v>43555</v>
      </c>
      <c r="B13090" t="s">
        <v>406</v>
      </c>
      <c r="C13090" t="s">
        <v>551</v>
      </c>
      <c r="D13090" t="s">
        <v>560</v>
      </c>
      <c r="E13090" t="s">
        <v>561</v>
      </c>
      <c r="F13090" t="s">
        <v>413</v>
      </c>
      <c r="G13090">
        <v>6281</v>
      </c>
      <c r="H13090">
        <v>6281</v>
      </c>
      <c r="I13090">
        <v>5687</v>
      </c>
      <c r="J13090">
        <v>5687</v>
      </c>
      <c r="K13090">
        <v>1824</v>
      </c>
      <c r="L13090">
        <v>8</v>
      </c>
      <c r="M13090">
        <v>4351</v>
      </c>
      <c r="N13090">
        <v>69</v>
      </c>
      <c r="O13090">
        <v>29</v>
      </c>
      <c r="P13090">
        <v>67</v>
      </c>
      <c r="Q13090">
        <v>4</v>
      </c>
    </row>
    <row r="13091" spans="1:17" x14ac:dyDescent="0.2">
      <c r="A13091" s="121">
        <v>43555</v>
      </c>
      <c r="B13091" t="s">
        <v>406</v>
      </c>
      <c r="C13091" t="s">
        <v>562</v>
      </c>
      <c r="D13091" t="s">
        <v>605</v>
      </c>
      <c r="E13091" t="s">
        <v>606</v>
      </c>
      <c r="F13091" t="s">
        <v>410</v>
      </c>
      <c r="G13091">
        <v>135</v>
      </c>
      <c r="I13091">
        <v>135</v>
      </c>
    </row>
    <row r="13092" spans="1:17" x14ac:dyDescent="0.2">
      <c r="A13092" s="121">
        <v>43555</v>
      </c>
      <c r="B13092" t="s">
        <v>406</v>
      </c>
      <c r="C13092" t="s">
        <v>562</v>
      </c>
      <c r="D13092" t="s">
        <v>563</v>
      </c>
      <c r="E13092" t="s">
        <v>564</v>
      </c>
      <c r="F13092" t="s">
        <v>410</v>
      </c>
      <c r="G13092">
        <v>4140</v>
      </c>
      <c r="H13092">
        <v>4140</v>
      </c>
      <c r="I13092">
        <v>3733</v>
      </c>
      <c r="J13092">
        <v>3733</v>
      </c>
      <c r="K13092">
        <v>1143</v>
      </c>
      <c r="L13092">
        <v>0</v>
      </c>
      <c r="M13092">
        <v>2982</v>
      </c>
      <c r="N13092">
        <v>15</v>
      </c>
      <c r="O13092">
        <v>0</v>
      </c>
      <c r="P13092">
        <v>24</v>
      </c>
      <c r="Q13092">
        <v>5</v>
      </c>
    </row>
    <row r="13093" spans="1:17" x14ac:dyDescent="0.2">
      <c r="A13093" s="121">
        <v>43555</v>
      </c>
      <c r="B13093" t="s">
        <v>406</v>
      </c>
      <c r="C13093" t="s">
        <v>562</v>
      </c>
      <c r="D13093" t="s">
        <v>565</v>
      </c>
      <c r="E13093" t="s">
        <v>566</v>
      </c>
      <c r="F13093" t="s">
        <v>413</v>
      </c>
      <c r="G13093">
        <v>5000</v>
      </c>
      <c r="H13093">
        <v>5000</v>
      </c>
      <c r="I13093">
        <v>4602</v>
      </c>
      <c r="J13093">
        <v>4602</v>
      </c>
      <c r="K13093">
        <v>978</v>
      </c>
      <c r="L13093">
        <v>3</v>
      </c>
      <c r="M13093">
        <v>3939</v>
      </c>
      <c r="N13093">
        <v>80</v>
      </c>
      <c r="O13093">
        <v>0</v>
      </c>
      <c r="P13093">
        <v>23</v>
      </c>
      <c r="Q13093">
        <v>4</v>
      </c>
    </row>
    <row r="13094" spans="1:17" x14ac:dyDescent="0.2">
      <c r="A13094" s="121">
        <v>43555</v>
      </c>
      <c r="B13094" t="s">
        <v>406</v>
      </c>
      <c r="C13094" t="s">
        <v>562</v>
      </c>
      <c r="D13094" t="s">
        <v>567</v>
      </c>
      <c r="E13094" t="s">
        <v>568</v>
      </c>
      <c r="F13094" t="s">
        <v>413</v>
      </c>
      <c r="G13094">
        <v>10425</v>
      </c>
      <c r="H13094">
        <v>10425</v>
      </c>
      <c r="I13094">
        <v>8588</v>
      </c>
      <c r="J13094">
        <v>8588</v>
      </c>
      <c r="K13094">
        <v>2928</v>
      </c>
      <c r="L13094">
        <v>7</v>
      </c>
      <c r="M13094">
        <v>7350</v>
      </c>
      <c r="N13094">
        <v>140</v>
      </c>
      <c r="O13094">
        <v>0</v>
      </c>
      <c r="P13094">
        <v>202</v>
      </c>
      <c r="Q13094">
        <v>52</v>
      </c>
    </row>
    <row r="13095" spans="1:17" x14ac:dyDescent="0.2">
      <c r="A13095" s="121">
        <v>43555</v>
      </c>
      <c r="B13095" t="s">
        <v>406</v>
      </c>
      <c r="C13095" t="s">
        <v>562</v>
      </c>
      <c r="D13095" t="s">
        <v>569</v>
      </c>
      <c r="E13095" t="s">
        <v>570</v>
      </c>
      <c r="F13095" t="s">
        <v>413</v>
      </c>
      <c r="G13095">
        <v>4705</v>
      </c>
      <c r="H13095">
        <v>4705</v>
      </c>
      <c r="I13095">
        <v>4339</v>
      </c>
      <c r="J13095">
        <v>4339</v>
      </c>
      <c r="K13095">
        <v>653</v>
      </c>
      <c r="L13095">
        <v>0</v>
      </c>
      <c r="M13095">
        <v>4052</v>
      </c>
      <c r="N13095">
        <v>0</v>
      </c>
      <c r="O13095">
        <v>0</v>
      </c>
      <c r="P13095">
        <v>14</v>
      </c>
      <c r="Q13095">
        <v>0</v>
      </c>
    </row>
    <row r="13096" spans="1:17" x14ac:dyDescent="0.2">
      <c r="A13096" s="121">
        <v>43555</v>
      </c>
      <c r="B13096" t="s">
        <v>406</v>
      </c>
      <c r="C13096" t="s">
        <v>571</v>
      </c>
      <c r="D13096" t="s">
        <v>572</v>
      </c>
      <c r="E13096" t="s">
        <v>627</v>
      </c>
      <c r="F13096" t="s">
        <v>413</v>
      </c>
      <c r="G13096">
        <v>552</v>
      </c>
      <c r="H13096">
        <v>552</v>
      </c>
      <c r="I13096">
        <v>517</v>
      </c>
      <c r="J13096">
        <v>517</v>
      </c>
      <c r="K13096">
        <v>136</v>
      </c>
      <c r="L13096">
        <v>0</v>
      </c>
      <c r="M13096">
        <v>408</v>
      </c>
      <c r="N13096">
        <v>5</v>
      </c>
      <c r="O13096">
        <v>3</v>
      </c>
      <c r="P13096">
        <v>2</v>
      </c>
      <c r="Q13096">
        <v>0</v>
      </c>
    </row>
    <row r="13097" spans="1:17" x14ac:dyDescent="0.2">
      <c r="A13097" s="121">
        <v>43555</v>
      </c>
      <c r="B13097" t="s">
        <v>406</v>
      </c>
      <c r="C13097" t="s">
        <v>574</v>
      </c>
      <c r="D13097" t="s">
        <v>575</v>
      </c>
      <c r="E13097" t="s">
        <v>576</v>
      </c>
      <c r="F13097" t="s">
        <v>413</v>
      </c>
      <c r="G13097">
        <v>668</v>
      </c>
      <c r="H13097">
        <v>668</v>
      </c>
      <c r="I13097">
        <v>648</v>
      </c>
      <c r="J13097">
        <v>648</v>
      </c>
      <c r="K13097">
        <v>142</v>
      </c>
      <c r="L13097">
        <v>1</v>
      </c>
      <c r="M13097">
        <v>510</v>
      </c>
      <c r="N13097">
        <v>3</v>
      </c>
      <c r="O13097">
        <v>12</v>
      </c>
      <c r="P13097">
        <v>0</v>
      </c>
      <c r="Q13097">
        <v>0</v>
      </c>
    </row>
    <row r="13098" spans="1:17" x14ac:dyDescent="0.2">
      <c r="A13098" s="121">
        <v>43555</v>
      </c>
      <c r="B13098" t="s">
        <v>406</v>
      </c>
      <c r="C13098" t="s">
        <v>577</v>
      </c>
      <c r="D13098" t="s">
        <v>578</v>
      </c>
      <c r="E13098" t="s">
        <v>579</v>
      </c>
      <c r="F13098" t="s">
        <v>413</v>
      </c>
      <c r="G13098">
        <v>4526</v>
      </c>
      <c r="H13098">
        <v>4526</v>
      </c>
      <c r="I13098">
        <v>4282</v>
      </c>
      <c r="J13098">
        <v>4282</v>
      </c>
      <c r="K13098">
        <v>1440</v>
      </c>
      <c r="L13098">
        <v>8</v>
      </c>
      <c r="M13098">
        <v>2806</v>
      </c>
      <c r="N13098">
        <v>195</v>
      </c>
      <c r="O13098">
        <v>77</v>
      </c>
      <c r="P13098">
        <v>3</v>
      </c>
      <c r="Q13098">
        <v>0</v>
      </c>
    </row>
    <row r="13099" spans="1:17" x14ac:dyDescent="0.2">
      <c r="A13099" s="121">
        <v>43555</v>
      </c>
      <c r="B13099" t="s">
        <v>406</v>
      </c>
      <c r="C13099" t="s">
        <v>577</v>
      </c>
      <c r="D13099" t="s">
        <v>580</v>
      </c>
      <c r="E13099" t="s">
        <v>581</v>
      </c>
      <c r="F13099" t="s">
        <v>413</v>
      </c>
      <c r="G13099">
        <v>2174</v>
      </c>
      <c r="H13099">
        <v>2174</v>
      </c>
      <c r="I13099">
        <v>2072</v>
      </c>
      <c r="J13099">
        <v>2072</v>
      </c>
      <c r="K13099">
        <v>428</v>
      </c>
      <c r="L13099">
        <v>3</v>
      </c>
      <c r="M13099">
        <v>1407</v>
      </c>
      <c r="N13099">
        <v>309</v>
      </c>
      <c r="O13099">
        <v>27</v>
      </c>
      <c r="P13099">
        <v>2</v>
      </c>
      <c r="Q13099">
        <v>0</v>
      </c>
    </row>
    <row r="13100" spans="1:17" x14ac:dyDescent="0.2">
      <c r="A13100" s="121">
        <v>43555</v>
      </c>
      <c r="B13100" t="s">
        <v>406</v>
      </c>
      <c r="C13100" t="s">
        <v>577</v>
      </c>
      <c r="D13100" t="s">
        <v>609</v>
      </c>
      <c r="E13100" t="s">
        <v>610</v>
      </c>
      <c r="F13100" t="s">
        <v>410</v>
      </c>
      <c r="G13100">
        <v>25</v>
      </c>
      <c r="H13100">
        <v>25</v>
      </c>
      <c r="I13100">
        <v>25</v>
      </c>
      <c r="J13100">
        <v>25</v>
      </c>
      <c r="K13100">
        <v>0</v>
      </c>
      <c r="L13100">
        <v>0</v>
      </c>
      <c r="M13100">
        <v>21</v>
      </c>
      <c r="N13100">
        <v>3</v>
      </c>
      <c r="O13100">
        <v>1</v>
      </c>
      <c r="P13100">
        <v>0</v>
      </c>
      <c r="Q13100">
        <v>0</v>
      </c>
    </row>
    <row r="13101" spans="1:17" x14ac:dyDescent="0.2">
      <c r="A13101" s="121">
        <v>43555</v>
      </c>
      <c r="B13101" t="s">
        <v>406</v>
      </c>
      <c r="C13101" t="s">
        <v>577</v>
      </c>
      <c r="D13101" t="s">
        <v>584</v>
      </c>
      <c r="E13101" t="s">
        <v>585</v>
      </c>
      <c r="F13101" t="s">
        <v>410</v>
      </c>
      <c r="G13101">
        <v>270</v>
      </c>
      <c r="H13101">
        <v>270</v>
      </c>
      <c r="I13101">
        <v>269</v>
      </c>
      <c r="J13101">
        <v>269</v>
      </c>
      <c r="K13101">
        <v>0</v>
      </c>
      <c r="L13101">
        <v>0</v>
      </c>
      <c r="M13101">
        <v>258</v>
      </c>
      <c r="N13101">
        <v>10</v>
      </c>
      <c r="O13101">
        <v>2</v>
      </c>
      <c r="P13101">
        <v>0</v>
      </c>
      <c r="Q13101">
        <v>0</v>
      </c>
    </row>
    <row r="13102" spans="1:17" x14ac:dyDescent="0.2">
      <c r="A13102" s="121">
        <v>43555</v>
      </c>
      <c r="B13102" t="s">
        <v>406</v>
      </c>
      <c r="C13102" t="s">
        <v>577</v>
      </c>
      <c r="D13102" t="s">
        <v>586</v>
      </c>
      <c r="E13102" t="s">
        <v>587</v>
      </c>
      <c r="F13102" t="s">
        <v>410</v>
      </c>
      <c r="G13102">
        <v>1347</v>
      </c>
      <c r="H13102">
        <v>1347</v>
      </c>
      <c r="I13102">
        <v>1346</v>
      </c>
      <c r="J13102">
        <v>1346</v>
      </c>
      <c r="K13102">
        <v>0</v>
      </c>
      <c r="L13102">
        <v>0</v>
      </c>
      <c r="M13102">
        <v>1209</v>
      </c>
      <c r="N13102">
        <v>135</v>
      </c>
      <c r="O13102">
        <v>3</v>
      </c>
      <c r="P13102">
        <v>0</v>
      </c>
      <c r="Q13102">
        <v>0</v>
      </c>
    </row>
    <row r="13103" spans="1:17" x14ac:dyDescent="0.2">
      <c r="A13103" s="121">
        <v>43555</v>
      </c>
      <c r="B13103" t="s">
        <v>406</v>
      </c>
      <c r="C13103" t="s">
        <v>577</v>
      </c>
      <c r="D13103" t="s">
        <v>588</v>
      </c>
      <c r="E13103" t="s">
        <v>589</v>
      </c>
      <c r="F13103" t="s">
        <v>410</v>
      </c>
      <c r="G13103">
        <v>83</v>
      </c>
      <c r="H13103">
        <v>83</v>
      </c>
      <c r="I13103">
        <v>83</v>
      </c>
      <c r="J13103">
        <v>83</v>
      </c>
      <c r="K13103">
        <v>0</v>
      </c>
      <c r="L13103">
        <v>0</v>
      </c>
      <c r="M13103">
        <v>74</v>
      </c>
      <c r="N13103">
        <v>8</v>
      </c>
      <c r="O13103">
        <v>1</v>
      </c>
      <c r="P13103">
        <v>0</v>
      </c>
      <c r="Q13103">
        <v>0</v>
      </c>
    </row>
    <row r="13104" spans="1:17" x14ac:dyDescent="0.2">
      <c r="A13104" s="121">
        <v>43555</v>
      </c>
      <c r="B13104" t="s">
        <v>406</v>
      </c>
      <c r="C13104" t="s">
        <v>577</v>
      </c>
      <c r="D13104" t="s">
        <v>613</v>
      </c>
      <c r="E13104" t="s">
        <v>614</v>
      </c>
      <c r="F13104" t="s">
        <v>410</v>
      </c>
      <c r="G13104">
        <v>66</v>
      </c>
      <c r="H13104">
        <v>66</v>
      </c>
      <c r="I13104">
        <v>66</v>
      </c>
      <c r="J13104">
        <v>66</v>
      </c>
      <c r="K13104">
        <v>0</v>
      </c>
      <c r="L13104">
        <v>0</v>
      </c>
      <c r="M13104">
        <v>57</v>
      </c>
      <c r="N13104">
        <v>5</v>
      </c>
      <c r="O13104">
        <v>4</v>
      </c>
      <c r="P13104">
        <v>0</v>
      </c>
      <c r="Q13104">
        <v>0</v>
      </c>
    </row>
    <row r="13105" spans="1:17" x14ac:dyDescent="0.2">
      <c r="A13105" s="121">
        <v>43555</v>
      </c>
      <c r="B13105" t="s">
        <v>406</v>
      </c>
      <c r="C13105" t="s">
        <v>577</v>
      </c>
      <c r="D13105" t="s">
        <v>590</v>
      </c>
      <c r="E13105" t="s">
        <v>591</v>
      </c>
      <c r="F13105" t="s">
        <v>410</v>
      </c>
      <c r="G13105">
        <v>459</v>
      </c>
      <c r="H13105">
        <v>459</v>
      </c>
      <c r="I13105">
        <v>459</v>
      </c>
      <c r="J13105">
        <v>459</v>
      </c>
      <c r="K13105">
        <v>0</v>
      </c>
      <c r="L13105">
        <v>0</v>
      </c>
      <c r="M13105">
        <v>431</v>
      </c>
      <c r="N13105">
        <v>27</v>
      </c>
      <c r="O13105">
        <v>1</v>
      </c>
      <c r="P13105">
        <v>0</v>
      </c>
      <c r="Q13105">
        <v>0</v>
      </c>
    </row>
    <row r="13106" spans="1:17" x14ac:dyDescent="0.2">
      <c r="A13106" s="121">
        <v>43555</v>
      </c>
      <c r="B13106" t="s">
        <v>406</v>
      </c>
      <c r="C13106" t="s">
        <v>577</v>
      </c>
      <c r="D13106" t="s">
        <v>607</v>
      </c>
      <c r="E13106" t="s">
        <v>608</v>
      </c>
      <c r="F13106" t="s">
        <v>410</v>
      </c>
      <c r="G13106">
        <v>78</v>
      </c>
      <c r="H13106">
        <v>78</v>
      </c>
      <c r="I13106">
        <v>78</v>
      </c>
      <c r="J13106">
        <v>78</v>
      </c>
      <c r="K13106">
        <v>0</v>
      </c>
      <c r="L13106">
        <v>0</v>
      </c>
      <c r="M13106">
        <v>75</v>
      </c>
      <c r="N13106">
        <v>3</v>
      </c>
      <c r="O13106">
        <v>0</v>
      </c>
      <c r="P13106">
        <v>0</v>
      </c>
      <c r="Q13106">
        <v>0</v>
      </c>
    </row>
    <row r="13107" spans="1:17" x14ac:dyDescent="0.2">
      <c r="A13107" s="121">
        <v>43555</v>
      </c>
      <c r="B13107" t="s">
        <v>406</v>
      </c>
      <c r="C13107" t="s">
        <v>577</v>
      </c>
      <c r="D13107" t="s">
        <v>592</v>
      </c>
      <c r="E13107" t="s">
        <v>593</v>
      </c>
      <c r="F13107" t="s">
        <v>410</v>
      </c>
      <c r="G13107">
        <v>250</v>
      </c>
      <c r="H13107">
        <v>250</v>
      </c>
      <c r="I13107">
        <v>250</v>
      </c>
      <c r="J13107">
        <v>250</v>
      </c>
      <c r="K13107">
        <v>0</v>
      </c>
      <c r="L13107">
        <v>0</v>
      </c>
      <c r="M13107">
        <v>228</v>
      </c>
      <c r="N13107">
        <v>22</v>
      </c>
      <c r="O13107">
        <v>0</v>
      </c>
      <c r="P13107">
        <v>0</v>
      </c>
      <c r="Q13107">
        <v>0</v>
      </c>
    </row>
    <row r="13108" spans="1:17" x14ac:dyDescent="0.2">
      <c r="A13108" s="121">
        <v>43555</v>
      </c>
      <c r="B13108" t="s">
        <v>406</v>
      </c>
      <c r="C13108" t="s">
        <v>594</v>
      </c>
      <c r="D13108" t="s">
        <v>595</v>
      </c>
      <c r="E13108" t="s">
        <v>596</v>
      </c>
      <c r="F13108" t="s">
        <v>410</v>
      </c>
      <c r="G13108">
        <v>56</v>
      </c>
      <c r="I13108">
        <v>56</v>
      </c>
    </row>
    <row r="13109" spans="1:17" x14ac:dyDescent="0.2">
      <c r="A13109" s="121">
        <v>43555</v>
      </c>
      <c r="B13109" t="s">
        <v>406</v>
      </c>
      <c r="C13109" t="s">
        <v>594</v>
      </c>
      <c r="D13109" t="s">
        <v>597</v>
      </c>
      <c r="E13109" t="s">
        <v>598</v>
      </c>
      <c r="F13109" t="s">
        <v>413</v>
      </c>
      <c r="G13109">
        <v>561</v>
      </c>
      <c r="H13109">
        <v>561</v>
      </c>
      <c r="I13109">
        <v>551</v>
      </c>
      <c r="J13109">
        <v>551</v>
      </c>
      <c r="K13109">
        <v>174</v>
      </c>
      <c r="L13109">
        <v>1</v>
      </c>
      <c r="M13109">
        <v>366</v>
      </c>
      <c r="N13109">
        <v>6</v>
      </c>
      <c r="O13109">
        <v>14</v>
      </c>
      <c r="P13109">
        <v>0</v>
      </c>
      <c r="Q13109">
        <v>0</v>
      </c>
    </row>
    <row r="13110" spans="1:17" x14ac:dyDescent="0.2">
      <c r="A13110" s="121">
        <v>43555</v>
      </c>
      <c r="B13110" t="s">
        <v>406</v>
      </c>
      <c r="C13110" t="s">
        <v>594</v>
      </c>
      <c r="D13110" t="s">
        <v>599</v>
      </c>
      <c r="E13110" t="s">
        <v>600</v>
      </c>
      <c r="F13110" t="s">
        <v>410</v>
      </c>
      <c r="G13110">
        <v>155</v>
      </c>
      <c r="H13110">
        <v>155</v>
      </c>
      <c r="I13110">
        <v>155</v>
      </c>
      <c r="J13110">
        <v>155</v>
      </c>
      <c r="K13110">
        <v>14</v>
      </c>
      <c r="L13110">
        <v>0</v>
      </c>
      <c r="M13110">
        <v>141</v>
      </c>
      <c r="N13110">
        <v>0</v>
      </c>
      <c r="O13110">
        <v>0</v>
      </c>
      <c r="P13110">
        <v>0</v>
      </c>
      <c r="Q13110">
        <v>0</v>
      </c>
    </row>
    <row r="13111" spans="1:17" x14ac:dyDescent="0.2">
      <c r="A13111" s="121">
        <v>43585</v>
      </c>
      <c r="B13111" t="s">
        <v>406</v>
      </c>
      <c r="C13111" t="s">
        <v>407</v>
      </c>
      <c r="D13111" t="s">
        <v>408</v>
      </c>
      <c r="E13111" t="s">
        <v>409</v>
      </c>
      <c r="F13111" t="s">
        <v>410</v>
      </c>
      <c r="G13111">
        <v>275</v>
      </c>
      <c r="I13111">
        <v>269</v>
      </c>
    </row>
    <row r="13112" spans="1:17" x14ac:dyDescent="0.2">
      <c r="A13112" s="121">
        <v>43585</v>
      </c>
      <c r="B13112" t="s">
        <v>406</v>
      </c>
      <c r="C13112" t="s">
        <v>407</v>
      </c>
      <c r="D13112" t="s">
        <v>601</v>
      </c>
      <c r="E13112" t="s">
        <v>602</v>
      </c>
      <c r="F13112" t="s">
        <v>410</v>
      </c>
      <c r="G13112">
        <v>52</v>
      </c>
      <c r="I13112">
        <v>52</v>
      </c>
    </row>
    <row r="13113" spans="1:17" x14ac:dyDescent="0.2">
      <c r="A13113" s="121">
        <v>43585</v>
      </c>
      <c r="B13113" t="s">
        <v>406</v>
      </c>
      <c r="C13113" t="s">
        <v>407</v>
      </c>
      <c r="D13113" t="s">
        <v>411</v>
      </c>
      <c r="E13113" t="s">
        <v>412</v>
      </c>
      <c r="F13113" t="s">
        <v>413</v>
      </c>
      <c r="G13113">
        <v>6382</v>
      </c>
      <c r="H13113">
        <v>6382</v>
      </c>
      <c r="I13113">
        <v>5665</v>
      </c>
      <c r="J13113">
        <v>5665</v>
      </c>
      <c r="K13113">
        <v>1991</v>
      </c>
      <c r="L13113">
        <v>13</v>
      </c>
      <c r="M13113">
        <v>3981</v>
      </c>
      <c r="N13113">
        <v>37</v>
      </c>
      <c r="O13113">
        <v>360</v>
      </c>
      <c r="P13113">
        <v>218</v>
      </c>
      <c r="Q13113">
        <v>85</v>
      </c>
    </row>
    <row r="13114" spans="1:17" x14ac:dyDescent="0.2">
      <c r="A13114" s="121">
        <v>43585</v>
      </c>
      <c r="B13114" t="s">
        <v>406</v>
      </c>
      <c r="C13114" t="s">
        <v>407</v>
      </c>
      <c r="D13114" t="s">
        <v>416</v>
      </c>
      <c r="E13114" t="s">
        <v>417</v>
      </c>
      <c r="F13114" t="s">
        <v>413</v>
      </c>
      <c r="G13114">
        <v>3445</v>
      </c>
      <c r="H13114">
        <v>3445</v>
      </c>
      <c r="I13114">
        <v>2884</v>
      </c>
      <c r="J13114">
        <v>2884</v>
      </c>
      <c r="K13114">
        <v>918</v>
      </c>
      <c r="L13114">
        <v>3</v>
      </c>
      <c r="M13114">
        <v>2390</v>
      </c>
      <c r="N13114">
        <v>79</v>
      </c>
      <c r="O13114">
        <v>55</v>
      </c>
      <c r="P13114">
        <v>171</v>
      </c>
      <c r="Q13114">
        <v>51</v>
      </c>
    </row>
    <row r="13115" spans="1:17" x14ac:dyDescent="0.2">
      <c r="A13115" s="121">
        <v>43585</v>
      </c>
      <c r="B13115" t="s">
        <v>406</v>
      </c>
      <c r="C13115" t="s">
        <v>407</v>
      </c>
      <c r="D13115" t="s">
        <v>618</v>
      </c>
      <c r="E13115" t="s">
        <v>619</v>
      </c>
      <c r="F13115" t="s">
        <v>410</v>
      </c>
      <c r="G13115">
        <v>77</v>
      </c>
      <c r="I13115">
        <v>77</v>
      </c>
    </row>
    <row r="13116" spans="1:17" x14ac:dyDescent="0.2">
      <c r="A13116" s="121">
        <v>43585</v>
      </c>
      <c r="B13116" t="s">
        <v>406</v>
      </c>
      <c r="C13116" t="s">
        <v>418</v>
      </c>
      <c r="D13116" t="s">
        <v>419</v>
      </c>
      <c r="E13116" t="s">
        <v>420</v>
      </c>
      <c r="F13116" t="s">
        <v>410</v>
      </c>
      <c r="G13116">
        <v>10</v>
      </c>
      <c r="I13116">
        <v>10</v>
      </c>
    </row>
    <row r="13117" spans="1:17" x14ac:dyDescent="0.2">
      <c r="A13117" s="121">
        <v>43585</v>
      </c>
      <c r="B13117" t="s">
        <v>406</v>
      </c>
      <c r="C13117" t="s">
        <v>418</v>
      </c>
      <c r="D13117" t="s">
        <v>421</v>
      </c>
      <c r="E13117" t="s">
        <v>422</v>
      </c>
      <c r="F13117" t="s">
        <v>410</v>
      </c>
      <c r="G13117">
        <v>77</v>
      </c>
      <c r="I13117">
        <v>77</v>
      </c>
    </row>
    <row r="13118" spans="1:17" x14ac:dyDescent="0.2">
      <c r="A13118" s="121">
        <v>43585</v>
      </c>
      <c r="B13118" t="s">
        <v>406</v>
      </c>
      <c r="C13118" t="s">
        <v>418</v>
      </c>
      <c r="D13118" t="s">
        <v>423</v>
      </c>
      <c r="E13118" t="s">
        <v>424</v>
      </c>
      <c r="F13118" t="s">
        <v>410</v>
      </c>
      <c r="G13118">
        <v>11</v>
      </c>
      <c r="I13118">
        <v>11</v>
      </c>
    </row>
    <row r="13119" spans="1:17" x14ac:dyDescent="0.2">
      <c r="A13119" s="121">
        <v>43585</v>
      </c>
      <c r="B13119" t="s">
        <v>406</v>
      </c>
      <c r="C13119" t="s">
        <v>418</v>
      </c>
      <c r="D13119" t="s">
        <v>425</v>
      </c>
      <c r="E13119" t="s">
        <v>426</v>
      </c>
      <c r="F13119" t="s">
        <v>410</v>
      </c>
      <c r="G13119">
        <v>52</v>
      </c>
      <c r="I13119">
        <v>52</v>
      </c>
    </row>
    <row r="13120" spans="1:17" x14ac:dyDescent="0.2">
      <c r="A13120" s="121">
        <v>43585</v>
      </c>
      <c r="B13120" t="s">
        <v>406</v>
      </c>
      <c r="C13120" t="s">
        <v>418</v>
      </c>
      <c r="D13120" t="s">
        <v>427</v>
      </c>
      <c r="E13120" t="s">
        <v>428</v>
      </c>
      <c r="F13120" t="s">
        <v>413</v>
      </c>
      <c r="G13120">
        <v>2774</v>
      </c>
      <c r="H13120">
        <v>2774</v>
      </c>
      <c r="I13120">
        <v>2618</v>
      </c>
      <c r="J13120">
        <v>2618</v>
      </c>
      <c r="K13120">
        <v>834</v>
      </c>
      <c r="L13120">
        <v>6</v>
      </c>
      <c r="M13120">
        <v>1724</v>
      </c>
      <c r="N13120">
        <v>193</v>
      </c>
      <c r="O13120">
        <v>17</v>
      </c>
      <c r="P13120">
        <v>5</v>
      </c>
      <c r="Q13120">
        <v>0</v>
      </c>
    </row>
    <row r="13121" spans="1:17" x14ac:dyDescent="0.2">
      <c r="A13121" s="121">
        <v>43585</v>
      </c>
      <c r="B13121" t="s">
        <v>406</v>
      </c>
      <c r="C13121" t="s">
        <v>429</v>
      </c>
      <c r="D13121" t="s">
        <v>430</v>
      </c>
      <c r="E13121" t="s">
        <v>431</v>
      </c>
      <c r="F13121" t="s">
        <v>410</v>
      </c>
      <c r="G13121">
        <v>22</v>
      </c>
      <c r="I13121">
        <v>22</v>
      </c>
    </row>
    <row r="13122" spans="1:17" x14ac:dyDescent="0.2">
      <c r="A13122" s="121">
        <v>43585</v>
      </c>
      <c r="B13122" t="s">
        <v>406</v>
      </c>
      <c r="C13122" t="s">
        <v>429</v>
      </c>
      <c r="D13122" t="s">
        <v>432</v>
      </c>
      <c r="E13122" t="s">
        <v>433</v>
      </c>
      <c r="F13122" t="s">
        <v>410</v>
      </c>
      <c r="G13122">
        <v>46</v>
      </c>
      <c r="I13122">
        <v>46</v>
      </c>
    </row>
    <row r="13123" spans="1:17" x14ac:dyDescent="0.2">
      <c r="A13123" s="121">
        <v>43585</v>
      </c>
      <c r="B13123" t="s">
        <v>406</v>
      </c>
      <c r="C13123" t="s">
        <v>429</v>
      </c>
      <c r="D13123" t="s">
        <v>436</v>
      </c>
      <c r="E13123" t="s">
        <v>437</v>
      </c>
      <c r="F13123" t="s">
        <v>410</v>
      </c>
      <c r="G13123">
        <v>14</v>
      </c>
      <c r="H13123">
        <v>14</v>
      </c>
      <c r="I13123">
        <v>14</v>
      </c>
      <c r="J13123">
        <v>14</v>
      </c>
      <c r="K13123">
        <v>0</v>
      </c>
      <c r="L13123">
        <v>0</v>
      </c>
      <c r="M13123">
        <v>13</v>
      </c>
      <c r="N13123">
        <v>1</v>
      </c>
      <c r="O13123">
        <v>0</v>
      </c>
      <c r="P13123">
        <v>0</v>
      </c>
      <c r="Q13123">
        <v>0</v>
      </c>
    </row>
    <row r="13124" spans="1:17" x14ac:dyDescent="0.2">
      <c r="A13124" s="121">
        <v>43585</v>
      </c>
      <c r="B13124" t="s">
        <v>406</v>
      </c>
      <c r="C13124" t="s">
        <v>429</v>
      </c>
      <c r="D13124" t="s">
        <v>438</v>
      </c>
      <c r="E13124" t="s">
        <v>439</v>
      </c>
      <c r="F13124" t="s">
        <v>413</v>
      </c>
      <c r="G13124">
        <v>1208</v>
      </c>
      <c r="H13124">
        <v>1208</v>
      </c>
      <c r="I13124">
        <v>1135</v>
      </c>
      <c r="J13124">
        <v>1135</v>
      </c>
      <c r="K13124">
        <v>60</v>
      </c>
      <c r="L13124">
        <v>1</v>
      </c>
      <c r="M13124">
        <v>1004</v>
      </c>
      <c r="N13124">
        <v>103</v>
      </c>
      <c r="O13124">
        <v>40</v>
      </c>
      <c r="P13124">
        <v>10</v>
      </c>
      <c r="Q13124">
        <v>2</v>
      </c>
    </row>
    <row r="13125" spans="1:17" x14ac:dyDescent="0.2">
      <c r="A13125" s="121">
        <v>43585</v>
      </c>
      <c r="B13125" t="s">
        <v>406</v>
      </c>
      <c r="C13125" t="s">
        <v>429</v>
      </c>
      <c r="D13125" t="s">
        <v>440</v>
      </c>
      <c r="E13125" t="s">
        <v>441</v>
      </c>
      <c r="F13125" t="s">
        <v>413</v>
      </c>
      <c r="G13125">
        <v>2958</v>
      </c>
      <c r="H13125">
        <v>2958</v>
      </c>
      <c r="I13125">
        <v>2737</v>
      </c>
      <c r="J13125">
        <v>2737</v>
      </c>
      <c r="K13125">
        <v>888</v>
      </c>
      <c r="L13125">
        <v>4</v>
      </c>
      <c r="M13125">
        <v>1972</v>
      </c>
      <c r="N13125">
        <v>60</v>
      </c>
      <c r="O13125">
        <v>34</v>
      </c>
      <c r="P13125">
        <v>10</v>
      </c>
      <c r="Q13125">
        <v>1</v>
      </c>
    </row>
    <row r="13126" spans="1:17" x14ac:dyDescent="0.2">
      <c r="A13126" s="121">
        <v>43585</v>
      </c>
      <c r="B13126" t="s">
        <v>406</v>
      </c>
      <c r="C13126" t="s">
        <v>442</v>
      </c>
      <c r="D13126" t="s">
        <v>443</v>
      </c>
      <c r="E13126" t="s">
        <v>444</v>
      </c>
      <c r="F13126" t="s">
        <v>413</v>
      </c>
      <c r="G13126">
        <v>5818</v>
      </c>
      <c r="H13126">
        <v>5818</v>
      </c>
      <c r="I13126">
        <v>5389</v>
      </c>
      <c r="J13126">
        <v>5389</v>
      </c>
      <c r="K13126">
        <v>1757</v>
      </c>
      <c r="L13126">
        <v>5</v>
      </c>
      <c r="M13126">
        <v>3881</v>
      </c>
      <c r="N13126">
        <v>90</v>
      </c>
      <c r="O13126">
        <v>85</v>
      </c>
      <c r="P13126">
        <v>6</v>
      </c>
      <c r="Q13126">
        <v>0</v>
      </c>
    </row>
    <row r="13127" spans="1:17" x14ac:dyDescent="0.2">
      <c r="A13127" s="121">
        <v>43585</v>
      </c>
      <c r="B13127" t="s">
        <v>406</v>
      </c>
      <c r="C13127" t="s">
        <v>442</v>
      </c>
      <c r="D13127" t="s">
        <v>445</v>
      </c>
      <c r="E13127" t="s">
        <v>446</v>
      </c>
      <c r="F13127" t="s">
        <v>410</v>
      </c>
      <c r="G13127">
        <v>145</v>
      </c>
      <c r="H13127">
        <v>145</v>
      </c>
      <c r="I13127">
        <v>145</v>
      </c>
      <c r="J13127">
        <v>145</v>
      </c>
      <c r="K13127">
        <v>1</v>
      </c>
      <c r="L13127">
        <v>0</v>
      </c>
      <c r="M13127">
        <v>133</v>
      </c>
      <c r="N13127">
        <v>8</v>
      </c>
      <c r="O13127">
        <v>3</v>
      </c>
      <c r="P13127">
        <v>0</v>
      </c>
      <c r="Q13127">
        <v>0</v>
      </c>
    </row>
    <row r="13128" spans="1:17" x14ac:dyDescent="0.2">
      <c r="A13128" s="121">
        <v>43585</v>
      </c>
      <c r="B13128" t="s">
        <v>406</v>
      </c>
      <c r="C13128" t="s">
        <v>442</v>
      </c>
      <c r="D13128" t="s">
        <v>447</v>
      </c>
      <c r="E13128" t="s">
        <v>448</v>
      </c>
      <c r="F13128" t="s">
        <v>410</v>
      </c>
      <c r="G13128">
        <v>313</v>
      </c>
      <c r="H13128">
        <v>313</v>
      </c>
      <c r="I13128">
        <v>313</v>
      </c>
      <c r="J13128">
        <v>313</v>
      </c>
      <c r="K13128">
        <v>1</v>
      </c>
      <c r="L13128">
        <v>0</v>
      </c>
      <c r="M13128">
        <v>303</v>
      </c>
      <c r="N13128">
        <v>9</v>
      </c>
      <c r="O13128">
        <v>0</v>
      </c>
      <c r="P13128">
        <v>0</v>
      </c>
      <c r="Q13128">
        <v>0</v>
      </c>
    </row>
    <row r="13129" spans="1:17" x14ac:dyDescent="0.2">
      <c r="A13129" s="121">
        <v>43585</v>
      </c>
      <c r="B13129" t="s">
        <v>406</v>
      </c>
      <c r="C13129" t="s">
        <v>442</v>
      </c>
      <c r="D13129" t="s">
        <v>449</v>
      </c>
      <c r="E13129" t="s">
        <v>624</v>
      </c>
      <c r="F13129" t="s">
        <v>410</v>
      </c>
      <c r="G13129">
        <v>1788</v>
      </c>
      <c r="H13129">
        <v>1788</v>
      </c>
      <c r="I13129">
        <v>1786</v>
      </c>
      <c r="J13129">
        <v>1786</v>
      </c>
      <c r="K13129">
        <v>17</v>
      </c>
      <c r="L13129">
        <v>0</v>
      </c>
      <c r="M13129">
        <v>1654</v>
      </c>
      <c r="N13129">
        <v>91</v>
      </c>
      <c r="O13129">
        <v>26</v>
      </c>
      <c r="P13129">
        <v>0</v>
      </c>
      <c r="Q13129">
        <v>0</v>
      </c>
    </row>
    <row r="13130" spans="1:17" x14ac:dyDescent="0.2">
      <c r="A13130" s="121">
        <v>43585</v>
      </c>
      <c r="B13130" t="s">
        <v>406</v>
      </c>
      <c r="C13130" t="s">
        <v>451</v>
      </c>
      <c r="D13130" t="s">
        <v>454</v>
      </c>
      <c r="E13130" t="s">
        <v>621</v>
      </c>
      <c r="F13130" t="s">
        <v>410</v>
      </c>
      <c r="G13130">
        <v>1782</v>
      </c>
      <c r="H13130">
        <v>1782</v>
      </c>
      <c r="I13130">
        <v>1782</v>
      </c>
      <c r="J13130">
        <v>1782</v>
      </c>
      <c r="K13130">
        <v>14</v>
      </c>
      <c r="L13130">
        <v>0</v>
      </c>
      <c r="M13130">
        <v>1380</v>
      </c>
      <c r="N13130">
        <v>121</v>
      </c>
      <c r="O13130">
        <v>267</v>
      </c>
      <c r="P13130">
        <v>0</v>
      </c>
      <c r="Q13130">
        <v>0</v>
      </c>
    </row>
    <row r="13131" spans="1:17" x14ac:dyDescent="0.2">
      <c r="A13131" s="121">
        <v>43585</v>
      </c>
      <c r="B13131" t="s">
        <v>406</v>
      </c>
      <c r="C13131" t="s">
        <v>451</v>
      </c>
      <c r="D13131" t="s">
        <v>622</v>
      </c>
      <c r="E13131" t="s">
        <v>623</v>
      </c>
      <c r="F13131" t="s">
        <v>413</v>
      </c>
      <c r="G13131">
        <v>5740</v>
      </c>
      <c r="H13131">
        <v>5740</v>
      </c>
      <c r="I13131">
        <v>5149</v>
      </c>
      <c r="J13131">
        <v>5149</v>
      </c>
      <c r="K13131">
        <v>1500</v>
      </c>
      <c r="L13131">
        <v>10</v>
      </c>
      <c r="M13131">
        <v>3541</v>
      </c>
      <c r="N13131">
        <v>70</v>
      </c>
      <c r="O13131">
        <v>619</v>
      </c>
      <c r="P13131">
        <v>25</v>
      </c>
      <c r="Q13131">
        <v>0</v>
      </c>
    </row>
    <row r="13132" spans="1:17" x14ac:dyDescent="0.2">
      <c r="A13132" s="121">
        <v>43585</v>
      </c>
      <c r="B13132" t="s">
        <v>406</v>
      </c>
      <c r="C13132" t="s">
        <v>456</v>
      </c>
      <c r="D13132" t="s">
        <v>457</v>
      </c>
      <c r="E13132" t="s">
        <v>458</v>
      </c>
      <c r="F13132" t="s">
        <v>413</v>
      </c>
      <c r="G13132">
        <v>5000</v>
      </c>
      <c r="H13132">
        <v>5000</v>
      </c>
      <c r="I13132">
        <v>4400</v>
      </c>
      <c r="J13132">
        <v>4400</v>
      </c>
      <c r="K13132">
        <v>1388</v>
      </c>
      <c r="L13132">
        <v>13</v>
      </c>
      <c r="M13132">
        <v>3307</v>
      </c>
      <c r="N13132">
        <v>19</v>
      </c>
      <c r="O13132">
        <v>273</v>
      </c>
      <c r="P13132">
        <v>19</v>
      </c>
      <c r="Q13132">
        <v>3</v>
      </c>
    </row>
    <row r="13133" spans="1:17" x14ac:dyDescent="0.2">
      <c r="A13133" s="121">
        <v>43585</v>
      </c>
      <c r="B13133" t="s">
        <v>406</v>
      </c>
      <c r="C13133" t="s">
        <v>456</v>
      </c>
      <c r="D13133" t="s">
        <v>459</v>
      </c>
      <c r="E13133" t="s">
        <v>460</v>
      </c>
      <c r="F13133" t="s">
        <v>413</v>
      </c>
      <c r="G13133">
        <v>1455</v>
      </c>
      <c r="H13133">
        <v>1455</v>
      </c>
      <c r="I13133">
        <v>1429</v>
      </c>
      <c r="J13133">
        <v>1429</v>
      </c>
      <c r="K13133">
        <v>160</v>
      </c>
      <c r="L13133">
        <v>0</v>
      </c>
      <c r="M13133">
        <v>1238</v>
      </c>
      <c r="N13133">
        <v>0</v>
      </c>
      <c r="O13133">
        <v>57</v>
      </c>
      <c r="P13133">
        <v>0</v>
      </c>
      <c r="Q13133">
        <v>0</v>
      </c>
    </row>
    <row r="13134" spans="1:17" x14ac:dyDescent="0.2">
      <c r="A13134" s="121">
        <v>43585</v>
      </c>
      <c r="B13134" t="s">
        <v>406</v>
      </c>
      <c r="C13134" t="s">
        <v>456</v>
      </c>
      <c r="D13134" t="s">
        <v>461</v>
      </c>
      <c r="E13134" t="s">
        <v>462</v>
      </c>
      <c r="F13134" t="s">
        <v>410</v>
      </c>
      <c r="G13134">
        <v>108</v>
      </c>
      <c r="I13134">
        <v>108</v>
      </c>
    </row>
    <row r="13135" spans="1:17" x14ac:dyDescent="0.2">
      <c r="A13135" s="121">
        <v>43585</v>
      </c>
      <c r="B13135" t="s">
        <v>406</v>
      </c>
      <c r="C13135" t="s">
        <v>456</v>
      </c>
      <c r="D13135" t="s">
        <v>465</v>
      </c>
      <c r="E13135" t="s">
        <v>466</v>
      </c>
      <c r="F13135" t="s">
        <v>410</v>
      </c>
      <c r="G13135">
        <v>33</v>
      </c>
      <c r="I13135">
        <v>33</v>
      </c>
    </row>
    <row r="13136" spans="1:17" x14ac:dyDescent="0.2">
      <c r="A13136" s="121">
        <v>43585</v>
      </c>
      <c r="B13136" t="s">
        <v>406</v>
      </c>
      <c r="C13136" t="s">
        <v>456</v>
      </c>
      <c r="D13136" t="s">
        <v>467</v>
      </c>
      <c r="E13136" t="s">
        <v>468</v>
      </c>
      <c r="F13136" t="s">
        <v>410</v>
      </c>
      <c r="G13136">
        <v>1295</v>
      </c>
      <c r="I13136">
        <v>1295</v>
      </c>
    </row>
    <row r="13137" spans="1:17" x14ac:dyDescent="0.2">
      <c r="A13137" s="121">
        <v>43585</v>
      </c>
      <c r="B13137" t="s">
        <v>406</v>
      </c>
      <c r="C13137" t="s">
        <v>456</v>
      </c>
      <c r="D13137" t="s">
        <v>469</v>
      </c>
      <c r="E13137" t="s">
        <v>470</v>
      </c>
      <c r="F13137" t="s">
        <v>410</v>
      </c>
      <c r="G13137">
        <v>610</v>
      </c>
      <c r="I13137">
        <v>607</v>
      </c>
    </row>
    <row r="13138" spans="1:17" x14ac:dyDescent="0.2">
      <c r="A13138" s="121">
        <v>43585</v>
      </c>
      <c r="B13138" t="s">
        <v>406</v>
      </c>
      <c r="C13138" t="s">
        <v>456</v>
      </c>
      <c r="D13138" t="s">
        <v>471</v>
      </c>
      <c r="E13138" t="s">
        <v>472</v>
      </c>
      <c r="F13138" t="s">
        <v>410</v>
      </c>
      <c r="G13138">
        <v>262</v>
      </c>
      <c r="I13138">
        <v>262</v>
      </c>
    </row>
    <row r="13139" spans="1:17" x14ac:dyDescent="0.2">
      <c r="A13139" s="121">
        <v>43585</v>
      </c>
      <c r="B13139" t="s">
        <v>406</v>
      </c>
      <c r="C13139" t="s">
        <v>456</v>
      </c>
      <c r="D13139" t="s">
        <v>473</v>
      </c>
      <c r="E13139" t="s">
        <v>474</v>
      </c>
      <c r="F13139" t="s">
        <v>410</v>
      </c>
      <c r="G13139">
        <v>133</v>
      </c>
      <c r="I13139">
        <v>133</v>
      </c>
    </row>
    <row r="13140" spans="1:17" x14ac:dyDescent="0.2">
      <c r="A13140" s="121">
        <v>43585</v>
      </c>
      <c r="B13140" t="s">
        <v>406</v>
      </c>
      <c r="C13140" t="s">
        <v>456</v>
      </c>
      <c r="D13140" t="s">
        <v>475</v>
      </c>
      <c r="E13140" t="s">
        <v>476</v>
      </c>
      <c r="F13140" t="s">
        <v>410</v>
      </c>
      <c r="G13140">
        <v>313</v>
      </c>
      <c r="I13140">
        <v>308</v>
      </c>
    </row>
    <row r="13141" spans="1:17" x14ac:dyDescent="0.2">
      <c r="A13141" s="121">
        <v>43585</v>
      </c>
      <c r="B13141" t="s">
        <v>406</v>
      </c>
      <c r="C13141" t="s">
        <v>456</v>
      </c>
      <c r="D13141" t="s">
        <v>477</v>
      </c>
      <c r="E13141" t="s">
        <v>478</v>
      </c>
      <c r="F13141" t="s">
        <v>413</v>
      </c>
      <c r="G13141">
        <v>2242</v>
      </c>
      <c r="H13141">
        <v>2242</v>
      </c>
      <c r="I13141">
        <v>2138</v>
      </c>
      <c r="J13141">
        <v>2138</v>
      </c>
      <c r="K13141">
        <v>418</v>
      </c>
      <c r="L13141">
        <v>4</v>
      </c>
      <c r="M13141">
        <v>1793</v>
      </c>
      <c r="N13141">
        <v>27</v>
      </c>
      <c r="O13141">
        <v>0</v>
      </c>
      <c r="P13141">
        <v>2</v>
      </c>
      <c r="Q13141">
        <v>0</v>
      </c>
    </row>
    <row r="13142" spans="1:17" x14ac:dyDescent="0.2">
      <c r="A13142" s="121">
        <v>43585</v>
      </c>
      <c r="B13142" t="s">
        <v>406</v>
      </c>
      <c r="C13142" t="s">
        <v>456</v>
      </c>
      <c r="D13142" t="s">
        <v>479</v>
      </c>
      <c r="E13142" t="s">
        <v>480</v>
      </c>
      <c r="F13142" t="s">
        <v>410</v>
      </c>
      <c r="G13142">
        <v>48</v>
      </c>
      <c r="I13142">
        <v>48</v>
      </c>
    </row>
    <row r="13143" spans="1:17" x14ac:dyDescent="0.2">
      <c r="A13143" s="121">
        <v>43585</v>
      </c>
      <c r="B13143" t="s">
        <v>406</v>
      </c>
      <c r="C13143" t="s">
        <v>456</v>
      </c>
      <c r="D13143" t="s">
        <v>481</v>
      </c>
      <c r="E13143" t="s">
        <v>482</v>
      </c>
      <c r="F13143" t="s">
        <v>410</v>
      </c>
      <c r="G13143">
        <v>13</v>
      </c>
      <c r="I13143">
        <v>13</v>
      </c>
    </row>
    <row r="13144" spans="1:17" x14ac:dyDescent="0.2">
      <c r="A13144" s="121">
        <v>43585</v>
      </c>
      <c r="B13144" t="s">
        <v>406</v>
      </c>
      <c r="C13144" t="s">
        <v>456</v>
      </c>
      <c r="D13144" t="s">
        <v>483</v>
      </c>
      <c r="E13144" t="s">
        <v>484</v>
      </c>
      <c r="F13144" t="s">
        <v>410</v>
      </c>
      <c r="G13144">
        <v>87</v>
      </c>
      <c r="I13144">
        <v>87</v>
      </c>
    </row>
    <row r="13145" spans="1:17" x14ac:dyDescent="0.2">
      <c r="A13145" s="121">
        <v>43585</v>
      </c>
      <c r="B13145" t="s">
        <v>406</v>
      </c>
      <c r="C13145" t="s">
        <v>456</v>
      </c>
      <c r="D13145" t="s">
        <v>487</v>
      </c>
      <c r="E13145" t="s">
        <v>488</v>
      </c>
      <c r="F13145" t="s">
        <v>410</v>
      </c>
      <c r="G13145">
        <v>11</v>
      </c>
      <c r="I13145">
        <v>11</v>
      </c>
    </row>
    <row r="13146" spans="1:17" x14ac:dyDescent="0.2">
      <c r="A13146" s="121">
        <v>43585</v>
      </c>
      <c r="B13146" t="s">
        <v>406</v>
      </c>
      <c r="C13146" t="s">
        <v>456</v>
      </c>
      <c r="D13146" t="s">
        <v>489</v>
      </c>
      <c r="E13146" t="s">
        <v>490</v>
      </c>
      <c r="F13146" t="s">
        <v>410</v>
      </c>
      <c r="G13146">
        <v>88</v>
      </c>
      <c r="I13146">
        <v>88</v>
      </c>
    </row>
    <row r="13147" spans="1:17" x14ac:dyDescent="0.2">
      <c r="A13147" s="121">
        <v>43585</v>
      </c>
      <c r="B13147" t="s">
        <v>406</v>
      </c>
      <c r="C13147" t="s">
        <v>456</v>
      </c>
      <c r="D13147" t="s">
        <v>628</v>
      </c>
      <c r="E13147" t="s">
        <v>629</v>
      </c>
      <c r="F13147" t="s">
        <v>410</v>
      </c>
      <c r="G13147">
        <v>31</v>
      </c>
      <c r="I13147">
        <v>31</v>
      </c>
    </row>
    <row r="13148" spans="1:17" x14ac:dyDescent="0.2">
      <c r="A13148" s="121">
        <v>43585</v>
      </c>
      <c r="B13148" t="s">
        <v>406</v>
      </c>
      <c r="C13148" t="s">
        <v>491</v>
      </c>
      <c r="D13148" t="s">
        <v>492</v>
      </c>
      <c r="E13148" t="s">
        <v>493</v>
      </c>
      <c r="F13148" t="s">
        <v>410</v>
      </c>
      <c r="G13148">
        <v>1604</v>
      </c>
      <c r="H13148">
        <v>1604</v>
      </c>
      <c r="I13148">
        <v>1557</v>
      </c>
      <c r="J13148">
        <v>1557</v>
      </c>
      <c r="K13148">
        <v>196</v>
      </c>
      <c r="L13148">
        <v>3</v>
      </c>
      <c r="M13148">
        <v>1307</v>
      </c>
      <c r="N13148">
        <v>84</v>
      </c>
      <c r="O13148">
        <v>14</v>
      </c>
      <c r="P13148">
        <v>4</v>
      </c>
      <c r="Q13148">
        <v>0</v>
      </c>
    </row>
    <row r="13149" spans="1:17" x14ac:dyDescent="0.2">
      <c r="A13149" s="121">
        <v>43585</v>
      </c>
      <c r="B13149" t="s">
        <v>406</v>
      </c>
      <c r="C13149" t="s">
        <v>491</v>
      </c>
      <c r="D13149" t="s">
        <v>494</v>
      </c>
      <c r="E13149" t="s">
        <v>495</v>
      </c>
      <c r="F13149" t="s">
        <v>413</v>
      </c>
      <c r="G13149">
        <v>2777</v>
      </c>
      <c r="H13149">
        <v>2777</v>
      </c>
      <c r="I13149">
        <v>2552</v>
      </c>
      <c r="J13149">
        <v>2552</v>
      </c>
      <c r="K13149">
        <v>688</v>
      </c>
      <c r="L13149">
        <v>6</v>
      </c>
      <c r="M13149">
        <v>1937</v>
      </c>
      <c r="N13149">
        <v>48</v>
      </c>
      <c r="O13149">
        <v>98</v>
      </c>
      <c r="P13149">
        <v>14</v>
      </c>
      <c r="Q13149">
        <v>0</v>
      </c>
    </row>
    <row r="13150" spans="1:17" x14ac:dyDescent="0.2">
      <c r="A13150" s="121">
        <v>43585</v>
      </c>
      <c r="B13150" t="s">
        <v>406</v>
      </c>
      <c r="C13150" t="s">
        <v>491</v>
      </c>
      <c r="D13150" t="s">
        <v>496</v>
      </c>
      <c r="E13150" t="s">
        <v>497</v>
      </c>
      <c r="F13150" t="s">
        <v>413</v>
      </c>
      <c r="G13150">
        <v>5795</v>
      </c>
      <c r="H13150">
        <v>5795</v>
      </c>
      <c r="I13150">
        <v>4982</v>
      </c>
      <c r="J13150">
        <v>4982</v>
      </c>
      <c r="K13150">
        <v>1834</v>
      </c>
      <c r="L13150">
        <v>12</v>
      </c>
      <c r="M13150">
        <v>3758</v>
      </c>
      <c r="N13150">
        <v>87</v>
      </c>
      <c r="O13150">
        <v>104</v>
      </c>
      <c r="P13150">
        <v>83</v>
      </c>
      <c r="Q13150">
        <v>3</v>
      </c>
    </row>
    <row r="13151" spans="1:17" x14ac:dyDescent="0.2">
      <c r="A13151" s="121">
        <v>43585</v>
      </c>
      <c r="B13151" t="s">
        <v>406</v>
      </c>
      <c r="C13151" t="s">
        <v>491</v>
      </c>
      <c r="D13151" t="s">
        <v>498</v>
      </c>
      <c r="E13151" t="s">
        <v>499</v>
      </c>
      <c r="F13151" t="s">
        <v>413</v>
      </c>
      <c r="G13151">
        <v>8261</v>
      </c>
      <c r="H13151">
        <v>8261</v>
      </c>
      <c r="I13151">
        <v>6579</v>
      </c>
      <c r="J13151">
        <v>6579</v>
      </c>
      <c r="K13151">
        <v>2474</v>
      </c>
      <c r="L13151">
        <v>15</v>
      </c>
      <c r="M13151">
        <v>5153</v>
      </c>
      <c r="N13151">
        <v>105</v>
      </c>
      <c r="O13151">
        <v>514</v>
      </c>
      <c r="P13151">
        <v>71</v>
      </c>
      <c r="Q13151">
        <v>13</v>
      </c>
    </row>
    <row r="13152" spans="1:17" x14ac:dyDescent="0.2">
      <c r="A13152" s="121">
        <v>43585</v>
      </c>
      <c r="B13152" t="s">
        <v>406</v>
      </c>
      <c r="C13152" t="s">
        <v>491</v>
      </c>
      <c r="D13152" t="s">
        <v>500</v>
      </c>
      <c r="E13152" t="s">
        <v>620</v>
      </c>
      <c r="F13152" t="s">
        <v>410</v>
      </c>
      <c r="G13152">
        <v>1890</v>
      </c>
      <c r="H13152">
        <v>1890</v>
      </c>
      <c r="I13152">
        <v>1887</v>
      </c>
      <c r="J13152">
        <v>1887</v>
      </c>
      <c r="K13152">
        <v>0</v>
      </c>
      <c r="L13152">
        <v>2</v>
      </c>
      <c r="M13152">
        <v>1608</v>
      </c>
      <c r="N13152">
        <v>145</v>
      </c>
      <c r="O13152">
        <v>135</v>
      </c>
      <c r="P13152">
        <v>0</v>
      </c>
      <c r="Q13152">
        <v>0</v>
      </c>
    </row>
    <row r="13153" spans="1:17" x14ac:dyDescent="0.2">
      <c r="A13153" s="121">
        <v>43585</v>
      </c>
      <c r="B13153" t="s">
        <v>406</v>
      </c>
      <c r="C13153" t="s">
        <v>491</v>
      </c>
      <c r="D13153" t="s">
        <v>502</v>
      </c>
      <c r="E13153" t="s">
        <v>615</v>
      </c>
      <c r="F13153" t="s">
        <v>410</v>
      </c>
      <c r="G13153">
        <v>3044</v>
      </c>
      <c r="H13153">
        <v>3044</v>
      </c>
      <c r="I13153">
        <v>3044</v>
      </c>
      <c r="J13153">
        <v>3044</v>
      </c>
      <c r="K13153">
        <v>0</v>
      </c>
      <c r="L13153">
        <v>4</v>
      </c>
      <c r="M13153">
        <v>2746</v>
      </c>
      <c r="N13153">
        <v>195</v>
      </c>
      <c r="O13153">
        <v>99</v>
      </c>
      <c r="P13153">
        <v>0</v>
      </c>
      <c r="Q13153">
        <v>0</v>
      </c>
    </row>
    <row r="13154" spans="1:17" x14ac:dyDescent="0.2">
      <c r="A13154" s="121">
        <v>43585</v>
      </c>
      <c r="B13154" t="s">
        <v>406</v>
      </c>
      <c r="C13154" t="s">
        <v>491</v>
      </c>
      <c r="D13154" t="s">
        <v>504</v>
      </c>
      <c r="E13154" t="s">
        <v>630</v>
      </c>
      <c r="F13154" t="s">
        <v>413</v>
      </c>
      <c r="G13154">
        <v>8762</v>
      </c>
      <c r="H13154">
        <v>8762</v>
      </c>
      <c r="I13154">
        <v>6614</v>
      </c>
      <c r="J13154">
        <v>6614</v>
      </c>
      <c r="K13154">
        <v>2812</v>
      </c>
      <c r="L13154">
        <v>19</v>
      </c>
      <c r="M13154">
        <v>5526</v>
      </c>
      <c r="N13154">
        <v>52</v>
      </c>
      <c r="O13154">
        <v>353</v>
      </c>
      <c r="P13154">
        <v>163</v>
      </c>
      <c r="Q13154">
        <v>2</v>
      </c>
    </row>
    <row r="13155" spans="1:17" x14ac:dyDescent="0.2">
      <c r="A13155" s="121">
        <v>43585</v>
      </c>
      <c r="B13155" t="s">
        <v>406</v>
      </c>
      <c r="C13155" t="s">
        <v>491</v>
      </c>
      <c r="D13155" t="s">
        <v>506</v>
      </c>
      <c r="E13155" t="s">
        <v>507</v>
      </c>
      <c r="F13155" t="s">
        <v>413</v>
      </c>
      <c r="G13155">
        <v>5628</v>
      </c>
      <c r="H13155">
        <v>5628</v>
      </c>
      <c r="I13155">
        <v>5420</v>
      </c>
      <c r="J13155">
        <v>5420</v>
      </c>
      <c r="K13155">
        <v>1223</v>
      </c>
      <c r="L13155">
        <v>3</v>
      </c>
      <c r="M13155">
        <v>4364</v>
      </c>
      <c r="N13155">
        <v>3</v>
      </c>
      <c r="O13155">
        <v>35</v>
      </c>
      <c r="P13155">
        <v>1</v>
      </c>
      <c r="Q13155">
        <v>0</v>
      </c>
    </row>
    <row r="13156" spans="1:17" x14ac:dyDescent="0.2">
      <c r="A13156" s="121">
        <v>43585</v>
      </c>
      <c r="B13156" t="s">
        <v>406</v>
      </c>
      <c r="C13156" t="s">
        <v>510</v>
      </c>
      <c r="D13156" t="s">
        <v>513</v>
      </c>
      <c r="E13156" t="s">
        <v>514</v>
      </c>
      <c r="F13156" t="s">
        <v>410</v>
      </c>
      <c r="G13156">
        <v>697</v>
      </c>
      <c r="I13156">
        <v>696</v>
      </c>
    </row>
    <row r="13157" spans="1:17" x14ac:dyDescent="0.2">
      <c r="A13157" s="121">
        <v>43585</v>
      </c>
      <c r="B13157" t="s">
        <v>406</v>
      </c>
      <c r="C13157" t="s">
        <v>510</v>
      </c>
      <c r="D13157" t="s">
        <v>515</v>
      </c>
      <c r="E13157" t="s">
        <v>516</v>
      </c>
      <c r="F13157" t="s">
        <v>410</v>
      </c>
      <c r="G13157">
        <v>119</v>
      </c>
      <c r="I13157">
        <v>119</v>
      </c>
    </row>
    <row r="13158" spans="1:17" x14ac:dyDescent="0.2">
      <c r="A13158" s="121">
        <v>43585</v>
      </c>
      <c r="B13158" t="s">
        <v>406</v>
      </c>
      <c r="C13158" t="s">
        <v>510</v>
      </c>
      <c r="D13158" t="s">
        <v>519</v>
      </c>
      <c r="E13158" t="s">
        <v>520</v>
      </c>
      <c r="F13158" t="s">
        <v>410</v>
      </c>
      <c r="G13158">
        <v>379</v>
      </c>
      <c r="I13158">
        <v>372</v>
      </c>
    </row>
    <row r="13159" spans="1:17" x14ac:dyDescent="0.2">
      <c r="A13159" s="121">
        <v>43585</v>
      </c>
      <c r="B13159" t="s">
        <v>406</v>
      </c>
      <c r="C13159" t="s">
        <v>510</v>
      </c>
      <c r="D13159" t="s">
        <v>523</v>
      </c>
      <c r="E13159" t="s">
        <v>524</v>
      </c>
      <c r="F13159" t="s">
        <v>413</v>
      </c>
      <c r="G13159">
        <v>673</v>
      </c>
      <c r="H13159">
        <v>673</v>
      </c>
      <c r="I13159">
        <v>652</v>
      </c>
      <c r="J13159">
        <v>652</v>
      </c>
      <c r="K13159">
        <v>148</v>
      </c>
      <c r="L13159">
        <v>2</v>
      </c>
      <c r="M13159">
        <v>513</v>
      </c>
      <c r="N13159">
        <v>10</v>
      </c>
      <c r="O13159">
        <v>0</v>
      </c>
      <c r="P13159">
        <v>0</v>
      </c>
      <c r="Q13159">
        <v>0</v>
      </c>
    </row>
    <row r="13160" spans="1:17" x14ac:dyDescent="0.2">
      <c r="A13160" s="121">
        <v>43585</v>
      </c>
      <c r="B13160" t="s">
        <v>406</v>
      </c>
      <c r="C13160" t="s">
        <v>510</v>
      </c>
      <c r="D13160" t="s">
        <v>525</v>
      </c>
      <c r="E13160" t="s">
        <v>526</v>
      </c>
      <c r="F13160" t="s">
        <v>410</v>
      </c>
      <c r="G13160">
        <v>482</v>
      </c>
      <c r="I13160">
        <v>481</v>
      </c>
    </row>
    <row r="13161" spans="1:17" x14ac:dyDescent="0.2">
      <c r="A13161" s="121">
        <v>43585</v>
      </c>
      <c r="B13161" t="s">
        <v>406</v>
      </c>
      <c r="C13161" t="s">
        <v>510</v>
      </c>
      <c r="D13161" t="s">
        <v>527</v>
      </c>
      <c r="E13161" t="s">
        <v>528</v>
      </c>
      <c r="F13161" t="s">
        <v>410</v>
      </c>
      <c r="G13161">
        <v>169</v>
      </c>
      <c r="I13161">
        <v>169</v>
      </c>
    </row>
    <row r="13162" spans="1:17" x14ac:dyDescent="0.2">
      <c r="A13162" s="121">
        <v>43585</v>
      </c>
      <c r="B13162" t="s">
        <v>406</v>
      </c>
      <c r="C13162" t="s">
        <v>510</v>
      </c>
      <c r="D13162" t="s">
        <v>529</v>
      </c>
      <c r="E13162" t="s">
        <v>530</v>
      </c>
      <c r="F13162" t="s">
        <v>413</v>
      </c>
      <c r="G13162">
        <v>704</v>
      </c>
      <c r="H13162">
        <v>704</v>
      </c>
      <c r="I13162">
        <v>672</v>
      </c>
      <c r="J13162">
        <v>672</v>
      </c>
      <c r="K13162">
        <v>161</v>
      </c>
      <c r="L13162">
        <v>0</v>
      </c>
      <c r="M13162">
        <v>541</v>
      </c>
      <c r="N13162">
        <v>2</v>
      </c>
      <c r="O13162">
        <v>0</v>
      </c>
      <c r="P13162">
        <v>2</v>
      </c>
      <c r="Q13162">
        <v>0</v>
      </c>
    </row>
    <row r="13163" spans="1:17" x14ac:dyDescent="0.2">
      <c r="A13163" s="121">
        <v>43585</v>
      </c>
      <c r="B13163" t="s">
        <v>406</v>
      </c>
      <c r="C13163" t="s">
        <v>510</v>
      </c>
      <c r="D13163" t="s">
        <v>531</v>
      </c>
      <c r="E13163" t="s">
        <v>532</v>
      </c>
      <c r="F13163" t="s">
        <v>410</v>
      </c>
      <c r="G13163">
        <v>64</v>
      </c>
      <c r="I13163">
        <v>64</v>
      </c>
    </row>
    <row r="13164" spans="1:17" x14ac:dyDescent="0.2">
      <c r="A13164" s="121">
        <v>43585</v>
      </c>
      <c r="B13164" t="s">
        <v>406</v>
      </c>
      <c r="C13164" t="s">
        <v>510</v>
      </c>
      <c r="D13164" t="s">
        <v>533</v>
      </c>
      <c r="E13164" t="s">
        <v>534</v>
      </c>
      <c r="F13164" t="s">
        <v>413</v>
      </c>
      <c r="G13164">
        <v>3217</v>
      </c>
      <c r="H13164">
        <v>3217</v>
      </c>
      <c r="I13164">
        <v>2903</v>
      </c>
      <c r="J13164">
        <v>2903</v>
      </c>
      <c r="K13164">
        <v>737</v>
      </c>
      <c r="L13164">
        <v>2</v>
      </c>
      <c r="M13164">
        <v>2464</v>
      </c>
      <c r="N13164">
        <v>14</v>
      </c>
      <c r="O13164">
        <v>0</v>
      </c>
      <c r="P13164">
        <v>8</v>
      </c>
      <c r="Q13164">
        <v>0</v>
      </c>
    </row>
    <row r="13165" spans="1:17" x14ac:dyDescent="0.2">
      <c r="A13165" s="121">
        <v>43585</v>
      </c>
      <c r="B13165" t="s">
        <v>406</v>
      </c>
      <c r="C13165" t="s">
        <v>510</v>
      </c>
      <c r="D13165" t="s">
        <v>535</v>
      </c>
      <c r="E13165" t="s">
        <v>536</v>
      </c>
      <c r="F13165" t="s">
        <v>410</v>
      </c>
      <c r="G13165">
        <v>368</v>
      </c>
      <c r="I13165">
        <v>368</v>
      </c>
    </row>
    <row r="13166" spans="1:17" x14ac:dyDescent="0.2">
      <c r="A13166" s="121">
        <v>43585</v>
      </c>
      <c r="B13166" t="s">
        <v>406</v>
      </c>
      <c r="C13166" t="s">
        <v>510</v>
      </c>
      <c r="D13166" t="s">
        <v>537</v>
      </c>
      <c r="E13166" t="s">
        <v>538</v>
      </c>
      <c r="F13166" t="s">
        <v>410</v>
      </c>
      <c r="G13166">
        <v>53</v>
      </c>
      <c r="I13166">
        <v>53</v>
      </c>
    </row>
    <row r="13167" spans="1:17" x14ac:dyDescent="0.2">
      <c r="A13167" s="121">
        <v>43585</v>
      </c>
      <c r="B13167" t="s">
        <v>406</v>
      </c>
      <c r="C13167" t="s">
        <v>510</v>
      </c>
      <c r="D13167" t="s">
        <v>539</v>
      </c>
      <c r="E13167" t="s">
        <v>540</v>
      </c>
      <c r="F13167" t="s">
        <v>413</v>
      </c>
      <c r="G13167">
        <v>925</v>
      </c>
      <c r="H13167">
        <v>925</v>
      </c>
      <c r="I13167">
        <v>852</v>
      </c>
      <c r="J13167">
        <v>852</v>
      </c>
      <c r="K13167">
        <v>147</v>
      </c>
      <c r="L13167">
        <v>1</v>
      </c>
      <c r="M13167">
        <v>768</v>
      </c>
      <c r="N13167">
        <v>9</v>
      </c>
      <c r="O13167">
        <v>0</v>
      </c>
      <c r="P13167">
        <v>9</v>
      </c>
      <c r="Q13167">
        <v>1</v>
      </c>
    </row>
    <row r="13168" spans="1:17" x14ac:dyDescent="0.2">
      <c r="A13168" s="121">
        <v>43585</v>
      </c>
      <c r="B13168" t="s">
        <v>406</v>
      </c>
      <c r="C13168" t="s">
        <v>510</v>
      </c>
      <c r="D13168" t="s">
        <v>541</v>
      </c>
      <c r="E13168" t="s">
        <v>542</v>
      </c>
      <c r="F13168" t="s">
        <v>410</v>
      </c>
      <c r="G13168">
        <v>431</v>
      </c>
      <c r="I13168">
        <v>431</v>
      </c>
    </row>
    <row r="13169" spans="1:17" x14ac:dyDescent="0.2">
      <c r="A13169" s="121">
        <v>43585</v>
      </c>
      <c r="B13169" t="s">
        <v>406</v>
      </c>
      <c r="C13169" t="s">
        <v>510</v>
      </c>
      <c r="D13169" t="s">
        <v>543</v>
      </c>
      <c r="E13169" t="s">
        <v>544</v>
      </c>
      <c r="F13169" t="s">
        <v>410</v>
      </c>
      <c r="G13169">
        <v>247</v>
      </c>
      <c r="I13169">
        <v>247</v>
      </c>
    </row>
    <row r="13170" spans="1:17" x14ac:dyDescent="0.2">
      <c r="A13170" s="121">
        <v>43585</v>
      </c>
      <c r="B13170" t="s">
        <v>406</v>
      </c>
      <c r="C13170" t="s">
        <v>510</v>
      </c>
      <c r="D13170" t="s">
        <v>547</v>
      </c>
      <c r="E13170" t="s">
        <v>548</v>
      </c>
      <c r="F13170" t="s">
        <v>410</v>
      </c>
      <c r="G13170">
        <v>175</v>
      </c>
      <c r="I13170">
        <v>175</v>
      </c>
    </row>
    <row r="13171" spans="1:17" x14ac:dyDescent="0.2">
      <c r="A13171" s="121">
        <v>43585</v>
      </c>
      <c r="B13171" t="s">
        <v>406</v>
      </c>
      <c r="C13171" t="s">
        <v>510</v>
      </c>
      <c r="D13171" t="s">
        <v>616</v>
      </c>
      <c r="E13171" t="s">
        <v>617</v>
      </c>
      <c r="F13171" t="s">
        <v>410</v>
      </c>
      <c r="G13171">
        <v>479</v>
      </c>
      <c r="I13171">
        <v>463</v>
      </c>
    </row>
    <row r="13172" spans="1:17" x14ac:dyDescent="0.2">
      <c r="A13172" s="121">
        <v>43585</v>
      </c>
      <c r="B13172" t="s">
        <v>406</v>
      </c>
      <c r="C13172" t="s">
        <v>510</v>
      </c>
      <c r="D13172" t="s">
        <v>549</v>
      </c>
      <c r="E13172" t="s">
        <v>550</v>
      </c>
      <c r="F13172" t="s">
        <v>410</v>
      </c>
      <c r="G13172">
        <v>153</v>
      </c>
      <c r="I13172">
        <v>153</v>
      </c>
    </row>
    <row r="13173" spans="1:17" x14ac:dyDescent="0.2">
      <c r="A13173" s="121">
        <v>43585</v>
      </c>
      <c r="B13173" t="s">
        <v>406</v>
      </c>
      <c r="C13173" t="s">
        <v>510</v>
      </c>
      <c r="D13173" t="s">
        <v>625</v>
      </c>
      <c r="E13173" t="s">
        <v>626</v>
      </c>
      <c r="F13173" t="s">
        <v>410</v>
      </c>
      <c r="G13173">
        <v>100</v>
      </c>
      <c r="I13173">
        <v>96</v>
      </c>
    </row>
    <row r="13174" spans="1:17" x14ac:dyDescent="0.2">
      <c r="A13174" s="121">
        <v>43585</v>
      </c>
      <c r="B13174" t="s">
        <v>406</v>
      </c>
      <c r="C13174" t="s">
        <v>551</v>
      </c>
      <c r="D13174" t="s">
        <v>552</v>
      </c>
      <c r="E13174" t="s">
        <v>553</v>
      </c>
      <c r="F13174" t="s">
        <v>413</v>
      </c>
      <c r="G13174">
        <v>5920</v>
      </c>
      <c r="H13174">
        <v>5920</v>
      </c>
      <c r="I13174">
        <v>5513</v>
      </c>
      <c r="J13174">
        <v>5513</v>
      </c>
      <c r="K13174">
        <v>2004</v>
      </c>
      <c r="L13174">
        <v>4</v>
      </c>
      <c r="M13174">
        <v>3779</v>
      </c>
      <c r="N13174">
        <v>96</v>
      </c>
      <c r="O13174">
        <v>37</v>
      </c>
      <c r="P13174">
        <v>18</v>
      </c>
      <c r="Q13174">
        <v>2</v>
      </c>
    </row>
    <row r="13175" spans="1:17" x14ac:dyDescent="0.2">
      <c r="A13175" s="121">
        <v>43585</v>
      </c>
      <c r="B13175" t="s">
        <v>406</v>
      </c>
      <c r="C13175" t="s">
        <v>551</v>
      </c>
      <c r="D13175" t="s">
        <v>554</v>
      </c>
      <c r="E13175" t="s">
        <v>555</v>
      </c>
      <c r="F13175" t="s">
        <v>410</v>
      </c>
      <c r="G13175">
        <v>101</v>
      </c>
      <c r="H13175">
        <v>101</v>
      </c>
      <c r="I13175">
        <v>100</v>
      </c>
      <c r="J13175">
        <v>100</v>
      </c>
      <c r="K13175">
        <v>12</v>
      </c>
      <c r="L13175">
        <v>0</v>
      </c>
      <c r="M13175">
        <v>85</v>
      </c>
      <c r="N13175">
        <v>4</v>
      </c>
      <c r="O13175">
        <v>0</v>
      </c>
      <c r="P13175">
        <v>0</v>
      </c>
      <c r="Q13175">
        <v>0</v>
      </c>
    </row>
    <row r="13176" spans="1:17" x14ac:dyDescent="0.2">
      <c r="A13176" s="121">
        <v>43585</v>
      </c>
      <c r="B13176" t="s">
        <v>406</v>
      </c>
      <c r="C13176" t="s">
        <v>551</v>
      </c>
      <c r="D13176" t="s">
        <v>556</v>
      </c>
      <c r="E13176" t="s">
        <v>557</v>
      </c>
      <c r="F13176" t="s">
        <v>410</v>
      </c>
      <c r="G13176">
        <v>54</v>
      </c>
      <c r="H13176">
        <v>54</v>
      </c>
      <c r="I13176">
        <v>54</v>
      </c>
      <c r="J13176">
        <v>54</v>
      </c>
      <c r="K13176">
        <v>2</v>
      </c>
      <c r="L13176">
        <v>0</v>
      </c>
      <c r="M13176">
        <v>49</v>
      </c>
      <c r="N13176">
        <v>2</v>
      </c>
      <c r="O13176">
        <v>1</v>
      </c>
      <c r="P13176">
        <v>0</v>
      </c>
      <c r="Q13176">
        <v>0</v>
      </c>
    </row>
    <row r="13177" spans="1:17" x14ac:dyDescent="0.2">
      <c r="A13177" s="121">
        <v>43585</v>
      </c>
      <c r="B13177" t="s">
        <v>406</v>
      </c>
      <c r="C13177" t="s">
        <v>551</v>
      </c>
      <c r="D13177" t="s">
        <v>558</v>
      </c>
      <c r="E13177" t="s">
        <v>559</v>
      </c>
      <c r="F13177" t="s">
        <v>413</v>
      </c>
      <c r="G13177">
        <v>5808</v>
      </c>
      <c r="H13177">
        <v>5808</v>
      </c>
      <c r="I13177">
        <v>4983</v>
      </c>
      <c r="J13177">
        <v>4983</v>
      </c>
      <c r="K13177">
        <v>1604</v>
      </c>
      <c r="L13177">
        <v>6</v>
      </c>
      <c r="M13177">
        <v>4093</v>
      </c>
      <c r="N13177">
        <v>84</v>
      </c>
      <c r="O13177">
        <v>21</v>
      </c>
      <c r="P13177">
        <v>145</v>
      </c>
      <c r="Q13177">
        <v>64</v>
      </c>
    </row>
    <row r="13178" spans="1:17" x14ac:dyDescent="0.2">
      <c r="A13178" s="121">
        <v>43585</v>
      </c>
      <c r="B13178" t="s">
        <v>406</v>
      </c>
      <c r="C13178" t="s">
        <v>551</v>
      </c>
      <c r="D13178" t="s">
        <v>560</v>
      </c>
      <c r="E13178" t="s">
        <v>561</v>
      </c>
      <c r="F13178" t="s">
        <v>413</v>
      </c>
      <c r="G13178">
        <v>6442</v>
      </c>
      <c r="H13178">
        <v>6442</v>
      </c>
      <c r="I13178">
        <v>5520</v>
      </c>
      <c r="J13178">
        <v>5520</v>
      </c>
      <c r="K13178">
        <v>1896</v>
      </c>
      <c r="L13178">
        <v>3</v>
      </c>
      <c r="M13178">
        <v>4431</v>
      </c>
      <c r="N13178">
        <v>77</v>
      </c>
      <c r="O13178">
        <v>35</v>
      </c>
      <c r="P13178">
        <v>112</v>
      </c>
      <c r="Q13178">
        <v>20</v>
      </c>
    </row>
    <row r="13179" spans="1:17" x14ac:dyDescent="0.2">
      <c r="A13179" s="121">
        <v>43585</v>
      </c>
      <c r="B13179" t="s">
        <v>406</v>
      </c>
      <c r="C13179" t="s">
        <v>562</v>
      </c>
      <c r="D13179" t="s">
        <v>605</v>
      </c>
      <c r="E13179" t="s">
        <v>606</v>
      </c>
      <c r="F13179" t="s">
        <v>410</v>
      </c>
      <c r="G13179">
        <v>171</v>
      </c>
      <c r="I13179">
        <v>171</v>
      </c>
    </row>
    <row r="13180" spans="1:17" x14ac:dyDescent="0.2">
      <c r="A13180" s="121">
        <v>43585</v>
      </c>
      <c r="B13180" t="s">
        <v>406</v>
      </c>
      <c r="C13180" t="s">
        <v>562</v>
      </c>
      <c r="D13180" t="s">
        <v>563</v>
      </c>
      <c r="E13180" t="s">
        <v>564</v>
      </c>
      <c r="F13180" t="s">
        <v>410</v>
      </c>
      <c r="G13180">
        <v>4078</v>
      </c>
      <c r="H13180">
        <v>4078</v>
      </c>
      <c r="I13180">
        <v>3676</v>
      </c>
      <c r="J13180">
        <v>3676</v>
      </c>
      <c r="K13180">
        <v>1184</v>
      </c>
      <c r="L13180">
        <v>0</v>
      </c>
      <c r="M13180">
        <v>2889</v>
      </c>
      <c r="N13180">
        <v>5</v>
      </c>
      <c r="O13180">
        <v>0</v>
      </c>
      <c r="P13180">
        <v>24</v>
      </c>
      <c r="Q13180">
        <v>5</v>
      </c>
    </row>
    <row r="13181" spans="1:17" x14ac:dyDescent="0.2">
      <c r="A13181" s="121">
        <v>43585</v>
      </c>
      <c r="B13181" t="s">
        <v>406</v>
      </c>
      <c r="C13181" t="s">
        <v>562</v>
      </c>
      <c r="D13181" t="s">
        <v>565</v>
      </c>
      <c r="E13181" t="s">
        <v>566</v>
      </c>
      <c r="F13181" t="s">
        <v>413</v>
      </c>
      <c r="G13181">
        <v>4872</v>
      </c>
      <c r="H13181">
        <v>4872</v>
      </c>
      <c r="I13181">
        <v>4473</v>
      </c>
      <c r="J13181">
        <v>4473</v>
      </c>
      <c r="K13181">
        <v>947</v>
      </c>
      <c r="L13181">
        <v>4</v>
      </c>
      <c r="M13181">
        <v>3857</v>
      </c>
      <c r="N13181">
        <v>64</v>
      </c>
      <c r="O13181">
        <v>0</v>
      </c>
      <c r="P13181">
        <v>28</v>
      </c>
      <c r="Q13181">
        <v>6</v>
      </c>
    </row>
    <row r="13182" spans="1:17" x14ac:dyDescent="0.2">
      <c r="A13182" s="121">
        <v>43585</v>
      </c>
      <c r="B13182" t="s">
        <v>406</v>
      </c>
      <c r="C13182" t="s">
        <v>562</v>
      </c>
      <c r="D13182" t="s">
        <v>567</v>
      </c>
      <c r="E13182" t="s">
        <v>568</v>
      </c>
      <c r="F13182" t="s">
        <v>413</v>
      </c>
      <c r="G13182">
        <v>10552</v>
      </c>
      <c r="H13182">
        <v>10552</v>
      </c>
      <c r="I13182">
        <v>8592</v>
      </c>
      <c r="J13182">
        <v>8592</v>
      </c>
      <c r="K13182">
        <v>2848</v>
      </c>
      <c r="L13182">
        <v>13</v>
      </c>
      <c r="M13182">
        <v>7554</v>
      </c>
      <c r="N13182">
        <v>137</v>
      </c>
      <c r="O13182">
        <v>0</v>
      </c>
      <c r="P13182">
        <v>232</v>
      </c>
      <c r="Q13182">
        <v>41</v>
      </c>
    </row>
    <row r="13183" spans="1:17" x14ac:dyDescent="0.2">
      <c r="A13183" s="121">
        <v>43585</v>
      </c>
      <c r="B13183" t="s">
        <v>406</v>
      </c>
      <c r="C13183" t="s">
        <v>562</v>
      </c>
      <c r="D13183" t="s">
        <v>569</v>
      </c>
      <c r="E13183" t="s">
        <v>570</v>
      </c>
      <c r="F13183" t="s">
        <v>413</v>
      </c>
      <c r="G13183">
        <v>4158</v>
      </c>
      <c r="H13183">
        <v>4158</v>
      </c>
      <c r="I13183">
        <v>3951</v>
      </c>
      <c r="J13183">
        <v>3951</v>
      </c>
      <c r="K13183">
        <v>533</v>
      </c>
      <c r="L13183">
        <v>0</v>
      </c>
      <c r="M13183">
        <v>3624</v>
      </c>
      <c r="N13183">
        <v>1</v>
      </c>
      <c r="O13183">
        <v>0</v>
      </c>
      <c r="P13183">
        <v>5</v>
      </c>
      <c r="Q13183">
        <v>2</v>
      </c>
    </row>
    <row r="13184" spans="1:17" x14ac:dyDescent="0.2">
      <c r="A13184" s="121">
        <v>43585</v>
      </c>
      <c r="B13184" t="s">
        <v>406</v>
      </c>
      <c r="C13184" t="s">
        <v>571</v>
      </c>
      <c r="D13184" t="s">
        <v>572</v>
      </c>
      <c r="E13184" t="s">
        <v>627</v>
      </c>
      <c r="F13184" t="s">
        <v>413</v>
      </c>
      <c r="G13184">
        <v>566</v>
      </c>
      <c r="H13184">
        <v>566</v>
      </c>
      <c r="I13184">
        <v>521</v>
      </c>
      <c r="J13184">
        <v>521</v>
      </c>
      <c r="K13184">
        <v>128</v>
      </c>
      <c r="L13184">
        <v>0</v>
      </c>
      <c r="M13184">
        <v>431</v>
      </c>
      <c r="N13184">
        <v>4</v>
      </c>
      <c r="O13184">
        <v>3</v>
      </c>
      <c r="P13184">
        <v>2</v>
      </c>
      <c r="Q13184">
        <v>0</v>
      </c>
    </row>
    <row r="13185" spans="1:17" x14ac:dyDescent="0.2">
      <c r="A13185" s="121">
        <v>43585</v>
      </c>
      <c r="B13185" t="s">
        <v>406</v>
      </c>
      <c r="C13185" t="s">
        <v>574</v>
      </c>
      <c r="D13185" t="s">
        <v>575</v>
      </c>
      <c r="E13185" t="s">
        <v>576</v>
      </c>
      <c r="F13185" t="s">
        <v>413</v>
      </c>
      <c r="G13185">
        <v>649</v>
      </c>
      <c r="H13185">
        <v>649</v>
      </c>
      <c r="I13185">
        <v>621</v>
      </c>
      <c r="J13185">
        <v>621</v>
      </c>
      <c r="K13185">
        <v>143</v>
      </c>
      <c r="L13185">
        <v>0</v>
      </c>
      <c r="M13185">
        <v>494</v>
      </c>
      <c r="N13185">
        <v>4</v>
      </c>
      <c r="O13185">
        <v>8</v>
      </c>
      <c r="P13185">
        <v>1</v>
      </c>
      <c r="Q13185">
        <v>0</v>
      </c>
    </row>
    <row r="13186" spans="1:17" x14ac:dyDescent="0.2">
      <c r="A13186" s="121">
        <v>43585</v>
      </c>
      <c r="B13186" t="s">
        <v>406</v>
      </c>
      <c r="C13186" t="s">
        <v>577</v>
      </c>
      <c r="D13186" t="s">
        <v>578</v>
      </c>
      <c r="E13186" t="s">
        <v>579</v>
      </c>
      <c r="F13186" t="s">
        <v>413</v>
      </c>
      <c r="G13186">
        <v>4270</v>
      </c>
      <c r="H13186">
        <v>4270</v>
      </c>
      <c r="I13186">
        <v>4058</v>
      </c>
      <c r="J13186">
        <v>4058</v>
      </c>
      <c r="K13186">
        <v>1297</v>
      </c>
      <c r="L13186">
        <v>6</v>
      </c>
      <c r="M13186">
        <v>2637</v>
      </c>
      <c r="N13186">
        <v>252</v>
      </c>
      <c r="O13186">
        <v>78</v>
      </c>
      <c r="P13186">
        <v>0</v>
      </c>
      <c r="Q13186">
        <v>0</v>
      </c>
    </row>
    <row r="13187" spans="1:17" x14ac:dyDescent="0.2">
      <c r="A13187" s="121">
        <v>43585</v>
      </c>
      <c r="B13187" t="s">
        <v>406</v>
      </c>
      <c r="C13187" t="s">
        <v>577</v>
      </c>
      <c r="D13187" t="s">
        <v>580</v>
      </c>
      <c r="E13187" t="s">
        <v>581</v>
      </c>
      <c r="F13187" t="s">
        <v>413</v>
      </c>
      <c r="G13187">
        <v>2198</v>
      </c>
      <c r="H13187">
        <v>2198</v>
      </c>
      <c r="I13187">
        <v>2067</v>
      </c>
      <c r="J13187">
        <v>2067</v>
      </c>
      <c r="K13187">
        <v>363</v>
      </c>
      <c r="L13187">
        <v>1</v>
      </c>
      <c r="M13187">
        <v>1535</v>
      </c>
      <c r="N13187">
        <v>273</v>
      </c>
      <c r="O13187">
        <v>26</v>
      </c>
      <c r="P13187">
        <v>0</v>
      </c>
      <c r="Q13187">
        <v>0</v>
      </c>
    </row>
    <row r="13188" spans="1:17" x14ac:dyDescent="0.2">
      <c r="A13188" s="121">
        <v>43585</v>
      </c>
      <c r="B13188" t="s">
        <v>406</v>
      </c>
      <c r="C13188" t="s">
        <v>577</v>
      </c>
      <c r="D13188" t="s">
        <v>609</v>
      </c>
      <c r="E13188" t="s">
        <v>610</v>
      </c>
      <c r="F13188" t="s">
        <v>410</v>
      </c>
      <c r="G13188">
        <v>19</v>
      </c>
      <c r="H13188">
        <v>19</v>
      </c>
      <c r="I13188">
        <v>19</v>
      </c>
      <c r="J13188">
        <v>19</v>
      </c>
      <c r="K13188">
        <v>0</v>
      </c>
      <c r="L13188">
        <v>0</v>
      </c>
      <c r="M13188">
        <v>19</v>
      </c>
      <c r="N13188">
        <v>0</v>
      </c>
      <c r="O13188">
        <v>0</v>
      </c>
      <c r="P13188">
        <v>0</v>
      </c>
      <c r="Q13188">
        <v>0</v>
      </c>
    </row>
    <row r="13189" spans="1:17" x14ac:dyDescent="0.2">
      <c r="A13189" s="121">
        <v>43585</v>
      </c>
      <c r="B13189" t="s">
        <v>406</v>
      </c>
      <c r="C13189" t="s">
        <v>577</v>
      </c>
      <c r="D13189" t="s">
        <v>584</v>
      </c>
      <c r="E13189" t="s">
        <v>585</v>
      </c>
      <c r="F13189" t="s">
        <v>410</v>
      </c>
      <c r="G13189">
        <v>285</v>
      </c>
      <c r="H13189">
        <v>285</v>
      </c>
      <c r="I13189">
        <v>277</v>
      </c>
      <c r="J13189">
        <v>277</v>
      </c>
      <c r="K13189">
        <v>0</v>
      </c>
      <c r="L13189">
        <v>0</v>
      </c>
      <c r="M13189">
        <v>273</v>
      </c>
      <c r="N13189">
        <v>10</v>
      </c>
      <c r="O13189">
        <v>2</v>
      </c>
      <c r="P13189">
        <v>3</v>
      </c>
      <c r="Q13189">
        <v>0</v>
      </c>
    </row>
    <row r="13190" spans="1:17" x14ac:dyDescent="0.2">
      <c r="A13190" s="121">
        <v>43585</v>
      </c>
      <c r="B13190" t="s">
        <v>406</v>
      </c>
      <c r="C13190" t="s">
        <v>577</v>
      </c>
      <c r="D13190" t="s">
        <v>586</v>
      </c>
      <c r="E13190" t="s">
        <v>587</v>
      </c>
      <c r="F13190" t="s">
        <v>410</v>
      </c>
      <c r="G13190">
        <v>1468</v>
      </c>
      <c r="H13190">
        <v>1468</v>
      </c>
      <c r="I13190">
        <v>1468</v>
      </c>
      <c r="J13190">
        <v>1468</v>
      </c>
      <c r="K13190">
        <v>0</v>
      </c>
      <c r="L13190">
        <v>0</v>
      </c>
      <c r="M13190">
        <v>1468</v>
      </c>
      <c r="N13190">
        <v>0</v>
      </c>
      <c r="O13190">
        <v>0</v>
      </c>
      <c r="P13190">
        <v>0</v>
      </c>
      <c r="Q13190">
        <v>0</v>
      </c>
    </row>
    <row r="13191" spans="1:17" x14ac:dyDescent="0.2">
      <c r="A13191" s="121">
        <v>43585</v>
      </c>
      <c r="B13191" t="s">
        <v>406</v>
      </c>
      <c r="C13191" t="s">
        <v>577</v>
      </c>
      <c r="D13191" t="s">
        <v>588</v>
      </c>
      <c r="E13191" t="s">
        <v>589</v>
      </c>
      <c r="F13191" t="s">
        <v>410</v>
      </c>
      <c r="G13191">
        <v>66</v>
      </c>
      <c r="H13191">
        <v>66</v>
      </c>
      <c r="I13191">
        <v>66</v>
      </c>
      <c r="J13191">
        <v>66</v>
      </c>
      <c r="K13191">
        <v>0</v>
      </c>
      <c r="L13191">
        <v>0</v>
      </c>
      <c r="M13191">
        <v>60</v>
      </c>
      <c r="N13191">
        <v>5</v>
      </c>
      <c r="O13191">
        <v>1</v>
      </c>
      <c r="P13191">
        <v>0</v>
      </c>
      <c r="Q13191">
        <v>0</v>
      </c>
    </row>
    <row r="13192" spans="1:17" x14ac:dyDescent="0.2">
      <c r="A13192" s="121">
        <v>43585</v>
      </c>
      <c r="B13192" t="s">
        <v>406</v>
      </c>
      <c r="C13192" t="s">
        <v>577</v>
      </c>
      <c r="D13192" t="s">
        <v>613</v>
      </c>
      <c r="E13192" t="s">
        <v>614</v>
      </c>
      <c r="F13192" t="s">
        <v>410</v>
      </c>
      <c r="G13192">
        <v>65</v>
      </c>
      <c r="H13192">
        <v>65</v>
      </c>
      <c r="I13192">
        <v>65</v>
      </c>
      <c r="J13192">
        <v>65</v>
      </c>
      <c r="K13192">
        <v>0</v>
      </c>
      <c r="L13192">
        <v>0</v>
      </c>
      <c r="M13192">
        <v>57</v>
      </c>
      <c r="N13192">
        <v>4</v>
      </c>
      <c r="O13192">
        <v>4</v>
      </c>
      <c r="P13192">
        <v>0</v>
      </c>
      <c r="Q13192">
        <v>0</v>
      </c>
    </row>
    <row r="13193" spans="1:17" x14ac:dyDescent="0.2">
      <c r="A13193" s="121">
        <v>43585</v>
      </c>
      <c r="B13193" t="s">
        <v>406</v>
      </c>
      <c r="C13193" t="s">
        <v>577</v>
      </c>
      <c r="D13193" t="s">
        <v>590</v>
      </c>
      <c r="E13193" t="s">
        <v>591</v>
      </c>
      <c r="F13193" t="s">
        <v>410</v>
      </c>
      <c r="G13193">
        <v>504</v>
      </c>
      <c r="H13193">
        <v>504</v>
      </c>
      <c r="I13193">
        <v>504</v>
      </c>
      <c r="J13193">
        <v>504</v>
      </c>
      <c r="K13193">
        <v>0</v>
      </c>
      <c r="L13193">
        <v>0</v>
      </c>
      <c r="M13193">
        <v>477</v>
      </c>
      <c r="N13193">
        <v>26</v>
      </c>
      <c r="O13193">
        <v>1</v>
      </c>
      <c r="P13193">
        <v>0</v>
      </c>
      <c r="Q13193">
        <v>0</v>
      </c>
    </row>
    <row r="13194" spans="1:17" x14ac:dyDescent="0.2">
      <c r="A13194" s="121">
        <v>43585</v>
      </c>
      <c r="B13194" t="s">
        <v>406</v>
      </c>
      <c r="C13194" t="s">
        <v>577</v>
      </c>
      <c r="D13194" t="s">
        <v>607</v>
      </c>
      <c r="E13194" t="s">
        <v>608</v>
      </c>
      <c r="F13194" t="s">
        <v>410</v>
      </c>
      <c r="G13194">
        <v>179</v>
      </c>
      <c r="H13194">
        <v>179</v>
      </c>
      <c r="I13194">
        <v>179</v>
      </c>
      <c r="J13194">
        <v>179</v>
      </c>
      <c r="K13194">
        <v>0</v>
      </c>
      <c r="L13194">
        <v>0</v>
      </c>
      <c r="M13194">
        <v>167</v>
      </c>
      <c r="N13194">
        <v>12</v>
      </c>
      <c r="O13194">
        <v>0</v>
      </c>
      <c r="P13194">
        <v>0</v>
      </c>
      <c r="Q13194">
        <v>0</v>
      </c>
    </row>
    <row r="13195" spans="1:17" x14ac:dyDescent="0.2">
      <c r="A13195" s="121">
        <v>43585</v>
      </c>
      <c r="B13195" t="s">
        <v>406</v>
      </c>
      <c r="C13195" t="s">
        <v>577</v>
      </c>
      <c r="D13195" t="s">
        <v>592</v>
      </c>
      <c r="E13195" t="s">
        <v>593</v>
      </c>
      <c r="F13195" t="s">
        <v>410</v>
      </c>
      <c r="G13195">
        <v>204</v>
      </c>
      <c r="H13195">
        <v>204</v>
      </c>
      <c r="I13195">
        <v>204</v>
      </c>
      <c r="J13195">
        <v>204</v>
      </c>
      <c r="K13195">
        <v>0</v>
      </c>
      <c r="L13195">
        <v>0</v>
      </c>
      <c r="M13195">
        <v>190</v>
      </c>
      <c r="N13195">
        <v>13</v>
      </c>
      <c r="O13195">
        <v>1</v>
      </c>
      <c r="P13195">
        <v>0</v>
      </c>
      <c r="Q13195">
        <v>0</v>
      </c>
    </row>
    <row r="13196" spans="1:17" x14ac:dyDescent="0.2">
      <c r="A13196" s="121">
        <v>43585</v>
      </c>
      <c r="B13196" t="s">
        <v>406</v>
      </c>
      <c r="C13196" t="s">
        <v>594</v>
      </c>
      <c r="D13196" t="s">
        <v>595</v>
      </c>
      <c r="E13196" t="s">
        <v>596</v>
      </c>
      <c r="F13196" t="s">
        <v>410</v>
      </c>
      <c r="G13196">
        <v>55</v>
      </c>
      <c r="I13196">
        <v>55</v>
      </c>
    </row>
    <row r="13197" spans="1:17" x14ac:dyDescent="0.2">
      <c r="A13197" s="121">
        <v>43585</v>
      </c>
      <c r="B13197" t="s">
        <v>406</v>
      </c>
      <c r="C13197" t="s">
        <v>594</v>
      </c>
      <c r="D13197" t="s">
        <v>597</v>
      </c>
      <c r="E13197" t="s">
        <v>598</v>
      </c>
      <c r="F13197" t="s">
        <v>413</v>
      </c>
      <c r="G13197">
        <v>600</v>
      </c>
      <c r="H13197">
        <v>600</v>
      </c>
      <c r="I13197">
        <v>593</v>
      </c>
      <c r="J13197">
        <v>593</v>
      </c>
      <c r="K13197">
        <v>147</v>
      </c>
      <c r="L13197">
        <v>0</v>
      </c>
      <c r="M13197">
        <v>444</v>
      </c>
      <c r="N13197">
        <v>2</v>
      </c>
      <c r="O13197">
        <v>7</v>
      </c>
      <c r="P13197">
        <v>0</v>
      </c>
      <c r="Q13197">
        <v>0</v>
      </c>
    </row>
    <row r="13198" spans="1:17" x14ac:dyDescent="0.2">
      <c r="A13198" s="121">
        <v>43585</v>
      </c>
      <c r="B13198" t="s">
        <v>406</v>
      </c>
      <c r="C13198" t="s">
        <v>594</v>
      </c>
      <c r="D13198" t="s">
        <v>599</v>
      </c>
      <c r="E13198" t="s">
        <v>600</v>
      </c>
      <c r="F13198" t="s">
        <v>410</v>
      </c>
      <c r="G13198">
        <v>142</v>
      </c>
      <c r="H13198">
        <v>142</v>
      </c>
      <c r="I13198">
        <v>142</v>
      </c>
      <c r="J13198">
        <v>142</v>
      </c>
      <c r="K13198">
        <v>11</v>
      </c>
      <c r="L13198">
        <v>0</v>
      </c>
      <c r="M13198">
        <v>131</v>
      </c>
      <c r="N13198">
        <v>0</v>
      </c>
      <c r="O13198">
        <v>0</v>
      </c>
      <c r="P13198">
        <v>0</v>
      </c>
      <c r="Q13198">
        <v>0</v>
      </c>
    </row>
    <row r="13199" spans="1:17" x14ac:dyDescent="0.2">
      <c r="A13199" s="121">
        <v>43616</v>
      </c>
      <c r="B13199" t="s">
        <v>406</v>
      </c>
      <c r="C13199" t="s">
        <v>407</v>
      </c>
      <c r="D13199" t="s">
        <v>408</v>
      </c>
      <c r="E13199" t="s">
        <v>409</v>
      </c>
      <c r="F13199" t="s">
        <v>410</v>
      </c>
      <c r="G13199">
        <v>279</v>
      </c>
      <c r="I13199">
        <v>271</v>
      </c>
    </row>
    <row r="13200" spans="1:17" x14ac:dyDescent="0.2">
      <c r="A13200" s="121">
        <v>43616</v>
      </c>
      <c r="B13200" t="s">
        <v>406</v>
      </c>
      <c r="C13200" t="s">
        <v>407</v>
      </c>
      <c r="D13200" t="s">
        <v>601</v>
      </c>
      <c r="E13200" t="s">
        <v>602</v>
      </c>
      <c r="F13200" t="s">
        <v>410</v>
      </c>
      <c r="G13200">
        <v>82</v>
      </c>
      <c r="I13200">
        <v>82</v>
      </c>
    </row>
    <row r="13201" spans="1:17" x14ac:dyDescent="0.2">
      <c r="A13201" s="121">
        <v>43616</v>
      </c>
      <c r="B13201" t="s">
        <v>406</v>
      </c>
      <c r="C13201" t="s">
        <v>407</v>
      </c>
      <c r="D13201" t="s">
        <v>411</v>
      </c>
      <c r="E13201" t="s">
        <v>412</v>
      </c>
      <c r="F13201" t="s">
        <v>413</v>
      </c>
      <c r="G13201">
        <v>6546</v>
      </c>
      <c r="H13201">
        <v>6546</v>
      </c>
      <c r="I13201">
        <v>6105</v>
      </c>
      <c r="J13201">
        <v>6105</v>
      </c>
      <c r="K13201">
        <v>2067</v>
      </c>
      <c r="L13201">
        <v>5</v>
      </c>
      <c r="M13201">
        <v>4105</v>
      </c>
      <c r="N13201">
        <v>40</v>
      </c>
      <c r="O13201">
        <v>329</v>
      </c>
      <c r="P13201">
        <v>115</v>
      </c>
      <c r="Q13201">
        <v>27</v>
      </c>
    </row>
    <row r="13202" spans="1:17" x14ac:dyDescent="0.2">
      <c r="A13202" s="121">
        <v>43616</v>
      </c>
      <c r="B13202" t="s">
        <v>406</v>
      </c>
      <c r="C13202" t="s">
        <v>407</v>
      </c>
      <c r="D13202" t="s">
        <v>416</v>
      </c>
      <c r="E13202" t="s">
        <v>417</v>
      </c>
      <c r="F13202" t="s">
        <v>413</v>
      </c>
      <c r="G13202">
        <v>3633</v>
      </c>
      <c r="H13202">
        <v>3633</v>
      </c>
      <c r="I13202">
        <v>3145</v>
      </c>
      <c r="J13202">
        <v>3145</v>
      </c>
      <c r="K13202">
        <v>971</v>
      </c>
      <c r="L13202">
        <v>13</v>
      </c>
      <c r="M13202">
        <v>2500</v>
      </c>
      <c r="N13202">
        <v>100</v>
      </c>
      <c r="O13202">
        <v>49</v>
      </c>
      <c r="P13202">
        <v>133</v>
      </c>
      <c r="Q13202">
        <v>50</v>
      </c>
    </row>
    <row r="13203" spans="1:17" x14ac:dyDescent="0.2">
      <c r="A13203" s="121">
        <v>43616</v>
      </c>
      <c r="B13203" t="s">
        <v>406</v>
      </c>
      <c r="C13203" t="s">
        <v>407</v>
      </c>
      <c r="D13203" t="s">
        <v>618</v>
      </c>
      <c r="E13203" t="s">
        <v>619</v>
      </c>
      <c r="F13203" t="s">
        <v>410</v>
      </c>
      <c r="G13203">
        <v>87</v>
      </c>
      <c r="I13203">
        <v>87</v>
      </c>
    </row>
    <row r="13204" spans="1:17" x14ac:dyDescent="0.2">
      <c r="A13204" s="121">
        <v>43616</v>
      </c>
      <c r="B13204" t="s">
        <v>406</v>
      </c>
      <c r="C13204" t="s">
        <v>418</v>
      </c>
      <c r="D13204" t="s">
        <v>419</v>
      </c>
      <c r="E13204" t="s">
        <v>420</v>
      </c>
      <c r="F13204" t="s">
        <v>410</v>
      </c>
      <c r="G13204">
        <v>16</v>
      </c>
      <c r="I13204">
        <v>16</v>
      </c>
    </row>
    <row r="13205" spans="1:17" x14ac:dyDescent="0.2">
      <c r="A13205" s="121">
        <v>43616</v>
      </c>
      <c r="B13205" t="s">
        <v>406</v>
      </c>
      <c r="C13205" t="s">
        <v>418</v>
      </c>
      <c r="D13205" t="s">
        <v>421</v>
      </c>
      <c r="E13205" t="s">
        <v>422</v>
      </c>
      <c r="F13205" t="s">
        <v>410</v>
      </c>
      <c r="G13205">
        <v>106</v>
      </c>
      <c r="I13205">
        <v>106</v>
      </c>
    </row>
    <row r="13206" spans="1:17" x14ac:dyDescent="0.2">
      <c r="A13206" s="121">
        <v>43616</v>
      </c>
      <c r="B13206" t="s">
        <v>406</v>
      </c>
      <c r="C13206" t="s">
        <v>418</v>
      </c>
      <c r="D13206" t="s">
        <v>423</v>
      </c>
      <c r="E13206" t="s">
        <v>424</v>
      </c>
      <c r="F13206" t="s">
        <v>410</v>
      </c>
      <c r="G13206">
        <v>13</v>
      </c>
      <c r="I13206">
        <v>13</v>
      </c>
    </row>
    <row r="13207" spans="1:17" x14ac:dyDescent="0.2">
      <c r="A13207" s="121">
        <v>43616</v>
      </c>
      <c r="B13207" t="s">
        <v>406</v>
      </c>
      <c r="C13207" t="s">
        <v>418</v>
      </c>
      <c r="D13207" t="s">
        <v>425</v>
      </c>
      <c r="E13207" t="s">
        <v>426</v>
      </c>
      <c r="F13207" t="s">
        <v>410</v>
      </c>
      <c r="G13207">
        <v>42</v>
      </c>
      <c r="I13207">
        <v>42</v>
      </c>
    </row>
    <row r="13208" spans="1:17" x14ac:dyDescent="0.2">
      <c r="A13208" s="121">
        <v>43616</v>
      </c>
      <c r="B13208" t="s">
        <v>406</v>
      </c>
      <c r="C13208" t="s">
        <v>418</v>
      </c>
      <c r="D13208" t="s">
        <v>427</v>
      </c>
      <c r="E13208" t="s">
        <v>428</v>
      </c>
      <c r="F13208" t="s">
        <v>413</v>
      </c>
      <c r="G13208">
        <v>2823</v>
      </c>
      <c r="H13208">
        <v>2823</v>
      </c>
      <c r="I13208">
        <v>2685</v>
      </c>
      <c r="J13208">
        <v>2685</v>
      </c>
      <c r="K13208">
        <v>867</v>
      </c>
      <c r="L13208">
        <v>5</v>
      </c>
      <c r="M13208">
        <v>1730</v>
      </c>
      <c r="N13208">
        <v>207</v>
      </c>
      <c r="O13208">
        <v>14</v>
      </c>
      <c r="P13208">
        <v>6</v>
      </c>
      <c r="Q13208">
        <v>1</v>
      </c>
    </row>
    <row r="13209" spans="1:17" x14ac:dyDescent="0.2">
      <c r="A13209" s="121">
        <v>43616</v>
      </c>
      <c r="B13209" t="s">
        <v>406</v>
      </c>
      <c r="C13209" t="s">
        <v>429</v>
      </c>
      <c r="D13209" t="s">
        <v>430</v>
      </c>
      <c r="E13209" t="s">
        <v>431</v>
      </c>
      <c r="F13209" t="s">
        <v>410</v>
      </c>
      <c r="G13209">
        <v>15</v>
      </c>
      <c r="I13209">
        <v>15</v>
      </c>
    </row>
    <row r="13210" spans="1:17" x14ac:dyDescent="0.2">
      <c r="A13210" s="121">
        <v>43616</v>
      </c>
      <c r="B13210" t="s">
        <v>406</v>
      </c>
      <c r="C13210" t="s">
        <v>429</v>
      </c>
      <c r="D13210" t="s">
        <v>432</v>
      </c>
      <c r="E13210" t="s">
        <v>433</v>
      </c>
      <c r="F13210" t="s">
        <v>410</v>
      </c>
      <c r="G13210">
        <v>50</v>
      </c>
      <c r="I13210">
        <v>50</v>
      </c>
    </row>
    <row r="13211" spans="1:17" x14ac:dyDescent="0.2">
      <c r="A13211" s="121">
        <v>43616</v>
      </c>
      <c r="B13211" t="s">
        <v>406</v>
      </c>
      <c r="C13211" t="s">
        <v>429</v>
      </c>
      <c r="D13211" t="s">
        <v>434</v>
      </c>
      <c r="E13211" t="s">
        <v>435</v>
      </c>
      <c r="F13211" t="s">
        <v>410</v>
      </c>
      <c r="G13211">
        <v>1</v>
      </c>
      <c r="I13211">
        <v>1</v>
      </c>
    </row>
    <row r="13212" spans="1:17" x14ac:dyDescent="0.2">
      <c r="A13212" s="121">
        <v>43616</v>
      </c>
      <c r="B13212" t="s">
        <v>406</v>
      </c>
      <c r="C13212" t="s">
        <v>429</v>
      </c>
      <c r="D13212" t="s">
        <v>436</v>
      </c>
      <c r="E13212" t="s">
        <v>437</v>
      </c>
      <c r="F13212" t="s">
        <v>410</v>
      </c>
      <c r="G13212">
        <v>11</v>
      </c>
      <c r="H13212">
        <v>11</v>
      </c>
      <c r="I13212">
        <v>11</v>
      </c>
      <c r="J13212">
        <v>11</v>
      </c>
      <c r="K13212">
        <v>0</v>
      </c>
      <c r="L13212">
        <v>0</v>
      </c>
      <c r="M13212">
        <v>11</v>
      </c>
      <c r="N13212">
        <v>0</v>
      </c>
      <c r="O13212">
        <v>0</v>
      </c>
      <c r="P13212">
        <v>0</v>
      </c>
      <c r="Q13212">
        <v>0</v>
      </c>
    </row>
    <row r="13213" spans="1:17" x14ac:dyDescent="0.2">
      <c r="A13213" s="121">
        <v>43616</v>
      </c>
      <c r="B13213" t="s">
        <v>406</v>
      </c>
      <c r="C13213" t="s">
        <v>429</v>
      </c>
      <c r="D13213" t="s">
        <v>438</v>
      </c>
      <c r="E13213" t="s">
        <v>439</v>
      </c>
      <c r="F13213" t="s">
        <v>413</v>
      </c>
      <c r="G13213">
        <v>1242</v>
      </c>
      <c r="H13213">
        <v>1242</v>
      </c>
      <c r="I13213">
        <v>1137</v>
      </c>
      <c r="J13213">
        <v>1137</v>
      </c>
      <c r="K13213">
        <v>87</v>
      </c>
      <c r="L13213">
        <v>2</v>
      </c>
      <c r="M13213">
        <v>1012</v>
      </c>
      <c r="N13213">
        <v>93</v>
      </c>
      <c r="O13213">
        <v>48</v>
      </c>
      <c r="P13213">
        <v>14</v>
      </c>
      <c r="Q13213">
        <v>1</v>
      </c>
    </row>
    <row r="13214" spans="1:17" x14ac:dyDescent="0.2">
      <c r="A13214" s="121">
        <v>43616</v>
      </c>
      <c r="B13214" t="s">
        <v>406</v>
      </c>
      <c r="C13214" t="s">
        <v>429</v>
      </c>
      <c r="D13214" t="s">
        <v>440</v>
      </c>
      <c r="E13214" t="s">
        <v>441</v>
      </c>
      <c r="F13214" t="s">
        <v>413</v>
      </c>
      <c r="G13214">
        <v>3090</v>
      </c>
      <c r="H13214">
        <v>3090</v>
      </c>
      <c r="I13214">
        <v>2870</v>
      </c>
      <c r="J13214">
        <v>2870</v>
      </c>
      <c r="K13214">
        <v>902</v>
      </c>
      <c r="L13214">
        <v>2</v>
      </c>
      <c r="M13214">
        <v>2064</v>
      </c>
      <c r="N13214">
        <v>67</v>
      </c>
      <c r="O13214">
        <v>55</v>
      </c>
      <c r="P13214">
        <v>17</v>
      </c>
      <c r="Q13214">
        <v>0</v>
      </c>
    </row>
    <row r="13215" spans="1:17" x14ac:dyDescent="0.2">
      <c r="A13215" s="121">
        <v>43616</v>
      </c>
      <c r="B13215" t="s">
        <v>406</v>
      </c>
      <c r="C13215" t="s">
        <v>442</v>
      </c>
      <c r="D13215" t="s">
        <v>443</v>
      </c>
      <c r="E13215" t="s">
        <v>444</v>
      </c>
      <c r="F13215" t="s">
        <v>413</v>
      </c>
      <c r="G13215">
        <v>6072</v>
      </c>
      <c r="H13215">
        <v>6072</v>
      </c>
      <c r="I13215">
        <v>5611</v>
      </c>
      <c r="J13215">
        <v>5611</v>
      </c>
      <c r="K13215">
        <v>1753</v>
      </c>
      <c r="L13215">
        <v>8</v>
      </c>
      <c r="M13215">
        <v>4124</v>
      </c>
      <c r="N13215">
        <v>107</v>
      </c>
      <c r="O13215">
        <v>80</v>
      </c>
      <c r="P13215">
        <v>6</v>
      </c>
      <c r="Q13215">
        <v>0</v>
      </c>
    </row>
    <row r="13216" spans="1:17" x14ac:dyDescent="0.2">
      <c r="A13216" s="121">
        <v>43616</v>
      </c>
      <c r="B13216" t="s">
        <v>406</v>
      </c>
      <c r="C13216" t="s">
        <v>442</v>
      </c>
      <c r="D13216" t="s">
        <v>445</v>
      </c>
      <c r="E13216" t="s">
        <v>446</v>
      </c>
      <c r="F13216" t="s">
        <v>410</v>
      </c>
      <c r="G13216">
        <v>171</v>
      </c>
      <c r="H13216">
        <v>171</v>
      </c>
      <c r="I13216">
        <v>170</v>
      </c>
      <c r="J13216">
        <v>170</v>
      </c>
      <c r="K13216">
        <v>1</v>
      </c>
      <c r="L13216">
        <v>0</v>
      </c>
      <c r="M13216">
        <v>160</v>
      </c>
      <c r="N13216">
        <v>2</v>
      </c>
      <c r="O13216">
        <v>8</v>
      </c>
      <c r="P13216">
        <v>0</v>
      </c>
      <c r="Q13216">
        <v>0</v>
      </c>
    </row>
    <row r="13217" spans="1:17" x14ac:dyDescent="0.2">
      <c r="A13217" s="121">
        <v>43616</v>
      </c>
      <c r="B13217" t="s">
        <v>406</v>
      </c>
      <c r="C13217" t="s">
        <v>442</v>
      </c>
      <c r="D13217" t="s">
        <v>447</v>
      </c>
      <c r="E13217" t="s">
        <v>448</v>
      </c>
      <c r="F13217" t="s">
        <v>410</v>
      </c>
      <c r="G13217">
        <v>294</v>
      </c>
      <c r="H13217">
        <v>294</v>
      </c>
      <c r="I13217">
        <v>294</v>
      </c>
      <c r="J13217">
        <v>294</v>
      </c>
      <c r="K13217">
        <v>0</v>
      </c>
      <c r="L13217">
        <v>0</v>
      </c>
      <c r="M13217">
        <v>286</v>
      </c>
      <c r="N13217">
        <v>8</v>
      </c>
      <c r="O13217">
        <v>0</v>
      </c>
      <c r="P13217">
        <v>0</v>
      </c>
      <c r="Q13217">
        <v>0</v>
      </c>
    </row>
    <row r="13218" spans="1:17" x14ac:dyDescent="0.2">
      <c r="A13218" s="121">
        <v>43616</v>
      </c>
      <c r="B13218" t="s">
        <v>406</v>
      </c>
      <c r="C13218" t="s">
        <v>442</v>
      </c>
      <c r="D13218" t="s">
        <v>449</v>
      </c>
      <c r="E13218" t="s">
        <v>624</v>
      </c>
      <c r="F13218" t="s">
        <v>410</v>
      </c>
      <c r="G13218">
        <v>1925</v>
      </c>
      <c r="H13218">
        <v>1925</v>
      </c>
      <c r="I13218">
        <v>1920</v>
      </c>
      <c r="J13218">
        <v>1920</v>
      </c>
      <c r="K13218">
        <v>22</v>
      </c>
      <c r="L13218">
        <v>0</v>
      </c>
      <c r="M13218">
        <v>1754</v>
      </c>
      <c r="N13218">
        <v>127</v>
      </c>
      <c r="O13218">
        <v>22</v>
      </c>
      <c r="P13218">
        <v>0</v>
      </c>
      <c r="Q13218">
        <v>0</v>
      </c>
    </row>
    <row r="13219" spans="1:17" x14ac:dyDescent="0.2">
      <c r="A13219" s="121">
        <v>43616</v>
      </c>
      <c r="B13219" t="s">
        <v>406</v>
      </c>
      <c r="C13219" t="s">
        <v>451</v>
      </c>
      <c r="D13219" t="s">
        <v>454</v>
      </c>
      <c r="E13219" t="s">
        <v>621</v>
      </c>
      <c r="F13219" t="s">
        <v>410</v>
      </c>
      <c r="G13219">
        <v>1781</v>
      </c>
      <c r="H13219">
        <v>1781</v>
      </c>
      <c r="I13219">
        <v>1777</v>
      </c>
      <c r="J13219">
        <v>1777</v>
      </c>
      <c r="K13219">
        <v>26</v>
      </c>
      <c r="L13219">
        <v>0</v>
      </c>
      <c r="M13219">
        <v>1644</v>
      </c>
      <c r="N13219">
        <v>15</v>
      </c>
      <c r="O13219">
        <v>96</v>
      </c>
      <c r="P13219">
        <v>0</v>
      </c>
      <c r="Q13219">
        <v>0</v>
      </c>
    </row>
    <row r="13220" spans="1:17" x14ac:dyDescent="0.2">
      <c r="A13220" s="121">
        <v>43616</v>
      </c>
      <c r="B13220" t="s">
        <v>406</v>
      </c>
      <c r="C13220" t="s">
        <v>451</v>
      </c>
      <c r="D13220" t="s">
        <v>622</v>
      </c>
      <c r="E13220" t="s">
        <v>623</v>
      </c>
      <c r="F13220" t="s">
        <v>413</v>
      </c>
      <c r="G13220">
        <v>6024</v>
      </c>
      <c r="H13220">
        <v>6024</v>
      </c>
      <c r="I13220">
        <v>5241</v>
      </c>
      <c r="J13220">
        <v>5241</v>
      </c>
      <c r="K13220">
        <v>1554</v>
      </c>
      <c r="L13220">
        <v>10</v>
      </c>
      <c r="M13220">
        <v>4153</v>
      </c>
      <c r="N13220">
        <v>37</v>
      </c>
      <c r="O13220">
        <v>270</v>
      </c>
      <c r="P13220">
        <v>35</v>
      </c>
      <c r="Q13220">
        <v>0</v>
      </c>
    </row>
    <row r="13221" spans="1:17" x14ac:dyDescent="0.2">
      <c r="A13221" s="121">
        <v>43616</v>
      </c>
      <c r="B13221" t="s">
        <v>406</v>
      </c>
      <c r="C13221" t="s">
        <v>456</v>
      </c>
      <c r="D13221" t="s">
        <v>457</v>
      </c>
      <c r="E13221" t="s">
        <v>458</v>
      </c>
      <c r="F13221" t="s">
        <v>413</v>
      </c>
      <c r="G13221">
        <v>5184</v>
      </c>
      <c r="H13221">
        <v>5184</v>
      </c>
      <c r="I13221">
        <v>4600</v>
      </c>
      <c r="J13221">
        <v>4600</v>
      </c>
      <c r="K13221">
        <v>1368</v>
      </c>
      <c r="L13221">
        <v>6</v>
      </c>
      <c r="M13221">
        <v>3417</v>
      </c>
      <c r="N13221">
        <v>28</v>
      </c>
      <c r="O13221">
        <v>365</v>
      </c>
      <c r="P13221">
        <v>25</v>
      </c>
      <c r="Q13221">
        <v>0</v>
      </c>
    </row>
    <row r="13222" spans="1:17" x14ac:dyDescent="0.2">
      <c r="A13222" s="121">
        <v>43616</v>
      </c>
      <c r="B13222" t="s">
        <v>406</v>
      </c>
      <c r="C13222" t="s">
        <v>456</v>
      </c>
      <c r="D13222" t="s">
        <v>459</v>
      </c>
      <c r="E13222" t="s">
        <v>460</v>
      </c>
      <c r="F13222" t="s">
        <v>413</v>
      </c>
      <c r="G13222">
        <v>1559</v>
      </c>
      <c r="H13222">
        <v>1559</v>
      </c>
      <c r="I13222">
        <v>1546</v>
      </c>
      <c r="J13222">
        <v>1546</v>
      </c>
      <c r="K13222">
        <v>122</v>
      </c>
      <c r="L13222">
        <v>1</v>
      </c>
      <c r="M13222">
        <v>1385</v>
      </c>
      <c r="N13222">
        <v>2</v>
      </c>
      <c r="O13222">
        <v>49</v>
      </c>
      <c r="P13222">
        <v>0</v>
      </c>
      <c r="Q13222">
        <v>0</v>
      </c>
    </row>
    <row r="13223" spans="1:17" x14ac:dyDescent="0.2">
      <c r="A13223" s="121">
        <v>43616</v>
      </c>
      <c r="B13223" t="s">
        <v>406</v>
      </c>
      <c r="C13223" t="s">
        <v>456</v>
      </c>
      <c r="D13223" t="s">
        <v>461</v>
      </c>
      <c r="E13223" t="s">
        <v>462</v>
      </c>
      <c r="F13223" t="s">
        <v>410</v>
      </c>
      <c r="G13223">
        <v>98</v>
      </c>
      <c r="I13223">
        <v>98</v>
      </c>
    </row>
    <row r="13224" spans="1:17" x14ac:dyDescent="0.2">
      <c r="A13224" s="121">
        <v>43616</v>
      </c>
      <c r="B13224" t="s">
        <v>406</v>
      </c>
      <c r="C13224" t="s">
        <v>456</v>
      </c>
      <c r="D13224" t="s">
        <v>465</v>
      </c>
      <c r="E13224" t="s">
        <v>466</v>
      </c>
      <c r="F13224" t="s">
        <v>410</v>
      </c>
      <c r="G13224">
        <v>38</v>
      </c>
      <c r="I13224">
        <v>38</v>
      </c>
    </row>
    <row r="13225" spans="1:17" x14ac:dyDescent="0.2">
      <c r="A13225" s="121">
        <v>43616</v>
      </c>
      <c r="B13225" t="s">
        <v>406</v>
      </c>
      <c r="C13225" t="s">
        <v>456</v>
      </c>
      <c r="D13225" t="s">
        <v>467</v>
      </c>
      <c r="E13225" t="s">
        <v>468</v>
      </c>
      <c r="F13225" t="s">
        <v>410</v>
      </c>
      <c r="G13225">
        <v>1356</v>
      </c>
      <c r="I13225">
        <v>1356</v>
      </c>
    </row>
    <row r="13226" spans="1:17" x14ac:dyDescent="0.2">
      <c r="A13226" s="121">
        <v>43616</v>
      </c>
      <c r="B13226" t="s">
        <v>406</v>
      </c>
      <c r="C13226" t="s">
        <v>456</v>
      </c>
      <c r="D13226" t="s">
        <v>469</v>
      </c>
      <c r="E13226" t="s">
        <v>470</v>
      </c>
      <c r="F13226" t="s">
        <v>410</v>
      </c>
      <c r="G13226">
        <v>676</v>
      </c>
      <c r="I13226">
        <v>674</v>
      </c>
    </row>
    <row r="13227" spans="1:17" x14ac:dyDescent="0.2">
      <c r="A13227" s="121">
        <v>43616</v>
      </c>
      <c r="B13227" t="s">
        <v>406</v>
      </c>
      <c r="C13227" t="s">
        <v>456</v>
      </c>
      <c r="D13227" t="s">
        <v>471</v>
      </c>
      <c r="E13227" t="s">
        <v>472</v>
      </c>
      <c r="F13227" t="s">
        <v>410</v>
      </c>
      <c r="G13227">
        <v>287</v>
      </c>
      <c r="I13227">
        <v>279</v>
      </c>
    </row>
    <row r="13228" spans="1:17" x14ac:dyDescent="0.2">
      <c r="A13228" s="121">
        <v>43616</v>
      </c>
      <c r="B13228" t="s">
        <v>406</v>
      </c>
      <c r="C13228" t="s">
        <v>456</v>
      </c>
      <c r="D13228" t="s">
        <v>473</v>
      </c>
      <c r="E13228" t="s">
        <v>474</v>
      </c>
      <c r="F13228" t="s">
        <v>410</v>
      </c>
      <c r="G13228">
        <v>108</v>
      </c>
      <c r="I13228">
        <v>108</v>
      </c>
    </row>
    <row r="13229" spans="1:17" x14ac:dyDescent="0.2">
      <c r="A13229" s="121">
        <v>43616</v>
      </c>
      <c r="B13229" t="s">
        <v>406</v>
      </c>
      <c r="C13229" t="s">
        <v>456</v>
      </c>
      <c r="D13229" t="s">
        <v>475</v>
      </c>
      <c r="E13229" t="s">
        <v>476</v>
      </c>
      <c r="F13229" t="s">
        <v>410</v>
      </c>
      <c r="G13229">
        <v>330</v>
      </c>
      <c r="I13229">
        <v>328</v>
      </c>
    </row>
    <row r="13230" spans="1:17" x14ac:dyDescent="0.2">
      <c r="A13230" s="121">
        <v>43616</v>
      </c>
      <c r="B13230" t="s">
        <v>406</v>
      </c>
      <c r="C13230" t="s">
        <v>456</v>
      </c>
      <c r="D13230" t="s">
        <v>477</v>
      </c>
      <c r="E13230" t="s">
        <v>478</v>
      </c>
      <c r="F13230" t="s">
        <v>413</v>
      </c>
      <c r="G13230">
        <v>2167</v>
      </c>
      <c r="H13230">
        <v>2167</v>
      </c>
      <c r="I13230">
        <v>2061</v>
      </c>
      <c r="J13230">
        <v>2061</v>
      </c>
      <c r="K13230">
        <v>369</v>
      </c>
      <c r="L13230">
        <v>6</v>
      </c>
      <c r="M13230">
        <v>1773</v>
      </c>
      <c r="N13230">
        <v>19</v>
      </c>
      <c r="O13230">
        <v>0</v>
      </c>
      <c r="P13230">
        <v>3</v>
      </c>
      <c r="Q13230">
        <v>0</v>
      </c>
    </row>
    <row r="13231" spans="1:17" x14ac:dyDescent="0.2">
      <c r="A13231" s="121">
        <v>43616</v>
      </c>
      <c r="B13231" t="s">
        <v>406</v>
      </c>
      <c r="C13231" t="s">
        <v>456</v>
      </c>
      <c r="D13231" t="s">
        <v>479</v>
      </c>
      <c r="E13231" t="s">
        <v>480</v>
      </c>
      <c r="F13231" t="s">
        <v>410</v>
      </c>
      <c r="G13231">
        <v>47</v>
      </c>
      <c r="I13231">
        <v>47</v>
      </c>
    </row>
    <row r="13232" spans="1:17" x14ac:dyDescent="0.2">
      <c r="A13232" s="121">
        <v>43616</v>
      </c>
      <c r="B13232" t="s">
        <v>406</v>
      </c>
      <c r="C13232" t="s">
        <v>456</v>
      </c>
      <c r="D13232" t="s">
        <v>481</v>
      </c>
      <c r="E13232" t="s">
        <v>482</v>
      </c>
      <c r="F13232" t="s">
        <v>410</v>
      </c>
      <c r="G13232">
        <v>25</v>
      </c>
      <c r="I13232">
        <v>25</v>
      </c>
    </row>
    <row r="13233" spans="1:17" x14ac:dyDescent="0.2">
      <c r="A13233" s="121">
        <v>43616</v>
      </c>
      <c r="B13233" t="s">
        <v>406</v>
      </c>
      <c r="C13233" t="s">
        <v>456</v>
      </c>
      <c r="D13233" t="s">
        <v>483</v>
      </c>
      <c r="E13233" t="s">
        <v>484</v>
      </c>
      <c r="F13233" t="s">
        <v>410</v>
      </c>
      <c r="G13233">
        <v>92</v>
      </c>
      <c r="I13233">
        <v>92</v>
      </c>
    </row>
    <row r="13234" spans="1:17" x14ac:dyDescent="0.2">
      <c r="A13234" s="121">
        <v>43616</v>
      </c>
      <c r="B13234" t="s">
        <v>406</v>
      </c>
      <c r="C13234" t="s">
        <v>456</v>
      </c>
      <c r="D13234" t="s">
        <v>487</v>
      </c>
      <c r="E13234" t="s">
        <v>488</v>
      </c>
      <c r="F13234" t="s">
        <v>410</v>
      </c>
      <c r="G13234">
        <v>15</v>
      </c>
      <c r="I13234">
        <v>15</v>
      </c>
    </row>
    <row r="13235" spans="1:17" x14ac:dyDescent="0.2">
      <c r="A13235" s="121">
        <v>43616</v>
      </c>
      <c r="B13235" t="s">
        <v>406</v>
      </c>
      <c r="C13235" t="s">
        <v>456</v>
      </c>
      <c r="D13235" t="s">
        <v>489</v>
      </c>
      <c r="E13235" t="s">
        <v>490</v>
      </c>
      <c r="F13235" t="s">
        <v>410</v>
      </c>
      <c r="G13235">
        <v>124</v>
      </c>
      <c r="I13235">
        <v>124</v>
      </c>
    </row>
    <row r="13236" spans="1:17" x14ac:dyDescent="0.2">
      <c r="A13236" s="121">
        <v>43616</v>
      </c>
      <c r="B13236" t="s">
        <v>406</v>
      </c>
      <c r="C13236" t="s">
        <v>456</v>
      </c>
      <c r="D13236" t="s">
        <v>628</v>
      </c>
      <c r="E13236" t="s">
        <v>629</v>
      </c>
      <c r="F13236" t="s">
        <v>410</v>
      </c>
      <c r="G13236">
        <v>60</v>
      </c>
      <c r="I13236">
        <v>60</v>
      </c>
    </row>
    <row r="13237" spans="1:17" x14ac:dyDescent="0.2">
      <c r="A13237" s="121">
        <v>43616</v>
      </c>
      <c r="B13237" t="s">
        <v>406</v>
      </c>
      <c r="C13237" t="s">
        <v>491</v>
      </c>
      <c r="D13237" t="s">
        <v>492</v>
      </c>
      <c r="E13237" t="s">
        <v>493</v>
      </c>
      <c r="F13237" t="s">
        <v>410</v>
      </c>
      <c r="G13237">
        <v>1684</v>
      </c>
      <c r="H13237">
        <v>1684</v>
      </c>
      <c r="I13237">
        <v>1623</v>
      </c>
      <c r="J13237">
        <v>1623</v>
      </c>
      <c r="K13237">
        <v>225</v>
      </c>
      <c r="L13237">
        <v>0</v>
      </c>
      <c r="M13237">
        <v>1341</v>
      </c>
      <c r="N13237">
        <v>87</v>
      </c>
      <c r="O13237">
        <v>31</v>
      </c>
      <c r="P13237">
        <v>1</v>
      </c>
      <c r="Q13237">
        <v>0</v>
      </c>
    </row>
    <row r="13238" spans="1:17" x14ac:dyDescent="0.2">
      <c r="A13238" s="121">
        <v>43616</v>
      </c>
      <c r="B13238" t="s">
        <v>406</v>
      </c>
      <c r="C13238" t="s">
        <v>491</v>
      </c>
      <c r="D13238" t="s">
        <v>494</v>
      </c>
      <c r="E13238" t="s">
        <v>495</v>
      </c>
      <c r="F13238" t="s">
        <v>413</v>
      </c>
      <c r="G13238">
        <v>3000</v>
      </c>
      <c r="H13238">
        <v>3000</v>
      </c>
      <c r="I13238">
        <v>2671</v>
      </c>
      <c r="J13238">
        <v>2671</v>
      </c>
      <c r="K13238">
        <v>729</v>
      </c>
      <c r="L13238">
        <v>5</v>
      </c>
      <c r="M13238">
        <v>2072</v>
      </c>
      <c r="N13238">
        <v>37</v>
      </c>
      <c r="O13238">
        <v>157</v>
      </c>
      <c r="P13238">
        <v>20</v>
      </c>
      <c r="Q13238">
        <v>1</v>
      </c>
    </row>
    <row r="13239" spans="1:17" x14ac:dyDescent="0.2">
      <c r="A13239" s="121">
        <v>43616</v>
      </c>
      <c r="B13239" t="s">
        <v>406</v>
      </c>
      <c r="C13239" t="s">
        <v>491</v>
      </c>
      <c r="D13239" t="s">
        <v>496</v>
      </c>
      <c r="E13239" t="s">
        <v>497</v>
      </c>
      <c r="F13239" t="s">
        <v>413</v>
      </c>
      <c r="G13239">
        <v>6079</v>
      </c>
      <c r="H13239">
        <v>6079</v>
      </c>
      <c r="I13239">
        <v>5387</v>
      </c>
      <c r="J13239">
        <v>5387</v>
      </c>
      <c r="K13239">
        <v>1901</v>
      </c>
      <c r="L13239">
        <v>10</v>
      </c>
      <c r="M13239">
        <v>3928</v>
      </c>
      <c r="N13239">
        <v>122</v>
      </c>
      <c r="O13239">
        <v>118</v>
      </c>
      <c r="P13239">
        <v>68</v>
      </c>
      <c r="Q13239">
        <v>2</v>
      </c>
    </row>
    <row r="13240" spans="1:17" x14ac:dyDescent="0.2">
      <c r="A13240" s="121">
        <v>43616</v>
      </c>
      <c r="B13240" t="s">
        <v>406</v>
      </c>
      <c r="C13240" t="s">
        <v>491</v>
      </c>
      <c r="D13240" t="s">
        <v>498</v>
      </c>
      <c r="E13240" t="s">
        <v>499</v>
      </c>
      <c r="F13240" t="s">
        <v>413</v>
      </c>
      <c r="G13240">
        <v>8304</v>
      </c>
      <c r="H13240">
        <v>8304</v>
      </c>
      <c r="I13240">
        <v>6599</v>
      </c>
      <c r="J13240">
        <v>6599</v>
      </c>
      <c r="K13240">
        <v>2586</v>
      </c>
      <c r="L13240">
        <v>18</v>
      </c>
      <c r="M13240">
        <v>5102</v>
      </c>
      <c r="N13240">
        <v>132</v>
      </c>
      <c r="O13240">
        <v>466</v>
      </c>
      <c r="P13240">
        <v>103</v>
      </c>
      <c r="Q13240">
        <v>5</v>
      </c>
    </row>
    <row r="13241" spans="1:17" x14ac:dyDescent="0.2">
      <c r="A13241" s="121">
        <v>43616</v>
      </c>
      <c r="B13241" t="s">
        <v>406</v>
      </c>
      <c r="C13241" t="s">
        <v>491</v>
      </c>
      <c r="D13241" t="s">
        <v>500</v>
      </c>
      <c r="E13241" t="s">
        <v>620</v>
      </c>
      <c r="F13241" t="s">
        <v>410</v>
      </c>
      <c r="G13241">
        <v>2011</v>
      </c>
      <c r="H13241">
        <v>2011</v>
      </c>
      <c r="I13241">
        <v>2003</v>
      </c>
      <c r="J13241">
        <v>2003</v>
      </c>
      <c r="K13241">
        <v>0</v>
      </c>
      <c r="L13241">
        <v>0</v>
      </c>
      <c r="M13241">
        <v>1752</v>
      </c>
      <c r="N13241">
        <v>141</v>
      </c>
      <c r="O13241">
        <v>118</v>
      </c>
      <c r="P13241">
        <v>0</v>
      </c>
      <c r="Q13241">
        <v>0</v>
      </c>
    </row>
    <row r="13242" spans="1:17" x14ac:dyDescent="0.2">
      <c r="A13242" s="121">
        <v>43616</v>
      </c>
      <c r="B13242" t="s">
        <v>406</v>
      </c>
      <c r="C13242" t="s">
        <v>491</v>
      </c>
      <c r="D13242" t="s">
        <v>502</v>
      </c>
      <c r="E13242" t="s">
        <v>615</v>
      </c>
      <c r="F13242" t="s">
        <v>410</v>
      </c>
      <c r="G13242">
        <v>3164</v>
      </c>
      <c r="H13242">
        <v>3164</v>
      </c>
      <c r="I13242">
        <v>3163</v>
      </c>
      <c r="J13242">
        <v>3163</v>
      </c>
      <c r="K13242">
        <v>2</v>
      </c>
      <c r="L13242">
        <v>1</v>
      </c>
      <c r="M13242">
        <v>2856</v>
      </c>
      <c r="N13242">
        <v>235</v>
      </c>
      <c r="O13242">
        <v>70</v>
      </c>
      <c r="P13242">
        <v>0</v>
      </c>
      <c r="Q13242">
        <v>0</v>
      </c>
    </row>
    <row r="13243" spans="1:17" x14ac:dyDescent="0.2">
      <c r="A13243" s="121">
        <v>43616</v>
      </c>
      <c r="B13243" t="s">
        <v>406</v>
      </c>
      <c r="C13243" t="s">
        <v>491</v>
      </c>
      <c r="D13243" t="s">
        <v>504</v>
      </c>
      <c r="E13243" t="s">
        <v>630</v>
      </c>
      <c r="F13243" t="s">
        <v>413</v>
      </c>
      <c r="G13243">
        <v>8892</v>
      </c>
      <c r="H13243">
        <v>8892</v>
      </c>
      <c r="I13243">
        <v>7106</v>
      </c>
      <c r="J13243">
        <v>7106</v>
      </c>
      <c r="K13243">
        <v>2805</v>
      </c>
      <c r="L13243">
        <v>31</v>
      </c>
      <c r="M13243">
        <v>5686</v>
      </c>
      <c r="N13243">
        <v>70</v>
      </c>
      <c r="O13243">
        <v>300</v>
      </c>
      <c r="P13243">
        <v>93</v>
      </c>
      <c r="Q13243">
        <v>0</v>
      </c>
    </row>
    <row r="13244" spans="1:17" x14ac:dyDescent="0.2">
      <c r="A13244" s="121">
        <v>43616</v>
      </c>
      <c r="B13244" t="s">
        <v>406</v>
      </c>
      <c r="C13244" t="s">
        <v>491</v>
      </c>
      <c r="D13244" t="s">
        <v>506</v>
      </c>
      <c r="E13244" t="s">
        <v>507</v>
      </c>
      <c r="F13244" t="s">
        <v>413</v>
      </c>
      <c r="G13244">
        <v>5980</v>
      </c>
      <c r="H13244">
        <v>5980</v>
      </c>
      <c r="I13244">
        <v>5839</v>
      </c>
      <c r="J13244">
        <v>5839</v>
      </c>
      <c r="K13244">
        <v>1297</v>
      </c>
      <c r="L13244">
        <v>1</v>
      </c>
      <c r="M13244">
        <v>4652</v>
      </c>
      <c r="N13244">
        <v>2</v>
      </c>
      <c r="O13244">
        <v>28</v>
      </c>
      <c r="P13244">
        <v>0</v>
      </c>
      <c r="Q13244">
        <v>0</v>
      </c>
    </row>
    <row r="13245" spans="1:17" x14ac:dyDescent="0.2">
      <c r="A13245" s="121">
        <v>43616</v>
      </c>
      <c r="B13245" t="s">
        <v>406</v>
      </c>
      <c r="C13245" t="s">
        <v>510</v>
      </c>
      <c r="D13245" t="s">
        <v>513</v>
      </c>
      <c r="E13245" t="s">
        <v>514</v>
      </c>
      <c r="F13245" t="s">
        <v>410</v>
      </c>
      <c r="G13245">
        <v>817</v>
      </c>
      <c r="I13245">
        <v>817</v>
      </c>
    </row>
    <row r="13246" spans="1:17" x14ac:dyDescent="0.2">
      <c r="A13246" s="121">
        <v>43616</v>
      </c>
      <c r="B13246" t="s">
        <v>406</v>
      </c>
      <c r="C13246" t="s">
        <v>510</v>
      </c>
      <c r="D13246" t="s">
        <v>515</v>
      </c>
      <c r="E13246" t="s">
        <v>516</v>
      </c>
      <c r="F13246" t="s">
        <v>410</v>
      </c>
      <c r="G13246">
        <v>157</v>
      </c>
      <c r="I13246">
        <v>156</v>
      </c>
    </row>
    <row r="13247" spans="1:17" x14ac:dyDescent="0.2">
      <c r="A13247" s="121">
        <v>43616</v>
      </c>
      <c r="B13247" t="s">
        <v>406</v>
      </c>
      <c r="C13247" t="s">
        <v>510</v>
      </c>
      <c r="D13247" t="s">
        <v>519</v>
      </c>
      <c r="E13247" t="s">
        <v>520</v>
      </c>
      <c r="F13247" t="s">
        <v>410</v>
      </c>
      <c r="G13247">
        <v>358</v>
      </c>
      <c r="I13247">
        <v>353</v>
      </c>
    </row>
    <row r="13248" spans="1:17" x14ac:dyDescent="0.2">
      <c r="A13248" s="121">
        <v>43616</v>
      </c>
      <c r="B13248" t="s">
        <v>406</v>
      </c>
      <c r="C13248" t="s">
        <v>510</v>
      </c>
      <c r="D13248" t="s">
        <v>523</v>
      </c>
      <c r="E13248" t="s">
        <v>524</v>
      </c>
      <c r="F13248" t="s">
        <v>413</v>
      </c>
      <c r="G13248">
        <v>778</v>
      </c>
      <c r="H13248">
        <v>778</v>
      </c>
      <c r="I13248">
        <v>757</v>
      </c>
      <c r="J13248">
        <v>757</v>
      </c>
      <c r="K13248">
        <v>155</v>
      </c>
      <c r="L13248">
        <v>1</v>
      </c>
      <c r="M13248">
        <v>606</v>
      </c>
      <c r="N13248">
        <v>16</v>
      </c>
      <c r="O13248">
        <v>0</v>
      </c>
      <c r="P13248">
        <v>1</v>
      </c>
      <c r="Q13248">
        <v>1</v>
      </c>
    </row>
    <row r="13249" spans="1:17" x14ac:dyDescent="0.2">
      <c r="A13249" s="121">
        <v>43616</v>
      </c>
      <c r="B13249" t="s">
        <v>406</v>
      </c>
      <c r="C13249" t="s">
        <v>510</v>
      </c>
      <c r="D13249" t="s">
        <v>525</v>
      </c>
      <c r="E13249" t="s">
        <v>526</v>
      </c>
      <c r="F13249" t="s">
        <v>410</v>
      </c>
      <c r="G13249">
        <v>440</v>
      </c>
      <c r="I13249">
        <v>438</v>
      </c>
    </row>
    <row r="13250" spans="1:17" x14ac:dyDescent="0.2">
      <c r="A13250" s="121">
        <v>43616</v>
      </c>
      <c r="B13250" t="s">
        <v>406</v>
      </c>
      <c r="C13250" t="s">
        <v>510</v>
      </c>
      <c r="D13250" t="s">
        <v>527</v>
      </c>
      <c r="E13250" t="s">
        <v>528</v>
      </c>
      <c r="F13250" t="s">
        <v>410</v>
      </c>
      <c r="G13250">
        <v>131</v>
      </c>
      <c r="I13250">
        <v>131</v>
      </c>
    </row>
    <row r="13251" spans="1:17" x14ac:dyDescent="0.2">
      <c r="A13251" s="121">
        <v>43616</v>
      </c>
      <c r="B13251" t="s">
        <v>406</v>
      </c>
      <c r="C13251" t="s">
        <v>510</v>
      </c>
      <c r="D13251" t="s">
        <v>529</v>
      </c>
      <c r="E13251" t="s">
        <v>530</v>
      </c>
      <c r="F13251" t="s">
        <v>413</v>
      </c>
      <c r="G13251">
        <v>758</v>
      </c>
      <c r="H13251">
        <v>758</v>
      </c>
      <c r="I13251">
        <v>731</v>
      </c>
      <c r="J13251">
        <v>731</v>
      </c>
      <c r="K13251">
        <v>196</v>
      </c>
      <c r="L13251">
        <v>1</v>
      </c>
      <c r="M13251">
        <v>558</v>
      </c>
      <c r="N13251">
        <v>3</v>
      </c>
      <c r="O13251">
        <v>0</v>
      </c>
      <c r="P13251">
        <v>2</v>
      </c>
      <c r="Q13251">
        <v>1</v>
      </c>
    </row>
    <row r="13252" spans="1:17" x14ac:dyDescent="0.2">
      <c r="A13252" s="121">
        <v>43616</v>
      </c>
      <c r="B13252" t="s">
        <v>406</v>
      </c>
      <c r="C13252" t="s">
        <v>510</v>
      </c>
      <c r="D13252" t="s">
        <v>531</v>
      </c>
      <c r="E13252" t="s">
        <v>532</v>
      </c>
      <c r="F13252" t="s">
        <v>410</v>
      </c>
      <c r="G13252">
        <v>51</v>
      </c>
      <c r="I13252">
        <v>51</v>
      </c>
    </row>
    <row r="13253" spans="1:17" x14ac:dyDescent="0.2">
      <c r="A13253" s="121">
        <v>43616</v>
      </c>
      <c r="B13253" t="s">
        <v>406</v>
      </c>
      <c r="C13253" t="s">
        <v>510</v>
      </c>
      <c r="D13253" t="s">
        <v>533</v>
      </c>
      <c r="E13253" t="s">
        <v>534</v>
      </c>
      <c r="F13253" t="s">
        <v>413</v>
      </c>
      <c r="G13253">
        <v>3198</v>
      </c>
      <c r="H13253">
        <v>3198</v>
      </c>
      <c r="I13253">
        <v>2925</v>
      </c>
      <c r="J13253">
        <v>2925</v>
      </c>
      <c r="K13253">
        <v>740</v>
      </c>
      <c r="L13253">
        <v>4</v>
      </c>
      <c r="M13253">
        <v>2435</v>
      </c>
      <c r="N13253">
        <v>19</v>
      </c>
      <c r="O13253">
        <v>0</v>
      </c>
      <c r="P13253">
        <v>14</v>
      </c>
      <c r="Q13253">
        <v>1</v>
      </c>
    </row>
    <row r="13254" spans="1:17" x14ac:dyDescent="0.2">
      <c r="A13254" s="121">
        <v>43616</v>
      </c>
      <c r="B13254" t="s">
        <v>406</v>
      </c>
      <c r="C13254" t="s">
        <v>510</v>
      </c>
      <c r="D13254" t="s">
        <v>535</v>
      </c>
      <c r="E13254" t="s">
        <v>536</v>
      </c>
      <c r="F13254" t="s">
        <v>410</v>
      </c>
      <c r="G13254">
        <v>368</v>
      </c>
      <c r="I13254">
        <v>368</v>
      </c>
    </row>
    <row r="13255" spans="1:17" x14ac:dyDescent="0.2">
      <c r="A13255" s="121">
        <v>43616</v>
      </c>
      <c r="B13255" t="s">
        <v>406</v>
      </c>
      <c r="C13255" t="s">
        <v>510</v>
      </c>
      <c r="D13255" t="s">
        <v>537</v>
      </c>
      <c r="E13255" t="s">
        <v>538</v>
      </c>
      <c r="F13255" t="s">
        <v>410</v>
      </c>
      <c r="G13255">
        <v>47</v>
      </c>
      <c r="I13255">
        <v>47</v>
      </c>
    </row>
    <row r="13256" spans="1:17" x14ac:dyDescent="0.2">
      <c r="A13256" s="121">
        <v>43616</v>
      </c>
      <c r="B13256" t="s">
        <v>406</v>
      </c>
      <c r="C13256" t="s">
        <v>510</v>
      </c>
      <c r="D13256" t="s">
        <v>539</v>
      </c>
      <c r="E13256" t="s">
        <v>540</v>
      </c>
      <c r="F13256" t="s">
        <v>413</v>
      </c>
      <c r="G13256">
        <v>1079</v>
      </c>
      <c r="H13256">
        <v>1079</v>
      </c>
      <c r="I13256">
        <v>1001</v>
      </c>
      <c r="J13256">
        <v>1001</v>
      </c>
      <c r="K13256">
        <v>169</v>
      </c>
      <c r="L13256">
        <v>1</v>
      </c>
      <c r="M13256">
        <v>895</v>
      </c>
      <c r="N13256">
        <v>14</v>
      </c>
      <c r="O13256">
        <v>0</v>
      </c>
      <c r="P13256">
        <v>2</v>
      </c>
      <c r="Q13256">
        <v>0</v>
      </c>
    </row>
    <row r="13257" spans="1:17" x14ac:dyDescent="0.2">
      <c r="A13257" s="121">
        <v>43616</v>
      </c>
      <c r="B13257" t="s">
        <v>406</v>
      </c>
      <c r="C13257" t="s">
        <v>510</v>
      </c>
      <c r="D13257" t="s">
        <v>541</v>
      </c>
      <c r="E13257" t="s">
        <v>542</v>
      </c>
      <c r="F13257" t="s">
        <v>410</v>
      </c>
      <c r="G13257">
        <v>498</v>
      </c>
      <c r="I13257">
        <v>497</v>
      </c>
    </row>
    <row r="13258" spans="1:17" x14ac:dyDescent="0.2">
      <c r="A13258" s="121">
        <v>43616</v>
      </c>
      <c r="B13258" t="s">
        <v>406</v>
      </c>
      <c r="C13258" t="s">
        <v>510</v>
      </c>
      <c r="D13258" t="s">
        <v>543</v>
      </c>
      <c r="E13258" t="s">
        <v>544</v>
      </c>
      <c r="F13258" t="s">
        <v>410</v>
      </c>
      <c r="G13258">
        <v>262</v>
      </c>
      <c r="I13258">
        <v>262</v>
      </c>
    </row>
    <row r="13259" spans="1:17" x14ac:dyDescent="0.2">
      <c r="A13259" s="121">
        <v>43616</v>
      </c>
      <c r="B13259" t="s">
        <v>406</v>
      </c>
      <c r="C13259" t="s">
        <v>510</v>
      </c>
      <c r="D13259" t="s">
        <v>547</v>
      </c>
      <c r="E13259" t="s">
        <v>548</v>
      </c>
      <c r="F13259" t="s">
        <v>410</v>
      </c>
      <c r="G13259">
        <v>205</v>
      </c>
      <c r="I13259">
        <v>205</v>
      </c>
    </row>
    <row r="13260" spans="1:17" x14ac:dyDescent="0.2">
      <c r="A13260" s="121">
        <v>43616</v>
      </c>
      <c r="B13260" t="s">
        <v>406</v>
      </c>
      <c r="C13260" t="s">
        <v>510</v>
      </c>
      <c r="D13260" t="s">
        <v>616</v>
      </c>
      <c r="E13260" t="s">
        <v>617</v>
      </c>
      <c r="F13260" t="s">
        <v>410</v>
      </c>
      <c r="G13260">
        <v>450</v>
      </c>
      <c r="I13260">
        <v>442</v>
      </c>
    </row>
    <row r="13261" spans="1:17" x14ac:dyDescent="0.2">
      <c r="A13261" s="121">
        <v>43616</v>
      </c>
      <c r="B13261" t="s">
        <v>406</v>
      </c>
      <c r="C13261" t="s">
        <v>510</v>
      </c>
      <c r="D13261" t="s">
        <v>549</v>
      </c>
      <c r="E13261" t="s">
        <v>550</v>
      </c>
      <c r="F13261" t="s">
        <v>410</v>
      </c>
      <c r="G13261">
        <v>169</v>
      </c>
      <c r="I13261">
        <v>169</v>
      </c>
    </row>
    <row r="13262" spans="1:17" x14ac:dyDescent="0.2">
      <c r="A13262" s="121">
        <v>43616</v>
      </c>
      <c r="B13262" t="s">
        <v>406</v>
      </c>
      <c r="C13262" t="s">
        <v>510</v>
      </c>
      <c r="D13262" t="s">
        <v>625</v>
      </c>
      <c r="E13262" t="s">
        <v>626</v>
      </c>
      <c r="F13262" t="s">
        <v>410</v>
      </c>
      <c r="G13262">
        <v>128</v>
      </c>
      <c r="I13262">
        <v>128</v>
      </c>
    </row>
    <row r="13263" spans="1:17" x14ac:dyDescent="0.2">
      <c r="A13263" s="121">
        <v>43616</v>
      </c>
      <c r="B13263" t="s">
        <v>406</v>
      </c>
      <c r="C13263" t="s">
        <v>551</v>
      </c>
      <c r="D13263" t="s">
        <v>552</v>
      </c>
      <c r="E13263" t="s">
        <v>553</v>
      </c>
      <c r="F13263" t="s">
        <v>413</v>
      </c>
      <c r="G13263">
        <v>6289</v>
      </c>
      <c r="H13263">
        <v>6289</v>
      </c>
      <c r="I13263">
        <v>5831</v>
      </c>
      <c r="J13263">
        <v>5831</v>
      </c>
      <c r="K13263">
        <v>2117</v>
      </c>
      <c r="L13263">
        <v>5</v>
      </c>
      <c r="M13263">
        <v>4014</v>
      </c>
      <c r="N13263">
        <v>111</v>
      </c>
      <c r="O13263">
        <v>42</v>
      </c>
      <c r="P13263">
        <v>25</v>
      </c>
      <c r="Q13263">
        <v>2</v>
      </c>
    </row>
    <row r="13264" spans="1:17" x14ac:dyDescent="0.2">
      <c r="A13264" s="121">
        <v>43616</v>
      </c>
      <c r="B13264" t="s">
        <v>406</v>
      </c>
      <c r="C13264" t="s">
        <v>551</v>
      </c>
      <c r="D13264" t="s">
        <v>554</v>
      </c>
      <c r="E13264" t="s">
        <v>555</v>
      </c>
      <c r="F13264" t="s">
        <v>410</v>
      </c>
      <c r="G13264">
        <v>106</v>
      </c>
      <c r="H13264">
        <v>106</v>
      </c>
      <c r="I13264">
        <v>106</v>
      </c>
      <c r="J13264">
        <v>106</v>
      </c>
      <c r="K13264">
        <v>8</v>
      </c>
      <c r="L13264">
        <v>0</v>
      </c>
      <c r="M13264">
        <v>96</v>
      </c>
      <c r="N13264">
        <v>2</v>
      </c>
      <c r="O13264">
        <v>0</v>
      </c>
      <c r="P13264">
        <v>0</v>
      </c>
      <c r="Q13264">
        <v>0</v>
      </c>
    </row>
    <row r="13265" spans="1:17" x14ac:dyDescent="0.2">
      <c r="A13265" s="121">
        <v>43616</v>
      </c>
      <c r="B13265" t="s">
        <v>406</v>
      </c>
      <c r="C13265" t="s">
        <v>551</v>
      </c>
      <c r="D13265" t="s">
        <v>556</v>
      </c>
      <c r="E13265" t="s">
        <v>557</v>
      </c>
      <c r="F13265" t="s">
        <v>410</v>
      </c>
      <c r="G13265">
        <v>45</v>
      </c>
      <c r="H13265">
        <v>45</v>
      </c>
      <c r="I13265">
        <v>45</v>
      </c>
      <c r="J13265">
        <v>45</v>
      </c>
      <c r="K13265">
        <v>5</v>
      </c>
      <c r="L13265">
        <v>0</v>
      </c>
      <c r="M13265">
        <v>38</v>
      </c>
      <c r="N13265">
        <v>2</v>
      </c>
      <c r="O13265">
        <v>0</v>
      </c>
      <c r="P13265">
        <v>0</v>
      </c>
      <c r="Q13265">
        <v>0</v>
      </c>
    </row>
    <row r="13266" spans="1:17" x14ac:dyDescent="0.2">
      <c r="A13266" s="121">
        <v>43616</v>
      </c>
      <c r="B13266" t="s">
        <v>406</v>
      </c>
      <c r="C13266" t="s">
        <v>551</v>
      </c>
      <c r="D13266" t="s">
        <v>558</v>
      </c>
      <c r="E13266" t="s">
        <v>559</v>
      </c>
      <c r="F13266" t="s">
        <v>413</v>
      </c>
      <c r="G13266">
        <v>5982</v>
      </c>
      <c r="H13266">
        <v>5982</v>
      </c>
      <c r="I13266">
        <v>5140</v>
      </c>
      <c r="J13266">
        <v>5140</v>
      </c>
      <c r="K13266">
        <v>1646</v>
      </c>
      <c r="L13266">
        <v>6</v>
      </c>
      <c r="M13266">
        <v>4226</v>
      </c>
      <c r="N13266">
        <v>70</v>
      </c>
      <c r="O13266">
        <v>34</v>
      </c>
      <c r="P13266">
        <v>125</v>
      </c>
      <c r="Q13266">
        <v>44</v>
      </c>
    </row>
    <row r="13267" spans="1:17" x14ac:dyDescent="0.2">
      <c r="A13267" s="121">
        <v>43616</v>
      </c>
      <c r="B13267" t="s">
        <v>406</v>
      </c>
      <c r="C13267" t="s">
        <v>551</v>
      </c>
      <c r="D13267" t="s">
        <v>560</v>
      </c>
      <c r="E13267" t="s">
        <v>561</v>
      </c>
      <c r="F13267" t="s">
        <v>413</v>
      </c>
      <c r="G13267">
        <v>6566</v>
      </c>
      <c r="H13267">
        <v>6566</v>
      </c>
      <c r="I13267">
        <v>5559</v>
      </c>
      <c r="J13267">
        <v>5559</v>
      </c>
      <c r="K13267">
        <v>1876</v>
      </c>
      <c r="L13267">
        <v>12</v>
      </c>
      <c r="M13267">
        <v>4561</v>
      </c>
      <c r="N13267">
        <v>56</v>
      </c>
      <c r="O13267">
        <v>61</v>
      </c>
      <c r="P13267">
        <v>126</v>
      </c>
      <c r="Q13267">
        <v>20</v>
      </c>
    </row>
    <row r="13268" spans="1:17" x14ac:dyDescent="0.2">
      <c r="A13268" s="121">
        <v>43616</v>
      </c>
      <c r="B13268" t="s">
        <v>406</v>
      </c>
      <c r="C13268" t="s">
        <v>562</v>
      </c>
      <c r="D13268" t="s">
        <v>605</v>
      </c>
      <c r="E13268" t="s">
        <v>606</v>
      </c>
      <c r="F13268" t="s">
        <v>410</v>
      </c>
      <c r="G13268">
        <v>165</v>
      </c>
      <c r="I13268">
        <v>165</v>
      </c>
    </row>
    <row r="13269" spans="1:17" x14ac:dyDescent="0.2">
      <c r="A13269" s="121">
        <v>43616</v>
      </c>
      <c r="B13269" t="s">
        <v>406</v>
      </c>
      <c r="C13269" t="s">
        <v>562</v>
      </c>
      <c r="D13269" t="s">
        <v>563</v>
      </c>
      <c r="E13269" t="s">
        <v>564</v>
      </c>
      <c r="F13269" t="s">
        <v>410</v>
      </c>
      <c r="G13269">
        <v>4197</v>
      </c>
      <c r="H13269">
        <v>4197</v>
      </c>
      <c r="I13269">
        <v>3804</v>
      </c>
      <c r="J13269">
        <v>3804</v>
      </c>
      <c r="K13269">
        <v>1180</v>
      </c>
      <c r="L13269">
        <v>0</v>
      </c>
      <c r="M13269">
        <v>3008</v>
      </c>
      <c r="N13269">
        <v>9</v>
      </c>
      <c r="O13269">
        <v>0</v>
      </c>
      <c r="P13269">
        <v>39</v>
      </c>
      <c r="Q13269">
        <v>15</v>
      </c>
    </row>
    <row r="13270" spans="1:17" x14ac:dyDescent="0.2">
      <c r="A13270" s="121">
        <v>43616</v>
      </c>
      <c r="B13270" t="s">
        <v>406</v>
      </c>
      <c r="C13270" t="s">
        <v>562</v>
      </c>
      <c r="D13270" t="s">
        <v>565</v>
      </c>
      <c r="E13270" t="s">
        <v>566</v>
      </c>
      <c r="F13270" t="s">
        <v>413</v>
      </c>
      <c r="G13270">
        <v>5081</v>
      </c>
      <c r="H13270">
        <v>5081</v>
      </c>
      <c r="I13270">
        <v>4818</v>
      </c>
      <c r="J13270">
        <v>4818</v>
      </c>
      <c r="K13270">
        <v>937</v>
      </c>
      <c r="L13270">
        <v>1</v>
      </c>
      <c r="M13270">
        <v>4076</v>
      </c>
      <c r="N13270">
        <v>67</v>
      </c>
      <c r="O13270">
        <v>0</v>
      </c>
      <c r="P13270">
        <v>19</v>
      </c>
      <c r="Q13270">
        <v>5</v>
      </c>
    </row>
    <row r="13271" spans="1:17" x14ac:dyDescent="0.2">
      <c r="A13271" s="121">
        <v>43616</v>
      </c>
      <c r="B13271" t="s">
        <v>406</v>
      </c>
      <c r="C13271" t="s">
        <v>562</v>
      </c>
      <c r="D13271" t="s">
        <v>567</v>
      </c>
      <c r="E13271" t="s">
        <v>568</v>
      </c>
      <c r="F13271" t="s">
        <v>413</v>
      </c>
      <c r="G13271">
        <v>10856</v>
      </c>
      <c r="H13271">
        <v>10856</v>
      </c>
      <c r="I13271">
        <v>8899</v>
      </c>
      <c r="J13271">
        <v>8899</v>
      </c>
      <c r="K13271">
        <v>3141</v>
      </c>
      <c r="L13271">
        <v>10</v>
      </c>
      <c r="M13271">
        <v>7538</v>
      </c>
      <c r="N13271">
        <v>167</v>
      </c>
      <c r="O13271">
        <v>0</v>
      </c>
      <c r="P13271">
        <v>165</v>
      </c>
      <c r="Q13271">
        <v>27</v>
      </c>
    </row>
    <row r="13272" spans="1:17" x14ac:dyDescent="0.2">
      <c r="A13272" s="121">
        <v>43616</v>
      </c>
      <c r="B13272" t="s">
        <v>406</v>
      </c>
      <c r="C13272" t="s">
        <v>562</v>
      </c>
      <c r="D13272" t="s">
        <v>569</v>
      </c>
      <c r="E13272" t="s">
        <v>570</v>
      </c>
      <c r="F13272" t="s">
        <v>413</v>
      </c>
      <c r="G13272">
        <v>4241</v>
      </c>
      <c r="H13272">
        <v>4241</v>
      </c>
      <c r="I13272">
        <v>4025</v>
      </c>
      <c r="J13272">
        <v>4025</v>
      </c>
      <c r="K13272">
        <v>629</v>
      </c>
      <c r="L13272">
        <v>0</v>
      </c>
      <c r="M13272">
        <v>3612</v>
      </c>
      <c r="N13272">
        <v>0</v>
      </c>
      <c r="O13272">
        <v>0</v>
      </c>
      <c r="P13272">
        <v>2</v>
      </c>
      <c r="Q13272">
        <v>0</v>
      </c>
    </row>
    <row r="13273" spans="1:17" x14ac:dyDescent="0.2">
      <c r="A13273" s="121">
        <v>43616</v>
      </c>
      <c r="B13273" t="s">
        <v>406</v>
      </c>
      <c r="C13273" t="s">
        <v>571</v>
      </c>
      <c r="D13273" t="s">
        <v>572</v>
      </c>
      <c r="E13273" t="s">
        <v>627</v>
      </c>
      <c r="F13273" t="s">
        <v>413</v>
      </c>
      <c r="G13273">
        <v>589</v>
      </c>
      <c r="H13273">
        <v>589</v>
      </c>
      <c r="I13273">
        <v>559</v>
      </c>
      <c r="J13273">
        <v>559</v>
      </c>
      <c r="K13273">
        <v>147</v>
      </c>
      <c r="L13273">
        <v>0</v>
      </c>
      <c r="M13273">
        <v>427</v>
      </c>
      <c r="N13273">
        <v>5</v>
      </c>
      <c r="O13273">
        <v>10</v>
      </c>
      <c r="P13273">
        <v>0</v>
      </c>
      <c r="Q13273">
        <v>0</v>
      </c>
    </row>
    <row r="13274" spans="1:17" x14ac:dyDescent="0.2">
      <c r="A13274" s="121">
        <v>43616</v>
      </c>
      <c r="B13274" t="s">
        <v>406</v>
      </c>
      <c r="C13274" t="s">
        <v>574</v>
      </c>
      <c r="D13274" t="s">
        <v>575</v>
      </c>
      <c r="E13274" t="s">
        <v>576</v>
      </c>
      <c r="F13274" t="s">
        <v>413</v>
      </c>
      <c r="G13274">
        <v>682</v>
      </c>
      <c r="H13274">
        <v>682</v>
      </c>
      <c r="I13274">
        <v>664</v>
      </c>
      <c r="J13274">
        <v>664</v>
      </c>
      <c r="K13274">
        <v>143</v>
      </c>
      <c r="L13274">
        <v>1</v>
      </c>
      <c r="M13274">
        <v>524</v>
      </c>
      <c r="N13274">
        <v>1</v>
      </c>
      <c r="O13274">
        <v>13</v>
      </c>
      <c r="P13274">
        <v>1</v>
      </c>
      <c r="Q13274">
        <v>0</v>
      </c>
    </row>
    <row r="13275" spans="1:17" x14ac:dyDescent="0.2">
      <c r="A13275" s="121">
        <v>43616</v>
      </c>
      <c r="B13275" t="s">
        <v>406</v>
      </c>
      <c r="C13275" t="s">
        <v>577</v>
      </c>
      <c r="D13275" t="s">
        <v>578</v>
      </c>
      <c r="E13275" t="s">
        <v>579</v>
      </c>
      <c r="F13275" t="s">
        <v>413</v>
      </c>
      <c r="G13275">
        <v>4383</v>
      </c>
      <c r="H13275">
        <v>4383</v>
      </c>
      <c r="I13275">
        <v>4158</v>
      </c>
      <c r="J13275">
        <v>4158</v>
      </c>
      <c r="K13275">
        <v>1412</v>
      </c>
      <c r="L13275">
        <v>1</v>
      </c>
      <c r="M13275">
        <v>2659</v>
      </c>
      <c r="N13275">
        <v>226</v>
      </c>
      <c r="O13275">
        <v>85</v>
      </c>
      <c r="P13275">
        <v>2</v>
      </c>
      <c r="Q13275">
        <v>1</v>
      </c>
    </row>
    <row r="13276" spans="1:17" x14ac:dyDescent="0.2">
      <c r="A13276" s="121">
        <v>43616</v>
      </c>
      <c r="B13276" t="s">
        <v>406</v>
      </c>
      <c r="C13276" t="s">
        <v>577</v>
      </c>
      <c r="D13276" t="s">
        <v>580</v>
      </c>
      <c r="E13276" t="s">
        <v>581</v>
      </c>
      <c r="F13276" t="s">
        <v>413</v>
      </c>
      <c r="G13276">
        <v>2260</v>
      </c>
      <c r="H13276">
        <v>2260</v>
      </c>
      <c r="I13276">
        <v>2183</v>
      </c>
      <c r="J13276">
        <v>2183</v>
      </c>
      <c r="K13276">
        <v>383</v>
      </c>
      <c r="L13276">
        <v>3</v>
      </c>
      <c r="M13276">
        <v>1537</v>
      </c>
      <c r="N13276">
        <v>306</v>
      </c>
      <c r="O13276">
        <v>31</v>
      </c>
      <c r="P13276">
        <v>1</v>
      </c>
      <c r="Q13276">
        <v>0</v>
      </c>
    </row>
    <row r="13277" spans="1:17" x14ac:dyDescent="0.2">
      <c r="A13277" s="121">
        <v>43616</v>
      </c>
      <c r="B13277" t="s">
        <v>406</v>
      </c>
      <c r="C13277" t="s">
        <v>577</v>
      </c>
      <c r="D13277" t="s">
        <v>609</v>
      </c>
      <c r="E13277" t="s">
        <v>610</v>
      </c>
      <c r="F13277" t="s">
        <v>410</v>
      </c>
      <c r="G13277">
        <v>32</v>
      </c>
      <c r="H13277">
        <v>32</v>
      </c>
      <c r="I13277">
        <v>31</v>
      </c>
      <c r="J13277">
        <v>31</v>
      </c>
      <c r="K13277">
        <v>0</v>
      </c>
      <c r="L13277">
        <v>0</v>
      </c>
      <c r="M13277">
        <v>29</v>
      </c>
      <c r="N13277">
        <v>3</v>
      </c>
      <c r="O13277">
        <v>0</v>
      </c>
      <c r="P13277">
        <v>0</v>
      </c>
      <c r="Q13277">
        <v>0</v>
      </c>
    </row>
    <row r="13278" spans="1:17" x14ac:dyDescent="0.2">
      <c r="A13278" s="121">
        <v>43616</v>
      </c>
      <c r="B13278" t="s">
        <v>406</v>
      </c>
      <c r="C13278" t="s">
        <v>577</v>
      </c>
      <c r="D13278" t="s">
        <v>584</v>
      </c>
      <c r="E13278" t="s">
        <v>585</v>
      </c>
      <c r="F13278" t="s">
        <v>410</v>
      </c>
      <c r="G13278">
        <v>322</v>
      </c>
      <c r="H13278">
        <v>322</v>
      </c>
      <c r="I13278">
        <v>322</v>
      </c>
      <c r="J13278">
        <v>322</v>
      </c>
      <c r="K13278">
        <v>1</v>
      </c>
      <c r="L13278">
        <v>0</v>
      </c>
      <c r="M13278">
        <v>307</v>
      </c>
      <c r="N13278">
        <v>14</v>
      </c>
      <c r="O13278">
        <v>0</v>
      </c>
      <c r="P13278">
        <v>0</v>
      </c>
      <c r="Q13278">
        <v>0</v>
      </c>
    </row>
    <row r="13279" spans="1:17" x14ac:dyDescent="0.2">
      <c r="A13279" s="121">
        <v>43616</v>
      </c>
      <c r="B13279" t="s">
        <v>406</v>
      </c>
      <c r="C13279" t="s">
        <v>577</v>
      </c>
      <c r="D13279" t="s">
        <v>586</v>
      </c>
      <c r="E13279" t="s">
        <v>587</v>
      </c>
      <c r="F13279" t="s">
        <v>410</v>
      </c>
      <c r="G13279">
        <v>1437</v>
      </c>
      <c r="H13279">
        <v>1437</v>
      </c>
      <c r="I13279">
        <v>1437</v>
      </c>
      <c r="J13279">
        <v>1437</v>
      </c>
      <c r="K13279">
        <v>0</v>
      </c>
      <c r="L13279">
        <v>0</v>
      </c>
      <c r="M13279">
        <v>1305</v>
      </c>
      <c r="N13279">
        <v>125</v>
      </c>
      <c r="O13279">
        <v>7</v>
      </c>
      <c r="P13279">
        <v>0</v>
      </c>
      <c r="Q13279">
        <v>0</v>
      </c>
    </row>
    <row r="13280" spans="1:17" x14ac:dyDescent="0.2">
      <c r="A13280" s="121">
        <v>43616</v>
      </c>
      <c r="B13280" t="s">
        <v>406</v>
      </c>
      <c r="C13280" t="s">
        <v>577</v>
      </c>
      <c r="D13280" t="s">
        <v>588</v>
      </c>
      <c r="E13280" t="s">
        <v>589</v>
      </c>
      <c r="F13280" t="s">
        <v>410</v>
      </c>
      <c r="G13280">
        <v>88</v>
      </c>
      <c r="H13280">
        <v>88</v>
      </c>
      <c r="I13280">
        <v>88</v>
      </c>
      <c r="J13280">
        <v>88</v>
      </c>
      <c r="K13280">
        <v>0</v>
      </c>
      <c r="L13280">
        <v>0</v>
      </c>
      <c r="M13280">
        <v>80</v>
      </c>
      <c r="N13280">
        <v>8</v>
      </c>
      <c r="O13280">
        <v>0</v>
      </c>
      <c r="P13280">
        <v>0</v>
      </c>
      <c r="Q13280">
        <v>0</v>
      </c>
    </row>
    <row r="13281" spans="1:17" x14ac:dyDescent="0.2">
      <c r="A13281" s="121">
        <v>43616</v>
      </c>
      <c r="B13281" t="s">
        <v>406</v>
      </c>
      <c r="C13281" t="s">
        <v>577</v>
      </c>
      <c r="D13281" t="s">
        <v>613</v>
      </c>
      <c r="E13281" t="s">
        <v>614</v>
      </c>
      <c r="F13281" t="s">
        <v>410</v>
      </c>
      <c r="G13281">
        <v>88</v>
      </c>
      <c r="H13281">
        <v>88</v>
      </c>
      <c r="I13281">
        <v>88</v>
      </c>
      <c r="J13281">
        <v>88</v>
      </c>
      <c r="K13281">
        <v>0</v>
      </c>
      <c r="L13281">
        <v>0</v>
      </c>
      <c r="M13281">
        <v>69</v>
      </c>
      <c r="N13281">
        <v>9</v>
      </c>
      <c r="O13281">
        <v>10</v>
      </c>
      <c r="P13281">
        <v>0</v>
      </c>
      <c r="Q13281">
        <v>0</v>
      </c>
    </row>
    <row r="13282" spans="1:17" x14ac:dyDescent="0.2">
      <c r="A13282" s="121">
        <v>43616</v>
      </c>
      <c r="B13282" t="s">
        <v>406</v>
      </c>
      <c r="C13282" t="s">
        <v>577</v>
      </c>
      <c r="D13282" t="s">
        <v>590</v>
      </c>
      <c r="E13282" t="s">
        <v>591</v>
      </c>
      <c r="F13282" t="s">
        <v>410</v>
      </c>
      <c r="G13282">
        <v>540</v>
      </c>
      <c r="H13282">
        <v>540</v>
      </c>
      <c r="I13282">
        <v>540</v>
      </c>
      <c r="J13282">
        <v>540</v>
      </c>
      <c r="K13282">
        <v>0</v>
      </c>
      <c r="L13282">
        <v>0</v>
      </c>
      <c r="M13282">
        <v>506</v>
      </c>
      <c r="N13282">
        <v>30</v>
      </c>
      <c r="O13282">
        <v>4</v>
      </c>
      <c r="P13282">
        <v>0</v>
      </c>
      <c r="Q13282">
        <v>0</v>
      </c>
    </row>
    <row r="13283" spans="1:17" x14ac:dyDescent="0.2">
      <c r="A13283" s="121">
        <v>43616</v>
      </c>
      <c r="B13283" t="s">
        <v>406</v>
      </c>
      <c r="C13283" t="s">
        <v>577</v>
      </c>
      <c r="D13283" t="s">
        <v>607</v>
      </c>
      <c r="E13283" t="s">
        <v>608</v>
      </c>
      <c r="F13283" t="s">
        <v>410</v>
      </c>
      <c r="G13283">
        <v>168</v>
      </c>
      <c r="H13283">
        <v>168</v>
      </c>
      <c r="I13283">
        <v>168</v>
      </c>
      <c r="J13283">
        <v>168</v>
      </c>
      <c r="K13283">
        <v>0</v>
      </c>
      <c r="L13283">
        <v>0</v>
      </c>
      <c r="M13283">
        <v>165</v>
      </c>
      <c r="N13283">
        <v>3</v>
      </c>
      <c r="O13283">
        <v>0</v>
      </c>
      <c r="P13283">
        <v>0</v>
      </c>
      <c r="Q13283">
        <v>0</v>
      </c>
    </row>
    <row r="13284" spans="1:17" x14ac:dyDescent="0.2">
      <c r="A13284" s="121">
        <v>43616</v>
      </c>
      <c r="B13284" t="s">
        <v>406</v>
      </c>
      <c r="C13284" t="s">
        <v>577</v>
      </c>
      <c r="D13284" t="s">
        <v>592</v>
      </c>
      <c r="E13284" t="s">
        <v>593</v>
      </c>
      <c r="F13284" t="s">
        <v>410</v>
      </c>
      <c r="G13284">
        <v>255</v>
      </c>
      <c r="H13284">
        <v>255</v>
      </c>
      <c r="I13284">
        <v>255</v>
      </c>
      <c r="J13284">
        <v>255</v>
      </c>
      <c r="K13284">
        <v>0</v>
      </c>
      <c r="L13284">
        <v>1</v>
      </c>
      <c r="M13284">
        <v>224</v>
      </c>
      <c r="N13284">
        <v>30</v>
      </c>
      <c r="O13284">
        <v>0</v>
      </c>
      <c r="P13284">
        <v>0</v>
      </c>
      <c r="Q13284">
        <v>0</v>
      </c>
    </row>
    <row r="13285" spans="1:17" x14ac:dyDescent="0.2">
      <c r="A13285" s="121">
        <v>43616</v>
      </c>
      <c r="B13285" t="s">
        <v>406</v>
      </c>
      <c r="C13285" t="s">
        <v>594</v>
      </c>
      <c r="D13285" t="s">
        <v>595</v>
      </c>
      <c r="E13285" t="s">
        <v>596</v>
      </c>
      <c r="F13285" t="s">
        <v>410</v>
      </c>
      <c r="G13285">
        <v>82</v>
      </c>
      <c r="I13285">
        <v>82</v>
      </c>
    </row>
    <row r="13286" spans="1:17" x14ac:dyDescent="0.2">
      <c r="A13286" s="121">
        <v>43616</v>
      </c>
      <c r="B13286" t="s">
        <v>406</v>
      </c>
      <c r="C13286" t="s">
        <v>594</v>
      </c>
      <c r="D13286" t="s">
        <v>597</v>
      </c>
      <c r="E13286" t="s">
        <v>598</v>
      </c>
      <c r="F13286" t="s">
        <v>413</v>
      </c>
      <c r="G13286">
        <v>636</v>
      </c>
      <c r="H13286">
        <v>636</v>
      </c>
      <c r="I13286">
        <v>621</v>
      </c>
      <c r="J13286">
        <v>621</v>
      </c>
      <c r="K13286">
        <v>148</v>
      </c>
      <c r="L13286">
        <v>1</v>
      </c>
      <c r="M13286">
        <v>465</v>
      </c>
      <c r="N13286">
        <v>7</v>
      </c>
      <c r="O13286">
        <v>15</v>
      </c>
      <c r="P13286">
        <v>0</v>
      </c>
      <c r="Q13286">
        <v>0</v>
      </c>
    </row>
    <row r="13287" spans="1:17" x14ac:dyDescent="0.2">
      <c r="A13287" s="121">
        <v>43616</v>
      </c>
      <c r="B13287" t="s">
        <v>406</v>
      </c>
      <c r="C13287" t="s">
        <v>594</v>
      </c>
      <c r="D13287" t="s">
        <v>599</v>
      </c>
      <c r="E13287" t="s">
        <v>600</v>
      </c>
      <c r="F13287" t="s">
        <v>410</v>
      </c>
      <c r="G13287">
        <v>147</v>
      </c>
      <c r="H13287">
        <v>147</v>
      </c>
      <c r="I13287">
        <v>146</v>
      </c>
      <c r="J13287">
        <v>146</v>
      </c>
      <c r="K13287">
        <v>12</v>
      </c>
      <c r="L13287">
        <v>0</v>
      </c>
      <c r="M13287">
        <v>134</v>
      </c>
      <c r="N13287">
        <v>0</v>
      </c>
      <c r="O13287">
        <v>1</v>
      </c>
      <c r="P13287">
        <v>0</v>
      </c>
      <c r="Q13287">
        <v>0</v>
      </c>
    </row>
    <row r="13288" spans="1:17" x14ac:dyDescent="0.2">
      <c r="A13288" s="121">
        <v>43646</v>
      </c>
      <c r="B13288" t="s">
        <v>406</v>
      </c>
      <c r="C13288" t="s">
        <v>407</v>
      </c>
      <c r="D13288" t="s">
        <v>408</v>
      </c>
      <c r="E13288" t="s">
        <v>409</v>
      </c>
      <c r="F13288" t="s">
        <v>410</v>
      </c>
      <c r="G13288">
        <v>305</v>
      </c>
      <c r="I13288">
        <v>299</v>
      </c>
    </row>
    <row r="13289" spans="1:17" x14ac:dyDescent="0.2">
      <c r="A13289" s="121">
        <v>43646</v>
      </c>
      <c r="B13289" t="s">
        <v>406</v>
      </c>
      <c r="C13289" t="s">
        <v>407</v>
      </c>
      <c r="D13289" t="s">
        <v>601</v>
      </c>
      <c r="E13289" t="s">
        <v>602</v>
      </c>
      <c r="F13289" t="s">
        <v>410</v>
      </c>
      <c r="G13289">
        <v>72</v>
      </c>
      <c r="I13289">
        <v>72</v>
      </c>
    </row>
    <row r="13290" spans="1:17" x14ac:dyDescent="0.2">
      <c r="A13290" s="121">
        <v>43646</v>
      </c>
      <c r="B13290" t="s">
        <v>406</v>
      </c>
      <c r="C13290" t="s">
        <v>407</v>
      </c>
      <c r="D13290" t="s">
        <v>411</v>
      </c>
      <c r="E13290" t="s">
        <v>412</v>
      </c>
      <c r="F13290" t="s">
        <v>413</v>
      </c>
      <c r="G13290">
        <v>6485</v>
      </c>
      <c r="H13290">
        <v>6485</v>
      </c>
      <c r="I13290">
        <v>5896</v>
      </c>
      <c r="J13290">
        <v>5896</v>
      </c>
      <c r="K13290">
        <v>2062</v>
      </c>
      <c r="L13290">
        <v>3</v>
      </c>
      <c r="M13290">
        <v>4029</v>
      </c>
      <c r="N13290">
        <v>44</v>
      </c>
      <c r="O13290">
        <v>347</v>
      </c>
      <c r="P13290">
        <v>187</v>
      </c>
      <c r="Q13290">
        <v>60</v>
      </c>
    </row>
    <row r="13291" spans="1:17" x14ac:dyDescent="0.2">
      <c r="A13291" s="121">
        <v>43646</v>
      </c>
      <c r="B13291" t="s">
        <v>406</v>
      </c>
      <c r="C13291" t="s">
        <v>407</v>
      </c>
      <c r="D13291" t="s">
        <v>416</v>
      </c>
      <c r="E13291" t="s">
        <v>417</v>
      </c>
      <c r="F13291" t="s">
        <v>413</v>
      </c>
      <c r="G13291">
        <v>3455</v>
      </c>
      <c r="H13291">
        <v>3455</v>
      </c>
      <c r="I13291">
        <v>3058</v>
      </c>
      <c r="J13291">
        <v>3058</v>
      </c>
      <c r="K13291">
        <v>929</v>
      </c>
      <c r="L13291">
        <v>1</v>
      </c>
      <c r="M13291">
        <v>2388</v>
      </c>
      <c r="N13291">
        <v>88</v>
      </c>
      <c r="O13291">
        <v>49</v>
      </c>
      <c r="P13291">
        <v>103</v>
      </c>
      <c r="Q13291">
        <v>35</v>
      </c>
    </row>
    <row r="13292" spans="1:17" x14ac:dyDescent="0.2">
      <c r="A13292" s="121">
        <v>43646</v>
      </c>
      <c r="B13292" t="s">
        <v>406</v>
      </c>
      <c r="C13292" t="s">
        <v>407</v>
      </c>
      <c r="D13292" t="s">
        <v>618</v>
      </c>
      <c r="E13292" t="s">
        <v>619</v>
      </c>
      <c r="F13292" t="s">
        <v>410</v>
      </c>
      <c r="G13292">
        <v>80</v>
      </c>
      <c r="I13292">
        <v>80</v>
      </c>
    </row>
    <row r="13293" spans="1:17" x14ac:dyDescent="0.2">
      <c r="A13293" s="121">
        <v>43646</v>
      </c>
      <c r="B13293" t="s">
        <v>406</v>
      </c>
      <c r="C13293" t="s">
        <v>418</v>
      </c>
      <c r="D13293" t="s">
        <v>419</v>
      </c>
      <c r="E13293" t="s">
        <v>420</v>
      </c>
      <c r="F13293" t="s">
        <v>410</v>
      </c>
      <c r="G13293">
        <v>19</v>
      </c>
      <c r="I13293">
        <v>19</v>
      </c>
    </row>
    <row r="13294" spans="1:17" x14ac:dyDescent="0.2">
      <c r="A13294" s="121">
        <v>43646</v>
      </c>
      <c r="B13294" t="s">
        <v>406</v>
      </c>
      <c r="C13294" t="s">
        <v>418</v>
      </c>
      <c r="D13294" t="s">
        <v>421</v>
      </c>
      <c r="E13294" t="s">
        <v>422</v>
      </c>
      <c r="F13294" t="s">
        <v>410</v>
      </c>
      <c r="G13294">
        <v>95</v>
      </c>
      <c r="I13294">
        <v>95</v>
      </c>
    </row>
    <row r="13295" spans="1:17" x14ac:dyDescent="0.2">
      <c r="A13295" s="121">
        <v>43646</v>
      </c>
      <c r="B13295" t="s">
        <v>406</v>
      </c>
      <c r="C13295" t="s">
        <v>418</v>
      </c>
      <c r="D13295" t="s">
        <v>423</v>
      </c>
      <c r="E13295" t="s">
        <v>424</v>
      </c>
      <c r="F13295" t="s">
        <v>410</v>
      </c>
      <c r="G13295">
        <v>14</v>
      </c>
      <c r="I13295">
        <v>14</v>
      </c>
    </row>
    <row r="13296" spans="1:17" x14ac:dyDescent="0.2">
      <c r="A13296" s="121">
        <v>43646</v>
      </c>
      <c r="B13296" t="s">
        <v>406</v>
      </c>
      <c r="C13296" t="s">
        <v>418</v>
      </c>
      <c r="D13296" t="s">
        <v>425</v>
      </c>
      <c r="E13296" t="s">
        <v>426</v>
      </c>
      <c r="F13296" t="s">
        <v>410</v>
      </c>
      <c r="G13296">
        <v>42</v>
      </c>
      <c r="I13296">
        <v>42</v>
      </c>
    </row>
    <row r="13297" spans="1:17" x14ac:dyDescent="0.2">
      <c r="A13297" s="121">
        <v>43646</v>
      </c>
      <c r="B13297" t="s">
        <v>406</v>
      </c>
      <c r="C13297" t="s">
        <v>418</v>
      </c>
      <c r="D13297" t="s">
        <v>427</v>
      </c>
      <c r="E13297" t="s">
        <v>428</v>
      </c>
      <c r="F13297" t="s">
        <v>413</v>
      </c>
      <c r="G13297">
        <v>2821</v>
      </c>
      <c r="H13297">
        <v>2821</v>
      </c>
      <c r="I13297">
        <v>2634</v>
      </c>
      <c r="J13297">
        <v>2634</v>
      </c>
      <c r="K13297">
        <v>795</v>
      </c>
      <c r="L13297">
        <v>4</v>
      </c>
      <c r="M13297">
        <v>1808</v>
      </c>
      <c r="N13297">
        <v>189</v>
      </c>
      <c r="O13297">
        <v>25</v>
      </c>
      <c r="P13297">
        <v>21</v>
      </c>
      <c r="Q13297">
        <v>11</v>
      </c>
    </row>
    <row r="13298" spans="1:17" x14ac:dyDescent="0.2">
      <c r="A13298" s="121">
        <v>43646</v>
      </c>
      <c r="B13298" t="s">
        <v>406</v>
      </c>
      <c r="C13298" t="s">
        <v>429</v>
      </c>
      <c r="D13298" t="s">
        <v>430</v>
      </c>
      <c r="E13298" t="s">
        <v>431</v>
      </c>
      <c r="F13298" t="s">
        <v>410</v>
      </c>
      <c r="G13298">
        <v>20</v>
      </c>
      <c r="I13298">
        <v>20</v>
      </c>
    </row>
    <row r="13299" spans="1:17" x14ac:dyDescent="0.2">
      <c r="A13299" s="121">
        <v>43646</v>
      </c>
      <c r="B13299" t="s">
        <v>406</v>
      </c>
      <c r="C13299" t="s">
        <v>429</v>
      </c>
      <c r="D13299" t="s">
        <v>432</v>
      </c>
      <c r="E13299" t="s">
        <v>433</v>
      </c>
      <c r="F13299" t="s">
        <v>410</v>
      </c>
      <c r="G13299">
        <v>52</v>
      </c>
      <c r="I13299">
        <v>52</v>
      </c>
    </row>
    <row r="13300" spans="1:17" x14ac:dyDescent="0.2">
      <c r="A13300" s="121">
        <v>43646</v>
      </c>
      <c r="B13300" t="s">
        <v>406</v>
      </c>
      <c r="C13300" t="s">
        <v>429</v>
      </c>
      <c r="D13300" t="s">
        <v>434</v>
      </c>
      <c r="E13300" t="s">
        <v>435</v>
      </c>
      <c r="F13300" t="s">
        <v>410</v>
      </c>
      <c r="G13300">
        <v>1</v>
      </c>
      <c r="I13300">
        <v>1</v>
      </c>
    </row>
    <row r="13301" spans="1:17" x14ac:dyDescent="0.2">
      <c r="A13301" s="121">
        <v>43646</v>
      </c>
      <c r="B13301" t="s">
        <v>406</v>
      </c>
      <c r="C13301" t="s">
        <v>429</v>
      </c>
      <c r="D13301" t="s">
        <v>436</v>
      </c>
      <c r="E13301" t="s">
        <v>437</v>
      </c>
      <c r="F13301" t="s">
        <v>410</v>
      </c>
      <c r="G13301">
        <v>11</v>
      </c>
      <c r="H13301">
        <v>11</v>
      </c>
      <c r="I13301">
        <v>11</v>
      </c>
      <c r="J13301">
        <v>11</v>
      </c>
      <c r="K13301">
        <v>0</v>
      </c>
      <c r="L13301">
        <v>0</v>
      </c>
      <c r="M13301">
        <v>11</v>
      </c>
      <c r="N13301">
        <v>0</v>
      </c>
      <c r="O13301">
        <v>0</v>
      </c>
      <c r="P13301">
        <v>0</v>
      </c>
      <c r="Q13301">
        <v>0</v>
      </c>
    </row>
    <row r="13302" spans="1:17" x14ac:dyDescent="0.2">
      <c r="A13302" s="121">
        <v>43646</v>
      </c>
      <c r="B13302" t="s">
        <v>406</v>
      </c>
      <c r="C13302" t="s">
        <v>429</v>
      </c>
      <c r="D13302" t="s">
        <v>438</v>
      </c>
      <c r="E13302" t="s">
        <v>439</v>
      </c>
      <c r="F13302" t="s">
        <v>413</v>
      </c>
      <c r="G13302">
        <v>1038</v>
      </c>
      <c r="H13302">
        <v>1038</v>
      </c>
      <c r="I13302">
        <v>981</v>
      </c>
      <c r="J13302">
        <v>981</v>
      </c>
      <c r="K13302">
        <v>82</v>
      </c>
      <c r="L13302">
        <v>0</v>
      </c>
      <c r="M13302">
        <v>841</v>
      </c>
      <c r="N13302">
        <v>76</v>
      </c>
      <c r="O13302">
        <v>39</v>
      </c>
      <c r="P13302">
        <v>7</v>
      </c>
      <c r="Q13302">
        <v>0</v>
      </c>
    </row>
    <row r="13303" spans="1:17" x14ac:dyDescent="0.2">
      <c r="A13303" s="121">
        <v>43646</v>
      </c>
      <c r="B13303" t="s">
        <v>406</v>
      </c>
      <c r="C13303" t="s">
        <v>429</v>
      </c>
      <c r="D13303" t="s">
        <v>440</v>
      </c>
      <c r="E13303" t="s">
        <v>441</v>
      </c>
      <c r="F13303" t="s">
        <v>413</v>
      </c>
      <c r="G13303">
        <v>3082</v>
      </c>
      <c r="H13303">
        <v>3082</v>
      </c>
      <c r="I13303">
        <v>2772</v>
      </c>
      <c r="J13303">
        <v>2772</v>
      </c>
      <c r="K13303">
        <v>847</v>
      </c>
      <c r="L13303">
        <v>3</v>
      </c>
      <c r="M13303">
        <v>2103</v>
      </c>
      <c r="N13303">
        <v>88</v>
      </c>
      <c r="O13303">
        <v>41</v>
      </c>
      <c r="P13303">
        <v>37</v>
      </c>
      <c r="Q13303">
        <v>4</v>
      </c>
    </row>
    <row r="13304" spans="1:17" x14ac:dyDescent="0.2">
      <c r="A13304" s="121">
        <v>43646</v>
      </c>
      <c r="B13304" t="s">
        <v>406</v>
      </c>
      <c r="C13304" t="s">
        <v>442</v>
      </c>
      <c r="D13304" t="s">
        <v>443</v>
      </c>
      <c r="E13304" t="s">
        <v>444</v>
      </c>
      <c r="F13304" t="s">
        <v>413</v>
      </c>
      <c r="G13304">
        <v>5709</v>
      </c>
      <c r="H13304">
        <v>5709</v>
      </c>
      <c r="I13304">
        <v>5302</v>
      </c>
      <c r="J13304">
        <v>5302</v>
      </c>
      <c r="K13304">
        <v>1721</v>
      </c>
      <c r="L13304">
        <v>9</v>
      </c>
      <c r="M13304">
        <v>3804</v>
      </c>
      <c r="N13304">
        <v>98</v>
      </c>
      <c r="O13304">
        <v>77</v>
      </c>
      <c r="P13304">
        <v>5</v>
      </c>
      <c r="Q13304">
        <v>0</v>
      </c>
    </row>
    <row r="13305" spans="1:17" x14ac:dyDescent="0.2">
      <c r="A13305" s="121">
        <v>43646</v>
      </c>
      <c r="B13305" t="s">
        <v>406</v>
      </c>
      <c r="C13305" t="s">
        <v>442</v>
      </c>
      <c r="D13305" t="s">
        <v>445</v>
      </c>
      <c r="E13305" t="s">
        <v>446</v>
      </c>
      <c r="F13305" t="s">
        <v>410</v>
      </c>
      <c r="G13305">
        <v>175</v>
      </c>
      <c r="H13305">
        <v>175</v>
      </c>
      <c r="I13305">
        <v>175</v>
      </c>
      <c r="J13305">
        <v>175</v>
      </c>
      <c r="K13305">
        <v>2</v>
      </c>
      <c r="L13305">
        <v>0</v>
      </c>
      <c r="M13305">
        <v>163</v>
      </c>
      <c r="N13305">
        <v>5</v>
      </c>
      <c r="O13305">
        <v>5</v>
      </c>
      <c r="P13305">
        <v>0</v>
      </c>
      <c r="Q13305">
        <v>0</v>
      </c>
    </row>
    <row r="13306" spans="1:17" x14ac:dyDescent="0.2">
      <c r="A13306" s="121">
        <v>43646</v>
      </c>
      <c r="B13306" t="s">
        <v>406</v>
      </c>
      <c r="C13306" t="s">
        <v>442</v>
      </c>
      <c r="D13306" t="s">
        <v>447</v>
      </c>
      <c r="E13306" t="s">
        <v>448</v>
      </c>
      <c r="F13306" t="s">
        <v>410</v>
      </c>
      <c r="G13306">
        <v>236</v>
      </c>
      <c r="H13306">
        <v>236</v>
      </c>
      <c r="I13306">
        <v>236</v>
      </c>
      <c r="J13306">
        <v>236</v>
      </c>
      <c r="K13306">
        <v>0</v>
      </c>
      <c r="L13306">
        <v>0</v>
      </c>
      <c r="M13306">
        <v>231</v>
      </c>
      <c r="N13306">
        <v>5</v>
      </c>
      <c r="O13306">
        <v>0</v>
      </c>
      <c r="P13306">
        <v>0</v>
      </c>
      <c r="Q13306">
        <v>0</v>
      </c>
    </row>
    <row r="13307" spans="1:17" x14ac:dyDescent="0.2">
      <c r="A13307" s="121">
        <v>43646</v>
      </c>
      <c r="B13307" t="s">
        <v>406</v>
      </c>
      <c r="C13307" t="s">
        <v>442</v>
      </c>
      <c r="D13307" t="s">
        <v>449</v>
      </c>
      <c r="E13307" t="s">
        <v>624</v>
      </c>
      <c r="F13307" t="s">
        <v>410</v>
      </c>
      <c r="G13307">
        <v>1883</v>
      </c>
      <c r="H13307">
        <v>1883</v>
      </c>
      <c r="I13307">
        <v>1881</v>
      </c>
      <c r="J13307">
        <v>1881</v>
      </c>
      <c r="K13307">
        <v>21</v>
      </c>
      <c r="L13307">
        <v>0</v>
      </c>
      <c r="M13307">
        <v>1711</v>
      </c>
      <c r="N13307">
        <v>127</v>
      </c>
      <c r="O13307">
        <v>24</v>
      </c>
      <c r="P13307">
        <v>0</v>
      </c>
      <c r="Q13307">
        <v>0</v>
      </c>
    </row>
    <row r="13308" spans="1:17" x14ac:dyDescent="0.2">
      <c r="A13308" s="121">
        <v>43646</v>
      </c>
      <c r="B13308" t="s">
        <v>406</v>
      </c>
      <c r="C13308" t="s">
        <v>451</v>
      </c>
      <c r="D13308" t="s">
        <v>454</v>
      </c>
      <c r="E13308" t="s">
        <v>621</v>
      </c>
      <c r="F13308" t="s">
        <v>410</v>
      </c>
      <c r="G13308">
        <v>1821</v>
      </c>
      <c r="H13308">
        <v>1821</v>
      </c>
      <c r="I13308">
        <v>1817</v>
      </c>
      <c r="J13308">
        <v>1817</v>
      </c>
      <c r="K13308">
        <v>13</v>
      </c>
      <c r="L13308">
        <v>0</v>
      </c>
      <c r="M13308">
        <v>1581</v>
      </c>
      <c r="N13308">
        <v>40</v>
      </c>
      <c r="O13308">
        <v>187</v>
      </c>
      <c r="P13308">
        <v>0</v>
      </c>
      <c r="Q13308">
        <v>0</v>
      </c>
    </row>
    <row r="13309" spans="1:17" x14ac:dyDescent="0.2">
      <c r="A13309" s="121">
        <v>43646</v>
      </c>
      <c r="B13309" t="s">
        <v>406</v>
      </c>
      <c r="C13309" t="s">
        <v>451</v>
      </c>
      <c r="D13309" t="s">
        <v>622</v>
      </c>
      <c r="E13309" t="s">
        <v>623</v>
      </c>
      <c r="F13309" t="s">
        <v>413</v>
      </c>
      <c r="G13309">
        <v>5900</v>
      </c>
      <c r="H13309">
        <v>5900</v>
      </c>
      <c r="I13309">
        <v>4937</v>
      </c>
      <c r="J13309">
        <v>4937</v>
      </c>
      <c r="K13309">
        <v>1557</v>
      </c>
      <c r="L13309">
        <v>9</v>
      </c>
      <c r="M13309">
        <v>3975</v>
      </c>
      <c r="N13309">
        <v>34</v>
      </c>
      <c r="O13309">
        <v>325</v>
      </c>
      <c r="P13309">
        <v>35</v>
      </c>
      <c r="Q13309">
        <v>6</v>
      </c>
    </row>
    <row r="13310" spans="1:17" x14ac:dyDescent="0.2">
      <c r="A13310" s="121">
        <v>43646</v>
      </c>
      <c r="B13310" t="s">
        <v>406</v>
      </c>
      <c r="C13310" t="s">
        <v>456</v>
      </c>
      <c r="D13310" t="s">
        <v>457</v>
      </c>
      <c r="E13310" t="s">
        <v>458</v>
      </c>
      <c r="F13310" t="s">
        <v>413</v>
      </c>
      <c r="G13310">
        <v>5169</v>
      </c>
      <c r="H13310">
        <v>5169</v>
      </c>
      <c r="I13310">
        <v>4509</v>
      </c>
      <c r="J13310">
        <v>4509</v>
      </c>
      <c r="K13310">
        <v>1297</v>
      </c>
      <c r="L13310">
        <v>11</v>
      </c>
      <c r="M13310">
        <v>3370</v>
      </c>
      <c r="N13310">
        <v>31</v>
      </c>
      <c r="O13310">
        <v>460</v>
      </c>
      <c r="P13310">
        <v>39</v>
      </c>
      <c r="Q13310">
        <v>0</v>
      </c>
    </row>
    <row r="13311" spans="1:17" x14ac:dyDescent="0.2">
      <c r="A13311" s="121">
        <v>43646</v>
      </c>
      <c r="B13311" t="s">
        <v>406</v>
      </c>
      <c r="C13311" t="s">
        <v>456</v>
      </c>
      <c r="D13311" t="s">
        <v>459</v>
      </c>
      <c r="E13311" t="s">
        <v>460</v>
      </c>
      <c r="F13311" t="s">
        <v>413</v>
      </c>
      <c r="G13311">
        <v>1621</v>
      </c>
      <c r="H13311">
        <v>1621</v>
      </c>
      <c r="I13311">
        <v>1606</v>
      </c>
      <c r="J13311">
        <v>1606</v>
      </c>
      <c r="K13311">
        <v>129</v>
      </c>
      <c r="L13311">
        <v>0</v>
      </c>
      <c r="M13311">
        <v>1430</v>
      </c>
      <c r="N13311">
        <v>0</v>
      </c>
      <c r="O13311">
        <v>62</v>
      </c>
      <c r="P13311">
        <v>0</v>
      </c>
      <c r="Q13311">
        <v>0</v>
      </c>
    </row>
    <row r="13312" spans="1:17" x14ac:dyDescent="0.2">
      <c r="A13312" s="121">
        <v>43646</v>
      </c>
      <c r="B13312" t="s">
        <v>406</v>
      </c>
      <c r="C13312" t="s">
        <v>456</v>
      </c>
      <c r="D13312" t="s">
        <v>461</v>
      </c>
      <c r="E13312" t="s">
        <v>462</v>
      </c>
      <c r="F13312" t="s">
        <v>410</v>
      </c>
      <c r="G13312">
        <v>111</v>
      </c>
      <c r="I13312">
        <v>111</v>
      </c>
    </row>
    <row r="13313" spans="1:17" x14ac:dyDescent="0.2">
      <c r="A13313" s="121">
        <v>43646</v>
      </c>
      <c r="B13313" t="s">
        <v>406</v>
      </c>
      <c r="C13313" t="s">
        <v>456</v>
      </c>
      <c r="D13313" t="s">
        <v>465</v>
      </c>
      <c r="E13313" t="s">
        <v>466</v>
      </c>
      <c r="F13313" t="s">
        <v>410</v>
      </c>
      <c r="G13313">
        <v>34</v>
      </c>
      <c r="I13313">
        <v>34</v>
      </c>
    </row>
    <row r="13314" spans="1:17" x14ac:dyDescent="0.2">
      <c r="A13314" s="121">
        <v>43646</v>
      </c>
      <c r="B13314" t="s">
        <v>406</v>
      </c>
      <c r="C13314" t="s">
        <v>456</v>
      </c>
      <c r="D13314" t="s">
        <v>467</v>
      </c>
      <c r="E13314" t="s">
        <v>468</v>
      </c>
      <c r="F13314" t="s">
        <v>410</v>
      </c>
      <c r="G13314">
        <v>1308</v>
      </c>
      <c r="I13314">
        <v>1307</v>
      </c>
    </row>
    <row r="13315" spans="1:17" x14ac:dyDescent="0.2">
      <c r="A13315" s="121">
        <v>43646</v>
      </c>
      <c r="B13315" t="s">
        <v>406</v>
      </c>
      <c r="C13315" t="s">
        <v>456</v>
      </c>
      <c r="D13315" t="s">
        <v>469</v>
      </c>
      <c r="E13315" t="s">
        <v>470</v>
      </c>
      <c r="F13315" t="s">
        <v>410</v>
      </c>
      <c r="G13315">
        <v>615</v>
      </c>
      <c r="I13315">
        <v>614</v>
      </c>
    </row>
    <row r="13316" spans="1:17" x14ac:dyDescent="0.2">
      <c r="A13316" s="121">
        <v>43646</v>
      </c>
      <c r="B13316" t="s">
        <v>406</v>
      </c>
      <c r="C13316" t="s">
        <v>456</v>
      </c>
      <c r="D13316" t="s">
        <v>471</v>
      </c>
      <c r="E13316" t="s">
        <v>472</v>
      </c>
      <c r="F13316" t="s">
        <v>410</v>
      </c>
      <c r="G13316">
        <v>255</v>
      </c>
      <c r="I13316">
        <v>253</v>
      </c>
    </row>
    <row r="13317" spans="1:17" x14ac:dyDescent="0.2">
      <c r="A13317" s="121">
        <v>43646</v>
      </c>
      <c r="B13317" t="s">
        <v>406</v>
      </c>
      <c r="C13317" t="s">
        <v>456</v>
      </c>
      <c r="D13317" t="s">
        <v>473</v>
      </c>
      <c r="E13317" t="s">
        <v>474</v>
      </c>
      <c r="F13317" t="s">
        <v>410</v>
      </c>
      <c r="G13317">
        <v>169</v>
      </c>
      <c r="I13317">
        <v>169</v>
      </c>
    </row>
    <row r="13318" spans="1:17" x14ac:dyDescent="0.2">
      <c r="A13318" s="121">
        <v>43646</v>
      </c>
      <c r="B13318" t="s">
        <v>406</v>
      </c>
      <c r="C13318" t="s">
        <v>456</v>
      </c>
      <c r="D13318" t="s">
        <v>475</v>
      </c>
      <c r="E13318" t="s">
        <v>476</v>
      </c>
      <c r="F13318" t="s">
        <v>410</v>
      </c>
      <c r="G13318">
        <v>328</v>
      </c>
      <c r="I13318">
        <v>319</v>
      </c>
    </row>
    <row r="13319" spans="1:17" x14ac:dyDescent="0.2">
      <c r="A13319" s="121">
        <v>43646</v>
      </c>
      <c r="B13319" t="s">
        <v>406</v>
      </c>
      <c r="C13319" t="s">
        <v>456</v>
      </c>
      <c r="D13319" t="s">
        <v>477</v>
      </c>
      <c r="E13319" t="s">
        <v>478</v>
      </c>
      <c r="F13319" t="s">
        <v>413</v>
      </c>
      <c r="G13319">
        <v>2275</v>
      </c>
      <c r="H13319">
        <v>2275</v>
      </c>
      <c r="I13319">
        <v>2134</v>
      </c>
      <c r="J13319">
        <v>2134</v>
      </c>
      <c r="K13319">
        <v>428</v>
      </c>
      <c r="L13319">
        <v>3</v>
      </c>
      <c r="M13319">
        <v>1828</v>
      </c>
      <c r="N13319">
        <v>16</v>
      </c>
      <c r="O13319">
        <v>0</v>
      </c>
      <c r="P13319">
        <v>6</v>
      </c>
      <c r="Q13319">
        <v>1</v>
      </c>
    </row>
    <row r="13320" spans="1:17" x14ac:dyDescent="0.2">
      <c r="A13320" s="121">
        <v>43646</v>
      </c>
      <c r="B13320" t="s">
        <v>406</v>
      </c>
      <c r="C13320" t="s">
        <v>456</v>
      </c>
      <c r="D13320" t="s">
        <v>479</v>
      </c>
      <c r="E13320" t="s">
        <v>480</v>
      </c>
      <c r="F13320" t="s">
        <v>410</v>
      </c>
      <c r="G13320">
        <v>47</v>
      </c>
      <c r="I13320">
        <v>47</v>
      </c>
    </row>
    <row r="13321" spans="1:17" x14ac:dyDescent="0.2">
      <c r="A13321" s="121">
        <v>43646</v>
      </c>
      <c r="B13321" t="s">
        <v>406</v>
      </c>
      <c r="C13321" t="s">
        <v>456</v>
      </c>
      <c r="D13321" t="s">
        <v>481</v>
      </c>
      <c r="E13321" t="s">
        <v>482</v>
      </c>
      <c r="F13321" t="s">
        <v>410</v>
      </c>
      <c r="G13321">
        <v>10</v>
      </c>
      <c r="I13321">
        <v>10</v>
      </c>
    </row>
    <row r="13322" spans="1:17" x14ac:dyDescent="0.2">
      <c r="A13322" s="121">
        <v>43646</v>
      </c>
      <c r="B13322" t="s">
        <v>406</v>
      </c>
      <c r="C13322" t="s">
        <v>456</v>
      </c>
      <c r="D13322" t="s">
        <v>483</v>
      </c>
      <c r="E13322" t="s">
        <v>484</v>
      </c>
      <c r="F13322" t="s">
        <v>410</v>
      </c>
      <c r="G13322">
        <v>100</v>
      </c>
      <c r="I13322">
        <v>100</v>
      </c>
    </row>
    <row r="13323" spans="1:17" x14ac:dyDescent="0.2">
      <c r="A13323" s="121">
        <v>43646</v>
      </c>
      <c r="B13323" t="s">
        <v>406</v>
      </c>
      <c r="C13323" t="s">
        <v>456</v>
      </c>
      <c r="D13323" t="s">
        <v>487</v>
      </c>
      <c r="E13323" t="s">
        <v>488</v>
      </c>
      <c r="F13323" t="s">
        <v>410</v>
      </c>
      <c r="G13323">
        <v>18</v>
      </c>
      <c r="I13323">
        <v>18</v>
      </c>
    </row>
    <row r="13324" spans="1:17" x14ac:dyDescent="0.2">
      <c r="A13324" s="121">
        <v>43646</v>
      </c>
      <c r="B13324" t="s">
        <v>406</v>
      </c>
      <c r="C13324" t="s">
        <v>456</v>
      </c>
      <c r="D13324" t="s">
        <v>489</v>
      </c>
      <c r="E13324" t="s">
        <v>490</v>
      </c>
      <c r="F13324" t="s">
        <v>410</v>
      </c>
      <c r="G13324">
        <v>101</v>
      </c>
      <c r="I13324">
        <v>101</v>
      </c>
    </row>
    <row r="13325" spans="1:17" x14ac:dyDescent="0.2">
      <c r="A13325" s="121">
        <v>43646</v>
      </c>
      <c r="B13325" t="s">
        <v>406</v>
      </c>
      <c r="C13325" t="s">
        <v>456</v>
      </c>
      <c r="D13325" t="s">
        <v>628</v>
      </c>
      <c r="E13325" t="s">
        <v>629</v>
      </c>
      <c r="F13325" t="s">
        <v>410</v>
      </c>
      <c r="G13325">
        <v>43</v>
      </c>
      <c r="I13325">
        <v>43</v>
      </c>
    </row>
    <row r="13326" spans="1:17" x14ac:dyDescent="0.2">
      <c r="A13326" s="121">
        <v>43646</v>
      </c>
      <c r="B13326" t="s">
        <v>406</v>
      </c>
      <c r="C13326" t="s">
        <v>491</v>
      </c>
      <c r="D13326" t="s">
        <v>492</v>
      </c>
      <c r="E13326" t="s">
        <v>493</v>
      </c>
      <c r="F13326" t="s">
        <v>410</v>
      </c>
      <c r="G13326">
        <v>1517</v>
      </c>
      <c r="H13326">
        <v>1517</v>
      </c>
      <c r="I13326">
        <v>1487</v>
      </c>
      <c r="J13326">
        <v>1487</v>
      </c>
      <c r="K13326">
        <v>202</v>
      </c>
      <c r="L13326">
        <v>1</v>
      </c>
      <c r="M13326">
        <v>1221</v>
      </c>
      <c r="N13326">
        <v>87</v>
      </c>
      <c r="O13326">
        <v>6</v>
      </c>
      <c r="P13326">
        <v>2</v>
      </c>
      <c r="Q13326">
        <v>0</v>
      </c>
    </row>
    <row r="13327" spans="1:17" x14ac:dyDescent="0.2">
      <c r="A13327" s="121">
        <v>43646</v>
      </c>
      <c r="B13327" t="s">
        <v>406</v>
      </c>
      <c r="C13327" t="s">
        <v>491</v>
      </c>
      <c r="D13327" t="s">
        <v>494</v>
      </c>
      <c r="E13327" t="s">
        <v>495</v>
      </c>
      <c r="F13327" t="s">
        <v>413</v>
      </c>
      <c r="G13327">
        <v>2679</v>
      </c>
      <c r="H13327">
        <v>2679</v>
      </c>
      <c r="I13327">
        <v>2416</v>
      </c>
      <c r="J13327">
        <v>2416</v>
      </c>
      <c r="K13327">
        <v>628</v>
      </c>
      <c r="L13327">
        <v>1</v>
      </c>
      <c r="M13327">
        <v>1927</v>
      </c>
      <c r="N13327">
        <v>44</v>
      </c>
      <c r="O13327">
        <v>79</v>
      </c>
      <c r="P13327">
        <v>13</v>
      </c>
      <c r="Q13327">
        <v>1</v>
      </c>
    </row>
    <row r="13328" spans="1:17" x14ac:dyDescent="0.2">
      <c r="A13328" s="121">
        <v>43646</v>
      </c>
      <c r="B13328" t="s">
        <v>406</v>
      </c>
      <c r="C13328" t="s">
        <v>491</v>
      </c>
      <c r="D13328" t="s">
        <v>496</v>
      </c>
      <c r="E13328" t="s">
        <v>497</v>
      </c>
      <c r="F13328" t="s">
        <v>413</v>
      </c>
      <c r="G13328">
        <v>6012</v>
      </c>
      <c r="H13328">
        <v>6012</v>
      </c>
      <c r="I13328">
        <v>5081</v>
      </c>
      <c r="J13328">
        <v>5081</v>
      </c>
      <c r="K13328">
        <v>1789</v>
      </c>
      <c r="L13328">
        <v>9</v>
      </c>
      <c r="M13328">
        <v>3961</v>
      </c>
      <c r="N13328">
        <v>92</v>
      </c>
      <c r="O13328">
        <v>161</v>
      </c>
      <c r="P13328">
        <v>116</v>
      </c>
      <c r="Q13328">
        <v>2</v>
      </c>
    </row>
    <row r="13329" spans="1:17" x14ac:dyDescent="0.2">
      <c r="A13329" s="121">
        <v>43646</v>
      </c>
      <c r="B13329" t="s">
        <v>406</v>
      </c>
      <c r="C13329" t="s">
        <v>491</v>
      </c>
      <c r="D13329" t="s">
        <v>498</v>
      </c>
      <c r="E13329" t="s">
        <v>499</v>
      </c>
      <c r="F13329" t="s">
        <v>413</v>
      </c>
      <c r="G13329">
        <v>8180</v>
      </c>
      <c r="H13329">
        <v>8180</v>
      </c>
      <c r="I13329">
        <v>6832</v>
      </c>
      <c r="J13329">
        <v>6832</v>
      </c>
      <c r="K13329">
        <v>2559</v>
      </c>
      <c r="L13329">
        <v>16</v>
      </c>
      <c r="M13329">
        <v>4988</v>
      </c>
      <c r="N13329">
        <v>130</v>
      </c>
      <c r="O13329">
        <v>487</v>
      </c>
      <c r="P13329">
        <v>48</v>
      </c>
      <c r="Q13329">
        <v>1</v>
      </c>
    </row>
    <row r="13330" spans="1:17" x14ac:dyDescent="0.2">
      <c r="A13330" s="121">
        <v>43646</v>
      </c>
      <c r="B13330" t="s">
        <v>406</v>
      </c>
      <c r="C13330" t="s">
        <v>491</v>
      </c>
      <c r="D13330" t="s">
        <v>500</v>
      </c>
      <c r="E13330" t="s">
        <v>620</v>
      </c>
      <c r="F13330" t="s">
        <v>410</v>
      </c>
      <c r="G13330">
        <v>1865</v>
      </c>
      <c r="H13330">
        <v>1865</v>
      </c>
      <c r="I13330">
        <v>1864</v>
      </c>
      <c r="J13330">
        <v>1864</v>
      </c>
      <c r="K13330">
        <v>2</v>
      </c>
      <c r="L13330">
        <v>0</v>
      </c>
      <c r="M13330">
        <v>1649</v>
      </c>
      <c r="N13330">
        <v>101</v>
      </c>
      <c r="O13330">
        <v>113</v>
      </c>
      <c r="P13330">
        <v>0</v>
      </c>
      <c r="Q13330">
        <v>0</v>
      </c>
    </row>
    <row r="13331" spans="1:17" x14ac:dyDescent="0.2">
      <c r="A13331" s="121">
        <v>43646</v>
      </c>
      <c r="B13331" t="s">
        <v>406</v>
      </c>
      <c r="C13331" t="s">
        <v>491</v>
      </c>
      <c r="D13331" t="s">
        <v>502</v>
      </c>
      <c r="E13331" t="s">
        <v>615</v>
      </c>
      <c r="F13331" t="s">
        <v>410</v>
      </c>
      <c r="G13331">
        <v>3179</v>
      </c>
      <c r="H13331">
        <v>3179</v>
      </c>
      <c r="I13331">
        <v>3178</v>
      </c>
      <c r="J13331">
        <v>3178</v>
      </c>
      <c r="K13331">
        <v>1</v>
      </c>
      <c r="L13331">
        <v>3</v>
      </c>
      <c r="M13331">
        <v>2823</v>
      </c>
      <c r="N13331">
        <v>243</v>
      </c>
      <c r="O13331">
        <v>109</v>
      </c>
      <c r="P13331">
        <v>0</v>
      </c>
      <c r="Q13331">
        <v>0</v>
      </c>
    </row>
    <row r="13332" spans="1:17" x14ac:dyDescent="0.2">
      <c r="A13332" s="121">
        <v>43646</v>
      </c>
      <c r="B13332" t="s">
        <v>406</v>
      </c>
      <c r="C13332" t="s">
        <v>491</v>
      </c>
      <c r="D13332" t="s">
        <v>504</v>
      </c>
      <c r="E13332" t="s">
        <v>630</v>
      </c>
      <c r="F13332" t="s">
        <v>413</v>
      </c>
      <c r="G13332">
        <v>8754</v>
      </c>
      <c r="H13332">
        <v>8754</v>
      </c>
      <c r="I13332">
        <v>6745</v>
      </c>
      <c r="J13332">
        <v>6745</v>
      </c>
      <c r="K13332">
        <v>2841</v>
      </c>
      <c r="L13332">
        <v>17</v>
      </c>
      <c r="M13332">
        <v>5490</v>
      </c>
      <c r="N13332">
        <v>60</v>
      </c>
      <c r="O13332">
        <v>346</v>
      </c>
      <c r="P13332">
        <v>129</v>
      </c>
      <c r="Q13332">
        <v>9</v>
      </c>
    </row>
    <row r="13333" spans="1:17" x14ac:dyDescent="0.2">
      <c r="A13333" s="121">
        <v>43646</v>
      </c>
      <c r="B13333" t="s">
        <v>406</v>
      </c>
      <c r="C13333" t="s">
        <v>491</v>
      </c>
      <c r="D13333" t="s">
        <v>506</v>
      </c>
      <c r="E13333" t="s">
        <v>507</v>
      </c>
      <c r="F13333" t="s">
        <v>413</v>
      </c>
      <c r="G13333">
        <v>5712</v>
      </c>
      <c r="H13333">
        <v>5712</v>
      </c>
      <c r="I13333">
        <v>5631</v>
      </c>
      <c r="J13333">
        <v>5631</v>
      </c>
      <c r="K13333">
        <v>1125</v>
      </c>
      <c r="L13333">
        <v>0</v>
      </c>
      <c r="M13333">
        <v>4571</v>
      </c>
      <c r="N13333">
        <v>2</v>
      </c>
      <c r="O13333">
        <v>14</v>
      </c>
      <c r="P13333">
        <v>0</v>
      </c>
      <c r="Q13333">
        <v>0</v>
      </c>
    </row>
    <row r="13334" spans="1:17" x14ac:dyDescent="0.2">
      <c r="A13334" s="121">
        <v>43646</v>
      </c>
      <c r="B13334" t="s">
        <v>406</v>
      </c>
      <c r="C13334" t="s">
        <v>510</v>
      </c>
      <c r="D13334" t="s">
        <v>513</v>
      </c>
      <c r="E13334" t="s">
        <v>514</v>
      </c>
      <c r="F13334" t="s">
        <v>410</v>
      </c>
      <c r="G13334">
        <v>753</v>
      </c>
      <c r="I13334">
        <v>752</v>
      </c>
    </row>
    <row r="13335" spans="1:17" x14ac:dyDescent="0.2">
      <c r="A13335" s="121">
        <v>43646</v>
      </c>
      <c r="B13335" t="s">
        <v>406</v>
      </c>
      <c r="C13335" t="s">
        <v>510</v>
      </c>
      <c r="D13335" t="s">
        <v>515</v>
      </c>
      <c r="E13335" t="s">
        <v>516</v>
      </c>
      <c r="F13335" t="s">
        <v>410</v>
      </c>
      <c r="G13335">
        <v>161</v>
      </c>
      <c r="I13335">
        <v>159</v>
      </c>
    </row>
    <row r="13336" spans="1:17" x14ac:dyDescent="0.2">
      <c r="A13336" s="121">
        <v>43646</v>
      </c>
      <c r="B13336" t="s">
        <v>406</v>
      </c>
      <c r="C13336" t="s">
        <v>510</v>
      </c>
      <c r="D13336" t="s">
        <v>519</v>
      </c>
      <c r="E13336" t="s">
        <v>520</v>
      </c>
      <c r="F13336" t="s">
        <v>410</v>
      </c>
      <c r="G13336">
        <v>380</v>
      </c>
      <c r="I13336">
        <v>373</v>
      </c>
    </row>
    <row r="13337" spans="1:17" x14ac:dyDescent="0.2">
      <c r="A13337" s="121">
        <v>43646</v>
      </c>
      <c r="B13337" t="s">
        <v>406</v>
      </c>
      <c r="C13337" t="s">
        <v>510</v>
      </c>
      <c r="D13337" t="s">
        <v>523</v>
      </c>
      <c r="E13337" t="s">
        <v>524</v>
      </c>
      <c r="F13337" t="s">
        <v>413</v>
      </c>
      <c r="G13337">
        <v>824</v>
      </c>
      <c r="H13337">
        <v>824</v>
      </c>
      <c r="I13337">
        <v>802</v>
      </c>
      <c r="J13337">
        <v>802</v>
      </c>
      <c r="K13337">
        <v>151</v>
      </c>
      <c r="L13337">
        <v>0</v>
      </c>
      <c r="M13337">
        <v>654</v>
      </c>
      <c r="N13337">
        <v>19</v>
      </c>
      <c r="O13337">
        <v>0</v>
      </c>
      <c r="P13337">
        <v>4</v>
      </c>
      <c r="Q13337">
        <v>0</v>
      </c>
    </row>
    <row r="13338" spans="1:17" x14ac:dyDescent="0.2">
      <c r="A13338" s="121">
        <v>43646</v>
      </c>
      <c r="B13338" t="s">
        <v>406</v>
      </c>
      <c r="C13338" t="s">
        <v>510</v>
      </c>
      <c r="D13338" t="s">
        <v>525</v>
      </c>
      <c r="E13338" t="s">
        <v>526</v>
      </c>
      <c r="F13338" t="s">
        <v>410</v>
      </c>
      <c r="G13338">
        <v>500</v>
      </c>
      <c r="I13338">
        <v>489</v>
      </c>
    </row>
    <row r="13339" spans="1:17" x14ac:dyDescent="0.2">
      <c r="A13339" s="121">
        <v>43646</v>
      </c>
      <c r="B13339" t="s">
        <v>406</v>
      </c>
      <c r="C13339" t="s">
        <v>510</v>
      </c>
      <c r="D13339" t="s">
        <v>527</v>
      </c>
      <c r="E13339" t="s">
        <v>528</v>
      </c>
      <c r="F13339" t="s">
        <v>410</v>
      </c>
      <c r="G13339">
        <v>191</v>
      </c>
      <c r="I13339">
        <v>191</v>
      </c>
    </row>
    <row r="13340" spans="1:17" x14ac:dyDescent="0.2">
      <c r="A13340" s="121">
        <v>43646</v>
      </c>
      <c r="B13340" t="s">
        <v>406</v>
      </c>
      <c r="C13340" t="s">
        <v>510</v>
      </c>
      <c r="D13340" t="s">
        <v>529</v>
      </c>
      <c r="E13340" t="s">
        <v>530</v>
      </c>
      <c r="F13340" t="s">
        <v>413</v>
      </c>
      <c r="G13340">
        <v>743</v>
      </c>
      <c r="H13340">
        <v>743</v>
      </c>
      <c r="I13340">
        <v>715</v>
      </c>
      <c r="J13340">
        <v>715</v>
      </c>
      <c r="K13340">
        <v>169</v>
      </c>
      <c r="L13340">
        <v>0</v>
      </c>
      <c r="M13340">
        <v>571</v>
      </c>
      <c r="N13340">
        <v>3</v>
      </c>
      <c r="O13340">
        <v>0</v>
      </c>
      <c r="P13340">
        <v>2</v>
      </c>
      <c r="Q13340">
        <v>0</v>
      </c>
    </row>
    <row r="13341" spans="1:17" x14ac:dyDescent="0.2">
      <c r="A13341" s="121">
        <v>43646</v>
      </c>
      <c r="B13341" t="s">
        <v>406</v>
      </c>
      <c r="C13341" t="s">
        <v>510</v>
      </c>
      <c r="D13341" t="s">
        <v>531</v>
      </c>
      <c r="E13341" t="s">
        <v>532</v>
      </c>
      <c r="F13341" t="s">
        <v>410</v>
      </c>
      <c r="G13341">
        <v>65</v>
      </c>
      <c r="I13341">
        <v>65</v>
      </c>
    </row>
    <row r="13342" spans="1:17" x14ac:dyDescent="0.2">
      <c r="A13342" s="121">
        <v>43646</v>
      </c>
      <c r="B13342" t="s">
        <v>406</v>
      </c>
      <c r="C13342" t="s">
        <v>510</v>
      </c>
      <c r="D13342" t="s">
        <v>533</v>
      </c>
      <c r="E13342" t="s">
        <v>534</v>
      </c>
      <c r="F13342" t="s">
        <v>413</v>
      </c>
      <c r="G13342">
        <v>3269</v>
      </c>
      <c r="H13342">
        <v>3269</v>
      </c>
      <c r="I13342">
        <v>3001</v>
      </c>
      <c r="J13342">
        <v>3001</v>
      </c>
      <c r="K13342">
        <v>678</v>
      </c>
      <c r="L13342">
        <v>1</v>
      </c>
      <c r="M13342">
        <v>2574</v>
      </c>
      <c r="N13342">
        <v>16</v>
      </c>
      <c r="O13342">
        <v>0</v>
      </c>
      <c r="P13342">
        <v>10</v>
      </c>
      <c r="Q13342">
        <v>0</v>
      </c>
    </row>
    <row r="13343" spans="1:17" x14ac:dyDescent="0.2">
      <c r="A13343" s="121">
        <v>43646</v>
      </c>
      <c r="B13343" t="s">
        <v>406</v>
      </c>
      <c r="C13343" t="s">
        <v>510</v>
      </c>
      <c r="D13343" t="s">
        <v>535</v>
      </c>
      <c r="E13343" t="s">
        <v>536</v>
      </c>
      <c r="F13343" t="s">
        <v>410</v>
      </c>
      <c r="G13343">
        <v>357</v>
      </c>
      <c r="I13343">
        <v>357</v>
      </c>
    </row>
    <row r="13344" spans="1:17" x14ac:dyDescent="0.2">
      <c r="A13344" s="121">
        <v>43646</v>
      </c>
      <c r="B13344" t="s">
        <v>406</v>
      </c>
      <c r="C13344" t="s">
        <v>510</v>
      </c>
      <c r="D13344" t="s">
        <v>537</v>
      </c>
      <c r="E13344" t="s">
        <v>538</v>
      </c>
      <c r="F13344" t="s">
        <v>410</v>
      </c>
      <c r="G13344">
        <v>47</v>
      </c>
      <c r="I13344">
        <v>47</v>
      </c>
    </row>
    <row r="13345" spans="1:17" x14ac:dyDescent="0.2">
      <c r="A13345" s="121">
        <v>43646</v>
      </c>
      <c r="B13345" t="s">
        <v>406</v>
      </c>
      <c r="C13345" t="s">
        <v>510</v>
      </c>
      <c r="D13345" t="s">
        <v>539</v>
      </c>
      <c r="E13345" t="s">
        <v>540</v>
      </c>
      <c r="F13345" t="s">
        <v>413</v>
      </c>
      <c r="G13345">
        <v>992</v>
      </c>
      <c r="H13345">
        <v>992</v>
      </c>
      <c r="I13345">
        <v>942</v>
      </c>
      <c r="J13345">
        <v>942</v>
      </c>
      <c r="K13345">
        <v>132</v>
      </c>
      <c r="L13345">
        <v>1</v>
      </c>
      <c r="M13345">
        <v>852</v>
      </c>
      <c r="N13345">
        <v>7</v>
      </c>
      <c r="O13345">
        <v>0</v>
      </c>
      <c r="P13345">
        <v>2</v>
      </c>
      <c r="Q13345">
        <v>0</v>
      </c>
    </row>
    <row r="13346" spans="1:17" x14ac:dyDescent="0.2">
      <c r="A13346" s="121">
        <v>43646</v>
      </c>
      <c r="B13346" t="s">
        <v>406</v>
      </c>
      <c r="C13346" t="s">
        <v>510</v>
      </c>
      <c r="D13346" t="s">
        <v>541</v>
      </c>
      <c r="E13346" t="s">
        <v>542</v>
      </c>
      <c r="F13346" t="s">
        <v>410</v>
      </c>
      <c r="G13346">
        <v>457</v>
      </c>
      <c r="I13346">
        <v>456</v>
      </c>
    </row>
    <row r="13347" spans="1:17" x14ac:dyDescent="0.2">
      <c r="A13347" s="121">
        <v>43646</v>
      </c>
      <c r="B13347" t="s">
        <v>406</v>
      </c>
      <c r="C13347" t="s">
        <v>510</v>
      </c>
      <c r="D13347" t="s">
        <v>543</v>
      </c>
      <c r="E13347" t="s">
        <v>544</v>
      </c>
      <c r="F13347" t="s">
        <v>410</v>
      </c>
      <c r="G13347">
        <v>288</v>
      </c>
      <c r="I13347">
        <v>287</v>
      </c>
    </row>
    <row r="13348" spans="1:17" x14ac:dyDescent="0.2">
      <c r="A13348" s="121">
        <v>43646</v>
      </c>
      <c r="B13348" t="s">
        <v>406</v>
      </c>
      <c r="C13348" t="s">
        <v>510</v>
      </c>
      <c r="D13348" t="s">
        <v>547</v>
      </c>
      <c r="E13348" t="s">
        <v>548</v>
      </c>
      <c r="F13348" t="s">
        <v>410</v>
      </c>
      <c r="G13348">
        <v>188</v>
      </c>
      <c r="I13348">
        <v>188</v>
      </c>
    </row>
    <row r="13349" spans="1:17" x14ac:dyDescent="0.2">
      <c r="A13349" s="121">
        <v>43646</v>
      </c>
      <c r="B13349" t="s">
        <v>406</v>
      </c>
      <c r="C13349" t="s">
        <v>510</v>
      </c>
      <c r="D13349" t="s">
        <v>616</v>
      </c>
      <c r="E13349" t="s">
        <v>617</v>
      </c>
      <c r="F13349" t="s">
        <v>410</v>
      </c>
      <c r="G13349">
        <v>447</v>
      </c>
      <c r="I13349">
        <v>443</v>
      </c>
    </row>
    <row r="13350" spans="1:17" x14ac:dyDescent="0.2">
      <c r="A13350" s="121">
        <v>43646</v>
      </c>
      <c r="B13350" t="s">
        <v>406</v>
      </c>
      <c r="C13350" t="s">
        <v>510</v>
      </c>
      <c r="D13350" t="s">
        <v>549</v>
      </c>
      <c r="E13350" t="s">
        <v>550</v>
      </c>
      <c r="F13350" t="s">
        <v>410</v>
      </c>
      <c r="G13350">
        <v>151</v>
      </c>
      <c r="I13350">
        <v>151</v>
      </c>
    </row>
    <row r="13351" spans="1:17" x14ac:dyDescent="0.2">
      <c r="A13351" s="121">
        <v>43646</v>
      </c>
      <c r="B13351" t="s">
        <v>406</v>
      </c>
      <c r="C13351" t="s">
        <v>510</v>
      </c>
      <c r="D13351" t="s">
        <v>625</v>
      </c>
      <c r="E13351" t="s">
        <v>626</v>
      </c>
      <c r="F13351" t="s">
        <v>410</v>
      </c>
      <c r="G13351">
        <v>117</v>
      </c>
      <c r="I13351">
        <v>117</v>
      </c>
    </row>
    <row r="13352" spans="1:17" x14ac:dyDescent="0.2">
      <c r="A13352" s="121">
        <v>43646</v>
      </c>
      <c r="B13352" t="s">
        <v>406</v>
      </c>
      <c r="C13352" t="s">
        <v>551</v>
      </c>
      <c r="D13352" t="s">
        <v>552</v>
      </c>
      <c r="E13352" t="s">
        <v>553</v>
      </c>
      <c r="F13352" t="s">
        <v>413</v>
      </c>
      <c r="G13352">
        <v>5938</v>
      </c>
      <c r="H13352">
        <v>5938</v>
      </c>
      <c r="I13352">
        <v>5394</v>
      </c>
      <c r="J13352">
        <v>5394</v>
      </c>
      <c r="K13352">
        <v>1887</v>
      </c>
      <c r="L13352">
        <v>3</v>
      </c>
      <c r="M13352">
        <v>3898</v>
      </c>
      <c r="N13352">
        <v>121</v>
      </c>
      <c r="O13352">
        <v>29</v>
      </c>
      <c r="P13352">
        <v>36</v>
      </c>
      <c r="Q13352">
        <v>4</v>
      </c>
    </row>
    <row r="13353" spans="1:17" x14ac:dyDescent="0.2">
      <c r="A13353" s="121">
        <v>43646</v>
      </c>
      <c r="B13353" t="s">
        <v>406</v>
      </c>
      <c r="C13353" t="s">
        <v>551</v>
      </c>
      <c r="D13353" t="s">
        <v>554</v>
      </c>
      <c r="E13353" t="s">
        <v>555</v>
      </c>
      <c r="F13353" t="s">
        <v>410</v>
      </c>
      <c r="G13353">
        <v>95</v>
      </c>
      <c r="H13353">
        <v>95</v>
      </c>
      <c r="I13353">
        <v>94</v>
      </c>
      <c r="J13353">
        <v>94</v>
      </c>
      <c r="K13353">
        <v>10</v>
      </c>
      <c r="L13353">
        <v>0</v>
      </c>
      <c r="M13353">
        <v>81</v>
      </c>
      <c r="N13353">
        <v>4</v>
      </c>
      <c r="O13353">
        <v>0</v>
      </c>
      <c r="P13353">
        <v>0</v>
      </c>
      <c r="Q13353">
        <v>0</v>
      </c>
    </row>
    <row r="13354" spans="1:17" x14ac:dyDescent="0.2">
      <c r="A13354" s="121">
        <v>43646</v>
      </c>
      <c r="B13354" t="s">
        <v>406</v>
      </c>
      <c r="C13354" t="s">
        <v>551</v>
      </c>
      <c r="D13354" t="s">
        <v>556</v>
      </c>
      <c r="E13354" t="s">
        <v>557</v>
      </c>
      <c r="F13354" t="s">
        <v>410</v>
      </c>
      <c r="G13354">
        <v>50</v>
      </c>
      <c r="H13354">
        <v>50</v>
      </c>
      <c r="I13354">
        <v>50</v>
      </c>
      <c r="J13354">
        <v>50</v>
      </c>
      <c r="K13354">
        <v>1</v>
      </c>
      <c r="L13354">
        <v>0</v>
      </c>
      <c r="M13354">
        <v>46</v>
      </c>
      <c r="N13354">
        <v>0</v>
      </c>
      <c r="O13354">
        <v>3</v>
      </c>
      <c r="P13354">
        <v>0</v>
      </c>
      <c r="Q13354">
        <v>0</v>
      </c>
    </row>
    <row r="13355" spans="1:17" x14ac:dyDescent="0.2">
      <c r="A13355" s="121">
        <v>43646</v>
      </c>
      <c r="B13355" t="s">
        <v>406</v>
      </c>
      <c r="C13355" t="s">
        <v>551</v>
      </c>
      <c r="D13355" t="s">
        <v>558</v>
      </c>
      <c r="E13355" t="s">
        <v>559</v>
      </c>
      <c r="F13355" t="s">
        <v>413</v>
      </c>
      <c r="G13355">
        <v>5765</v>
      </c>
      <c r="H13355">
        <v>5765</v>
      </c>
      <c r="I13355">
        <v>5069</v>
      </c>
      <c r="J13355">
        <v>5069</v>
      </c>
      <c r="K13355">
        <v>1528</v>
      </c>
      <c r="L13355">
        <v>6</v>
      </c>
      <c r="M13355">
        <v>4140</v>
      </c>
      <c r="N13355">
        <v>77</v>
      </c>
      <c r="O13355">
        <v>14</v>
      </c>
      <c r="P13355">
        <v>84</v>
      </c>
      <c r="Q13355">
        <v>22</v>
      </c>
    </row>
    <row r="13356" spans="1:17" x14ac:dyDescent="0.2">
      <c r="A13356" s="121">
        <v>43646</v>
      </c>
      <c r="B13356" t="s">
        <v>406</v>
      </c>
      <c r="C13356" t="s">
        <v>551</v>
      </c>
      <c r="D13356" t="s">
        <v>560</v>
      </c>
      <c r="E13356" t="s">
        <v>561</v>
      </c>
      <c r="F13356" t="s">
        <v>413</v>
      </c>
      <c r="G13356">
        <v>6206</v>
      </c>
      <c r="H13356">
        <v>6206</v>
      </c>
      <c r="I13356">
        <v>5279</v>
      </c>
      <c r="J13356">
        <v>5279</v>
      </c>
      <c r="K13356">
        <v>1709</v>
      </c>
      <c r="L13356">
        <v>6</v>
      </c>
      <c r="M13356">
        <v>4359</v>
      </c>
      <c r="N13356">
        <v>53</v>
      </c>
      <c r="O13356">
        <v>79</v>
      </c>
      <c r="P13356">
        <v>94</v>
      </c>
      <c r="Q13356">
        <v>11</v>
      </c>
    </row>
    <row r="13357" spans="1:17" x14ac:dyDescent="0.2">
      <c r="A13357" s="121">
        <v>43646</v>
      </c>
      <c r="B13357" t="s">
        <v>406</v>
      </c>
      <c r="C13357" t="s">
        <v>562</v>
      </c>
      <c r="D13357" t="s">
        <v>605</v>
      </c>
      <c r="E13357" t="s">
        <v>606</v>
      </c>
      <c r="F13357" t="s">
        <v>410</v>
      </c>
      <c r="G13357">
        <v>230</v>
      </c>
      <c r="I13357">
        <v>230</v>
      </c>
    </row>
    <row r="13358" spans="1:17" x14ac:dyDescent="0.2">
      <c r="A13358" s="121">
        <v>43646</v>
      </c>
      <c r="B13358" t="s">
        <v>406</v>
      </c>
      <c r="C13358" t="s">
        <v>562</v>
      </c>
      <c r="D13358" t="s">
        <v>563</v>
      </c>
      <c r="E13358" t="s">
        <v>564</v>
      </c>
      <c r="F13358" t="s">
        <v>410</v>
      </c>
      <c r="G13358">
        <v>3938</v>
      </c>
      <c r="H13358">
        <v>3938</v>
      </c>
      <c r="I13358">
        <v>3646</v>
      </c>
      <c r="J13358">
        <v>3646</v>
      </c>
      <c r="K13358">
        <v>1119</v>
      </c>
      <c r="L13358">
        <v>1</v>
      </c>
      <c r="M13358">
        <v>2807</v>
      </c>
      <c r="N13358">
        <v>11</v>
      </c>
      <c r="O13358">
        <v>0</v>
      </c>
      <c r="P13358">
        <v>37</v>
      </c>
      <c r="Q13358">
        <v>11</v>
      </c>
    </row>
    <row r="13359" spans="1:17" x14ac:dyDescent="0.2">
      <c r="A13359" s="121">
        <v>43646</v>
      </c>
      <c r="B13359" t="s">
        <v>406</v>
      </c>
      <c r="C13359" t="s">
        <v>562</v>
      </c>
      <c r="D13359" t="s">
        <v>565</v>
      </c>
      <c r="E13359" t="s">
        <v>566</v>
      </c>
      <c r="F13359" t="s">
        <v>413</v>
      </c>
      <c r="G13359">
        <v>5157</v>
      </c>
      <c r="H13359">
        <v>5157</v>
      </c>
      <c r="I13359">
        <v>4686</v>
      </c>
      <c r="J13359">
        <v>4686</v>
      </c>
      <c r="K13359">
        <v>968</v>
      </c>
      <c r="L13359">
        <v>2</v>
      </c>
      <c r="M13359">
        <v>4093</v>
      </c>
      <c r="N13359">
        <v>94</v>
      </c>
      <c r="O13359">
        <v>0</v>
      </c>
      <c r="P13359">
        <v>42</v>
      </c>
      <c r="Q13359">
        <v>5</v>
      </c>
    </row>
    <row r="13360" spans="1:17" x14ac:dyDescent="0.2">
      <c r="A13360" s="121">
        <v>43646</v>
      </c>
      <c r="B13360" t="s">
        <v>406</v>
      </c>
      <c r="C13360" t="s">
        <v>562</v>
      </c>
      <c r="D13360" t="s">
        <v>567</v>
      </c>
      <c r="E13360" t="s">
        <v>568</v>
      </c>
      <c r="F13360" t="s">
        <v>413</v>
      </c>
      <c r="G13360">
        <v>10766</v>
      </c>
      <c r="H13360">
        <v>10766</v>
      </c>
      <c r="I13360">
        <v>8891</v>
      </c>
      <c r="J13360">
        <v>8891</v>
      </c>
      <c r="K13360">
        <v>3323</v>
      </c>
      <c r="L13360">
        <v>12</v>
      </c>
      <c r="M13360">
        <v>7268</v>
      </c>
      <c r="N13360">
        <v>163</v>
      </c>
      <c r="O13360">
        <v>0</v>
      </c>
      <c r="P13360">
        <v>212</v>
      </c>
      <c r="Q13360">
        <v>31</v>
      </c>
    </row>
    <row r="13361" spans="1:17" x14ac:dyDescent="0.2">
      <c r="A13361" s="121">
        <v>43646</v>
      </c>
      <c r="B13361" t="s">
        <v>406</v>
      </c>
      <c r="C13361" t="s">
        <v>562</v>
      </c>
      <c r="D13361" t="s">
        <v>569</v>
      </c>
      <c r="E13361" t="s">
        <v>570</v>
      </c>
      <c r="F13361" t="s">
        <v>413</v>
      </c>
      <c r="G13361">
        <v>4105</v>
      </c>
      <c r="H13361">
        <v>4105</v>
      </c>
      <c r="I13361">
        <v>3952</v>
      </c>
      <c r="J13361">
        <v>3952</v>
      </c>
      <c r="K13361">
        <v>553</v>
      </c>
      <c r="L13361">
        <v>0</v>
      </c>
      <c r="M13361">
        <v>3551</v>
      </c>
      <c r="N13361">
        <v>1</v>
      </c>
      <c r="O13361">
        <v>0</v>
      </c>
      <c r="P13361">
        <v>2</v>
      </c>
      <c r="Q13361">
        <v>0</v>
      </c>
    </row>
    <row r="13362" spans="1:17" x14ac:dyDescent="0.2">
      <c r="A13362" s="121">
        <v>43646</v>
      </c>
      <c r="B13362" t="s">
        <v>406</v>
      </c>
      <c r="C13362" t="s">
        <v>571</v>
      </c>
      <c r="D13362" t="s">
        <v>572</v>
      </c>
      <c r="E13362" t="s">
        <v>627</v>
      </c>
      <c r="F13362" t="s">
        <v>413</v>
      </c>
      <c r="G13362">
        <v>594</v>
      </c>
      <c r="H13362">
        <v>594</v>
      </c>
      <c r="I13362">
        <v>577</v>
      </c>
      <c r="J13362">
        <v>577</v>
      </c>
      <c r="K13362">
        <v>143</v>
      </c>
      <c r="L13362">
        <v>1</v>
      </c>
      <c r="M13362">
        <v>437</v>
      </c>
      <c r="N13362">
        <v>3</v>
      </c>
      <c r="O13362">
        <v>10</v>
      </c>
      <c r="P13362">
        <v>1</v>
      </c>
      <c r="Q13362">
        <v>0</v>
      </c>
    </row>
    <row r="13363" spans="1:17" x14ac:dyDescent="0.2">
      <c r="A13363" s="121">
        <v>43646</v>
      </c>
      <c r="B13363" t="s">
        <v>406</v>
      </c>
      <c r="C13363" t="s">
        <v>574</v>
      </c>
      <c r="D13363" t="s">
        <v>575</v>
      </c>
      <c r="E13363" t="s">
        <v>576</v>
      </c>
      <c r="F13363" t="s">
        <v>413</v>
      </c>
      <c r="G13363">
        <v>702</v>
      </c>
      <c r="H13363">
        <v>702</v>
      </c>
      <c r="I13363">
        <v>693</v>
      </c>
      <c r="J13363">
        <v>693</v>
      </c>
      <c r="K13363">
        <v>145</v>
      </c>
      <c r="L13363">
        <v>0</v>
      </c>
      <c r="M13363">
        <v>542</v>
      </c>
      <c r="N13363">
        <v>5</v>
      </c>
      <c r="O13363">
        <v>10</v>
      </c>
      <c r="P13363">
        <v>0</v>
      </c>
      <c r="Q13363">
        <v>0</v>
      </c>
    </row>
    <row r="13364" spans="1:17" x14ac:dyDescent="0.2">
      <c r="A13364" s="121">
        <v>43646</v>
      </c>
      <c r="B13364" t="s">
        <v>406</v>
      </c>
      <c r="C13364" t="s">
        <v>577</v>
      </c>
      <c r="D13364" t="s">
        <v>578</v>
      </c>
      <c r="E13364" t="s">
        <v>579</v>
      </c>
      <c r="F13364" t="s">
        <v>413</v>
      </c>
      <c r="G13364">
        <v>4525</v>
      </c>
      <c r="H13364">
        <v>4525</v>
      </c>
      <c r="I13364">
        <v>4203</v>
      </c>
      <c r="J13364">
        <v>4203</v>
      </c>
      <c r="K13364">
        <v>1431</v>
      </c>
      <c r="L13364">
        <v>7</v>
      </c>
      <c r="M13364">
        <v>2782</v>
      </c>
      <c r="N13364">
        <v>234</v>
      </c>
      <c r="O13364">
        <v>71</v>
      </c>
      <c r="P13364">
        <v>7</v>
      </c>
      <c r="Q13364">
        <v>0</v>
      </c>
    </row>
    <row r="13365" spans="1:17" x14ac:dyDescent="0.2">
      <c r="A13365" s="121">
        <v>43646</v>
      </c>
      <c r="B13365" t="s">
        <v>406</v>
      </c>
      <c r="C13365" t="s">
        <v>577</v>
      </c>
      <c r="D13365" t="s">
        <v>580</v>
      </c>
      <c r="E13365" t="s">
        <v>581</v>
      </c>
      <c r="F13365" t="s">
        <v>413</v>
      </c>
      <c r="G13365">
        <v>2450</v>
      </c>
      <c r="H13365">
        <v>2450</v>
      </c>
      <c r="I13365">
        <v>2307</v>
      </c>
      <c r="J13365">
        <v>2307</v>
      </c>
      <c r="K13365">
        <v>383</v>
      </c>
      <c r="L13365">
        <v>4</v>
      </c>
      <c r="M13365">
        <v>1692</v>
      </c>
      <c r="N13365">
        <v>333</v>
      </c>
      <c r="O13365">
        <v>38</v>
      </c>
      <c r="P13365">
        <v>2</v>
      </c>
      <c r="Q13365">
        <v>0</v>
      </c>
    </row>
    <row r="13366" spans="1:17" x14ac:dyDescent="0.2">
      <c r="A13366" s="121">
        <v>43646</v>
      </c>
      <c r="B13366" t="s">
        <v>406</v>
      </c>
      <c r="C13366" t="s">
        <v>577</v>
      </c>
      <c r="D13366" t="s">
        <v>609</v>
      </c>
      <c r="E13366" t="s">
        <v>610</v>
      </c>
      <c r="F13366" t="s">
        <v>410</v>
      </c>
      <c r="G13366">
        <v>24</v>
      </c>
      <c r="H13366">
        <v>24</v>
      </c>
      <c r="I13366">
        <v>24</v>
      </c>
      <c r="J13366">
        <v>24</v>
      </c>
      <c r="K13366">
        <v>0</v>
      </c>
      <c r="L13366">
        <v>0</v>
      </c>
      <c r="M13366">
        <v>21</v>
      </c>
      <c r="N13366">
        <v>1</v>
      </c>
      <c r="O13366">
        <v>2</v>
      </c>
      <c r="P13366">
        <v>0</v>
      </c>
      <c r="Q13366">
        <v>0</v>
      </c>
    </row>
    <row r="13367" spans="1:17" x14ac:dyDescent="0.2">
      <c r="A13367" s="121">
        <v>43646</v>
      </c>
      <c r="B13367" t="s">
        <v>406</v>
      </c>
      <c r="C13367" t="s">
        <v>577</v>
      </c>
      <c r="D13367" t="s">
        <v>584</v>
      </c>
      <c r="E13367" t="s">
        <v>585</v>
      </c>
      <c r="F13367" t="s">
        <v>410</v>
      </c>
      <c r="G13367">
        <v>302</v>
      </c>
      <c r="H13367">
        <v>302</v>
      </c>
      <c r="I13367">
        <v>302</v>
      </c>
      <c r="J13367">
        <v>302</v>
      </c>
      <c r="K13367">
        <v>0</v>
      </c>
      <c r="L13367">
        <v>0</v>
      </c>
      <c r="M13367">
        <v>283</v>
      </c>
      <c r="N13367">
        <v>18</v>
      </c>
      <c r="O13367">
        <v>1</v>
      </c>
      <c r="P13367">
        <v>0</v>
      </c>
      <c r="Q13367">
        <v>0</v>
      </c>
    </row>
    <row r="13368" spans="1:17" x14ac:dyDescent="0.2">
      <c r="A13368" s="121">
        <v>43646</v>
      </c>
      <c r="B13368" t="s">
        <v>406</v>
      </c>
      <c r="C13368" t="s">
        <v>577</v>
      </c>
      <c r="D13368" t="s">
        <v>586</v>
      </c>
      <c r="E13368" t="s">
        <v>587</v>
      </c>
      <c r="F13368" t="s">
        <v>410</v>
      </c>
      <c r="G13368">
        <v>1454</v>
      </c>
      <c r="H13368">
        <v>1454</v>
      </c>
      <c r="I13368">
        <v>1453</v>
      </c>
      <c r="J13368">
        <v>1453</v>
      </c>
      <c r="K13368">
        <v>0</v>
      </c>
      <c r="L13368">
        <v>0</v>
      </c>
      <c r="M13368">
        <v>1293</v>
      </c>
      <c r="N13368">
        <v>148</v>
      </c>
      <c r="O13368">
        <v>13</v>
      </c>
      <c r="P13368">
        <v>0</v>
      </c>
      <c r="Q13368">
        <v>0</v>
      </c>
    </row>
    <row r="13369" spans="1:17" x14ac:dyDescent="0.2">
      <c r="A13369" s="121">
        <v>43646</v>
      </c>
      <c r="B13369" t="s">
        <v>406</v>
      </c>
      <c r="C13369" t="s">
        <v>577</v>
      </c>
      <c r="D13369" t="s">
        <v>588</v>
      </c>
      <c r="E13369" t="s">
        <v>589</v>
      </c>
      <c r="F13369" t="s">
        <v>410</v>
      </c>
      <c r="G13369">
        <v>65</v>
      </c>
      <c r="H13369">
        <v>65</v>
      </c>
      <c r="I13369">
        <v>65</v>
      </c>
      <c r="J13369">
        <v>65</v>
      </c>
      <c r="K13369">
        <v>0</v>
      </c>
      <c r="L13369">
        <v>0</v>
      </c>
      <c r="M13369">
        <v>61</v>
      </c>
      <c r="N13369">
        <v>4</v>
      </c>
      <c r="O13369">
        <v>0</v>
      </c>
      <c r="P13369">
        <v>0</v>
      </c>
      <c r="Q13369">
        <v>0</v>
      </c>
    </row>
    <row r="13370" spans="1:17" x14ac:dyDescent="0.2">
      <c r="A13370" s="121">
        <v>43646</v>
      </c>
      <c r="B13370" t="s">
        <v>406</v>
      </c>
      <c r="C13370" t="s">
        <v>577</v>
      </c>
      <c r="D13370" t="s">
        <v>613</v>
      </c>
      <c r="E13370" t="s">
        <v>614</v>
      </c>
      <c r="F13370" t="s">
        <v>410</v>
      </c>
      <c r="G13370">
        <v>94</v>
      </c>
      <c r="H13370">
        <v>94</v>
      </c>
      <c r="I13370">
        <v>94</v>
      </c>
      <c r="J13370">
        <v>94</v>
      </c>
      <c r="K13370">
        <v>0</v>
      </c>
      <c r="L13370">
        <v>0</v>
      </c>
      <c r="M13370">
        <v>82</v>
      </c>
      <c r="N13370">
        <v>4</v>
      </c>
      <c r="O13370">
        <v>8</v>
      </c>
      <c r="P13370">
        <v>0</v>
      </c>
      <c r="Q13370">
        <v>0</v>
      </c>
    </row>
    <row r="13371" spans="1:17" x14ac:dyDescent="0.2">
      <c r="A13371" s="121">
        <v>43646</v>
      </c>
      <c r="B13371" t="s">
        <v>406</v>
      </c>
      <c r="C13371" t="s">
        <v>577</v>
      </c>
      <c r="D13371" t="s">
        <v>590</v>
      </c>
      <c r="E13371" t="s">
        <v>591</v>
      </c>
      <c r="F13371" t="s">
        <v>410</v>
      </c>
      <c r="G13371">
        <v>582</v>
      </c>
      <c r="H13371">
        <v>582</v>
      </c>
      <c r="I13371">
        <v>582</v>
      </c>
      <c r="J13371">
        <v>582</v>
      </c>
      <c r="K13371">
        <v>0</v>
      </c>
      <c r="L13371">
        <v>0</v>
      </c>
      <c r="M13371">
        <v>549</v>
      </c>
      <c r="N13371">
        <v>33</v>
      </c>
      <c r="O13371">
        <v>0</v>
      </c>
      <c r="P13371">
        <v>0</v>
      </c>
      <c r="Q13371">
        <v>0</v>
      </c>
    </row>
    <row r="13372" spans="1:17" x14ac:dyDescent="0.2">
      <c r="A13372" s="121">
        <v>43646</v>
      </c>
      <c r="B13372" t="s">
        <v>406</v>
      </c>
      <c r="C13372" t="s">
        <v>577</v>
      </c>
      <c r="D13372" t="s">
        <v>607</v>
      </c>
      <c r="E13372" t="s">
        <v>608</v>
      </c>
      <c r="F13372" t="s">
        <v>410</v>
      </c>
      <c r="G13372">
        <v>178</v>
      </c>
      <c r="H13372">
        <v>178</v>
      </c>
      <c r="I13372">
        <v>178</v>
      </c>
      <c r="J13372">
        <v>178</v>
      </c>
      <c r="K13372">
        <v>0</v>
      </c>
      <c r="L13372">
        <v>0</v>
      </c>
      <c r="M13372">
        <v>165</v>
      </c>
      <c r="N13372">
        <v>13</v>
      </c>
      <c r="O13372">
        <v>0</v>
      </c>
      <c r="P13372">
        <v>0</v>
      </c>
      <c r="Q13372">
        <v>0</v>
      </c>
    </row>
    <row r="13373" spans="1:17" x14ac:dyDescent="0.2">
      <c r="A13373" s="121">
        <v>43646</v>
      </c>
      <c r="B13373" t="s">
        <v>406</v>
      </c>
      <c r="C13373" t="s">
        <v>577</v>
      </c>
      <c r="D13373" t="s">
        <v>592</v>
      </c>
      <c r="E13373" t="s">
        <v>593</v>
      </c>
      <c r="F13373" t="s">
        <v>410</v>
      </c>
      <c r="G13373">
        <v>207</v>
      </c>
      <c r="H13373">
        <v>207</v>
      </c>
      <c r="I13373">
        <v>207</v>
      </c>
      <c r="J13373">
        <v>207</v>
      </c>
      <c r="K13373">
        <v>0</v>
      </c>
      <c r="L13373">
        <v>0</v>
      </c>
      <c r="M13373">
        <v>187</v>
      </c>
      <c r="N13373">
        <v>20</v>
      </c>
      <c r="O13373">
        <v>0</v>
      </c>
      <c r="P13373">
        <v>0</v>
      </c>
      <c r="Q13373">
        <v>0</v>
      </c>
    </row>
    <row r="13374" spans="1:17" x14ac:dyDescent="0.2">
      <c r="A13374" s="121">
        <v>43646</v>
      </c>
      <c r="B13374" t="s">
        <v>406</v>
      </c>
      <c r="C13374" t="s">
        <v>594</v>
      </c>
      <c r="D13374" t="s">
        <v>595</v>
      </c>
      <c r="E13374" t="s">
        <v>596</v>
      </c>
      <c r="F13374" t="s">
        <v>410</v>
      </c>
      <c r="G13374">
        <v>80</v>
      </c>
      <c r="I13374">
        <v>80</v>
      </c>
    </row>
    <row r="13375" spans="1:17" x14ac:dyDescent="0.2">
      <c r="A13375" s="121">
        <v>43646</v>
      </c>
      <c r="B13375" t="s">
        <v>406</v>
      </c>
      <c r="C13375" t="s">
        <v>594</v>
      </c>
      <c r="D13375" t="s">
        <v>597</v>
      </c>
      <c r="E13375" t="s">
        <v>598</v>
      </c>
      <c r="F13375" t="s">
        <v>413</v>
      </c>
      <c r="G13375">
        <v>597</v>
      </c>
      <c r="H13375">
        <v>597</v>
      </c>
      <c r="I13375">
        <v>580</v>
      </c>
      <c r="J13375">
        <v>580</v>
      </c>
      <c r="K13375">
        <v>154</v>
      </c>
      <c r="L13375">
        <v>0</v>
      </c>
      <c r="M13375">
        <v>415</v>
      </c>
      <c r="N13375">
        <v>7</v>
      </c>
      <c r="O13375">
        <v>21</v>
      </c>
      <c r="P13375">
        <v>0</v>
      </c>
      <c r="Q13375">
        <v>0</v>
      </c>
    </row>
    <row r="13376" spans="1:17" x14ac:dyDescent="0.2">
      <c r="A13376" s="121">
        <v>43646</v>
      </c>
      <c r="B13376" t="s">
        <v>406</v>
      </c>
      <c r="C13376" t="s">
        <v>594</v>
      </c>
      <c r="D13376" t="s">
        <v>599</v>
      </c>
      <c r="E13376" t="s">
        <v>600</v>
      </c>
      <c r="F13376" t="s">
        <v>410</v>
      </c>
      <c r="G13376">
        <v>175</v>
      </c>
      <c r="H13376">
        <v>175</v>
      </c>
      <c r="I13376">
        <v>175</v>
      </c>
      <c r="J13376">
        <v>175</v>
      </c>
      <c r="K13376">
        <v>13</v>
      </c>
      <c r="L13376">
        <v>0</v>
      </c>
      <c r="M13376">
        <v>162</v>
      </c>
      <c r="N13376">
        <v>0</v>
      </c>
      <c r="O13376">
        <v>0</v>
      </c>
      <c r="P13376">
        <v>0</v>
      </c>
      <c r="Q13376">
        <v>0</v>
      </c>
    </row>
    <row r="13377" spans="1:17" x14ac:dyDescent="0.2">
      <c r="A13377" s="121">
        <v>43677</v>
      </c>
      <c r="B13377" t="s">
        <v>406</v>
      </c>
      <c r="C13377" t="s">
        <v>407</v>
      </c>
      <c r="D13377" t="s">
        <v>408</v>
      </c>
      <c r="E13377" t="s">
        <v>409</v>
      </c>
      <c r="F13377" t="s">
        <v>410</v>
      </c>
      <c r="G13377">
        <v>341</v>
      </c>
      <c r="I13377">
        <v>334</v>
      </c>
    </row>
    <row r="13378" spans="1:17" x14ac:dyDescent="0.2">
      <c r="A13378" s="121">
        <v>43677</v>
      </c>
      <c r="B13378" t="s">
        <v>406</v>
      </c>
      <c r="C13378" t="s">
        <v>407</v>
      </c>
      <c r="D13378" t="s">
        <v>601</v>
      </c>
      <c r="E13378" t="s">
        <v>602</v>
      </c>
      <c r="F13378" t="s">
        <v>410</v>
      </c>
      <c r="G13378">
        <v>92</v>
      </c>
      <c r="I13378">
        <v>90</v>
      </c>
    </row>
    <row r="13379" spans="1:17" x14ac:dyDescent="0.2">
      <c r="A13379" s="121">
        <v>43677</v>
      </c>
      <c r="B13379" t="s">
        <v>406</v>
      </c>
      <c r="C13379" t="s">
        <v>407</v>
      </c>
      <c r="D13379" t="s">
        <v>411</v>
      </c>
      <c r="E13379" t="s">
        <v>412</v>
      </c>
      <c r="F13379" t="s">
        <v>413</v>
      </c>
      <c r="G13379">
        <v>6310</v>
      </c>
      <c r="H13379">
        <v>6310</v>
      </c>
      <c r="I13379">
        <v>5777</v>
      </c>
      <c r="J13379">
        <v>5777</v>
      </c>
      <c r="K13379">
        <v>1871</v>
      </c>
      <c r="L13379">
        <v>13</v>
      </c>
      <c r="M13379">
        <v>3989</v>
      </c>
      <c r="N13379">
        <v>53</v>
      </c>
      <c r="O13379">
        <v>384</v>
      </c>
      <c r="P13379">
        <v>172</v>
      </c>
      <c r="Q13379">
        <v>67</v>
      </c>
    </row>
    <row r="13380" spans="1:17" x14ac:dyDescent="0.2">
      <c r="A13380" s="121">
        <v>43677</v>
      </c>
      <c r="B13380" t="s">
        <v>406</v>
      </c>
      <c r="C13380" t="s">
        <v>407</v>
      </c>
      <c r="D13380" t="s">
        <v>416</v>
      </c>
      <c r="E13380" t="s">
        <v>417</v>
      </c>
      <c r="F13380" t="s">
        <v>413</v>
      </c>
      <c r="G13380">
        <v>3579</v>
      </c>
      <c r="H13380">
        <v>3579</v>
      </c>
      <c r="I13380">
        <v>2935</v>
      </c>
      <c r="J13380">
        <v>2935</v>
      </c>
      <c r="K13380">
        <v>918</v>
      </c>
      <c r="L13380">
        <v>3</v>
      </c>
      <c r="M13380">
        <v>2479</v>
      </c>
      <c r="N13380">
        <v>111</v>
      </c>
      <c r="O13380">
        <v>68</v>
      </c>
      <c r="P13380">
        <v>196</v>
      </c>
      <c r="Q13380">
        <v>71</v>
      </c>
    </row>
    <row r="13381" spans="1:17" x14ac:dyDescent="0.2">
      <c r="A13381" s="121">
        <v>43677</v>
      </c>
      <c r="B13381" t="s">
        <v>406</v>
      </c>
      <c r="C13381" t="s">
        <v>407</v>
      </c>
      <c r="D13381" t="s">
        <v>618</v>
      </c>
      <c r="E13381" t="s">
        <v>619</v>
      </c>
      <c r="F13381" t="s">
        <v>410</v>
      </c>
      <c r="G13381">
        <v>126</v>
      </c>
      <c r="I13381">
        <v>126</v>
      </c>
    </row>
    <row r="13382" spans="1:17" x14ac:dyDescent="0.2">
      <c r="A13382" s="121">
        <v>43677</v>
      </c>
      <c r="B13382" t="s">
        <v>406</v>
      </c>
      <c r="C13382" t="s">
        <v>418</v>
      </c>
      <c r="D13382" t="s">
        <v>419</v>
      </c>
      <c r="E13382" t="s">
        <v>420</v>
      </c>
      <c r="F13382" t="s">
        <v>410</v>
      </c>
      <c r="G13382">
        <v>17</v>
      </c>
      <c r="I13382">
        <v>17</v>
      </c>
    </row>
    <row r="13383" spans="1:17" x14ac:dyDescent="0.2">
      <c r="A13383" s="121">
        <v>43677</v>
      </c>
      <c r="B13383" t="s">
        <v>406</v>
      </c>
      <c r="C13383" t="s">
        <v>418</v>
      </c>
      <c r="D13383" t="s">
        <v>421</v>
      </c>
      <c r="E13383" t="s">
        <v>422</v>
      </c>
      <c r="F13383" t="s">
        <v>410</v>
      </c>
      <c r="G13383">
        <v>125</v>
      </c>
      <c r="I13383">
        <v>125</v>
      </c>
    </row>
    <row r="13384" spans="1:17" x14ac:dyDescent="0.2">
      <c r="A13384" s="121">
        <v>43677</v>
      </c>
      <c r="B13384" t="s">
        <v>406</v>
      </c>
      <c r="C13384" t="s">
        <v>418</v>
      </c>
      <c r="D13384" t="s">
        <v>423</v>
      </c>
      <c r="E13384" t="s">
        <v>424</v>
      </c>
      <c r="F13384" t="s">
        <v>410</v>
      </c>
      <c r="G13384">
        <v>6</v>
      </c>
      <c r="I13384">
        <v>6</v>
      </c>
    </row>
    <row r="13385" spans="1:17" x14ac:dyDescent="0.2">
      <c r="A13385" s="121">
        <v>43677</v>
      </c>
      <c r="B13385" t="s">
        <v>406</v>
      </c>
      <c r="C13385" t="s">
        <v>418</v>
      </c>
      <c r="D13385" t="s">
        <v>425</v>
      </c>
      <c r="E13385" t="s">
        <v>426</v>
      </c>
      <c r="F13385" t="s">
        <v>410</v>
      </c>
      <c r="G13385">
        <v>61</v>
      </c>
      <c r="I13385">
        <v>61</v>
      </c>
    </row>
    <row r="13386" spans="1:17" x14ac:dyDescent="0.2">
      <c r="A13386" s="121">
        <v>43677</v>
      </c>
      <c r="B13386" t="s">
        <v>406</v>
      </c>
      <c r="C13386" t="s">
        <v>418</v>
      </c>
      <c r="D13386" t="s">
        <v>427</v>
      </c>
      <c r="E13386" t="s">
        <v>428</v>
      </c>
      <c r="F13386" t="s">
        <v>413</v>
      </c>
      <c r="G13386">
        <v>2895</v>
      </c>
      <c r="H13386">
        <v>2895</v>
      </c>
      <c r="I13386">
        <v>2641</v>
      </c>
      <c r="J13386">
        <v>2641</v>
      </c>
      <c r="K13386">
        <v>856</v>
      </c>
      <c r="L13386">
        <v>2</v>
      </c>
      <c r="M13386">
        <v>1837</v>
      </c>
      <c r="N13386">
        <v>184</v>
      </c>
      <c r="O13386">
        <v>16</v>
      </c>
      <c r="P13386">
        <v>31</v>
      </c>
      <c r="Q13386">
        <v>5</v>
      </c>
    </row>
    <row r="13387" spans="1:17" x14ac:dyDescent="0.2">
      <c r="A13387" s="121">
        <v>43677</v>
      </c>
      <c r="B13387" t="s">
        <v>406</v>
      </c>
      <c r="C13387" t="s">
        <v>429</v>
      </c>
      <c r="D13387" t="s">
        <v>430</v>
      </c>
      <c r="E13387" t="s">
        <v>431</v>
      </c>
      <c r="F13387" t="s">
        <v>410</v>
      </c>
      <c r="G13387">
        <v>31</v>
      </c>
      <c r="I13387">
        <v>31</v>
      </c>
    </row>
    <row r="13388" spans="1:17" x14ac:dyDescent="0.2">
      <c r="A13388" s="121">
        <v>43677</v>
      </c>
      <c r="B13388" t="s">
        <v>406</v>
      </c>
      <c r="C13388" t="s">
        <v>429</v>
      </c>
      <c r="D13388" t="s">
        <v>432</v>
      </c>
      <c r="E13388" t="s">
        <v>433</v>
      </c>
      <c r="F13388" t="s">
        <v>410</v>
      </c>
      <c r="G13388">
        <v>67</v>
      </c>
      <c r="I13388">
        <v>67</v>
      </c>
    </row>
    <row r="13389" spans="1:17" x14ac:dyDescent="0.2">
      <c r="A13389" s="121">
        <v>43677</v>
      </c>
      <c r="B13389" t="s">
        <v>406</v>
      </c>
      <c r="C13389" t="s">
        <v>429</v>
      </c>
      <c r="D13389" t="s">
        <v>434</v>
      </c>
      <c r="E13389" t="s">
        <v>435</v>
      </c>
      <c r="F13389" t="s">
        <v>410</v>
      </c>
      <c r="G13389">
        <v>4</v>
      </c>
      <c r="I13389">
        <v>4</v>
      </c>
    </row>
    <row r="13390" spans="1:17" x14ac:dyDescent="0.2">
      <c r="A13390" s="121">
        <v>43677</v>
      </c>
      <c r="B13390" t="s">
        <v>406</v>
      </c>
      <c r="C13390" t="s">
        <v>429</v>
      </c>
      <c r="D13390" t="s">
        <v>436</v>
      </c>
      <c r="E13390" t="s">
        <v>437</v>
      </c>
      <c r="F13390" t="s">
        <v>410</v>
      </c>
      <c r="G13390">
        <v>9</v>
      </c>
      <c r="H13390">
        <v>9</v>
      </c>
      <c r="I13390">
        <v>8</v>
      </c>
      <c r="J13390">
        <v>8</v>
      </c>
      <c r="K13390">
        <v>0</v>
      </c>
      <c r="L13390">
        <v>0</v>
      </c>
      <c r="M13390">
        <v>6</v>
      </c>
      <c r="N13390">
        <v>2</v>
      </c>
      <c r="O13390">
        <v>1</v>
      </c>
      <c r="P13390">
        <v>1</v>
      </c>
      <c r="Q13390">
        <v>1</v>
      </c>
    </row>
    <row r="13391" spans="1:17" x14ac:dyDescent="0.2">
      <c r="A13391" s="121">
        <v>43677</v>
      </c>
      <c r="B13391" t="s">
        <v>406</v>
      </c>
      <c r="C13391" t="s">
        <v>429</v>
      </c>
      <c r="D13391" t="s">
        <v>438</v>
      </c>
      <c r="E13391" t="s">
        <v>439</v>
      </c>
      <c r="F13391" t="s">
        <v>413</v>
      </c>
      <c r="G13391">
        <v>1214</v>
      </c>
      <c r="H13391">
        <v>1214</v>
      </c>
      <c r="I13391">
        <v>1121</v>
      </c>
      <c r="J13391">
        <v>1121</v>
      </c>
      <c r="K13391">
        <v>81</v>
      </c>
      <c r="L13391">
        <v>1</v>
      </c>
      <c r="M13391">
        <v>1020</v>
      </c>
      <c r="N13391">
        <v>72</v>
      </c>
      <c r="O13391">
        <v>40</v>
      </c>
      <c r="P13391">
        <v>12</v>
      </c>
      <c r="Q13391">
        <v>0</v>
      </c>
    </row>
    <row r="13392" spans="1:17" x14ac:dyDescent="0.2">
      <c r="A13392" s="121">
        <v>43677</v>
      </c>
      <c r="B13392" t="s">
        <v>406</v>
      </c>
      <c r="C13392" t="s">
        <v>429</v>
      </c>
      <c r="D13392" t="s">
        <v>440</v>
      </c>
      <c r="E13392" t="s">
        <v>441</v>
      </c>
      <c r="F13392" t="s">
        <v>413</v>
      </c>
      <c r="G13392">
        <v>3167</v>
      </c>
      <c r="H13392">
        <v>3167</v>
      </c>
      <c r="I13392">
        <v>2819</v>
      </c>
      <c r="J13392">
        <v>2819</v>
      </c>
      <c r="K13392">
        <v>794</v>
      </c>
      <c r="L13392">
        <v>2</v>
      </c>
      <c r="M13392">
        <v>2247</v>
      </c>
      <c r="N13392">
        <v>85</v>
      </c>
      <c r="O13392">
        <v>39</v>
      </c>
      <c r="P13392">
        <v>56</v>
      </c>
      <c r="Q13392">
        <v>7</v>
      </c>
    </row>
    <row r="13393" spans="1:17" x14ac:dyDescent="0.2">
      <c r="A13393" s="121">
        <v>43677</v>
      </c>
      <c r="B13393" t="s">
        <v>406</v>
      </c>
      <c r="C13393" t="s">
        <v>442</v>
      </c>
      <c r="D13393" t="s">
        <v>443</v>
      </c>
      <c r="E13393" t="s">
        <v>444</v>
      </c>
      <c r="F13393" t="s">
        <v>413</v>
      </c>
      <c r="G13393">
        <v>5968</v>
      </c>
      <c r="H13393">
        <v>5968</v>
      </c>
      <c r="I13393">
        <v>5565</v>
      </c>
      <c r="J13393">
        <v>5565</v>
      </c>
      <c r="K13393">
        <v>1727</v>
      </c>
      <c r="L13393">
        <v>6</v>
      </c>
      <c r="M13393">
        <v>4026</v>
      </c>
      <c r="N13393">
        <v>135</v>
      </c>
      <c r="O13393">
        <v>74</v>
      </c>
      <c r="P13393">
        <v>1</v>
      </c>
      <c r="Q13393">
        <v>0</v>
      </c>
    </row>
    <row r="13394" spans="1:17" x14ac:dyDescent="0.2">
      <c r="A13394" s="121">
        <v>43677</v>
      </c>
      <c r="B13394" t="s">
        <v>406</v>
      </c>
      <c r="C13394" t="s">
        <v>442</v>
      </c>
      <c r="D13394" t="s">
        <v>445</v>
      </c>
      <c r="E13394" t="s">
        <v>446</v>
      </c>
      <c r="F13394" t="s">
        <v>410</v>
      </c>
      <c r="G13394">
        <v>227</v>
      </c>
      <c r="H13394">
        <v>227</v>
      </c>
      <c r="I13394">
        <v>226</v>
      </c>
      <c r="J13394">
        <v>226</v>
      </c>
      <c r="K13394">
        <v>0</v>
      </c>
      <c r="L13394">
        <v>0</v>
      </c>
      <c r="M13394">
        <v>221</v>
      </c>
      <c r="N13394">
        <v>3</v>
      </c>
      <c r="O13394">
        <v>3</v>
      </c>
      <c r="P13394">
        <v>0</v>
      </c>
      <c r="Q13394">
        <v>0</v>
      </c>
    </row>
    <row r="13395" spans="1:17" x14ac:dyDescent="0.2">
      <c r="A13395" s="121">
        <v>43677</v>
      </c>
      <c r="B13395" t="s">
        <v>406</v>
      </c>
      <c r="C13395" t="s">
        <v>442</v>
      </c>
      <c r="D13395" t="s">
        <v>447</v>
      </c>
      <c r="E13395" t="s">
        <v>448</v>
      </c>
      <c r="F13395" t="s">
        <v>410</v>
      </c>
      <c r="G13395">
        <v>338</v>
      </c>
      <c r="H13395">
        <v>338</v>
      </c>
      <c r="I13395">
        <v>338</v>
      </c>
      <c r="J13395">
        <v>338</v>
      </c>
      <c r="K13395">
        <v>1</v>
      </c>
      <c r="L13395">
        <v>0</v>
      </c>
      <c r="M13395">
        <v>324</v>
      </c>
      <c r="N13395">
        <v>12</v>
      </c>
      <c r="O13395">
        <v>1</v>
      </c>
      <c r="P13395">
        <v>0</v>
      </c>
      <c r="Q13395">
        <v>0</v>
      </c>
    </row>
    <row r="13396" spans="1:17" x14ac:dyDescent="0.2">
      <c r="A13396" s="121">
        <v>43677</v>
      </c>
      <c r="B13396" t="s">
        <v>406</v>
      </c>
      <c r="C13396" t="s">
        <v>442</v>
      </c>
      <c r="D13396" t="s">
        <v>449</v>
      </c>
      <c r="E13396" t="s">
        <v>624</v>
      </c>
      <c r="F13396" t="s">
        <v>410</v>
      </c>
      <c r="G13396">
        <v>1905</v>
      </c>
      <c r="H13396">
        <v>1905</v>
      </c>
      <c r="I13396">
        <v>1898</v>
      </c>
      <c r="J13396">
        <v>1898</v>
      </c>
      <c r="K13396">
        <v>23</v>
      </c>
      <c r="L13396">
        <v>0</v>
      </c>
      <c r="M13396">
        <v>1734</v>
      </c>
      <c r="N13396">
        <v>115</v>
      </c>
      <c r="O13396">
        <v>33</v>
      </c>
      <c r="P13396">
        <v>0</v>
      </c>
      <c r="Q13396">
        <v>0</v>
      </c>
    </row>
    <row r="13397" spans="1:17" x14ac:dyDescent="0.2">
      <c r="A13397" s="121">
        <v>43677</v>
      </c>
      <c r="B13397" t="s">
        <v>406</v>
      </c>
      <c r="C13397" t="s">
        <v>451</v>
      </c>
      <c r="D13397" t="s">
        <v>454</v>
      </c>
      <c r="E13397" t="s">
        <v>621</v>
      </c>
      <c r="F13397" t="s">
        <v>410</v>
      </c>
      <c r="G13397">
        <v>1908</v>
      </c>
      <c r="H13397">
        <v>1908</v>
      </c>
      <c r="I13397">
        <v>1894</v>
      </c>
      <c r="J13397">
        <v>1894</v>
      </c>
      <c r="K13397">
        <v>14</v>
      </c>
      <c r="L13397">
        <v>0</v>
      </c>
      <c r="M13397">
        <v>1713</v>
      </c>
      <c r="N13397">
        <v>17</v>
      </c>
      <c r="O13397">
        <v>164</v>
      </c>
      <c r="P13397">
        <v>0</v>
      </c>
      <c r="Q13397">
        <v>0</v>
      </c>
    </row>
    <row r="13398" spans="1:17" x14ac:dyDescent="0.2">
      <c r="A13398" s="121">
        <v>43677</v>
      </c>
      <c r="B13398" t="s">
        <v>406</v>
      </c>
      <c r="C13398" t="s">
        <v>451</v>
      </c>
      <c r="D13398" t="s">
        <v>622</v>
      </c>
      <c r="E13398" t="s">
        <v>623</v>
      </c>
      <c r="F13398" t="s">
        <v>413</v>
      </c>
      <c r="G13398">
        <v>5846</v>
      </c>
      <c r="H13398">
        <v>5846</v>
      </c>
      <c r="I13398">
        <v>5111</v>
      </c>
      <c r="J13398">
        <v>5111</v>
      </c>
      <c r="K13398">
        <v>1588</v>
      </c>
      <c r="L13398">
        <v>12</v>
      </c>
      <c r="M13398">
        <v>3929</v>
      </c>
      <c r="N13398">
        <v>28</v>
      </c>
      <c r="O13398">
        <v>289</v>
      </c>
      <c r="P13398">
        <v>12</v>
      </c>
      <c r="Q13398">
        <v>1</v>
      </c>
    </row>
    <row r="13399" spans="1:17" x14ac:dyDescent="0.2">
      <c r="A13399" s="121">
        <v>43677</v>
      </c>
      <c r="B13399" t="s">
        <v>406</v>
      </c>
      <c r="C13399" t="s">
        <v>456</v>
      </c>
      <c r="D13399" t="s">
        <v>457</v>
      </c>
      <c r="E13399" t="s">
        <v>458</v>
      </c>
      <c r="F13399" t="s">
        <v>413</v>
      </c>
      <c r="G13399">
        <v>5588</v>
      </c>
      <c r="H13399">
        <v>5588</v>
      </c>
      <c r="I13399">
        <v>4874</v>
      </c>
      <c r="J13399">
        <v>4874</v>
      </c>
      <c r="K13399">
        <v>1439</v>
      </c>
      <c r="L13399">
        <v>9</v>
      </c>
      <c r="M13399">
        <v>3636</v>
      </c>
      <c r="N13399">
        <v>18</v>
      </c>
      <c r="O13399">
        <v>486</v>
      </c>
      <c r="P13399">
        <v>31</v>
      </c>
      <c r="Q13399">
        <v>2</v>
      </c>
    </row>
    <row r="13400" spans="1:17" x14ac:dyDescent="0.2">
      <c r="A13400" s="121">
        <v>43677</v>
      </c>
      <c r="B13400" t="s">
        <v>406</v>
      </c>
      <c r="C13400" t="s">
        <v>456</v>
      </c>
      <c r="D13400" t="s">
        <v>459</v>
      </c>
      <c r="E13400" t="s">
        <v>460</v>
      </c>
      <c r="F13400" t="s">
        <v>413</v>
      </c>
      <c r="G13400">
        <v>1300</v>
      </c>
      <c r="H13400">
        <v>1300</v>
      </c>
      <c r="I13400">
        <v>1292</v>
      </c>
      <c r="J13400">
        <v>1292</v>
      </c>
      <c r="K13400">
        <v>118</v>
      </c>
      <c r="L13400">
        <v>0</v>
      </c>
      <c r="M13400">
        <v>1136</v>
      </c>
      <c r="N13400">
        <v>0</v>
      </c>
      <c r="O13400">
        <v>46</v>
      </c>
      <c r="P13400">
        <v>0</v>
      </c>
      <c r="Q13400">
        <v>0</v>
      </c>
    </row>
    <row r="13401" spans="1:17" x14ac:dyDescent="0.2">
      <c r="A13401" s="121">
        <v>43677</v>
      </c>
      <c r="B13401" t="s">
        <v>406</v>
      </c>
      <c r="C13401" t="s">
        <v>456</v>
      </c>
      <c r="D13401" t="s">
        <v>461</v>
      </c>
      <c r="E13401" t="s">
        <v>462</v>
      </c>
      <c r="F13401" t="s">
        <v>410</v>
      </c>
      <c r="G13401">
        <v>141</v>
      </c>
      <c r="I13401">
        <v>141</v>
      </c>
    </row>
    <row r="13402" spans="1:17" x14ac:dyDescent="0.2">
      <c r="A13402" s="121">
        <v>43677</v>
      </c>
      <c r="B13402" t="s">
        <v>406</v>
      </c>
      <c r="C13402" t="s">
        <v>456</v>
      </c>
      <c r="D13402" t="s">
        <v>465</v>
      </c>
      <c r="E13402" t="s">
        <v>466</v>
      </c>
      <c r="F13402" t="s">
        <v>410</v>
      </c>
      <c r="G13402">
        <v>41</v>
      </c>
      <c r="I13402">
        <v>41</v>
      </c>
    </row>
    <row r="13403" spans="1:17" x14ac:dyDescent="0.2">
      <c r="A13403" s="121">
        <v>43677</v>
      </c>
      <c r="B13403" t="s">
        <v>406</v>
      </c>
      <c r="C13403" t="s">
        <v>456</v>
      </c>
      <c r="D13403" t="s">
        <v>467</v>
      </c>
      <c r="E13403" t="s">
        <v>468</v>
      </c>
      <c r="F13403" t="s">
        <v>410</v>
      </c>
      <c r="G13403">
        <v>1320</v>
      </c>
      <c r="I13403">
        <v>1319</v>
      </c>
    </row>
    <row r="13404" spans="1:17" x14ac:dyDescent="0.2">
      <c r="A13404" s="121">
        <v>43677</v>
      </c>
      <c r="B13404" t="s">
        <v>406</v>
      </c>
      <c r="C13404" t="s">
        <v>456</v>
      </c>
      <c r="D13404" t="s">
        <v>469</v>
      </c>
      <c r="E13404" t="s">
        <v>470</v>
      </c>
      <c r="F13404" t="s">
        <v>410</v>
      </c>
      <c r="G13404">
        <v>648</v>
      </c>
      <c r="I13404">
        <v>641</v>
      </c>
    </row>
    <row r="13405" spans="1:17" x14ac:dyDescent="0.2">
      <c r="A13405" s="121">
        <v>43677</v>
      </c>
      <c r="B13405" t="s">
        <v>406</v>
      </c>
      <c r="C13405" t="s">
        <v>456</v>
      </c>
      <c r="D13405" t="s">
        <v>471</v>
      </c>
      <c r="E13405" t="s">
        <v>472</v>
      </c>
      <c r="F13405" t="s">
        <v>410</v>
      </c>
      <c r="G13405">
        <v>295</v>
      </c>
      <c r="I13405">
        <v>291</v>
      </c>
    </row>
    <row r="13406" spans="1:17" x14ac:dyDescent="0.2">
      <c r="A13406" s="121">
        <v>43677</v>
      </c>
      <c r="B13406" t="s">
        <v>406</v>
      </c>
      <c r="C13406" t="s">
        <v>456</v>
      </c>
      <c r="D13406" t="s">
        <v>473</v>
      </c>
      <c r="E13406" t="s">
        <v>474</v>
      </c>
      <c r="F13406" t="s">
        <v>410</v>
      </c>
      <c r="G13406">
        <v>134</v>
      </c>
      <c r="I13406">
        <v>134</v>
      </c>
    </row>
    <row r="13407" spans="1:17" x14ac:dyDescent="0.2">
      <c r="A13407" s="121">
        <v>43677</v>
      </c>
      <c r="B13407" t="s">
        <v>406</v>
      </c>
      <c r="C13407" t="s">
        <v>456</v>
      </c>
      <c r="D13407" t="s">
        <v>475</v>
      </c>
      <c r="E13407" t="s">
        <v>476</v>
      </c>
      <c r="F13407" t="s">
        <v>410</v>
      </c>
      <c r="G13407">
        <v>315</v>
      </c>
      <c r="I13407">
        <v>299</v>
      </c>
    </row>
    <row r="13408" spans="1:17" x14ac:dyDescent="0.2">
      <c r="A13408" s="121">
        <v>43677</v>
      </c>
      <c r="B13408" t="s">
        <v>406</v>
      </c>
      <c r="C13408" t="s">
        <v>456</v>
      </c>
      <c r="D13408" t="s">
        <v>477</v>
      </c>
      <c r="E13408" t="s">
        <v>478</v>
      </c>
      <c r="F13408" t="s">
        <v>413</v>
      </c>
      <c r="G13408">
        <v>2431</v>
      </c>
      <c r="H13408">
        <v>2431</v>
      </c>
      <c r="I13408">
        <v>2350</v>
      </c>
      <c r="J13408">
        <v>2350</v>
      </c>
      <c r="K13408">
        <v>479</v>
      </c>
      <c r="L13408">
        <v>1</v>
      </c>
      <c r="M13408">
        <v>1930</v>
      </c>
      <c r="N13408">
        <v>21</v>
      </c>
      <c r="O13408">
        <v>0</v>
      </c>
      <c r="P13408">
        <v>3</v>
      </c>
      <c r="Q13408">
        <v>0</v>
      </c>
    </row>
    <row r="13409" spans="1:17" x14ac:dyDescent="0.2">
      <c r="A13409" s="121">
        <v>43677</v>
      </c>
      <c r="B13409" t="s">
        <v>406</v>
      </c>
      <c r="C13409" t="s">
        <v>456</v>
      </c>
      <c r="D13409" t="s">
        <v>479</v>
      </c>
      <c r="E13409" t="s">
        <v>480</v>
      </c>
      <c r="F13409" t="s">
        <v>410</v>
      </c>
      <c r="G13409">
        <v>45</v>
      </c>
      <c r="I13409">
        <v>45</v>
      </c>
    </row>
    <row r="13410" spans="1:17" x14ac:dyDescent="0.2">
      <c r="A13410" s="121">
        <v>43677</v>
      </c>
      <c r="B13410" t="s">
        <v>406</v>
      </c>
      <c r="C13410" t="s">
        <v>456</v>
      </c>
      <c r="D13410" t="s">
        <v>481</v>
      </c>
      <c r="E13410" t="s">
        <v>482</v>
      </c>
      <c r="F13410" t="s">
        <v>410</v>
      </c>
      <c r="G13410">
        <v>11</v>
      </c>
      <c r="I13410">
        <v>11</v>
      </c>
    </row>
    <row r="13411" spans="1:17" x14ac:dyDescent="0.2">
      <c r="A13411" s="121">
        <v>43677</v>
      </c>
      <c r="B13411" t="s">
        <v>406</v>
      </c>
      <c r="C13411" t="s">
        <v>456</v>
      </c>
      <c r="D13411" t="s">
        <v>483</v>
      </c>
      <c r="E13411" t="s">
        <v>484</v>
      </c>
      <c r="F13411" t="s">
        <v>410</v>
      </c>
      <c r="G13411">
        <v>85</v>
      </c>
      <c r="I13411">
        <v>85</v>
      </c>
    </row>
    <row r="13412" spans="1:17" x14ac:dyDescent="0.2">
      <c r="A13412" s="121">
        <v>43677</v>
      </c>
      <c r="B13412" t="s">
        <v>406</v>
      </c>
      <c r="C13412" t="s">
        <v>456</v>
      </c>
      <c r="D13412" t="s">
        <v>487</v>
      </c>
      <c r="E13412" t="s">
        <v>488</v>
      </c>
      <c r="F13412" t="s">
        <v>410</v>
      </c>
      <c r="G13412">
        <v>26</v>
      </c>
      <c r="I13412">
        <v>26</v>
      </c>
    </row>
    <row r="13413" spans="1:17" x14ac:dyDescent="0.2">
      <c r="A13413" s="121">
        <v>43677</v>
      </c>
      <c r="B13413" t="s">
        <v>406</v>
      </c>
      <c r="C13413" t="s">
        <v>456</v>
      </c>
      <c r="D13413" t="s">
        <v>489</v>
      </c>
      <c r="E13413" t="s">
        <v>490</v>
      </c>
      <c r="F13413" t="s">
        <v>410</v>
      </c>
      <c r="G13413">
        <v>81</v>
      </c>
      <c r="I13413">
        <v>81</v>
      </c>
    </row>
    <row r="13414" spans="1:17" x14ac:dyDescent="0.2">
      <c r="A13414" s="121">
        <v>43677</v>
      </c>
      <c r="B13414" t="s">
        <v>406</v>
      </c>
      <c r="C13414" t="s">
        <v>456</v>
      </c>
      <c r="D13414" t="s">
        <v>628</v>
      </c>
      <c r="E13414" t="s">
        <v>629</v>
      </c>
      <c r="F13414" t="s">
        <v>410</v>
      </c>
      <c r="G13414">
        <v>53</v>
      </c>
      <c r="I13414">
        <v>53</v>
      </c>
    </row>
    <row r="13415" spans="1:17" x14ac:dyDescent="0.2">
      <c r="A13415" s="121">
        <v>43677</v>
      </c>
      <c r="B13415" t="s">
        <v>406</v>
      </c>
      <c r="C13415" t="s">
        <v>491</v>
      </c>
      <c r="D13415" t="s">
        <v>492</v>
      </c>
      <c r="E13415" t="s">
        <v>493</v>
      </c>
      <c r="F13415" t="s">
        <v>410</v>
      </c>
      <c r="G13415">
        <v>1690</v>
      </c>
      <c r="H13415">
        <v>1690</v>
      </c>
      <c r="I13415">
        <v>1646</v>
      </c>
      <c r="J13415">
        <v>1646</v>
      </c>
      <c r="K13415">
        <v>201</v>
      </c>
      <c r="L13415">
        <v>1</v>
      </c>
      <c r="M13415">
        <v>1382</v>
      </c>
      <c r="N13415">
        <v>82</v>
      </c>
      <c r="O13415">
        <v>24</v>
      </c>
      <c r="P13415">
        <v>0</v>
      </c>
      <c r="Q13415">
        <v>0</v>
      </c>
    </row>
    <row r="13416" spans="1:17" x14ac:dyDescent="0.2">
      <c r="A13416" s="121">
        <v>43677</v>
      </c>
      <c r="B13416" t="s">
        <v>406</v>
      </c>
      <c r="C13416" t="s">
        <v>491</v>
      </c>
      <c r="D13416" t="s">
        <v>494</v>
      </c>
      <c r="E13416" t="s">
        <v>495</v>
      </c>
      <c r="F13416" t="s">
        <v>413</v>
      </c>
      <c r="G13416">
        <v>3014</v>
      </c>
      <c r="H13416">
        <v>3014</v>
      </c>
      <c r="I13416">
        <v>2721</v>
      </c>
      <c r="J13416">
        <v>2721</v>
      </c>
      <c r="K13416">
        <v>715</v>
      </c>
      <c r="L13416">
        <v>3</v>
      </c>
      <c r="M13416">
        <v>2147</v>
      </c>
      <c r="N13416">
        <v>47</v>
      </c>
      <c r="O13416">
        <v>102</v>
      </c>
      <c r="P13416">
        <v>16</v>
      </c>
      <c r="Q13416">
        <v>1</v>
      </c>
    </row>
    <row r="13417" spans="1:17" x14ac:dyDescent="0.2">
      <c r="A13417" s="121">
        <v>43677</v>
      </c>
      <c r="B13417" t="s">
        <v>406</v>
      </c>
      <c r="C13417" t="s">
        <v>491</v>
      </c>
      <c r="D13417" t="s">
        <v>496</v>
      </c>
      <c r="E13417" t="s">
        <v>497</v>
      </c>
      <c r="F13417" t="s">
        <v>413</v>
      </c>
      <c r="G13417">
        <v>5875</v>
      </c>
      <c r="H13417">
        <v>5875</v>
      </c>
      <c r="I13417">
        <v>5010</v>
      </c>
      <c r="J13417">
        <v>5010</v>
      </c>
      <c r="K13417">
        <v>1792</v>
      </c>
      <c r="L13417">
        <v>10</v>
      </c>
      <c r="M13417">
        <v>3804</v>
      </c>
      <c r="N13417">
        <v>109</v>
      </c>
      <c r="O13417">
        <v>160</v>
      </c>
      <c r="P13417">
        <v>66</v>
      </c>
      <c r="Q13417">
        <v>2</v>
      </c>
    </row>
    <row r="13418" spans="1:17" x14ac:dyDescent="0.2">
      <c r="A13418" s="121">
        <v>43677</v>
      </c>
      <c r="B13418" t="s">
        <v>406</v>
      </c>
      <c r="C13418" t="s">
        <v>491</v>
      </c>
      <c r="D13418" t="s">
        <v>498</v>
      </c>
      <c r="E13418" t="s">
        <v>499</v>
      </c>
      <c r="F13418" t="s">
        <v>413</v>
      </c>
      <c r="G13418">
        <v>8345</v>
      </c>
      <c r="H13418">
        <v>8345</v>
      </c>
      <c r="I13418">
        <v>6928</v>
      </c>
      <c r="J13418">
        <v>6928</v>
      </c>
      <c r="K13418">
        <v>2585</v>
      </c>
      <c r="L13418">
        <v>14</v>
      </c>
      <c r="M13418">
        <v>5157</v>
      </c>
      <c r="N13418">
        <v>91</v>
      </c>
      <c r="O13418">
        <v>498</v>
      </c>
      <c r="P13418">
        <v>31</v>
      </c>
      <c r="Q13418">
        <v>1</v>
      </c>
    </row>
    <row r="13419" spans="1:17" x14ac:dyDescent="0.2">
      <c r="A13419" s="121">
        <v>43677</v>
      </c>
      <c r="B13419" t="s">
        <v>406</v>
      </c>
      <c r="C13419" t="s">
        <v>491</v>
      </c>
      <c r="D13419" t="s">
        <v>500</v>
      </c>
      <c r="E13419" t="s">
        <v>620</v>
      </c>
      <c r="F13419" t="s">
        <v>410</v>
      </c>
      <c r="G13419">
        <v>1949</v>
      </c>
      <c r="H13419">
        <v>1949</v>
      </c>
      <c r="I13419">
        <v>1948</v>
      </c>
      <c r="J13419">
        <v>1948</v>
      </c>
      <c r="K13419">
        <v>1</v>
      </c>
      <c r="L13419">
        <v>0</v>
      </c>
      <c r="M13419">
        <v>1782</v>
      </c>
      <c r="N13419">
        <v>84</v>
      </c>
      <c r="O13419">
        <v>82</v>
      </c>
      <c r="P13419">
        <v>0</v>
      </c>
      <c r="Q13419">
        <v>0</v>
      </c>
    </row>
    <row r="13420" spans="1:17" x14ac:dyDescent="0.2">
      <c r="A13420" s="121">
        <v>43677</v>
      </c>
      <c r="B13420" t="s">
        <v>406</v>
      </c>
      <c r="C13420" t="s">
        <v>491</v>
      </c>
      <c r="D13420" t="s">
        <v>502</v>
      </c>
      <c r="E13420" t="s">
        <v>615</v>
      </c>
      <c r="F13420" t="s">
        <v>410</v>
      </c>
      <c r="G13420">
        <v>3111</v>
      </c>
      <c r="H13420">
        <v>3111</v>
      </c>
      <c r="I13420">
        <v>3110</v>
      </c>
      <c r="J13420">
        <v>3110</v>
      </c>
      <c r="K13420">
        <v>3</v>
      </c>
      <c r="L13420">
        <v>0</v>
      </c>
      <c r="M13420">
        <v>2795</v>
      </c>
      <c r="N13420">
        <v>217</v>
      </c>
      <c r="O13420">
        <v>96</v>
      </c>
      <c r="P13420">
        <v>0</v>
      </c>
      <c r="Q13420">
        <v>0</v>
      </c>
    </row>
    <row r="13421" spans="1:17" x14ac:dyDescent="0.2">
      <c r="A13421" s="121">
        <v>43677</v>
      </c>
      <c r="B13421" t="s">
        <v>406</v>
      </c>
      <c r="C13421" t="s">
        <v>491</v>
      </c>
      <c r="D13421" t="s">
        <v>504</v>
      </c>
      <c r="E13421" t="s">
        <v>630</v>
      </c>
      <c r="F13421" t="s">
        <v>413</v>
      </c>
      <c r="G13421">
        <v>9301</v>
      </c>
      <c r="H13421">
        <v>9301</v>
      </c>
      <c r="I13421">
        <v>7541</v>
      </c>
      <c r="J13421">
        <v>7541</v>
      </c>
      <c r="K13421">
        <v>2888</v>
      </c>
      <c r="L13421">
        <v>35</v>
      </c>
      <c r="M13421">
        <v>5933</v>
      </c>
      <c r="N13421">
        <v>49</v>
      </c>
      <c r="O13421">
        <v>396</v>
      </c>
      <c r="P13421">
        <v>68</v>
      </c>
      <c r="Q13421">
        <v>1</v>
      </c>
    </row>
    <row r="13422" spans="1:17" x14ac:dyDescent="0.2">
      <c r="A13422" s="121">
        <v>43677</v>
      </c>
      <c r="B13422" t="s">
        <v>406</v>
      </c>
      <c r="C13422" t="s">
        <v>491</v>
      </c>
      <c r="D13422" t="s">
        <v>506</v>
      </c>
      <c r="E13422" t="s">
        <v>507</v>
      </c>
      <c r="F13422" t="s">
        <v>413</v>
      </c>
      <c r="G13422">
        <v>4836</v>
      </c>
      <c r="H13422">
        <v>4836</v>
      </c>
      <c r="I13422">
        <v>4777</v>
      </c>
      <c r="J13422">
        <v>4777</v>
      </c>
      <c r="K13422">
        <v>949</v>
      </c>
      <c r="L13422">
        <v>2</v>
      </c>
      <c r="M13422">
        <v>3869</v>
      </c>
      <c r="N13422">
        <v>3</v>
      </c>
      <c r="O13422">
        <v>13</v>
      </c>
      <c r="P13422">
        <v>0</v>
      </c>
      <c r="Q13422">
        <v>0</v>
      </c>
    </row>
    <row r="13423" spans="1:17" x14ac:dyDescent="0.2">
      <c r="A13423" s="121">
        <v>43677</v>
      </c>
      <c r="B13423" t="s">
        <v>406</v>
      </c>
      <c r="C13423" t="s">
        <v>510</v>
      </c>
      <c r="D13423" t="s">
        <v>513</v>
      </c>
      <c r="E13423" t="s">
        <v>514</v>
      </c>
      <c r="F13423" t="s">
        <v>410</v>
      </c>
      <c r="G13423">
        <v>814</v>
      </c>
      <c r="I13423">
        <v>806</v>
      </c>
    </row>
    <row r="13424" spans="1:17" x14ac:dyDescent="0.2">
      <c r="A13424" s="121">
        <v>43677</v>
      </c>
      <c r="B13424" t="s">
        <v>406</v>
      </c>
      <c r="C13424" t="s">
        <v>510</v>
      </c>
      <c r="D13424" t="s">
        <v>515</v>
      </c>
      <c r="E13424" t="s">
        <v>516</v>
      </c>
      <c r="F13424" t="s">
        <v>410</v>
      </c>
      <c r="G13424">
        <v>131</v>
      </c>
      <c r="I13424">
        <v>131</v>
      </c>
    </row>
    <row r="13425" spans="1:17" x14ac:dyDescent="0.2">
      <c r="A13425" s="121">
        <v>43677</v>
      </c>
      <c r="B13425" t="s">
        <v>406</v>
      </c>
      <c r="C13425" t="s">
        <v>510</v>
      </c>
      <c r="D13425" t="s">
        <v>519</v>
      </c>
      <c r="E13425" t="s">
        <v>520</v>
      </c>
      <c r="F13425" t="s">
        <v>410</v>
      </c>
      <c r="G13425">
        <v>431</v>
      </c>
      <c r="I13425">
        <v>425</v>
      </c>
    </row>
    <row r="13426" spans="1:17" x14ac:dyDescent="0.2">
      <c r="A13426" s="121">
        <v>43677</v>
      </c>
      <c r="B13426" t="s">
        <v>406</v>
      </c>
      <c r="C13426" t="s">
        <v>510</v>
      </c>
      <c r="D13426" t="s">
        <v>523</v>
      </c>
      <c r="E13426" t="s">
        <v>524</v>
      </c>
      <c r="F13426" t="s">
        <v>413</v>
      </c>
      <c r="G13426">
        <v>817</v>
      </c>
      <c r="H13426">
        <v>817</v>
      </c>
      <c r="I13426">
        <v>798</v>
      </c>
      <c r="J13426">
        <v>798</v>
      </c>
      <c r="K13426">
        <v>159</v>
      </c>
      <c r="L13426">
        <v>0</v>
      </c>
      <c r="M13426">
        <v>638</v>
      </c>
      <c r="N13426">
        <v>20</v>
      </c>
      <c r="O13426">
        <v>0</v>
      </c>
      <c r="P13426">
        <v>0</v>
      </c>
      <c r="Q13426">
        <v>0</v>
      </c>
    </row>
    <row r="13427" spans="1:17" x14ac:dyDescent="0.2">
      <c r="A13427" s="121">
        <v>43677</v>
      </c>
      <c r="B13427" t="s">
        <v>406</v>
      </c>
      <c r="C13427" t="s">
        <v>510</v>
      </c>
      <c r="D13427" t="s">
        <v>525</v>
      </c>
      <c r="E13427" t="s">
        <v>526</v>
      </c>
      <c r="F13427" t="s">
        <v>410</v>
      </c>
      <c r="G13427">
        <v>497</v>
      </c>
      <c r="I13427">
        <v>493</v>
      </c>
    </row>
    <row r="13428" spans="1:17" x14ac:dyDescent="0.2">
      <c r="A13428" s="121">
        <v>43677</v>
      </c>
      <c r="B13428" t="s">
        <v>406</v>
      </c>
      <c r="C13428" t="s">
        <v>510</v>
      </c>
      <c r="D13428" t="s">
        <v>527</v>
      </c>
      <c r="E13428" t="s">
        <v>528</v>
      </c>
      <c r="F13428" t="s">
        <v>410</v>
      </c>
      <c r="G13428">
        <v>193</v>
      </c>
      <c r="I13428">
        <v>193</v>
      </c>
    </row>
    <row r="13429" spans="1:17" x14ac:dyDescent="0.2">
      <c r="A13429" s="121">
        <v>43677</v>
      </c>
      <c r="B13429" t="s">
        <v>406</v>
      </c>
      <c r="C13429" t="s">
        <v>510</v>
      </c>
      <c r="D13429" t="s">
        <v>529</v>
      </c>
      <c r="E13429" t="s">
        <v>530</v>
      </c>
      <c r="F13429" t="s">
        <v>413</v>
      </c>
      <c r="G13429">
        <v>810</v>
      </c>
      <c r="H13429">
        <v>810</v>
      </c>
      <c r="I13429">
        <v>768</v>
      </c>
      <c r="J13429">
        <v>768</v>
      </c>
      <c r="K13429">
        <v>189</v>
      </c>
      <c r="L13429">
        <v>0</v>
      </c>
      <c r="M13429">
        <v>619</v>
      </c>
      <c r="N13429">
        <v>2</v>
      </c>
      <c r="O13429">
        <v>0</v>
      </c>
      <c r="P13429">
        <v>1</v>
      </c>
      <c r="Q13429">
        <v>0</v>
      </c>
    </row>
    <row r="13430" spans="1:17" x14ac:dyDescent="0.2">
      <c r="A13430" s="121">
        <v>43677</v>
      </c>
      <c r="B13430" t="s">
        <v>406</v>
      </c>
      <c r="C13430" t="s">
        <v>510</v>
      </c>
      <c r="D13430" t="s">
        <v>531</v>
      </c>
      <c r="E13430" t="s">
        <v>532</v>
      </c>
      <c r="F13430" t="s">
        <v>410</v>
      </c>
      <c r="G13430">
        <v>71</v>
      </c>
      <c r="I13430">
        <v>71</v>
      </c>
    </row>
    <row r="13431" spans="1:17" x14ac:dyDescent="0.2">
      <c r="A13431" s="121">
        <v>43677</v>
      </c>
      <c r="B13431" t="s">
        <v>406</v>
      </c>
      <c r="C13431" t="s">
        <v>510</v>
      </c>
      <c r="D13431" t="s">
        <v>533</v>
      </c>
      <c r="E13431" t="s">
        <v>534</v>
      </c>
      <c r="F13431" t="s">
        <v>413</v>
      </c>
      <c r="G13431">
        <v>3490</v>
      </c>
      <c r="H13431">
        <v>3490</v>
      </c>
      <c r="I13431">
        <v>3185</v>
      </c>
      <c r="J13431">
        <v>3185</v>
      </c>
      <c r="K13431">
        <v>740</v>
      </c>
      <c r="L13431">
        <v>0</v>
      </c>
      <c r="M13431">
        <v>2665</v>
      </c>
      <c r="N13431">
        <v>18</v>
      </c>
      <c r="O13431">
        <v>67</v>
      </c>
      <c r="P13431">
        <v>11</v>
      </c>
      <c r="Q13431">
        <v>0</v>
      </c>
    </row>
    <row r="13432" spans="1:17" x14ac:dyDescent="0.2">
      <c r="A13432" s="121">
        <v>43677</v>
      </c>
      <c r="B13432" t="s">
        <v>406</v>
      </c>
      <c r="C13432" t="s">
        <v>510</v>
      </c>
      <c r="D13432" t="s">
        <v>535</v>
      </c>
      <c r="E13432" t="s">
        <v>536</v>
      </c>
      <c r="F13432" t="s">
        <v>410</v>
      </c>
      <c r="G13432">
        <v>409</v>
      </c>
      <c r="I13432">
        <v>409</v>
      </c>
    </row>
    <row r="13433" spans="1:17" x14ac:dyDescent="0.2">
      <c r="A13433" s="121">
        <v>43677</v>
      </c>
      <c r="B13433" t="s">
        <v>406</v>
      </c>
      <c r="C13433" t="s">
        <v>510</v>
      </c>
      <c r="D13433" t="s">
        <v>537</v>
      </c>
      <c r="E13433" t="s">
        <v>538</v>
      </c>
      <c r="F13433" t="s">
        <v>410</v>
      </c>
      <c r="G13433">
        <v>66</v>
      </c>
      <c r="I13433">
        <v>66</v>
      </c>
    </row>
    <row r="13434" spans="1:17" x14ac:dyDescent="0.2">
      <c r="A13434" s="121">
        <v>43677</v>
      </c>
      <c r="B13434" t="s">
        <v>406</v>
      </c>
      <c r="C13434" t="s">
        <v>510</v>
      </c>
      <c r="D13434" t="s">
        <v>539</v>
      </c>
      <c r="E13434" t="s">
        <v>540</v>
      </c>
      <c r="F13434" t="s">
        <v>413</v>
      </c>
      <c r="G13434">
        <v>1100</v>
      </c>
      <c r="H13434">
        <v>1100</v>
      </c>
      <c r="I13434">
        <v>1006</v>
      </c>
      <c r="J13434">
        <v>1006</v>
      </c>
      <c r="K13434">
        <v>167</v>
      </c>
      <c r="L13434">
        <v>0</v>
      </c>
      <c r="M13434">
        <v>920</v>
      </c>
      <c r="N13434">
        <v>12</v>
      </c>
      <c r="O13434">
        <v>1</v>
      </c>
      <c r="P13434">
        <v>10</v>
      </c>
      <c r="Q13434">
        <v>1</v>
      </c>
    </row>
    <row r="13435" spans="1:17" x14ac:dyDescent="0.2">
      <c r="A13435" s="121">
        <v>43677</v>
      </c>
      <c r="B13435" t="s">
        <v>406</v>
      </c>
      <c r="C13435" t="s">
        <v>510</v>
      </c>
      <c r="D13435" t="s">
        <v>541</v>
      </c>
      <c r="E13435" t="s">
        <v>542</v>
      </c>
      <c r="F13435" t="s">
        <v>410</v>
      </c>
      <c r="G13435">
        <v>483</v>
      </c>
      <c r="I13435">
        <v>483</v>
      </c>
    </row>
    <row r="13436" spans="1:17" x14ac:dyDescent="0.2">
      <c r="A13436" s="121">
        <v>43677</v>
      </c>
      <c r="B13436" t="s">
        <v>406</v>
      </c>
      <c r="C13436" t="s">
        <v>510</v>
      </c>
      <c r="D13436" t="s">
        <v>543</v>
      </c>
      <c r="E13436" t="s">
        <v>544</v>
      </c>
      <c r="F13436" t="s">
        <v>410</v>
      </c>
      <c r="G13436">
        <v>340</v>
      </c>
      <c r="I13436">
        <v>340</v>
      </c>
    </row>
    <row r="13437" spans="1:17" x14ac:dyDescent="0.2">
      <c r="A13437" s="121">
        <v>43677</v>
      </c>
      <c r="B13437" t="s">
        <v>406</v>
      </c>
      <c r="C13437" t="s">
        <v>510</v>
      </c>
      <c r="D13437" t="s">
        <v>547</v>
      </c>
      <c r="E13437" t="s">
        <v>548</v>
      </c>
      <c r="F13437" t="s">
        <v>410</v>
      </c>
      <c r="G13437">
        <v>225</v>
      </c>
      <c r="I13437">
        <v>225</v>
      </c>
    </row>
    <row r="13438" spans="1:17" x14ac:dyDescent="0.2">
      <c r="A13438" s="121">
        <v>43677</v>
      </c>
      <c r="B13438" t="s">
        <v>406</v>
      </c>
      <c r="C13438" t="s">
        <v>510</v>
      </c>
      <c r="D13438" t="s">
        <v>616</v>
      </c>
      <c r="E13438" t="s">
        <v>617</v>
      </c>
      <c r="F13438" t="s">
        <v>410</v>
      </c>
      <c r="G13438">
        <v>467</v>
      </c>
      <c r="I13438">
        <v>461</v>
      </c>
    </row>
    <row r="13439" spans="1:17" x14ac:dyDescent="0.2">
      <c r="A13439" s="121">
        <v>43677</v>
      </c>
      <c r="B13439" t="s">
        <v>406</v>
      </c>
      <c r="C13439" t="s">
        <v>510</v>
      </c>
      <c r="D13439" t="s">
        <v>549</v>
      </c>
      <c r="E13439" t="s">
        <v>550</v>
      </c>
      <c r="F13439" t="s">
        <v>410</v>
      </c>
      <c r="G13439">
        <v>242</v>
      </c>
      <c r="I13439">
        <v>242</v>
      </c>
    </row>
    <row r="13440" spans="1:17" x14ac:dyDescent="0.2">
      <c r="A13440" s="121">
        <v>43677</v>
      </c>
      <c r="B13440" t="s">
        <v>406</v>
      </c>
      <c r="C13440" t="s">
        <v>510</v>
      </c>
      <c r="D13440" t="s">
        <v>625</v>
      </c>
      <c r="E13440" t="s">
        <v>626</v>
      </c>
      <c r="F13440" t="s">
        <v>410</v>
      </c>
      <c r="G13440">
        <v>146</v>
      </c>
      <c r="I13440">
        <v>140</v>
      </c>
    </row>
    <row r="13441" spans="1:17" x14ac:dyDescent="0.2">
      <c r="A13441" s="121">
        <v>43677</v>
      </c>
      <c r="B13441" t="s">
        <v>406</v>
      </c>
      <c r="C13441" t="s">
        <v>551</v>
      </c>
      <c r="D13441" t="s">
        <v>552</v>
      </c>
      <c r="E13441" t="s">
        <v>553</v>
      </c>
      <c r="F13441" t="s">
        <v>413</v>
      </c>
      <c r="G13441">
        <v>6118</v>
      </c>
      <c r="H13441">
        <v>6118</v>
      </c>
      <c r="I13441">
        <v>5645</v>
      </c>
      <c r="J13441">
        <v>5645</v>
      </c>
      <c r="K13441">
        <v>2108</v>
      </c>
      <c r="L13441">
        <v>5</v>
      </c>
      <c r="M13441">
        <v>3821</v>
      </c>
      <c r="N13441">
        <v>112</v>
      </c>
      <c r="O13441">
        <v>72</v>
      </c>
      <c r="P13441">
        <v>25</v>
      </c>
      <c r="Q13441">
        <v>0</v>
      </c>
    </row>
    <row r="13442" spans="1:17" x14ac:dyDescent="0.2">
      <c r="A13442" s="121">
        <v>43677</v>
      </c>
      <c r="B13442" t="s">
        <v>406</v>
      </c>
      <c r="C13442" t="s">
        <v>551</v>
      </c>
      <c r="D13442" t="s">
        <v>554</v>
      </c>
      <c r="E13442" t="s">
        <v>555</v>
      </c>
      <c r="F13442" t="s">
        <v>410</v>
      </c>
      <c r="G13442">
        <v>79</v>
      </c>
      <c r="H13442">
        <v>79</v>
      </c>
      <c r="I13442">
        <v>79</v>
      </c>
      <c r="J13442">
        <v>79</v>
      </c>
      <c r="K13442">
        <v>6</v>
      </c>
      <c r="L13442">
        <v>0</v>
      </c>
      <c r="M13442">
        <v>72</v>
      </c>
      <c r="N13442">
        <v>0</v>
      </c>
      <c r="O13442">
        <v>1</v>
      </c>
      <c r="P13442">
        <v>0</v>
      </c>
      <c r="Q13442">
        <v>0</v>
      </c>
    </row>
    <row r="13443" spans="1:17" x14ac:dyDescent="0.2">
      <c r="A13443" s="121">
        <v>43677</v>
      </c>
      <c r="B13443" t="s">
        <v>406</v>
      </c>
      <c r="C13443" t="s">
        <v>551</v>
      </c>
      <c r="D13443" t="s">
        <v>556</v>
      </c>
      <c r="E13443" t="s">
        <v>557</v>
      </c>
      <c r="F13443" t="s">
        <v>410</v>
      </c>
      <c r="G13443">
        <v>57</v>
      </c>
      <c r="H13443">
        <v>57</v>
      </c>
      <c r="I13443">
        <v>57</v>
      </c>
      <c r="J13443">
        <v>57</v>
      </c>
      <c r="K13443">
        <v>3</v>
      </c>
      <c r="L13443">
        <v>0</v>
      </c>
      <c r="M13443">
        <v>49</v>
      </c>
      <c r="N13443">
        <v>4</v>
      </c>
      <c r="O13443">
        <v>1</v>
      </c>
      <c r="P13443">
        <v>0</v>
      </c>
      <c r="Q13443">
        <v>0</v>
      </c>
    </row>
    <row r="13444" spans="1:17" x14ac:dyDescent="0.2">
      <c r="A13444" s="121">
        <v>43677</v>
      </c>
      <c r="B13444" t="s">
        <v>406</v>
      </c>
      <c r="C13444" t="s">
        <v>551</v>
      </c>
      <c r="D13444" t="s">
        <v>558</v>
      </c>
      <c r="E13444" t="s">
        <v>559</v>
      </c>
      <c r="F13444" t="s">
        <v>413</v>
      </c>
      <c r="G13444">
        <v>5847</v>
      </c>
      <c r="H13444">
        <v>5847</v>
      </c>
      <c r="I13444">
        <v>5000</v>
      </c>
      <c r="J13444">
        <v>5000</v>
      </c>
      <c r="K13444">
        <v>1622</v>
      </c>
      <c r="L13444">
        <v>8</v>
      </c>
      <c r="M13444">
        <v>4113</v>
      </c>
      <c r="N13444">
        <v>69</v>
      </c>
      <c r="O13444">
        <v>35</v>
      </c>
      <c r="P13444">
        <v>126</v>
      </c>
      <c r="Q13444">
        <v>41</v>
      </c>
    </row>
    <row r="13445" spans="1:17" x14ac:dyDescent="0.2">
      <c r="A13445" s="121">
        <v>43677</v>
      </c>
      <c r="B13445" t="s">
        <v>406</v>
      </c>
      <c r="C13445" t="s">
        <v>551</v>
      </c>
      <c r="D13445" t="s">
        <v>560</v>
      </c>
      <c r="E13445" t="s">
        <v>561</v>
      </c>
      <c r="F13445" t="s">
        <v>413</v>
      </c>
      <c r="G13445">
        <v>6376</v>
      </c>
      <c r="H13445">
        <v>6376</v>
      </c>
      <c r="I13445">
        <v>5533</v>
      </c>
      <c r="J13445">
        <v>5533</v>
      </c>
      <c r="K13445">
        <v>1836</v>
      </c>
      <c r="L13445">
        <v>2</v>
      </c>
      <c r="M13445">
        <v>4434</v>
      </c>
      <c r="N13445">
        <v>61</v>
      </c>
      <c r="O13445">
        <v>43</v>
      </c>
      <c r="P13445">
        <v>119</v>
      </c>
      <c r="Q13445">
        <v>22</v>
      </c>
    </row>
    <row r="13446" spans="1:17" x14ac:dyDescent="0.2">
      <c r="A13446" s="121">
        <v>43677</v>
      </c>
      <c r="B13446" t="s">
        <v>406</v>
      </c>
      <c r="C13446" t="s">
        <v>562</v>
      </c>
      <c r="D13446" t="s">
        <v>605</v>
      </c>
      <c r="E13446" t="s">
        <v>606</v>
      </c>
      <c r="F13446" t="s">
        <v>410</v>
      </c>
      <c r="G13446">
        <v>251</v>
      </c>
      <c r="I13446">
        <v>251</v>
      </c>
    </row>
    <row r="13447" spans="1:17" x14ac:dyDescent="0.2">
      <c r="A13447" s="121">
        <v>43677</v>
      </c>
      <c r="B13447" t="s">
        <v>406</v>
      </c>
      <c r="C13447" t="s">
        <v>562</v>
      </c>
      <c r="D13447" t="s">
        <v>563</v>
      </c>
      <c r="E13447" t="s">
        <v>564</v>
      </c>
      <c r="F13447" t="s">
        <v>410</v>
      </c>
      <c r="G13447">
        <v>4170</v>
      </c>
      <c r="H13447">
        <v>4170</v>
      </c>
      <c r="I13447">
        <v>3843</v>
      </c>
      <c r="J13447">
        <v>3843</v>
      </c>
      <c r="K13447">
        <v>1253</v>
      </c>
      <c r="L13447">
        <v>0</v>
      </c>
      <c r="M13447">
        <v>2907</v>
      </c>
      <c r="N13447">
        <v>10</v>
      </c>
      <c r="O13447">
        <v>0</v>
      </c>
      <c r="P13447">
        <v>47</v>
      </c>
      <c r="Q13447">
        <v>22</v>
      </c>
    </row>
    <row r="13448" spans="1:17" x14ac:dyDescent="0.2">
      <c r="A13448" s="121">
        <v>43677</v>
      </c>
      <c r="B13448" t="s">
        <v>406</v>
      </c>
      <c r="C13448" t="s">
        <v>562</v>
      </c>
      <c r="D13448" t="s">
        <v>565</v>
      </c>
      <c r="E13448" t="s">
        <v>566</v>
      </c>
      <c r="F13448" t="s">
        <v>413</v>
      </c>
      <c r="G13448">
        <v>5124</v>
      </c>
      <c r="H13448">
        <v>5124</v>
      </c>
      <c r="I13448">
        <v>4661</v>
      </c>
      <c r="J13448">
        <v>4661</v>
      </c>
      <c r="K13448">
        <v>951</v>
      </c>
      <c r="L13448">
        <v>5</v>
      </c>
      <c r="M13448">
        <v>4099</v>
      </c>
      <c r="N13448">
        <v>69</v>
      </c>
      <c r="O13448">
        <v>0</v>
      </c>
      <c r="P13448">
        <v>39</v>
      </c>
      <c r="Q13448">
        <v>8</v>
      </c>
    </row>
    <row r="13449" spans="1:17" x14ac:dyDescent="0.2">
      <c r="A13449" s="121">
        <v>43677</v>
      </c>
      <c r="B13449" t="s">
        <v>406</v>
      </c>
      <c r="C13449" t="s">
        <v>562</v>
      </c>
      <c r="D13449" t="s">
        <v>567</v>
      </c>
      <c r="E13449" t="s">
        <v>568</v>
      </c>
      <c r="F13449" t="s">
        <v>413</v>
      </c>
      <c r="G13449">
        <v>11187</v>
      </c>
      <c r="H13449">
        <v>11187</v>
      </c>
      <c r="I13449">
        <v>10130</v>
      </c>
      <c r="J13449">
        <v>10130</v>
      </c>
      <c r="K13449">
        <v>3624</v>
      </c>
      <c r="L13449">
        <v>7</v>
      </c>
      <c r="M13449">
        <v>7364</v>
      </c>
      <c r="N13449">
        <v>192</v>
      </c>
      <c r="O13449">
        <v>0</v>
      </c>
      <c r="P13449">
        <v>96</v>
      </c>
      <c r="Q13449">
        <v>14</v>
      </c>
    </row>
    <row r="13450" spans="1:17" x14ac:dyDescent="0.2">
      <c r="A13450" s="121">
        <v>43677</v>
      </c>
      <c r="B13450" t="s">
        <v>406</v>
      </c>
      <c r="C13450" t="s">
        <v>562</v>
      </c>
      <c r="D13450" t="s">
        <v>569</v>
      </c>
      <c r="E13450" t="s">
        <v>570</v>
      </c>
      <c r="F13450" t="s">
        <v>413</v>
      </c>
      <c r="G13450">
        <v>3402</v>
      </c>
      <c r="H13450">
        <v>3402</v>
      </c>
      <c r="I13450">
        <v>3337</v>
      </c>
      <c r="J13450">
        <v>3337</v>
      </c>
      <c r="K13450">
        <v>478</v>
      </c>
      <c r="L13450">
        <v>1</v>
      </c>
      <c r="M13450">
        <v>2923</v>
      </c>
      <c r="N13450">
        <v>0</v>
      </c>
      <c r="O13450">
        <v>0</v>
      </c>
      <c r="P13450">
        <v>0</v>
      </c>
      <c r="Q13450">
        <v>0</v>
      </c>
    </row>
    <row r="13451" spans="1:17" x14ac:dyDescent="0.2">
      <c r="A13451" s="121">
        <v>43677</v>
      </c>
      <c r="B13451" t="s">
        <v>406</v>
      </c>
      <c r="C13451" t="s">
        <v>571</v>
      </c>
      <c r="D13451" t="s">
        <v>572</v>
      </c>
      <c r="E13451" t="s">
        <v>627</v>
      </c>
      <c r="F13451" t="s">
        <v>413</v>
      </c>
      <c r="G13451">
        <v>677</v>
      </c>
      <c r="H13451">
        <v>677</v>
      </c>
      <c r="I13451">
        <v>647</v>
      </c>
      <c r="J13451">
        <v>647</v>
      </c>
      <c r="K13451">
        <v>152</v>
      </c>
      <c r="L13451">
        <v>0</v>
      </c>
      <c r="M13451">
        <v>505</v>
      </c>
      <c r="N13451">
        <v>15</v>
      </c>
      <c r="O13451">
        <v>5</v>
      </c>
      <c r="P13451">
        <v>2</v>
      </c>
      <c r="Q13451">
        <v>0</v>
      </c>
    </row>
    <row r="13452" spans="1:17" x14ac:dyDescent="0.2">
      <c r="A13452" s="121">
        <v>43677</v>
      </c>
      <c r="B13452" t="s">
        <v>406</v>
      </c>
      <c r="C13452" t="s">
        <v>574</v>
      </c>
      <c r="D13452" t="s">
        <v>575</v>
      </c>
      <c r="E13452" t="s">
        <v>576</v>
      </c>
      <c r="F13452" t="s">
        <v>413</v>
      </c>
      <c r="G13452">
        <v>702</v>
      </c>
      <c r="H13452">
        <v>702</v>
      </c>
      <c r="I13452">
        <v>678</v>
      </c>
      <c r="J13452">
        <v>678</v>
      </c>
      <c r="K13452">
        <v>139</v>
      </c>
      <c r="L13452">
        <v>2</v>
      </c>
      <c r="M13452">
        <v>553</v>
      </c>
      <c r="N13452">
        <v>3</v>
      </c>
      <c r="O13452">
        <v>5</v>
      </c>
      <c r="P13452">
        <v>2</v>
      </c>
      <c r="Q13452">
        <v>0</v>
      </c>
    </row>
    <row r="13453" spans="1:17" x14ac:dyDescent="0.2">
      <c r="A13453" s="121">
        <v>43677</v>
      </c>
      <c r="B13453" t="s">
        <v>406</v>
      </c>
      <c r="C13453" t="s">
        <v>577</v>
      </c>
      <c r="D13453" t="s">
        <v>578</v>
      </c>
      <c r="E13453" t="s">
        <v>579</v>
      </c>
      <c r="F13453" t="s">
        <v>413</v>
      </c>
      <c r="G13453">
        <v>4560</v>
      </c>
      <c r="H13453">
        <v>4560</v>
      </c>
      <c r="I13453">
        <v>4350</v>
      </c>
      <c r="J13453">
        <v>4350</v>
      </c>
      <c r="K13453">
        <v>1363</v>
      </c>
      <c r="L13453">
        <v>5</v>
      </c>
      <c r="M13453">
        <v>2879</v>
      </c>
      <c r="N13453">
        <v>240</v>
      </c>
      <c r="O13453">
        <v>73</v>
      </c>
      <c r="P13453">
        <v>2</v>
      </c>
      <c r="Q13453">
        <v>1</v>
      </c>
    </row>
    <row r="13454" spans="1:17" x14ac:dyDescent="0.2">
      <c r="A13454" s="121">
        <v>43677</v>
      </c>
      <c r="B13454" t="s">
        <v>406</v>
      </c>
      <c r="C13454" t="s">
        <v>577</v>
      </c>
      <c r="D13454" t="s">
        <v>580</v>
      </c>
      <c r="E13454" t="s">
        <v>581</v>
      </c>
      <c r="F13454" t="s">
        <v>413</v>
      </c>
      <c r="G13454">
        <v>2432</v>
      </c>
      <c r="H13454">
        <v>2432</v>
      </c>
      <c r="I13454">
        <v>2332</v>
      </c>
      <c r="J13454">
        <v>2332</v>
      </c>
      <c r="K13454">
        <v>376</v>
      </c>
      <c r="L13454">
        <v>2</v>
      </c>
      <c r="M13454">
        <v>1615</v>
      </c>
      <c r="N13454">
        <v>412</v>
      </c>
      <c r="O13454">
        <v>27</v>
      </c>
      <c r="P13454">
        <v>3</v>
      </c>
      <c r="Q13454">
        <v>0</v>
      </c>
    </row>
    <row r="13455" spans="1:17" x14ac:dyDescent="0.2">
      <c r="A13455" s="121">
        <v>43677</v>
      </c>
      <c r="B13455" t="s">
        <v>406</v>
      </c>
      <c r="C13455" t="s">
        <v>577</v>
      </c>
      <c r="D13455" t="s">
        <v>609</v>
      </c>
      <c r="E13455" t="s">
        <v>610</v>
      </c>
      <c r="F13455" t="s">
        <v>410</v>
      </c>
      <c r="G13455">
        <v>38</v>
      </c>
      <c r="H13455">
        <v>38</v>
      </c>
      <c r="I13455">
        <v>38</v>
      </c>
      <c r="J13455">
        <v>38</v>
      </c>
      <c r="K13455">
        <v>0</v>
      </c>
      <c r="L13455">
        <v>0</v>
      </c>
      <c r="M13455">
        <v>35</v>
      </c>
      <c r="N13455">
        <v>2</v>
      </c>
      <c r="O13455">
        <v>1</v>
      </c>
      <c r="P13455">
        <v>0</v>
      </c>
      <c r="Q13455">
        <v>0</v>
      </c>
    </row>
    <row r="13456" spans="1:17" x14ac:dyDescent="0.2">
      <c r="A13456" s="121">
        <v>43677</v>
      </c>
      <c r="B13456" t="s">
        <v>406</v>
      </c>
      <c r="C13456" t="s">
        <v>577</v>
      </c>
      <c r="D13456" t="s">
        <v>584</v>
      </c>
      <c r="E13456" t="s">
        <v>585</v>
      </c>
      <c r="F13456" t="s">
        <v>410</v>
      </c>
      <c r="G13456">
        <v>362</v>
      </c>
      <c r="H13456">
        <v>362</v>
      </c>
      <c r="I13456">
        <v>361</v>
      </c>
      <c r="J13456">
        <v>361</v>
      </c>
      <c r="K13456">
        <v>0</v>
      </c>
      <c r="L13456">
        <v>0</v>
      </c>
      <c r="M13456">
        <v>353</v>
      </c>
      <c r="N13456">
        <v>8</v>
      </c>
      <c r="O13456">
        <v>1</v>
      </c>
      <c r="P13456">
        <v>0</v>
      </c>
      <c r="Q13456">
        <v>0</v>
      </c>
    </row>
    <row r="13457" spans="1:17" x14ac:dyDescent="0.2">
      <c r="A13457" s="121">
        <v>43677</v>
      </c>
      <c r="B13457" t="s">
        <v>406</v>
      </c>
      <c r="C13457" t="s">
        <v>577</v>
      </c>
      <c r="D13457" t="s">
        <v>586</v>
      </c>
      <c r="E13457" t="s">
        <v>587</v>
      </c>
      <c r="F13457" t="s">
        <v>410</v>
      </c>
      <c r="G13457">
        <v>1526</v>
      </c>
      <c r="H13457">
        <v>1526</v>
      </c>
      <c r="I13457">
        <v>1526</v>
      </c>
      <c r="J13457">
        <v>1526</v>
      </c>
      <c r="K13457">
        <v>0</v>
      </c>
      <c r="L13457">
        <v>0</v>
      </c>
      <c r="M13457">
        <v>1375</v>
      </c>
      <c r="N13457">
        <v>146</v>
      </c>
      <c r="O13457">
        <v>5</v>
      </c>
      <c r="P13457">
        <v>0</v>
      </c>
      <c r="Q13457">
        <v>0</v>
      </c>
    </row>
    <row r="13458" spans="1:17" x14ac:dyDescent="0.2">
      <c r="A13458" s="121">
        <v>43677</v>
      </c>
      <c r="B13458" t="s">
        <v>406</v>
      </c>
      <c r="C13458" t="s">
        <v>577</v>
      </c>
      <c r="D13458" t="s">
        <v>613</v>
      </c>
      <c r="E13458" t="s">
        <v>614</v>
      </c>
      <c r="F13458" t="s">
        <v>410</v>
      </c>
      <c r="G13458">
        <v>200</v>
      </c>
      <c r="H13458">
        <v>200</v>
      </c>
      <c r="I13458">
        <v>200</v>
      </c>
      <c r="J13458">
        <v>200</v>
      </c>
      <c r="K13458">
        <v>0</v>
      </c>
      <c r="L13458">
        <v>0</v>
      </c>
      <c r="M13458">
        <v>177</v>
      </c>
      <c r="N13458">
        <v>15</v>
      </c>
      <c r="O13458">
        <v>8</v>
      </c>
      <c r="P13458">
        <v>0</v>
      </c>
      <c r="Q13458">
        <v>0</v>
      </c>
    </row>
    <row r="13459" spans="1:17" x14ac:dyDescent="0.2">
      <c r="A13459" s="121">
        <v>43677</v>
      </c>
      <c r="B13459" t="s">
        <v>406</v>
      </c>
      <c r="C13459" t="s">
        <v>577</v>
      </c>
      <c r="D13459" t="s">
        <v>590</v>
      </c>
      <c r="E13459" t="s">
        <v>591</v>
      </c>
      <c r="F13459" t="s">
        <v>410</v>
      </c>
      <c r="G13459">
        <v>501</v>
      </c>
      <c r="H13459">
        <v>501</v>
      </c>
      <c r="I13459">
        <v>501</v>
      </c>
      <c r="J13459">
        <v>501</v>
      </c>
      <c r="K13459">
        <v>0</v>
      </c>
      <c r="L13459">
        <v>0</v>
      </c>
      <c r="M13459">
        <v>482</v>
      </c>
      <c r="N13459">
        <v>18</v>
      </c>
      <c r="O13459">
        <v>1</v>
      </c>
      <c r="P13459">
        <v>0</v>
      </c>
      <c r="Q13459">
        <v>0</v>
      </c>
    </row>
    <row r="13460" spans="1:17" x14ac:dyDescent="0.2">
      <c r="A13460" s="121">
        <v>43677</v>
      </c>
      <c r="B13460" t="s">
        <v>406</v>
      </c>
      <c r="C13460" t="s">
        <v>577</v>
      </c>
      <c r="D13460" t="s">
        <v>607</v>
      </c>
      <c r="E13460" t="s">
        <v>608</v>
      </c>
      <c r="F13460" t="s">
        <v>410</v>
      </c>
      <c r="G13460">
        <v>255</v>
      </c>
      <c r="H13460">
        <v>255</v>
      </c>
      <c r="I13460">
        <v>255</v>
      </c>
      <c r="J13460">
        <v>255</v>
      </c>
      <c r="K13460">
        <v>0</v>
      </c>
      <c r="L13460">
        <v>0</v>
      </c>
      <c r="M13460">
        <v>240</v>
      </c>
      <c r="N13460">
        <v>15</v>
      </c>
      <c r="O13460">
        <v>0</v>
      </c>
      <c r="P13460">
        <v>0</v>
      </c>
      <c r="Q13460">
        <v>0</v>
      </c>
    </row>
    <row r="13461" spans="1:17" x14ac:dyDescent="0.2">
      <c r="A13461" s="121">
        <v>43677</v>
      </c>
      <c r="B13461" t="s">
        <v>406</v>
      </c>
      <c r="C13461" t="s">
        <v>577</v>
      </c>
      <c r="D13461" t="s">
        <v>592</v>
      </c>
      <c r="E13461" t="s">
        <v>593</v>
      </c>
      <c r="F13461" t="s">
        <v>410</v>
      </c>
      <c r="G13461">
        <v>256</v>
      </c>
      <c r="H13461">
        <v>256</v>
      </c>
      <c r="I13461">
        <v>256</v>
      </c>
      <c r="J13461">
        <v>256</v>
      </c>
      <c r="K13461">
        <v>0</v>
      </c>
      <c r="L13461">
        <v>2</v>
      </c>
      <c r="M13461">
        <v>235</v>
      </c>
      <c r="N13461">
        <v>16</v>
      </c>
      <c r="O13461">
        <v>3</v>
      </c>
      <c r="P13461">
        <v>0</v>
      </c>
      <c r="Q13461">
        <v>0</v>
      </c>
    </row>
    <row r="13462" spans="1:17" x14ac:dyDescent="0.2">
      <c r="A13462" s="121">
        <v>43677</v>
      </c>
      <c r="B13462" t="s">
        <v>406</v>
      </c>
      <c r="C13462" t="s">
        <v>594</v>
      </c>
      <c r="D13462" t="s">
        <v>595</v>
      </c>
      <c r="E13462" t="s">
        <v>596</v>
      </c>
      <c r="F13462" t="s">
        <v>410</v>
      </c>
      <c r="G13462">
        <v>101</v>
      </c>
      <c r="I13462">
        <v>101</v>
      </c>
    </row>
    <row r="13463" spans="1:17" x14ac:dyDescent="0.2">
      <c r="A13463" s="121">
        <v>43677</v>
      </c>
      <c r="B13463" t="s">
        <v>406</v>
      </c>
      <c r="C13463" t="s">
        <v>594</v>
      </c>
      <c r="D13463" t="s">
        <v>597</v>
      </c>
      <c r="E13463" t="s">
        <v>598</v>
      </c>
      <c r="F13463" t="s">
        <v>413</v>
      </c>
      <c r="G13463">
        <v>692</v>
      </c>
      <c r="H13463">
        <v>692</v>
      </c>
      <c r="I13463">
        <v>683</v>
      </c>
      <c r="J13463">
        <v>683</v>
      </c>
      <c r="K13463">
        <v>178</v>
      </c>
      <c r="L13463">
        <v>0</v>
      </c>
      <c r="M13463">
        <v>495</v>
      </c>
      <c r="N13463">
        <v>2</v>
      </c>
      <c r="O13463">
        <v>17</v>
      </c>
      <c r="P13463">
        <v>1</v>
      </c>
      <c r="Q13463">
        <v>0</v>
      </c>
    </row>
    <row r="13464" spans="1:17" x14ac:dyDescent="0.2">
      <c r="A13464" s="121">
        <v>43677</v>
      </c>
      <c r="B13464" t="s">
        <v>406</v>
      </c>
      <c r="C13464" t="s">
        <v>594</v>
      </c>
      <c r="D13464" t="s">
        <v>599</v>
      </c>
      <c r="E13464" t="s">
        <v>600</v>
      </c>
      <c r="F13464" t="s">
        <v>410</v>
      </c>
      <c r="G13464">
        <v>185</v>
      </c>
      <c r="H13464">
        <v>185</v>
      </c>
      <c r="I13464">
        <v>185</v>
      </c>
      <c r="J13464">
        <v>185</v>
      </c>
      <c r="K13464">
        <v>10</v>
      </c>
      <c r="L13464">
        <v>0</v>
      </c>
      <c r="M13464">
        <v>172</v>
      </c>
      <c r="N13464">
        <v>1</v>
      </c>
      <c r="O13464">
        <v>2</v>
      </c>
      <c r="P13464">
        <v>0</v>
      </c>
      <c r="Q13464">
        <v>0</v>
      </c>
    </row>
    <row r="13465" spans="1:17" x14ac:dyDescent="0.2">
      <c r="A13465" s="121">
        <v>43708</v>
      </c>
      <c r="B13465" t="s">
        <v>406</v>
      </c>
      <c r="C13465" t="s">
        <v>407</v>
      </c>
      <c r="D13465" t="s">
        <v>408</v>
      </c>
      <c r="E13465" t="s">
        <v>409</v>
      </c>
      <c r="F13465" t="s">
        <v>410</v>
      </c>
      <c r="G13465">
        <v>372</v>
      </c>
      <c r="I13465">
        <v>365</v>
      </c>
    </row>
    <row r="13466" spans="1:17" x14ac:dyDescent="0.2">
      <c r="A13466" s="121">
        <v>43708</v>
      </c>
      <c r="B13466" t="s">
        <v>406</v>
      </c>
      <c r="C13466" t="s">
        <v>407</v>
      </c>
      <c r="D13466" t="s">
        <v>601</v>
      </c>
      <c r="E13466" t="s">
        <v>602</v>
      </c>
      <c r="F13466" t="s">
        <v>410</v>
      </c>
      <c r="G13466">
        <v>94</v>
      </c>
      <c r="I13466">
        <v>94</v>
      </c>
    </row>
    <row r="13467" spans="1:17" x14ac:dyDescent="0.2">
      <c r="A13467" s="121">
        <v>43708</v>
      </c>
      <c r="B13467" t="s">
        <v>406</v>
      </c>
      <c r="C13467" t="s">
        <v>407</v>
      </c>
      <c r="D13467" t="s">
        <v>411</v>
      </c>
      <c r="E13467" t="s">
        <v>412</v>
      </c>
      <c r="F13467" t="s">
        <v>413</v>
      </c>
      <c r="G13467">
        <v>6164</v>
      </c>
      <c r="H13467">
        <v>6164</v>
      </c>
      <c r="I13467">
        <v>5325</v>
      </c>
      <c r="J13467">
        <v>5325</v>
      </c>
      <c r="K13467">
        <v>1920</v>
      </c>
      <c r="L13467">
        <v>5</v>
      </c>
      <c r="M13467">
        <v>3817</v>
      </c>
      <c r="N13467">
        <v>40</v>
      </c>
      <c r="O13467">
        <v>382</v>
      </c>
      <c r="P13467">
        <v>308</v>
      </c>
      <c r="Q13467">
        <v>151</v>
      </c>
    </row>
    <row r="13468" spans="1:17" x14ac:dyDescent="0.2">
      <c r="A13468" s="121">
        <v>43708</v>
      </c>
      <c r="B13468" t="s">
        <v>406</v>
      </c>
      <c r="C13468" t="s">
        <v>407</v>
      </c>
      <c r="D13468" t="s">
        <v>416</v>
      </c>
      <c r="E13468" t="s">
        <v>417</v>
      </c>
      <c r="F13468" t="s">
        <v>413</v>
      </c>
      <c r="G13468">
        <v>3585</v>
      </c>
      <c r="H13468">
        <v>3585</v>
      </c>
      <c r="I13468">
        <v>2897</v>
      </c>
      <c r="J13468">
        <v>2897</v>
      </c>
      <c r="K13468">
        <v>863</v>
      </c>
      <c r="L13468">
        <v>6</v>
      </c>
      <c r="M13468">
        <v>2540</v>
      </c>
      <c r="N13468">
        <v>98</v>
      </c>
      <c r="O13468">
        <v>78</v>
      </c>
      <c r="P13468">
        <v>228</v>
      </c>
      <c r="Q13468">
        <v>100</v>
      </c>
    </row>
    <row r="13469" spans="1:17" x14ac:dyDescent="0.2">
      <c r="A13469" s="121">
        <v>43708</v>
      </c>
      <c r="B13469" t="s">
        <v>406</v>
      </c>
      <c r="C13469" t="s">
        <v>407</v>
      </c>
      <c r="D13469" t="s">
        <v>618</v>
      </c>
      <c r="E13469" t="s">
        <v>619</v>
      </c>
      <c r="F13469" t="s">
        <v>410</v>
      </c>
      <c r="G13469">
        <v>93</v>
      </c>
      <c r="I13469">
        <v>93</v>
      </c>
    </row>
    <row r="13470" spans="1:17" x14ac:dyDescent="0.2">
      <c r="A13470" s="121">
        <v>43708</v>
      </c>
      <c r="B13470" t="s">
        <v>406</v>
      </c>
      <c r="C13470" t="s">
        <v>418</v>
      </c>
      <c r="D13470" t="s">
        <v>419</v>
      </c>
      <c r="E13470" t="s">
        <v>420</v>
      </c>
      <c r="F13470" t="s">
        <v>410</v>
      </c>
      <c r="G13470">
        <v>14</v>
      </c>
      <c r="I13470">
        <v>14</v>
      </c>
    </row>
    <row r="13471" spans="1:17" x14ac:dyDescent="0.2">
      <c r="A13471" s="121">
        <v>43708</v>
      </c>
      <c r="B13471" t="s">
        <v>406</v>
      </c>
      <c r="C13471" t="s">
        <v>418</v>
      </c>
      <c r="D13471" t="s">
        <v>421</v>
      </c>
      <c r="E13471" t="s">
        <v>422</v>
      </c>
      <c r="F13471" t="s">
        <v>410</v>
      </c>
      <c r="G13471">
        <v>96</v>
      </c>
      <c r="I13471">
        <v>96</v>
      </c>
    </row>
    <row r="13472" spans="1:17" x14ac:dyDescent="0.2">
      <c r="A13472" s="121">
        <v>43708</v>
      </c>
      <c r="B13472" t="s">
        <v>406</v>
      </c>
      <c r="C13472" t="s">
        <v>418</v>
      </c>
      <c r="D13472" t="s">
        <v>423</v>
      </c>
      <c r="E13472" t="s">
        <v>424</v>
      </c>
      <c r="F13472" t="s">
        <v>410</v>
      </c>
      <c r="G13472">
        <v>18</v>
      </c>
      <c r="I13472">
        <v>18</v>
      </c>
    </row>
    <row r="13473" spans="1:17" x14ac:dyDescent="0.2">
      <c r="A13473" s="121">
        <v>43708</v>
      </c>
      <c r="B13473" t="s">
        <v>406</v>
      </c>
      <c r="C13473" t="s">
        <v>418</v>
      </c>
      <c r="D13473" t="s">
        <v>425</v>
      </c>
      <c r="E13473" t="s">
        <v>426</v>
      </c>
      <c r="F13473" t="s">
        <v>410</v>
      </c>
      <c r="G13473">
        <v>56</v>
      </c>
      <c r="I13473">
        <v>56</v>
      </c>
    </row>
    <row r="13474" spans="1:17" x14ac:dyDescent="0.2">
      <c r="A13474" s="121">
        <v>43708</v>
      </c>
      <c r="B13474" t="s">
        <v>406</v>
      </c>
      <c r="C13474" t="s">
        <v>418</v>
      </c>
      <c r="D13474" t="s">
        <v>427</v>
      </c>
      <c r="E13474" t="s">
        <v>428</v>
      </c>
      <c r="F13474" t="s">
        <v>413</v>
      </c>
      <c r="G13474">
        <v>2910</v>
      </c>
      <c r="H13474">
        <v>2910</v>
      </c>
      <c r="I13474">
        <v>2682</v>
      </c>
      <c r="J13474">
        <v>2682</v>
      </c>
      <c r="K13474">
        <v>862</v>
      </c>
      <c r="L13474">
        <v>4</v>
      </c>
      <c r="M13474">
        <v>1795</v>
      </c>
      <c r="N13474">
        <v>226</v>
      </c>
      <c r="O13474">
        <v>23</v>
      </c>
      <c r="P13474">
        <v>13</v>
      </c>
      <c r="Q13474">
        <v>4</v>
      </c>
    </row>
    <row r="13475" spans="1:17" x14ac:dyDescent="0.2">
      <c r="A13475" s="121">
        <v>43708</v>
      </c>
      <c r="B13475" t="s">
        <v>406</v>
      </c>
      <c r="C13475" t="s">
        <v>429</v>
      </c>
      <c r="D13475" t="s">
        <v>430</v>
      </c>
      <c r="E13475" t="s">
        <v>431</v>
      </c>
      <c r="F13475" t="s">
        <v>410</v>
      </c>
      <c r="G13475">
        <v>31</v>
      </c>
      <c r="I13475">
        <v>31</v>
      </c>
    </row>
    <row r="13476" spans="1:17" x14ac:dyDescent="0.2">
      <c r="A13476" s="121">
        <v>43708</v>
      </c>
      <c r="B13476" t="s">
        <v>406</v>
      </c>
      <c r="C13476" t="s">
        <v>429</v>
      </c>
      <c r="D13476" t="s">
        <v>432</v>
      </c>
      <c r="E13476" t="s">
        <v>433</v>
      </c>
      <c r="F13476" t="s">
        <v>410</v>
      </c>
      <c r="G13476">
        <v>59</v>
      </c>
      <c r="I13476">
        <v>59</v>
      </c>
    </row>
    <row r="13477" spans="1:17" x14ac:dyDescent="0.2">
      <c r="A13477" s="121">
        <v>43708</v>
      </c>
      <c r="B13477" t="s">
        <v>406</v>
      </c>
      <c r="C13477" t="s">
        <v>429</v>
      </c>
      <c r="D13477" t="s">
        <v>434</v>
      </c>
      <c r="E13477" t="s">
        <v>435</v>
      </c>
      <c r="F13477" t="s">
        <v>410</v>
      </c>
      <c r="G13477">
        <v>3</v>
      </c>
      <c r="I13477">
        <v>3</v>
      </c>
    </row>
    <row r="13478" spans="1:17" x14ac:dyDescent="0.2">
      <c r="A13478" s="121">
        <v>43708</v>
      </c>
      <c r="B13478" t="s">
        <v>406</v>
      </c>
      <c r="C13478" t="s">
        <v>429</v>
      </c>
      <c r="D13478" t="s">
        <v>436</v>
      </c>
      <c r="E13478" t="s">
        <v>437</v>
      </c>
      <c r="F13478" t="s">
        <v>410</v>
      </c>
      <c r="G13478">
        <v>24</v>
      </c>
      <c r="H13478">
        <v>24</v>
      </c>
      <c r="I13478">
        <v>24</v>
      </c>
      <c r="J13478">
        <v>24</v>
      </c>
      <c r="K13478">
        <v>0</v>
      </c>
      <c r="L13478">
        <v>0</v>
      </c>
      <c r="M13478">
        <v>20</v>
      </c>
      <c r="N13478">
        <v>4</v>
      </c>
      <c r="O13478">
        <v>0</v>
      </c>
      <c r="P13478">
        <v>0</v>
      </c>
      <c r="Q13478">
        <v>0</v>
      </c>
    </row>
    <row r="13479" spans="1:17" x14ac:dyDescent="0.2">
      <c r="A13479" s="121">
        <v>43708</v>
      </c>
      <c r="B13479" t="s">
        <v>406</v>
      </c>
      <c r="C13479" t="s">
        <v>429</v>
      </c>
      <c r="D13479" t="s">
        <v>438</v>
      </c>
      <c r="E13479" t="s">
        <v>439</v>
      </c>
      <c r="F13479" t="s">
        <v>413</v>
      </c>
      <c r="G13479">
        <v>1343</v>
      </c>
      <c r="H13479">
        <v>1343</v>
      </c>
      <c r="I13479">
        <v>1252</v>
      </c>
      <c r="J13479">
        <v>1252</v>
      </c>
      <c r="K13479">
        <v>79</v>
      </c>
      <c r="L13479">
        <v>0</v>
      </c>
      <c r="M13479">
        <v>1131</v>
      </c>
      <c r="N13479">
        <v>86</v>
      </c>
      <c r="O13479">
        <v>47</v>
      </c>
      <c r="P13479">
        <v>7</v>
      </c>
      <c r="Q13479">
        <v>1</v>
      </c>
    </row>
    <row r="13480" spans="1:17" x14ac:dyDescent="0.2">
      <c r="A13480" s="121">
        <v>43708</v>
      </c>
      <c r="B13480" t="s">
        <v>406</v>
      </c>
      <c r="C13480" t="s">
        <v>429</v>
      </c>
      <c r="D13480" t="s">
        <v>440</v>
      </c>
      <c r="E13480" t="s">
        <v>441</v>
      </c>
      <c r="F13480" t="s">
        <v>413</v>
      </c>
      <c r="G13480">
        <v>3309</v>
      </c>
      <c r="H13480">
        <v>3309</v>
      </c>
      <c r="I13480">
        <v>3111</v>
      </c>
      <c r="J13480">
        <v>3111</v>
      </c>
      <c r="K13480">
        <v>727</v>
      </c>
      <c r="L13480">
        <v>2</v>
      </c>
      <c r="M13480">
        <v>2435</v>
      </c>
      <c r="N13480">
        <v>86</v>
      </c>
      <c r="O13480">
        <v>59</v>
      </c>
      <c r="P13480">
        <v>6</v>
      </c>
      <c r="Q13480">
        <v>0</v>
      </c>
    </row>
    <row r="13481" spans="1:17" x14ac:dyDescent="0.2">
      <c r="A13481" s="121">
        <v>43708</v>
      </c>
      <c r="B13481" t="s">
        <v>406</v>
      </c>
      <c r="C13481" t="s">
        <v>442</v>
      </c>
      <c r="D13481" t="s">
        <v>443</v>
      </c>
      <c r="E13481" t="s">
        <v>444</v>
      </c>
      <c r="F13481" t="s">
        <v>413</v>
      </c>
      <c r="G13481">
        <v>6052</v>
      </c>
      <c r="H13481">
        <v>6052</v>
      </c>
      <c r="I13481">
        <v>5514</v>
      </c>
      <c r="J13481">
        <v>5514</v>
      </c>
      <c r="K13481">
        <v>1820</v>
      </c>
      <c r="L13481">
        <v>13</v>
      </c>
      <c r="M13481">
        <v>4059</v>
      </c>
      <c r="N13481">
        <v>86</v>
      </c>
      <c r="O13481">
        <v>74</v>
      </c>
      <c r="P13481">
        <v>7</v>
      </c>
      <c r="Q13481">
        <v>1</v>
      </c>
    </row>
    <row r="13482" spans="1:17" x14ac:dyDescent="0.2">
      <c r="A13482" s="121">
        <v>43708</v>
      </c>
      <c r="B13482" t="s">
        <v>406</v>
      </c>
      <c r="C13482" t="s">
        <v>442</v>
      </c>
      <c r="D13482" t="s">
        <v>445</v>
      </c>
      <c r="E13482" t="s">
        <v>446</v>
      </c>
      <c r="F13482" t="s">
        <v>410</v>
      </c>
      <c r="G13482">
        <v>170</v>
      </c>
      <c r="H13482">
        <v>170</v>
      </c>
      <c r="I13482">
        <v>170</v>
      </c>
      <c r="J13482">
        <v>170</v>
      </c>
      <c r="K13482">
        <v>1</v>
      </c>
      <c r="L13482">
        <v>0</v>
      </c>
      <c r="M13482">
        <v>155</v>
      </c>
      <c r="N13482">
        <v>7</v>
      </c>
      <c r="O13482">
        <v>7</v>
      </c>
      <c r="P13482">
        <v>0</v>
      </c>
      <c r="Q13482">
        <v>0</v>
      </c>
    </row>
    <row r="13483" spans="1:17" x14ac:dyDescent="0.2">
      <c r="A13483" s="121">
        <v>43708</v>
      </c>
      <c r="B13483" t="s">
        <v>406</v>
      </c>
      <c r="C13483" t="s">
        <v>442</v>
      </c>
      <c r="D13483" t="s">
        <v>447</v>
      </c>
      <c r="E13483" t="s">
        <v>448</v>
      </c>
      <c r="F13483" t="s">
        <v>410</v>
      </c>
      <c r="G13483">
        <v>334</v>
      </c>
      <c r="H13483">
        <v>334</v>
      </c>
      <c r="I13483">
        <v>333</v>
      </c>
      <c r="J13483">
        <v>333</v>
      </c>
      <c r="K13483">
        <v>1</v>
      </c>
      <c r="L13483">
        <v>0</v>
      </c>
      <c r="M13483">
        <v>319</v>
      </c>
      <c r="N13483">
        <v>14</v>
      </c>
      <c r="O13483">
        <v>0</v>
      </c>
      <c r="P13483">
        <v>0</v>
      </c>
      <c r="Q13483">
        <v>0</v>
      </c>
    </row>
    <row r="13484" spans="1:17" x14ac:dyDescent="0.2">
      <c r="A13484" s="121">
        <v>43708</v>
      </c>
      <c r="B13484" t="s">
        <v>406</v>
      </c>
      <c r="C13484" t="s">
        <v>442</v>
      </c>
      <c r="D13484" t="s">
        <v>449</v>
      </c>
      <c r="E13484" t="s">
        <v>624</v>
      </c>
      <c r="F13484" t="s">
        <v>410</v>
      </c>
      <c r="G13484">
        <v>1955</v>
      </c>
      <c r="H13484">
        <v>1955</v>
      </c>
      <c r="I13484">
        <v>1953</v>
      </c>
      <c r="J13484">
        <v>1953</v>
      </c>
      <c r="K13484">
        <v>22</v>
      </c>
      <c r="L13484">
        <v>0</v>
      </c>
      <c r="M13484">
        <v>1797</v>
      </c>
      <c r="N13484">
        <v>106</v>
      </c>
      <c r="O13484">
        <v>30</v>
      </c>
      <c r="P13484">
        <v>0</v>
      </c>
      <c r="Q13484">
        <v>0</v>
      </c>
    </row>
    <row r="13485" spans="1:17" x14ac:dyDescent="0.2">
      <c r="A13485" s="121">
        <v>43708</v>
      </c>
      <c r="B13485" t="s">
        <v>406</v>
      </c>
      <c r="C13485" t="s">
        <v>451</v>
      </c>
      <c r="D13485" t="s">
        <v>454</v>
      </c>
      <c r="E13485" t="s">
        <v>621</v>
      </c>
      <c r="F13485" t="s">
        <v>410</v>
      </c>
      <c r="G13485">
        <v>2143</v>
      </c>
      <c r="H13485">
        <v>2143</v>
      </c>
      <c r="I13485">
        <v>2140</v>
      </c>
      <c r="J13485">
        <v>2140</v>
      </c>
      <c r="K13485">
        <v>21</v>
      </c>
      <c r="L13485">
        <v>0</v>
      </c>
      <c r="M13485">
        <v>1928</v>
      </c>
      <c r="N13485">
        <v>8</v>
      </c>
      <c r="O13485">
        <v>186</v>
      </c>
      <c r="P13485">
        <v>0</v>
      </c>
      <c r="Q13485">
        <v>0</v>
      </c>
    </row>
    <row r="13486" spans="1:17" x14ac:dyDescent="0.2">
      <c r="A13486" s="121">
        <v>43708</v>
      </c>
      <c r="B13486" t="s">
        <v>406</v>
      </c>
      <c r="C13486" t="s">
        <v>451</v>
      </c>
      <c r="D13486" t="s">
        <v>622</v>
      </c>
      <c r="E13486" t="s">
        <v>623</v>
      </c>
      <c r="F13486" t="s">
        <v>413</v>
      </c>
      <c r="G13486">
        <v>5901</v>
      </c>
      <c r="H13486">
        <v>5901</v>
      </c>
      <c r="I13486">
        <v>5087</v>
      </c>
      <c r="J13486">
        <v>5087</v>
      </c>
      <c r="K13486">
        <v>1508</v>
      </c>
      <c r="L13486">
        <v>6</v>
      </c>
      <c r="M13486">
        <v>4089</v>
      </c>
      <c r="N13486">
        <v>33</v>
      </c>
      <c r="O13486">
        <v>265</v>
      </c>
      <c r="P13486">
        <v>7</v>
      </c>
      <c r="Q13486">
        <v>0</v>
      </c>
    </row>
    <row r="13487" spans="1:17" x14ac:dyDescent="0.2">
      <c r="A13487" s="121">
        <v>43708</v>
      </c>
      <c r="B13487" t="s">
        <v>406</v>
      </c>
      <c r="C13487" t="s">
        <v>456</v>
      </c>
      <c r="D13487" t="s">
        <v>457</v>
      </c>
      <c r="E13487" t="s">
        <v>458</v>
      </c>
      <c r="F13487" t="s">
        <v>413</v>
      </c>
      <c r="G13487">
        <v>5424</v>
      </c>
      <c r="H13487">
        <v>5424</v>
      </c>
      <c r="I13487">
        <v>4788</v>
      </c>
      <c r="J13487">
        <v>4788</v>
      </c>
      <c r="K13487">
        <v>1409</v>
      </c>
      <c r="L13487">
        <v>5</v>
      </c>
      <c r="M13487">
        <v>3501</v>
      </c>
      <c r="N13487">
        <v>44</v>
      </c>
      <c r="O13487">
        <v>465</v>
      </c>
      <c r="P13487">
        <v>20</v>
      </c>
      <c r="Q13487">
        <v>1</v>
      </c>
    </row>
    <row r="13488" spans="1:17" x14ac:dyDescent="0.2">
      <c r="A13488" s="121">
        <v>43708</v>
      </c>
      <c r="B13488" t="s">
        <v>406</v>
      </c>
      <c r="C13488" t="s">
        <v>456</v>
      </c>
      <c r="D13488" t="s">
        <v>459</v>
      </c>
      <c r="E13488" t="s">
        <v>460</v>
      </c>
      <c r="F13488" t="s">
        <v>413</v>
      </c>
      <c r="G13488">
        <v>1410</v>
      </c>
      <c r="H13488">
        <v>1410</v>
      </c>
      <c r="I13488">
        <v>1381</v>
      </c>
      <c r="J13488">
        <v>1381</v>
      </c>
      <c r="K13488">
        <v>122</v>
      </c>
      <c r="L13488">
        <v>0</v>
      </c>
      <c r="M13488">
        <v>1244</v>
      </c>
      <c r="N13488">
        <v>0</v>
      </c>
      <c r="O13488">
        <v>44</v>
      </c>
      <c r="P13488">
        <v>0</v>
      </c>
      <c r="Q13488">
        <v>0</v>
      </c>
    </row>
    <row r="13489" spans="1:17" x14ac:dyDescent="0.2">
      <c r="A13489" s="121">
        <v>43708</v>
      </c>
      <c r="B13489" t="s">
        <v>406</v>
      </c>
      <c r="C13489" t="s">
        <v>456</v>
      </c>
      <c r="D13489" t="s">
        <v>461</v>
      </c>
      <c r="E13489" t="s">
        <v>462</v>
      </c>
      <c r="F13489" t="s">
        <v>410</v>
      </c>
      <c r="G13489">
        <v>104</v>
      </c>
      <c r="I13489">
        <v>104</v>
      </c>
    </row>
    <row r="13490" spans="1:17" x14ac:dyDescent="0.2">
      <c r="A13490" s="121">
        <v>43708</v>
      </c>
      <c r="B13490" t="s">
        <v>406</v>
      </c>
      <c r="C13490" t="s">
        <v>456</v>
      </c>
      <c r="D13490" t="s">
        <v>465</v>
      </c>
      <c r="E13490" t="s">
        <v>466</v>
      </c>
      <c r="F13490" t="s">
        <v>410</v>
      </c>
      <c r="G13490">
        <v>41</v>
      </c>
      <c r="I13490">
        <v>41</v>
      </c>
    </row>
    <row r="13491" spans="1:17" x14ac:dyDescent="0.2">
      <c r="A13491" s="121">
        <v>43708</v>
      </c>
      <c r="B13491" t="s">
        <v>406</v>
      </c>
      <c r="C13491" t="s">
        <v>456</v>
      </c>
      <c r="D13491" t="s">
        <v>467</v>
      </c>
      <c r="E13491" t="s">
        <v>468</v>
      </c>
      <c r="F13491" t="s">
        <v>410</v>
      </c>
      <c r="G13491">
        <v>1254</v>
      </c>
      <c r="I13491">
        <v>1254</v>
      </c>
    </row>
    <row r="13492" spans="1:17" x14ac:dyDescent="0.2">
      <c r="A13492" s="121">
        <v>43708</v>
      </c>
      <c r="B13492" t="s">
        <v>406</v>
      </c>
      <c r="C13492" t="s">
        <v>456</v>
      </c>
      <c r="D13492" t="s">
        <v>469</v>
      </c>
      <c r="E13492" t="s">
        <v>470</v>
      </c>
      <c r="F13492" t="s">
        <v>410</v>
      </c>
      <c r="G13492">
        <v>632</v>
      </c>
      <c r="I13492">
        <v>632</v>
      </c>
    </row>
    <row r="13493" spans="1:17" x14ac:dyDescent="0.2">
      <c r="A13493" s="121">
        <v>43708</v>
      </c>
      <c r="B13493" t="s">
        <v>406</v>
      </c>
      <c r="C13493" t="s">
        <v>456</v>
      </c>
      <c r="D13493" t="s">
        <v>471</v>
      </c>
      <c r="E13493" t="s">
        <v>472</v>
      </c>
      <c r="F13493" t="s">
        <v>410</v>
      </c>
      <c r="G13493">
        <v>271</v>
      </c>
      <c r="I13493">
        <v>271</v>
      </c>
    </row>
    <row r="13494" spans="1:17" x14ac:dyDescent="0.2">
      <c r="A13494" s="121">
        <v>43708</v>
      </c>
      <c r="B13494" t="s">
        <v>406</v>
      </c>
      <c r="C13494" t="s">
        <v>456</v>
      </c>
      <c r="D13494" t="s">
        <v>473</v>
      </c>
      <c r="E13494" t="s">
        <v>474</v>
      </c>
      <c r="F13494" t="s">
        <v>410</v>
      </c>
      <c r="G13494">
        <v>151</v>
      </c>
      <c r="I13494">
        <v>151</v>
      </c>
    </row>
    <row r="13495" spans="1:17" x14ac:dyDescent="0.2">
      <c r="A13495" s="121">
        <v>43708</v>
      </c>
      <c r="B13495" t="s">
        <v>406</v>
      </c>
      <c r="C13495" t="s">
        <v>456</v>
      </c>
      <c r="D13495" t="s">
        <v>475</v>
      </c>
      <c r="E13495" t="s">
        <v>476</v>
      </c>
      <c r="F13495" t="s">
        <v>410</v>
      </c>
      <c r="G13495">
        <v>297</v>
      </c>
      <c r="I13495">
        <v>296</v>
      </c>
    </row>
    <row r="13496" spans="1:17" x14ac:dyDescent="0.2">
      <c r="A13496" s="121">
        <v>43708</v>
      </c>
      <c r="B13496" t="s">
        <v>406</v>
      </c>
      <c r="C13496" t="s">
        <v>456</v>
      </c>
      <c r="D13496" t="s">
        <v>477</v>
      </c>
      <c r="E13496" t="s">
        <v>478</v>
      </c>
      <c r="F13496" t="s">
        <v>413</v>
      </c>
      <c r="G13496">
        <v>2268</v>
      </c>
      <c r="H13496">
        <v>2268</v>
      </c>
      <c r="I13496">
        <v>2181</v>
      </c>
      <c r="J13496">
        <v>2181</v>
      </c>
      <c r="K13496">
        <v>441</v>
      </c>
      <c r="L13496">
        <v>4</v>
      </c>
      <c r="M13496">
        <v>1807</v>
      </c>
      <c r="N13496">
        <v>14</v>
      </c>
      <c r="O13496">
        <v>2</v>
      </c>
      <c r="P13496">
        <v>1</v>
      </c>
      <c r="Q13496">
        <v>0</v>
      </c>
    </row>
    <row r="13497" spans="1:17" x14ac:dyDescent="0.2">
      <c r="A13497" s="121">
        <v>43708</v>
      </c>
      <c r="B13497" t="s">
        <v>406</v>
      </c>
      <c r="C13497" t="s">
        <v>456</v>
      </c>
      <c r="D13497" t="s">
        <v>479</v>
      </c>
      <c r="E13497" t="s">
        <v>480</v>
      </c>
      <c r="F13497" t="s">
        <v>410</v>
      </c>
      <c r="G13497">
        <v>57</v>
      </c>
      <c r="I13497">
        <v>57</v>
      </c>
    </row>
    <row r="13498" spans="1:17" x14ac:dyDescent="0.2">
      <c r="A13498" s="121">
        <v>43708</v>
      </c>
      <c r="B13498" t="s">
        <v>406</v>
      </c>
      <c r="C13498" t="s">
        <v>456</v>
      </c>
      <c r="D13498" t="s">
        <v>481</v>
      </c>
      <c r="E13498" t="s">
        <v>482</v>
      </c>
      <c r="F13498" t="s">
        <v>410</v>
      </c>
      <c r="G13498">
        <v>11</v>
      </c>
      <c r="I13498">
        <v>11</v>
      </c>
    </row>
    <row r="13499" spans="1:17" x14ac:dyDescent="0.2">
      <c r="A13499" s="121">
        <v>43708</v>
      </c>
      <c r="B13499" t="s">
        <v>406</v>
      </c>
      <c r="C13499" t="s">
        <v>456</v>
      </c>
      <c r="D13499" t="s">
        <v>483</v>
      </c>
      <c r="E13499" t="s">
        <v>484</v>
      </c>
      <c r="F13499" t="s">
        <v>410</v>
      </c>
      <c r="G13499">
        <v>94</v>
      </c>
      <c r="I13499">
        <v>94</v>
      </c>
    </row>
    <row r="13500" spans="1:17" x14ac:dyDescent="0.2">
      <c r="A13500" s="121">
        <v>43708</v>
      </c>
      <c r="B13500" t="s">
        <v>406</v>
      </c>
      <c r="C13500" t="s">
        <v>456</v>
      </c>
      <c r="D13500" t="s">
        <v>487</v>
      </c>
      <c r="E13500" t="s">
        <v>488</v>
      </c>
      <c r="F13500" t="s">
        <v>410</v>
      </c>
      <c r="G13500">
        <v>10</v>
      </c>
      <c r="I13500">
        <v>10</v>
      </c>
    </row>
    <row r="13501" spans="1:17" x14ac:dyDescent="0.2">
      <c r="A13501" s="121">
        <v>43708</v>
      </c>
      <c r="B13501" t="s">
        <v>406</v>
      </c>
      <c r="C13501" t="s">
        <v>456</v>
      </c>
      <c r="D13501" t="s">
        <v>489</v>
      </c>
      <c r="E13501" t="s">
        <v>490</v>
      </c>
      <c r="F13501" t="s">
        <v>410</v>
      </c>
      <c r="G13501">
        <v>104</v>
      </c>
      <c r="I13501">
        <v>104</v>
      </c>
    </row>
    <row r="13502" spans="1:17" x14ac:dyDescent="0.2">
      <c r="A13502" s="121">
        <v>43708</v>
      </c>
      <c r="B13502" t="s">
        <v>406</v>
      </c>
      <c r="C13502" t="s">
        <v>456</v>
      </c>
      <c r="D13502" t="s">
        <v>628</v>
      </c>
      <c r="E13502" t="s">
        <v>629</v>
      </c>
      <c r="F13502" t="s">
        <v>410</v>
      </c>
      <c r="G13502">
        <v>52</v>
      </c>
      <c r="I13502">
        <v>52</v>
      </c>
    </row>
    <row r="13503" spans="1:17" x14ac:dyDescent="0.2">
      <c r="A13503" s="121">
        <v>43708</v>
      </c>
      <c r="B13503" t="s">
        <v>406</v>
      </c>
      <c r="C13503" t="s">
        <v>491</v>
      </c>
      <c r="D13503" t="s">
        <v>492</v>
      </c>
      <c r="E13503" t="s">
        <v>493</v>
      </c>
      <c r="F13503" t="s">
        <v>410</v>
      </c>
      <c r="G13503">
        <v>1703</v>
      </c>
      <c r="H13503">
        <v>1703</v>
      </c>
      <c r="I13503">
        <v>1655</v>
      </c>
      <c r="J13503">
        <v>1655</v>
      </c>
      <c r="K13503">
        <v>232</v>
      </c>
      <c r="L13503">
        <v>1</v>
      </c>
      <c r="M13503">
        <v>1350</v>
      </c>
      <c r="N13503">
        <v>95</v>
      </c>
      <c r="O13503">
        <v>25</v>
      </c>
      <c r="P13503">
        <v>0</v>
      </c>
      <c r="Q13503">
        <v>0</v>
      </c>
    </row>
    <row r="13504" spans="1:17" x14ac:dyDescent="0.2">
      <c r="A13504" s="121">
        <v>43708</v>
      </c>
      <c r="B13504" t="s">
        <v>406</v>
      </c>
      <c r="C13504" t="s">
        <v>491</v>
      </c>
      <c r="D13504" t="s">
        <v>494</v>
      </c>
      <c r="E13504" t="s">
        <v>495</v>
      </c>
      <c r="F13504" t="s">
        <v>413</v>
      </c>
      <c r="G13504">
        <v>2834</v>
      </c>
      <c r="H13504">
        <v>2834</v>
      </c>
      <c r="I13504">
        <v>2639</v>
      </c>
      <c r="J13504">
        <v>2639</v>
      </c>
      <c r="K13504">
        <v>689</v>
      </c>
      <c r="L13504">
        <v>4</v>
      </c>
      <c r="M13504">
        <v>2032</v>
      </c>
      <c r="N13504">
        <v>35</v>
      </c>
      <c r="O13504">
        <v>74</v>
      </c>
      <c r="P13504">
        <v>9</v>
      </c>
      <c r="Q13504">
        <v>0</v>
      </c>
    </row>
    <row r="13505" spans="1:17" x14ac:dyDescent="0.2">
      <c r="A13505" s="121">
        <v>43708</v>
      </c>
      <c r="B13505" t="s">
        <v>406</v>
      </c>
      <c r="C13505" t="s">
        <v>491</v>
      </c>
      <c r="D13505" t="s">
        <v>496</v>
      </c>
      <c r="E13505" t="s">
        <v>497</v>
      </c>
      <c r="F13505" t="s">
        <v>413</v>
      </c>
      <c r="G13505">
        <v>5878</v>
      </c>
      <c r="H13505">
        <v>5878</v>
      </c>
      <c r="I13505">
        <v>4880</v>
      </c>
      <c r="J13505">
        <v>4880</v>
      </c>
      <c r="K13505">
        <v>1869</v>
      </c>
      <c r="L13505">
        <v>6</v>
      </c>
      <c r="M13505">
        <v>3758</v>
      </c>
      <c r="N13505">
        <v>100</v>
      </c>
      <c r="O13505">
        <v>145</v>
      </c>
      <c r="P13505">
        <v>108</v>
      </c>
      <c r="Q13505">
        <v>1</v>
      </c>
    </row>
    <row r="13506" spans="1:17" x14ac:dyDescent="0.2">
      <c r="A13506" s="121">
        <v>43708</v>
      </c>
      <c r="B13506" t="s">
        <v>406</v>
      </c>
      <c r="C13506" t="s">
        <v>491</v>
      </c>
      <c r="D13506" t="s">
        <v>498</v>
      </c>
      <c r="E13506" t="s">
        <v>499</v>
      </c>
      <c r="F13506" t="s">
        <v>413</v>
      </c>
      <c r="G13506">
        <v>8397</v>
      </c>
      <c r="H13506">
        <v>8397</v>
      </c>
      <c r="I13506">
        <v>7530</v>
      </c>
      <c r="J13506">
        <v>7530</v>
      </c>
      <c r="K13506">
        <v>2517</v>
      </c>
      <c r="L13506">
        <v>19</v>
      </c>
      <c r="M13506">
        <v>5363</v>
      </c>
      <c r="N13506">
        <v>102</v>
      </c>
      <c r="O13506">
        <v>396</v>
      </c>
      <c r="P13506">
        <v>20</v>
      </c>
      <c r="Q13506">
        <v>0</v>
      </c>
    </row>
    <row r="13507" spans="1:17" x14ac:dyDescent="0.2">
      <c r="A13507" s="121">
        <v>43708</v>
      </c>
      <c r="B13507" t="s">
        <v>406</v>
      </c>
      <c r="C13507" t="s">
        <v>491</v>
      </c>
      <c r="D13507" t="s">
        <v>500</v>
      </c>
      <c r="E13507" t="s">
        <v>620</v>
      </c>
      <c r="F13507" t="s">
        <v>410</v>
      </c>
      <c r="G13507">
        <v>2076</v>
      </c>
      <c r="H13507">
        <v>2076</v>
      </c>
      <c r="I13507">
        <v>2065</v>
      </c>
      <c r="J13507">
        <v>2065</v>
      </c>
      <c r="K13507">
        <v>2</v>
      </c>
      <c r="L13507">
        <v>0</v>
      </c>
      <c r="M13507">
        <v>1849</v>
      </c>
      <c r="N13507">
        <v>111</v>
      </c>
      <c r="O13507">
        <v>114</v>
      </c>
      <c r="P13507">
        <v>0</v>
      </c>
      <c r="Q13507">
        <v>0</v>
      </c>
    </row>
    <row r="13508" spans="1:17" x14ac:dyDescent="0.2">
      <c r="A13508" s="121">
        <v>43708</v>
      </c>
      <c r="B13508" t="s">
        <v>406</v>
      </c>
      <c r="C13508" t="s">
        <v>491</v>
      </c>
      <c r="D13508" t="s">
        <v>502</v>
      </c>
      <c r="E13508" t="s">
        <v>615</v>
      </c>
      <c r="F13508" t="s">
        <v>410</v>
      </c>
      <c r="G13508">
        <v>3268</v>
      </c>
      <c r="H13508">
        <v>3268</v>
      </c>
      <c r="I13508">
        <v>3263</v>
      </c>
      <c r="J13508">
        <v>3263</v>
      </c>
      <c r="K13508">
        <v>0</v>
      </c>
      <c r="L13508">
        <v>2</v>
      </c>
      <c r="M13508">
        <v>2928</v>
      </c>
      <c r="N13508">
        <v>219</v>
      </c>
      <c r="O13508">
        <v>119</v>
      </c>
      <c r="P13508">
        <v>0</v>
      </c>
      <c r="Q13508">
        <v>0</v>
      </c>
    </row>
    <row r="13509" spans="1:17" x14ac:dyDescent="0.2">
      <c r="A13509" s="121">
        <v>43708</v>
      </c>
      <c r="B13509" t="s">
        <v>406</v>
      </c>
      <c r="C13509" t="s">
        <v>491</v>
      </c>
      <c r="D13509" t="s">
        <v>504</v>
      </c>
      <c r="E13509" t="s">
        <v>630</v>
      </c>
      <c r="F13509" t="s">
        <v>413</v>
      </c>
      <c r="G13509">
        <v>9144</v>
      </c>
      <c r="H13509">
        <v>9144</v>
      </c>
      <c r="I13509">
        <v>7459</v>
      </c>
      <c r="J13509">
        <v>7459</v>
      </c>
      <c r="K13509">
        <v>2867</v>
      </c>
      <c r="L13509">
        <v>19</v>
      </c>
      <c r="M13509">
        <v>5834</v>
      </c>
      <c r="N13509">
        <v>59</v>
      </c>
      <c r="O13509">
        <v>365</v>
      </c>
      <c r="P13509">
        <v>52</v>
      </c>
      <c r="Q13509">
        <v>0</v>
      </c>
    </row>
    <row r="13510" spans="1:17" x14ac:dyDescent="0.2">
      <c r="A13510" s="121">
        <v>43708</v>
      </c>
      <c r="B13510" t="s">
        <v>406</v>
      </c>
      <c r="C13510" t="s">
        <v>491</v>
      </c>
      <c r="D13510" t="s">
        <v>506</v>
      </c>
      <c r="E13510" t="s">
        <v>507</v>
      </c>
      <c r="F13510" t="s">
        <v>413</v>
      </c>
      <c r="G13510">
        <v>5425</v>
      </c>
      <c r="H13510">
        <v>5425</v>
      </c>
      <c r="I13510">
        <v>5305</v>
      </c>
      <c r="J13510">
        <v>5305</v>
      </c>
      <c r="K13510">
        <v>1144</v>
      </c>
      <c r="L13510">
        <v>2</v>
      </c>
      <c r="M13510">
        <v>4251</v>
      </c>
      <c r="N13510">
        <v>1</v>
      </c>
      <c r="O13510">
        <v>27</v>
      </c>
      <c r="P13510">
        <v>0</v>
      </c>
      <c r="Q13510">
        <v>0</v>
      </c>
    </row>
    <row r="13511" spans="1:17" x14ac:dyDescent="0.2">
      <c r="A13511" s="121">
        <v>43708</v>
      </c>
      <c r="B13511" t="s">
        <v>406</v>
      </c>
      <c r="C13511" t="s">
        <v>510</v>
      </c>
      <c r="D13511" t="s">
        <v>513</v>
      </c>
      <c r="E13511" t="s">
        <v>514</v>
      </c>
      <c r="F13511" t="s">
        <v>410</v>
      </c>
      <c r="G13511">
        <v>797</v>
      </c>
      <c r="I13511">
        <v>792</v>
      </c>
    </row>
    <row r="13512" spans="1:17" x14ac:dyDescent="0.2">
      <c r="A13512" s="121">
        <v>43708</v>
      </c>
      <c r="B13512" t="s">
        <v>406</v>
      </c>
      <c r="C13512" t="s">
        <v>510</v>
      </c>
      <c r="D13512" t="s">
        <v>515</v>
      </c>
      <c r="E13512" t="s">
        <v>516</v>
      </c>
      <c r="F13512" t="s">
        <v>410</v>
      </c>
      <c r="G13512">
        <v>142</v>
      </c>
      <c r="I13512">
        <v>142</v>
      </c>
    </row>
    <row r="13513" spans="1:17" x14ac:dyDescent="0.2">
      <c r="A13513" s="121">
        <v>43708</v>
      </c>
      <c r="B13513" t="s">
        <v>406</v>
      </c>
      <c r="C13513" t="s">
        <v>510</v>
      </c>
      <c r="D13513" t="s">
        <v>519</v>
      </c>
      <c r="E13513" t="s">
        <v>520</v>
      </c>
      <c r="F13513" t="s">
        <v>410</v>
      </c>
      <c r="G13513">
        <v>366</v>
      </c>
      <c r="I13513">
        <v>359</v>
      </c>
    </row>
    <row r="13514" spans="1:17" x14ac:dyDescent="0.2">
      <c r="A13514" s="121">
        <v>43708</v>
      </c>
      <c r="B13514" t="s">
        <v>406</v>
      </c>
      <c r="C13514" t="s">
        <v>510</v>
      </c>
      <c r="D13514" t="s">
        <v>523</v>
      </c>
      <c r="E13514" t="s">
        <v>524</v>
      </c>
      <c r="F13514" t="s">
        <v>413</v>
      </c>
      <c r="G13514">
        <v>850</v>
      </c>
      <c r="H13514">
        <v>850</v>
      </c>
      <c r="I13514">
        <v>814</v>
      </c>
      <c r="J13514">
        <v>814</v>
      </c>
      <c r="K13514">
        <v>139</v>
      </c>
      <c r="L13514">
        <v>1</v>
      </c>
      <c r="M13514">
        <v>682</v>
      </c>
      <c r="N13514">
        <v>28</v>
      </c>
      <c r="O13514">
        <v>0</v>
      </c>
      <c r="P13514">
        <v>4</v>
      </c>
      <c r="Q13514">
        <v>0</v>
      </c>
    </row>
    <row r="13515" spans="1:17" x14ac:dyDescent="0.2">
      <c r="A13515" s="121">
        <v>43708</v>
      </c>
      <c r="B13515" t="s">
        <v>406</v>
      </c>
      <c r="C13515" t="s">
        <v>510</v>
      </c>
      <c r="D13515" t="s">
        <v>525</v>
      </c>
      <c r="E13515" t="s">
        <v>526</v>
      </c>
      <c r="F13515" t="s">
        <v>410</v>
      </c>
      <c r="G13515">
        <v>521</v>
      </c>
      <c r="I13515">
        <v>517</v>
      </c>
    </row>
    <row r="13516" spans="1:17" x14ac:dyDescent="0.2">
      <c r="A13516" s="121">
        <v>43708</v>
      </c>
      <c r="B13516" t="s">
        <v>406</v>
      </c>
      <c r="C13516" t="s">
        <v>510</v>
      </c>
      <c r="D13516" t="s">
        <v>527</v>
      </c>
      <c r="E13516" t="s">
        <v>528</v>
      </c>
      <c r="F13516" t="s">
        <v>410</v>
      </c>
      <c r="G13516">
        <v>189</v>
      </c>
      <c r="I13516">
        <v>189</v>
      </c>
    </row>
    <row r="13517" spans="1:17" x14ac:dyDescent="0.2">
      <c r="A13517" s="121">
        <v>43708</v>
      </c>
      <c r="B13517" t="s">
        <v>406</v>
      </c>
      <c r="C13517" t="s">
        <v>510</v>
      </c>
      <c r="D13517" t="s">
        <v>529</v>
      </c>
      <c r="E13517" t="s">
        <v>530</v>
      </c>
      <c r="F13517" t="s">
        <v>413</v>
      </c>
      <c r="G13517">
        <v>746</v>
      </c>
      <c r="H13517">
        <v>746</v>
      </c>
      <c r="I13517">
        <v>724</v>
      </c>
      <c r="J13517">
        <v>724</v>
      </c>
      <c r="K13517">
        <v>205</v>
      </c>
      <c r="L13517">
        <v>2</v>
      </c>
      <c r="M13517">
        <v>533</v>
      </c>
      <c r="N13517">
        <v>6</v>
      </c>
      <c r="O13517">
        <v>0</v>
      </c>
      <c r="P13517">
        <v>1</v>
      </c>
      <c r="Q13517">
        <v>0</v>
      </c>
    </row>
    <row r="13518" spans="1:17" x14ac:dyDescent="0.2">
      <c r="A13518" s="121">
        <v>43708</v>
      </c>
      <c r="B13518" t="s">
        <v>406</v>
      </c>
      <c r="C13518" t="s">
        <v>510</v>
      </c>
      <c r="D13518" t="s">
        <v>531</v>
      </c>
      <c r="E13518" t="s">
        <v>532</v>
      </c>
      <c r="F13518" t="s">
        <v>410</v>
      </c>
      <c r="G13518">
        <v>86</v>
      </c>
      <c r="I13518">
        <v>86</v>
      </c>
    </row>
    <row r="13519" spans="1:17" x14ac:dyDescent="0.2">
      <c r="A13519" s="121">
        <v>43708</v>
      </c>
      <c r="B13519" t="s">
        <v>406</v>
      </c>
      <c r="C13519" t="s">
        <v>510</v>
      </c>
      <c r="D13519" t="s">
        <v>533</v>
      </c>
      <c r="E13519" t="s">
        <v>534</v>
      </c>
      <c r="F13519" t="s">
        <v>413</v>
      </c>
      <c r="G13519">
        <v>3523</v>
      </c>
      <c r="H13519">
        <v>3523</v>
      </c>
      <c r="I13519">
        <v>3266</v>
      </c>
      <c r="J13519">
        <v>3266</v>
      </c>
      <c r="K13519">
        <v>736</v>
      </c>
      <c r="L13519">
        <v>5</v>
      </c>
      <c r="M13519">
        <v>2654</v>
      </c>
      <c r="N13519">
        <v>12</v>
      </c>
      <c r="O13519">
        <v>116</v>
      </c>
      <c r="P13519">
        <v>3</v>
      </c>
      <c r="Q13519">
        <v>0</v>
      </c>
    </row>
    <row r="13520" spans="1:17" x14ac:dyDescent="0.2">
      <c r="A13520" s="121">
        <v>43708</v>
      </c>
      <c r="B13520" t="s">
        <v>406</v>
      </c>
      <c r="C13520" t="s">
        <v>510</v>
      </c>
      <c r="D13520" t="s">
        <v>535</v>
      </c>
      <c r="E13520" t="s">
        <v>536</v>
      </c>
      <c r="F13520" t="s">
        <v>410</v>
      </c>
      <c r="G13520">
        <v>438</v>
      </c>
      <c r="I13520">
        <v>438</v>
      </c>
    </row>
    <row r="13521" spans="1:17" x14ac:dyDescent="0.2">
      <c r="A13521" s="121">
        <v>43708</v>
      </c>
      <c r="B13521" t="s">
        <v>406</v>
      </c>
      <c r="C13521" t="s">
        <v>510</v>
      </c>
      <c r="D13521" t="s">
        <v>537</v>
      </c>
      <c r="E13521" t="s">
        <v>538</v>
      </c>
      <c r="F13521" t="s">
        <v>410</v>
      </c>
      <c r="G13521">
        <v>65</v>
      </c>
      <c r="I13521">
        <v>65</v>
      </c>
    </row>
    <row r="13522" spans="1:17" x14ac:dyDescent="0.2">
      <c r="A13522" s="121">
        <v>43708</v>
      </c>
      <c r="B13522" t="s">
        <v>406</v>
      </c>
      <c r="C13522" t="s">
        <v>510</v>
      </c>
      <c r="D13522" t="s">
        <v>539</v>
      </c>
      <c r="E13522" t="s">
        <v>540</v>
      </c>
      <c r="F13522" t="s">
        <v>413</v>
      </c>
      <c r="G13522">
        <v>1024</v>
      </c>
      <c r="H13522">
        <v>1024</v>
      </c>
      <c r="I13522">
        <v>923</v>
      </c>
      <c r="J13522">
        <v>923</v>
      </c>
      <c r="K13522">
        <v>166</v>
      </c>
      <c r="L13522">
        <v>1</v>
      </c>
      <c r="M13522">
        <v>851</v>
      </c>
      <c r="N13522">
        <v>5</v>
      </c>
      <c r="O13522">
        <v>1</v>
      </c>
      <c r="P13522">
        <v>3</v>
      </c>
      <c r="Q13522">
        <v>0</v>
      </c>
    </row>
    <row r="13523" spans="1:17" x14ac:dyDescent="0.2">
      <c r="A13523" s="121">
        <v>43708</v>
      </c>
      <c r="B13523" t="s">
        <v>406</v>
      </c>
      <c r="C13523" t="s">
        <v>510</v>
      </c>
      <c r="D13523" t="s">
        <v>541</v>
      </c>
      <c r="E13523" t="s">
        <v>542</v>
      </c>
      <c r="F13523" t="s">
        <v>410</v>
      </c>
      <c r="G13523">
        <v>519</v>
      </c>
      <c r="I13523">
        <v>519</v>
      </c>
    </row>
    <row r="13524" spans="1:17" x14ac:dyDescent="0.2">
      <c r="A13524" s="121">
        <v>43708</v>
      </c>
      <c r="B13524" t="s">
        <v>406</v>
      </c>
      <c r="C13524" t="s">
        <v>510</v>
      </c>
      <c r="D13524" t="s">
        <v>543</v>
      </c>
      <c r="E13524" t="s">
        <v>544</v>
      </c>
      <c r="F13524" t="s">
        <v>410</v>
      </c>
      <c r="G13524">
        <v>309</v>
      </c>
      <c r="I13524">
        <v>309</v>
      </c>
    </row>
    <row r="13525" spans="1:17" x14ac:dyDescent="0.2">
      <c r="A13525" s="121">
        <v>43708</v>
      </c>
      <c r="B13525" t="s">
        <v>406</v>
      </c>
      <c r="C13525" t="s">
        <v>510</v>
      </c>
      <c r="D13525" t="s">
        <v>547</v>
      </c>
      <c r="E13525" t="s">
        <v>548</v>
      </c>
      <c r="F13525" t="s">
        <v>410</v>
      </c>
      <c r="G13525">
        <v>194</v>
      </c>
      <c r="I13525">
        <v>194</v>
      </c>
    </row>
    <row r="13526" spans="1:17" x14ac:dyDescent="0.2">
      <c r="A13526" s="121">
        <v>43708</v>
      </c>
      <c r="B13526" t="s">
        <v>406</v>
      </c>
      <c r="C13526" t="s">
        <v>510</v>
      </c>
      <c r="D13526" t="s">
        <v>616</v>
      </c>
      <c r="E13526" t="s">
        <v>617</v>
      </c>
      <c r="F13526" t="s">
        <v>410</v>
      </c>
      <c r="G13526">
        <v>498</v>
      </c>
      <c r="I13526">
        <v>488</v>
      </c>
    </row>
    <row r="13527" spans="1:17" x14ac:dyDescent="0.2">
      <c r="A13527" s="121">
        <v>43708</v>
      </c>
      <c r="B13527" t="s">
        <v>406</v>
      </c>
      <c r="C13527" t="s">
        <v>510</v>
      </c>
      <c r="D13527" t="s">
        <v>549</v>
      </c>
      <c r="E13527" t="s">
        <v>550</v>
      </c>
      <c r="F13527" t="s">
        <v>410</v>
      </c>
      <c r="G13527">
        <v>162</v>
      </c>
      <c r="I13527">
        <v>162</v>
      </c>
    </row>
    <row r="13528" spans="1:17" x14ac:dyDescent="0.2">
      <c r="A13528" s="121">
        <v>43708</v>
      </c>
      <c r="B13528" t="s">
        <v>406</v>
      </c>
      <c r="C13528" t="s">
        <v>510</v>
      </c>
      <c r="D13528" t="s">
        <v>625</v>
      </c>
      <c r="E13528" t="s">
        <v>626</v>
      </c>
      <c r="F13528" t="s">
        <v>410</v>
      </c>
      <c r="G13528">
        <v>146</v>
      </c>
      <c r="I13528">
        <v>146</v>
      </c>
    </row>
    <row r="13529" spans="1:17" x14ac:dyDescent="0.2">
      <c r="A13529" s="121">
        <v>43708</v>
      </c>
      <c r="B13529" t="s">
        <v>406</v>
      </c>
      <c r="C13529" t="s">
        <v>551</v>
      </c>
      <c r="D13529" t="s">
        <v>552</v>
      </c>
      <c r="E13529" t="s">
        <v>553</v>
      </c>
      <c r="F13529" t="s">
        <v>413</v>
      </c>
      <c r="G13529">
        <v>6312</v>
      </c>
      <c r="H13529">
        <v>6312</v>
      </c>
      <c r="I13529">
        <v>5694</v>
      </c>
      <c r="J13529">
        <v>5694</v>
      </c>
      <c r="K13529">
        <v>2121</v>
      </c>
      <c r="L13529">
        <v>6</v>
      </c>
      <c r="M13529">
        <v>4038</v>
      </c>
      <c r="N13529">
        <v>108</v>
      </c>
      <c r="O13529">
        <v>39</v>
      </c>
      <c r="P13529">
        <v>43</v>
      </c>
      <c r="Q13529">
        <v>1</v>
      </c>
    </row>
    <row r="13530" spans="1:17" x14ac:dyDescent="0.2">
      <c r="A13530" s="121">
        <v>43708</v>
      </c>
      <c r="B13530" t="s">
        <v>406</v>
      </c>
      <c r="C13530" t="s">
        <v>551</v>
      </c>
      <c r="D13530" t="s">
        <v>554</v>
      </c>
      <c r="E13530" t="s">
        <v>555</v>
      </c>
      <c r="F13530" t="s">
        <v>410</v>
      </c>
      <c r="G13530">
        <v>80</v>
      </c>
      <c r="H13530">
        <v>80</v>
      </c>
      <c r="I13530">
        <v>79</v>
      </c>
      <c r="J13530">
        <v>79</v>
      </c>
      <c r="K13530">
        <v>4</v>
      </c>
      <c r="L13530">
        <v>0</v>
      </c>
      <c r="M13530">
        <v>69</v>
      </c>
      <c r="N13530">
        <v>6</v>
      </c>
      <c r="O13530">
        <v>1</v>
      </c>
      <c r="P13530">
        <v>0</v>
      </c>
      <c r="Q13530">
        <v>0</v>
      </c>
    </row>
    <row r="13531" spans="1:17" x14ac:dyDescent="0.2">
      <c r="A13531" s="121">
        <v>43708</v>
      </c>
      <c r="B13531" t="s">
        <v>406</v>
      </c>
      <c r="C13531" t="s">
        <v>551</v>
      </c>
      <c r="D13531" t="s">
        <v>556</v>
      </c>
      <c r="E13531" t="s">
        <v>557</v>
      </c>
      <c r="F13531" t="s">
        <v>410</v>
      </c>
      <c r="G13531">
        <v>50</v>
      </c>
      <c r="H13531">
        <v>50</v>
      </c>
      <c r="I13531">
        <v>50</v>
      </c>
      <c r="J13531">
        <v>50</v>
      </c>
      <c r="K13531">
        <v>1</v>
      </c>
      <c r="L13531">
        <v>0</v>
      </c>
      <c r="M13531">
        <v>45</v>
      </c>
      <c r="N13531">
        <v>3</v>
      </c>
      <c r="O13531">
        <v>1</v>
      </c>
      <c r="P13531">
        <v>0</v>
      </c>
      <c r="Q13531">
        <v>0</v>
      </c>
    </row>
    <row r="13532" spans="1:17" x14ac:dyDescent="0.2">
      <c r="A13532" s="121">
        <v>43708</v>
      </c>
      <c r="B13532" t="s">
        <v>406</v>
      </c>
      <c r="C13532" t="s">
        <v>551</v>
      </c>
      <c r="D13532" t="s">
        <v>558</v>
      </c>
      <c r="E13532" t="s">
        <v>559</v>
      </c>
      <c r="F13532" t="s">
        <v>413</v>
      </c>
      <c r="G13532">
        <v>5810</v>
      </c>
      <c r="H13532">
        <v>5810</v>
      </c>
      <c r="I13532">
        <v>4637</v>
      </c>
      <c r="J13532">
        <v>4637</v>
      </c>
      <c r="K13532">
        <v>1547</v>
      </c>
      <c r="L13532">
        <v>4</v>
      </c>
      <c r="M13532">
        <v>4147</v>
      </c>
      <c r="N13532">
        <v>77</v>
      </c>
      <c r="O13532">
        <v>35</v>
      </c>
      <c r="P13532">
        <v>198</v>
      </c>
      <c r="Q13532">
        <v>46</v>
      </c>
    </row>
    <row r="13533" spans="1:17" x14ac:dyDescent="0.2">
      <c r="A13533" s="121">
        <v>43708</v>
      </c>
      <c r="B13533" t="s">
        <v>406</v>
      </c>
      <c r="C13533" t="s">
        <v>551</v>
      </c>
      <c r="D13533" t="s">
        <v>560</v>
      </c>
      <c r="E13533" t="s">
        <v>561</v>
      </c>
      <c r="F13533" t="s">
        <v>413</v>
      </c>
      <c r="G13533">
        <v>6541</v>
      </c>
      <c r="H13533">
        <v>6541</v>
      </c>
      <c r="I13533">
        <v>5405</v>
      </c>
      <c r="J13533">
        <v>5405</v>
      </c>
      <c r="K13533">
        <v>1781</v>
      </c>
      <c r="L13533">
        <v>10</v>
      </c>
      <c r="M13533">
        <v>4633</v>
      </c>
      <c r="N13533">
        <v>76</v>
      </c>
      <c r="O13533">
        <v>41</v>
      </c>
      <c r="P13533">
        <v>139</v>
      </c>
      <c r="Q13533">
        <v>21</v>
      </c>
    </row>
    <row r="13534" spans="1:17" x14ac:dyDescent="0.2">
      <c r="A13534" s="121">
        <v>43708</v>
      </c>
      <c r="B13534" t="s">
        <v>406</v>
      </c>
      <c r="C13534" t="s">
        <v>562</v>
      </c>
      <c r="D13534" t="s">
        <v>605</v>
      </c>
      <c r="E13534" t="s">
        <v>606</v>
      </c>
      <c r="F13534" t="s">
        <v>410</v>
      </c>
      <c r="G13534">
        <v>200</v>
      </c>
      <c r="I13534">
        <v>200</v>
      </c>
    </row>
    <row r="13535" spans="1:17" x14ac:dyDescent="0.2">
      <c r="A13535" s="121">
        <v>43708</v>
      </c>
      <c r="B13535" t="s">
        <v>406</v>
      </c>
      <c r="C13535" t="s">
        <v>562</v>
      </c>
      <c r="D13535" t="s">
        <v>563</v>
      </c>
      <c r="E13535" t="s">
        <v>564</v>
      </c>
      <c r="F13535" t="s">
        <v>410</v>
      </c>
      <c r="G13535">
        <v>4266</v>
      </c>
      <c r="H13535">
        <v>4266</v>
      </c>
      <c r="I13535">
        <v>3964</v>
      </c>
      <c r="J13535">
        <v>3964</v>
      </c>
      <c r="K13535">
        <v>1232</v>
      </c>
      <c r="L13535">
        <v>0</v>
      </c>
      <c r="M13535">
        <v>3029</v>
      </c>
      <c r="N13535">
        <v>5</v>
      </c>
      <c r="O13535">
        <v>0</v>
      </c>
      <c r="P13535">
        <v>11</v>
      </c>
      <c r="Q13535">
        <v>2</v>
      </c>
    </row>
    <row r="13536" spans="1:17" x14ac:dyDescent="0.2">
      <c r="A13536" s="121">
        <v>43708</v>
      </c>
      <c r="B13536" t="s">
        <v>406</v>
      </c>
      <c r="C13536" t="s">
        <v>562</v>
      </c>
      <c r="D13536" t="s">
        <v>565</v>
      </c>
      <c r="E13536" t="s">
        <v>566</v>
      </c>
      <c r="F13536" t="s">
        <v>413</v>
      </c>
      <c r="G13536">
        <v>5187</v>
      </c>
      <c r="H13536">
        <v>5187</v>
      </c>
      <c r="I13536">
        <v>4719</v>
      </c>
      <c r="J13536">
        <v>4719</v>
      </c>
      <c r="K13536">
        <v>1000</v>
      </c>
      <c r="L13536">
        <v>3</v>
      </c>
      <c r="M13536">
        <v>4095</v>
      </c>
      <c r="N13536">
        <v>89</v>
      </c>
      <c r="O13536">
        <v>0</v>
      </c>
      <c r="P13536">
        <v>56</v>
      </c>
      <c r="Q13536">
        <v>11</v>
      </c>
    </row>
    <row r="13537" spans="1:17" x14ac:dyDescent="0.2">
      <c r="A13537" s="121">
        <v>43708</v>
      </c>
      <c r="B13537" t="s">
        <v>406</v>
      </c>
      <c r="C13537" t="s">
        <v>562</v>
      </c>
      <c r="D13537" t="s">
        <v>567</v>
      </c>
      <c r="E13537" t="s">
        <v>568</v>
      </c>
      <c r="F13537" t="s">
        <v>413</v>
      </c>
      <c r="G13537">
        <v>11579</v>
      </c>
      <c r="H13537">
        <v>11579</v>
      </c>
      <c r="I13537">
        <v>10069</v>
      </c>
      <c r="J13537">
        <v>10069</v>
      </c>
      <c r="K13537">
        <v>3609</v>
      </c>
      <c r="L13537">
        <v>6</v>
      </c>
      <c r="M13537">
        <v>7768</v>
      </c>
      <c r="N13537">
        <v>196</v>
      </c>
      <c r="O13537">
        <v>0</v>
      </c>
      <c r="P13537">
        <v>142</v>
      </c>
      <c r="Q13537">
        <v>14</v>
      </c>
    </row>
    <row r="13538" spans="1:17" x14ac:dyDescent="0.2">
      <c r="A13538" s="121">
        <v>43708</v>
      </c>
      <c r="B13538" t="s">
        <v>406</v>
      </c>
      <c r="C13538" t="s">
        <v>562</v>
      </c>
      <c r="D13538" t="s">
        <v>569</v>
      </c>
      <c r="E13538" t="s">
        <v>570</v>
      </c>
      <c r="F13538" t="s">
        <v>413</v>
      </c>
      <c r="G13538">
        <v>3948</v>
      </c>
      <c r="H13538">
        <v>3948</v>
      </c>
      <c r="I13538">
        <v>3787</v>
      </c>
      <c r="J13538">
        <v>3787</v>
      </c>
      <c r="K13538">
        <v>563</v>
      </c>
      <c r="L13538">
        <v>0</v>
      </c>
      <c r="M13538">
        <v>3385</v>
      </c>
      <c r="N13538">
        <v>0</v>
      </c>
      <c r="O13538">
        <v>0</v>
      </c>
      <c r="P13538">
        <v>2</v>
      </c>
      <c r="Q13538">
        <v>0</v>
      </c>
    </row>
    <row r="13539" spans="1:17" x14ac:dyDescent="0.2">
      <c r="A13539" s="121">
        <v>43708</v>
      </c>
      <c r="B13539" t="s">
        <v>406</v>
      </c>
      <c r="C13539" t="s">
        <v>571</v>
      </c>
      <c r="D13539" t="s">
        <v>572</v>
      </c>
      <c r="E13539" t="s">
        <v>627</v>
      </c>
      <c r="F13539" t="s">
        <v>413</v>
      </c>
      <c r="G13539">
        <v>651</v>
      </c>
      <c r="H13539">
        <v>651</v>
      </c>
      <c r="I13539">
        <v>637</v>
      </c>
      <c r="J13539">
        <v>637</v>
      </c>
      <c r="K13539">
        <v>134</v>
      </c>
      <c r="L13539">
        <v>0</v>
      </c>
      <c r="M13539">
        <v>507</v>
      </c>
      <c r="N13539">
        <v>7</v>
      </c>
      <c r="O13539">
        <v>3</v>
      </c>
      <c r="P13539">
        <v>0</v>
      </c>
      <c r="Q13539">
        <v>0</v>
      </c>
    </row>
    <row r="13540" spans="1:17" x14ac:dyDescent="0.2">
      <c r="A13540" s="121">
        <v>43708</v>
      </c>
      <c r="B13540" t="s">
        <v>406</v>
      </c>
      <c r="C13540" t="s">
        <v>574</v>
      </c>
      <c r="D13540" t="s">
        <v>575</v>
      </c>
      <c r="E13540" t="s">
        <v>576</v>
      </c>
      <c r="F13540" t="s">
        <v>413</v>
      </c>
      <c r="G13540">
        <v>758</v>
      </c>
      <c r="H13540">
        <v>758</v>
      </c>
      <c r="I13540">
        <v>724</v>
      </c>
      <c r="J13540">
        <v>724</v>
      </c>
      <c r="K13540">
        <v>150</v>
      </c>
      <c r="L13540">
        <v>1</v>
      </c>
      <c r="M13540">
        <v>598</v>
      </c>
      <c r="N13540">
        <v>7</v>
      </c>
      <c r="O13540">
        <v>2</v>
      </c>
      <c r="P13540">
        <v>0</v>
      </c>
      <c r="Q13540">
        <v>0</v>
      </c>
    </row>
    <row r="13541" spans="1:17" x14ac:dyDescent="0.2">
      <c r="A13541" s="121">
        <v>43708</v>
      </c>
      <c r="B13541" t="s">
        <v>406</v>
      </c>
      <c r="C13541" t="s">
        <v>577</v>
      </c>
      <c r="D13541" t="s">
        <v>578</v>
      </c>
      <c r="E13541" t="s">
        <v>579</v>
      </c>
      <c r="F13541" t="s">
        <v>413</v>
      </c>
      <c r="G13541">
        <v>4564</v>
      </c>
      <c r="H13541">
        <v>4564</v>
      </c>
      <c r="I13541">
        <v>4387</v>
      </c>
      <c r="J13541">
        <v>4387</v>
      </c>
      <c r="K13541">
        <v>1350</v>
      </c>
      <c r="L13541">
        <v>4</v>
      </c>
      <c r="M13541">
        <v>2896</v>
      </c>
      <c r="N13541">
        <v>245</v>
      </c>
      <c r="O13541">
        <v>69</v>
      </c>
      <c r="P13541">
        <v>3</v>
      </c>
      <c r="Q13541">
        <v>0</v>
      </c>
    </row>
    <row r="13542" spans="1:17" x14ac:dyDescent="0.2">
      <c r="A13542" s="121">
        <v>43708</v>
      </c>
      <c r="B13542" t="s">
        <v>406</v>
      </c>
      <c r="C13542" t="s">
        <v>577</v>
      </c>
      <c r="D13542" t="s">
        <v>580</v>
      </c>
      <c r="E13542" t="s">
        <v>581</v>
      </c>
      <c r="F13542" t="s">
        <v>413</v>
      </c>
      <c r="G13542">
        <v>2465</v>
      </c>
      <c r="H13542">
        <v>2465</v>
      </c>
      <c r="I13542">
        <v>2227</v>
      </c>
      <c r="J13542">
        <v>2227</v>
      </c>
      <c r="K13542">
        <v>412</v>
      </c>
      <c r="L13542">
        <v>1</v>
      </c>
      <c r="M13542">
        <v>1640</v>
      </c>
      <c r="N13542">
        <v>387</v>
      </c>
      <c r="O13542">
        <v>25</v>
      </c>
      <c r="P13542">
        <v>15</v>
      </c>
      <c r="Q13542">
        <v>0</v>
      </c>
    </row>
    <row r="13543" spans="1:17" x14ac:dyDescent="0.2">
      <c r="A13543" s="121">
        <v>43708</v>
      </c>
      <c r="B13543" t="s">
        <v>406</v>
      </c>
      <c r="C13543" t="s">
        <v>577</v>
      </c>
      <c r="D13543" t="s">
        <v>609</v>
      </c>
      <c r="E13543" t="s">
        <v>610</v>
      </c>
      <c r="F13543" t="s">
        <v>410</v>
      </c>
      <c r="G13543">
        <v>48</v>
      </c>
      <c r="H13543">
        <v>48</v>
      </c>
      <c r="I13543">
        <v>48</v>
      </c>
      <c r="J13543">
        <v>48</v>
      </c>
      <c r="K13543">
        <v>0</v>
      </c>
      <c r="L13543">
        <v>0</v>
      </c>
      <c r="M13543">
        <v>45</v>
      </c>
      <c r="N13543">
        <v>3</v>
      </c>
      <c r="O13543">
        <v>0</v>
      </c>
      <c r="P13543">
        <v>0</v>
      </c>
      <c r="Q13543">
        <v>0</v>
      </c>
    </row>
    <row r="13544" spans="1:17" x14ac:dyDescent="0.2">
      <c r="A13544" s="121">
        <v>43708</v>
      </c>
      <c r="B13544" t="s">
        <v>406</v>
      </c>
      <c r="C13544" t="s">
        <v>577</v>
      </c>
      <c r="D13544" t="s">
        <v>584</v>
      </c>
      <c r="E13544" t="s">
        <v>585</v>
      </c>
      <c r="F13544" t="s">
        <v>410</v>
      </c>
      <c r="G13544">
        <v>360</v>
      </c>
      <c r="H13544">
        <v>360</v>
      </c>
      <c r="I13544">
        <v>360</v>
      </c>
      <c r="J13544">
        <v>360</v>
      </c>
      <c r="K13544">
        <v>0</v>
      </c>
      <c r="L13544">
        <v>0</v>
      </c>
      <c r="M13544">
        <v>343</v>
      </c>
      <c r="N13544">
        <v>11</v>
      </c>
      <c r="O13544">
        <v>6</v>
      </c>
      <c r="P13544">
        <v>0</v>
      </c>
      <c r="Q13544">
        <v>0</v>
      </c>
    </row>
    <row r="13545" spans="1:17" x14ac:dyDescent="0.2">
      <c r="A13545" s="121">
        <v>43708</v>
      </c>
      <c r="B13545" t="s">
        <v>406</v>
      </c>
      <c r="C13545" t="s">
        <v>577</v>
      </c>
      <c r="D13545" t="s">
        <v>586</v>
      </c>
      <c r="E13545" t="s">
        <v>587</v>
      </c>
      <c r="F13545" t="s">
        <v>410</v>
      </c>
      <c r="G13545">
        <v>1427</v>
      </c>
      <c r="H13545">
        <v>1427</v>
      </c>
      <c r="I13545">
        <v>1427</v>
      </c>
      <c r="J13545">
        <v>1427</v>
      </c>
      <c r="K13545">
        <v>0</v>
      </c>
      <c r="L13545">
        <v>0</v>
      </c>
      <c r="M13545">
        <v>1287</v>
      </c>
      <c r="N13545">
        <v>135</v>
      </c>
      <c r="O13545">
        <v>5</v>
      </c>
      <c r="P13545">
        <v>0</v>
      </c>
      <c r="Q13545">
        <v>0</v>
      </c>
    </row>
    <row r="13546" spans="1:17" x14ac:dyDescent="0.2">
      <c r="A13546" s="121">
        <v>43708</v>
      </c>
      <c r="B13546" t="s">
        <v>406</v>
      </c>
      <c r="C13546" t="s">
        <v>577</v>
      </c>
      <c r="D13546" t="s">
        <v>613</v>
      </c>
      <c r="E13546" t="s">
        <v>614</v>
      </c>
      <c r="F13546" t="s">
        <v>410</v>
      </c>
      <c r="G13546">
        <v>238</v>
      </c>
      <c r="H13546">
        <v>238</v>
      </c>
      <c r="I13546">
        <v>238</v>
      </c>
      <c r="J13546">
        <v>238</v>
      </c>
      <c r="K13546">
        <v>0</v>
      </c>
      <c r="L13546">
        <v>0</v>
      </c>
      <c r="M13546">
        <v>216</v>
      </c>
      <c r="N13546">
        <v>10</v>
      </c>
      <c r="O13546">
        <v>12</v>
      </c>
      <c r="P13546">
        <v>0</v>
      </c>
      <c r="Q13546">
        <v>0</v>
      </c>
    </row>
    <row r="13547" spans="1:17" x14ac:dyDescent="0.2">
      <c r="A13547" s="121">
        <v>43708</v>
      </c>
      <c r="B13547" t="s">
        <v>406</v>
      </c>
      <c r="C13547" t="s">
        <v>577</v>
      </c>
      <c r="D13547" t="s">
        <v>590</v>
      </c>
      <c r="E13547" t="s">
        <v>591</v>
      </c>
      <c r="F13547" t="s">
        <v>410</v>
      </c>
      <c r="G13547">
        <v>453</v>
      </c>
      <c r="H13547">
        <v>453</v>
      </c>
      <c r="I13547">
        <v>453</v>
      </c>
      <c r="J13547">
        <v>453</v>
      </c>
      <c r="K13547">
        <v>0</v>
      </c>
      <c r="L13547">
        <v>0</v>
      </c>
      <c r="M13547">
        <v>435</v>
      </c>
      <c r="N13547">
        <v>18</v>
      </c>
      <c r="O13547">
        <v>0</v>
      </c>
      <c r="P13547">
        <v>0</v>
      </c>
      <c r="Q13547">
        <v>0</v>
      </c>
    </row>
    <row r="13548" spans="1:17" x14ac:dyDescent="0.2">
      <c r="A13548" s="121">
        <v>43708</v>
      </c>
      <c r="B13548" t="s">
        <v>406</v>
      </c>
      <c r="C13548" t="s">
        <v>577</v>
      </c>
      <c r="D13548" t="s">
        <v>607</v>
      </c>
      <c r="E13548" t="s">
        <v>608</v>
      </c>
      <c r="F13548" t="s">
        <v>410</v>
      </c>
      <c r="G13548">
        <v>196</v>
      </c>
      <c r="H13548">
        <v>196</v>
      </c>
      <c r="I13548">
        <v>195</v>
      </c>
      <c r="J13548">
        <v>195</v>
      </c>
      <c r="K13548">
        <v>0</v>
      </c>
      <c r="L13548">
        <v>0</v>
      </c>
      <c r="M13548">
        <v>178</v>
      </c>
      <c r="N13548">
        <v>17</v>
      </c>
      <c r="O13548">
        <v>1</v>
      </c>
      <c r="P13548">
        <v>0</v>
      </c>
      <c r="Q13548">
        <v>0</v>
      </c>
    </row>
    <row r="13549" spans="1:17" x14ac:dyDescent="0.2">
      <c r="A13549" s="121">
        <v>43708</v>
      </c>
      <c r="B13549" t="s">
        <v>406</v>
      </c>
      <c r="C13549" t="s">
        <v>577</v>
      </c>
      <c r="D13549" t="s">
        <v>592</v>
      </c>
      <c r="E13549" t="s">
        <v>593</v>
      </c>
      <c r="F13549" t="s">
        <v>410</v>
      </c>
      <c r="G13549">
        <v>288</v>
      </c>
      <c r="H13549">
        <v>288</v>
      </c>
      <c r="I13549">
        <v>287</v>
      </c>
      <c r="J13549">
        <v>287</v>
      </c>
      <c r="K13549">
        <v>0</v>
      </c>
      <c r="L13549">
        <v>0</v>
      </c>
      <c r="M13549">
        <v>253</v>
      </c>
      <c r="N13549">
        <v>34</v>
      </c>
      <c r="O13549">
        <v>1</v>
      </c>
      <c r="P13549">
        <v>0</v>
      </c>
      <c r="Q13549">
        <v>0</v>
      </c>
    </row>
    <row r="13550" spans="1:17" x14ac:dyDescent="0.2">
      <c r="A13550" s="121">
        <v>43708</v>
      </c>
      <c r="B13550" t="s">
        <v>406</v>
      </c>
      <c r="C13550" t="s">
        <v>594</v>
      </c>
      <c r="D13550" t="s">
        <v>595</v>
      </c>
      <c r="E13550" t="s">
        <v>596</v>
      </c>
      <c r="F13550" t="s">
        <v>410</v>
      </c>
      <c r="G13550">
        <v>87</v>
      </c>
      <c r="I13550">
        <v>87</v>
      </c>
    </row>
    <row r="13551" spans="1:17" x14ac:dyDescent="0.2">
      <c r="A13551" s="121">
        <v>43708</v>
      </c>
      <c r="B13551" t="s">
        <v>406</v>
      </c>
      <c r="C13551" t="s">
        <v>594</v>
      </c>
      <c r="D13551" t="s">
        <v>597</v>
      </c>
      <c r="E13551" t="s">
        <v>598</v>
      </c>
      <c r="F13551" t="s">
        <v>413</v>
      </c>
      <c r="G13551">
        <v>643</v>
      </c>
      <c r="H13551">
        <v>643</v>
      </c>
      <c r="I13551">
        <v>638</v>
      </c>
      <c r="J13551">
        <v>638</v>
      </c>
      <c r="K13551">
        <v>162</v>
      </c>
      <c r="L13551">
        <v>0</v>
      </c>
      <c r="M13551">
        <v>463</v>
      </c>
      <c r="N13551">
        <v>7</v>
      </c>
      <c r="O13551">
        <v>11</v>
      </c>
      <c r="P13551">
        <v>0</v>
      </c>
      <c r="Q13551">
        <v>0</v>
      </c>
    </row>
    <row r="13552" spans="1:17" x14ac:dyDescent="0.2">
      <c r="A13552" s="121">
        <v>43708</v>
      </c>
      <c r="B13552" t="s">
        <v>406</v>
      </c>
      <c r="C13552" t="s">
        <v>594</v>
      </c>
      <c r="D13552" t="s">
        <v>599</v>
      </c>
      <c r="E13552" t="s">
        <v>600</v>
      </c>
      <c r="F13552" t="s">
        <v>410</v>
      </c>
      <c r="G13552">
        <v>157</v>
      </c>
      <c r="H13552">
        <v>157</v>
      </c>
      <c r="I13552">
        <v>157</v>
      </c>
      <c r="J13552">
        <v>157</v>
      </c>
      <c r="K13552">
        <v>10</v>
      </c>
      <c r="L13552">
        <v>0</v>
      </c>
      <c r="M13552">
        <v>147</v>
      </c>
      <c r="N13552">
        <v>0</v>
      </c>
      <c r="O13552">
        <v>0</v>
      </c>
      <c r="P13552">
        <v>0</v>
      </c>
      <c r="Q13552">
        <v>0</v>
      </c>
    </row>
    <row r="13553" spans="1:17" x14ac:dyDescent="0.2">
      <c r="A13553" s="121">
        <v>43738</v>
      </c>
      <c r="B13553" t="s">
        <v>406</v>
      </c>
      <c r="C13553" t="s">
        <v>407</v>
      </c>
      <c r="D13553" t="s">
        <v>408</v>
      </c>
      <c r="E13553" t="s">
        <v>409</v>
      </c>
      <c r="F13553" t="s">
        <v>410</v>
      </c>
      <c r="G13553">
        <v>273</v>
      </c>
      <c r="I13553">
        <v>271</v>
      </c>
    </row>
    <row r="13554" spans="1:17" x14ac:dyDescent="0.2">
      <c r="A13554" s="121">
        <v>43738</v>
      </c>
      <c r="B13554" t="s">
        <v>406</v>
      </c>
      <c r="C13554" t="s">
        <v>407</v>
      </c>
      <c r="D13554" t="s">
        <v>601</v>
      </c>
      <c r="E13554" t="s">
        <v>602</v>
      </c>
      <c r="F13554" t="s">
        <v>410</v>
      </c>
      <c r="G13554">
        <v>94</v>
      </c>
      <c r="I13554">
        <v>94</v>
      </c>
    </row>
    <row r="13555" spans="1:17" x14ac:dyDescent="0.2">
      <c r="A13555" s="121">
        <v>43738</v>
      </c>
      <c r="B13555" t="s">
        <v>406</v>
      </c>
      <c r="C13555" t="s">
        <v>407</v>
      </c>
      <c r="D13555" t="s">
        <v>411</v>
      </c>
      <c r="E13555" t="s">
        <v>412</v>
      </c>
      <c r="F13555" t="s">
        <v>413</v>
      </c>
      <c r="G13555">
        <v>6383</v>
      </c>
      <c r="H13555">
        <v>6383</v>
      </c>
      <c r="I13555">
        <v>6060</v>
      </c>
      <c r="J13555">
        <v>6060</v>
      </c>
      <c r="K13555">
        <v>2064</v>
      </c>
      <c r="L13555">
        <v>8</v>
      </c>
      <c r="M13555">
        <v>3906</v>
      </c>
      <c r="N13555">
        <v>40</v>
      </c>
      <c r="O13555">
        <v>365</v>
      </c>
      <c r="P13555">
        <v>33</v>
      </c>
      <c r="Q13555">
        <v>1</v>
      </c>
    </row>
    <row r="13556" spans="1:17" x14ac:dyDescent="0.2">
      <c r="A13556" s="121">
        <v>43738</v>
      </c>
      <c r="B13556" t="s">
        <v>406</v>
      </c>
      <c r="C13556" t="s">
        <v>407</v>
      </c>
      <c r="D13556" t="s">
        <v>416</v>
      </c>
      <c r="E13556" t="s">
        <v>417</v>
      </c>
      <c r="F13556" t="s">
        <v>413</v>
      </c>
      <c r="G13556">
        <v>3380</v>
      </c>
      <c r="H13556">
        <v>3380</v>
      </c>
      <c r="I13556">
        <v>2808</v>
      </c>
      <c r="J13556">
        <v>2808</v>
      </c>
      <c r="K13556">
        <v>860</v>
      </c>
      <c r="L13556">
        <v>2</v>
      </c>
      <c r="M13556">
        <v>2350</v>
      </c>
      <c r="N13556">
        <v>107</v>
      </c>
      <c r="O13556">
        <v>61</v>
      </c>
      <c r="P13556">
        <v>215</v>
      </c>
      <c r="Q13556">
        <v>81</v>
      </c>
    </row>
    <row r="13557" spans="1:17" x14ac:dyDescent="0.2">
      <c r="A13557" s="121">
        <v>43738</v>
      </c>
      <c r="B13557" t="s">
        <v>406</v>
      </c>
      <c r="C13557" t="s">
        <v>407</v>
      </c>
      <c r="D13557" t="s">
        <v>618</v>
      </c>
      <c r="E13557" t="s">
        <v>619</v>
      </c>
      <c r="F13557" t="s">
        <v>410</v>
      </c>
      <c r="G13557">
        <v>90</v>
      </c>
      <c r="I13557">
        <v>90</v>
      </c>
    </row>
    <row r="13558" spans="1:17" x14ac:dyDescent="0.2">
      <c r="A13558" s="121">
        <v>43738</v>
      </c>
      <c r="B13558" t="s">
        <v>406</v>
      </c>
      <c r="C13558" t="s">
        <v>418</v>
      </c>
      <c r="D13558" t="s">
        <v>419</v>
      </c>
      <c r="E13558" t="s">
        <v>420</v>
      </c>
      <c r="F13558" t="s">
        <v>410</v>
      </c>
      <c r="G13558">
        <v>16</v>
      </c>
      <c r="I13558">
        <v>16</v>
      </c>
    </row>
    <row r="13559" spans="1:17" x14ac:dyDescent="0.2">
      <c r="A13559" s="121">
        <v>43738</v>
      </c>
      <c r="B13559" t="s">
        <v>406</v>
      </c>
      <c r="C13559" t="s">
        <v>418</v>
      </c>
      <c r="D13559" t="s">
        <v>421</v>
      </c>
      <c r="E13559" t="s">
        <v>422</v>
      </c>
      <c r="F13559" t="s">
        <v>410</v>
      </c>
      <c r="G13559">
        <v>79</v>
      </c>
      <c r="I13559">
        <v>79</v>
      </c>
    </row>
    <row r="13560" spans="1:17" x14ac:dyDescent="0.2">
      <c r="A13560" s="121">
        <v>43738</v>
      </c>
      <c r="B13560" t="s">
        <v>406</v>
      </c>
      <c r="C13560" t="s">
        <v>418</v>
      </c>
      <c r="D13560" t="s">
        <v>423</v>
      </c>
      <c r="E13560" t="s">
        <v>424</v>
      </c>
      <c r="F13560" t="s">
        <v>410</v>
      </c>
      <c r="G13560">
        <v>14</v>
      </c>
      <c r="I13560">
        <v>14</v>
      </c>
    </row>
    <row r="13561" spans="1:17" x14ac:dyDescent="0.2">
      <c r="A13561" s="121">
        <v>43738</v>
      </c>
      <c r="B13561" t="s">
        <v>406</v>
      </c>
      <c r="C13561" t="s">
        <v>418</v>
      </c>
      <c r="D13561" t="s">
        <v>425</v>
      </c>
      <c r="E13561" t="s">
        <v>426</v>
      </c>
      <c r="F13561" t="s">
        <v>410</v>
      </c>
      <c r="G13561">
        <v>24</v>
      </c>
      <c r="I13561">
        <v>24</v>
      </c>
    </row>
    <row r="13562" spans="1:17" x14ac:dyDescent="0.2">
      <c r="A13562" s="121">
        <v>43738</v>
      </c>
      <c r="B13562" t="s">
        <v>406</v>
      </c>
      <c r="C13562" t="s">
        <v>418</v>
      </c>
      <c r="D13562" t="s">
        <v>427</v>
      </c>
      <c r="E13562" t="s">
        <v>428</v>
      </c>
      <c r="F13562" t="s">
        <v>413</v>
      </c>
      <c r="G13562">
        <v>2749</v>
      </c>
      <c r="H13562">
        <v>2749</v>
      </c>
      <c r="I13562">
        <v>2533</v>
      </c>
      <c r="J13562">
        <v>2533</v>
      </c>
      <c r="K13562">
        <v>868</v>
      </c>
      <c r="L13562">
        <v>2</v>
      </c>
      <c r="M13562">
        <v>1647</v>
      </c>
      <c r="N13562">
        <v>210</v>
      </c>
      <c r="O13562">
        <v>22</v>
      </c>
      <c r="P13562">
        <v>14</v>
      </c>
      <c r="Q13562">
        <v>6</v>
      </c>
    </row>
    <row r="13563" spans="1:17" x14ac:dyDescent="0.2">
      <c r="A13563" s="121">
        <v>43738</v>
      </c>
      <c r="B13563" t="s">
        <v>406</v>
      </c>
      <c r="C13563" t="s">
        <v>429</v>
      </c>
      <c r="D13563" t="s">
        <v>430</v>
      </c>
      <c r="E13563" t="s">
        <v>431</v>
      </c>
      <c r="F13563" t="s">
        <v>410</v>
      </c>
      <c r="G13563">
        <v>25</v>
      </c>
      <c r="I13563">
        <v>25</v>
      </c>
    </row>
    <row r="13564" spans="1:17" x14ac:dyDescent="0.2">
      <c r="A13564" s="121">
        <v>43738</v>
      </c>
      <c r="B13564" t="s">
        <v>406</v>
      </c>
      <c r="C13564" t="s">
        <v>429</v>
      </c>
      <c r="D13564" t="s">
        <v>432</v>
      </c>
      <c r="E13564" t="s">
        <v>433</v>
      </c>
      <c r="F13564" t="s">
        <v>410</v>
      </c>
      <c r="G13564">
        <v>40</v>
      </c>
      <c r="I13564">
        <v>40</v>
      </c>
    </row>
    <row r="13565" spans="1:17" x14ac:dyDescent="0.2">
      <c r="A13565" s="121">
        <v>43738</v>
      </c>
      <c r="B13565" t="s">
        <v>406</v>
      </c>
      <c r="C13565" t="s">
        <v>429</v>
      </c>
      <c r="D13565" t="s">
        <v>434</v>
      </c>
      <c r="E13565" t="s">
        <v>435</v>
      </c>
      <c r="F13565" t="s">
        <v>410</v>
      </c>
      <c r="G13565">
        <v>4</v>
      </c>
      <c r="I13565">
        <v>4</v>
      </c>
    </row>
    <row r="13566" spans="1:17" x14ac:dyDescent="0.2">
      <c r="A13566" s="121">
        <v>43738</v>
      </c>
      <c r="B13566" t="s">
        <v>406</v>
      </c>
      <c r="C13566" t="s">
        <v>429</v>
      </c>
      <c r="D13566" t="s">
        <v>436</v>
      </c>
      <c r="E13566" t="s">
        <v>437</v>
      </c>
      <c r="F13566" t="s">
        <v>410</v>
      </c>
      <c r="G13566">
        <v>19</v>
      </c>
      <c r="H13566">
        <v>19</v>
      </c>
      <c r="I13566">
        <v>19</v>
      </c>
      <c r="J13566">
        <v>19</v>
      </c>
      <c r="K13566">
        <v>0</v>
      </c>
      <c r="L13566">
        <v>0</v>
      </c>
      <c r="M13566">
        <v>18</v>
      </c>
      <c r="N13566">
        <v>1</v>
      </c>
      <c r="O13566">
        <v>0</v>
      </c>
      <c r="P13566">
        <v>0</v>
      </c>
      <c r="Q13566">
        <v>0</v>
      </c>
    </row>
    <row r="13567" spans="1:17" x14ac:dyDescent="0.2">
      <c r="A13567" s="121">
        <v>43738</v>
      </c>
      <c r="B13567" t="s">
        <v>406</v>
      </c>
      <c r="C13567" t="s">
        <v>429</v>
      </c>
      <c r="D13567" t="s">
        <v>438</v>
      </c>
      <c r="E13567" t="s">
        <v>439</v>
      </c>
      <c r="F13567" t="s">
        <v>413</v>
      </c>
      <c r="G13567">
        <v>1176</v>
      </c>
      <c r="H13567">
        <v>1176</v>
      </c>
      <c r="I13567">
        <v>1096</v>
      </c>
      <c r="J13567">
        <v>1096</v>
      </c>
      <c r="K13567">
        <v>101</v>
      </c>
      <c r="L13567">
        <v>0</v>
      </c>
      <c r="M13567">
        <v>961</v>
      </c>
      <c r="N13567">
        <v>74</v>
      </c>
      <c r="O13567">
        <v>40</v>
      </c>
      <c r="P13567">
        <v>3</v>
      </c>
      <c r="Q13567">
        <v>1</v>
      </c>
    </row>
    <row r="13568" spans="1:17" x14ac:dyDescent="0.2">
      <c r="A13568" s="121">
        <v>43738</v>
      </c>
      <c r="B13568" t="s">
        <v>406</v>
      </c>
      <c r="C13568" t="s">
        <v>429</v>
      </c>
      <c r="D13568" t="s">
        <v>440</v>
      </c>
      <c r="E13568" t="s">
        <v>441</v>
      </c>
      <c r="F13568" t="s">
        <v>413</v>
      </c>
      <c r="G13568">
        <v>3136</v>
      </c>
      <c r="H13568">
        <v>3136</v>
      </c>
      <c r="I13568">
        <v>2866</v>
      </c>
      <c r="J13568">
        <v>2866</v>
      </c>
      <c r="K13568">
        <v>887</v>
      </c>
      <c r="L13568">
        <v>6</v>
      </c>
      <c r="M13568">
        <v>2118</v>
      </c>
      <c r="N13568">
        <v>83</v>
      </c>
      <c r="O13568">
        <v>42</v>
      </c>
      <c r="P13568">
        <v>13</v>
      </c>
      <c r="Q13568">
        <v>1</v>
      </c>
    </row>
    <row r="13569" spans="1:17" x14ac:dyDescent="0.2">
      <c r="A13569" s="121">
        <v>43738</v>
      </c>
      <c r="B13569" t="s">
        <v>406</v>
      </c>
      <c r="C13569" t="s">
        <v>442</v>
      </c>
      <c r="D13569" t="s">
        <v>443</v>
      </c>
      <c r="E13569" t="s">
        <v>444</v>
      </c>
      <c r="F13569" t="s">
        <v>413</v>
      </c>
      <c r="G13569">
        <v>6014</v>
      </c>
      <c r="H13569">
        <v>6014</v>
      </c>
      <c r="I13569">
        <v>5349</v>
      </c>
      <c r="J13569">
        <v>5349</v>
      </c>
      <c r="K13569">
        <v>1762</v>
      </c>
      <c r="L13569">
        <v>12</v>
      </c>
      <c r="M13569">
        <v>4079</v>
      </c>
      <c r="N13569">
        <v>99</v>
      </c>
      <c r="O13569">
        <v>62</v>
      </c>
      <c r="P13569">
        <v>37</v>
      </c>
      <c r="Q13569">
        <v>0</v>
      </c>
    </row>
    <row r="13570" spans="1:17" x14ac:dyDescent="0.2">
      <c r="A13570" s="121">
        <v>43738</v>
      </c>
      <c r="B13570" t="s">
        <v>406</v>
      </c>
      <c r="C13570" t="s">
        <v>442</v>
      </c>
      <c r="D13570" t="s">
        <v>445</v>
      </c>
      <c r="E13570" t="s">
        <v>446</v>
      </c>
      <c r="F13570" t="s">
        <v>410</v>
      </c>
      <c r="G13570">
        <v>192</v>
      </c>
      <c r="H13570">
        <v>192</v>
      </c>
      <c r="I13570">
        <v>191</v>
      </c>
      <c r="J13570">
        <v>191</v>
      </c>
      <c r="K13570">
        <v>0</v>
      </c>
      <c r="L13570">
        <v>0</v>
      </c>
      <c r="M13570">
        <v>183</v>
      </c>
      <c r="N13570">
        <v>3</v>
      </c>
      <c r="O13570">
        <v>6</v>
      </c>
      <c r="P13570">
        <v>0</v>
      </c>
      <c r="Q13570">
        <v>0</v>
      </c>
    </row>
    <row r="13571" spans="1:17" x14ac:dyDescent="0.2">
      <c r="A13571" s="121">
        <v>43738</v>
      </c>
      <c r="B13571" t="s">
        <v>406</v>
      </c>
      <c r="C13571" t="s">
        <v>442</v>
      </c>
      <c r="D13571" t="s">
        <v>447</v>
      </c>
      <c r="E13571" t="s">
        <v>448</v>
      </c>
      <c r="F13571" t="s">
        <v>410</v>
      </c>
      <c r="G13571">
        <v>320</v>
      </c>
      <c r="H13571">
        <v>320</v>
      </c>
      <c r="I13571">
        <v>320</v>
      </c>
      <c r="J13571">
        <v>320</v>
      </c>
      <c r="K13571">
        <v>0</v>
      </c>
      <c r="L13571">
        <v>0</v>
      </c>
      <c r="M13571">
        <v>307</v>
      </c>
      <c r="N13571">
        <v>11</v>
      </c>
      <c r="O13571">
        <v>2</v>
      </c>
      <c r="P13571">
        <v>0</v>
      </c>
      <c r="Q13571">
        <v>0</v>
      </c>
    </row>
    <row r="13572" spans="1:17" x14ac:dyDescent="0.2">
      <c r="A13572" s="121">
        <v>43738</v>
      </c>
      <c r="B13572" t="s">
        <v>406</v>
      </c>
      <c r="C13572" t="s">
        <v>442</v>
      </c>
      <c r="D13572" t="s">
        <v>449</v>
      </c>
      <c r="E13572" t="s">
        <v>624</v>
      </c>
      <c r="F13572" t="s">
        <v>410</v>
      </c>
      <c r="G13572">
        <v>1809</v>
      </c>
      <c r="H13572">
        <v>1809</v>
      </c>
      <c r="I13572">
        <v>1808</v>
      </c>
      <c r="J13572">
        <v>1808</v>
      </c>
      <c r="K13572">
        <v>13</v>
      </c>
      <c r="L13572">
        <v>0</v>
      </c>
      <c r="M13572">
        <v>1647</v>
      </c>
      <c r="N13572">
        <v>122</v>
      </c>
      <c r="O13572">
        <v>27</v>
      </c>
      <c r="P13572">
        <v>0</v>
      </c>
      <c r="Q13572">
        <v>0</v>
      </c>
    </row>
    <row r="13573" spans="1:17" x14ac:dyDescent="0.2">
      <c r="A13573" s="121">
        <v>43738</v>
      </c>
      <c r="B13573" t="s">
        <v>406</v>
      </c>
      <c r="C13573" t="s">
        <v>451</v>
      </c>
      <c r="D13573" t="s">
        <v>454</v>
      </c>
      <c r="E13573" t="s">
        <v>621</v>
      </c>
      <c r="F13573" t="s">
        <v>410</v>
      </c>
      <c r="G13573">
        <v>2140</v>
      </c>
      <c r="H13573">
        <v>2140</v>
      </c>
      <c r="I13573">
        <v>2126</v>
      </c>
      <c r="J13573">
        <v>2126</v>
      </c>
      <c r="K13573">
        <v>4</v>
      </c>
      <c r="L13573">
        <v>0</v>
      </c>
      <c r="M13573">
        <v>1811</v>
      </c>
      <c r="N13573">
        <v>8</v>
      </c>
      <c r="O13573">
        <v>317</v>
      </c>
      <c r="P13573">
        <v>0</v>
      </c>
      <c r="Q13573">
        <v>0</v>
      </c>
    </row>
    <row r="13574" spans="1:17" x14ac:dyDescent="0.2">
      <c r="A13574" s="121">
        <v>43738</v>
      </c>
      <c r="B13574" t="s">
        <v>406</v>
      </c>
      <c r="C13574" t="s">
        <v>451</v>
      </c>
      <c r="D13574" t="s">
        <v>622</v>
      </c>
      <c r="E13574" t="s">
        <v>623</v>
      </c>
      <c r="F13574" t="s">
        <v>413</v>
      </c>
      <c r="G13574">
        <v>5908</v>
      </c>
      <c r="H13574">
        <v>5908</v>
      </c>
      <c r="I13574">
        <v>4909</v>
      </c>
      <c r="J13574">
        <v>4909</v>
      </c>
      <c r="K13574">
        <v>1515</v>
      </c>
      <c r="L13574">
        <v>4</v>
      </c>
      <c r="M13574">
        <v>4040</v>
      </c>
      <c r="N13574">
        <v>28</v>
      </c>
      <c r="O13574">
        <v>321</v>
      </c>
      <c r="P13574">
        <v>31</v>
      </c>
      <c r="Q13574">
        <v>2</v>
      </c>
    </row>
    <row r="13575" spans="1:17" x14ac:dyDescent="0.2">
      <c r="A13575" s="121">
        <v>43738</v>
      </c>
      <c r="B13575" t="s">
        <v>406</v>
      </c>
      <c r="C13575" t="s">
        <v>456</v>
      </c>
      <c r="D13575" t="s">
        <v>457</v>
      </c>
      <c r="E13575" t="s">
        <v>458</v>
      </c>
      <c r="F13575" t="s">
        <v>413</v>
      </c>
      <c r="G13575">
        <v>5431</v>
      </c>
      <c r="H13575">
        <v>5431</v>
      </c>
      <c r="I13575">
        <v>4657</v>
      </c>
      <c r="J13575">
        <v>4657</v>
      </c>
      <c r="K13575">
        <v>1385</v>
      </c>
      <c r="L13575">
        <v>9</v>
      </c>
      <c r="M13575">
        <v>3561</v>
      </c>
      <c r="N13575">
        <v>33</v>
      </c>
      <c r="O13575">
        <v>443</v>
      </c>
      <c r="P13575">
        <v>34</v>
      </c>
      <c r="Q13575">
        <v>0</v>
      </c>
    </row>
    <row r="13576" spans="1:17" x14ac:dyDescent="0.2">
      <c r="A13576" s="121">
        <v>43738</v>
      </c>
      <c r="B13576" t="s">
        <v>406</v>
      </c>
      <c r="C13576" t="s">
        <v>456</v>
      </c>
      <c r="D13576" t="s">
        <v>459</v>
      </c>
      <c r="E13576" t="s">
        <v>460</v>
      </c>
      <c r="F13576" t="s">
        <v>413</v>
      </c>
      <c r="G13576">
        <v>1580</v>
      </c>
      <c r="H13576">
        <v>1580</v>
      </c>
      <c r="I13576">
        <v>1564</v>
      </c>
      <c r="J13576">
        <v>1564</v>
      </c>
      <c r="K13576">
        <v>139</v>
      </c>
      <c r="L13576">
        <v>0</v>
      </c>
      <c r="M13576">
        <v>1378</v>
      </c>
      <c r="N13576">
        <v>0</v>
      </c>
      <c r="O13576">
        <v>63</v>
      </c>
      <c r="P13576">
        <v>0</v>
      </c>
      <c r="Q13576">
        <v>0</v>
      </c>
    </row>
    <row r="13577" spans="1:17" x14ac:dyDescent="0.2">
      <c r="A13577" s="121">
        <v>43738</v>
      </c>
      <c r="B13577" t="s">
        <v>406</v>
      </c>
      <c r="C13577" t="s">
        <v>456</v>
      </c>
      <c r="D13577" t="s">
        <v>461</v>
      </c>
      <c r="E13577" t="s">
        <v>462</v>
      </c>
      <c r="F13577" t="s">
        <v>410</v>
      </c>
      <c r="G13577">
        <v>74</v>
      </c>
      <c r="I13577">
        <v>74</v>
      </c>
    </row>
    <row r="13578" spans="1:17" x14ac:dyDescent="0.2">
      <c r="A13578" s="121">
        <v>43738</v>
      </c>
      <c r="B13578" t="s">
        <v>406</v>
      </c>
      <c r="C13578" t="s">
        <v>456</v>
      </c>
      <c r="D13578" t="s">
        <v>465</v>
      </c>
      <c r="E13578" t="s">
        <v>466</v>
      </c>
      <c r="F13578" t="s">
        <v>410</v>
      </c>
      <c r="G13578">
        <v>29</v>
      </c>
      <c r="I13578">
        <v>29</v>
      </c>
    </row>
    <row r="13579" spans="1:17" x14ac:dyDescent="0.2">
      <c r="A13579" s="121">
        <v>43738</v>
      </c>
      <c r="B13579" t="s">
        <v>406</v>
      </c>
      <c r="C13579" t="s">
        <v>456</v>
      </c>
      <c r="D13579" t="s">
        <v>467</v>
      </c>
      <c r="E13579" t="s">
        <v>468</v>
      </c>
      <c r="F13579" t="s">
        <v>410</v>
      </c>
      <c r="G13579">
        <v>1418</v>
      </c>
      <c r="I13579">
        <v>1418</v>
      </c>
    </row>
    <row r="13580" spans="1:17" x14ac:dyDescent="0.2">
      <c r="A13580" s="121">
        <v>43738</v>
      </c>
      <c r="B13580" t="s">
        <v>406</v>
      </c>
      <c r="C13580" t="s">
        <v>456</v>
      </c>
      <c r="D13580" t="s">
        <v>469</v>
      </c>
      <c r="E13580" t="s">
        <v>470</v>
      </c>
      <c r="F13580" t="s">
        <v>410</v>
      </c>
      <c r="G13580">
        <v>672</v>
      </c>
      <c r="I13580">
        <v>671</v>
      </c>
    </row>
    <row r="13581" spans="1:17" x14ac:dyDescent="0.2">
      <c r="A13581" s="121">
        <v>43738</v>
      </c>
      <c r="B13581" t="s">
        <v>406</v>
      </c>
      <c r="C13581" t="s">
        <v>456</v>
      </c>
      <c r="D13581" t="s">
        <v>471</v>
      </c>
      <c r="E13581" t="s">
        <v>472</v>
      </c>
      <c r="F13581" t="s">
        <v>410</v>
      </c>
      <c r="G13581">
        <v>248</v>
      </c>
      <c r="I13581">
        <v>247</v>
      </c>
    </row>
    <row r="13582" spans="1:17" x14ac:dyDescent="0.2">
      <c r="A13582" s="121">
        <v>43738</v>
      </c>
      <c r="B13582" t="s">
        <v>406</v>
      </c>
      <c r="C13582" t="s">
        <v>456</v>
      </c>
      <c r="D13582" t="s">
        <v>473</v>
      </c>
      <c r="E13582" t="s">
        <v>474</v>
      </c>
      <c r="F13582" t="s">
        <v>410</v>
      </c>
      <c r="G13582">
        <v>120</v>
      </c>
      <c r="I13582">
        <v>120</v>
      </c>
    </row>
    <row r="13583" spans="1:17" x14ac:dyDescent="0.2">
      <c r="A13583" s="121">
        <v>43738</v>
      </c>
      <c r="B13583" t="s">
        <v>406</v>
      </c>
      <c r="C13583" t="s">
        <v>456</v>
      </c>
      <c r="D13583" t="s">
        <v>475</v>
      </c>
      <c r="E13583" t="s">
        <v>476</v>
      </c>
      <c r="F13583" t="s">
        <v>410</v>
      </c>
      <c r="G13583">
        <v>262</v>
      </c>
      <c r="I13583">
        <v>251</v>
      </c>
    </row>
    <row r="13584" spans="1:17" x14ac:dyDescent="0.2">
      <c r="A13584" s="121">
        <v>43738</v>
      </c>
      <c r="B13584" t="s">
        <v>406</v>
      </c>
      <c r="C13584" t="s">
        <v>456</v>
      </c>
      <c r="D13584" t="s">
        <v>477</v>
      </c>
      <c r="E13584" t="s">
        <v>478</v>
      </c>
      <c r="F13584" t="s">
        <v>413</v>
      </c>
      <c r="G13584">
        <v>2289</v>
      </c>
      <c r="H13584">
        <v>2289</v>
      </c>
      <c r="I13584">
        <v>2175</v>
      </c>
      <c r="J13584">
        <v>2175</v>
      </c>
      <c r="K13584">
        <v>438</v>
      </c>
      <c r="L13584">
        <v>0</v>
      </c>
      <c r="M13584">
        <v>1824</v>
      </c>
      <c r="N13584">
        <v>23</v>
      </c>
      <c r="O13584">
        <v>4</v>
      </c>
      <c r="P13584">
        <v>8</v>
      </c>
      <c r="Q13584">
        <v>0</v>
      </c>
    </row>
    <row r="13585" spans="1:17" x14ac:dyDescent="0.2">
      <c r="A13585" s="121">
        <v>43738</v>
      </c>
      <c r="B13585" t="s">
        <v>406</v>
      </c>
      <c r="C13585" t="s">
        <v>456</v>
      </c>
      <c r="D13585" t="s">
        <v>479</v>
      </c>
      <c r="E13585" t="s">
        <v>480</v>
      </c>
      <c r="F13585" t="s">
        <v>410</v>
      </c>
      <c r="G13585">
        <v>66</v>
      </c>
      <c r="I13585">
        <v>66</v>
      </c>
    </row>
    <row r="13586" spans="1:17" x14ac:dyDescent="0.2">
      <c r="A13586" s="121">
        <v>43738</v>
      </c>
      <c r="B13586" t="s">
        <v>406</v>
      </c>
      <c r="C13586" t="s">
        <v>456</v>
      </c>
      <c r="D13586" t="s">
        <v>481</v>
      </c>
      <c r="E13586" t="s">
        <v>482</v>
      </c>
      <c r="F13586" t="s">
        <v>410</v>
      </c>
      <c r="G13586">
        <v>11</v>
      </c>
      <c r="I13586">
        <v>11</v>
      </c>
    </row>
    <row r="13587" spans="1:17" x14ac:dyDescent="0.2">
      <c r="A13587" s="121">
        <v>43738</v>
      </c>
      <c r="B13587" t="s">
        <v>406</v>
      </c>
      <c r="C13587" t="s">
        <v>456</v>
      </c>
      <c r="D13587" t="s">
        <v>483</v>
      </c>
      <c r="E13587" t="s">
        <v>484</v>
      </c>
      <c r="F13587" t="s">
        <v>410</v>
      </c>
      <c r="G13587">
        <v>96</v>
      </c>
      <c r="I13587">
        <v>96</v>
      </c>
    </row>
    <row r="13588" spans="1:17" x14ac:dyDescent="0.2">
      <c r="A13588" s="121">
        <v>43738</v>
      </c>
      <c r="B13588" t="s">
        <v>406</v>
      </c>
      <c r="C13588" t="s">
        <v>456</v>
      </c>
      <c r="D13588" t="s">
        <v>487</v>
      </c>
      <c r="E13588" t="s">
        <v>488</v>
      </c>
      <c r="F13588" t="s">
        <v>410</v>
      </c>
      <c r="G13588">
        <v>19</v>
      </c>
      <c r="I13588">
        <v>19</v>
      </c>
    </row>
    <row r="13589" spans="1:17" x14ac:dyDescent="0.2">
      <c r="A13589" s="121">
        <v>43738</v>
      </c>
      <c r="B13589" t="s">
        <v>406</v>
      </c>
      <c r="C13589" t="s">
        <v>456</v>
      </c>
      <c r="D13589" t="s">
        <v>489</v>
      </c>
      <c r="E13589" t="s">
        <v>490</v>
      </c>
      <c r="F13589" t="s">
        <v>410</v>
      </c>
      <c r="G13589">
        <v>59</v>
      </c>
      <c r="I13589">
        <v>59</v>
      </c>
    </row>
    <row r="13590" spans="1:17" x14ac:dyDescent="0.2">
      <c r="A13590" s="121">
        <v>43738</v>
      </c>
      <c r="B13590" t="s">
        <v>406</v>
      </c>
      <c r="C13590" t="s">
        <v>456</v>
      </c>
      <c r="D13590" t="s">
        <v>628</v>
      </c>
      <c r="E13590" t="s">
        <v>629</v>
      </c>
      <c r="F13590" t="s">
        <v>410</v>
      </c>
      <c r="G13590">
        <v>37</v>
      </c>
      <c r="I13590">
        <v>37</v>
      </c>
    </row>
    <row r="13591" spans="1:17" x14ac:dyDescent="0.2">
      <c r="A13591" s="121">
        <v>43738</v>
      </c>
      <c r="B13591" t="s">
        <v>406</v>
      </c>
      <c r="C13591" t="s">
        <v>491</v>
      </c>
      <c r="D13591" t="s">
        <v>492</v>
      </c>
      <c r="E13591" t="s">
        <v>493</v>
      </c>
      <c r="F13591" t="s">
        <v>410</v>
      </c>
      <c r="G13591">
        <v>1625</v>
      </c>
      <c r="H13591">
        <v>1625</v>
      </c>
      <c r="I13591">
        <v>1546</v>
      </c>
      <c r="J13591">
        <v>1546</v>
      </c>
      <c r="K13591">
        <v>239</v>
      </c>
      <c r="L13591">
        <v>0</v>
      </c>
      <c r="M13591">
        <v>1277</v>
      </c>
      <c r="N13591">
        <v>80</v>
      </c>
      <c r="O13591">
        <v>29</v>
      </c>
      <c r="P13591">
        <v>2</v>
      </c>
      <c r="Q13591">
        <v>0</v>
      </c>
    </row>
    <row r="13592" spans="1:17" x14ac:dyDescent="0.2">
      <c r="A13592" s="121">
        <v>43738</v>
      </c>
      <c r="B13592" t="s">
        <v>406</v>
      </c>
      <c r="C13592" t="s">
        <v>491</v>
      </c>
      <c r="D13592" t="s">
        <v>494</v>
      </c>
      <c r="E13592" t="s">
        <v>495</v>
      </c>
      <c r="F13592" t="s">
        <v>413</v>
      </c>
      <c r="G13592">
        <v>3000</v>
      </c>
      <c r="H13592">
        <v>3000</v>
      </c>
      <c r="I13592">
        <v>2656</v>
      </c>
      <c r="J13592">
        <v>2656</v>
      </c>
      <c r="K13592">
        <v>745</v>
      </c>
      <c r="L13592">
        <v>6</v>
      </c>
      <c r="M13592">
        <v>2093</v>
      </c>
      <c r="N13592">
        <v>51</v>
      </c>
      <c r="O13592">
        <v>105</v>
      </c>
      <c r="P13592">
        <v>24</v>
      </c>
      <c r="Q13592">
        <v>0</v>
      </c>
    </row>
    <row r="13593" spans="1:17" x14ac:dyDescent="0.2">
      <c r="A13593" s="121">
        <v>43738</v>
      </c>
      <c r="B13593" t="s">
        <v>406</v>
      </c>
      <c r="C13593" t="s">
        <v>491</v>
      </c>
      <c r="D13593" t="s">
        <v>496</v>
      </c>
      <c r="E13593" t="s">
        <v>497</v>
      </c>
      <c r="F13593" t="s">
        <v>413</v>
      </c>
      <c r="G13593">
        <v>5983</v>
      </c>
      <c r="H13593">
        <v>5983</v>
      </c>
      <c r="I13593">
        <v>4852</v>
      </c>
      <c r="J13593">
        <v>4852</v>
      </c>
      <c r="K13593">
        <v>1755</v>
      </c>
      <c r="L13593">
        <v>10</v>
      </c>
      <c r="M13593">
        <v>3960</v>
      </c>
      <c r="N13593">
        <v>93</v>
      </c>
      <c r="O13593">
        <v>165</v>
      </c>
      <c r="P13593">
        <v>135</v>
      </c>
      <c r="Q13593">
        <v>4</v>
      </c>
    </row>
    <row r="13594" spans="1:17" x14ac:dyDescent="0.2">
      <c r="A13594" s="121">
        <v>43738</v>
      </c>
      <c r="B13594" t="s">
        <v>406</v>
      </c>
      <c r="C13594" t="s">
        <v>491</v>
      </c>
      <c r="D13594" t="s">
        <v>498</v>
      </c>
      <c r="E13594" t="s">
        <v>499</v>
      </c>
      <c r="F13594" t="s">
        <v>413</v>
      </c>
      <c r="G13594">
        <v>8391</v>
      </c>
      <c r="H13594">
        <v>8391</v>
      </c>
      <c r="I13594">
        <v>7201</v>
      </c>
      <c r="J13594">
        <v>7201</v>
      </c>
      <c r="K13594">
        <v>2527</v>
      </c>
      <c r="L13594">
        <v>16</v>
      </c>
      <c r="M13594">
        <v>5308</v>
      </c>
      <c r="N13594">
        <v>87</v>
      </c>
      <c r="O13594">
        <v>453</v>
      </c>
      <c r="P13594">
        <v>62</v>
      </c>
      <c r="Q13594">
        <v>2</v>
      </c>
    </row>
    <row r="13595" spans="1:17" x14ac:dyDescent="0.2">
      <c r="A13595" s="121">
        <v>43738</v>
      </c>
      <c r="B13595" t="s">
        <v>406</v>
      </c>
      <c r="C13595" t="s">
        <v>491</v>
      </c>
      <c r="D13595" t="s">
        <v>500</v>
      </c>
      <c r="E13595" t="s">
        <v>620</v>
      </c>
      <c r="F13595" t="s">
        <v>410</v>
      </c>
      <c r="G13595">
        <v>2015</v>
      </c>
      <c r="H13595">
        <v>2015</v>
      </c>
      <c r="I13595">
        <v>1990</v>
      </c>
      <c r="J13595">
        <v>1990</v>
      </c>
      <c r="K13595">
        <v>1</v>
      </c>
      <c r="L13595">
        <v>0</v>
      </c>
      <c r="M13595">
        <v>1779</v>
      </c>
      <c r="N13595">
        <v>111</v>
      </c>
      <c r="O13595">
        <v>124</v>
      </c>
      <c r="P13595">
        <v>0</v>
      </c>
      <c r="Q13595">
        <v>0</v>
      </c>
    </row>
    <row r="13596" spans="1:17" x14ac:dyDescent="0.2">
      <c r="A13596" s="121">
        <v>43738</v>
      </c>
      <c r="B13596" t="s">
        <v>406</v>
      </c>
      <c r="C13596" t="s">
        <v>491</v>
      </c>
      <c r="D13596" t="s">
        <v>502</v>
      </c>
      <c r="E13596" t="s">
        <v>615</v>
      </c>
      <c r="F13596" t="s">
        <v>410</v>
      </c>
      <c r="G13596">
        <v>3103</v>
      </c>
      <c r="H13596">
        <v>3103</v>
      </c>
      <c r="I13596">
        <v>3084</v>
      </c>
      <c r="J13596">
        <v>3084</v>
      </c>
      <c r="K13596">
        <v>1</v>
      </c>
      <c r="L13596">
        <v>1</v>
      </c>
      <c r="M13596">
        <v>2735</v>
      </c>
      <c r="N13596">
        <v>208</v>
      </c>
      <c r="O13596">
        <v>158</v>
      </c>
      <c r="P13596">
        <v>0</v>
      </c>
      <c r="Q13596">
        <v>0</v>
      </c>
    </row>
    <row r="13597" spans="1:17" x14ac:dyDescent="0.2">
      <c r="A13597" s="121">
        <v>43738</v>
      </c>
      <c r="B13597" t="s">
        <v>406</v>
      </c>
      <c r="C13597" t="s">
        <v>491</v>
      </c>
      <c r="D13597" t="s">
        <v>504</v>
      </c>
      <c r="E13597" t="s">
        <v>630</v>
      </c>
      <c r="F13597" t="s">
        <v>413</v>
      </c>
      <c r="G13597">
        <v>8744</v>
      </c>
      <c r="H13597">
        <v>8744</v>
      </c>
      <c r="I13597">
        <v>6667</v>
      </c>
      <c r="J13597">
        <v>6667</v>
      </c>
      <c r="K13597">
        <v>2780</v>
      </c>
      <c r="L13597">
        <v>35</v>
      </c>
      <c r="M13597">
        <v>5524</v>
      </c>
      <c r="N13597">
        <v>42</v>
      </c>
      <c r="O13597">
        <v>363</v>
      </c>
      <c r="P13597">
        <v>130</v>
      </c>
      <c r="Q13597">
        <v>1</v>
      </c>
    </row>
    <row r="13598" spans="1:17" x14ac:dyDescent="0.2">
      <c r="A13598" s="121">
        <v>43738</v>
      </c>
      <c r="B13598" t="s">
        <v>406</v>
      </c>
      <c r="C13598" t="s">
        <v>491</v>
      </c>
      <c r="D13598" t="s">
        <v>506</v>
      </c>
      <c r="E13598" t="s">
        <v>507</v>
      </c>
      <c r="F13598" t="s">
        <v>413</v>
      </c>
      <c r="G13598">
        <v>6279</v>
      </c>
      <c r="H13598">
        <v>6279</v>
      </c>
      <c r="I13598">
        <v>6038</v>
      </c>
      <c r="J13598">
        <v>6038</v>
      </c>
      <c r="K13598">
        <v>1403</v>
      </c>
      <c r="L13598">
        <v>1</v>
      </c>
      <c r="M13598">
        <v>4841</v>
      </c>
      <c r="N13598">
        <v>1</v>
      </c>
      <c r="O13598">
        <v>33</v>
      </c>
      <c r="P13598">
        <v>1</v>
      </c>
      <c r="Q13598">
        <v>0</v>
      </c>
    </row>
    <row r="13599" spans="1:17" x14ac:dyDescent="0.2">
      <c r="A13599" s="121">
        <v>43738</v>
      </c>
      <c r="B13599" t="s">
        <v>406</v>
      </c>
      <c r="C13599" t="s">
        <v>510</v>
      </c>
      <c r="D13599" t="s">
        <v>513</v>
      </c>
      <c r="E13599" t="s">
        <v>514</v>
      </c>
      <c r="F13599" t="s">
        <v>410</v>
      </c>
      <c r="G13599">
        <v>786</v>
      </c>
      <c r="I13599">
        <v>783</v>
      </c>
    </row>
    <row r="13600" spans="1:17" x14ac:dyDescent="0.2">
      <c r="A13600" s="121">
        <v>43738</v>
      </c>
      <c r="B13600" t="s">
        <v>406</v>
      </c>
      <c r="C13600" t="s">
        <v>510</v>
      </c>
      <c r="D13600" t="s">
        <v>515</v>
      </c>
      <c r="E13600" t="s">
        <v>516</v>
      </c>
      <c r="F13600" t="s">
        <v>410</v>
      </c>
      <c r="G13600">
        <v>128</v>
      </c>
      <c r="I13600">
        <v>127</v>
      </c>
    </row>
    <row r="13601" spans="1:17" x14ac:dyDescent="0.2">
      <c r="A13601" s="121">
        <v>43738</v>
      </c>
      <c r="B13601" t="s">
        <v>406</v>
      </c>
      <c r="C13601" t="s">
        <v>510</v>
      </c>
      <c r="D13601" t="s">
        <v>519</v>
      </c>
      <c r="E13601" t="s">
        <v>520</v>
      </c>
      <c r="F13601" t="s">
        <v>410</v>
      </c>
      <c r="G13601">
        <v>346</v>
      </c>
      <c r="I13601">
        <v>342</v>
      </c>
    </row>
    <row r="13602" spans="1:17" x14ac:dyDescent="0.2">
      <c r="A13602" s="121">
        <v>43738</v>
      </c>
      <c r="B13602" t="s">
        <v>406</v>
      </c>
      <c r="C13602" t="s">
        <v>510</v>
      </c>
      <c r="D13602" t="s">
        <v>523</v>
      </c>
      <c r="E13602" t="s">
        <v>524</v>
      </c>
      <c r="F13602" t="s">
        <v>413</v>
      </c>
      <c r="G13602">
        <v>739</v>
      </c>
      <c r="H13602">
        <v>739</v>
      </c>
      <c r="I13602">
        <v>717</v>
      </c>
      <c r="J13602">
        <v>717</v>
      </c>
      <c r="K13602">
        <v>164</v>
      </c>
      <c r="L13602">
        <v>1</v>
      </c>
      <c r="M13602">
        <v>562</v>
      </c>
      <c r="N13602">
        <v>12</v>
      </c>
      <c r="O13602">
        <v>0</v>
      </c>
      <c r="P13602">
        <v>1</v>
      </c>
      <c r="Q13602">
        <v>1</v>
      </c>
    </row>
    <row r="13603" spans="1:17" x14ac:dyDescent="0.2">
      <c r="A13603" s="121">
        <v>43738</v>
      </c>
      <c r="B13603" t="s">
        <v>406</v>
      </c>
      <c r="C13603" t="s">
        <v>510</v>
      </c>
      <c r="D13603" t="s">
        <v>525</v>
      </c>
      <c r="E13603" t="s">
        <v>526</v>
      </c>
      <c r="F13603" t="s">
        <v>410</v>
      </c>
      <c r="G13603">
        <v>475</v>
      </c>
      <c r="I13603">
        <v>465</v>
      </c>
    </row>
    <row r="13604" spans="1:17" x14ac:dyDescent="0.2">
      <c r="A13604" s="121">
        <v>43738</v>
      </c>
      <c r="B13604" t="s">
        <v>406</v>
      </c>
      <c r="C13604" t="s">
        <v>510</v>
      </c>
      <c r="D13604" t="s">
        <v>527</v>
      </c>
      <c r="E13604" t="s">
        <v>528</v>
      </c>
      <c r="F13604" t="s">
        <v>410</v>
      </c>
      <c r="G13604">
        <v>180</v>
      </c>
      <c r="I13604">
        <v>180</v>
      </c>
    </row>
    <row r="13605" spans="1:17" x14ac:dyDescent="0.2">
      <c r="A13605" s="121">
        <v>43738</v>
      </c>
      <c r="B13605" t="s">
        <v>406</v>
      </c>
      <c r="C13605" t="s">
        <v>510</v>
      </c>
      <c r="D13605" t="s">
        <v>529</v>
      </c>
      <c r="E13605" t="s">
        <v>530</v>
      </c>
      <c r="F13605" t="s">
        <v>413</v>
      </c>
      <c r="G13605">
        <v>730</v>
      </c>
      <c r="H13605">
        <v>730</v>
      </c>
      <c r="I13605">
        <v>693</v>
      </c>
      <c r="J13605">
        <v>693</v>
      </c>
      <c r="K13605">
        <v>187</v>
      </c>
      <c r="L13605">
        <v>1</v>
      </c>
      <c r="M13605">
        <v>535</v>
      </c>
      <c r="N13605">
        <v>7</v>
      </c>
      <c r="O13605">
        <v>0</v>
      </c>
      <c r="P13605">
        <v>2</v>
      </c>
      <c r="Q13605">
        <v>0</v>
      </c>
    </row>
    <row r="13606" spans="1:17" x14ac:dyDescent="0.2">
      <c r="A13606" s="121">
        <v>43738</v>
      </c>
      <c r="B13606" t="s">
        <v>406</v>
      </c>
      <c r="C13606" t="s">
        <v>510</v>
      </c>
      <c r="D13606" t="s">
        <v>531</v>
      </c>
      <c r="E13606" t="s">
        <v>532</v>
      </c>
      <c r="F13606" t="s">
        <v>410</v>
      </c>
      <c r="G13606">
        <v>62</v>
      </c>
      <c r="I13606">
        <v>62</v>
      </c>
    </row>
    <row r="13607" spans="1:17" x14ac:dyDescent="0.2">
      <c r="A13607" s="121">
        <v>43738</v>
      </c>
      <c r="B13607" t="s">
        <v>406</v>
      </c>
      <c r="C13607" t="s">
        <v>510</v>
      </c>
      <c r="D13607" t="s">
        <v>533</v>
      </c>
      <c r="E13607" t="s">
        <v>534</v>
      </c>
      <c r="F13607" t="s">
        <v>413</v>
      </c>
      <c r="G13607">
        <v>3323</v>
      </c>
      <c r="H13607">
        <v>3323</v>
      </c>
      <c r="I13607">
        <v>3032</v>
      </c>
      <c r="J13607">
        <v>3032</v>
      </c>
      <c r="K13607">
        <v>744</v>
      </c>
      <c r="L13607">
        <v>3</v>
      </c>
      <c r="M13607">
        <v>2477</v>
      </c>
      <c r="N13607">
        <v>8</v>
      </c>
      <c r="O13607">
        <v>91</v>
      </c>
      <c r="P13607">
        <v>9</v>
      </c>
      <c r="Q13607">
        <v>0</v>
      </c>
    </row>
    <row r="13608" spans="1:17" x14ac:dyDescent="0.2">
      <c r="A13608" s="121">
        <v>43738</v>
      </c>
      <c r="B13608" t="s">
        <v>406</v>
      </c>
      <c r="C13608" t="s">
        <v>510</v>
      </c>
      <c r="D13608" t="s">
        <v>535</v>
      </c>
      <c r="E13608" t="s">
        <v>536</v>
      </c>
      <c r="F13608" t="s">
        <v>410</v>
      </c>
      <c r="G13608">
        <v>448</v>
      </c>
      <c r="I13608">
        <v>448</v>
      </c>
    </row>
    <row r="13609" spans="1:17" x14ac:dyDescent="0.2">
      <c r="A13609" s="121">
        <v>43738</v>
      </c>
      <c r="B13609" t="s">
        <v>406</v>
      </c>
      <c r="C13609" t="s">
        <v>510</v>
      </c>
      <c r="D13609" t="s">
        <v>539</v>
      </c>
      <c r="E13609" t="s">
        <v>540</v>
      </c>
      <c r="F13609" t="s">
        <v>413</v>
      </c>
      <c r="G13609">
        <v>906</v>
      </c>
      <c r="H13609">
        <v>906</v>
      </c>
      <c r="I13609">
        <v>808</v>
      </c>
      <c r="J13609">
        <v>808</v>
      </c>
      <c r="K13609">
        <v>164</v>
      </c>
      <c r="L13609">
        <v>0</v>
      </c>
      <c r="M13609">
        <v>723</v>
      </c>
      <c r="N13609">
        <v>5</v>
      </c>
      <c r="O13609">
        <v>14</v>
      </c>
      <c r="P13609">
        <v>4</v>
      </c>
      <c r="Q13609">
        <v>1</v>
      </c>
    </row>
    <row r="13610" spans="1:17" x14ac:dyDescent="0.2">
      <c r="A13610" s="121">
        <v>43738</v>
      </c>
      <c r="B13610" t="s">
        <v>406</v>
      </c>
      <c r="C13610" t="s">
        <v>510</v>
      </c>
      <c r="D13610" t="s">
        <v>541</v>
      </c>
      <c r="E13610" t="s">
        <v>542</v>
      </c>
      <c r="F13610" t="s">
        <v>410</v>
      </c>
      <c r="G13610">
        <v>467</v>
      </c>
      <c r="I13610">
        <v>466</v>
      </c>
    </row>
    <row r="13611" spans="1:17" x14ac:dyDescent="0.2">
      <c r="A13611" s="121">
        <v>43738</v>
      </c>
      <c r="B13611" t="s">
        <v>406</v>
      </c>
      <c r="C13611" t="s">
        <v>510</v>
      </c>
      <c r="D13611" t="s">
        <v>543</v>
      </c>
      <c r="E13611" t="s">
        <v>544</v>
      </c>
      <c r="F13611" t="s">
        <v>410</v>
      </c>
      <c r="G13611">
        <v>316</v>
      </c>
      <c r="I13611">
        <v>316</v>
      </c>
    </row>
    <row r="13612" spans="1:17" x14ac:dyDescent="0.2">
      <c r="A13612" s="121">
        <v>43738</v>
      </c>
      <c r="B13612" t="s">
        <v>406</v>
      </c>
      <c r="C13612" t="s">
        <v>510</v>
      </c>
      <c r="D13612" t="s">
        <v>547</v>
      </c>
      <c r="E13612" t="s">
        <v>548</v>
      </c>
      <c r="F13612" t="s">
        <v>410</v>
      </c>
      <c r="G13612">
        <v>165</v>
      </c>
      <c r="I13612">
        <v>165</v>
      </c>
    </row>
    <row r="13613" spans="1:17" x14ac:dyDescent="0.2">
      <c r="A13613" s="121">
        <v>43738</v>
      </c>
      <c r="B13613" t="s">
        <v>406</v>
      </c>
      <c r="C13613" t="s">
        <v>510</v>
      </c>
      <c r="D13613" t="s">
        <v>632</v>
      </c>
      <c r="E13613" t="s">
        <v>633</v>
      </c>
      <c r="F13613" t="s">
        <v>410</v>
      </c>
      <c r="G13613">
        <v>61</v>
      </c>
      <c r="I13613">
        <v>61</v>
      </c>
    </row>
    <row r="13614" spans="1:17" x14ac:dyDescent="0.2">
      <c r="A13614" s="121">
        <v>43738</v>
      </c>
      <c r="B13614" t="s">
        <v>406</v>
      </c>
      <c r="C13614" t="s">
        <v>510</v>
      </c>
      <c r="D13614" t="s">
        <v>616</v>
      </c>
      <c r="E13614" t="s">
        <v>617</v>
      </c>
      <c r="F13614" t="s">
        <v>410</v>
      </c>
      <c r="G13614">
        <v>454</v>
      </c>
      <c r="I13614">
        <v>446</v>
      </c>
    </row>
    <row r="13615" spans="1:17" x14ac:dyDescent="0.2">
      <c r="A13615" s="121">
        <v>43738</v>
      </c>
      <c r="B13615" t="s">
        <v>406</v>
      </c>
      <c r="C13615" t="s">
        <v>510</v>
      </c>
      <c r="D13615" t="s">
        <v>549</v>
      </c>
      <c r="E13615" t="s">
        <v>550</v>
      </c>
      <c r="F13615" t="s">
        <v>410</v>
      </c>
      <c r="G13615">
        <v>137</v>
      </c>
      <c r="I13615">
        <v>137</v>
      </c>
    </row>
    <row r="13616" spans="1:17" x14ac:dyDescent="0.2">
      <c r="A13616" s="121">
        <v>43738</v>
      </c>
      <c r="B13616" t="s">
        <v>406</v>
      </c>
      <c r="C13616" t="s">
        <v>510</v>
      </c>
      <c r="D13616" t="s">
        <v>625</v>
      </c>
      <c r="E13616" t="s">
        <v>626</v>
      </c>
      <c r="F13616" t="s">
        <v>410</v>
      </c>
      <c r="G13616">
        <v>97</v>
      </c>
      <c r="I13616">
        <v>97</v>
      </c>
    </row>
    <row r="13617" spans="1:17" x14ac:dyDescent="0.2">
      <c r="A13617" s="121">
        <v>43738</v>
      </c>
      <c r="B13617" t="s">
        <v>406</v>
      </c>
      <c r="C13617" t="s">
        <v>551</v>
      </c>
      <c r="D13617" t="s">
        <v>552</v>
      </c>
      <c r="E13617" t="s">
        <v>553</v>
      </c>
      <c r="F13617" t="s">
        <v>413</v>
      </c>
      <c r="G13617">
        <v>6073</v>
      </c>
      <c r="H13617">
        <v>6073</v>
      </c>
      <c r="I13617">
        <v>5413</v>
      </c>
      <c r="J13617">
        <v>5413</v>
      </c>
      <c r="K13617">
        <v>2086</v>
      </c>
      <c r="L13617">
        <v>6</v>
      </c>
      <c r="M13617">
        <v>3800</v>
      </c>
      <c r="N13617">
        <v>121</v>
      </c>
      <c r="O13617">
        <v>60</v>
      </c>
      <c r="P13617">
        <v>37</v>
      </c>
      <c r="Q13617">
        <v>10</v>
      </c>
    </row>
    <row r="13618" spans="1:17" x14ac:dyDescent="0.2">
      <c r="A13618" s="121">
        <v>43738</v>
      </c>
      <c r="B13618" t="s">
        <v>406</v>
      </c>
      <c r="C13618" t="s">
        <v>551</v>
      </c>
      <c r="D13618" t="s">
        <v>554</v>
      </c>
      <c r="E13618" t="s">
        <v>555</v>
      </c>
      <c r="F13618" t="s">
        <v>410</v>
      </c>
      <c r="G13618">
        <v>76</v>
      </c>
      <c r="H13618">
        <v>76</v>
      </c>
      <c r="I13618">
        <v>76</v>
      </c>
      <c r="J13618">
        <v>76</v>
      </c>
      <c r="K13618">
        <v>2</v>
      </c>
      <c r="L13618">
        <v>0</v>
      </c>
      <c r="M13618">
        <v>71</v>
      </c>
      <c r="N13618">
        <v>3</v>
      </c>
      <c r="O13618">
        <v>0</v>
      </c>
      <c r="P13618">
        <v>0</v>
      </c>
      <c r="Q13618">
        <v>0</v>
      </c>
    </row>
    <row r="13619" spans="1:17" x14ac:dyDescent="0.2">
      <c r="A13619" s="121">
        <v>43738</v>
      </c>
      <c r="B13619" t="s">
        <v>406</v>
      </c>
      <c r="C13619" t="s">
        <v>551</v>
      </c>
      <c r="D13619" t="s">
        <v>556</v>
      </c>
      <c r="E13619" t="s">
        <v>557</v>
      </c>
      <c r="F13619" t="s">
        <v>410</v>
      </c>
      <c r="G13619">
        <v>43</v>
      </c>
      <c r="H13619">
        <v>43</v>
      </c>
      <c r="I13619">
        <v>43</v>
      </c>
      <c r="J13619">
        <v>43</v>
      </c>
      <c r="K13619">
        <v>2</v>
      </c>
      <c r="L13619">
        <v>0</v>
      </c>
      <c r="M13619">
        <v>39</v>
      </c>
      <c r="N13619">
        <v>1</v>
      </c>
      <c r="O13619">
        <v>1</v>
      </c>
      <c r="P13619">
        <v>0</v>
      </c>
      <c r="Q13619">
        <v>0</v>
      </c>
    </row>
    <row r="13620" spans="1:17" x14ac:dyDescent="0.2">
      <c r="A13620" s="121">
        <v>43738</v>
      </c>
      <c r="B13620" t="s">
        <v>406</v>
      </c>
      <c r="C13620" t="s">
        <v>551</v>
      </c>
      <c r="D13620" t="s">
        <v>558</v>
      </c>
      <c r="E13620" t="s">
        <v>559</v>
      </c>
      <c r="F13620" t="s">
        <v>413</v>
      </c>
      <c r="G13620">
        <v>5720</v>
      </c>
      <c r="H13620">
        <v>5720</v>
      </c>
      <c r="I13620">
        <v>4506</v>
      </c>
      <c r="J13620">
        <v>4506</v>
      </c>
      <c r="K13620">
        <v>1423</v>
      </c>
      <c r="L13620">
        <v>7</v>
      </c>
      <c r="M13620">
        <v>4212</v>
      </c>
      <c r="N13620">
        <v>64</v>
      </c>
      <c r="O13620">
        <v>14</v>
      </c>
      <c r="P13620">
        <v>216</v>
      </c>
      <c r="Q13620">
        <v>97</v>
      </c>
    </row>
    <row r="13621" spans="1:17" x14ac:dyDescent="0.2">
      <c r="A13621" s="121">
        <v>43738</v>
      </c>
      <c r="B13621" t="s">
        <v>406</v>
      </c>
      <c r="C13621" t="s">
        <v>551</v>
      </c>
      <c r="D13621" t="s">
        <v>560</v>
      </c>
      <c r="E13621" t="s">
        <v>561</v>
      </c>
      <c r="F13621" t="s">
        <v>413</v>
      </c>
      <c r="G13621">
        <v>6587</v>
      </c>
      <c r="H13621">
        <v>6587</v>
      </c>
      <c r="I13621">
        <v>5317</v>
      </c>
      <c r="J13621">
        <v>5317</v>
      </c>
      <c r="K13621">
        <v>1969</v>
      </c>
      <c r="L13621">
        <v>9</v>
      </c>
      <c r="M13621">
        <v>4485</v>
      </c>
      <c r="N13621">
        <v>59</v>
      </c>
      <c r="O13621">
        <v>65</v>
      </c>
      <c r="P13621">
        <v>188</v>
      </c>
      <c r="Q13621">
        <v>35</v>
      </c>
    </row>
    <row r="13622" spans="1:17" x14ac:dyDescent="0.2">
      <c r="A13622" s="121">
        <v>43738</v>
      </c>
      <c r="B13622" t="s">
        <v>406</v>
      </c>
      <c r="C13622" t="s">
        <v>562</v>
      </c>
      <c r="D13622" t="s">
        <v>605</v>
      </c>
      <c r="E13622" t="s">
        <v>606</v>
      </c>
      <c r="F13622" t="s">
        <v>410</v>
      </c>
      <c r="G13622">
        <v>200</v>
      </c>
      <c r="I13622">
        <v>200</v>
      </c>
    </row>
    <row r="13623" spans="1:17" x14ac:dyDescent="0.2">
      <c r="A13623" s="121">
        <v>43738</v>
      </c>
      <c r="B13623" t="s">
        <v>406</v>
      </c>
      <c r="C13623" t="s">
        <v>562</v>
      </c>
      <c r="D13623" t="s">
        <v>563</v>
      </c>
      <c r="E13623" t="s">
        <v>564</v>
      </c>
      <c r="F13623" t="s">
        <v>410</v>
      </c>
      <c r="G13623">
        <v>4026</v>
      </c>
      <c r="H13623">
        <v>4026</v>
      </c>
      <c r="I13623">
        <v>3548</v>
      </c>
      <c r="J13623">
        <v>3548</v>
      </c>
      <c r="K13623">
        <v>1139</v>
      </c>
      <c r="L13623">
        <v>0</v>
      </c>
      <c r="M13623">
        <v>2881</v>
      </c>
      <c r="N13623">
        <v>6</v>
      </c>
      <c r="O13623">
        <v>0</v>
      </c>
      <c r="P13623">
        <v>91</v>
      </c>
      <c r="Q13623">
        <v>54</v>
      </c>
    </row>
    <row r="13624" spans="1:17" x14ac:dyDescent="0.2">
      <c r="A13624" s="121">
        <v>43738</v>
      </c>
      <c r="B13624" t="s">
        <v>406</v>
      </c>
      <c r="C13624" t="s">
        <v>562</v>
      </c>
      <c r="D13624" t="s">
        <v>565</v>
      </c>
      <c r="E13624" t="s">
        <v>566</v>
      </c>
      <c r="F13624" t="s">
        <v>413</v>
      </c>
      <c r="G13624">
        <v>5354</v>
      </c>
      <c r="H13624">
        <v>5354</v>
      </c>
      <c r="I13624">
        <v>4939</v>
      </c>
      <c r="J13624">
        <v>4939</v>
      </c>
      <c r="K13624">
        <v>1017</v>
      </c>
      <c r="L13624">
        <v>2</v>
      </c>
      <c r="M13624">
        <v>4260</v>
      </c>
      <c r="N13624">
        <v>75</v>
      </c>
      <c r="O13624">
        <v>0</v>
      </c>
      <c r="P13624">
        <v>77</v>
      </c>
      <c r="Q13624">
        <v>32</v>
      </c>
    </row>
    <row r="13625" spans="1:17" x14ac:dyDescent="0.2">
      <c r="A13625" s="121">
        <v>43738</v>
      </c>
      <c r="B13625" t="s">
        <v>406</v>
      </c>
      <c r="C13625" t="s">
        <v>562</v>
      </c>
      <c r="D13625" t="s">
        <v>567</v>
      </c>
      <c r="E13625" t="s">
        <v>568</v>
      </c>
      <c r="F13625" t="s">
        <v>413</v>
      </c>
      <c r="G13625">
        <v>11077</v>
      </c>
      <c r="H13625">
        <v>11077</v>
      </c>
      <c r="I13625">
        <v>9205</v>
      </c>
      <c r="J13625">
        <v>9205</v>
      </c>
      <c r="K13625">
        <v>3538</v>
      </c>
      <c r="L13625">
        <v>11</v>
      </c>
      <c r="M13625">
        <v>7308</v>
      </c>
      <c r="N13625">
        <v>220</v>
      </c>
      <c r="O13625">
        <v>0</v>
      </c>
      <c r="P13625">
        <v>237</v>
      </c>
      <c r="Q13625">
        <v>39</v>
      </c>
    </row>
    <row r="13626" spans="1:17" x14ac:dyDescent="0.2">
      <c r="A13626" s="121">
        <v>43738</v>
      </c>
      <c r="B13626" t="s">
        <v>406</v>
      </c>
      <c r="C13626" t="s">
        <v>562</v>
      </c>
      <c r="D13626" t="s">
        <v>569</v>
      </c>
      <c r="E13626" t="s">
        <v>570</v>
      </c>
      <c r="F13626" t="s">
        <v>413</v>
      </c>
      <c r="G13626">
        <v>4560</v>
      </c>
      <c r="H13626">
        <v>4560</v>
      </c>
      <c r="I13626">
        <v>4383</v>
      </c>
      <c r="J13626">
        <v>4383</v>
      </c>
      <c r="K13626">
        <v>608</v>
      </c>
      <c r="L13626">
        <v>0</v>
      </c>
      <c r="M13626">
        <v>3949</v>
      </c>
      <c r="N13626">
        <v>3</v>
      </c>
      <c r="O13626">
        <v>0</v>
      </c>
      <c r="P13626">
        <v>2</v>
      </c>
      <c r="Q13626">
        <v>0</v>
      </c>
    </row>
    <row r="13627" spans="1:17" x14ac:dyDescent="0.2">
      <c r="A13627" s="121">
        <v>43738</v>
      </c>
      <c r="B13627" t="s">
        <v>406</v>
      </c>
      <c r="C13627" t="s">
        <v>571</v>
      </c>
      <c r="D13627" t="s">
        <v>572</v>
      </c>
      <c r="E13627" t="s">
        <v>627</v>
      </c>
      <c r="F13627" t="s">
        <v>413</v>
      </c>
      <c r="G13627">
        <v>614</v>
      </c>
      <c r="H13627">
        <v>614</v>
      </c>
      <c r="I13627">
        <v>606</v>
      </c>
      <c r="J13627">
        <v>606</v>
      </c>
      <c r="K13627">
        <v>135</v>
      </c>
      <c r="L13627">
        <v>0</v>
      </c>
      <c r="M13627">
        <v>466</v>
      </c>
      <c r="N13627">
        <v>9</v>
      </c>
      <c r="O13627">
        <v>4</v>
      </c>
      <c r="P13627">
        <v>1</v>
      </c>
      <c r="Q13627">
        <v>1</v>
      </c>
    </row>
    <row r="13628" spans="1:17" x14ac:dyDescent="0.2">
      <c r="A13628" s="121">
        <v>43738</v>
      </c>
      <c r="B13628" t="s">
        <v>406</v>
      </c>
      <c r="C13628" t="s">
        <v>574</v>
      </c>
      <c r="D13628" t="s">
        <v>575</v>
      </c>
      <c r="E13628" t="s">
        <v>576</v>
      </c>
      <c r="F13628" t="s">
        <v>413</v>
      </c>
      <c r="G13628">
        <v>632</v>
      </c>
      <c r="H13628">
        <v>632</v>
      </c>
      <c r="I13628">
        <v>603</v>
      </c>
      <c r="J13628">
        <v>603</v>
      </c>
      <c r="K13628">
        <v>155</v>
      </c>
      <c r="L13628">
        <v>0</v>
      </c>
      <c r="M13628">
        <v>460</v>
      </c>
      <c r="N13628">
        <v>6</v>
      </c>
      <c r="O13628">
        <v>11</v>
      </c>
      <c r="P13628">
        <v>0</v>
      </c>
      <c r="Q13628">
        <v>0</v>
      </c>
    </row>
    <row r="13629" spans="1:17" x14ac:dyDescent="0.2">
      <c r="A13629" s="121">
        <v>43738</v>
      </c>
      <c r="B13629" t="s">
        <v>406</v>
      </c>
      <c r="C13629" t="s">
        <v>577</v>
      </c>
      <c r="D13629" t="s">
        <v>578</v>
      </c>
      <c r="E13629" t="s">
        <v>579</v>
      </c>
      <c r="F13629" t="s">
        <v>413</v>
      </c>
      <c r="G13629">
        <v>4807</v>
      </c>
      <c r="H13629">
        <v>4807</v>
      </c>
      <c r="I13629">
        <v>4516</v>
      </c>
      <c r="J13629">
        <v>4516</v>
      </c>
      <c r="K13629">
        <v>1467</v>
      </c>
      <c r="L13629">
        <v>4</v>
      </c>
      <c r="M13629">
        <v>3014</v>
      </c>
      <c r="N13629">
        <v>236</v>
      </c>
      <c r="O13629">
        <v>86</v>
      </c>
      <c r="P13629">
        <v>6</v>
      </c>
      <c r="Q13629">
        <v>0</v>
      </c>
    </row>
    <row r="13630" spans="1:17" x14ac:dyDescent="0.2">
      <c r="A13630" s="121">
        <v>43738</v>
      </c>
      <c r="B13630" t="s">
        <v>406</v>
      </c>
      <c r="C13630" t="s">
        <v>577</v>
      </c>
      <c r="D13630" t="s">
        <v>580</v>
      </c>
      <c r="E13630" t="s">
        <v>581</v>
      </c>
      <c r="F13630" t="s">
        <v>413</v>
      </c>
      <c r="G13630">
        <v>2385</v>
      </c>
      <c r="H13630">
        <v>2385</v>
      </c>
      <c r="I13630">
        <v>2265</v>
      </c>
      <c r="J13630">
        <v>2265</v>
      </c>
      <c r="K13630">
        <v>354</v>
      </c>
      <c r="L13630">
        <v>0</v>
      </c>
      <c r="M13630">
        <v>1685</v>
      </c>
      <c r="N13630">
        <v>317</v>
      </c>
      <c r="O13630">
        <v>29</v>
      </c>
      <c r="P13630">
        <v>4</v>
      </c>
      <c r="Q13630">
        <v>0</v>
      </c>
    </row>
    <row r="13631" spans="1:17" x14ac:dyDescent="0.2">
      <c r="A13631" s="121">
        <v>43738</v>
      </c>
      <c r="B13631" t="s">
        <v>406</v>
      </c>
      <c r="C13631" t="s">
        <v>577</v>
      </c>
      <c r="D13631" t="s">
        <v>584</v>
      </c>
      <c r="E13631" t="s">
        <v>585</v>
      </c>
      <c r="F13631" t="s">
        <v>410</v>
      </c>
      <c r="G13631">
        <v>279</v>
      </c>
      <c r="H13631">
        <v>279</v>
      </c>
      <c r="I13631">
        <v>279</v>
      </c>
      <c r="J13631">
        <v>279</v>
      </c>
      <c r="K13631">
        <v>0</v>
      </c>
      <c r="L13631">
        <v>0</v>
      </c>
      <c r="M13631">
        <v>251</v>
      </c>
      <c r="N13631">
        <v>21</v>
      </c>
      <c r="O13631">
        <v>7</v>
      </c>
      <c r="P13631">
        <v>0</v>
      </c>
      <c r="Q13631">
        <v>0</v>
      </c>
    </row>
    <row r="13632" spans="1:17" x14ac:dyDescent="0.2">
      <c r="A13632" s="121">
        <v>43738</v>
      </c>
      <c r="B13632" t="s">
        <v>406</v>
      </c>
      <c r="C13632" t="s">
        <v>577</v>
      </c>
      <c r="D13632" t="s">
        <v>586</v>
      </c>
      <c r="E13632" t="s">
        <v>587</v>
      </c>
      <c r="F13632" t="s">
        <v>410</v>
      </c>
      <c r="G13632">
        <v>1230</v>
      </c>
      <c r="H13632">
        <v>1230</v>
      </c>
      <c r="I13632">
        <v>1230</v>
      </c>
      <c r="J13632">
        <v>1230</v>
      </c>
      <c r="K13632">
        <v>0</v>
      </c>
      <c r="L13632">
        <v>0</v>
      </c>
      <c r="M13632">
        <v>1113</v>
      </c>
      <c r="N13632">
        <v>113</v>
      </c>
      <c r="O13632">
        <v>4</v>
      </c>
      <c r="P13632">
        <v>0</v>
      </c>
      <c r="Q13632">
        <v>0</v>
      </c>
    </row>
    <row r="13633" spans="1:17" x14ac:dyDescent="0.2">
      <c r="A13633" s="121">
        <v>43738</v>
      </c>
      <c r="B13633" t="s">
        <v>406</v>
      </c>
      <c r="C13633" t="s">
        <v>577</v>
      </c>
      <c r="D13633" t="s">
        <v>613</v>
      </c>
      <c r="E13633" t="s">
        <v>614</v>
      </c>
      <c r="F13633" t="s">
        <v>410</v>
      </c>
      <c r="G13633">
        <v>206</v>
      </c>
      <c r="H13633">
        <v>206</v>
      </c>
      <c r="I13633">
        <v>206</v>
      </c>
      <c r="J13633">
        <v>206</v>
      </c>
      <c r="K13633">
        <v>0</v>
      </c>
      <c r="L13633">
        <v>0</v>
      </c>
      <c r="M13633">
        <v>180</v>
      </c>
      <c r="N13633">
        <v>11</v>
      </c>
      <c r="O13633">
        <v>15</v>
      </c>
      <c r="P13633">
        <v>0</v>
      </c>
      <c r="Q13633">
        <v>0</v>
      </c>
    </row>
    <row r="13634" spans="1:17" x14ac:dyDescent="0.2">
      <c r="A13634" s="121">
        <v>43738</v>
      </c>
      <c r="B13634" t="s">
        <v>406</v>
      </c>
      <c r="C13634" t="s">
        <v>577</v>
      </c>
      <c r="D13634" t="s">
        <v>590</v>
      </c>
      <c r="E13634" t="s">
        <v>591</v>
      </c>
      <c r="F13634" t="s">
        <v>410</v>
      </c>
      <c r="G13634">
        <v>521</v>
      </c>
      <c r="H13634">
        <v>521</v>
      </c>
      <c r="I13634">
        <v>520</v>
      </c>
      <c r="J13634">
        <v>520</v>
      </c>
      <c r="K13634">
        <v>0</v>
      </c>
      <c r="L13634">
        <v>0</v>
      </c>
      <c r="M13634">
        <v>496</v>
      </c>
      <c r="N13634">
        <v>24</v>
      </c>
      <c r="O13634">
        <v>1</v>
      </c>
      <c r="P13634">
        <v>0</v>
      </c>
      <c r="Q13634">
        <v>0</v>
      </c>
    </row>
    <row r="13635" spans="1:17" x14ac:dyDescent="0.2">
      <c r="A13635" s="121">
        <v>43738</v>
      </c>
      <c r="B13635" t="s">
        <v>406</v>
      </c>
      <c r="C13635" t="s">
        <v>577</v>
      </c>
      <c r="D13635" t="s">
        <v>607</v>
      </c>
      <c r="E13635" t="s">
        <v>608</v>
      </c>
      <c r="F13635" t="s">
        <v>410</v>
      </c>
      <c r="G13635">
        <v>181</v>
      </c>
      <c r="H13635">
        <v>181</v>
      </c>
      <c r="I13635">
        <v>181</v>
      </c>
      <c r="J13635">
        <v>181</v>
      </c>
      <c r="K13635">
        <v>0</v>
      </c>
      <c r="L13635">
        <v>0</v>
      </c>
      <c r="M13635">
        <v>164</v>
      </c>
      <c r="N13635">
        <v>14</v>
      </c>
      <c r="O13635">
        <v>3</v>
      </c>
      <c r="P13635">
        <v>0</v>
      </c>
      <c r="Q13635">
        <v>0</v>
      </c>
    </row>
    <row r="13636" spans="1:17" x14ac:dyDescent="0.2">
      <c r="A13636" s="121">
        <v>43738</v>
      </c>
      <c r="B13636" t="s">
        <v>406</v>
      </c>
      <c r="C13636" t="s">
        <v>577</v>
      </c>
      <c r="D13636" t="s">
        <v>592</v>
      </c>
      <c r="E13636" t="s">
        <v>593</v>
      </c>
      <c r="F13636" t="s">
        <v>410</v>
      </c>
      <c r="G13636">
        <v>240</v>
      </c>
      <c r="H13636">
        <v>240</v>
      </c>
      <c r="I13636">
        <v>240</v>
      </c>
      <c r="J13636">
        <v>240</v>
      </c>
      <c r="K13636">
        <v>0</v>
      </c>
      <c r="L13636">
        <v>1</v>
      </c>
      <c r="M13636">
        <v>204</v>
      </c>
      <c r="N13636">
        <v>34</v>
      </c>
      <c r="O13636">
        <v>1</v>
      </c>
      <c r="P13636">
        <v>0</v>
      </c>
      <c r="Q13636">
        <v>0</v>
      </c>
    </row>
    <row r="13637" spans="1:17" x14ac:dyDescent="0.2">
      <c r="A13637" s="121">
        <v>43738</v>
      </c>
      <c r="B13637" t="s">
        <v>406</v>
      </c>
      <c r="C13637" t="s">
        <v>594</v>
      </c>
      <c r="D13637" t="s">
        <v>595</v>
      </c>
      <c r="E13637" t="s">
        <v>596</v>
      </c>
      <c r="F13637" t="s">
        <v>410</v>
      </c>
      <c r="G13637">
        <v>78</v>
      </c>
      <c r="I13637">
        <v>78</v>
      </c>
    </row>
    <row r="13638" spans="1:17" x14ac:dyDescent="0.2">
      <c r="A13638" s="121">
        <v>43738</v>
      </c>
      <c r="B13638" t="s">
        <v>406</v>
      </c>
      <c r="C13638" t="s">
        <v>594</v>
      </c>
      <c r="D13638" t="s">
        <v>597</v>
      </c>
      <c r="E13638" t="s">
        <v>598</v>
      </c>
      <c r="F13638" t="s">
        <v>413</v>
      </c>
      <c r="G13638">
        <v>608</v>
      </c>
      <c r="H13638">
        <v>608</v>
      </c>
      <c r="I13638">
        <v>598</v>
      </c>
      <c r="J13638">
        <v>598</v>
      </c>
      <c r="K13638">
        <v>148</v>
      </c>
      <c r="L13638">
        <v>0</v>
      </c>
      <c r="M13638">
        <v>444</v>
      </c>
      <c r="N13638">
        <v>8</v>
      </c>
      <c r="O13638">
        <v>8</v>
      </c>
      <c r="P13638">
        <v>1</v>
      </c>
      <c r="Q13638">
        <v>0</v>
      </c>
    </row>
    <row r="13639" spans="1:17" x14ac:dyDescent="0.2">
      <c r="A13639" s="121">
        <v>43738</v>
      </c>
      <c r="B13639" t="s">
        <v>406</v>
      </c>
      <c r="C13639" t="s">
        <v>594</v>
      </c>
      <c r="D13639" t="s">
        <v>599</v>
      </c>
      <c r="E13639" t="s">
        <v>600</v>
      </c>
      <c r="F13639" t="s">
        <v>410</v>
      </c>
      <c r="G13639">
        <v>155</v>
      </c>
      <c r="H13639">
        <v>155</v>
      </c>
      <c r="I13639">
        <v>154</v>
      </c>
      <c r="J13639">
        <v>154</v>
      </c>
      <c r="K13639">
        <v>12</v>
      </c>
      <c r="L13639">
        <v>0</v>
      </c>
      <c r="M13639">
        <v>142</v>
      </c>
      <c r="N13639">
        <v>0</v>
      </c>
      <c r="O13639">
        <v>1</v>
      </c>
      <c r="P13639">
        <v>0</v>
      </c>
      <c r="Q13639">
        <v>0</v>
      </c>
    </row>
    <row r="13640" spans="1:17" x14ac:dyDescent="0.2">
      <c r="A13640" s="121">
        <v>43769</v>
      </c>
      <c r="B13640" t="s">
        <v>406</v>
      </c>
      <c r="C13640" t="s">
        <v>407</v>
      </c>
      <c r="D13640" t="s">
        <v>408</v>
      </c>
      <c r="E13640" t="s">
        <v>409</v>
      </c>
      <c r="F13640" t="s">
        <v>410</v>
      </c>
      <c r="G13640">
        <v>233</v>
      </c>
      <c r="I13640">
        <v>218</v>
      </c>
    </row>
    <row r="13641" spans="1:17" x14ac:dyDescent="0.2">
      <c r="A13641" s="121">
        <v>43769</v>
      </c>
      <c r="B13641" t="s">
        <v>406</v>
      </c>
      <c r="C13641" t="s">
        <v>407</v>
      </c>
      <c r="D13641" t="s">
        <v>601</v>
      </c>
      <c r="E13641" t="s">
        <v>602</v>
      </c>
      <c r="F13641" t="s">
        <v>410</v>
      </c>
      <c r="G13641">
        <v>73</v>
      </c>
      <c r="I13641">
        <v>73</v>
      </c>
    </row>
    <row r="13642" spans="1:17" x14ac:dyDescent="0.2">
      <c r="A13642" s="121">
        <v>43769</v>
      </c>
      <c r="B13642" t="s">
        <v>406</v>
      </c>
      <c r="C13642" t="s">
        <v>407</v>
      </c>
      <c r="D13642" t="s">
        <v>411</v>
      </c>
      <c r="E13642" t="s">
        <v>412</v>
      </c>
      <c r="F13642" t="s">
        <v>413</v>
      </c>
      <c r="G13642">
        <v>6282</v>
      </c>
      <c r="H13642">
        <v>6282</v>
      </c>
      <c r="I13642">
        <v>5596</v>
      </c>
      <c r="J13642">
        <v>5596</v>
      </c>
      <c r="K13642">
        <v>2087</v>
      </c>
      <c r="L13642">
        <v>6</v>
      </c>
      <c r="M13642">
        <v>3874</v>
      </c>
      <c r="N13642">
        <v>33</v>
      </c>
      <c r="O13642">
        <v>282</v>
      </c>
      <c r="P13642">
        <v>221</v>
      </c>
      <c r="Q13642">
        <v>102</v>
      </c>
    </row>
    <row r="13643" spans="1:17" x14ac:dyDescent="0.2">
      <c r="A13643" s="121">
        <v>43769</v>
      </c>
      <c r="B13643" t="s">
        <v>406</v>
      </c>
      <c r="C13643" t="s">
        <v>407</v>
      </c>
      <c r="D13643" t="s">
        <v>416</v>
      </c>
      <c r="E13643" t="s">
        <v>417</v>
      </c>
      <c r="F13643" t="s">
        <v>413</v>
      </c>
      <c r="G13643">
        <v>3195</v>
      </c>
      <c r="H13643">
        <v>3195</v>
      </c>
      <c r="I13643">
        <v>2462</v>
      </c>
      <c r="J13643">
        <v>2462</v>
      </c>
      <c r="K13643">
        <v>863</v>
      </c>
      <c r="L13643">
        <v>6</v>
      </c>
      <c r="M13643">
        <v>2178</v>
      </c>
      <c r="N13643">
        <v>86</v>
      </c>
      <c r="O13643">
        <v>62</v>
      </c>
      <c r="P13643">
        <v>311</v>
      </c>
      <c r="Q13643">
        <v>150</v>
      </c>
    </row>
    <row r="13644" spans="1:17" x14ac:dyDescent="0.2">
      <c r="A13644" s="121">
        <v>43769</v>
      </c>
      <c r="B13644" t="s">
        <v>406</v>
      </c>
      <c r="C13644" t="s">
        <v>407</v>
      </c>
      <c r="D13644" t="s">
        <v>618</v>
      </c>
      <c r="E13644" t="s">
        <v>619</v>
      </c>
      <c r="F13644" t="s">
        <v>410</v>
      </c>
      <c r="G13644">
        <v>70</v>
      </c>
      <c r="I13644">
        <v>70</v>
      </c>
    </row>
    <row r="13645" spans="1:17" x14ac:dyDescent="0.2">
      <c r="A13645" s="121">
        <v>43769</v>
      </c>
      <c r="B13645" t="s">
        <v>406</v>
      </c>
      <c r="C13645" t="s">
        <v>418</v>
      </c>
      <c r="D13645" t="s">
        <v>419</v>
      </c>
      <c r="E13645" t="s">
        <v>420</v>
      </c>
      <c r="F13645" t="s">
        <v>410</v>
      </c>
      <c r="G13645">
        <v>2</v>
      </c>
      <c r="I13645">
        <v>2</v>
      </c>
    </row>
    <row r="13646" spans="1:17" x14ac:dyDescent="0.2">
      <c r="A13646" s="121">
        <v>43769</v>
      </c>
      <c r="B13646" t="s">
        <v>406</v>
      </c>
      <c r="C13646" t="s">
        <v>418</v>
      </c>
      <c r="D13646" t="s">
        <v>421</v>
      </c>
      <c r="E13646" t="s">
        <v>422</v>
      </c>
      <c r="F13646" t="s">
        <v>410</v>
      </c>
      <c r="G13646">
        <v>63</v>
      </c>
      <c r="I13646">
        <v>63</v>
      </c>
    </row>
    <row r="13647" spans="1:17" x14ac:dyDescent="0.2">
      <c r="A13647" s="121">
        <v>43769</v>
      </c>
      <c r="B13647" t="s">
        <v>406</v>
      </c>
      <c r="C13647" t="s">
        <v>418</v>
      </c>
      <c r="D13647" t="s">
        <v>423</v>
      </c>
      <c r="E13647" t="s">
        <v>424</v>
      </c>
      <c r="F13647" t="s">
        <v>410</v>
      </c>
      <c r="G13647">
        <v>3</v>
      </c>
      <c r="I13647">
        <v>3</v>
      </c>
    </row>
    <row r="13648" spans="1:17" x14ac:dyDescent="0.2">
      <c r="A13648" s="121">
        <v>43769</v>
      </c>
      <c r="B13648" t="s">
        <v>406</v>
      </c>
      <c r="C13648" t="s">
        <v>418</v>
      </c>
      <c r="D13648" t="s">
        <v>425</v>
      </c>
      <c r="E13648" t="s">
        <v>426</v>
      </c>
      <c r="F13648" t="s">
        <v>410</v>
      </c>
      <c r="G13648">
        <v>70</v>
      </c>
      <c r="I13648">
        <v>70</v>
      </c>
    </row>
    <row r="13649" spans="1:17" x14ac:dyDescent="0.2">
      <c r="A13649" s="121">
        <v>43769</v>
      </c>
      <c r="B13649" t="s">
        <v>406</v>
      </c>
      <c r="C13649" t="s">
        <v>418</v>
      </c>
      <c r="D13649" t="s">
        <v>427</v>
      </c>
      <c r="E13649" t="s">
        <v>428</v>
      </c>
      <c r="F13649" t="s">
        <v>413</v>
      </c>
      <c r="G13649">
        <v>2704</v>
      </c>
      <c r="H13649">
        <v>2704</v>
      </c>
      <c r="I13649">
        <v>2463</v>
      </c>
      <c r="J13649">
        <v>2463</v>
      </c>
      <c r="K13649">
        <v>889</v>
      </c>
      <c r="L13649">
        <v>5</v>
      </c>
      <c r="M13649">
        <v>1598</v>
      </c>
      <c r="N13649">
        <v>202</v>
      </c>
      <c r="O13649">
        <v>10</v>
      </c>
      <c r="P13649">
        <v>16</v>
      </c>
      <c r="Q13649">
        <v>2</v>
      </c>
    </row>
    <row r="13650" spans="1:17" x14ac:dyDescent="0.2">
      <c r="A13650" s="121">
        <v>43769</v>
      </c>
      <c r="B13650" t="s">
        <v>406</v>
      </c>
      <c r="C13650" t="s">
        <v>429</v>
      </c>
      <c r="D13650" t="s">
        <v>430</v>
      </c>
      <c r="E13650" t="s">
        <v>431</v>
      </c>
      <c r="F13650" t="s">
        <v>410</v>
      </c>
      <c r="G13650">
        <v>38</v>
      </c>
      <c r="I13650">
        <v>38</v>
      </c>
    </row>
    <row r="13651" spans="1:17" x14ac:dyDescent="0.2">
      <c r="A13651" s="121">
        <v>43769</v>
      </c>
      <c r="B13651" t="s">
        <v>406</v>
      </c>
      <c r="C13651" t="s">
        <v>429</v>
      </c>
      <c r="D13651" t="s">
        <v>432</v>
      </c>
      <c r="E13651" t="s">
        <v>433</v>
      </c>
      <c r="F13651" t="s">
        <v>410</v>
      </c>
      <c r="G13651">
        <v>58</v>
      </c>
      <c r="I13651">
        <v>58</v>
      </c>
    </row>
    <row r="13652" spans="1:17" x14ac:dyDescent="0.2">
      <c r="A13652" s="121">
        <v>43769</v>
      </c>
      <c r="B13652" t="s">
        <v>406</v>
      </c>
      <c r="C13652" t="s">
        <v>429</v>
      </c>
      <c r="D13652" t="s">
        <v>434</v>
      </c>
      <c r="E13652" t="s">
        <v>435</v>
      </c>
      <c r="F13652" t="s">
        <v>410</v>
      </c>
      <c r="G13652">
        <v>2</v>
      </c>
      <c r="I13652">
        <v>2</v>
      </c>
    </row>
    <row r="13653" spans="1:17" x14ac:dyDescent="0.2">
      <c r="A13653" s="121">
        <v>43769</v>
      </c>
      <c r="B13653" t="s">
        <v>406</v>
      </c>
      <c r="C13653" t="s">
        <v>429</v>
      </c>
      <c r="D13653" t="s">
        <v>436</v>
      </c>
      <c r="E13653" t="s">
        <v>437</v>
      </c>
      <c r="F13653" t="s">
        <v>410</v>
      </c>
      <c r="G13653">
        <v>9</v>
      </c>
      <c r="H13653">
        <v>9</v>
      </c>
      <c r="I13653">
        <v>9</v>
      </c>
      <c r="J13653">
        <v>9</v>
      </c>
      <c r="K13653">
        <v>0</v>
      </c>
      <c r="L13653">
        <v>0</v>
      </c>
      <c r="M13653">
        <v>9</v>
      </c>
      <c r="N13653">
        <v>0</v>
      </c>
      <c r="O13653">
        <v>0</v>
      </c>
      <c r="P13653">
        <v>0</v>
      </c>
      <c r="Q13653">
        <v>0</v>
      </c>
    </row>
    <row r="13654" spans="1:17" x14ac:dyDescent="0.2">
      <c r="A13654" s="121">
        <v>43769</v>
      </c>
      <c r="B13654" t="s">
        <v>406</v>
      </c>
      <c r="C13654" t="s">
        <v>429</v>
      </c>
      <c r="D13654" t="s">
        <v>438</v>
      </c>
      <c r="E13654" t="s">
        <v>439</v>
      </c>
      <c r="F13654" t="s">
        <v>413</v>
      </c>
      <c r="G13654">
        <v>1165</v>
      </c>
      <c r="H13654">
        <v>1165</v>
      </c>
      <c r="I13654">
        <v>1079</v>
      </c>
      <c r="J13654">
        <v>1079</v>
      </c>
      <c r="K13654">
        <v>79</v>
      </c>
      <c r="L13654">
        <v>0</v>
      </c>
      <c r="M13654">
        <v>969</v>
      </c>
      <c r="N13654">
        <v>82</v>
      </c>
      <c r="O13654">
        <v>35</v>
      </c>
      <c r="P13654">
        <v>9</v>
      </c>
      <c r="Q13654">
        <v>1</v>
      </c>
    </row>
    <row r="13655" spans="1:17" x14ac:dyDescent="0.2">
      <c r="A13655" s="121">
        <v>43769</v>
      </c>
      <c r="B13655" t="s">
        <v>406</v>
      </c>
      <c r="C13655" t="s">
        <v>429</v>
      </c>
      <c r="D13655" t="s">
        <v>440</v>
      </c>
      <c r="E13655" t="s">
        <v>441</v>
      </c>
      <c r="F13655" t="s">
        <v>413</v>
      </c>
      <c r="G13655">
        <v>3064</v>
      </c>
      <c r="H13655">
        <v>3064</v>
      </c>
      <c r="I13655">
        <v>2766</v>
      </c>
      <c r="J13655">
        <v>2766</v>
      </c>
      <c r="K13655">
        <v>865</v>
      </c>
      <c r="L13655">
        <v>2</v>
      </c>
      <c r="M13655">
        <v>2067</v>
      </c>
      <c r="N13655">
        <v>82</v>
      </c>
      <c r="O13655">
        <v>48</v>
      </c>
      <c r="P13655">
        <v>29</v>
      </c>
      <c r="Q13655">
        <v>3</v>
      </c>
    </row>
    <row r="13656" spans="1:17" x14ac:dyDescent="0.2">
      <c r="A13656" s="121">
        <v>43769</v>
      </c>
      <c r="B13656" t="s">
        <v>406</v>
      </c>
      <c r="C13656" t="s">
        <v>442</v>
      </c>
      <c r="D13656" t="s">
        <v>443</v>
      </c>
      <c r="E13656" t="s">
        <v>444</v>
      </c>
      <c r="F13656" t="s">
        <v>413</v>
      </c>
      <c r="G13656">
        <v>5720</v>
      </c>
      <c r="H13656">
        <v>5720</v>
      </c>
      <c r="I13656">
        <v>5160</v>
      </c>
      <c r="J13656">
        <v>5160</v>
      </c>
      <c r="K13656">
        <v>1836</v>
      </c>
      <c r="L13656">
        <v>6</v>
      </c>
      <c r="M13656">
        <v>3713</v>
      </c>
      <c r="N13656">
        <v>88</v>
      </c>
      <c r="O13656">
        <v>77</v>
      </c>
      <c r="P13656">
        <v>14</v>
      </c>
      <c r="Q13656">
        <v>0</v>
      </c>
    </row>
    <row r="13657" spans="1:17" x14ac:dyDescent="0.2">
      <c r="A13657" s="121">
        <v>43769</v>
      </c>
      <c r="B13657" t="s">
        <v>406</v>
      </c>
      <c r="C13657" t="s">
        <v>442</v>
      </c>
      <c r="D13657" t="s">
        <v>445</v>
      </c>
      <c r="E13657" t="s">
        <v>446</v>
      </c>
      <c r="F13657" t="s">
        <v>410</v>
      </c>
      <c r="G13657">
        <v>137</v>
      </c>
      <c r="H13657">
        <v>137</v>
      </c>
      <c r="I13657">
        <v>137</v>
      </c>
      <c r="J13657">
        <v>137</v>
      </c>
      <c r="K13657">
        <v>1</v>
      </c>
      <c r="L13657">
        <v>0</v>
      </c>
      <c r="M13657">
        <v>132</v>
      </c>
      <c r="N13657">
        <v>0</v>
      </c>
      <c r="O13657">
        <v>4</v>
      </c>
      <c r="P13657">
        <v>0</v>
      </c>
      <c r="Q13657">
        <v>0</v>
      </c>
    </row>
    <row r="13658" spans="1:17" x14ac:dyDescent="0.2">
      <c r="A13658" s="121">
        <v>43769</v>
      </c>
      <c r="B13658" t="s">
        <v>406</v>
      </c>
      <c r="C13658" t="s">
        <v>442</v>
      </c>
      <c r="D13658" t="s">
        <v>447</v>
      </c>
      <c r="E13658" t="s">
        <v>448</v>
      </c>
      <c r="F13658" t="s">
        <v>410</v>
      </c>
      <c r="G13658">
        <v>268</v>
      </c>
      <c r="H13658">
        <v>268</v>
      </c>
      <c r="I13658">
        <v>268</v>
      </c>
      <c r="J13658">
        <v>268</v>
      </c>
      <c r="K13658">
        <v>0</v>
      </c>
      <c r="L13658">
        <v>0</v>
      </c>
      <c r="M13658">
        <v>259</v>
      </c>
      <c r="N13658">
        <v>9</v>
      </c>
      <c r="O13658">
        <v>0</v>
      </c>
      <c r="P13658">
        <v>0</v>
      </c>
      <c r="Q13658">
        <v>0</v>
      </c>
    </row>
    <row r="13659" spans="1:17" x14ac:dyDescent="0.2">
      <c r="A13659" s="121">
        <v>43769</v>
      </c>
      <c r="B13659" t="s">
        <v>406</v>
      </c>
      <c r="C13659" t="s">
        <v>442</v>
      </c>
      <c r="D13659" t="s">
        <v>449</v>
      </c>
      <c r="E13659" t="s">
        <v>624</v>
      </c>
      <c r="F13659" t="s">
        <v>410</v>
      </c>
      <c r="G13659">
        <v>1521</v>
      </c>
      <c r="H13659">
        <v>1521</v>
      </c>
      <c r="I13659">
        <v>1521</v>
      </c>
      <c r="J13659">
        <v>1521</v>
      </c>
      <c r="K13659">
        <v>21</v>
      </c>
      <c r="L13659">
        <v>0</v>
      </c>
      <c r="M13659">
        <v>1382</v>
      </c>
      <c r="N13659">
        <v>108</v>
      </c>
      <c r="O13659">
        <v>10</v>
      </c>
      <c r="P13659">
        <v>0</v>
      </c>
      <c r="Q13659">
        <v>0</v>
      </c>
    </row>
    <row r="13660" spans="1:17" x14ac:dyDescent="0.2">
      <c r="A13660" s="121">
        <v>43769</v>
      </c>
      <c r="B13660" t="s">
        <v>406</v>
      </c>
      <c r="C13660" t="s">
        <v>451</v>
      </c>
      <c r="D13660" t="s">
        <v>454</v>
      </c>
      <c r="E13660" t="s">
        <v>621</v>
      </c>
      <c r="F13660" t="s">
        <v>410</v>
      </c>
      <c r="G13660">
        <v>1946</v>
      </c>
      <c r="H13660">
        <v>1946</v>
      </c>
      <c r="I13660">
        <v>1935</v>
      </c>
      <c r="J13660">
        <v>1935</v>
      </c>
      <c r="K13660">
        <v>6</v>
      </c>
      <c r="L13660">
        <v>0</v>
      </c>
      <c r="M13660">
        <v>1649</v>
      </c>
      <c r="N13660">
        <v>12</v>
      </c>
      <c r="O13660">
        <v>279</v>
      </c>
      <c r="P13660">
        <v>0</v>
      </c>
      <c r="Q13660">
        <v>0</v>
      </c>
    </row>
    <row r="13661" spans="1:17" x14ac:dyDescent="0.2">
      <c r="A13661" s="121">
        <v>43769</v>
      </c>
      <c r="B13661" t="s">
        <v>406</v>
      </c>
      <c r="C13661" t="s">
        <v>451</v>
      </c>
      <c r="D13661" t="s">
        <v>622</v>
      </c>
      <c r="E13661" t="s">
        <v>623</v>
      </c>
      <c r="F13661" t="s">
        <v>413</v>
      </c>
      <c r="G13661">
        <v>5794</v>
      </c>
      <c r="H13661">
        <v>5794</v>
      </c>
      <c r="I13661">
        <v>4906</v>
      </c>
      <c r="J13661">
        <v>4906</v>
      </c>
      <c r="K13661">
        <v>1537</v>
      </c>
      <c r="L13661">
        <v>11</v>
      </c>
      <c r="M13661">
        <v>3945</v>
      </c>
      <c r="N13661">
        <v>20</v>
      </c>
      <c r="O13661">
        <v>281</v>
      </c>
      <c r="P13661">
        <v>20</v>
      </c>
      <c r="Q13661">
        <v>2</v>
      </c>
    </row>
    <row r="13662" spans="1:17" x14ac:dyDescent="0.2">
      <c r="A13662" s="121">
        <v>43769</v>
      </c>
      <c r="B13662" t="s">
        <v>406</v>
      </c>
      <c r="C13662" t="s">
        <v>456</v>
      </c>
      <c r="D13662" t="s">
        <v>457</v>
      </c>
      <c r="E13662" t="s">
        <v>458</v>
      </c>
      <c r="F13662" t="s">
        <v>413</v>
      </c>
      <c r="G13662">
        <v>5342</v>
      </c>
      <c r="H13662">
        <v>5342</v>
      </c>
      <c r="I13662">
        <v>4579</v>
      </c>
      <c r="J13662">
        <v>4579</v>
      </c>
      <c r="K13662">
        <v>1440</v>
      </c>
      <c r="L13662">
        <v>8</v>
      </c>
      <c r="M13662">
        <v>3437</v>
      </c>
      <c r="N13662">
        <v>32</v>
      </c>
      <c r="O13662">
        <v>425</v>
      </c>
      <c r="P13662">
        <v>45</v>
      </c>
      <c r="Q13662">
        <v>3</v>
      </c>
    </row>
    <row r="13663" spans="1:17" x14ac:dyDescent="0.2">
      <c r="A13663" s="121">
        <v>43769</v>
      </c>
      <c r="B13663" t="s">
        <v>406</v>
      </c>
      <c r="C13663" t="s">
        <v>456</v>
      </c>
      <c r="D13663" t="s">
        <v>459</v>
      </c>
      <c r="E13663" t="s">
        <v>460</v>
      </c>
      <c r="F13663" t="s">
        <v>413</v>
      </c>
      <c r="G13663">
        <v>1285</v>
      </c>
      <c r="H13663">
        <v>1285</v>
      </c>
      <c r="I13663">
        <v>1280</v>
      </c>
      <c r="J13663">
        <v>1280</v>
      </c>
      <c r="K13663">
        <v>113</v>
      </c>
      <c r="L13663">
        <v>0</v>
      </c>
      <c r="M13663">
        <v>1126</v>
      </c>
      <c r="N13663">
        <v>1</v>
      </c>
      <c r="O13663">
        <v>45</v>
      </c>
      <c r="P13663">
        <v>0</v>
      </c>
      <c r="Q13663">
        <v>0</v>
      </c>
    </row>
    <row r="13664" spans="1:17" x14ac:dyDescent="0.2">
      <c r="A13664" s="121">
        <v>43769</v>
      </c>
      <c r="B13664" t="s">
        <v>406</v>
      </c>
      <c r="C13664" t="s">
        <v>456</v>
      </c>
      <c r="D13664" t="s">
        <v>461</v>
      </c>
      <c r="E13664" t="s">
        <v>462</v>
      </c>
      <c r="F13664" t="s">
        <v>410</v>
      </c>
      <c r="G13664">
        <v>77</v>
      </c>
      <c r="I13664">
        <v>77</v>
      </c>
    </row>
    <row r="13665" spans="1:17" x14ac:dyDescent="0.2">
      <c r="A13665" s="121">
        <v>43769</v>
      </c>
      <c r="B13665" t="s">
        <v>406</v>
      </c>
      <c r="C13665" t="s">
        <v>456</v>
      </c>
      <c r="D13665" t="s">
        <v>465</v>
      </c>
      <c r="E13665" t="s">
        <v>466</v>
      </c>
      <c r="F13665" t="s">
        <v>410</v>
      </c>
      <c r="G13665">
        <v>29</v>
      </c>
      <c r="I13665">
        <v>29</v>
      </c>
    </row>
    <row r="13666" spans="1:17" x14ac:dyDescent="0.2">
      <c r="A13666" s="121">
        <v>43769</v>
      </c>
      <c r="B13666" t="s">
        <v>406</v>
      </c>
      <c r="C13666" t="s">
        <v>456</v>
      </c>
      <c r="D13666" t="s">
        <v>467</v>
      </c>
      <c r="E13666" t="s">
        <v>468</v>
      </c>
      <c r="F13666" t="s">
        <v>410</v>
      </c>
      <c r="G13666">
        <v>1311</v>
      </c>
      <c r="I13666">
        <v>1311</v>
      </c>
    </row>
    <row r="13667" spans="1:17" x14ac:dyDescent="0.2">
      <c r="A13667" s="121">
        <v>43769</v>
      </c>
      <c r="B13667" t="s">
        <v>406</v>
      </c>
      <c r="C13667" t="s">
        <v>456</v>
      </c>
      <c r="D13667" t="s">
        <v>469</v>
      </c>
      <c r="E13667" t="s">
        <v>470</v>
      </c>
      <c r="F13667" t="s">
        <v>410</v>
      </c>
      <c r="G13667">
        <v>551</v>
      </c>
      <c r="I13667">
        <v>549</v>
      </c>
    </row>
    <row r="13668" spans="1:17" x14ac:dyDescent="0.2">
      <c r="A13668" s="121">
        <v>43769</v>
      </c>
      <c r="B13668" t="s">
        <v>406</v>
      </c>
      <c r="C13668" t="s">
        <v>456</v>
      </c>
      <c r="D13668" t="s">
        <v>471</v>
      </c>
      <c r="E13668" t="s">
        <v>472</v>
      </c>
      <c r="F13668" t="s">
        <v>410</v>
      </c>
      <c r="G13668">
        <v>247</v>
      </c>
      <c r="I13668">
        <v>245</v>
      </c>
    </row>
    <row r="13669" spans="1:17" x14ac:dyDescent="0.2">
      <c r="A13669" s="121">
        <v>43769</v>
      </c>
      <c r="B13669" t="s">
        <v>406</v>
      </c>
      <c r="C13669" t="s">
        <v>456</v>
      </c>
      <c r="D13669" t="s">
        <v>473</v>
      </c>
      <c r="E13669" t="s">
        <v>474</v>
      </c>
      <c r="F13669" t="s">
        <v>410</v>
      </c>
      <c r="G13669">
        <v>101</v>
      </c>
      <c r="I13669">
        <v>101</v>
      </c>
    </row>
    <row r="13670" spans="1:17" x14ac:dyDescent="0.2">
      <c r="A13670" s="121">
        <v>43769</v>
      </c>
      <c r="B13670" t="s">
        <v>406</v>
      </c>
      <c r="C13670" t="s">
        <v>456</v>
      </c>
      <c r="D13670" t="s">
        <v>475</v>
      </c>
      <c r="E13670" t="s">
        <v>476</v>
      </c>
      <c r="F13670" t="s">
        <v>410</v>
      </c>
      <c r="G13670">
        <v>243</v>
      </c>
      <c r="I13670">
        <v>236</v>
      </c>
    </row>
    <row r="13671" spans="1:17" x14ac:dyDescent="0.2">
      <c r="A13671" s="121">
        <v>43769</v>
      </c>
      <c r="B13671" t="s">
        <v>406</v>
      </c>
      <c r="C13671" t="s">
        <v>456</v>
      </c>
      <c r="D13671" t="s">
        <v>477</v>
      </c>
      <c r="E13671" t="s">
        <v>478</v>
      </c>
      <c r="F13671" t="s">
        <v>413</v>
      </c>
      <c r="G13671">
        <v>2312</v>
      </c>
      <c r="H13671">
        <v>2312</v>
      </c>
      <c r="I13671">
        <v>2185</v>
      </c>
      <c r="J13671">
        <v>2185</v>
      </c>
      <c r="K13671">
        <v>517</v>
      </c>
      <c r="L13671">
        <v>1</v>
      </c>
      <c r="M13671">
        <v>1758</v>
      </c>
      <c r="N13671">
        <v>29</v>
      </c>
      <c r="O13671">
        <v>7</v>
      </c>
      <c r="P13671">
        <v>6</v>
      </c>
      <c r="Q13671">
        <v>0</v>
      </c>
    </row>
    <row r="13672" spans="1:17" x14ac:dyDescent="0.2">
      <c r="A13672" s="121">
        <v>43769</v>
      </c>
      <c r="B13672" t="s">
        <v>406</v>
      </c>
      <c r="C13672" t="s">
        <v>456</v>
      </c>
      <c r="D13672" t="s">
        <v>479</v>
      </c>
      <c r="E13672" t="s">
        <v>480</v>
      </c>
      <c r="F13672" t="s">
        <v>410</v>
      </c>
      <c r="G13672">
        <v>35</v>
      </c>
      <c r="I13672">
        <v>35</v>
      </c>
    </row>
    <row r="13673" spans="1:17" x14ac:dyDescent="0.2">
      <c r="A13673" s="121">
        <v>43769</v>
      </c>
      <c r="B13673" t="s">
        <v>406</v>
      </c>
      <c r="C13673" t="s">
        <v>456</v>
      </c>
      <c r="D13673" t="s">
        <v>481</v>
      </c>
      <c r="E13673" t="s">
        <v>482</v>
      </c>
      <c r="F13673" t="s">
        <v>410</v>
      </c>
      <c r="G13673">
        <v>18</v>
      </c>
      <c r="I13673">
        <v>18</v>
      </c>
    </row>
    <row r="13674" spans="1:17" x14ac:dyDescent="0.2">
      <c r="A13674" s="121">
        <v>43769</v>
      </c>
      <c r="B13674" t="s">
        <v>406</v>
      </c>
      <c r="C13674" t="s">
        <v>456</v>
      </c>
      <c r="D13674" t="s">
        <v>483</v>
      </c>
      <c r="E13674" t="s">
        <v>484</v>
      </c>
      <c r="F13674" t="s">
        <v>410</v>
      </c>
      <c r="G13674">
        <v>87</v>
      </c>
      <c r="I13674">
        <v>87</v>
      </c>
    </row>
    <row r="13675" spans="1:17" x14ac:dyDescent="0.2">
      <c r="A13675" s="121">
        <v>43769</v>
      </c>
      <c r="B13675" t="s">
        <v>406</v>
      </c>
      <c r="C13675" t="s">
        <v>456</v>
      </c>
      <c r="D13675" t="s">
        <v>487</v>
      </c>
      <c r="E13675" t="s">
        <v>488</v>
      </c>
      <c r="F13675" t="s">
        <v>410</v>
      </c>
      <c r="G13675">
        <v>13</v>
      </c>
      <c r="I13675">
        <v>13</v>
      </c>
    </row>
    <row r="13676" spans="1:17" x14ac:dyDescent="0.2">
      <c r="A13676" s="121">
        <v>43769</v>
      </c>
      <c r="B13676" t="s">
        <v>406</v>
      </c>
      <c r="C13676" t="s">
        <v>456</v>
      </c>
      <c r="D13676" t="s">
        <v>489</v>
      </c>
      <c r="E13676" t="s">
        <v>490</v>
      </c>
      <c r="F13676" t="s">
        <v>410</v>
      </c>
      <c r="G13676">
        <v>49</v>
      </c>
      <c r="I13676">
        <v>49</v>
      </c>
    </row>
    <row r="13677" spans="1:17" x14ac:dyDescent="0.2">
      <c r="A13677" s="121">
        <v>43769</v>
      </c>
      <c r="B13677" t="s">
        <v>406</v>
      </c>
      <c r="C13677" t="s">
        <v>456</v>
      </c>
      <c r="D13677" t="s">
        <v>628</v>
      </c>
      <c r="E13677" t="s">
        <v>629</v>
      </c>
      <c r="F13677" t="s">
        <v>410</v>
      </c>
      <c r="G13677">
        <v>42</v>
      </c>
      <c r="I13677">
        <v>42</v>
      </c>
    </row>
    <row r="13678" spans="1:17" x14ac:dyDescent="0.2">
      <c r="A13678" s="121">
        <v>43769</v>
      </c>
      <c r="B13678" t="s">
        <v>406</v>
      </c>
      <c r="C13678" t="s">
        <v>491</v>
      </c>
      <c r="D13678" t="s">
        <v>492</v>
      </c>
      <c r="E13678" t="s">
        <v>493</v>
      </c>
      <c r="F13678" t="s">
        <v>410</v>
      </c>
      <c r="G13678">
        <v>1565</v>
      </c>
      <c r="H13678">
        <v>1565</v>
      </c>
      <c r="I13678">
        <v>1483</v>
      </c>
      <c r="J13678">
        <v>1483</v>
      </c>
      <c r="K13678">
        <v>226</v>
      </c>
      <c r="L13678">
        <v>2</v>
      </c>
      <c r="M13678">
        <v>1213</v>
      </c>
      <c r="N13678">
        <v>76</v>
      </c>
      <c r="O13678">
        <v>48</v>
      </c>
      <c r="P13678">
        <v>3</v>
      </c>
      <c r="Q13678">
        <v>0</v>
      </c>
    </row>
    <row r="13679" spans="1:17" x14ac:dyDescent="0.2">
      <c r="A13679" s="121">
        <v>43769</v>
      </c>
      <c r="B13679" t="s">
        <v>406</v>
      </c>
      <c r="C13679" t="s">
        <v>491</v>
      </c>
      <c r="D13679" t="s">
        <v>494</v>
      </c>
      <c r="E13679" t="s">
        <v>495</v>
      </c>
      <c r="F13679" t="s">
        <v>413</v>
      </c>
      <c r="G13679">
        <v>2821</v>
      </c>
      <c r="H13679">
        <v>2821</v>
      </c>
      <c r="I13679">
        <v>2525</v>
      </c>
      <c r="J13679">
        <v>2525</v>
      </c>
      <c r="K13679">
        <v>777</v>
      </c>
      <c r="L13679">
        <v>6</v>
      </c>
      <c r="M13679">
        <v>1939</v>
      </c>
      <c r="N13679">
        <v>35</v>
      </c>
      <c r="O13679">
        <v>64</v>
      </c>
      <c r="P13679">
        <v>14</v>
      </c>
      <c r="Q13679">
        <v>0</v>
      </c>
    </row>
    <row r="13680" spans="1:17" x14ac:dyDescent="0.2">
      <c r="A13680" s="121">
        <v>43769</v>
      </c>
      <c r="B13680" t="s">
        <v>406</v>
      </c>
      <c r="C13680" t="s">
        <v>491</v>
      </c>
      <c r="D13680" t="s">
        <v>496</v>
      </c>
      <c r="E13680" t="s">
        <v>497</v>
      </c>
      <c r="F13680" t="s">
        <v>413</v>
      </c>
      <c r="G13680">
        <v>5853</v>
      </c>
      <c r="H13680">
        <v>5853</v>
      </c>
      <c r="I13680">
        <v>4734</v>
      </c>
      <c r="J13680">
        <v>4734</v>
      </c>
      <c r="K13680">
        <v>1915</v>
      </c>
      <c r="L13680">
        <v>8</v>
      </c>
      <c r="M13680">
        <v>3703</v>
      </c>
      <c r="N13680">
        <v>89</v>
      </c>
      <c r="O13680">
        <v>138</v>
      </c>
      <c r="P13680">
        <v>179</v>
      </c>
      <c r="Q13680">
        <v>14</v>
      </c>
    </row>
    <row r="13681" spans="1:17" x14ac:dyDescent="0.2">
      <c r="A13681" s="121">
        <v>43769</v>
      </c>
      <c r="B13681" t="s">
        <v>406</v>
      </c>
      <c r="C13681" t="s">
        <v>491</v>
      </c>
      <c r="D13681" t="s">
        <v>498</v>
      </c>
      <c r="E13681" t="s">
        <v>499</v>
      </c>
      <c r="F13681" t="s">
        <v>413</v>
      </c>
      <c r="G13681">
        <v>8499</v>
      </c>
      <c r="H13681">
        <v>8499</v>
      </c>
      <c r="I13681">
        <v>6584</v>
      </c>
      <c r="J13681">
        <v>6584</v>
      </c>
      <c r="K13681">
        <v>2711</v>
      </c>
      <c r="L13681">
        <v>18</v>
      </c>
      <c r="M13681">
        <v>5168</v>
      </c>
      <c r="N13681">
        <v>135</v>
      </c>
      <c r="O13681">
        <v>467</v>
      </c>
      <c r="P13681">
        <v>124</v>
      </c>
      <c r="Q13681">
        <v>10</v>
      </c>
    </row>
    <row r="13682" spans="1:17" x14ac:dyDescent="0.2">
      <c r="A13682" s="121">
        <v>43769</v>
      </c>
      <c r="B13682" t="s">
        <v>406</v>
      </c>
      <c r="C13682" t="s">
        <v>491</v>
      </c>
      <c r="D13682" t="s">
        <v>500</v>
      </c>
      <c r="E13682" t="s">
        <v>620</v>
      </c>
      <c r="F13682" t="s">
        <v>410</v>
      </c>
      <c r="G13682">
        <v>1951</v>
      </c>
      <c r="H13682">
        <v>1951</v>
      </c>
      <c r="I13682">
        <v>1949</v>
      </c>
      <c r="J13682">
        <v>1949</v>
      </c>
      <c r="K13682">
        <v>6</v>
      </c>
      <c r="L13682">
        <v>0</v>
      </c>
      <c r="M13682">
        <v>1790</v>
      </c>
      <c r="N13682">
        <v>93</v>
      </c>
      <c r="O13682">
        <v>62</v>
      </c>
      <c r="P13682">
        <v>0</v>
      </c>
      <c r="Q13682">
        <v>0</v>
      </c>
    </row>
    <row r="13683" spans="1:17" x14ac:dyDescent="0.2">
      <c r="A13683" s="121">
        <v>43769</v>
      </c>
      <c r="B13683" t="s">
        <v>406</v>
      </c>
      <c r="C13683" t="s">
        <v>491</v>
      </c>
      <c r="D13683" t="s">
        <v>502</v>
      </c>
      <c r="E13683" t="s">
        <v>615</v>
      </c>
      <c r="F13683" t="s">
        <v>410</v>
      </c>
      <c r="G13683">
        <v>3030</v>
      </c>
      <c r="H13683">
        <v>3030</v>
      </c>
      <c r="I13683">
        <v>3018</v>
      </c>
      <c r="J13683">
        <v>3018</v>
      </c>
      <c r="K13683">
        <v>2</v>
      </c>
      <c r="L13683">
        <v>1</v>
      </c>
      <c r="M13683">
        <v>2645</v>
      </c>
      <c r="N13683">
        <v>233</v>
      </c>
      <c r="O13683">
        <v>149</v>
      </c>
      <c r="P13683">
        <v>0</v>
      </c>
      <c r="Q13683">
        <v>0</v>
      </c>
    </row>
    <row r="13684" spans="1:17" x14ac:dyDescent="0.2">
      <c r="A13684" s="121">
        <v>43769</v>
      </c>
      <c r="B13684" t="s">
        <v>406</v>
      </c>
      <c r="C13684" t="s">
        <v>491</v>
      </c>
      <c r="D13684" t="s">
        <v>504</v>
      </c>
      <c r="E13684" t="s">
        <v>630</v>
      </c>
      <c r="F13684" t="s">
        <v>413</v>
      </c>
      <c r="G13684">
        <v>8735</v>
      </c>
      <c r="H13684">
        <v>8735</v>
      </c>
      <c r="I13684">
        <v>6410</v>
      </c>
      <c r="J13684">
        <v>6410</v>
      </c>
      <c r="K13684">
        <v>2879</v>
      </c>
      <c r="L13684">
        <v>21</v>
      </c>
      <c r="M13684">
        <v>5424</v>
      </c>
      <c r="N13684">
        <v>48</v>
      </c>
      <c r="O13684">
        <v>363</v>
      </c>
      <c r="P13684">
        <v>233</v>
      </c>
      <c r="Q13684">
        <v>36</v>
      </c>
    </row>
    <row r="13685" spans="1:17" x14ac:dyDescent="0.2">
      <c r="A13685" s="121">
        <v>43769</v>
      </c>
      <c r="B13685" t="s">
        <v>406</v>
      </c>
      <c r="C13685" t="s">
        <v>491</v>
      </c>
      <c r="D13685" t="s">
        <v>506</v>
      </c>
      <c r="E13685" t="s">
        <v>507</v>
      </c>
      <c r="F13685" t="s">
        <v>413</v>
      </c>
      <c r="G13685">
        <v>6156</v>
      </c>
      <c r="H13685">
        <v>6156</v>
      </c>
      <c r="I13685">
        <v>5859</v>
      </c>
      <c r="J13685">
        <v>5859</v>
      </c>
      <c r="K13685">
        <v>1639</v>
      </c>
      <c r="L13685">
        <v>2</v>
      </c>
      <c r="M13685">
        <v>4473</v>
      </c>
      <c r="N13685">
        <v>2</v>
      </c>
      <c r="O13685">
        <v>40</v>
      </c>
      <c r="P13685">
        <v>1</v>
      </c>
      <c r="Q13685">
        <v>0</v>
      </c>
    </row>
    <row r="13686" spans="1:17" x14ac:dyDescent="0.2">
      <c r="A13686" s="121">
        <v>43769</v>
      </c>
      <c r="B13686" t="s">
        <v>406</v>
      </c>
      <c r="C13686" t="s">
        <v>510</v>
      </c>
      <c r="D13686" t="s">
        <v>513</v>
      </c>
      <c r="E13686" t="s">
        <v>514</v>
      </c>
      <c r="F13686" t="s">
        <v>410</v>
      </c>
      <c r="G13686">
        <v>672</v>
      </c>
      <c r="I13686">
        <v>670</v>
      </c>
    </row>
    <row r="13687" spans="1:17" x14ac:dyDescent="0.2">
      <c r="A13687" s="121">
        <v>43769</v>
      </c>
      <c r="B13687" t="s">
        <v>406</v>
      </c>
      <c r="C13687" t="s">
        <v>510</v>
      </c>
      <c r="D13687" t="s">
        <v>515</v>
      </c>
      <c r="E13687" t="s">
        <v>516</v>
      </c>
      <c r="F13687" t="s">
        <v>410</v>
      </c>
      <c r="G13687">
        <v>121</v>
      </c>
      <c r="I13687">
        <v>121</v>
      </c>
    </row>
    <row r="13688" spans="1:17" x14ac:dyDescent="0.2">
      <c r="A13688" s="121">
        <v>43769</v>
      </c>
      <c r="B13688" t="s">
        <v>406</v>
      </c>
      <c r="C13688" t="s">
        <v>510</v>
      </c>
      <c r="D13688" t="s">
        <v>519</v>
      </c>
      <c r="E13688" t="s">
        <v>520</v>
      </c>
      <c r="F13688" t="s">
        <v>410</v>
      </c>
      <c r="G13688">
        <v>329</v>
      </c>
      <c r="I13688">
        <v>321</v>
      </c>
    </row>
    <row r="13689" spans="1:17" x14ac:dyDescent="0.2">
      <c r="A13689" s="121">
        <v>43769</v>
      </c>
      <c r="B13689" t="s">
        <v>406</v>
      </c>
      <c r="C13689" t="s">
        <v>510</v>
      </c>
      <c r="D13689" t="s">
        <v>523</v>
      </c>
      <c r="E13689" t="s">
        <v>524</v>
      </c>
      <c r="F13689" t="s">
        <v>413</v>
      </c>
      <c r="G13689">
        <v>684</v>
      </c>
      <c r="H13689">
        <v>684</v>
      </c>
      <c r="I13689">
        <v>669</v>
      </c>
      <c r="J13689">
        <v>669</v>
      </c>
      <c r="K13689">
        <v>158</v>
      </c>
      <c r="L13689">
        <v>0</v>
      </c>
      <c r="M13689">
        <v>512</v>
      </c>
      <c r="N13689">
        <v>14</v>
      </c>
      <c r="O13689">
        <v>0</v>
      </c>
      <c r="P13689">
        <v>1</v>
      </c>
      <c r="Q13689">
        <v>0</v>
      </c>
    </row>
    <row r="13690" spans="1:17" x14ac:dyDescent="0.2">
      <c r="A13690" s="121">
        <v>43769</v>
      </c>
      <c r="B13690" t="s">
        <v>406</v>
      </c>
      <c r="C13690" t="s">
        <v>510</v>
      </c>
      <c r="D13690" t="s">
        <v>525</v>
      </c>
      <c r="E13690" t="s">
        <v>526</v>
      </c>
      <c r="F13690" t="s">
        <v>410</v>
      </c>
      <c r="G13690">
        <v>402</v>
      </c>
      <c r="I13690">
        <v>400</v>
      </c>
    </row>
    <row r="13691" spans="1:17" x14ac:dyDescent="0.2">
      <c r="A13691" s="121">
        <v>43769</v>
      </c>
      <c r="B13691" t="s">
        <v>406</v>
      </c>
      <c r="C13691" t="s">
        <v>510</v>
      </c>
      <c r="D13691" t="s">
        <v>527</v>
      </c>
      <c r="E13691" t="s">
        <v>528</v>
      </c>
      <c r="F13691" t="s">
        <v>410</v>
      </c>
      <c r="G13691">
        <v>140</v>
      </c>
      <c r="I13691">
        <v>140</v>
      </c>
    </row>
    <row r="13692" spans="1:17" x14ac:dyDescent="0.2">
      <c r="A13692" s="121">
        <v>43769</v>
      </c>
      <c r="B13692" t="s">
        <v>406</v>
      </c>
      <c r="C13692" t="s">
        <v>510</v>
      </c>
      <c r="D13692" t="s">
        <v>529</v>
      </c>
      <c r="E13692" t="s">
        <v>530</v>
      </c>
      <c r="F13692" t="s">
        <v>413</v>
      </c>
      <c r="G13692">
        <v>691</v>
      </c>
      <c r="H13692">
        <v>691</v>
      </c>
      <c r="I13692">
        <v>676</v>
      </c>
      <c r="J13692">
        <v>676</v>
      </c>
      <c r="K13692">
        <v>190</v>
      </c>
      <c r="L13692">
        <v>1</v>
      </c>
      <c r="M13692">
        <v>497</v>
      </c>
      <c r="N13692">
        <v>3</v>
      </c>
      <c r="O13692">
        <v>0</v>
      </c>
      <c r="P13692">
        <v>1</v>
      </c>
      <c r="Q13692">
        <v>0</v>
      </c>
    </row>
    <row r="13693" spans="1:17" x14ac:dyDescent="0.2">
      <c r="A13693" s="121">
        <v>43769</v>
      </c>
      <c r="B13693" t="s">
        <v>406</v>
      </c>
      <c r="C13693" t="s">
        <v>510</v>
      </c>
      <c r="D13693" t="s">
        <v>531</v>
      </c>
      <c r="E13693" t="s">
        <v>532</v>
      </c>
      <c r="F13693" t="s">
        <v>410</v>
      </c>
      <c r="G13693">
        <v>53</v>
      </c>
      <c r="I13693">
        <v>53</v>
      </c>
    </row>
    <row r="13694" spans="1:17" x14ac:dyDescent="0.2">
      <c r="A13694" s="121">
        <v>43769</v>
      </c>
      <c r="B13694" t="s">
        <v>406</v>
      </c>
      <c r="C13694" t="s">
        <v>510</v>
      </c>
      <c r="D13694" t="s">
        <v>533</v>
      </c>
      <c r="E13694" t="s">
        <v>534</v>
      </c>
      <c r="F13694" t="s">
        <v>413</v>
      </c>
      <c r="G13694">
        <v>3105</v>
      </c>
      <c r="H13694">
        <v>3105</v>
      </c>
      <c r="I13694">
        <v>2736</v>
      </c>
      <c r="J13694">
        <v>2736</v>
      </c>
      <c r="K13694">
        <v>756</v>
      </c>
      <c r="L13694">
        <v>2</v>
      </c>
      <c r="M13694">
        <v>2242</v>
      </c>
      <c r="N13694">
        <v>13</v>
      </c>
      <c r="O13694">
        <v>92</v>
      </c>
      <c r="P13694">
        <v>29</v>
      </c>
      <c r="Q13694">
        <v>0</v>
      </c>
    </row>
    <row r="13695" spans="1:17" x14ac:dyDescent="0.2">
      <c r="A13695" s="121">
        <v>43769</v>
      </c>
      <c r="B13695" t="s">
        <v>406</v>
      </c>
      <c r="C13695" t="s">
        <v>510</v>
      </c>
      <c r="D13695" t="s">
        <v>535</v>
      </c>
      <c r="E13695" t="s">
        <v>536</v>
      </c>
      <c r="F13695" t="s">
        <v>410</v>
      </c>
      <c r="G13695">
        <v>334</v>
      </c>
      <c r="I13695">
        <v>334</v>
      </c>
    </row>
    <row r="13696" spans="1:17" x14ac:dyDescent="0.2">
      <c r="A13696" s="121">
        <v>43769</v>
      </c>
      <c r="B13696" t="s">
        <v>406</v>
      </c>
      <c r="C13696" t="s">
        <v>510</v>
      </c>
      <c r="D13696" t="s">
        <v>539</v>
      </c>
      <c r="E13696" t="s">
        <v>540</v>
      </c>
      <c r="F13696" t="s">
        <v>413</v>
      </c>
      <c r="G13696">
        <v>724</v>
      </c>
      <c r="H13696">
        <v>724</v>
      </c>
      <c r="I13696">
        <v>669</v>
      </c>
      <c r="J13696">
        <v>669</v>
      </c>
      <c r="K13696">
        <v>155</v>
      </c>
      <c r="L13696">
        <v>0</v>
      </c>
      <c r="M13696">
        <v>560</v>
      </c>
      <c r="N13696">
        <v>7</v>
      </c>
      <c r="O13696">
        <v>2</v>
      </c>
      <c r="P13696">
        <v>4</v>
      </c>
      <c r="Q13696">
        <v>0</v>
      </c>
    </row>
    <row r="13697" spans="1:17" x14ac:dyDescent="0.2">
      <c r="A13697" s="121">
        <v>43769</v>
      </c>
      <c r="B13697" t="s">
        <v>406</v>
      </c>
      <c r="C13697" t="s">
        <v>510</v>
      </c>
      <c r="D13697" t="s">
        <v>541</v>
      </c>
      <c r="E13697" t="s">
        <v>542</v>
      </c>
      <c r="F13697" t="s">
        <v>410</v>
      </c>
      <c r="G13697">
        <v>425</v>
      </c>
      <c r="I13697">
        <v>423</v>
      </c>
    </row>
    <row r="13698" spans="1:17" x14ac:dyDescent="0.2">
      <c r="A13698" s="121">
        <v>43769</v>
      </c>
      <c r="B13698" t="s">
        <v>406</v>
      </c>
      <c r="C13698" t="s">
        <v>510</v>
      </c>
      <c r="D13698" t="s">
        <v>543</v>
      </c>
      <c r="E13698" t="s">
        <v>544</v>
      </c>
      <c r="F13698" t="s">
        <v>410</v>
      </c>
      <c r="G13698">
        <v>197</v>
      </c>
      <c r="I13698">
        <v>197</v>
      </c>
    </row>
    <row r="13699" spans="1:17" x14ac:dyDescent="0.2">
      <c r="A13699" s="121">
        <v>43769</v>
      </c>
      <c r="B13699" t="s">
        <v>406</v>
      </c>
      <c r="C13699" t="s">
        <v>510</v>
      </c>
      <c r="D13699" t="s">
        <v>547</v>
      </c>
      <c r="E13699" t="s">
        <v>548</v>
      </c>
      <c r="F13699" t="s">
        <v>410</v>
      </c>
      <c r="G13699">
        <v>169</v>
      </c>
      <c r="I13699">
        <v>169</v>
      </c>
    </row>
    <row r="13700" spans="1:17" x14ac:dyDescent="0.2">
      <c r="A13700" s="121">
        <v>43769</v>
      </c>
      <c r="B13700" t="s">
        <v>406</v>
      </c>
      <c r="C13700" t="s">
        <v>510</v>
      </c>
      <c r="D13700" t="s">
        <v>632</v>
      </c>
      <c r="E13700" t="s">
        <v>633</v>
      </c>
      <c r="F13700" t="s">
        <v>410</v>
      </c>
      <c r="G13700">
        <v>39</v>
      </c>
      <c r="I13700">
        <v>39</v>
      </c>
    </row>
    <row r="13701" spans="1:17" x14ac:dyDescent="0.2">
      <c r="A13701" s="121">
        <v>43769</v>
      </c>
      <c r="B13701" t="s">
        <v>406</v>
      </c>
      <c r="C13701" t="s">
        <v>510</v>
      </c>
      <c r="D13701" t="s">
        <v>616</v>
      </c>
      <c r="E13701" t="s">
        <v>617</v>
      </c>
      <c r="F13701" t="s">
        <v>410</v>
      </c>
      <c r="G13701">
        <v>405</v>
      </c>
      <c r="I13701">
        <v>400</v>
      </c>
    </row>
    <row r="13702" spans="1:17" x14ac:dyDescent="0.2">
      <c r="A13702" s="121">
        <v>43769</v>
      </c>
      <c r="B13702" t="s">
        <v>406</v>
      </c>
      <c r="C13702" t="s">
        <v>510</v>
      </c>
      <c r="D13702" t="s">
        <v>549</v>
      </c>
      <c r="E13702" t="s">
        <v>550</v>
      </c>
      <c r="F13702" t="s">
        <v>410</v>
      </c>
      <c r="G13702">
        <v>128</v>
      </c>
      <c r="I13702">
        <v>128</v>
      </c>
    </row>
    <row r="13703" spans="1:17" x14ac:dyDescent="0.2">
      <c r="A13703" s="121">
        <v>43769</v>
      </c>
      <c r="B13703" t="s">
        <v>406</v>
      </c>
      <c r="C13703" t="s">
        <v>510</v>
      </c>
      <c r="D13703" t="s">
        <v>625</v>
      </c>
      <c r="E13703" t="s">
        <v>626</v>
      </c>
      <c r="F13703" t="s">
        <v>410</v>
      </c>
      <c r="G13703">
        <v>104</v>
      </c>
      <c r="I13703">
        <v>103</v>
      </c>
    </row>
    <row r="13704" spans="1:17" x14ac:dyDescent="0.2">
      <c r="A13704" s="121">
        <v>43769</v>
      </c>
      <c r="B13704" t="s">
        <v>406</v>
      </c>
      <c r="C13704" t="s">
        <v>551</v>
      </c>
      <c r="D13704" t="s">
        <v>552</v>
      </c>
      <c r="E13704" t="s">
        <v>553</v>
      </c>
      <c r="F13704" t="s">
        <v>413</v>
      </c>
      <c r="G13704">
        <v>6075</v>
      </c>
      <c r="H13704">
        <v>6075</v>
      </c>
      <c r="I13704">
        <v>5428</v>
      </c>
      <c r="J13704">
        <v>5428</v>
      </c>
      <c r="K13704">
        <v>2161</v>
      </c>
      <c r="L13704">
        <v>10</v>
      </c>
      <c r="M13704">
        <v>3727</v>
      </c>
      <c r="N13704">
        <v>118</v>
      </c>
      <c r="O13704">
        <v>59</v>
      </c>
      <c r="P13704">
        <v>50</v>
      </c>
      <c r="Q13704">
        <v>9</v>
      </c>
    </row>
    <row r="13705" spans="1:17" x14ac:dyDescent="0.2">
      <c r="A13705" s="121">
        <v>43769</v>
      </c>
      <c r="B13705" t="s">
        <v>406</v>
      </c>
      <c r="C13705" t="s">
        <v>551</v>
      </c>
      <c r="D13705" t="s">
        <v>554</v>
      </c>
      <c r="E13705" t="s">
        <v>555</v>
      </c>
      <c r="F13705" t="s">
        <v>410</v>
      </c>
      <c r="G13705">
        <v>78</v>
      </c>
      <c r="H13705">
        <v>78</v>
      </c>
      <c r="I13705">
        <v>78</v>
      </c>
      <c r="J13705">
        <v>78</v>
      </c>
      <c r="K13705">
        <v>9</v>
      </c>
      <c r="L13705">
        <v>0</v>
      </c>
      <c r="M13705">
        <v>69</v>
      </c>
      <c r="N13705">
        <v>0</v>
      </c>
      <c r="O13705">
        <v>0</v>
      </c>
      <c r="P13705">
        <v>0</v>
      </c>
      <c r="Q13705">
        <v>0</v>
      </c>
    </row>
    <row r="13706" spans="1:17" x14ac:dyDescent="0.2">
      <c r="A13706" s="121">
        <v>43769</v>
      </c>
      <c r="B13706" t="s">
        <v>406</v>
      </c>
      <c r="C13706" t="s">
        <v>551</v>
      </c>
      <c r="D13706" t="s">
        <v>556</v>
      </c>
      <c r="E13706" t="s">
        <v>557</v>
      </c>
      <c r="F13706" t="s">
        <v>410</v>
      </c>
      <c r="G13706">
        <v>37</v>
      </c>
      <c r="H13706">
        <v>37</v>
      </c>
      <c r="I13706">
        <v>37</v>
      </c>
      <c r="J13706">
        <v>37</v>
      </c>
      <c r="K13706">
        <v>0</v>
      </c>
      <c r="L13706">
        <v>0</v>
      </c>
      <c r="M13706">
        <v>37</v>
      </c>
      <c r="N13706">
        <v>0</v>
      </c>
      <c r="O13706">
        <v>0</v>
      </c>
      <c r="P13706">
        <v>0</v>
      </c>
      <c r="Q13706">
        <v>0</v>
      </c>
    </row>
    <row r="13707" spans="1:17" x14ac:dyDescent="0.2">
      <c r="A13707" s="121">
        <v>43769</v>
      </c>
      <c r="B13707" t="s">
        <v>406</v>
      </c>
      <c r="C13707" t="s">
        <v>551</v>
      </c>
      <c r="D13707" t="s">
        <v>558</v>
      </c>
      <c r="E13707" t="s">
        <v>559</v>
      </c>
      <c r="F13707" t="s">
        <v>413</v>
      </c>
      <c r="G13707">
        <v>5798</v>
      </c>
      <c r="H13707">
        <v>5798</v>
      </c>
      <c r="I13707">
        <v>4337</v>
      </c>
      <c r="J13707">
        <v>4337</v>
      </c>
      <c r="K13707">
        <v>1552</v>
      </c>
      <c r="L13707">
        <v>8</v>
      </c>
      <c r="M13707">
        <v>4122</v>
      </c>
      <c r="N13707">
        <v>82</v>
      </c>
      <c r="O13707">
        <v>34</v>
      </c>
      <c r="P13707">
        <v>310</v>
      </c>
      <c r="Q13707">
        <v>104</v>
      </c>
    </row>
    <row r="13708" spans="1:17" x14ac:dyDescent="0.2">
      <c r="A13708" s="121">
        <v>43769</v>
      </c>
      <c r="B13708" t="s">
        <v>406</v>
      </c>
      <c r="C13708" t="s">
        <v>551</v>
      </c>
      <c r="D13708" t="s">
        <v>560</v>
      </c>
      <c r="E13708" t="s">
        <v>561</v>
      </c>
      <c r="F13708" t="s">
        <v>413</v>
      </c>
      <c r="G13708">
        <v>6518</v>
      </c>
      <c r="H13708">
        <v>6518</v>
      </c>
      <c r="I13708">
        <v>5428</v>
      </c>
      <c r="J13708">
        <v>5428</v>
      </c>
      <c r="K13708">
        <v>1981</v>
      </c>
      <c r="L13708">
        <v>9</v>
      </c>
      <c r="M13708">
        <v>4417</v>
      </c>
      <c r="N13708">
        <v>49</v>
      </c>
      <c r="O13708">
        <v>62</v>
      </c>
      <c r="P13708">
        <v>207</v>
      </c>
      <c r="Q13708">
        <v>54</v>
      </c>
    </row>
    <row r="13709" spans="1:17" x14ac:dyDescent="0.2">
      <c r="A13709" s="121">
        <v>43769</v>
      </c>
      <c r="B13709" t="s">
        <v>406</v>
      </c>
      <c r="C13709" t="s">
        <v>562</v>
      </c>
      <c r="D13709" t="s">
        <v>605</v>
      </c>
      <c r="E13709" t="s">
        <v>606</v>
      </c>
      <c r="F13709" t="s">
        <v>410</v>
      </c>
      <c r="G13709">
        <v>228</v>
      </c>
      <c r="I13709">
        <v>228</v>
      </c>
    </row>
    <row r="13710" spans="1:17" x14ac:dyDescent="0.2">
      <c r="A13710" s="121">
        <v>43769</v>
      </c>
      <c r="B13710" t="s">
        <v>406</v>
      </c>
      <c r="C13710" t="s">
        <v>562</v>
      </c>
      <c r="D13710" t="s">
        <v>563</v>
      </c>
      <c r="E13710" t="s">
        <v>564</v>
      </c>
      <c r="F13710" t="s">
        <v>410</v>
      </c>
      <c r="G13710">
        <v>4083</v>
      </c>
      <c r="H13710">
        <v>4083</v>
      </c>
      <c r="I13710">
        <v>3377</v>
      </c>
      <c r="J13710">
        <v>3377</v>
      </c>
      <c r="K13710">
        <v>1200</v>
      </c>
      <c r="L13710">
        <v>0</v>
      </c>
      <c r="M13710">
        <v>2883</v>
      </c>
      <c r="N13710">
        <v>0</v>
      </c>
      <c r="O13710">
        <v>0</v>
      </c>
      <c r="P13710">
        <v>181</v>
      </c>
      <c r="Q13710">
        <v>98</v>
      </c>
    </row>
    <row r="13711" spans="1:17" x14ac:dyDescent="0.2">
      <c r="A13711" s="121">
        <v>43769</v>
      </c>
      <c r="B13711" t="s">
        <v>406</v>
      </c>
      <c r="C13711" t="s">
        <v>562</v>
      </c>
      <c r="D13711" t="s">
        <v>565</v>
      </c>
      <c r="E13711" t="s">
        <v>566</v>
      </c>
      <c r="F13711" t="s">
        <v>413</v>
      </c>
      <c r="G13711">
        <v>5160</v>
      </c>
      <c r="H13711">
        <v>5160</v>
      </c>
      <c r="I13711">
        <v>4675</v>
      </c>
      <c r="J13711">
        <v>4675</v>
      </c>
      <c r="K13711">
        <v>944</v>
      </c>
      <c r="L13711">
        <v>5</v>
      </c>
      <c r="M13711">
        <v>4151</v>
      </c>
      <c r="N13711">
        <v>56</v>
      </c>
      <c r="O13711">
        <v>4</v>
      </c>
      <c r="P13711">
        <v>96</v>
      </c>
      <c r="Q13711">
        <v>12</v>
      </c>
    </row>
    <row r="13712" spans="1:17" x14ac:dyDescent="0.2">
      <c r="A13712" s="121">
        <v>43769</v>
      </c>
      <c r="B13712" t="s">
        <v>406</v>
      </c>
      <c r="C13712" t="s">
        <v>562</v>
      </c>
      <c r="D13712" t="s">
        <v>567</v>
      </c>
      <c r="E13712" t="s">
        <v>568</v>
      </c>
      <c r="F13712" t="s">
        <v>413</v>
      </c>
      <c r="G13712">
        <v>11126</v>
      </c>
      <c r="H13712">
        <v>11126</v>
      </c>
      <c r="I13712">
        <v>9120</v>
      </c>
      <c r="J13712">
        <v>9120</v>
      </c>
      <c r="K13712">
        <v>3687</v>
      </c>
      <c r="L13712">
        <v>10</v>
      </c>
      <c r="M13712">
        <v>7182</v>
      </c>
      <c r="N13712">
        <v>209</v>
      </c>
      <c r="O13712">
        <v>38</v>
      </c>
      <c r="P13712">
        <v>358</v>
      </c>
      <c r="Q13712">
        <v>56</v>
      </c>
    </row>
    <row r="13713" spans="1:17" x14ac:dyDescent="0.2">
      <c r="A13713" s="121">
        <v>43769</v>
      </c>
      <c r="B13713" t="s">
        <v>406</v>
      </c>
      <c r="C13713" t="s">
        <v>562</v>
      </c>
      <c r="D13713" t="s">
        <v>569</v>
      </c>
      <c r="E13713" t="s">
        <v>570</v>
      </c>
      <c r="F13713" t="s">
        <v>413</v>
      </c>
      <c r="G13713">
        <v>4484</v>
      </c>
      <c r="H13713">
        <v>4484</v>
      </c>
      <c r="I13713">
        <v>4283</v>
      </c>
      <c r="J13713">
        <v>4283</v>
      </c>
      <c r="K13713">
        <v>668</v>
      </c>
      <c r="L13713">
        <v>0</v>
      </c>
      <c r="M13713">
        <v>3807</v>
      </c>
      <c r="N13713">
        <v>0</v>
      </c>
      <c r="O13713">
        <v>9</v>
      </c>
      <c r="P13713">
        <v>2</v>
      </c>
      <c r="Q13713">
        <v>1</v>
      </c>
    </row>
    <row r="13714" spans="1:17" x14ac:dyDescent="0.2">
      <c r="A13714" s="121">
        <v>43769</v>
      </c>
      <c r="B13714" t="s">
        <v>406</v>
      </c>
      <c r="C13714" t="s">
        <v>571</v>
      </c>
      <c r="D13714" t="s">
        <v>572</v>
      </c>
      <c r="E13714" t="s">
        <v>627</v>
      </c>
      <c r="F13714" t="s">
        <v>413</v>
      </c>
      <c r="G13714">
        <v>568</v>
      </c>
      <c r="H13714">
        <v>568</v>
      </c>
      <c r="I13714">
        <v>553</v>
      </c>
      <c r="J13714">
        <v>553</v>
      </c>
      <c r="K13714">
        <v>140</v>
      </c>
      <c r="L13714">
        <v>0</v>
      </c>
      <c r="M13714">
        <v>417</v>
      </c>
      <c r="N13714">
        <v>8</v>
      </c>
      <c r="O13714">
        <v>3</v>
      </c>
      <c r="P13714">
        <v>0</v>
      </c>
      <c r="Q13714">
        <v>0</v>
      </c>
    </row>
    <row r="13715" spans="1:17" x14ac:dyDescent="0.2">
      <c r="A13715" s="121">
        <v>43769</v>
      </c>
      <c r="B13715" t="s">
        <v>406</v>
      </c>
      <c r="C13715" t="s">
        <v>574</v>
      </c>
      <c r="D13715" t="s">
        <v>575</v>
      </c>
      <c r="E13715" t="s">
        <v>576</v>
      </c>
      <c r="F13715" t="s">
        <v>413</v>
      </c>
      <c r="G13715">
        <v>588</v>
      </c>
      <c r="H13715">
        <v>588</v>
      </c>
      <c r="I13715">
        <v>542</v>
      </c>
      <c r="J13715">
        <v>542</v>
      </c>
      <c r="K13715">
        <v>143</v>
      </c>
      <c r="L13715">
        <v>0</v>
      </c>
      <c r="M13715">
        <v>434</v>
      </c>
      <c r="N13715">
        <v>3</v>
      </c>
      <c r="O13715">
        <v>8</v>
      </c>
      <c r="P13715">
        <v>0</v>
      </c>
      <c r="Q13715">
        <v>0</v>
      </c>
    </row>
    <row r="13716" spans="1:17" x14ac:dyDescent="0.2">
      <c r="A13716" s="121">
        <v>43769</v>
      </c>
      <c r="B13716" t="s">
        <v>406</v>
      </c>
      <c r="C13716" t="s">
        <v>577</v>
      </c>
      <c r="D13716" t="s">
        <v>578</v>
      </c>
      <c r="E13716" t="s">
        <v>579</v>
      </c>
      <c r="F13716" t="s">
        <v>413</v>
      </c>
      <c r="G13716">
        <v>4444</v>
      </c>
      <c r="H13716">
        <v>4444</v>
      </c>
      <c r="I13716">
        <v>4211</v>
      </c>
      <c r="J13716">
        <v>4211</v>
      </c>
      <c r="K13716">
        <v>1434</v>
      </c>
      <c r="L13716">
        <v>10</v>
      </c>
      <c r="M13716">
        <v>2730</v>
      </c>
      <c r="N13716">
        <v>217</v>
      </c>
      <c r="O13716">
        <v>53</v>
      </c>
      <c r="P13716">
        <v>1</v>
      </c>
      <c r="Q13716">
        <v>0</v>
      </c>
    </row>
    <row r="13717" spans="1:17" x14ac:dyDescent="0.2">
      <c r="A13717" s="121">
        <v>43769</v>
      </c>
      <c r="B13717" t="s">
        <v>406</v>
      </c>
      <c r="C13717" t="s">
        <v>577</v>
      </c>
      <c r="D13717" t="s">
        <v>580</v>
      </c>
      <c r="E13717" t="s">
        <v>581</v>
      </c>
      <c r="F13717" t="s">
        <v>413</v>
      </c>
      <c r="G13717">
        <v>2111</v>
      </c>
      <c r="H13717">
        <v>2111</v>
      </c>
      <c r="I13717">
        <v>2030</v>
      </c>
      <c r="J13717">
        <v>2030</v>
      </c>
      <c r="K13717">
        <v>355</v>
      </c>
      <c r="L13717">
        <v>1</v>
      </c>
      <c r="M13717">
        <v>1437</v>
      </c>
      <c r="N13717">
        <v>293</v>
      </c>
      <c r="O13717">
        <v>25</v>
      </c>
      <c r="P13717">
        <v>2</v>
      </c>
      <c r="Q13717">
        <v>0</v>
      </c>
    </row>
    <row r="13718" spans="1:17" x14ac:dyDescent="0.2">
      <c r="A13718" s="121">
        <v>43769</v>
      </c>
      <c r="B13718" t="s">
        <v>406</v>
      </c>
      <c r="C13718" t="s">
        <v>577</v>
      </c>
      <c r="D13718" t="s">
        <v>584</v>
      </c>
      <c r="E13718" t="s">
        <v>585</v>
      </c>
      <c r="F13718" t="s">
        <v>410</v>
      </c>
      <c r="G13718">
        <v>267</v>
      </c>
      <c r="H13718">
        <v>267</v>
      </c>
      <c r="I13718">
        <v>267</v>
      </c>
      <c r="J13718">
        <v>267</v>
      </c>
      <c r="K13718">
        <v>0</v>
      </c>
      <c r="L13718">
        <v>0</v>
      </c>
      <c r="M13718">
        <v>252</v>
      </c>
      <c r="N13718">
        <v>13</v>
      </c>
      <c r="O13718">
        <v>2</v>
      </c>
      <c r="P13718">
        <v>0</v>
      </c>
      <c r="Q13718">
        <v>0</v>
      </c>
    </row>
    <row r="13719" spans="1:17" x14ac:dyDescent="0.2">
      <c r="A13719" s="121">
        <v>43769</v>
      </c>
      <c r="B13719" t="s">
        <v>406</v>
      </c>
      <c r="C13719" t="s">
        <v>577</v>
      </c>
      <c r="D13719" t="s">
        <v>586</v>
      </c>
      <c r="E13719" t="s">
        <v>587</v>
      </c>
      <c r="F13719" t="s">
        <v>410</v>
      </c>
      <c r="G13719">
        <v>1124</v>
      </c>
      <c r="H13719">
        <v>1124</v>
      </c>
      <c r="I13719">
        <v>1124</v>
      </c>
      <c r="J13719">
        <v>1124</v>
      </c>
      <c r="K13719">
        <v>0</v>
      </c>
      <c r="L13719">
        <v>0</v>
      </c>
      <c r="M13719">
        <v>1016</v>
      </c>
      <c r="N13719">
        <v>105</v>
      </c>
      <c r="O13719">
        <v>3</v>
      </c>
      <c r="P13719">
        <v>0</v>
      </c>
      <c r="Q13719">
        <v>0</v>
      </c>
    </row>
    <row r="13720" spans="1:17" x14ac:dyDescent="0.2">
      <c r="A13720" s="121">
        <v>43769</v>
      </c>
      <c r="B13720" t="s">
        <v>406</v>
      </c>
      <c r="C13720" t="s">
        <v>577</v>
      </c>
      <c r="D13720" t="s">
        <v>613</v>
      </c>
      <c r="E13720" t="s">
        <v>614</v>
      </c>
      <c r="F13720" t="s">
        <v>410</v>
      </c>
      <c r="G13720">
        <v>222</v>
      </c>
      <c r="H13720">
        <v>222</v>
      </c>
      <c r="I13720">
        <v>222</v>
      </c>
      <c r="J13720">
        <v>222</v>
      </c>
      <c r="K13720">
        <v>0</v>
      </c>
      <c r="L13720">
        <v>0</v>
      </c>
      <c r="M13720">
        <v>194</v>
      </c>
      <c r="N13720">
        <v>15</v>
      </c>
      <c r="O13720">
        <v>13</v>
      </c>
      <c r="P13720">
        <v>0</v>
      </c>
      <c r="Q13720">
        <v>0</v>
      </c>
    </row>
    <row r="13721" spans="1:17" x14ac:dyDescent="0.2">
      <c r="A13721" s="121">
        <v>43769</v>
      </c>
      <c r="B13721" t="s">
        <v>406</v>
      </c>
      <c r="C13721" t="s">
        <v>577</v>
      </c>
      <c r="D13721" t="s">
        <v>590</v>
      </c>
      <c r="E13721" t="s">
        <v>591</v>
      </c>
      <c r="F13721" t="s">
        <v>410</v>
      </c>
      <c r="G13721">
        <v>511</v>
      </c>
      <c r="H13721">
        <v>511</v>
      </c>
      <c r="I13721">
        <v>511</v>
      </c>
      <c r="J13721">
        <v>511</v>
      </c>
      <c r="K13721">
        <v>0</v>
      </c>
      <c r="L13721">
        <v>0</v>
      </c>
      <c r="M13721">
        <v>492</v>
      </c>
      <c r="N13721">
        <v>18</v>
      </c>
      <c r="O13721">
        <v>1</v>
      </c>
      <c r="P13721">
        <v>0</v>
      </c>
      <c r="Q13721">
        <v>0</v>
      </c>
    </row>
    <row r="13722" spans="1:17" x14ac:dyDescent="0.2">
      <c r="A13722" s="121">
        <v>43769</v>
      </c>
      <c r="B13722" t="s">
        <v>406</v>
      </c>
      <c r="C13722" t="s">
        <v>577</v>
      </c>
      <c r="D13722" t="s">
        <v>607</v>
      </c>
      <c r="E13722" t="s">
        <v>608</v>
      </c>
      <c r="F13722" t="s">
        <v>410</v>
      </c>
      <c r="G13722">
        <v>175</v>
      </c>
      <c r="H13722">
        <v>175</v>
      </c>
      <c r="I13722">
        <v>175</v>
      </c>
      <c r="J13722">
        <v>175</v>
      </c>
      <c r="K13722">
        <v>0</v>
      </c>
      <c r="L13722">
        <v>0</v>
      </c>
      <c r="M13722">
        <v>161</v>
      </c>
      <c r="N13722">
        <v>11</v>
      </c>
      <c r="O13722">
        <v>3</v>
      </c>
      <c r="P13722">
        <v>0</v>
      </c>
      <c r="Q13722">
        <v>0</v>
      </c>
    </row>
    <row r="13723" spans="1:17" x14ac:dyDescent="0.2">
      <c r="A13723" s="121">
        <v>43769</v>
      </c>
      <c r="B13723" t="s">
        <v>406</v>
      </c>
      <c r="C13723" t="s">
        <v>577</v>
      </c>
      <c r="D13723" t="s">
        <v>592</v>
      </c>
      <c r="E13723" t="s">
        <v>593</v>
      </c>
      <c r="F13723" t="s">
        <v>410</v>
      </c>
      <c r="G13723">
        <v>214</v>
      </c>
      <c r="H13723">
        <v>214</v>
      </c>
      <c r="I13723">
        <v>214</v>
      </c>
      <c r="J13723">
        <v>214</v>
      </c>
      <c r="K13723">
        <v>0</v>
      </c>
      <c r="L13723">
        <v>0</v>
      </c>
      <c r="M13723">
        <v>189</v>
      </c>
      <c r="N13723">
        <v>24</v>
      </c>
      <c r="O13723">
        <v>1</v>
      </c>
      <c r="P13723">
        <v>0</v>
      </c>
      <c r="Q13723">
        <v>0</v>
      </c>
    </row>
    <row r="13724" spans="1:17" x14ac:dyDescent="0.2">
      <c r="A13724" s="121">
        <v>43769</v>
      </c>
      <c r="B13724" t="s">
        <v>406</v>
      </c>
      <c r="C13724" t="s">
        <v>594</v>
      </c>
      <c r="D13724" t="s">
        <v>595</v>
      </c>
      <c r="E13724" t="s">
        <v>596</v>
      </c>
      <c r="F13724" t="s">
        <v>410</v>
      </c>
      <c r="G13724">
        <v>57</v>
      </c>
      <c r="I13724">
        <v>57</v>
      </c>
    </row>
    <row r="13725" spans="1:17" x14ac:dyDescent="0.2">
      <c r="A13725" s="121">
        <v>43769</v>
      </c>
      <c r="B13725" t="s">
        <v>406</v>
      </c>
      <c r="C13725" t="s">
        <v>594</v>
      </c>
      <c r="D13725" t="s">
        <v>597</v>
      </c>
      <c r="E13725" t="s">
        <v>598</v>
      </c>
      <c r="F13725" t="s">
        <v>413</v>
      </c>
      <c r="G13725">
        <v>587</v>
      </c>
      <c r="H13725">
        <v>587</v>
      </c>
      <c r="I13725">
        <v>581</v>
      </c>
      <c r="J13725">
        <v>581</v>
      </c>
      <c r="K13725">
        <v>151</v>
      </c>
      <c r="L13725">
        <v>0</v>
      </c>
      <c r="M13725">
        <v>416</v>
      </c>
      <c r="N13725">
        <v>7</v>
      </c>
      <c r="O13725">
        <v>13</v>
      </c>
      <c r="P13725">
        <v>0</v>
      </c>
      <c r="Q13725">
        <v>0</v>
      </c>
    </row>
    <row r="13726" spans="1:17" x14ac:dyDescent="0.2">
      <c r="A13726" s="121">
        <v>43769</v>
      </c>
      <c r="B13726" t="s">
        <v>406</v>
      </c>
      <c r="C13726" t="s">
        <v>594</v>
      </c>
      <c r="D13726" t="s">
        <v>599</v>
      </c>
      <c r="E13726" t="s">
        <v>600</v>
      </c>
      <c r="F13726" t="s">
        <v>410</v>
      </c>
      <c r="G13726">
        <v>122</v>
      </c>
      <c r="H13726">
        <v>122</v>
      </c>
      <c r="I13726">
        <v>122</v>
      </c>
      <c r="J13726">
        <v>122</v>
      </c>
      <c r="K13726">
        <v>13</v>
      </c>
      <c r="L13726">
        <v>0</v>
      </c>
      <c r="M13726">
        <v>107</v>
      </c>
      <c r="N13726">
        <v>0</v>
      </c>
      <c r="O13726">
        <v>2</v>
      </c>
      <c r="P13726">
        <v>0</v>
      </c>
      <c r="Q13726">
        <v>0</v>
      </c>
    </row>
    <row r="13727" spans="1:17" x14ac:dyDescent="0.2">
      <c r="A13727" s="121">
        <v>43799</v>
      </c>
      <c r="B13727" t="s">
        <v>406</v>
      </c>
      <c r="C13727" t="s">
        <v>407</v>
      </c>
      <c r="D13727" t="s">
        <v>408</v>
      </c>
      <c r="E13727" t="s">
        <v>409</v>
      </c>
      <c r="F13727" t="s">
        <v>410</v>
      </c>
      <c r="G13727">
        <v>191</v>
      </c>
      <c r="I13727">
        <v>185</v>
      </c>
    </row>
    <row r="13728" spans="1:17" x14ac:dyDescent="0.2">
      <c r="A13728" s="121">
        <v>43799</v>
      </c>
      <c r="B13728" t="s">
        <v>406</v>
      </c>
      <c r="C13728" t="s">
        <v>407</v>
      </c>
      <c r="D13728" t="s">
        <v>601</v>
      </c>
      <c r="E13728" t="s">
        <v>602</v>
      </c>
      <c r="F13728" t="s">
        <v>410</v>
      </c>
      <c r="G13728">
        <v>84</v>
      </c>
      <c r="I13728">
        <v>84</v>
      </c>
    </row>
    <row r="13729" spans="1:17" x14ac:dyDescent="0.2">
      <c r="A13729" s="121">
        <v>43799</v>
      </c>
      <c r="B13729" t="s">
        <v>406</v>
      </c>
      <c r="C13729" t="s">
        <v>407</v>
      </c>
      <c r="D13729" t="s">
        <v>411</v>
      </c>
      <c r="E13729" t="s">
        <v>412</v>
      </c>
      <c r="F13729" t="s">
        <v>413</v>
      </c>
      <c r="G13729">
        <v>6255</v>
      </c>
      <c r="H13729">
        <v>6255</v>
      </c>
      <c r="I13729">
        <v>5330</v>
      </c>
      <c r="J13729">
        <v>5330</v>
      </c>
      <c r="K13729">
        <v>2141</v>
      </c>
      <c r="L13729">
        <v>7</v>
      </c>
      <c r="M13729">
        <v>3701</v>
      </c>
      <c r="N13729">
        <v>39</v>
      </c>
      <c r="O13729">
        <v>367</v>
      </c>
      <c r="P13729">
        <v>391</v>
      </c>
      <c r="Q13729">
        <v>177</v>
      </c>
    </row>
    <row r="13730" spans="1:17" x14ac:dyDescent="0.2">
      <c r="A13730" s="121">
        <v>43799</v>
      </c>
      <c r="B13730" t="s">
        <v>406</v>
      </c>
      <c r="C13730" t="s">
        <v>407</v>
      </c>
      <c r="D13730" t="s">
        <v>416</v>
      </c>
      <c r="E13730" t="s">
        <v>417</v>
      </c>
      <c r="F13730" t="s">
        <v>413</v>
      </c>
      <c r="G13730">
        <v>2989</v>
      </c>
      <c r="H13730">
        <v>2989</v>
      </c>
      <c r="I13730">
        <v>2213</v>
      </c>
      <c r="J13730">
        <v>2213</v>
      </c>
      <c r="K13730">
        <v>817</v>
      </c>
      <c r="L13730">
        <v>7</v>
      </c>
      <c r="M13730">
        <v>2030</v>
      </c>
      <c r="N13730">
        <v>95</v>
      </c>
      <c r="O13730">
        <v>40</v>
      </c>
      <c r="P13730">
        <v>320</v>
      </c>
      <c r="Q13730">
        <v>166</v>
      </c>
    </row>
    <row r="13731" spans="1:17" x14ac:dyDescent="0.2">
      <c r="A13731" s="121">
        <v>43799</v>
      </c>
      <c r="B13731" t="s">
        <v>406</v>
      </c>
      <c r="C13731" t="s">
        <v>407</v>
      </c>
      <c r="D13731" t="s">
        <v>618</v>
      </c>
      <c r="E13731" t="s">
        <v>619</v>
      </c>
      <c r="F13731" t="s">
        <v>410</v>
      </c>
      <c r="G13731">
        <v>56</v>
      </c>
      <c r="I13731">
        <v>56</v>
      </c>
    </row>
    <row r="13732" spans="1:17" x14ac:dyDescent="0.2">
      <c r="A13732" s="121">
        <v>43799</v>
      </c>
      <c r="B13732" t="s">
        <v>406</v>
      </c>
      <c r="C13732" t="s">
        <v>418</v>
      </c>
      <c r="D13732" t="s">
        <v>419</v>
      </c>
      <c r="E13732" t="s">
        <v>420</v>
      </c>
      <c r="F13732" t="s">
        <v>410</v>
      </c>
      <c r="G13732">
        <v>10</v>
      </c>
      <c r="I13732">
        <v>10</v>
      </c>
    </row>
    <row r="13733" spans="1:17" x14ac:dyDescent="0.2">
      <c r="A13733" s="121">
        <v>43799</v>
      </c>
      <c r="B13733" t="s">
        <v>406</v>
      </c>
      <c r="C13733" t="s">
        <v>418</v>
      </c>
      <c r="D13733" t="s">
        <v>421</v>
      </c>
      <c r="E13733" t="s">
        <v>422</v>
      </c>
      <c r="F13733" t="s">
        <v>410</v>
      </c>
      <c r="G13733">
        <v>77</v>
      </c>
      <c r="I13733">
        <v>77</v>
      </c>
    </row>
    <row r="13734" spans="1:17" x14ac:dyDescent="0.2">
      <c r="A13734" s="121">
        <v>43799</v>
      </c>
      <c r="B13734" t="s">
        <v>406</v>
      </c>
      <c r="C13734" t="s">
        <v>418</v>
      </c>
      <c r="D13734" t="s">
        <v>423</v>
      </c>
      <c r="E13734" t="s">
        <v>424</v>
      </c>
      <c r="F13734" t="s">
        <v>410</v>
      </c>
      <c r="G13734">
        <v>9</v>
      </c>
      <c r="I13734">
        <v>9</v>
      </c>
    </row>
    <row r="13735" spans="1:17" x14ac:dyDescent="0.2">
      <c r="A13735" s="121">
        <v>43799</v>
      </c>
      <c r="B13735" t="s">
        <v>406</v>
      </c>
      <c r="C13735" t="s">
        <v>418</v>
      </c>
      <c r="D13735" t="s">
        <v>425</v>
      </c>
      <c r="E13735" t="s">
        <v>426</v>
      </c>
      <c r="F13735" t="s">
        <v>410</v>
      </c>
      <c r="G13735">
        <v>34</v>
      </c>
      <c r="I13735">
        <v>34</v>
      </c>
    </row>
    <row r="13736" spans="1:17" x14ac:dyDescent="0.2">
      <c r="A13736" s="121">
        <v>43799</v>
      </c>
      <c r="B13736" t="s">
        <v>406</v>
      </c>
      <c r="C13736" t="s">
        <v>418</v>
      </c>
      <c r="D13736" t="s">
        <v>427</v>
      </c>
      <c r="E13736" t="s">
        <v>428</v>
      </c>
      <c r="F13736" t="s">
        <v>413</v>
      </c>
      <c r="G13736">
        <v>2660</v>
      </c>
      <c r="H13736">
        <v>2660</v>
      </c>
      <c r="I13736">
        <v>2259</v>
      </c>
      <c r="J13736">
        <v>2259</v>
      </c>
      <c r="K13736">
        <v>861</v>
      </c>
      <c r="L13736">
        <v>3</v>
      </c>
      <c r="M13736">
        <v>1602</v>
      </c>
      <c r="N13736">
        <v>168</v>
      </c>
      <c r="O13736">
        <v>26</v>
      </c>
      <c r="P13736">
        <v>74</v>
      </c>
      <c r="Q13736">
        <v>31</v>
      </c>
    </row>
    <row r="13737" spans="1:17" x14ac:dyDescent="0.2">
      <c r="A13737" s="121">
        <v>43799</v>
      </c>
      <c r="B13737" t="s">
        <v>406</v>
      </c>
      <c r="C13737" t="s">
        <v>429</v>
      </c>
      <c r="D13737" t="s">
        <v>430</v>
      </c>
      <c r="E13737" t="s">
        <v>431</v>
      </c>
      <c r="F13737" t="s">
        <v>410</v>
      </c>
      <c r="G13737">
        <v>17</v>
      </c>
      <c r="I13737">
        <v>17</v>
      </c>
    </row>
    <row r="13738" spans="1:17" x14ac:dyDescent="0.2">
      <c r="A13738" s="121">
        <v>43799</v>
      </c>
      <c r="B13738" t="s">
        <v>406</v>
      </c>
      <c r="C13738" t="s">
        <v>429</v>
      </c>
      <c r="D13738" t="s">
        <v>432</v>
      </c>
      <c r="E13738" t="s">
        <v>433</v>
      </c>
      <c r="F13738" t="s">
        <v>410</v>
      </c>
      <c r="G13738">
        <v>22</v>
      </c>
      <c r="I13738">
        <v>22</v>
      </c>
    </row>
    <row r="13739" spans="1:17" x14ac:dyDescent="0.2">
      <c r="A13739" s="121">
        <v>43799</v>
      </c>
      <c r="B13739" t="s">
        <v>406</v>
      </c>
      <c r="C13739" t="s">
        <v>429</v>
      </c>
      <c r="D13739" t="s">
        <v>434</v>
      </c>
      <c r="E13739" t="s">
        <v>435</v>
      </c>
      <c r="F13739" t="s">
        <v>410</v>
      </c>
      <c r="G13739">
        <v>3</v>
      </c>
      <c r="I13739">
        <v>3</v>
      </c>
    </row>
    <row r="13740" spans="1:17" x14ac:dyDescent="0.2">
      <c r="A13740" s="121">
        <v>43799</v>
      </c>
      <c r="B13740" t="s">
        <v>406</v>
      </c>
      <c r="C13740" t="s">
        <v>429</v>
      </c>
      <c r="D13740" t="s">
        <v>436</v>
      </c>
      <c r="E13740" t="s">
        <v>437</v>
      </c>
      <c r="F13740" t="s">
        <v>410</v>
      </c>
      <c r="G13740">
        <v>6</v>
      </c>
      <c r="H13740">
        <v>6</v>
      </c>
      <c r="I13740">
        <v>6</v>
      </c>
      <c r="J13740">
        <v>6</v>
      </c>
      <c r="K13740">
        <v>0</v>
      </c>
      <c r="L13740">
        <v>0</v>
      </c>
      <c r="M13740">
        <v>5</v>
      </c>
      <c r="N13740">
        <v>1</v>
      </c>
      <c r="O13740">
        <v>0</v>
      </c>
      <c r="P13740">
        <v>0</v>
      </c>
      <c r="Q13740">
        <v>0</v>
      </c>
    </row>
    <row r="13741" spans="1:17" x14ac:dyDescent="0.2">
      <c r="A13741" s="121">
        <v>43799</v>
      </c>
      <c r="B13741" t="s">
        <v>406</v>
      </c>
      <c r="C13741" t="s">
        <v>429</v>
      </c>
      <c r="D13741" t="s">
        <v>438</v>
      </c>
      <c r="E13741" t="s">
        <v>439</v>
      </c>
      <c r="F13741" t="s">
        <v>413</v>
      </c>
      <c r="G13741">
        <v>1105</v>
      </c>
      <c r="H13741">
        <v>1105</v>
      </c>
      <c r="I13741">
        <v>1018</v>
      </c>
      <c r="J13741">
        <v>1018</v>
      </c>
      <c r="K13741">
        <v>78</v>
      </c>
      <c r="L13741">
        <v>1</v>
      </c>
      <c r="M13741">
        <v>920</v>
      </c>
      <c r="N13741">
        <v>68</v>
      </c>
      <c r="O13741">
        <v>38</v>
      </c>
      <c r="P13741">
        <v>11</v>
      </c>
      <c r="Q13741">
        <v>1</v>
      </c>
    </row>
    <row r="13742" spans="1:17" x14ac:dyDescent="0.2">
      <c r="A13742" s="121">
        <v>43799</v>
      </c>
      <c r="B13742" t="s">
        <v>406</v>
      </c>
      <c r="C13742" t="s">
        <v>429</v>
      </c>
      <c r="D13742" t="s">
        <v>440</v>
      </c>
      <c r="E13742" t="s">
        <v>441</v>
      </c>
      <c r="F13742" t="s">
        <v>413</v>
      </c>
      <c r="G13742">
        <v>2821</v>
      </c>
      <c r="H13742">
        <v>2821</v>
      </c>
      <c r="I13742">
        <v>2448</v>
      </c>
      <c r="J13742">
        <v>2448</v>
      </c>
      <c r="K13742">
        <v>914</v>
      </c>
      <c r="L13742">
        <v>2</v>
      </c>
      <c r="M13742">
        <v>1771</v>
      </c>
      <c r="N13742">
        <v>81</v>
      </c>
      <c r="O13742">
        <v>53</v>
      </c>
      <c r="P13742">
        <v>46</v>
      </c>
      <c r="Q13742">
        <v>7</v>
      </c>
    </row>
    <row r="13743" spans="1:17" x14ac:dyDescent="0.2">
      <c r="A13743" s="121">
        <v>43799</v>
      </c>
      <c r="B13743" t="s">
        <v>406</v>
      </c>
      <c r="C13743" t="s">
        <v>442</v>
      </c>
      <c r="D13743" t="s">
        <v>443</v>
      </c>
      <c r="E13743" t="s">
        <v>444</v>
      </c>
      <c r="F13743" t="s">
        <v>413</v>
      </c>
      <c r="G13743">
        <v>5715</v>
      </c>
      <c r="H13743">
        <v>5715</v>
      </c>
      <c r="I13743">
        <v>5164</v>
      </c>
      <c r="J13743">
        <v>5164</v>
      </c>
      <c r="K13743">
        <v>1832</v>
      </c>
      <c r="L13743">
        <v>6</v>
      </c>
      <c r="M13743">
        <v>3699</v>
      </c>
      <c r="N13743">
        <v>109</v>
      </c>
      <c r="O13743">
        <v>69</v>
      </c>
      <c r="P13743">
        <v>15</v>
      </c>
      <c r="Q13743">
        <v>0</v>
      </c>
    </row>
    <row r="13744" spans="1:17" x14ac:dyDescent="0.2">
      <c r="A13744" s="121">
        <v>43799</v>
      </c>
      <c r="B13744" t="s">
        <v>406</v>
      </c>
      <c r="C13744" t="s">
        <v>442</v>
      </c>
      <c r="D13744" t="s">
        <v>445</v>
      </c>
      <c r="E13744" t="s">
        <v>446</v>
      </c>
      <c r="F13744" t="s">
        <v>410</v>
      </c>
      <c r="G13744">
        <v>152</v>
      </c>
      <c r="H13744">
        <v>152</v>
      </c>
      <c r="I13744">
        <v>151</v>
      </c>
      <c r="J13744">
        <v>151</v>
      </c>
      <c r="K13744">
        <v>2</v>
      </c>
      <c r="L13744">
        <v>0</v>
      </c>
      <c r="M13744">
        <v>139</v>
      </c>
      <c r="N13744">
        <v>3</v>
      </c>
      <c r="O13744">
        <v>8</v>
      </c>
      <c r="P13744">
        <v>0</v>
      </c>
      <c r="Q13744">
        <v>0</v>
      </c>
    </row>
    <row r="13745" spans="1:17" x14ac:dyDescent="0.2">
      <c r="A13745" s="121">
        <v>43799</v>
      </c>
      <c r="B13745" t="s">
        <v>406</v>
      </c>
      <c r="C13745" t="s">
        <v>442</v>
      </c>
      <c r="D13745" t="s">
        <v>447</v>
      </c>
      <c r="E13745" t="s">
        <v>448</v>
      </c>
      <c r="F13745" t="s">
        <v>410</v>
      </c>
      <c r="G13745">
        <v>284</v>
      </c>
      <c r="H13745">
        <v>284</v>
      </c>
      <c r="I13745">
        <v>281</v>
      </c>
      <c r="J13745">
        <v>281</v>
      </c>
      <c r="K13745">
        <v>1</v>
      </c>
      <c r="L13745">
        <v>0</v>
      </c>
      <c r="M13745">
        <v>267</v>
      </c>
      <c r="N13745">
        <v>15</v>
      </c>
      <c r="O13745">
        <v>1</v>
      </c>
      <c r="P13745">
        <v>1</v>
      </c>
      <c r="Q13745">
        <v>0</v>
      </c>
    </row>
    <row r="13746" spans="1:17" x14ac:dyDescent="0.2">
      <c r="A13746" s="121">
        <v>43799</v>
      </c>
      <c r="B13746" t="s">
        <v>406</v>
      </c>
      <c r="C13746" t="s">
        <v>442</v>
      </c>
      <c r="D13746" t="s">
        <v>449</v>
      </c>
      <c r="E13746" t="s">
        <v>624</v>
      </c>
      <c r="F13746" t="s">
        <v>410</v>
      </c>
      <c r="G13746">
        <v>1530</v>
      </c>
      <c r="H13746">
        <v>1530</v>
      </c>
      <c r="I13746">
        <v>1525</v>
      </c>
      <c r="J13746">
        <v>1525</v>
      </c>
      <c r="K13746">
        <v>18</v>
      </c>
      <c r="L13746">
        <v>0</v>
      </c>
      <c r="M13746">
        <v>1395</v>
      </c>
      <c r="N13746">
        <v>110</v>
      </c>
      <c r="O13746">
        <v>7</v>
      </c>
      <c r="P13746">
        <v>0</v>
      </c>
      <c r="Q13746">
        <v>0</v>
      </c>
    </row>
    <row r="13747" spans="1:17" x14ac:dyDescent="0.2">
      <c r="A13747" s="121">
        <v>43799</v>
      </c>
      <c r="B13747" t="s">
        <v>406</v>
      </c>
      <c r="C13747" t="s">
        <v>451</v>
      </c>
      <c r="D13747" t="s">
        <v>454</v>
      </c>
      <c r="E13747" t="s">
        <v>621</v>
      </c>
      <c r="F13747" t="s">
        <v>410</v>
      </c>
      <c r="G13747">
        <v>1774</v>
      </c>
      <c r="H13747">
        <v>1774</v>
      </c>
      <c r="I13747">
        <v>1772</v>
      </c>
      <c r="J13747">
        <v>1772</v>
      </c>
      <c r="K13747">
        <v>12</v>
      </c>
      <c r="L13747">
        <v>0</v>
      </c>
      <c r="M13747">
        <v>1549</v>
      </c>
      <c r="N13747">
        <v>13</v>
      </c>
      <c r="O13747">
        <v>200</v>
      </c>
      <c r="P13747">
        <v>0</v>
      </c>
      <c r="Q13747">
        <v>0</v>
      </c>
    </row>
    <row r="13748" spans="1:17" x14ac:dyDescent="0.2">
      <c r="A13748" s="121">
        <v>43799</v>
      </c>
      <c r="B13748" t="s">
        <v>406</v>
      </c>
      <c r="C13748" t="s">
        <v>451</v>
      </c>
      <c r="D13748" t="s">
        <v>622</v>
      </c>
      <c r="E13748" t="s">
        <v>623</v>
      </c>
      <c r="F13748" t="s">
        <v>413</v>
      </c>
      <c r="G13748">
        <v>5546</v>
      </c>
      <c r="H13748">
        <v>5546</v>
      </c>
      <c r="I13748">
        <v>4605</v>
      </c>
      <c r="J13748">
        <v>4605</v>
      </c>
      <c r="K13748">
        <v>1614</v>
      </c>
      <c r="L13748">
        <v>10</v>
      </c>
      <c r="M13748">
        <v>3661</v>
      </c>
      <c r="N13748">
        <v>31</v>
      </c>
      <c r="O13748">
        <v>230</v>
      </c>
      <c r="P13748">
        <v>51</v>
      </c>
      <c r="Q13748">
        <v>2</v>
      </c>
    </row>
    <row r="13749" spans="1:17" x14ac:dyDescent="0.2">
      <c r="A13749" s="121">
        <v>43799</v>
      </c>
      <c r="B13749" t="s">
        <v>406</v>
      </c>
      <c r="C13749" t="s">
        <v>456</v>
      </c>
      <c r="D13749" t="s">
        <v>457</v>
      </c>
      <c r="E13749" t="s">
        <v>458</v>
      </c>
      <c r="F13749" t="s">
        <v>413</v>
      </c>
      <c r="G13749">
        <v>5257</v>
      </c>
      <c r="H13749">
        <v>5257</v>
      </c>
      <c r="I13749">
        <v>4446</v>
      </c>
      <c r="J13749">
        <v>4446</v>
      </c>
      <c r="K13749">
        <v>1348</v>
      </c>
      <c r="L13749">
        <v>3</v>
      </c>
      <c r="M13749">
        <v>3503</v>
      </c>
      <c r="N13749">
        <v>43</v>
      </c>
      <c r="O13749">
        <v>360</v>
      </c>
      <c r="P13749">
        <v>54</v>
      </c>
      <c r="Q13749">
        <v>6</v>
      </c>
    </row>
    <row r="13750" spans="1:17" x14ac:dyDescent="0.2">
      <c r="A13750" s="121">
        <v>43799</v>
      </c>
      <c r="B13750" t="s">
        <v>406</v>
      </c>
      <c r="C13750" t="s">
        <v>456</v>
      </c>
      <c r="D13750" t="s">
        <v>459</v>
      </c>
      <c r="E13750" t="s">
        <v>460</v>
      </c>
      <c r="F13750" t="s">
        <v>413</v>
      </c>
      <c r="G13750">
        <v>1374</v>
      </c>
      <c r="H13750">
        <v>1374</v>
      </c>
      <c r="I13750">
        <v>1361</v>
      </c>
      <c r="J13750">
        <v>1361</v>
      </c>
      <c r="K13750">
        <v>143</v>
      </c>
      <c r="L13750">
        <v>1</v>
      </c>
      <c r="M13750">
        <v>1146</v>
      </c>
      <c r="N13750">
        <v>0</v>
      </c>
      <c r="O13750">
        <v>84</v>
      </c>
      <c r="P13750">
        <v>0</v>
      </c>
      <c r="Q13750">
        <v>0</v>
      </c>
    </row>
    <row r="13751" spans="1:17" x14ac:dyDescent="0.2">
      <c r="A13751" s="121">
        <v>43799</v>
      </c>
      <c r="B13751" t="s">
        <v>406</v>
      </c>
      <c r="C13751" t="s">
        <v>456</v>
      </c>
      <c r="D13751" t="s">
        <v>461</v>
      </c>
      <c r="E13751" t="s">
        <v>462</v>
      </c>
      <c r="F13751" t="s">
        <v>410</v>
      </c>
      <c r="G13751">
        <v>67</v>
      </c>
      <c r="I13751">
        <v>67</v>
      </c>
    </row>
    <row r="13752" spans="1:17" x14ac:dyDescent="0.2">
      <c r="A13752" s="121">
        <v>43799</v>
      </c>
      <c r="B13752" t="s">
        <v>406</v>
      </c>
      <c r="C13752" t="s">
        <v>456</v>
      </c>
      <c r="D13752" t="s">
        <v>465</v>
      </c>
      <c r="E13752" t="s">
        <v>466</v>
      </c>
      <c r="F13752" t="s">
        <v>410</v>
      </c>
      <c r="G13752">
        <v>32</v>
      </c>
      <c r="I13752">
        <v>32</v>
      </c>
    </row>
    <row r="13753" spans="1:17" x14ac:dyDescent="0.2">
      <c r="A13753" s="121">
        <v>43799</v>
      </c>
      <c r="B13753" t="s">
        <v>406</v>
      </c>
      <c r="C13753" t="s">
        <v>456</v>
      </c>
      <c r="D13753" t="s">
        <v>467</v>
      </c>
      <c r="E13753" t="s">
        <v>468</v>
      </c>
      <c r="F13753" t="s">
        <v>410</v>
      </c>
      <c r="G13753">
        <v>1250</v>
      </c>
      <c r="I13753">
        <v>1250</v>
      </c>
    </row>
    <row r="13754" spans="1:17" x14ac:dyDescent="0.2">
      <c r="A13754" s="121">
        <v>43799</v>
      </c>
      <c r="B13754" t="s">
        <v>406</v>
      </c>
      <c r="C13754" t="s">
        <v>456</v>
      </c>
      <c r="D13754" t="s">
        <v>469</v>
      </c>
      <c r="E13754" t="s">
        <v>470</v>
      </c>
      <c r="F13754" t="s">
        <v>410</v>
      </c>
      <c r="G13754">
        <v>573</v>
      </c>
      <c r="I13754">
        <v>572</v>
      </c>
    </row>
    <row r="13755" spans="1:17" x14ac:dyDescent="0.2">
      <c r="A13755" s="121">
        <v>43799</v>
      </c>
      <c r="B13755" t="s">
        <v>406</v>
      </c>
      <c r="C13755" t="s">
        <v>456</v>
      </c>
      <c r="D13755" t="s">
        <v>471</v>
      </c>
      <c r="E13755" t="s">
        <v>472</v>
      </c>
      <c r="F13755" t="s">
        <v>410</v>
      </c>
      <c r="G13755">
        <v>256</v>
      </c>
      <c r="I13755">
        <v>255</v>
      </c>
    </row>
    <row r="13756" spans="1:17" x14ac:dyDescent="0.2">
      <c r="A13756" s="121">
        <v>43799</v>
      </c>
      <c r="B13756" t="s">
        <v>406</v>
      </c>
      <c r="C13756" t="s">
        <v>456</v>
      </c>
      <c r="D13756" t="s">
        <v>473</v>
      </c>
      <c r="E13756" t="s">
        <v>474</v>
      </c>
      <c r="F13756" t="s">
        <v>410</v>
      </c>
      <c r="G13756">
        <v>86</v>
      </c>
      <c r="I13756">
        <v>86</v>
      </c>
    </row>
    <row r="13757" spans="1:17" x14ac:dyDescent="0.2">
      <c r="A13757" s="121">
        <v>43799</v>
      </c>
      <c r="B13757" t="s">
        <v>406</v>
      </c>
      <c r="C13757" t="s">
        <v>456</v>
      </c>
      <c r="D13757" t="s">
        <v>475</v>
      </c>
      <c r="E13757" t="s">
        <v>476</v>
      </c>
      <c r="F13757" t="s">
        <v>410</v>
      </c>
      <c r="G13757">
        <v>204</v>
      </c>
      <c r="I13757">
        <v>197</v>
      </c>
    </row>
    <row r="13758" spans="1:17" x14ac:dyDescent="0.2">
      <c r="A13758" s="121">
        <v>43799</v>
      </c>
      <c r="B13758" t="s">
        <v>406</v>
      </c>
      <c r="C13758" t="s">
        <v>456</v>
      </c>
      <c r="D13758" t="s">
        <v>477</v>
      </c>
      <c r="E13758" t="s">
        <v>478</v>
      </c>
      <c r="F13758" t="s">
        <v>413</v>
      </c>
      <c r="G13758">
        <v>2278</v>
      </c>
      <c r="H13758">
        <v>2278</v>
      </c>
      <c r="I13758">
        <v>2132</v>
      </c>
      <c r="J13758">
        <v>2132</v>
      </c>
      <c r="K13758">
        <v>588</v>
      </c>
      <c r="L13758">
        <v>2</v>
      </c>
      <c r="M13758">
        <v>1663</v>
      </c>
      <c r="N13758">
        <v>22</v>
      </c>
      <c r="O13758">
        <v>3</v>
      </c>
      <c r="P13758">
        <v>5</v>
      </c>
      <c r="Q13758">
        <v>0</v>
      </c>
    </row>
    <row r="13759" spans="1:17" x14ac:dyDescent="0.2">
      <c r="A13759" s="121">
        <v>43799</v>
      </c>
      <c r="B13759" t="s">
        <v>406</v>
      </c>
      <c r="C13759" t="s">
        <v>456</v>
      </c>
      <c r="D13759" t="s">
        <v>479</v>
      </c>
      <c r="E13759" t="s">
        <v>480</v>
      </c>
      <c r="F13759" t="s">
        <v>410</v>
      </c>
      <c r="G13759">
        <v>30</v>
      </c>
      <c r="I13759">
        <v>30</v>
      </c>
    </row>
    <row r="13760" spans="1:17" x14ac:dyDescent="0.2">
      <c r="A13760" s="121">
        <v>43799</v>
      </c>
      <c r="B13760" t="s">
        <v>406</v>
      </c>
      <c r="C13760" t="s">
        <v>456</v>
      </c>
      <c r="D13760" t="s">
        <v>481</v>
      </c>
      <c r="E13760" t="s">
        <v>482</v>
      </c>
      <c r="F13760" t="s">
        <v>410</v>
      </c>
      <c r="G13760">
        <v>6</v>
      </c>
      <c r="I13760">
        <v>6</v>
      </c>
    </row>
    <row r="13761" spans="1:17" x14ac:dyDescent="0.2">
      <c r="A13761" s="121">
        <v>43799</v>
      </c>
      <c r="B13761" t="s">
        <v>406</v>
      </c>
      <c r="C13761" t="s">
        <v>456</v>
      </c>
      <c r="D13761" t="s">
        <v>483</v>
      </c>
      <c r="E13761" t="s">
        <v>484</v>
      </c>
      <c r="F13761" t="s">
        <v>410</v>
      </c>
      <c r="G13761">
        <v>87</v>
      </c>
      <c r="I13761">
        <v>87</v>
      </c>
    </row>
    <row r="13762" spans="1:17" x14ac:dyDescent="0.2">
      <c r="A13762" s="121">
        <v>43799</v>
      </c>
      <c r="B13762" t="s">
        <v>406</v>
      </c>
      <c r="C13762" t="s">
        <v>456</v>
      </c>
      <c r="D13762" t="s">
        <v>487</v>
      </c>
      <c r="E13762" t="s">
        <v>488</v>
      </c>
      <c r="F13762" t="s">
        <v>410</v>
      </c>
      <c r="G13762">
        <v>11</v>
      </c>
      <c r="I13762">
        <v>11</v>
      </c>
    </row>
    <row r="13763" spans="1:17" x14ac:dyDescent="0.2">
      <c r="A13763" s="121">
        <v>43799</v>
      </c>
      <c r="B13763" t="s">
        <v>406</v>
      </c>
      <c r="C13763" t="s">
        <v>456</v>
      </c>
      <c r="D13763" t="s">
        <v>489</v>
      </c>
      <c r="E13763" t="s">
        <v>490</v>
      </c>
      <c r="F13763" t="s">
        <v>410</v>
      </c>
      <c r="G13763">
        <v>51</v>
      </c>
      <c r="I13763">
        <v>51</v>
      </c>
    </row>
    <row r="13764" spans="1:17" x14ac:dyDescent="0.2">
      <c r="A13764" s="121">
        <v>43799</v>
      </c>
      <c r="B13764" t="s">
        <v>406</v>
      </c>
      <c r="C13764" t="s">
        <v>456</v>
      </c>
      <c r="D13764" t="s">
        <v>628</v>
      </c>
      <c r="E13764" t="s">
        <v>629</v>
      </c>
      <c r="F13764" t="s">
        <v>410</v>
      </c>
      <c r="G13764">
        <v>40</v>
      </c>
      <c r="I13764">
        <v>40</v>
      </c>
    </row>
    <row r="13765" spans="1:17" x14ac:dyDescent="0.2">
      <c r="A13765" s="121">
        <v>43799</v>
      </c>
      <c r="B13765" t="s">
        <v>406</v>
      </c>
      <c r="C13765" t="s">
        <v>491</v>
      </c>
      <c r="D13765" t="s">
        <v>492</v>
      </c>
      <c r="E13765" t="s">
        <v>493</v>
      </c>
      <c r="F13765" t="s">
        <v>410</v>
      </c>
      <c r="G13765">
        <v>1388</v>
      </c>
      <c r="H13765">
        <v>1388</v>
      </c>
      <c r="I13765">
        <v>1341</v>
      </c>
      <c r="J13765">
        <v>1341</v>
      </c>
      <c r="K13765">
        <v>210</v>
      </c>
      <c r="L13765">
        <v>0</v>
      </c>
      <c r="M13765">
        <v>1079</v>
      </c>
      <c r="N13765">
        <v>72</v>
      </c>
      <c r="O13765">
        <v>27</v>
      </c>
      <c r="P13765">
        <v>1</v>
      </c>
      <c r="Q13765">
        <v>0</v>
      </c>
    </row>
    <row r="13766" spans="1:17" x14ac:dyDescent="0.2">
      <c r="A13766" s="121">
        <v>43799</v>
      </c>
      <c r="B13766" t="s">
        <v>406</v>
      </c>
      <c r="C13766" t="s">
        <v>491</v>
      </c>
      <c r="D13766" t="s">
        <v>494</v>
      </c>
      <c r="E13766" t="s">
        <v>495</v>
      </c>
      <c r="F13766" t="s">
        <v>413</v>
      </c>
      <c r="G13766">
        <v>2788</v>
      </c>
      <c r="H13766">
        <v>2788</v>
      </c>
      <c r="I13766">
        <v>2391</v>
      </c>
      <c r="J13766">
        <v>2391</v>
      </c>
      <c r="K13766">
        <v>763</v>
      </c>
      <c r="L13766">
        <v>5</v>
      </c>
      <c r="M13766">
        <v>1921</v>
      </c>
      <c r="N13766">
        <v>47</v>
      </c>
      <c r="O13766">
        <v>52</v>
      </c>
      <c r="P13766">
        <v>35</v>
      </c>
      <c r="Q13766">
        <v>1</v>
      </c>
    </row>
    <row r="13767" spans="1:17" x14ac:dyDescent="0.2">
      <c r="A13767" s="121">
        <v>43799</v>
      </c>
      <c r="B13767" t="s">
        <v>406</v>
      </c>
      <c r="C13767" t="s">
        <v>491</v>
      </c>
      <c r="D13767" t="s">
        <v>496</v>
      </c>
      <c r="E13767" t="s">
        <v>497</v>
      </c>
      <c r="F13767" t="s">
        <v>413</v>
      </c>
      <c r="G13767">
        <v>5656</v>
      </c>
      <c r="H13767">
        <v>5656</v>
      </c>
      <c r="I13767">
        <v>4375</v>
      </c>
      <c r="J13767">
        <v>4375</v>
      </c>
      <c r="K13767">
        <v>1889</v>
      </c>
      <c r="L13767">
        <v>12</v>
      </c>
      <c r="M13767">
        <v>3544</v>
      </c>
      <c r="N13767">
        <v>79</v>
      </c>
      <c r="O13767">
        <v>132</v>
      </c>
      <c r="P13767">
        <v>218</v>
      </c>
      <c r="Q13767">
        <v>3</v>
      </c>
    </row>
    <row r="13768" spans="1:17" x14ac:dyDescent="0.2">
      <c r="A13768" s="121">
        <v>43799</v>
      </c>
      <c r="B13768" t="s">
        <v>406</v>
      </c>
      <c r="C13768" t="s">
        <v>491</v>
      </c>
      <c r="D13768" t="s">
        <v>498</v>
      </c>
      <c r="E13768" t="s">
        <v>499</v>
      </c>
      <c r="F13768" t="s">
        <v>413</v>
      </c>
      <c r="G13768">
        <v>8175</v>
      </c>
      <c r="H13768">
        <v>8175</v>
      </c>
      <c r="I13768">
        <v>6627</v>
      </c>
      <c r="J13768">
        <v>6627</v>
      </c>
      <c r="K13768">
        <v>2589</v>
      </c>
      <c r="L13768">
        <v>19</v>
      </c>
      <c r="M13768">
        <v>4991</v>
      </c>
      <c r="N13768">
        <v>112</v>
      </c>
      <c r="O13768">
        <v>464</v>
      </c>
      <c r="P13768">
        <v>68</v>
      </c>
      <c r="Q13768">
        <v>3</v>
      </c>
    </row>
    <row r="13769" spans="1:17" x14ac:dyDescent="0.2">
      <c r="A13769" s="121">
        <v>43799</v>
      </c>
      <c r="B13769" t="s">
        <v>406</v>
      </c>
      <c r="C13769" t="s">
        <v>491</v>
      </c>
      <c r="D13769" t="s">
        <v>500</v>
      </c>
      <c r="E13769" t="s">
        <v>620</v>
      </c>
      <c r="F13769" t="s">
        <v>410</v>
      </c>
      <c r="G13769">
        <v>1741</v>
      </c>
      <c r="H13769">
        <v>1741</v>
      </c>
      <c r="I13769">
        <v>1739</v>
      </c>
      <c r="J13769">
        <v>1739</v>
      </c>
      <c r="K13769">
        <v>0</v>
      </c>
      <c r="L13769">
        <v>0</v>
      </c>
      <c r="M13769">
        <v>1621</v>
      </c>
      <c r="N13769">
        <v>76</v>
      </c>
      <c r="O13769">
        <v>44</v>
      </c>
      <c r="P13769">
        <v>0</v>
      </c>
      <c r="Q13769">
        <v>0</v>
      </c>
    </row>
    <row r="13770" spans="1:17" x14ac:dyDescent="0.2">
      <c r="A13770" s="121">
        <v>43799</v>
      </c>
      <c r="B13770" t="s">
        <v>406</v>
      </c>
      <c r="C13770" t="s">
        <v>491</v>
      </c>
      <c r="D13770" t="s">
        <v>502</v>
      </c>
      <c r="E13770" t="s">
        <v>615</v>
      </c>
      <c r="F13770" t="s">
        <v>410</v>
      </c>
      <c r="G13770">
        <v>2774</v>
      </c>
      <c r="H13770">
        <v>2774</v>
      </c>
      <c r="I13770">
        <v>2772</v>
      </c>
      <c r="J13770">
        <v>2772</v>
      </c>
      <c r="K13770">
        <v>1</v>
      </c>
      <c r="L13770">
        <v>0</v>
      </c>
      <c r="M13770">
        <v>2413</v>
      </c>
      <c r="N13770">
        <v>174</v>
      </c>
      <c r="O13770">
        <v>186</v>
      </c>
      <c r="P13770">
        <v>0</v>
      </c>
      <c r="Q13770">
        <v>0</v>
      </c>
    </row>
    <row r="13771" spans="1:17" x14ac:dyDescent="0.2">
      <c r="A13771" s="121">
        <v>43799</v>
      </c>
      <c r="B13771" t="s">
        <v>406</v>
      </c>
      <c r="C13771" t="s">
        <v>491</v>
      </c>
      <c r="D13771" t="s">
        <v>504</v>
      </c>
      <c r="E13771" t="s">
        <v>630</v>
      </c>
      <c r="F13771" t="s">
        <v>413</v>
      </c>
      <c r="G13771">
        <v>8379</v>
      </c>
      <c r="H13771">
        <v>8379</v>
      </c>
      <c r="I13771">
        <v>5702</v>
      </c>
      <c r="J13771">
        <v>5702</v>
      </c>
      <c r="K13771">
        <v>2697</v>
      </c>
      <c r="L13771">
        <v>27</v>
      </c>
      <c r="M13771">
        <v>5243</v>
      </c>
      <c r="N13771">
        <v>35</v>
      </c>
      <c r="O13771">
        <v>377</v>
      </c>
      <c r="P13771">
        <v>404</v>
      </c>
      <c r="Q13771">
        <v>84</v>
      </c>
    </row>
    <row r="13772" spans="1:17" x14ac:dyDescent="0.2">
      <c r="A13772" s="121">
        <v>43799</v>
      </c>
      <c r="B13772" t="s">
        <v>406</v>
      </c>
      <c r="C13772" t="s">
        <v>491</v>
      </c>
      <c r="D13772" t="s">
        <v>506</v>
      </c>
      <c r="E13772" t="s">
        <v>507</v>
      </c>
      <c r="F13772" t="s">
        <v>413</v>
      </c>
      <c r="G13772">
        <v>7460</v>
      </c>
      <c r="H13772">
        <v>7460</v>
      </c>
      <c r="I13772">
        <v>6423</v>
      </c>
      <c r="J13772">
        <v>6423</v>
      </c>
      <c r="K13772">
        <v>1829</v>
      </c>
      <c r="L13772">
        <v>2</v>
      </c>
      <c r="M13772">
        <v>5515</v>
      </c>
      <c r="N13772">
        <v>0</v>
      </c>
      <c r="O13772">
        <v>114</v>
      </c>
      <c r="P13772">
        <v>26</v>
      </c>
      <c r="Q13772">
        <v>1</v>
      </c>
    </row>
    <row r="13773" spans="1:17" x14ac:dyDescent="0.2">
      <c r="A13773" s="121">
        <v>43799</v>
      </c>
      <c r="B13773" t="s">
        <v>406</v>
      </c>
      <c r="C13773" t="s">
        <v>510</v>
      </c>
      <c r="D13773" t="s">
        <v>513</v>
      </c>
      <c r="E13773" t="s">
        <v>514</v>
      </c>
      <c r="F13773" t="s">
        <v>410</v>
      </c>
      <c r="G13773">
        <v>686</v>
      </c>
      <c r="I13773">
        <v>685</v>
      </c>
    </row>
    <row r="13774" spans="1:17" x14ac:dyDescent="0.2">
      <c r="A13774" s="121">
        <v>43799</v>
      </c>
      <c r="B13774" t="s">
        <v>406</v>
      </c>
      <c r="C13774" t="s">
        <v>510</v>
      </c>
      <c r="D13774" t="s">
        <v>515</v>
      </c>
      <c r="E13774" t="s">
        <v>516</v>
      </c>
      <c r="F13774" t="s">
        <v>410</v>
      </c>
      <c r="G13774">
        <v>114</v>
      </c>
      <c r="I13774">
        <v>112</v>
      </c>
    </row>
    <row r="13775" spans="1:17" x14ac:dyDescent="0.2">
      <c r="A13775" s="121">
        <v>43799</v>
      </c>
      <c r="B13775" t="s">
        <v>406</v>
      </c>
      <c r="C13775" t="s">
        <v>510</v>
      </c>
      <c r="D13775" t="s">
        <v>519</v>
      </c>
      <c r="E13775" t="s">
        <v>520</v>
      </c>
      <c r="F13775" t="s">
        <v>410</v>
      </c>
      <c r="G13775">
        <v>326</v>
      </c>
      <c r="I13775">
        <v>318</v>
      </c>
    </row>
    <row r="13776" spans="1:17" x14ac:dyDescent="0.2">
      <c r="A13776" s="121">
        <v>43799</v>
      </c>
      <c r="B13776" t="s">
        <v>406</v>
      </c>
      <c r="C13776" t="s">
        <v>510</v>
      </c>
      <c r="D13776" t="s">
        <v>523</v>
      </c>
      <c r="E13776" t="s">
        <v>524</v>
      </c>
      <c r="F13776" t="s">
        <v>413</v>
      </c>
      <c r="G13776">
        <v>650</v>
      </c>
      <c r="H13776">
        <v>650</v>
      </c>
      <c r="I13776">
        <v>631</v>
      </c>
      <c r="J13776">
        <v>631</v>
      </c>
      <c r="K13776">
        <v>165</v>
      </c>
      <c r="L13776">
        <v>0</v>
      </c>
      <c r="M13776">
        <v>465</v>
      </c>
      <c r="N13776">
        <v>20</v>
      </c>
      <c r="O13776">
        <v>0</v>
      </c>
      <c r="P13776">
        <v>1</v>
      </c>
      <c r="Q13776">
        <v>0</v>
      </c>
    </row>
    <row r="13777" spans="1:17" x14ac:dyDescent="0.2">
      <c r="A13777" s="121">
        <v>43799</v>
      </c>
      <c r="B13777" t="s">
        <v>406</v>
      </c>
      <c r="C13777" t="s">
        <v>510</v>
      </c>
      <c r="D13777" t="s">
        <v>525</v>
      </c>
      <c r="E13777" t="s">
        <v>526</v>
      </c>
      <c r="F13777" t="s">
        <v>410</v>
      </c>
      <c r="G13777">
        <v>511</v>
      </c>
      <c r="I13777">
        <v>510</v>
      </c>
    </row>
    <row r="13778" spans="1:17" x14ac:dyDescent="0.2">
      <c r="A13778" s="121">
        <v>43799</v>
      </c>
      <c r="B13778" t="s">
        <v>406</v>
      </c>
      <c r="C13778" t="s">
        <v>510</v>
      </c>
      <c r="D13778" t="s">
        <v>527</v>
      </c>
      <c r="E13778" t="s">
        <v>528</v>
      </c>
      <c r="F13778" t="s">
        <v>410</v>
      </c>
      <c r="G13778">
        <v>144</v>
      </c>
      <c r="I13778">
        <v>144</v>
      </c>
    </row>
    <row r="13779" spans="1:17" x14ac:dyDescent="0.2">
      <c r="A13779" s="121">
        <v>43799</v>
      </c>
      <c r="B13779" t="s">
        <v>406</v>
      </c>
      <c r="C13779" t="s">
        <v>510</v>
      </c>
      <c r="D13779" t="s">
        <v>529</v>
      </c>
      <c r="E13779" t="s">
        <v>530</v>
      </c>
      <c r="F13779" t="s">
        <v>413</v>
      </c>
      <c r="G13779">
        <v>590</v>
      </c>
      <c r="H13779">
        <v>590</v>
      </c>
      <c r="I13779">
        <v>562</v>
      </c>
      <c r="J13779">
        <v>562</v>
      </c>
      <c r="K13779">
        <v>173</v>
      </c>
      <c r="L13779">
        <v>1</v>
      </c>
      <c r="M13779">
        <v>413</v>
      </c>
      <c r="N13779">
        <v>3</v>
      </c>
      <c r="O13779">
        <v>0</v>
      </c>
      <c r="P13779">
        <v>2</v>
      </c>
      <c r="Q13779">
        <v>0</v>
      </c>
    </row>
    <row r="13780" spans="1:17" x14ac:dyDescent="0.2">
      <c r="A13780" s="121">
        <v>43799</v>
      </c>
      <c r="B13780" t="s">
        <v>406</v>
      </c>
      <c r="C13780" t="s">
        <v>510</v>
      </c>
      <c r="D13780" t="s">
        <v>531</v>
      </c>
      <c r="E13780" t="s">
        <v>532</v>
      </c>
      <c r="F13780" t="s">
        <v>410</v>
      </c>
      <c r="G13780">
        <v>62</v>
      </c>
      <c r="I13780">
        <v>62</v>
      </c>
    </row>
    <row r="13781" spans="1:17" x14ac:dyDescent="0.2">
      <c r="A13781" s="121">
        <v>43799</v>
      </c>
      <c r="B13781" t="s">
        <v>406</v>
      </c>
      <c r="C13781" t="s">
        <v>510</v>
      </c>
      <c r="D13781" t="s">
        <v>533</v>
      </c>
      <c r="E13781" t="s">
        <v>534</v>
      </c>
      <c r="F13781" t="s">
        <v>413</v>
      </c>
      <c r="G13781">
        <v>2947</v>
      </c>
      <c r="H13781">
        <v>2947</v>
      </c>
      <c r="I13781">
        <v>2524</v>
      </c>
      <c r="J13781">
        <v>2524</v>
      </c>
      <c r="K13781">
        <v>756</v>
      </c>
      <c r="L13781">
        <v>2</v>
      </c>
      <c r="M13781">
        <v>2084</v>
      </c>
      <c r="N13781">
        <v>9</v>
      </c>
      <c r="O13781">
        <v>96</v>
      </c>
      <c r="P13781">
        <v>69</v>
      </c>
      <c r="Q13781">
        <v>3</v>
      </c>
    </row>
    <row r="13782" spans="1:17" x14ac:dyDescent="0.2">
      <c r="A13782" s="121">
        <v>43799</v>
      </c>
      <c r="B13782" t="s">
        <v>406</v>
      </c>
      <c r="C13782" t="s">
        <v>510</v>
      </c>
      <c r="D13782" t="s">
        <v>535</v>
      </c>
      <c r="E13782" t="s">
        <v>536</v>
      </c>
      <c r="F13782" t="s">
        <v>410</v>
      </c>
      <c r="G13782">
        <v>294</v>
      </c>
      <c r="I13782">
        <v>294</v>
      </c>
    </row>
    <row r="13783" spans="1:17" x14ac:dyDescent="0.2">
      <c r="A13783" s="121">
        <v>43799</v>
      </c>
      <c r="B13783" t="s">
        <v>406</v>
      </c>
      <c r="C13783" t="s">
        <v>510</v>
      </c>
      <c r="D13783" t="s">
        <v>539</v>
      </c>
      <c r="E13783" t="s">
        <v>540</v>
      </c>
      <c r="F13783" t="s">
        <v>413</v>
      </c>
      <c r="G13783">
        <v>674</v>
      </c>
      <c r="H13783">
        <v>674</v>
      </c>
      <c r="I13783">
        <v>622</v>
      </c>
      <c r="J13783">
        <v>622</v>
      </c>
      <c r="K13783">
        <v>148</v>
      </c>
      <c r="L13783">
        <v>1</v>
      </c>
      <c r="M13783">
        <v>513</v>
      </c>
      <c r="N13783">
        <v>7</v>
      </c>
      <c r="O13783">
        <v>5</v>
      </c>
      <c r="P13783">
        <v>2</v>
      </c>
      <c r="Q13783">
        <v>1</v>
      </c>
    </row>
    <row r="13784" spans="1:17" x14ac:dyDescent="0.2">
      <c r="A13784" s="121">
        <v>43799</v>
      </c>
      <c r="B13784" t="s">
        <v>406</v>
      </c>
      <c r="C13784" t="s">
        <v>510</v>
      </c>
      <c r="D13784" t="s">
        <v>541</v>
      </c>
      <c r="E13784" t="s">
        <v>542</v>
      </c>
      <c r="F13784" t="s">
        <v>410</v>
      </c>
      <c r="G13784">
        <v>332</v>
      </c>
      <c r="I13784">
        <v>331</v>
      </c>
    </row>
    <row r="13785" spans="1:17" x14ac:dyDescent="0.2">
      <c r="A13785" s="121">
        <v>43799</v>
      </c>
      <c r="B13785" t="s">
        <v>406</v>
      </c>
      <c r="C13785" t="s">
        <v>510</v>
      </c>
      <c r="D13785" t="s">
        <v>543</v>
      </c>
      <c r="E13785" t="s">
        <v>544</v>
      </c>
      <c r="F13785" t="s">
        <v>410</v>
      </c>
      <c r="G13785">
        <v>193</v>
      </c>
      <c r="I13785">
        <v>192</v>
      </c>
    </row>
    <row r="13786" spans="1:17" x14ac:dyDescent="0.2">
      <c r="A13786" s="121">
        <v>43799</v>
      </c>
      <c r="B13786" t="s">
        <v>406</v>
      </c>
      <c r="C13786" t="s">
        <v>510</v>
      </c>
      <c r="D13786" t="s">
        <v>547</v>
      </c>
      <c r="E13786" t="s">
        <v>548</v>
      </c>
      <c r="F13786" t="s">
        <v>410</v>
      </c>
      <c r="G13786">
        <v>150</v>
      </c>
      <c r="I13786">
        <v>150</v>
      </c>
    </row>
    <row r="13787" spans="1:17" x14ac:dyDescent="0.2">
      <c r="A13787" s="121">
        <v>43799</v>
      </c>
      <c r="B13787" t="s">
        <v>406</v>
      </c>
      <c r="C13787" t="s">
        <v>510</v>
      </c>
      <c r="D13787" t="s">
        <v>632</v>
      </c>
      <c r="E13787" t="s">
        <v>633</v>
      </c>
      <c r="F13787" t="s">
        <v>410</v>
      </c>
      <c r="G13787">
        <v>36</v>
      </c>
      <c r="I13787">
        <v>36</v>
      </c>
    </row>
    <row r="13788" spans="1:17" x14ac:dyDescent="0.2">
      <c r="A13788" s="121">
        <v>43799</v>
      </c>
      <c r="B13788" t="s">
        <v>406</v>
      </c>
      <c r="C13788" t="s">
        <v>510</v>
      </c>
      <c r="D13788" t="s">
        <v>616</v>
      </c>
      <c r="E13788" t="s">
        <v>617</v>
      </c>
      <c r="F13788" t="s">
        <v>410</v>
      </c>
      <c r="G13788">
        <v>394</v>
      </c>
      <c r="I13788">
        <v>390</v>
      </c>
    </row>
    <row r="13789" spans="1:17" x14ac:dyDescent="0.2">
      <c r="A13789" s="121">
        <v>43799</v>
      </c>
      <c r="B13789" t="s">
        <v>406</v>
      </c>
      <c r="C13789" t="s">
        <v>510</v>
      </c>
      <c r="D13789" t="s">
        <v>549</v>
      </c>
      <c r="E13789" t="s">
        <v>550</v>
      </c>
      <c r="F13789" t="s">
        <v>410</v>
      </c>
      <c r="G13789">
        <v>100</v>
      </c>
      <c r="I13789">
        <v>100</v>
      </c>
    </row>
    <row r="13790" spans="1:17" x14ac:dyDescent="0.2">
      <c r="A13790" s="121">
        <v>43799</v>
      </c>
      <c r="B13790" t="s">
        <v>406</v>
      </c>
      <c r="C13790" t="s">
        <v>510</v>
      </c>
      <c r="D13790" t="s">
        <v>625</v>
      </c>
      <c r="E13790" t="s">
        <v>626</v>
      </c>
      <c r="F13790" t="s">
        <v>410</v>
      </c>
      <c r="G13790">
        <v>69</v>
      </c>
      <c r="I13790">
        <v>69</v>
      </c>
    </row>
    <row r="13791" spans="1:17" x14ac:dyDescent="0.2">
      <c r="A13791" s="121">
        <v>43799</v>
      </c>
      <c r="B13791" t="s">
        <v>406</v>
      </c>
      <c r="C13791" t="s">
        <v>551</v>
      </c>
      <c r="D13791" t="s">
        <v>552</v>
      </c>
      <c r="E13791" t="s">
        <v>553</v>
      </c>
      <c r="F13791" t="s">
        <v>413</v>
      </c>
      <c r="G13791">
        <v>5701</v>
      </c>
      <c r="H13791">
        <v>5701</v>
      </c>
      <c r="I13791">
        <v>4879</v>
      </c>
      <c r="J13791">
        <v>4879</v>
      </c>
      <c r="K13791">
        <v>2018</v>
      </c>
      <c r="L13791">
        <v>7</v>
      </c>
      <c r="M13791">
        <v>3515</v>
      </c>
      <c r="N13791">
        <v>128</v>
      </c>
      <c r="O13791">
        <v>33</v>
      </c>
      <c r="P13791">
        <v>50</v>
      </c>
      <c r="Q13791">
        <v>2</v>
      </c>
    </row>
    <row r="13792" spans="1:17" x14ac:dyDescent="0.2">
      <c r="A13792" s="121">
        <v>43799</v>
      </c>
      <c r="B13792" t="s">
        <v>406</v>
      </c>
      <c r="C13792" t="s">
        <v>551</v>
      </c>
      <c r="D13792" t="s">
        <v>554</v>
      </c>
      <c r="E13792" t="s">
        <v>555</v>
      </c>
      <c r="F13792" t="s">
        <v>410</v>
      </c>
      <c r="G13792">
        <v>69</v>
      </c>
      <c r="H13792">
        <v>69</v>
      </c>
      <c r="I13792">
        <v>69</v>
      </c>
      <c r="J13792">
        <v>69</v>
      </c>
      <c r="K13792">
        <v>3</v>
      </c>
      <c r="L13792">
        <v>0</v>
      </c>
      <c r="M13792">
        <v>66</v>
      </c>
      <c r="N13792">
        <v>0</v>
      </c>
      <c r="O13792">
        <v>0</v>
      </c>
      <c r="P13792">
        <v>0</v>
      </c>
      <c r="Q13792">
        <v>0</v>
      </c>
    </row>
    <row r="13793" spans="1:17" x14ac:dyDescent="0.2">
      <c r="A13793" s="121">
        <v>43799</v>
      </c>
      <c r="B13793" t="s">
        <v>406</v>
      </c>
      <c r="C13793" t="s">
        <v>551</v>
      </c>
      <c r="D13793" t="s">
        <v>556</v>
      </c>
      <c r="E13793" t="s">
        <v>557</v>
      </c>
      <c r="F13793" t="s">
        <v>410</v>
      </c>
      <c r="G13793">
        <v>52</v>
      </c>
      <c r="H13793">
        <v>52</v>
      </c>
      <c r="I13793">
        <v>52</v>
      </c>
      <c r="J13793">
        <v>52</v>
      </c>
      <c r="K13793">
        <v>2</v>
      </c>
      <c r="L13793">
        <v>0</v>
      </c>
      <c r="M13793">
        <v>49</v>
      </c>
      <c r="N13793">
        <v>0</v>
      </c>
      <c r="O13793">
        <v>1</v>
      </c>
      <c r="P13793">
        <v>0</v>
      </c>
      <c r="Q13793">
        <v>0</v>
      </c>
    </row>
    <row r="13794" spans="1:17" x14ac:dyDescent="0.2">
      <c r="A13794" s="121">
        <v>43799</v>
      </c>
      <c r="B13794" t="s">
        <v>406</v>
      </c>
      <c r="C13794" t="s">
        <v>551</v>
      </c>
      <c r="D13794" t="s">
        <v>558</v>
      </c>
      <c r="E13794" t="s">
        <v>559</v>
      </c>
      <c r="F13794" t="s">
        <v>413</v>
      </c>
      <c r="G13794">
        <v>5355</v>
      </c>
      <c r="H13794">
        <v>5355</v>
      </c>
      <c r="I13794">
        <v>4161</v>
      </c>
      <c r="J13794">
        <v>4161</v>
      </c>
      <c r="K13794">
        <v>1479</v>
      </c>
      <c r="L13794">
        <v>11</v>
      </c>
      <c r="M13794">
        <v>3775</v>
      </c>
      <c r="N13794">
        <v>67</v>
      </c>
      <c r="O13794">
        <v>23</v>
      </c>
      <c r="P13794">
        <v>227</v>
      </c>
      <c r="Q13794">
        <v>95</v>
      </c>
    </row>
    <row r="13795" spans="1:17" x14ac:dyDescent="0.2">
      <c r="A13795" s="121">
        <v>43799</v>
      </c>
      <c r="B13795" t="s">
        <v>406</v>
      </c>
      <c r="C13795" t="s">
        <v>551</v>
      </c>
      <c r="D13795" t="s">
        <v>560</v>
      </c>
      <c r="E13795" t="s">
        <v>561</v>
      </c>
      <c r="F13795" t="s">
        <v>413</v>
      </c>
      <c r="G13795">
        <v>6387</v>
      </c>
      <c r="H13795">
        <v>6387</v>
      </c>
      <c r="I13795">
        <v>5309</v>
      </c>
      <c r="J13795">
        <v>5309</v>
      </c>
      <c r="K13795">
        <v>2036</v>
      </c>
      <c r="L13795">
        <v>6</v>
      </c>
      <c r="M13795">
        <v>4233</v>
      </c>
      <c r="N13795">
        <v>63</v>
      </c>
      <c r="O13795">
        <v>49</v>
      </c>
      <c r="P13795">
        <v>155</v>
      </c>
      <c r="Q13795">
        <v>27</v>
      </c>
    </row>
    <row r="13796" spans="1:17" x14ac:dyDescent="0.2">
      <c r="A13796" s="121">
        <v>43799</v>
      </c>
      <c r="B13796" t="s">
        <v>406</v>
      </c>
      <c r="C13796" t="s">
        <v>562</v>
      </c>
      <c r="D13796" t="s">
        <v>605</v>
      </c>
      <c r="E13796" t="s">
        <v>606</v>
      </c>
      <c r="F13796" t="s">
        <v>410</v>
      </c>
      <c r="G13796">
        <v>116</v>
      </c>
      <c r="I13796">
        <v>116</v>
      </c>
    </row>
    <row r="13797" spans="1:17" x14ac:dyDescent="0.2">
      <c r="A13797" s="121">
        <v>43799</v>
      </c>
      <c r="B13797" t="s">
        <v>406</v>
      </c>
      <c r="C13797" t="s">
        <v>562</v>
      </c>
      <c r="D13797" t="s">
        <v>563</v>
      </c>
      <c r="E13797" t="s">
        <v>564</v>
      </c>
      <c r="F13797" t="s">
        <v>410</v>
      </c>
      <c r="G13797">
        <v>3939</v>
      </c>
      <c r="H13797">
        <v>3939</v>
      </c>
      <c r="I13797">
        <v>3108</v>
      </c>
      <c r="J13797">
        <v>3108</v>
      </c>
      <c r="K13797">
        <v>1182</v>
      </c>
      <c r="L13797">
        <v>1</v>
      </c>
      <c r="M13797">
        <v>2753</v>
      </c>
      <c r="N13797">
        <v>3</v>
      </c>
      <c r="O13797">
        <v>0</v>
      </c>
      <c r="P13797">
        <v>177</v>
      </c>
      <c r="Q13797">
        <v>102</v>
      </c>
    </row>
    <row r="13798" spans="1:17" x14ac:dyDescent="0.2">
      <c r="A13798" s="121">
        <v>43799</v>
      </c>
      <c r="B13798" t="s">
        <v>406</v>
      </c>
      <c r="C13798" t="s">
        <v>562</v>
      </c>
      <c r="D13798" t="s">
        <v>565</v>
      </c>
      <c r="E13798" t="s">
        <v>566</v>
      </c>
      <c r="F13798" t="s">
        <v>413</v>
      </c>
      <c r="G13798">
        <v>4944</v>
      </c>
      <c r="H13798">
        <v>4944</v>
      </c>
      <c r="I13798">
        <v>4218</v>
      </c>
      <c r="J13798">
        <v>4218</v>
      </c>
      <c r="K13798">
        <v>956</v>
      </c>
      <c r="L13798">
        <v>3</v>
      </c>
      <c r="M13798">
        <v>3919</v>
      </c>
      <c r="N13798">
        <v>62</v>
      </c>
      <c r="O13798">
        <v>4</v>
      </c>
      <c r="P13798">
        <v>204</v>
      </c>
      <c r="Q13798">
        <v>64</v>
      </c>
    </row>
    <row r="13799" spans="1:17" x14ac:dyDescent="0.2">
      <c r="A13799" s="121">
        <v>43799</v>
      </c>
      <c r="B13799" t="s">
        <v>406</v>
      </c>
      <c r="C13799" t="s">
        <v>562</v>
      </c>
      <c r="D13799" t="s">
        <v>567</v>
      </c>
      <c r="E13799" t="s">
        <v>568</v>
      </c>
      <c r="F13799" t="s">
        <v>413</v>
      </c>
      <c r="G13799">
        <v>10495</v>
      </c>
      <c r="H13799">
        <v>10495</v>
      </c>
      <c r="I13799">
        <v>7788</v>
      </c>
      <c r="J13799">
        <v>7788</v>
      </c>
      <c r="K13799">
        <v>3512</v>
      </c>
      <c r="L13799">
        <v>7</v>
      </c>
      <c r="M13799">
        <v>6754</v>
      </c>
      <c r="N13799">
        <v>198</v>
      </c>
      <c r="O13799">
        <v>24</v>
      </c>
      <c r="P13799">
        <v>697</v>
      </c>
      <c r="Q13799">
        <v>210</v>
      </c>
    </row>
    <row r="13800" spans="1:17" x14ac:dyDescent="0.2">
      <c r="A13800" s="121">
        <v>43799</v>
      </c>
      <c r="B13800" t="s">
        <v>406</v>
      </c>
      <c r="C13800" t="s">
        <v>562</v>
      </c>
      <c r="D13800" t="s">
        <v>569</v>
      </c>
      <c r="E13800" t="s">
        <v>570</v>
      </c>
      <c r="F13800" t="s">
        <v>413</v>
      </c>
      <c r="G13800">
        <v>5021</v>
      </c>
      <c r="H13800">
        <v>5021</v>
      </c>
      <c r="I13800">
        <v>4724</v>
      </c>
      <c r="J13800">
        <v>4724</v>
      </c>
      <c r="K13800">
        <v>763</v>
      </c>
      <c r="L13800">
        <v>0</v>
      </c>
      <c r="M13800">
        <v>4129</v>
      </c>
      <c r="N13800">
        <v>109</v>
      </c>
      <c r="O13800">
        <v>20</v>
      </c>
      <c r="P13800">
        <v>8</v>
      </c>
      <c r="Q13800">
        <v>1</v>
      </c>
    </row>
    <row r="13801" spans="1:17" x14ac:dyDescent="0.2">
      <c r="A13801" s="121">
        <v>43799</v>
      </c>
      <c r="B13801" t="s">
        <v>406</v>
      </c>
      <c r="C13801" t="s">
        <v>571</v>
      </c>
      <c r="D13801" t="s">
        <v>572</v>
      </c>
      <c r="E13801" t="s">
        <v>627</v>
      </c>
      <c r="F13801" t="s">
        <v>413</v>
      </c>
      <c r="G13801">
        <v>541</v>
      </c>
      <c r="H13801">
        <v>541</v>
      </c>
      <c r="I13801">
        <v>531</v>
      </c>
      <c r="J13801">
        <v>531</v>
      </c>
      <c r="K13801">
        <v>120</v>
      </c>
      <c r="L13801">
        <v>0</v>
      </c>
      <c r="M13801">
        <v>407</v>
      </c>
      <c r="N13801">
        <v>9</v>
      </c>
      <c r="O13801">
        <v>5</v>
      </c>
      <c r="P13801">
        <v>0</v>
      </c>
      <c r="Q13801">
        <v>0</v>
      </c>
    </row>
    <row r="13802" spans="1:17" x14ac:dyDescent="0.2">
      <c r="A13802" s="121">
        <v>43799</v>
      </c>
      <c r="B13802" t="s">
        <v>406</v>
      </c>
      <c r="C13802" t="s">
        <v>574</v>
      </c>
      <c r="D13802" t="s">
        <v>575</v>
      </c>
      <c r="E13802" t="s">
        <v>576</v>
      </c>
      <c r="F13802" t="s">
        <v>413</v>
      </c>
      <c r="G13802">
        <v>589</v>
      </c>
      <c r="H13802">
        <v>589</v>
      </c>
      <c r="I13802">
        <v>568</v>
      </c>
      <c r="J13802">
        <v>568</v>
      </c>
      <c r="K13802">
        <v>140</v>
      </c>
      <c r="L13802">
        <v>0</v>
      </c>
      <c r="M13802">
        <v>441</v>
      </c>
      <c r="N13802">
        <v>3</v>
      </c>
      <c r="O13802">
        <v>5</v>
      </c>
      <c r="P13802">
        <v>2</v>
      </c>
      <c r="Q13802">
        <v>0</v>
      </c>
    </row>
    <row r="13803" spans="1:17" x14ac:dyDescent="0.2">
      <c r="A13803" s="121">
        <v>43799</v>
      </c>
      <c r="B13803" t="s">
        <v>406</v>
      </c>
      <c r="C13803" t="s">
        <v>577</v>
      </c>
      <c r="D13803" t="s">
        <v>578</v>
      </c>
      <c r="E13803" t="s">
        <v>579</v>
      </c>
      <c r="F13803" t="s">
        <v>413</v>
      </c>
      <c r="G13803">
        <v>4208</v>
      </c>
      <c r="H13803">
        <v>4208</v>
      </c>
      <c r="I13803">
        <v>4023</v>
      </c>
      <c r="J13803">
        <v>4023</v>
      </c>
      <c r="K13803">
        <v>1462</v>
      </c>
      <c r="L13803">
        <v>3</v>
      </c>
      <c r="M13803">
        <v>2465</v>
      </c>
      <c r="N13803">
        <v>226</v>
      </c>
      <c r="O13803">
        <v>52</v>
      </c>
      <c r="P13803">
        <v>1</v>
      </c>
      <c r="Q13803">
        <v>0</v>
      </c>
    </row>
    <row r="13804" spans="1:17" x14ac:dyDescent="0.2">
      <c r="A13804" s="121">
        <v>43799</v>
      </c>
      <c r="B13804" t="s">
        <v>406</v>
      </c>
      <c r="C13804" t="s">
        <v>577</v>
      </c>
      <c r="D13804" t="s">
        <v>580</v>
      </c>
      <c r="E13804" t="s">
        <v>581</v>
      </c>
      <c r="F13804" t="s">
        <v>413</v>
      </c>
      <c r="G13804">
        <v>1952</v>
      </c>
      <c r="H13804">
        <v>1952</v>
      </c>
      <c r="I13804">
        <v>1873</v>
      </c>
      <c r="J13804">
        <v>1873</v>
      </c>
      <c r="K13804">
        <v>360</v>
      </c>
      <c r="L13804">
        <v>1</v>
      </c>
      <c r="M13804">
        <v>1321</v>
      </c>
      <c r="N13804">
        <v>255</v>
      </c>
      <c r="O13804">
        <v>15</v>
      </c>
      <c r="P13804">
        <v>5</v>
      </c>
      <c r="Q13804">
        <v>0</v>
      </c>
    </row>
    <row r="13805" spans="1:17" x14ac:dyDescent="0.2">
      <c r="A13805" s="121">
        <v>43799</v>
      </c>
      <c r="B13805" t="s">
        <v>406</v>
      </c>
      <c r="C13805" t="s">
        <v>577</v>
      </c>
      <c r="D13805" t="s">
        <v>584</v>
      </c>
      <c r="E13805" t="s">
        <v>585</v>
      </c>
      <c r="F13805" t="s">
        <v>410</v>
      </c>
      <c r="G13805">
        <v>243</v>
      </c>
      <c r="H13805">
        <v>243</v>
      </c>
      <c r="I13805">
        <v>243</v>
      </c>
      <c r="J13805">
        <v>243</v>
      </c>
      <c r="K13805">
        <v>0</v>
      </c>
      <c r="L13805">
        <v>0</v>
      </c>
      <c r="M13805">
        <v>228</v>
      </c>
      <c r="N13805">
        <v>12</v>
      </c>
      <c r="O13805">
        <v>3</v>
      </c>
      <c r="P13805">
        <v>0</v>
      </c>
      <c r="Q13805">
        <v>0</v>
      </c>
    </row>
    <row r="13806" spans="1:17" x14ac:dyDescent="0.2">
      <c r="A13806" s="121">
        <v>43799</v>
      </c>
      <c r="B13806" t="s">
        <v>406</v>
      </c>
      <c r="C13806" t="s">
        <v>577</v>
      </c>
      <c r="D13806" t="s">
        <v>586</v>
      </c>
      <c r="E13806" t="s">
        <v>587</v>
      </c>
      <c r="F13806" t="s">
        <v>410</v>
      </c>
      <c r="G13806">
        <v>1191</v>
      </c>
      <c r="H13806">
        <v>1191</v>
      </c>
      <c r="I13806">
        <v>1188</v>
      </c>
      <c r="J13806">
        <v>1188</v>
      </c>
      <c r="K13806">
        <v>0</v>
      </c>
      <c r="L13806">
        <v>1</v>
      </c>
      <c r="M13806">
        <v>1097</v>
      </c>
      <c r="N13806">
        <v>92</v>
      </c>
      <c r="O13806">
        <v>1</v>
      </c>
      <c r="P13806">
        <v>0</v>
      </c>
      <c r="Q13806">
        <v>0</v>
      </c>
    </row>
    <row r="13807" spans="1:17" x14ac:dyDescent="0.2">
      <c r="A13807" s="121">
        <v>43799</v>
      </c>
      <c r="B13807" t="s">
        <v>406</v>
      </c>
      <c r="C13807" t="s">
        <v>577</v>
      </c>
      <c r="D13807" t="s">
        <v>613</v>
      </c>
      <c r="E13807" t="s">
        <v>614</v>
      </c>
      <c r="F13807" t="s">
        <v>410</v>
      </c>
      <c r="G13807">
        <v>163</v>
      </c>
      <c r="H13807">
        <v>163</v>
      </c>
      <c r="I13807">
        <v>163</v>
      </c>
      <c r="J13807">
        <v>163</v>
      </c>
      <c r="K13807">
        <v>0</v>
      </c>
      <c r="L13807">
        <v>0</v>
      </c>
      <c r="M13807">
        <v>152</v>
      </c>
      <c r="N13807">
        <v>6</v>
      </c>
      <c r="O13807">
        <v>5</v>
      </c>
      <c r="P13807">
        <v>0</v>
      </c>
      <c r="Q13807">
        <v>0</v>
      </c>
    </row>
    <row r="13808" spans="1:17" x14ac:dyDescent="0.2">
      <c r="A13808" s="121">
        <v>43799</v>
      </c>
      <c r="B13808" t="s">
        <v>406</v>
      </c>
      <c r="C13808" t="s">
        <v>577</v>
      </c>
      <c r="D13808" t="s">
        <v>590</v>
      </c>
      <c r="E13808" t="s">
        <v>591</v>
      </c>
      <c r="F13808" t="s">
        <v>410</v>
      </c>
      <c r="G13808">
        <v>389</v>
      </c>
      <c r="H13808">
        <v>389</v>
      </c>
      <c r="I13808">
        <v>389</v>
      </c>
      <c r="J13808">
        <v>389</v>
      </c>
      <c r="K13808">
        <v>0</v>
      </c>
      <c r="L13808">
        <v>1</v>
      </c>
      <c r="M13808">
        <v>373</v>
      </c>
      <c r="N13808">
        <v>15</v>
      </c>
      <c r="O13808">
        <v>0</v>
      </c>
      <c r="P13808">
        <v>0</v>
      </c>
      <c r="Q13808">
        <v>0</v>
      </c>
    </row>
    <row r="13809" spans="1:17" x14ac:dyDescent="0.2">
      <c r="A13809" s="121">
        <v>43799</v>
      </c>
      <c r="B13809" t="s">
        <v>406</v>
      </c>
      <c r="C13809" t="s">
        <v>577</v>
      </c>
      <c r="D13809" t="s">
        <v>607</v>
      </c>
      <c r="E13809" t="s">
        <v>608</v>
      </c>
      <c r="F13809" t="s">
        <v>410</v>
      </c>
      <c r="G13809">
        <v>172</v>
      </c>
      <c r="H13809">
        <v>172</v>
      </c>
      <c r="I13809">
        <v>169</v>
      </c>
      <c r="J13809">
        <v>169</v>
      </c>
      <c r="K13809">
        <v>0</v>
      </c>
      <c r="L13809">
        <v>0</v>
      </c>
      <c r="M13809">
        <v>157</v>
      </c>
      <c r="N13809">
        <v>14</v>
      </c>
      <c r="O13809">
        <v>1</v>
      </c>
      <c r="P13809">
        <v>0</v>
      </c>
      <c r="Q13809">
        <v>0</v>
      </c>
    </row>
    <row r="13810" spans="1:17" x14ac:dyDescent="0.2">
      <c r="A13810" s="121">
        <v>43799</v>
      </c>
      <c r="B13810" t="s">
        <v>406</v>
      </c>
      <c r="C13810" t="s">
        <v>577</v>
      </c>
      <c r="D13810" t="s">
        <v>592</v>
      </c>
      <c r="E13810" t="s">
        <v>593</v>
      </c>
      <c r="F13810" t="s">
        <v>410</v>
      </c>
      <c r="G13810">
        <v>177</v>
      </c>
      <c r="H13810">
        <v>177</v>
      </c>
      <c r="I13810">
        <v>177</v>
      </c>
      <c r="J13810">
        <v>177</v>
      </c>
      <c r="K13810">
        <v>0</v>
      </c>
      <c r="L13810">
        <v>0</v>
      </c>
      <c r="M13810">
        <v>140</v>
      </c>
      <c r="N13810">
        <v>37</v>
      </c>
      <c r="O13810">
        <v>0</v>
      </c>
      <c r="P13810">
        <v>0</v>
      </c>
      <c r="Q13810">
        <v>0</v>
      </c>
    </row>
    <row r="13811" spans="1:17" x14ac:dyDescent="0.2">
      <c r="A13811" s="121">
        <v>43799</v>
      </c>
      <c r="B13811" t="s">
        <v>406</v>
      </c>
      <c r="C13811" t="s">
        <v>594</v>
      </c>
      <c r="D13811" t="s">
        <v>595</v>
      </c>
      <c r="E13811" t="s">
        <v>596</v>
      </c>
      <c r="F13811" t="s">
        <v>410</v>
      </c>
      <c r="G13811">
        <v>35</v>
      </c>
      <c r="I13811">
        <v>35</v>
      </c>
    </row>
    <row r="13812" spans="1:17" x14ac:dyDescent="0.2">
      <c r="A13812" s="121">
        <v>43799</v>
      </c>
      <c r="B13812" t="s">
        <v>406</v>
      </c>
      <c r="C13812" t="s">
        <v>594</v>
      </c>
      <c r="D13812" t="s">
        <v>597</v>
      </c>
      <c r="E13812" t="s">
        <v>598</v>
      </c>
      <c r="F13812" t="s">
        <v>413</v>
      </c>
      <c r="G13812">
        <v>542</v>
      </c>
      <c r="H13812">
        <v>542</v>
      </c>
      <c r="I13812">
        <v>538</v>
      </c>
      <c r="J13812">
        <v>538</v>
      </c>
      <c r="K13812">
        <v>151</v>
      </c>
      <c r="L13812">
        <v>1</v>
      </c>
      <c r="M13812">
        <v>377</v>
      </c>
      <c r="N13812">
        <v>3</v>
      </c>
      <c r="O13812">
        <v>10</v>
      </c>
      <c r="P13812">
        <v>0</v>
      </c>
      <c r="Q13812">
        <v>0</v>
      </c>
    </row>
    <row r="13813" spans="1:17" x14ac:dyDescent="0.2">
      <c r="A13813" s="121">
        <v>43799</v>
      </c>
      <c r="B13813" t="s">
        <v>406</v>
      </c>
      <c r="C13813" t="s">
        <v>594</v>
      </c>
      <c r="D13813" t="s">
        <v>599</v>
      </c>
      <c r="E13813" t="s">
        <v>600</v>
      </c>
      <c r="F13813" t="s">
        <v>410</v>
      </c>
      <c r="G13813">
        <v>117</v>
      </c>
      <c r="H13813">
        <v>117</v>
      </c>
      <c r="I13813">
        <v>117</v>
      </c>
      <c r="J13813">
        <v>117</v>
      </c>
      <c r="K13813">
        <v>9</v>
      </c>
      <c r="L13813">
        <v>0</v>
      </c>
      <c r="M13813">
        <v>108</v>
      </c>
      <c r="N13813">
        <v>0</v>
      </c>
      <c r="O13813">
        <v>0</v>
      </c>
      <c r="P13813">
        <v>0</v>
      </c>
      <c r="Q13813">
        <v>0</v>
      </c>
    </row>
    <row r="13814" spans="1:17" x14ac:dyDescent="0.2">
      <c r="A13814" s="121">
        <v>43830</v>
      </c>
      <c r="B13814" t="s">
        <v>406</v>
      </c>
      <c r="C13814" t="s">
        <v>407</v>
      </c>
      <c r="D13814" t="s">
        <v>408</v>
      </c>
      <c r="E13814" t="s">
        <v>409</v>
      </c>
      <c r="F13814" t="s">
        <v>410</v>
      </c>
      <c r="G13814">
        <v>233</v>
      </c>
      <c r="I13814">
        <v>227</v>
      </c>
    </row>
    <row r="13815" spans="1:17" x14ac:dyDescent="0.2">
      <c r="A13815" s="121">
        <v>43830</v>
      </c>
      <c r="B13815" t="s">
        <v>406</v>
      </c>
      <c r="C13815" t="s">
        <v>407</v>
      </c>
      <c r="D13815" t="s">
        <v>601</v>
      </c>
      <c r="E13815" t="s">
        <v>602</v>
      </c>
      <c r="F13815" t="s">
        <v>410</v>
      </c>
      <c r="G13815">
        <v>87</v>
      </c>
      <c r="I13815">
        <v>87</v>
      </c>
    </row>
    <row r="13816" spans="1:17" x14ac:dyDescent="0.2">
      <c r="A13816" s="121">
        <v>43830</v>
      </c>
      <c r="B13816" t="s">
        <v>406</v>
      </c>
      <c r="C13816" t="s">
        <v>407</v>
      </c>
      <c r="D13816" t="s">
        <v>411</v>
      </c>
      <c r="E13816" t="s">
        <v>412</v>
      </c>
      <c r="F13816" t="s">
        <v>413</v>
      </c>
      <c r="G13816">
        <v>6095</v>
      </c>
      <c r="H13816">
        <v>6095</v>
      </c>
      <c r="I13816">
        <v>5188</v>
      </c>
      <c r="J13816">
        <v>5188</v>
      </c>
      <c r="K13816">
        <v>2147</v>
      </c>
      <c r="L13816">
        <v>11</v>
      </c>
      <c r="M13816">
        <v>3548</v>
      </c>
      <c r="N13816">
        <v>55</v>
      </c>
      <c r="O13816">
        <v>334</v>
      </c>
      <c r="P13816">
        <v>398</v>
      </c>
      <c r="Q13816">
        <v>211</v>
      </c>
    </row>
    <row r="13817" spans="1:17" x14ac:dyDescent="0.2">
      <c r="A13817" s="121">
        <v>43830</v>
      </c>
      <c r="B13817" t="s">
        <v>406</v>
      </c>
      <c r="C13817" t="s">
        <v>407</v>
      </c>
      <c r="D13817" t="s">
        <v>416</v>
      </c>
      <c r="E13817" t="s">
        <v>417</v>
      </c>
      <c r="F13817" t="s">
        <v>413</v>
      </c>
      <c r="G13817">
        <v>3095</v>
      </c>
      <c r="H13817">
        <v>3095</v>
      </c>
      <c r="I13817">
        <v>2285</v>
      </c>
      <c r="J13817">
        <v>2285</v>
      </c>
      <c r="K13817">
        <v>889</v>
      </c>
      <c r="L13817">
        <v>8</v>
      </c>
      <c r="M13817">
        <v>2050</v>
      </c>
      <c r="N13817">
        <v>90</v>
      </c>
      <c r="O13817">
        <v>58</v>
      </c>
      <c r="P13817">
        <v>269</v>
      </c>
      <c r="Q13817">
        <v>126</v>
      </c>
    </row>
    <row r="13818" spans="1:17" x14ac:dyDescent="0.2">
      <c r="A13818" s="121">
        <v>43830</v>
      </c>
      <c r="B13818" t="s">
        <v>406</v>
      </c>
      <c r="C13818" t="s">
        <v>407</v>
      </c>
      <c r="D13818" t="s">
        <v>618</v>
      </c>
      <c r="E13818" t="s">
        <v>619</v>
      </c>
      <c r="F13818" t="s">
        <v>410</v>
      </c>
      <c r="G13818">
        <v>75</v>
      </c>
      <c r="I13818">
        <v>75</v>
      </c>
    </row>
    <row r="13819" spans="1:17" x14ac:dyDescent="0.2">
      <c r="A13819" s="121">
        <v>43830</v>
      </c>
      <c r="B13819" t="s">
        <v>406</v>
      </c>
      <c r="C13819" t="s">
        <v>418</v>
      </c>
      <c r="D13819" t="s">
        <v>419</v>
      </c>
      <c r="E13819" t="s">
        <v>420</v>
      </c>
      <c r="F13819" t="s">
        <v>410</v>
      </c>
      <c r="G13819">
        <v>8</v>
      </c>
      <c r="I13819">
        <v>8</v>
      </c>
    </row>
    <row r="13820" spans="1:17" x14ac:dyDescent="0.2">
      <c r="A13820" s="121">
        <v>43830</v>
      </c>
      <c r="B13820" t="s">
        <v>406</v>
      </c>
      <c r="C13820" t="s">
        <v>418</v>
      </c>
      <c r="D13820" t="s">
        <v>421</v>
      </c>
      <c r="E13820" t="s">
        <v>422</v>
      </c>
      <c r="F13820" t="s">
        <v>410</v>
      </c>
      <c r="G13820">
        <v>82</v>
      </c>
      <c r="I13820">
        <v>82</v>
      </c>
    </row>
    <row r="13821" spans="1:17" x14ac:dyDescent="0.2">
      <c r="A13821" s="121">
        <v>43830</v>
      </c>
      <c r="B13821" t="s">
        <v>406</v>
      </c>
      <c r="C13821" t="s">
        <v>418</v>
      </c>
      <c r="D13821" t="s">
        <v>423</v>
      </c>
      <c r="E13821" t="s">
        <v>424</v>
      </c>
      <c r="F13821" t="s">
        <v>410</v>
      </c>
      <c r="G13821">
        <v>6</v>
      </c>
      <c r="I13821">
        <v>6</v>
      </c>
    </row>
    <row r="13822" spans="1:17" x14ac:dyDescent="0.2">
      <c r="A13822" s="121">
        <v>43830</v>
      </c>
      <c r="B13822" t="s">
        <v>406</v>
      </c>
      <c r="C13822" t="s">
        <v>418</v>
      </c>
      <c r="D13822" t="s">
        <v>425</v>
      </c>
      <c r="E13822" t="s">
        <v>426</v>
      </c>
      <c r="F13822" t="s">
        <v>410</v>
      </c>
      <c r="G13822">
        <v>38</v>
      </c>
      <c r="I13822">
        <v>38</v>
      </c>
    </row>
    <row r="13823" spans="1:17" x14ac:dyDescent="0.2">
      <c r="A13823" s="121">
        <v>43830</v>
      </c>
      <c r="B13823" t="s">
        <v>406</v>
      </c>
      <c r="C13823" t="s">
        <v>418</v>
      </c>
      <c r="D13823" t="s">
        <v>427</v>
      </c>
      <c r="E13823" t="s">
        <v>428</v>
      </c>
      <c r="F13823" t="s">
        <v>413</v>
      </c>
      <c r="G13823">
        <v>2732</v>
      </c>
      <c r="H13823">
        <v>2732</v>
      </c>
      <c r="I13823">
        <v>2306</v>
      </c>
      <c r="J13823">
        <v>2306</v>
      </c>
      <c r="K13823">
        <v>980</v>
      </c>
      <c r="L13823">
        <v>4</v>
      </c>
      <c r="M13823">
        <v>1526</v>
      </c>
      <c r="N13823">
        <v>205</v>
      </c>
      <c r="O13823">
        <v>17</v>
      </c>
      <c r="P13823">
        <v>85</v>
      </c>
      <c r="Q13823">
        <v>33</v>
      </c>
    </row>
    <row r="13824" spans="1:17" x14ac:dyDescent="0.2">
      <c r="A13824" s="121">
        <v>43830</v>
      </c>
      <c r="B13824" t="s">
        <v>406</v>
      </c>
      <c r="C13824" t="s">
        <v>429</v>
      </c>
      <c r="D13824" t="s">
        <v>430</v>
      </c>
      <c r="E13824" t="s">
        <v>431</v>
      </c>
      <c r="F13824" t="s">
        <v>410</v>
      </c>
      <c r="G13824">
        <v>22</v>
      </c>
      <c r="I13824">
        <v>22</v>
      </c>
    </row>
    <row r="13825" spans="1:17" x14ac:dyDescent="0.2">
      <c r="A13825" s="121">
        <v>43830</v>
      </c>
      <c r="B13825" t="s">
        <v>406</v>
      </c>
      <c r="C13825" t="s">
        <v>429</v>
      </c>
      <c r="D13825" t="s">
        <v>432</v>
      </c>
      <c r="E13825" t="s">
        <v>433</v>
      </c>
      <c r="F13825" t="s">
        <v>410</v>
      </c>
      <c r="G13825">
        <v>21</v>
      </c>
      <c r="I13825">
        <v>21</v>
      </c>
    </row>
    <row r="13826" spans="1:17" x14ac:dyDescent="0.2">
      <c r="A13826" s="121">
        <v>43830</v>
      </c>
      <c r="B13826" t="s">
        <v>406</v>
      </c>
      <c r="C13826" t="s">
        <v>429</v>
      </c>
      <c r="D13826" t="s">
        <v>434</v>
      </c>
      <c r="E13826" t="s">
        <v>435</v>
      </c>
      <c r="F13826" t="s">
        <v>410</v>
      </c>
      <c r="G13826">
        <v>1</v>
      </c>
      <c r="I13826">
        <v>1</v>
      </c>
    </row>
    <row r="13827" spans="1:17" x14ac:dyDescent="0.2">
      <c r="A13827" s="121">
        <v>43830</v>
      </c>
      <c r="B13827" t="s">
        <v>406</v>
      </c>
      <c r="C13827" t="s">
        <v>429</v>
      </c>
      <c r="D13827" t="s">
        <v>436</v>
      </c>
      <c r="E13827" t="s">
        <v>437</v>
      </c>
      <c r="F13827" t="s">
        <v>410</v>
      </c>
      <c r="G13827">
        <v>15</v>
      </c>
      <c r="H13827">
        <v>15</v>
      </c>
      <c r="I13827">
        <v>15</v>
      </c>
      <c r="J13827">
        <v>15</v>
      </c>
      <c r="K13827">
        <v>0</v>
      </c>
      <c r="L13827">
        <v>0</v>
      </c>
      <c r="M13827">
        <v>15</v>
      </c>
      <c r="N13827">
        <v>0</v>
      </c>
      <c r="O13827">
        <v>0</v>
      </c>
      <c r="P13827">
        <v>0</v>
      </c>
      <c r="Q13827">
        <v>0</v>
      </c>
    </row>
    <row r="13828" spans="1:17" x14ac:dyDescent="0.2">
      <c r="A13828" s="121">
        <v>43830</v>
      </c>
      <c r="B13828" t="s">
        <v>406</v>
      </c>
      <c r="C13828" t="s">
        <v>429</v>
      </c>
      <c r="D13828" t="s">
        <v>438</v>
      </c>
      <c r="E13828" t="s">
        <v>439</v>
      </c>
      <c r="F13828" t="s">
        <v>413</v>
      </c>
      <c r="G13828">
        <v>1212</v>
      </c>
      <c r="H13828">
        <v>1212</v>
      </c>
      <c r="I13828">
        <v>1129</v>
      </c>
      <c r="J13828">
        <v>1129</v>
      </c>
      <c r="K13828">
        <v>101</v>
      </c>
      <c r="L13828">
        <v>1</v>
      </c>
      <c r="M13828">
        <v>984</v>
      </c>
      <c r="N13828">
        <v>87</v>
      </c>
      <c r="O13828">
        <v>39</v>
      </c>
      <c r="P13828">
        <v>7</v>
      </c>
      <c r="Q13828">
        <v>2</v>
      </c>
    </row>
    <row r="13829" spans="1:17" x14ac:dyDescent="0.2">
      <c r="A13829" s="121">
        <v>43830</v>
      </c>
      <c r="B13829" t="s">
        <v>406</v>
      </c>
      <c r="C13829" t="s">
        <v>429</v>
      </c>
      <c r="D13829" t="s">
        <v>440</v>
      </c>
      <c r="E13829" t="s">
        <v>441</v>
      </c>
      <c r="F13829" t="s">
        <v>413</v>
      </c>
      <c r="G13829">
        <v>2994</v>
      </c>
      <c r="H13829">
        <v>2994</v>
      </c>
      <c r="I13829">
        <v>2490</v>
      </c>
      <c r="J13829">
        <v>2490</v>
      </c>
      <c r="K13829">
        <v>1013</v>
      </c>
      <c r="L13829">
        <v>6</v>
      </c>
      <c r="M13829">
        <v>1851</v>
      </c>
      <c r="N13829">
        <v>74</v>
      </c>
      <c r="O13829">
        <v>50</v>
      </c>
      <c r="P13829">
        <v>64</v>
      </c>
      <c r="Q13829">
        <v>5</v>
      </c>
    </row>
    <row r="13830" spans="1:17" x14ac:dyDescent="0.2">
      <c r="A13830" s="121">
        <v>43830</v>
      </c>
      <c r="B13830" t="s">
        <v>406</v>
      </c>
      <c r="C13830" t="s">
        <v>442</v>
      </c>
      <c r="D13830" t="s">
        <v>443</v>
      </c>
      <c r="E13830" t="s">
        <v>444</v>
      </c>
      <c r="F13830" t="s">
        <v>413</v>
      </c>
      <c r="G13830">
        <v>5832</v>
      </c>
      <c r="H13830">
        <v>5832</v>
      </c>
      <c r="I13830">
        <v>4918</v>
      </c>
      <c r="J13830">
        <v>4918</v>
      </c>
      <c r="K13830">
        <v>1867</v>
      </c>
      <c r="L13830">
        <v>9</v>
      </c>
      <c r="M13830">
        <v>3742</v>
      </c>
      <c r="N13830">
        <v>131</v>
      </c>
      <c r="O13830">
        <v>83</v>
      </c>
      <c r="P13830">
        <v>62</v>
      </c>
      <c r="Q13830">
        <v>6</v>
      </c>
    </row>
    <row r="13831" spans="1:17" x14ac:dyDescent="0.2">
      <c r="A13831" s="121">
        <v>43830</v>
      </c>
      <c r="B13831" t="s">
        <v>406</v>
      </c>
      <c r="C13831" t="s">
        <v>442</v>
      </c>
      <c r="D13831" t="s">
        <v>445</v>
      </c>
      <c r="E13831" t="s">
        <v>446</v>
      </c>
      <c r="F13831" t="s">
        <v>410</v>
      </c>
      <c r="G13831">
        <v>123</v>
      </c>
      <c r="H13831">
        <v>123</v>
      </c>
      <c r="I13831">
        <v>123</v>
      </c>
      <c r="J13831">
        <v>123</v>
      </c>
      <c r="K13831">
        <v>2</v>
      </c>
      <c r="L13831">
        <v>0</v>
      </c>
      <c r="M13831">
        <v>107</v>
      </c>
      <c r="N13831">
        <v>6</v>
      </c>
      <c r="O13831">
        <v>8</v>
      </c>
      <c r="P13831">
        <v>0</v>
      </c>
      <c r="Q13831">
        <v>0</v>
      </c>
    </row>
    <row r="13832" spans="1:17" x14ac:dyDescent="0.2">
      <c r="A13832" s="121">
        <v>43830</v>
      </c>
      <c r="B13832" t="s">
        <v>406</v>
      </c>
      <c r="C13832" t="s">
        <v>442</v>
      </c>
      <c r="D13832" t="s">
        <v>447</v>
      </c>
      <c r="E13832" t="s">
        <v>448</v>
      </c>
      <c r="F13832" t="s">
        <v>410</v>
      </c>
      <c r="G13832">
        <v>222</v>
      </c>
      <c r="H13832">
        <v>222</v>
      </c>
      <c r="I13832">
        <v>222</v>
      </c>
      <c r="J13832">
        <v>222</v>
      </c>
      <c r="K13832">
        <v>0</v>
      </c>
      <c r="L13832">
        <v>0</v>
      </c>
      <c r="M13832">
        <v>213</v>
      </c>
      <c r="N13832">
        <v>9</v>
      </c>
      <c r="O13832">
        <v>0</v>
      </c>
      <c r="P13832">
        <v>0</v>
      </c>
      <c r="Q13832">
        <v>0</v>
      </c>
    </row>
    <row r="13833" spans="1:17" x14ac:dyDescent="0.2">
      <c r="A13833" s="121">
        <v>43830</v>
      </c>
      <c r="B13833" t="s">
        <v>406</v>
      </c>
      <c r="C13833" t="s">
        <v>442</v>
      </c>
      <c r="D13833" t="s">
        <v>449</v>
      </c>
      <c r="E13833" t="s">
        <v>624</v>
      </c>
      <c r="F13833" t="s">
        <v>410</v>
      </c>
      <c r="G13833">
        <v>1441</v>
      </c>
      <c r="H13833">
        <v>1441</v>
      </c>
      <c r="I13833">
        <v>1440</v>
      </c>
      <c r="J13833">
        <v>1440</v>
      </c>
      <c r="K13833">
        <v>21</v>
      </c>
      <c r="L13833">
        <v>0</v>
      </c>
      <c r="M13833">
        <v>1306</v>
      </c>
      <c r="N13833">
        <v>108</v>
      </c>
      <c r="O13833">
        <v>6</v>
      </c>
      <c r="P13833">
        <v>0</v>
      </c>
      <c r="Q13833">
        <v>0</v>
      </c>
    </row>
    <row r="13834" spans="1:17" x14ac:dyDescent="0.2">
      <c r="A13834" s="121">
        <v>43830</v>
      </c>
      <c r="B13834" t="s">
        <v>406</v>
      </c>
      <c r="C13834" t="s">
        <v>451</v>
      </c>
      <c r="D13834" t="s">
        <v>454</v>
      </c>
      <c r="E13834" t="s">
        <v>621</v>
      </c>
      <c r="F13834" t="s">
        <v>410</v>
      </c>
      <c r="G13834">
        <v>1649</v>
      </c>
      <c r="H13834">
        <v>1649</v>
      </c>
      <c r="I13834">
        <v>1646</v>
      </c>
      <c r="J13834">
        <v>1646</v>
      </c>
      <c r="K13834">
        <v>4</v>
      </c>
      <c r="L13834">
        <v>0</v>
      </c>
      <c r="M13834">
        <v>1435</v>
      </c>
      <c r="N13834">
        <v>11</v>
      </c>
      <c r="O13834">
        <v>199</v>
      </c>
      <c r="P13834">
        <v>0</v>
      </c>
      <c r="Q13834">
        <v>0</v>
      </c>
    </row>
    <row r="13835" spans="1:17" x14ac:dyDescent="0.2">
      <c r="A13835" s="121">
        <v>43830</v>
      </c>
      <c r="B13835" t="s">
        <v>406</v>
      </c>
      <c r="C13835" t="s">
        <v>451</v>
      </c>
      <c r="D13835" t="s">
        <v>622</v>
      </c>
      <c r="E13835" t="s">
        <v>623</v>
      </c>
      <c r="F13835" t="s">
        <v>413</v>
      </c>
      <c r="G13835">
        <v>5544</v>
      </c>
      <c r="H13835">
        <v>5544</v>
      </c>
      <c r="I13835">
        <v>4591</v>
      </c>
      <c r="J13835">
        <v>4591</v>
      </c>
      <c r="K13835">
        <v>1689</v>
      </c>
      <c r="L13835">
        <v>6</v>
      </c>
      <c r="M13835">
        <v>3594</v>
      </c>
      <c r="N13835">
        <v>29</v>
      </c>
      <c r="O13835">
        <v>226</v>
      </c>
      <c r="P13835">
        <v>19</v>
      </c>
      <c r="Q13835">
        <v>3</v>
      </c>
    </row>
    <row r="13836" spans="1:17" x14ac:dyDescent="0.2">
      <c r="A13836" s="121">
        <v>43830</v>
      </c>
      <c r="B13836" t="s">
        <v>406</v>
      </c>
      <c r="C13836" t="s">
        <v>456</v>
      </c>
      <c r="D13836" t="s">
        <v>457</v>
      </c>
      <c r="E13836" t="s">
        <v>458</v>
      </c>
      <c r="F13836" t="s">
        <v>413</v>
      </c>
      <c r="G13836">
        <v>5355</v>
      </c>
      <c r="H13836">
        <v>5355</v>
      </c>
      <c r="I13836">
        <v>4385</v>
      </c>
      <c r="J13836">
        <v>4385</v>
      </c>
      <c r="K13836">
        <v>1467</v>
      </c>
      <c r="L13836">
        <v>13</v>
      </c>
      <c r="M13836">
        <v>3517</v>
      </c>
      <c r="N13836">
        <v>31</v>
      </c>
      <c r="O13836">
        <v>327</v>
      </c>
      <c r="P13836">
        <v>72</v>
      </c>
      <c r="Q13836">
        <v>5</v>
      </c>
    </row>
    <row r="13837" spans="1:17" x14ac:dyDescent="0.2">
      <c r="A13837" s="121">
        <v>43830</v>
      </c>
      <c r="B13837" t="s">
        <v>406</v>
      </c>
      <c r="C13837" t="s">
        <v>456</v>
      </c>
      <c r="D13837" t="s">
        <v>459</v>
      </c>
      <c r="E13837" t="s">
        <v>460</v>
      </c>
      <c r="F13837" t="s">
        <v>413</v>
      </c>
      <c r="G13837">
        <v>1436</v>
      </c>
      <c r="H13837">
        <v>1436</v>
      </c>
      <c r="I13837">
        <v>1403</v>
      </c>
      <c r="J13837">
        <v>1403</v>
      </c>
      <c r="K13837">
        <v>147</v>
      </c>
      <c r="L13837">
        <v>2</v>
      </c>
      <c r="M13837">
        <v>1193</v>
      </c>
      <c r="N13837">
        <v>0</v>
      </c>
      <c r="O13837">
        <v>94</v>
      </c>
      <c r="P13837">
        <v>1</v>
      </c>
      <c r="Q13837">
        <v>1</v>
      </c>
    </row>
    <row r="13838" spans="1:17" x14ac:dyDescent="0.2">
      <c r="A13838" s="121">
        <v>43830</v>
      </c>
      <c r="B13838" t="s">
        <v>406</v>
      </c>
      <c r="C13838" t="s">
        <v>456</v>
      </c>
      <c r="D13838" t="s">
        <v>461</v>
      </c>
      <c r="E13838" t="s">
        <v>462</v>
      </c>
      <c r="F13838" t="s">
        <v>410</v>
      </c>
      <c r="G13838">
        <v>64</v>
      </c>
      <c r="I13838">
        <v>64</v>
      </c>
    </row>
    <row r="13839" spans="1:17" x14ac:dyDescent="0.2">
      <c r="A13839" s="121">
        <v>43830</v>
      </c>
      <c r="B13839" t="s">
        <v>406</v>
      </c>
      <c r="C13839" t="s">
        <v>456</v>
      </c>
      <c r="D13839" t="s">
        <v>465</v>
      </c>
      <c r="E13839" t="s">
        <v>466</v>
      </c>
      <c r="F13839" t="s">
        <v>410</v>
      </c>
      <c r="G13839">
        <v>31</v>
      </c>
      <c r="I13839">
        <v>31</v>
      </c>
    </row>
    <row r="13840" spans="1:17" x14ac:dyDescent="0.2">
      <c r="A13840" s="121">
        <v>43830</v>
      </c>
      <c r="B13840" t="s">
        <v>406</v>
      </c>
      <c r="C13840" t="s">
        <v>456</v>
      </c>
      <c r="D13840" t="s">
        <v>467</v>
      </c>
      <c r="E13840" t="s">
        <v>468</v>
      </c>
      <c r="F13840" t="s">
        <v>410</v>
      </c>
      <c r="G13840">
        <v>1325</v>
      </c>
      <c r="I13840">
        <v>1323</v>
      </c>
    </row>
    <row r="13841" spans="1:17" x14ac:dyDescent="0.2">
      <c r="A13841" s="121">
        <v>43830</v>
      </c>
      <c r="B13841" t="s">
        <v>406</v>
      </c>
      <c r="C13841" t="s">
        <v>456</v>
      </c>
      <c r="D13841" t="s">
        <v>469</v>
      </c>
      <c r="E13841" t="s">
        <v>470</v>
      </c>
      <c r="F13841" t="s">
        <v>410</v>
      </c>
      <c r="G13841">
        <v>640</v>
      </c>
      <c r="I13841">
        <v>640</v>
      </c>
    </row>
    <row r="13842" spans="1:17" x14ac:dyDescent="0.2">
      <c r="A13842" s="121">
        <v>43830</v>
      </c>
      <c r="B13842" t="s">
        <v>406</v>
      </c>
      <c r="C13842" t="s">
        <v>456</v>
      </c>
      <c r="D13842" t="s">
        <v>471</v>
      </c>
      <c r="E13842" t="s">
        <v>472</v>
      </c>
      <c r="F13842" t="s">
        <v>410</v>
      </c>
      <c r="G13842">
        <v>279</v>
      </c>
      <c r="I13842">
        <v>278</v>
      </c>
    </row>
    <row r="13843" spans="1:17" x14ac:dyDescent="0.2">
      <c r="A13843" s="121">
        <v>43830</v>
      </c>
      <c r="B13843" t="s">
        <v>406</v>
      </c>
      <c r="C13843" t="s">
        <v>456</v>
      </c>
      <c r="D13843" t="s">
        <v>473</v>
      </c>
      <c r="E13843" t="s">
        <v>474</v>
      </c>
      <c r="F13843" t="s">
        <v>410</v>
      </c>
      <c r="G13843">
        <v>95</v>
      </c>
      <c r="I13843">
        <v>95</v>
      </c>
    </row>
    <row r="13844" spans="1:17" x14ac:dyDescent="0.2">
      <c r="A13844" s="121">
        <v>43830</v>
      </c>
      <c r="B13844" t="s">
        <v>406</v>
      </c>
      <c r="C13844" t="s">
        <v>456</v>
      </c>
      <c r="D13844" t="s">
        <v>475</v>
      </c>
      <c r="E13844" t="s">
        <v>476</v>
      </c>
      <c r="F13844" t="s">
        <v>410</v>
      </c>
      <c r="G13844">
        <v>176</v>
      </c>
      <c r="I13844">
        <v>173</v>
      </c>
    </row>
    <row r="13845" spans="1:17" x14ac:dyDescent="0.2">
      <c r="A13845" s="121">
        <v>43830</v>
      </c>
      <c r="B13845" t="s">
        <v>406</v>
      </c>
      <c r="C13845" t="s">
        <v>456</v>
      </c>
      <c r="D13845" t="s">
        <v>477</v>
      </c>
      <c r="E13845" t="s">
        <v>478</v>
      </c>
      <c r="F13845" t="s">
        <v>413</v>
      </c>
      <c r="G13845">
        <v>2475</v>
      </c>
      <c r="H13845">
        <v>2475</v>
      </c>
      <c r="I13845">
        <v>2298</v>
      </c>
      <c r="J13845">
        <v>2298</v>
      </c>
      <c r="K13845">
        <v>592</v>
      </c>
      <c r="L13845">
        <v>2</v>
      </c>
      <c r="M13845">
        <v>1839</v>
      </c>
      <c r="N13845">
        <v>21</v>
      </c>
      <c r="O13845">
        <v>21</v>
      </c>
      <c r="P13845">
        <v>20</v>
      </c>
      <c r="Q13845">
        <v>7</v>
      </c>
    </row>
    <row r="13846" spans="1:17" x14ac:dyDescent="0.2">
      <c r="A13846" s="121">
        <v>43830</v>
      </c>
      <c r="B13846" t="s">
        <v>406</v>
      </c>
      <c r="C13846" t="s">
        <v>456</v>
      </c>
      <c r="D13846" t="s">
        <v>479</v>
      </c>
      <c r="E13846" t="s">
        <v>480</v>
      </c>
      <c r="F13846" t="s">
        <v>410</v>
      </c>
      <c r="G13846">
        <v>41</v>
      </c>
      <c r="I13846">
        <v>41</v>
      </c>
    </row>
    <row r="13847" spans="1:17" x14ac:dyDescent="0.2">
      <c r="A13847" s="121">
        <v>43830</v>
      </c>
      <c r="B13847" t="s">
        <v>406</v>
      </c>
      <c r="C13847" t="s">
        <v>456</v>
      </c>
      <c r="D13847" t="s">
        <v>481</v>
      </c>
      <c r="E13847" t="s">
        <v>482</v>
      </c>
      <c r="F13847" t="s">
        <v>410</v>
      </c>
      <c r="G13847">
        <v>6</v>
      </c>
      <c r="I13847">
        <v>6</v>
      </c>
    </row>
    <row r="13848" spans="1:17" x14ac:dyDescent="0.2">
      <c r="A13848" s="121">
        <v>43830</v>
      </c>
      <c r="B13848" t="s">
        <v>406</v>
      </c>
      <c r="C13848" t="s">
        <v>456</v>
      </c>
      <c r="D13848" t="s">
        <v>483</v>
      </c>
      <c r="E13848" t="s">
        <v>484</v>
      </c>
      <c r="F13848" t="s">
        <v>410</v>
      </c>
      <c r="G13848">
        <v>72</v>
      </c>
      <c r="I13848">
        <v>72</v>
      </c>
    </row>
    <row r="13849" spans="1:17" x14ac:dyDescent="0.2">
      <c r="A13849" s="121">
        <v>43830</v>
      </c>
      <c r="B13849" t="s">
        <v>406</v>
      </c>
      <c r="C13849" t="s">
        <v>456</v>
      </c>
      <c r="D13849" t="s">
        <v>489</v>
      </c>
      <c r="E13849" t="s">
        <v>490</v>
      </c>
      <c r="F13849" t="s">
        <v>410</v>
      </c>
      <c r="G13849">
        <v>63</v>
      </c>
      <c r="I13849">
        <v>63</v>
      </c>
    </row>
    <row r="13850" spans="1:17" x14ac:dyDescent="0.2">
      <c r="A13850" s="121">
        <v>43830</v>
      </c>
      <c r="B13850" t="s">
        <v>406</v>
      </c>
      <c r="C13850" t="s">
        <v>456</v>
      </c>
      <c r="D13850" t="s">
        <v>628</v>
      </c>
      <c r="E13850" t="s">
        <v>629</v>
      </c>
      <c r="F13850" t="s">
        <v>410</v>
      </c>
      <c r="G13850">
        <v>49</v>
      </c>
      <c r="I13850">
        <v>49</v>
      </c>
    </row>
    <row r="13851" spans="1:17" x14ac:dyDescent="0.2">
      <c r="A13851" s="121">
        <v>43830</v>
      </c>
      <c r="B13851" t="s">
        <v>406</v>
      </c>
      <c r="C13851" t="s">
        <v>491</v>
      </c>
      <c r="D13851" t="s">
        <v>492</v>
      </c>
      <c r="E13851" t="s">
        <v>493</v>
      </c>
      <c r="F13851" t="s">
        <v>410</v>
      </c>
      <c r="G13851">
        <v>1436</v>
      </c>
      <c r="H13851">
        <v>1436</v>
      </c>
      <c r="I13851">
        <v>1339</v>
      </c>
      <c r="J13851">
        <v>1339</v>
      </c>
      <c r="K13851">
        <v>232</v>
      </c>
      <c r="L13851">
        <v>4</v>
      </c>
      <c r="M13851">
        <v>1085</v>
      </c>
      <c r="N13851">
        <v>78</v>
      </c>
      <c r="O13851">
        <v>37</v>
      </c>
      <c r="P13851">
        <v>3</v>
      </c>
      <c r="Q13851">
        <v>1</v>
      </c>
    </row>
    <row r="13852" spans="1:17" x14ac:dyDescent="0.2">
      <c r="A13852" s="121">
        <v>43830</v>
      </c>
      <c r="B13852" t="s">
        <v>406</v>
      </c>
      <c r="C13852" t="s">
        <v>491</v>
      </c>
      <c r="D13852" t="s">
        <v>494</v>
      </c>
      <c r="E13852" t="s">
        <v>495</v>
      </c>
      <c r="F13852" t="s">
        <v>413</v>
      </c>
      <c r="G13852">
        <v>2716</v>
      </c>
      <c r="H13852">
        <v>2716</v>
      </c>
      <c r="I13852">
        <v>2334</v>
      </c>
      <c r="J13852">
        <v>2334</v>
      </c>
      <c r="K13852">
        <v>786</v>
      </c>
      <c r="L13852">
        <v>7</v>
      </c>
      <c r="M13852">
        <v>1836</v>
      </c>
      <c r="N13852">
        <v>39</v>
      </c>
      <c r="O13852">
        <v>48</v>
      </c>
      <c r="P13852">
        <v>29</v>
      </c>
      <c r="Q13852">
        <v>0</v>
      </c>
    </row>
    <row r="13853" spans="1:17" x14ac:dyDescent="0.2">
      <c r="A13853" s="121">
        <v>43830</v>
      </c>
      <c r="B13853" t="s">
        <v>406</v>
      </c>
      <c r="C13853" t="s">
        <v>491</v>
      </c>
      <c r="D13853" t="s">
        <v>496</v>
      </c>
      <c r="E13853" t="s">
        <v>497</v>
      </c>
      <c r="F13853" t="s">
        <v>413</v>
      </c>
      <c r="G13853">
        <v>5650</v>
      </c>
      <c r="H13853">
        <v>5650</v>
      </c>
      <c r="I13853">
        <v>4167</v>
      </c>
      <c r="J13853">
        <v>4167</v>
      </c>
      <c r="K13853">
        <v>1974</v>
      </c>
      <c r="L13853">
        <v>15</v>
      </c>
      <c r="M13853">
        <v>3387</v>
      </c>
      <c r="N13853">
        <v>119</v>
      </c>
      <c r="O13853">
        <v>155</v>
      </c>
      <c r="P13853">
        <v>297</v>
      </c>
      <c r="Q13853">
        <v>14</v>
      </c>
    </row>
    <row r="13854" spans="1:17" x14ac:dyDescent="0.2">
      <c r="A13854" s="121">
        <v>43830</v>
      </c>
      <c r="B13854" t="s">
        <v>406</v>
      </c>
      <c r="C13854" t="s">
        <v>491</v>
      </c>
      <c r="D13854" t="s">
        <v>498</v>
      </c>
      <c r="E13854" t="s">
        <v>499</v>
      </c>
      <c r="F13854" t="s">
        <v>413</v>
      </c>
      <c r="G13854">
        <v>7927</v>
      </c>
      <c r="H13854">
        <v>7927</v>
      </c>
      <c r="I13854">
        <v>6021</v>
      </c>
      <c r="J13854">
        <v>6021</v>
      </c>
      <c r="K13854">
        <v>2467</v>
      </c>
      <c r="L13854">
        <v>22</v>
      </c>
      <c r="M13854">
        <v>4874</v>
      </c>
      <c r="N13854">
        <v>116</v>
      </c>
      <c r="O13854">
        <v>448</v>
      </c>
      <c r="P13854">
        <v>146</v>
      </c>
      <c r="Q13854">
        <v>7</v>
      </c>
    </row>
    <row r="13855" spans="1:17" x14ac:dyDescent="0.2">
      <c r="A13855" s="121">
        <v>43830</v>
      </c>
      <c r="B13855" t="s">
        <v>406</v>
      </c>
      <c r="C13855" t="s">
        <v>491</v>
      </c>
      <c r="D13855" t="s">
        <v>500</v>
      </c>
      <c r="E13855" t="s">
        <v>620</v>
      </c>
      <c r="F13855" t="s">
        <v>410</v>
      </c>
      <c r="G13855">
        <v>1702</v>
      </c>
      <c r="H13855">
        <v>1702</v>
      </c>
      <c r="I13855">
        <v>1701</v>
      </c>
      <c r="J13855">
        <v>1701</v>
      </c>
      <c r="K13855">
        <v>0</v>
      </c>
      <c r="L13855">
        <v>1</v>
      </c>
      <c r="M13855">
        <v>1512</v>
      </c>
      <c r="N13855">
        <v>136</v>
      </c>
      <c r="O13855">
        <v>53</v>
      </c>
      <c r="P13855">
        <v>0</v>
      </c>
      <c r="Q13855">
        <v>0</v>
      </c>
    </row>
    <row r="13856" spans="1:17" x14ac:dyDescent="0.2">
      <c r="A13856" s="121">
        <v>43830</v>
      </c>
      <c r="B13856" t="s">
        <v>406</v>
      </c>
      <c r="C13856" t="s">
        <v>491</v>
      </c>
      <c r="D13856" t="s">
        <v>502</v>
      </c>
      <c r="E13856" t="s">
        <v>615</v>
      </c>
      <c r="F13856" t="s">
        <v>410</v>
      </c>
      <c r="G13856">
        <v>2601</v>
      </c>
      <c r="H13856">
        <v>2601</v>
      </c>
      <c r="I13856">
        <v>2594</v>
      </c>
      <c r="J13856">
        <v>2594</v>
      </c>
      <c r="K13856">
        <v>1</v>
      </c>
      <c r="L13856">
        <v>2</v>
      </c>
      <c r="M13856">
        <v>2257</v>
      </c>
      <c r="N13856">
        <v>164</v>
      </c>
      <c r="O13856">
        <v>177</v>
      </c>
      <c r="P13856">
        <v>1</v>
      </c>
      <c r="Q13856">
        <v>0</v>
      </c>
    </row>
    <row r="13857" spans="1:17" x14ac:dyDescent="0.2">
      <c r="A13857" s="121">
        <v>43830</v>
      </c>
      <c r="B13857" t="s">
        <v>406</v>
      </c>
      <c r="C13857" t="s">
        <v>491</v>
      </c>
      <c r="D13857" t="s">
        <v>504</v>
      </c>
      <c r="E13857" t="s">
        <v>630</v>
      </c>
      <c r="F13857" t="s">
        <v>413</v>
      </c>
      <c r="G13857">
        <v>8339</v>
      </c>
      <c r="H13857">
        <v>8339</v>
      </c>
      <c r="I13857">
        <v>5259</v>
      </c>
      <c r="J13857">
        <v>5259</v>
      </c>
      <c r="K13857">
        <v>2643</v>
      </c>
      <c r="L13857">
        <v>26</v>
      </c>
      <c r="M13857">
        <v>5280</v>
      </c>
      <c r="N13857">
        <v>42</v>
      </c>
      <c r="O13857">
        <v>348</v>
      </c>
      <c r="P13857">
        <v>796</v>
      </c>
      <c r="Q13857">
        <v>259</v>
      </c>
    </row>
    <row r="13858" spans="1:17" x14ac:dyDescent="0.2">
      <c r="A13858" s="121">
        <v>43830</v>
      </c>
      <c r="B13858" t="s">
        <v>406</v>
      </c>
      <c r="C13858" t="s">
        <v>491</v>
      </c>
      <c r="D13858" t="s">
        <v>506</v>
      </c>
      <c r="E13858" t="s">
        <v>507</v>
      </c>
      <c r="F13858" t="s">
        <v>413</v>
      </c>
      <c r="G13858">
        <v>6543</v>
      </c>
      <c r="H13858">
        <v>6543</v>
      </c>
      <c r="I13858">
        <v>6086</v>
      </c>
      <c r="J13858">
        <v>6086</v>
      </c>
      <c r="K13858">
        <v>1620</v>
      </c>
      <c r="L13858">
        <v>1</v>
      </c>
      <c r="M13858">
        <v>4856</v>
      </c>
      <c r="N13858">
        <v>1</v>
      </c>
      <c r="O13858">
        <v>65</v>
      </c>
      <c r="P13858">
        <v>6</v>
      </c>
      <c r="Q13858">
        <v>0</v>
      </c>
    </row>
    <row r="13859" spans="1:17" x14ac:dyDescent="0.2">
      <c r="A13859" s="121">
        <v>43830</v>
      </c>
      <c r="B13859" t="s">
        <v>406</v>
      </c>
      <c r="C13859" t="s">
        <v>510</v>
      </c>
      <c r="D13859" t="s">
        <v>513</v>
      </c>
      <c r="E13859" t="s">
        <v>514</v>
      </c>
      <c r="F13859" t="s">
        <v>410</v>
      </c>
      <c r="G13859">
        <v>774</v>
      </c>
      <c r="I13859">
        <v>773</v>
      </c>
    </row>
    <row r="13860" spans="1:17" x14ac:dyDescent="0.2">
      <c r="A13860" s="121">
        <v>43830</v>
      </c>
      <c r="B13860" t="s">
        <v>406</v>
      </c>
      <c r="C13860" t="s">
        <v>510</v>
      </c>
      <c r="D13860" t="s">
        <v>515</v>
      </c>
      <c r="E13860" t="s">
        <v>516</v>
      </c>
      <c r="F13860" t="s">
        <v>410</v>
      </c>
      <c r="G13860">
        <v>115</v>
      </c>
      <c r="I13860">
        <v>111</v>
      </c>
    </row>
    <row r="13861" spans="1:17" x14ac:dyDescent="0.2">
      <c r="A13861" s="121">
        <v>43830</v>
      </c>
      <c r="B13861" t="s">
        <v>406</v>
      </c>
      <c r="C13861" t="s">
        <v>510</v>
      </c>
      <c r="D13861" t="s">
        <v>519</v>
      </c>
      <c r="E13861" t="s">
        <v>520</v>
      </c>
      <c r="F13861" t="s">
        <v>410</v>
      </c>
      <c r="G13861">
        <v>293</v>
      </c>
      <c r="I13861">
        <v>284</v>
      </c>
    </row>
    <row r="13862" spans="1:17" x14ac:dyDescent="0.2">
      <c r="A13862" s="121">
        <v>43830</v>
      </c>
      <c r="B13862" t="s">
        <v>406</v>
      </c>
      <c r="C13862" t="s">
        <v>510</v>
      </c>
      <c r="D13862" t="s">
        <v>523</v>
      </c>
      <c r="E13862" t="s">
        <v>524</v>
      </c>
      <c r="F13862" t="s">
        <v>413</v>
      </c>
      <c r="G13862">
        <v>647</v>
      </c>
      <c r="H13862">
        <v>647</v>
      </c>
      <c r="I13862">
        <v>612</v>
      </c>
      <c r="J13862">
        <v>612</v>
      </c>
      <c r="K13862">
        <v>157</v>
      </c>
      <c r="L13862">
        <v>0</v>
      </c>
      <c r="M13862">
        <v>470</v>
      </c>
      <c r="N13862">
        <v>20</v>
      </c>
      <c r="O13862">
        <v>0</v>
      </c>
      <c r="P13862">
        <v>2</v>
      </c>
      <c r="Q13862">
        <v>1</v>
      </c>
    </row>
    <row r="13863" spans="1:17" x14ac:dyDescent="0.2">
      <c r="A13863" s="121">
        <v>43830</v>
      </c>
      <c r="B13863" t="s">
        <v>406</v>
      </c>
      <c r="C13863" t="s">
        <v>510</v>
      </c>
      <c r="D13863" t="s">
        <v>525</v>
      </c>
      <c r="E13863" t="s">
        <v>526</v>
      </c>
      <c r="F13863" t="s">
        <v>410</v>
      </c>
      <c r="G13863">
        <v>600</v>
      </c>
      <c r="I13863">
        <v>589</v>
      </c>
    </row>
    <row r="13864" spans="1:17" x14ac:dyDescent="0.2">
      <c r="A13864" s="121">
        <v>43830</v>
      </c>
      <c r="B13864" t="s">
        <v>406</v>
      </c>
      <c r="C13864" t="s">
        <v>510</v>
      </c>
      <c r="D13864" t="s">
        <v>527</v>
      </c>
      <c r="E13864" t="s">
        <v>528</v>
      </c>
      <c r="F13864" t="s">
        <v>410</v>
      </c>
      <c r="G13864">
        <v>168</v>
      </c>
      <c r="I13864">
        <v>167</v>
      </c>
    </row>
    <row r="13865" spans="1:17" x14ac:dyDescent="0.2">
      <c r="A13865" s="121">
        <v>43830</v>
      </c>
      <c r="B13865" t="s">
        <v>406</v>
      </c>
      <c r="C13865" t="s">
        <v>510</v>
      </c>
      <c r="D13865" t="s">
        <v>529</v>
      </c>
      <c r="E13865" t="s">
        <v>530</v>
      </c>
      <c r="F13865" t="s">
        <v>413</v>
      </c>
      <c r="G13865">
        <v>725</v>
      </c>
      <c r="H13865">
        <v>725</v>
      </c>
      <c r="I13865">
        <v>691</v>
      </c>
      <c r="J13865">
        <v>691</v>
      </c>
      <c r="K13865">
        <v>157</v>
      </c>
      <c r="L13865">
        <v>3</v>
      </c>
      <c r="M13865">
        <v>561</v>
      </c>
      <c r="N13865">
        <v>4</v>
      </c>
      <c r="O13865">
        <v>0</v>
      </c>
      <c r="P13865">
        <v>2</v>
      </c>
      <c r="Q13865">
        <v>0</v>
      </c>
    </row>
    <row r="13866" spans="1:17" x14ac:dyDescent="0.2">
      <c r="A13866" s="121">
        <v>43830</v>
      </c>
      <c r="B13866" t="s">
        <v>406</v>
      </c>
      <c r="C13866" t="s">
        <v>510</v>
      </c>
      <c r="D13866" t="s">
        <v>531</v>
      </c>
      <c r="E13866" t="s">
        <v>532</v>
      </c>
      <c r="F13866" t="s">
        <v>410</v>
      </c>
      <c r="G13866">
        <v>51</v>
      </c>
      <c r="I13866">
        <v>51</v>
      </c>
    </row>
    <row r="13867" spans="1:17" x14ac:dyDescent="0.2">
      <c r="A13867" s="121">
        <v>43830</v>
      </c>
      <c r="B13867" t="s">
        <v>406</v>
      </c>
      <c r="C13867" t="s">
        <v>510</v>
      </c>
      <c r="D13867" t="s">
        <v>533</v>
      </c>
      <c r="E13867" t="s">
        <v>534</v>
      </c>
      <c r="F13867" t="s">
        <v>413</v>
      </c>
      <c r="G13867">
        <v>3135</v>
      </c>
      <c r="H13867">
        <v>3135</v>
      </c>
      <c r="I13867">
        <v>2669</v>
      </c>
      <c r="J13867">
        <v>2669</v>
      </c>
      <c r="K13867">
        <v>780</v>
      </c>
      <c r="L13867">
        <v>4</v>
      </c>
      <c r="M13867">
        <v>2200</v>
      </c>
      <c r="N13867">
        <v>19</v>
      </c>
      <c r="O13867">
        <v>132</v>
      </c>
      <c r="P13867">
        <v>49</v>
      </c>
      <c r="Q13867">
        <v>12</v>
      </c>
    </row>
    <row r="13868" spans="1:17" x14ac:dyDescent="0.2">
      <c r="A13868" s="121">
        <v>43830</v>
      </c>
      <c r="B13868" t="s">
        <v>406</v>
      </c>
      <c r="C13868" t="s">
        <v>510</v>
      </c>
      <c r="D13868" t="s">
        <v>535</v>
      </c>
      <c r="E13868" t="s">
        <v>536</v>
      </c>
      <c r="F13868" t="s">
        <v>410</v>
      </c>
      <c r="G13868">
        <v>340</v>
      </c>
      <c r="I13868">
        <v>340</v>
      </c>
    </row>
    <row r="13869" spans="1:17" x14ac:dyDescent="0.2">
      <c r="A13869" s="121">
        <v>43830</v>
      </c>
      <c r="B13869" t="s">
        <v>406</v>
      </c>
      <c r="C13869" t="s">
        <v>510</v>
      </c>
      <c r="D13869" t="s">
        <v>539</v>
      </c>
      <c r="E13869" t="s">
        <v>540</v>
      </c>
      <c r="F13869" t="s">
        <v>413</v>
      </c>
      <c r="G13869">
        <v>695</v>
      </c>
      <c r="H13869">
        <v>695</v>
      </c>
      <c r="I13869">
        <v>635</v>
      </c>
      <c r="J13869">
        <v>635</v>
      </c>
      <c r="K13869">
        <v>164</v>
      </c>
      <c r="L13869">
        <v>0</v>
      </c>
      <c r="M13869">
        <v>511</v>
      </c>
      <c r="N13869">
        <v>9</v>
      </c>
      <c r="O13869">
        <v>11</v>
      </c>
      <c r="P13869">
        <v>3</v>
      </c>
      <c r="Q13869">
        <v>0</v>
      </c>
    </row>
    <row r="13870" spans="1:17" x14ac:dyDescent="0.2">
      <c r="A13870" s="121">
        <v>43830</v>
      </c>
      <c r="B13870" t="s">
        <v>406</v>
      </c>
      <c r="C13870" t="s">
        <v>510</v>
      </c>
      <c r="D13870" t="s">
        <v>541</v>
      </c>
      <c r="E13870" t="s">
        <v>542</v>
      </c>
      <c r="F13870" t="s">
        <v>410</v>
      </c>
      <c r="G13870">
        <v>355</v>
      </c>
      <c r="I13870">
        <v>354</v>
      </c>
    </row>
    <row r="13871" spans="1:17" x14ac:dyDescent="0.2">
      <c r="A13871" s="121">
        <v>43830</v>
      </c>
      <c r="B13871" t="s">
        <v>406</v>
      </c>
      <c r="C13871" t="s">
        <v>510</v>
      </c>
      <c r="D13871" t="s">
        <v>543</v>
      </c>
      <c r="E13871" t="s">
        <v>544</v>
      </c>
      <c r="F13871" t="s">
        <v>410</v>
      </c>
      <c r="G13871">
        <v>176</v>
      </c>
      <c r="I13871">
        <v>176</v>
      </c>
    </row>
    <row r="13872" spans="1:17" x14ac:dyDescent="0.2">
      <c r="A13872" s="121">
        <v>43830</v>
      </c>
      <c r="B13872" t="s">
        <v>406</v>
      </c>
      <c r="C13872" t="s">
        <v>510</v>
      </c>
      <c r="D13872" t="s">
        <v>547</v>
      </c>
      <c r="E13872" t="s">
        <v>548</v>
      </c>
      <c r="F13872" t="s">
        <v>410</v>
      </c>
      <c r="G13872">
        <v>150</v>
      </c>
      <c r="I13872">
        <v>150</v>
      </c>
    </row>
    <row r="13873" spans="1:17" x14ac:dyDescent="0.2">
      <c r="A13873" s="121">
        <v>43830</v>
      </c>
      <c r="B13873" t="s">
        <v>406</v>
      </c>
      <c r="C13873" t="s">
        <v>510</v>
      </c>
      <c r="D13873" t="s">
        <v>632</v>
      </c>
      <c r="E13873" t="s">
        <v>633</v>
      </c>
      <c r="F13873" t="s">
        <v>410</v>
      </c>
      <c r="G13873">
        <v>42</v>
      </c>
      <c r="I13873">
        <v>42</v>
      </c>
    </row>
    <row r="13874" spans="1:17" x14ac:dyDescent="0.2">
      <c r="A13874" s="121">
        <v>43830</v>
      </c>
      <c r="B13874" t="s">
        <v>406</v>
      </c>
      <c r="C13874" t="s">
        <v>510</v>
      </c>
      <c r="D13874" t="s">
        <v>616</v>
      </c>
      <c r="E13874" t="s">
        <v>617</v>
      </c>
      <c r="F13874" t="s">
        <v>410</v>
      </c>
      <c r="G13874">
        <v>370</v>
      </c>
      <c r="I13874">
        <v>364</v>
      </c>
    </row>
    <row r="13875" spans="1:17" x14ac:dyDescent="0.2">
      <c r="A13875" s="121">
        <v>43830</v>
      </c>
      <c r="B13875" t="s">
        <v>406</v>
      </c>
      <c r="C13875" t="s">
        <v>510</v>
      </c>
      <c r="D13875" t="s">
        <v>549</v>
      </c>
      <c r="E13875" t="s">
        <v>550</v>
      </c>
      <c r="F13875" t="s">
        <v>410</v>
      </c>
      <c r="G13875">
        <v>104</v>
      </c>
      <c r="I13875">
        <v>104</v>
      </c>
    </row>
    <row r="13876" spans="1:17" x14ac:dyDescent="0.2">
      <c r="A13876" s="121">
        <v>43830</v>
      </c>
      <c r="B13876" t="s">
        <v>406</v>
      </c>
      <c r="C13876" t="s">
        <v>510</v>
      </c>
      <c r="D13876" t="s">
        <v>625</v>
      </c>
      <c r="E13876" t="s">
        <v>626</v>
      </c>
      <c r="F13876" t="s">
        <v>410</v>
      </c>
      <c r="G13876">
        <v>63</v>
      </c>
      <c r="I13876">
        <v>60</v>
      </c>
    </row>
    <row r="13877" spans="1:17" x14ac:dyDescent="0.2">
      <c r="A13877" s="121">
        <v>43830</v>
      </c>
      <c r="B13877" t="s">
        <v>406</v>
      </c>
      <c r="C13877" t="s">
        <v>551</v>
      </c>
      <c r="D13877" t="s">
        <v>552</v>
      </c>
      <c r="E13877" t="s">
        <v>553</v>
      </c>
      <c r="F13877" t="s">
        <v>413</v>
      </c>
      <c r="G13877">
        <v>5890</v>
      </c>
      <c r="H13877">
        <v>5890</v>
      </c>
      <c r="I13877">
        <v>4750</v>
      </c>
      <c r="J13877">
        <v>4750</v>
      </c>
      <c r="K13877">
        <v>2176</v>
      </c>
      <c r="L13877">
        <v>9</v>
      </c>
      <c r="M13877">
        <v>3531</v>
      </c>
      <c r="N13877">
        <v>134</v>
      </c>
      <c r="O13877">
        <v>40</v>
      </c>
      <c r="P13877">
        <v>107</v>
      </c>
      <c r="Q13877">
        <v>17</v>
      </c>
    </row>
    <row r="13878" spans="1:17" x14ac:dyDescent="0.2">
      <c r="A13878" s="121">
        <v>43830</v>
      </c>
      <c r="B13878" t="s">
        <v>406</v>
      </c>
      <c r="C13878" t="s">
        <v>551</v>
      </c>
      <c r="D13878" t="s">
        <v>554</v>
      </c>
      <c r="E13878" t="s">
        <v>555</v>
      </c>
      <c r="F13878" t="s">
        <v>410</v>
      </c>
      <c r="G13878">
        <v>65</v>
      </c>
      <c r="H13878">
        <v>65</v>
      </c>
      <c r="I13878">
        <v>65</v>
      </c>
      <c r="J13878">
        <v>65</v>
      </c>
      <c r="K13878">
        <v>4</v>
      </c>
      <c r="L13878">
        <v>0</v>
      </c>
      <c r="M13878">
        <v>60</v>
      </c>
      <c r="N13878">
        <v>1</v>
      </c>
      <c r="O13878">
        <v>0</v>
      </c>
      <c r="P13878">
        <v>0</v>
      </c>
      <c r="Q13878">
        <v>0</v>
      </c>
    </row>
    <row r="13879" spans="1:17" x14ac:dyDescent="0.2">
      <c r="A13879" s="121">
        <v>43830</v>
      </c>
      <c r="B13879" t="s">
        <v>406</v>
      </c>
      <c r="C13879" t="s">
        <v>551</v>
      </c>
      <c r="D13879" t="s">
        <v>556</v>
      </c>
      <c r="E13879" t="s">
        <v>557</v>
      </c>
      <c r="F13879" t="s">
        <v>410</v>
      </c>
      <c r="G13879">
        <v>43</v>
      </c>
      <c r="H13879">
        <v>43</v>
      </c>
      <c r="I13879">
        <v>43</v>
      </c>
      <c r="J13879">
        <v>43</v>
      </c>
      <c r="K13879">
        <v>3</v>
      </c>
      <c r="L13879">
        <v>0</v>
      </c>
      <c r="M13879">
        <v>37</v>
      </c>
      <c r="N13879">
        <v>3</v>
      </c>
      <c r="O13879">
        <v>0</v>
      </c>
      <c r="P13879">
        <v>0</v>
      </c>
      <c r="Q13879">
        <v>0</v>
      </c>
    </row>
    <row r="13880" spans="1:17" x14ac:dyDescent="0.2">
      <c r="A13880" s="121">
        <v>43830</v>
      </c>
      <c r="B13880" t="s">
        <v>406</v>
      </c>
      <c r="C13880" t="s">
        <v>551</v>
      </c>
      <c r="D13880" t="s">
        <v>558</v>
      </c>
      <c r="E13880" t="s">
        <v>559</v>
      </c>
      <c r="F13880" t="s">
        <v>413</v>
      </c>
      <c r="G13880">
        <v>5320</v>
      </c>
      <c r="H13880">
        <v>5320</v>
      </c>
      <c r="I13880">
        <v>3838</v>
      </c>
      <c r="J13880">
        <v>3838</v>
      </c>
      <c r="K13880">
        <v>1512</v>
      </c>
      <c r="L13880">
        <v>10</v>
      </c>
      <c r="M13880">
        <v>3709</v>
      </c>
      <c r="N13880">
        <v>85</v>
      </c>
      <c r="O13880">
        <v>4</v>
      </c>
      <c r="P13880">
        <v>337</v>
      </c>
      <c r="Q13880">
        <v>125</v>
      </c>
    </row>
    <row r="13881" spans="1:17" x14ac:dyDescent="0.2">
      <c r="A13881" s="121">
        <v>43830</v>
      </c>
      <c r="B13881" t="s">
        <v>406</v>
      </c>
      <c r="C13881" t="s">
        <v>551</v>
      </c>
      <c r="D13881" t="s">
        <v>560</v>
      </c>
      <c r="E13881" t="s">
        <v>561</v>
      </c>
      <c r="F13881" t="s">
        <v>413</v>
      </c>
      <c r="G13881">
        <v>6307</v>
      </c>
      <c r="H13881">
        <v>6307</v>
      </c>
      <c r="I13881">
        <v>4918</v>
      </c>
      <c r="J13881">
        <v>4918</v>
      </c>
      <c r="K13881">
        <v>1958</v>
      </c>
      <c r="L13881">
        <v>7</v>
      </c>
      <c r="M13881">
        <v>4217</v>
      </c>
      <c r="N13881">
        <v>63</v>
      </c>
      <c r="O13881">
        <v>62</v>
      </c>
      <c r="P13881">
        <v>216</v>
      </c>
      <c r="Q13881">
        <v>44</v>
      </c>
    </row>
    <row r="13882" spans="1:17" x14ac:dyDescent="0.2">
      <c r="A13882" s="121">
        <v>43830</v>
      </c>
      <c r="B13882" t="s">
        <v>406</v>
      </c>
      <c r="C13882" t="s">
        <v>562</v>
      </c>
      <c r="D13882" t="s">
        <v>605</v>
      </c>
      <c r="E13882" t="s">
        <v>606</v>
      </c>
      <c r="F13882" t="s">
        <v>410</v>
      </c>
      <c r="G13882">
        <v>146</v>
      </c>
      <c r="I13882">
        <v>146</v>
      </c>
    </row>
    <row r="13883" spans="1:17" x14ac:dyDescent="0.2">
      <c r="A13883" s="121">
        <v>43830</v>
      </c>
      <c r="B13883" t="s">
        <v>406</v>
      </c>
      <c r="C13883" t="s">
        <v>562</v>
      </c>
      <c r="D13883" t="s">
        <v>563</v>
      </c>
      <c r="E13883" t="s">
        <v>564</v>
      </c>
      <c r="F13883" t="s">
        <v>410</v>
      </c>
      <c r="G13883">
        <v>3772</v>
      </c>
      <c r="H13883">
        <v>3772</v>
      </c>
      <c r="I13883">
        <v>2878</v>
      </c>
      <c r="J13883">
        <v>2878</v>
      </c>
      <c r="K13883">
        <v>1216</v>
      </c>
      <c r="L13883">
        <v>0</v>
      </c>
      <c r="M13883">
        <v>2555</v>
      </c>
      <c r="N13883">
        <v>1</v>
      </c>
      <c r="O13883">
        <v>0</v>
      </c>
      <c r="P13883">
        <v>217</v>
      </c>
      <c r="Q13883">
        <v>72</v>
      </c>
    </row>
    <row r="13884" spans="1:17" x14ac:dyDescent="0.2">
      <c r="A13884" s="121">
        <v>43830</v>
      </c>
      <c r="B13884" t="s">
        <v>406</v>
      </c>
      <c r="C13884" t="s">
        <v>562</v>
      </c>
      <c r="D13884" t="s">
        <v>565</v>
      </c>
      <c r="E13884" t="s">
        <v>566</v>
      </c>
      <c r="F13884" t="s">
        <v>413</v>
      </c>
      <c r="G13884">
        <v>4735</v>
      </c>
      <c r="H13884">
        <v>4735</v>
      </c>
      <c r="I13884">
        <v>3930</v>
      </c>
      <c r="J13884">
        <v>3930</v>
      </c>
      <c r="K13884">
        <v>1025</v>
      </c>
      <c r="L13884">
        <v>4</v>
      </c>
      <c r="M13884">
        <v>3641</v>
      </c>
      <c r="N13884">
        <v>62</v>
      </c>
      <c r="O13884">
        <v>3</v>
      </c>
      <c r="P13884">
        <v>124</v>
      </c>
      <c r="Q13884">
        <v>25</v>
      </c>
    </row>
    <row r="13885" spans="1:17" x14ac:dyDescent="0.2">
      <c r="A13885" s="121">
        <v>43830</v>
      </c>
      <c r="B13885" t="s">
        <v>406</v>
      </c>
      <c r="C13885" t="s">
        <v>562</v>
      </c>
      <c r="D13885" t="s">
        <v>567</v>
      </c>
      <c r="E13885" t="s">
        <v>568</v>
      </c>
      <c r="F13885" t="s">
        <v>413</v>
      </c>
      <c r="G13885">
        <v>10392</v>
      </c>
      <c r="H13885">
        <v>10392</v>
      </c>
      <c r="I13885">
        <v>7673</v>
      </c>
      <c r="J13885">
        <v>7673</v>
      </c>
      <c r="K13885">
        <v>3604</v>
      </c>
      <c r="L13885">
        <v>10</v>
      </c>
      <c r="M13885">
        <v>6473</v>
      </c>
      <c r="N13885">
        <v>263</v>
      </c>
      <c r="O13885">
        <v>42</v>
      </c>
      <c r="P13885">
        <v>549</v>
      </c>
      <c r="Q13885">
        <v>128</v>
      </c>
    </row>
    <row r="13886" spans="1:17" x14ac:dyDescent="0.2">
      <c r="A13886" s="121">
        <v>43830</v>
      </c>
      <c r="B13886" t="s">
        <v>406</v>
      </c>
      <c r="C13886" t="s">
        <v>562</v>
      </c>
      <c r="D13886" t="s">
        <v>569</v>
      </c>
      <c r="E13886" t="s">
        <v>570</v>
      </c>
      <c r="F13886" t="s">
        <v>413</v>
      </c>
      <c r="G13886">
        <v>4679</v>
      </c>
      <c r="H13886">
        <v>4679</v>
      </c>
      <c r="I13886">
        <v>4439</v>
      </c>
      <c r="J13886">
        <v>4439</v>
      </c>
      <c r="K13886">
        <v>645</v>
      </c>
      <c r="L13886">
        <v>0</v>
      </c>
      <c r="M13886">
        <v>3822</v>
      </c>
      <c r="N13886">
        <v>200</v>
      </c>
      <c r="O13886">
        <v>12</v>
      </c>
      <c r="P13886">
        <v>10</v>
      </c>
      <c r="Q13886">
        <v>2</v>
      </c>
    </row>
    <row r="13887" spans="1:17" x14ac:dyDescent="0.2">
      <c r="A13887" s="121">
        <v>43830</v>
      </c>
      <c r="B13887" t="s">
        <v>406</v>
      </c>
      <c r="C13887" t="s">
        <v>571</v>
      </c>
      <c r="D13887" t="s">
        <v>572</v>
      </c>
      <c r="E13887" t="s">
        <v>627</v>
      </c>
      <c r="F13887" t="s">
        <v>413</v>
      </c>
      <c r="G13887">
        <v>600</v>
      </c>
      <c r="H13887">
        <v>600</v>
      </c>
      <c r="I13887">
        <v>585</v>
      </c>
      <c r="J13887">
        <v>585</v>
      </c>
      <c r="K13887">
        <v>161</v>
      </c>
      <c r="L13887">
        <v>0</v>
      </c>
      <c r="M13887">
        <v>422</v>
      </c>
      <c r="N13887">
        <v>10</v>
      </c>
      <c r="O13887">
        <v>7</v>
      </c>
      <c r="P13887">
        <v>1</v>
      </c>
      <c r="Q13887">
        <v>0</v>
      </c>
    </row>
    <row r="13888" spans="1:17" x14ac:dyDescent="0.2">
      <c r="A13888" s="121">
        <v>43830</v>
      </c>
      <c r="B13888" t="s">
        <v>406</v>
      </c>
      <c r="C13888" t="s">
        <v>574</v>
      </c>
      <c r="D13888" t="s">
        <v>575</v>
      </c>
      <c r="E13888" t="s">
        <v>576</v>
      </c>
      <c r="F13888" t="s">
        <v>413</v>
      </c>
      <c r="G13888">
        <v>611</v>
      </c>
      <c r="H13888">
        <v>611</v>
      </c>
      <c r="I13888">
        <v>578</v>
      </c>
      <c r="J13888">
        <v>578</v>
      </c>
      <c r="K13888">
        <v>144</v>
      </c>
      <c r="L13888">
        <v>0</v>
      </c>
      <c r="M13888">
        <v>450</v>
      </c>
      <c r="N13888">
        <v>7</v>
      </c>
      <c r="O13888">
        <v>10</v>
      </c>
      <c r="P13888">
        <v>2</v>
      </c>
      <c r="Q13888">
        <v>0</v>
      </c>
    </row>
    <row r="13889" spans="1:17" x14ac:dyDescent="0.2">
      <c r="A13889" s="121">
        <v>43830</v>
      </c>
      <c r="B13889" t="s">
        <v>406</v>
      </c>
      <c r="C13889" t="s">
        <v>577</v>
      </c>
      <c r="D13889" t="s">
        <v>578</v>
      </c>
      <c r="E13889" t="s">
        <v>579</v>
      </c>
      <c r="F13889" t="s">
        <v>413</v>
      </c>
      <c r="G13889">
        <v>4324</v>
      </c>
      <c r="H13889">
        <v>4324</v>
      </c>
      <c r="I13889">
        <v>4127</v>
      </c>
      <c r="J13889">
        <v>4127</v>
      </c>
      <c r="K13889">
        <v>1503</v>
      </c>
      <c r="L13889">
        <v>7</v>
      </c>
      <c r="M13889">
        <v>2558</v>
      </c>
      <c r="N13889">
        <v>198</v>
      </c>
      <c r="O13889">
        <v>58</v>
      </c>
      <c r="P13889">
        <v>0</v>
      </c>
      <c r="Q13889">
        <v>0</v>
      </c>
    </row>
    <row r="13890" spans="1:17" x14ac:dyDescent="0.2">
      <c r="A13890" s="121">
        <v>43830</v>
      </c>
      <c r="B13890" t="s">
        <v>406</v>
      </c>
      <c r="C13890" t="s">
        <v>577</v>
      </c>
      <c r="D13890" t="s">
        <v>580</v>
      </c>
      <c r="E13890" t="s">
        <v>581</v>
      </c>
      <c r="F13890" t="s">
        <v>413</v>
      </c>
      <c r="G13890">
        <v>2012</v>
      </c>
      <c r="H13890">
        <v>2012</v>
      </c>
      <c r="I13890">
        <v>1922</v>
      </c>
      <c r="J13890">
        <v>1922</v>
      </c>
      <c r="K13890">
        <v>406</v>
      </c>
      <c r="L13890">
        <v>2</v>
      </c>
      <c r="M13890">
        <v>1291</v>
      </c>
      <c r="N13890">
        <v>297</v>
      </c>
      <c r="O13890">
        <v>16</v>
      </c>
      <c r="P13890">
        <v>4</v>
      </c>
      <c r="Q13890">
        <v>1</v>
      </c>
    </row>
    <row r="13891" spans="1:17" x14ac:dyDescent="0.2">
      <c r="A13891" s="121">
        <v>43830</v>
      </c>
      <c r="B13891" t="s">
        <v>406</v>
      </c>
      <c r="C13891" t="s">
        <v>577</v>
      </c>
      <c r="D13891" t="s">
        <v>584</v>
      </c>
      <c r="E13891" t="s">
        <v>585</v>
      </c>
      <c r="F13891" t="s">
        <v>410</v>
      </c>
      <c r="G13891">
        <v>314</v>
      </c>
      <c r="H13891">
        <v>314</v>
      </c>
      <c r="I13891">
        <v>314</v>
      </c>
      <c r="J13891">
        <v>314</v>
      </c>
      <c r="K13891">
        <v>0</v>
      </c>
      <c r="L13891">
        <v>0</v>
      </c>
      <c r="M13891">
        <v>299</v>
      </c>
      <c r="N13891">
        <v>14</v>
      </c>
      <c r="O13891">
        <v>1</v>
      </c>
      <c r="P13891">
        <v>0</v>
      </c>
      <c r="Q13891">
        <v>0</v>
      </c>
    </row>
    <row r="13892" spans="1:17" x14ac:dyDescent="0.2">
      <c r="A13892" s="121">
        <v>43830</v>
      </c>
      <c r="B13892" t="s">
        <v>406</v>
      </c>
      <c r="C13892" t="s">
        <v>577</v>
      </c>
      <c r="D13892" t="s">
        <v>586</v>
      </c>
      <c r="E13892" t="s">
        <v>587</v>
      </c>
      <c r="F13892" t="s">
        <v>410</v>
      </c>
      <c r="G13892">
        <v>1230</v>
      </c>
      <c r="H13892">
        <v>1230</v>
      </c>
      <c r="I13892">
        <v>1229</v>
      </c>
      <c r="J13892">
        <v>1229</v>
      </c>
      <c r="K13892">
        <v>0</v>
      </c>
      <c r="L13892">
        <v>0</v>
      </c>
      <c r="M13892">
        <v>1130</v>
      </c>
      <c r="N13892">
        <v>97</v>
      </c>
      <c r="O13892">
        <v>3</v>
      </c>
      <c r="P13892">
        <v>0</v>
      </c>
      <c r="Q13892">
        <v>0</v>
      </c>
    </row>
    <row r="13893" spans="1:17" x14ac:dyDescent="0.2">
      <c r="A13893" s="121">
        <v>43830</v>
      </c>
      <c r="B13893" t="s">
        <v>406</v>
      </c>
      <c r="C13893" t="s">
        <v>577</v>
      </c>
      <c r="D13893" t="s">
        <v>613</v>
      </c>
      <c r="E13893" t="s">
        <v>614</v>
      </c>
      <c r="F13893" t="s">
        <v>410</v>
      </c>
      <c r="G13893">
        <v>157</v>
      </c>
      <c r="H13893">
        <v>157</v>
      </c>
      <c r="I13893">
        <v>156</v>
      </c>
      <c r="J13893">
        <v>156</v>
      </c>
      <c r="K13893">
        <v>0</v>
      </c>
      <c r="L13893">
        <v>0</v>
      </c>
      <c r="M13893">
        <v>147</v>
      </c>
      <c r="N13893">
        <v>10</v>
      </c>
      <c r="O13893">
        <v>0</v>
      </c>
      <c r="P13893">
        <v>0</v>
      </c>
      <c r="Q13893">
        <v>0</v>
      </c>
    </row>
    <row r="13894" spans="1:17" x14ac:dyDescent="0.2">
      <c r="A13894" s="121">
        <v>43830</v>
      </c>
      <c r="B13894" t="s">
        <v>406</v>
      </c>
      <c r="C13894" t="s">
        <v>577</v>
      </c>
      <c r="D13894" t="s">
        <v>590</v>
      </c>
      <c r="E13894" t="s">
        <v>591</v>
      </c>
      <c r="F13894" t="s">
        <v>410</v>
      </c>
      <c r="G13894">
        <v>436</v>
      </c>
      <c r="H13894">
        <v>436</v>
      </c>
      <c r="I13894">
        <v>436</v>
      </c>
      <c r="J13894">
        <v>436</v>
      </c>
      <c r="K13894">
        <v>0</v>
      </c>
      <c r="L13894">
        <v>0</v>
      </c>
      <c r="M13894">
        <v>417</v>
      </c>
      <c r="N13894">
        <v>19</v>
      </c>
      <c r="O13894">
        <v>0</v>
      </c>
      <c r="P13894">
        <v>0</v>
      </c>
      <c r="Q13894">
        <v>0</v>
      </c>
    </row>
    <row r="13895" spans="1:17" x14ac:dyDescent="0.2">
      <c r="A13895" s="121">
        <v>43830</v>
      </c>
      <c r="B13895" t="s">
        <v>406</v>
      </c>
      <c r="C13895" t="s">
        <v>577</v>
      </c>
      <c r="D13895" t="s">
        <v>607</v>
      </c>
      <c r="E13895" t="s">
        <v>608</v>
      </c>
      <c r="F13895" t="s">
        <v>410</v>
      </c>
      <c r="G13895">
        <v>117</v>
      </c>
      <c r="H13895">
        <v>117</v>
      </c>
      <c r="I13895">
        <v>117</v>
      </c>
      <c r="J13895">
        <v>117</v>
      </c>
      <c r="K13895">
        <v>0</v>
      </c>
      <c r="L13895">
        <v>0</v>
      </c>
      <c r="M13895">
        <v>102</v>
      </c>
      <c r="N13895">
        <v>14</v>
      </c>
      <c r="O13895">
        <v>1</v>
      </c>
      <c r="P13895">
        <v>0</v>
      </c>
      <c r="Q13895">
        <v>0</v>
      </c>
    </row>
    <row r="13896" spans="1:17" x14ac:dyDescent="0.2">
      <c r="A13896" s="121">
        <v>43830</v>
      </c>
      <c r="B13896" t="s">
        <v>406</v>
      </c>
      <c r="C13896" t="s">
        <v>577</v>
      </c>
      <c r="D13896" t="s">
        <v>592</v>
      </c>
      <c r="E13896" t="s">
        <v>593</v>
      </c>
      <c r="F13896" t="s">
        <v>410</v>
      </c>
      <c r="G13896">
        <v>155</v>
      </c>
      <c r="H13896">
        <v>155</v>
      </c>
      <c r="I13896">
        <v>155</v>
      </c>
      <c r="J13896">
        <v>155</v>
      </c>
      <c r="K13896">
        <v>0</v>
      </c>
      <c r="L13896">
        <v>0</v>
      </c>
      <c r="M13896">
        <v>125</v>
      </c>
      <c r="N13896">
        <v>30</v>
      </c>
      <c r="O13896">
        <v>0</v>
      </c>
      <c r="P13896">
        <v>0</v>
      </c>
      <c r="Q13896">
        <v>0</v>
      </c>
    </row>
    <row r="13897" spans="1:17" x14ac:dyDescent="0.2">
      <c r="A13897" s="121">
        <v>43830</v>
      </c>
      <c r="B13897" t="s">
        <v>406</v>
      </c>
      <c r="C13897" t="s">
        <v>594</v>
      </c>
      <c r="D13897" t="s">
        <v>595</v>
      </c>
      <c r="E13897" t="s">
        <v>596</v>
      </c>
      <c r="F13897" t="s">
        <v>410</v>
      </c>
      <c r="G13897">
        <v>72</v>
      </c>
      <c r="I13897">
        <v>72</v>
      </c>
    </row>
    <row r="13898" spans="1:17" x14ac:dyDescent="0.2">
      <c r="A13898" s="121">
        <v>43830</v>
      </c>
      <c r="B13898" t="s">
        <v>406</v>
      </c>
      <c r="C13898" t="s">
        <v>594</v>
      </c>
      <c r="D13898" t="s">
        <v>597</v>
      </c>
      <c r="E13898" t="s">
        <v>598</v>
      </c>
      <c r="F13898" t="s">
        <v>413</v>
      </c>
      <c r="G13898">
        <v>583</v>
      </c>
      <c r="H13898">
        <v>583</v>
      </c>
      <c r="I13898">
        <v>556</v>
      </c>
      <c r="J13898">
        <v>556</v>
      </c>
      <c r="K13898">
        <v>184</v>
      </c>
      <c r="L13898">
        <v>0</v>
      </c>
      <c r="M13898">
        <v>375</v>
      </c>
      <c r="N13898">
        <v>16</v>
      </c>
      <c r="O13898">
        <v>8</v>
      </c>
      <c r="P13898">
        <v>1</v>
      </c>
      <c r="Q13898">
        <v>0</v>
      </c>
    </row>
    <row r="13899" spans="1:17" x14ac:dyDescent="0.2">
      <c r="A13899" s="121">
        <v>43830</v>
      </c>
      <c r="B13899" t="s">
        <v>406</v>
      </c>
      <c r="C13899" t="s">
        <v>594</v>
      </c>
      <c r="D13899" t="s">
        <v>599</v>
      </c>
      <c r="E13899" t="s">
        <v>600</v>
      </c>
      <c r="F13899" t="s">
        <v>410</v>
      </c>
      <c r="G13899">
        <v>107</v>
      </c>
      <c r="H13899">
        <v>107</v>
      </c>
      <c r="I13899">
        <v>106</v>
      </c>
      <c r="J13899">
        <v>106</v>
      </c>
      <c r="K13899">
        <v>6</v>
      </c>
      <c r="L13899">
        <v>0</v>
      </c>
      <c r="M13899">
        <v>99</v>
      </c>
      <c r="N13899">
        <v>2</v>
      </c>
      <c r="O13899">
        <v>0</v>
      </c>
      <c r="P13899">
        <v>0</v>
      </c>
      <c r="Q13899">
        <v>0</v>
      </c>
    </row>
    <row r="13900" spans="1:17" x14ac:dyDescent="0.2">
      <c r="A13900" s="121">
        <v>43861</v>
      </c>
      <c r="B13900" t="s">
        <v>406</v>
      </c>
      <c r="C13900" t="s">
        <v>407</v>
      </c>
      <c r="D13900" t="s">
        <v>408</v>
      </c>
      <c r="E13900" t="s">
        <v>409</v>
      </c>
      <c r="F13900" t="s">
        <v>410</v>
      </c>
      <c r="G13900">
        <v>159</v>
      </c>
      <c r="I13900">
        <v>159</v>
      </c>
    </row>
    <row r="13901" spans="1:17" x14ac:dyDescent="0.2">
      <c r="A13901" s="121">
        <v>43861</v>
      </c>
      <c r="B13901" t="s">
        <v>406</v>
      </c>
      <c r="C13901" t="s">
        <v>407</v>
      </c>
      <c r="D13901" t="s">
        <v>601</v>
      </c>
      <c r="E13901" t="s">
        <v>602</v>
      </c>
      <c r="F13901" t="s">
        <v>410</v>
      </c>
      <c r="G13901">
        <v>68</v>
      </c>
      <c r="I13901">
        <v>68</v>
      </c>
    </row>
    <row r="13902" spans="1:17" x14ac:dyDescent="0.2">
      <c r="A13902" s="121">
        <v>43861</v>
      </c>
      <c r="B13902" t="s">
        <v>406</v>
      </c>
      <c r="C13902" t="s">
        <v>407</v>
      </c>
      <c r="D13902" t="s">
        <v>411</v>
      </c>
      <c r="E13902" t="s">
        <v>412</v>
      </c>
      <c r="F13902" t="s">
        <v>413</v>
      </c>
      <c r="G13902">
        <v>5783</v>
      </c>
      <c r="H13902">
        <v>5783</v>
      </c>
      <c r="I13902">
        <v>4888</v>
      </c>
      <c r="J13902">
        <v>4888</v>
      </c>
      <c r="K13902">
        <v>1872</v>
      </c>
      <c r="L13902">
        <v>12</v>
      </c>
      <c r="M13902">
        <v>3573</v>
      </c>
      <c r="N13902">
        <v>39</v>
      </c>
      <c r="O13902">
        <v>287</v>
      </c>
      <c r="P13902">
        <v>459</v>
      </c>
      <c r="Q13902">
        <v>267</v>
      </c>
    </row>
    <row r="13903" spans="1:17" x14ac:dyDescent="0.2">
      <c r="A13903" s="121">
        <v>43861</v>
      </c>
      <c r="B13903" t="s">
        <v>406</v>
      </c>
      <c r="C13903" t="s">
        <v>407</v>
      </c>
      <c r="D13903" t="s">
        <v>416</v>
      </c>
      <c r="E13903" t="s">
        <v>417</v>
      </c>
      <c r="F13903" t="s">
        <v>413</v>
      </c>
      <c r="G13903">
        <v>3037</v>
      </c>
      <c r="H13903">
        <v>3037</v>
      </c>
      <c r="I13903">
        <v>1955</v>
      </c>
      <c r="J13903">
        <v>1955</v>
      </c>
      <c r="K13903">
        <v>847</v>
      </c>
      <c r="L13903">
        <v>6</v>
      </c>
      <c r="M13903">
        <v>2007</v>
      </c>
      <c r="N13903">
        <v>82</v>
      </c>
      <c r="O13903">
        <v>95</v>
      </c>
      <c r="P13903">
        <v>454</v>
      </c>
      <c r="Q13903">
        <v>249</v>
      </c>
    </row>
    <row r="13904" spans="1:17" x14ac:dyDescent="0.2">
      <c r="A13904" s="121">
        <v>43861</v>
      </c>
      <c r="B13904" t="s">
        <v>406</v>
      </c>
      <c r="C13904" t="s">
        <v>407</v>
      </c>
      <c r="D13904" t="s">
        <v>618</v>
      </c>
      <c r="E13904" t="s">
        <v>619</v>
      </c>
      <c r="F13904" t="s">
        <v>410</v>
      </c>
      <c r="G13904">
        <v>64</v>
      </c>
      <c r="I13904">
        <v>64</v>
      </c>
    </row>
    <row r="13905" spans="1:17" x14ac:dyDescent="0.2">
      <c r="A13905" s="121">
        <v>43861</v>
      </c>
      <c r="B13905" t="s">
        <v>406</v>
      </c>
      <c r="C13905" t="s">
        <v>418</v>
      </c>
      <c r="D13905" t="s">
        <v>419</v>
      </c>
      <c r="E13905" t="s">
        <v>420</v>
      </c>
      <c r="F13905" t="s">
        <v>410</v>
      </c>
      <c r="G13905">
        <v>16</v>
      </c>
      <c r="I13905">
        <v>16</v>
      </c>
    </row>
    <row r="13906" spans="1:17" x14ac:dyDescent="0.2">
      <c r="A13906" s="121">
        <v>43861</v>
      </c>
      <c r="B13906" t="s">
        <v>406</v>
      </c>
      <c r="C13906" t="s">
        <v>418</v>
      </c>
      <c r="D13906" t="s">
        <v>421</v>
      </c>
      <c r="E13906" t="s">
        <v>422</v>
      </c>
      <c r="F13906" t="s">
        <v>410</v>
      </c>
      <c r="G13906">
        <v>69</v>
      </c>
      <c r="I13906">
        <v>69</v>
      </c>
    </row>
    <row r="13907" spans="1:17" x14ac:dyDescent="0.2">
      <c r="A13907" s="121">
        <v>43861</v>
      </c>
      <c r="B13907" t="s">
        <v>406</v>
      </c>
      <c r="C13907" t="s">
        <v>418</v>
      </c>
      <c r="D13907" t="s">
        <v>423</v>
      </c>
      <c r="E13907" t="s">
        <v>424</v>
      </c>
      <c r="F13907" t="s">
        <v>410</v>
      </c>
      <c r="G13907">
        <v>7</v>
      </c>
      <c r="I13907">
        <v>7</v>
      </c>
    </row>
    <row r="13908" spans="1:17" x14ac:dyDescent="0.2">
      <c r="A13908" s="121">
        <v>43861</v>
      </c>
      <c r="B13908" t="s">
        <v>406</v>
      </c>
      <c r="C13908" t="s">
        <v>418</v>
      </c>
      <c r="D13908" t="s">
        <v>425</v>
      </c>
      <c r="E13908" t="s">
        <v>426</v>
      </c>
      <c r="F13908" t="s">
        <v>410</v>
      </c>
      <c r="G13908">
        <v>32</v>
      </c>
      <c r="I13908">
        <v>32</v>
      </c>
    </row>
    <row r="13909" spans="1:17" x14ac:dyDescent="0.2">
      <c r="A13909" s="121">
        <v>43861</v>
      </c>
      <c r="B13909" t="s">
        <v>406</v>
      </c>
      <c r="C13909" t="s">
        <v>418</v>
      </c>
      <c r="D13909" t="s">
        <v>427</v>
      </c>
      <c r="E13909" t="s">
        <v>428</v>
      </c>
      <c r="F13909" t="s">
        <v>413</v>
      </c>
      <c r="G13909">
        <v>2652</v>
      </c>
      <c r="H13909">
        <v>2652</v>
      </c>
      <c r="I13909">
        <v>2322</v>
      </c>
      <c r="J13909">
        <v>2322</v>
      </c>
      <c r="K13909">
        <v>888</v>
      </c>
      <c r="L13909">
        <v>3</v>
      </c>
      <c r="M13909">
        <v>1574</v>
      </c>
      <c r="N13909">
        <v>163</v>
      </c>
      <c r="O13909">
        <v>24</v>
      </c>
      <c r="P13909">
        <v>48</v>
      </c>
      <c r="Q13909">
        <v>26</v>
      </c>
    </row>
    <row r="13910" spans="1:17" x14ac:dyDescent="0.2">
      <c r="A13910" s="121">
        <v>43861</v>
      </c>
      <c r="B13910" t="s">
        <v>406</v>
      </c>
      <c r="C13910" t="s">
        <v>429</v>
      </c>
      <c r="D13910" t="s">
        <v>430</v>
      </c>
      <c r="E13910" t="s">
        <v>431</v>
      </c>
      <c r="F13910" t="s">
        <v>410</v>
      </c>
      <c r="G13910">
        <v>25</v>
      </c>
      <c r="I13910">
        <v>25</v>
      </c>
    </row>
    <row r="13911" spans="1:17" x14ac:dyDescent="0.2">
      <c r="A13911" s="121">
        <v>43861</v>
      </c>
      <c r="B13911" t="s">
        <v>406</v>
      </c>
      <c r="C13911" t="s">
        <v>429</v>
      </c>
      <c r="D13911" t="s">
        <v>432</v>
      </c>
      <c r="E13911" t="s">
        <v>433</v>
      </c>
      <c r="F13911" t="s">
        <v>410</v>
      </c>
      <c r="G13911">
        <v>24</v>
      </c>
      <c r="I13911">
        <v>24</v>
      </c>
    </row>
    <row r="13912" spans="1:17" x14ac:dyDescent="0.2">
      <c r="A13912" s="121">
        <v>43861</v>
      </c>
      <c r="B13912" t="s">
        <v>406</v>
      </c>
      <c r="C13912" t="s">
        <v>429</v>
      </c>
      <c r="D13912" t="s">
        <v>434</v>
      </c>
      <c r="E13912" t="s">
        <v>435</v>
      </c>
      <c r="F13912" t="s">
        <v>410</v>
      </c>
      <c r="G13912">
        <v>2</v>
      </c>
      <c r="I13912">
        <v>2</v>
      </c>
    </row>
    <row r="13913" spans="1:17" x14ac:dyDescent="0.2">
      <c r="A13913" s="121">
        <v>43861</v>
      </c>
      <c r="B13913" t="s">
        <v>406</v>
      </c>
      <c r="C13913" t="s">
        <v>429</v>
      </c>
      <c r="D13913" t="s">
        <v>436</v>
      </c>
      <c r="E13913" t="s">
        <v>437</v>
      </c>
      <c r="F13913" t="s">
        <v>410</v>
      </c>
      <c r="G13913">
        <v>10</v>
      </c>
      <c r="H13913">
        <v>10</v>
      </c>
      <c r="I13913">
        <v>10</v>
      </c>
      <c r="J13913">
        <v>10</v>
      </c>
      <c r="K13913">
        <v>0</v>
      </c>
      <c r="L13913">
        <v>0</v>
      </c>
      <c r="M13913">
        <v>10</v>
      </c>
      <c r="N13913">
        <v>0</v>
      </c>
      <c r="O13913">
        <v>0</v>
      </c>
      <c r="P13913">
        <v>0</v>
      </c>
      <c r="Q13913">
        <v>0</v>
      </c>
    </row>
    <row r="13914" spans="1:17" x14ac:dyDescent="0.2">
      <c r="A13914" s="121">
        <v>43861</v>
      </c>
      <c r="B13914" t="s">
        <v>406</v>
      </c>
      <c r="C13914" t="s">
        <v>429</v>
      </c>
      <c r="D13914" t="s">
        <v>438</v>
      </c>
      <c r="E13914" t="s">
        <v>439</v>
      </c>
      <c r="F13914" t="s">
        <v>413</v>
      </c>
      <c r="G13914">
        <v>1075</v>
      </c>
      <c r="H13914">
        <v>1075</v>
      </c>
      <c r="I13914">
        <v>965</v>
      </c>
      <c r="J13914">
        <v>965</v>
      </c>
      <c r="K13914">
        <v>94</v>
      </c>
      <c r="L13914">
        <v>0</v>
      </c>
      <c r="M13914">
        <v>857</v>
      </c>
      <c r="N13914">
        <v>95</v>
      </c>
      <c r="O13914">
        <v>29</v>
      </c>
      <c r="P13914">
        <v>13</v>
      </c>
      <c r="Q13914">
        <v>0</v>
      </c>
    </row>
    <row r="13915" spans="1:17" x14ac:dyDescent="0.2">
      <c r="A13915" s="121">
        <v>43861</v>
      </c>
      <c r="B13915" t="s">
        <v>406</v>
      </c>
      <c r="C13915" t="s">
        <v>429</v>
      </c>
      <c r="D13915" t="s">
        <v>440</v>
      </c>
      <c r="E13915" t="s">
        <v>441</v>
      </c>
      <c r="F13915" t="s">
        <v>413</v>
      </c>
      <c r="G13915">
        <v>2718</v>
      </c>
      <c r="H13915">
        <v>2718</v>
      </c>
      <c r="I13915">
        <v>2341</v>
      </c>
      <c r="J13915">
        <v>2341</v>
      </c>
      <c r="K13915">
        <v>872</v>
      </c>
      <c r="L13915">
        <v>2</v>
      </c>
      <c r="M13915">
        <v>1753</v>
      </c>
      <c r="N13915">
        <v>61</v>
      </c>
      <c r="O13915">
        <v>30</v>
      </c>
      <c r="P13915">
        <v>56</v>
      </c>
      <c r="Q13915">
        <v>3</v>
      </c>
    </row>
    <row r="13916" spans="1:17" x14ac:dyDescent="0.2">
      <c r="A13916" s="121">
        <v>43861</v>
      </c>
      <c r="B13916" t="s">
        <v>406</v>
      </c>
      <c r="C13916" t="s">
        <v>442</v>
      </c>
      <c r="D13916" t="s">
        <v>443</v>
      </c>
      <c r="E13916" t="s">
        <v>444</v>
      </c>
      <c r="F13916" t="s">
        <v>413</v>
      </c>
      <c r="G13916">
        <v>5662</v>
      </c>
      <c r="H13916">
        <v>5662</v>
      </c>
      <c r="I13916">
        <v>4899</v>
      </c>
      <c r="J13916">
        <v>4899</v>
      </c>
      <c r="K13916">
        <v>1763</v>
      </c>
      <c r="L13916">
        <v>8</v>
      </c>
      <c r="M13916">
        <v>3729</v>
      </c>
      <c r="N13916">
        <v>95</v>
      </c>
      <c r="O13916">
        <v>67</v>
      </c>
      <c r="P13916">
        <v>49</v>
      </c>
      <c r="Q13916">
        <v>0</v>
      </c>
    </row>
    <row r="13917" spans="1:17" x14ac:dyDescent="0.2">
      <c r="A13917" s="121">
        <v>43861</v>
      </c>
      <c r="B13917" t="s">
        <v>406</v>
      </c>
      <c r="C13917" t="s">
        <v>442</v>
      </c>
      <c r="D13917" t="s">
        <v>445</v>
      </c>
      <c r="E13917" t="s">
        <v>446</v>
      </c>
      <c r="F13917" t="s">
        <v>410</v>
      </c>
      <c r="G13917">
        <v>120</v>
      </c>
      <c r="H13917">
        <v>120</v>
      </c>
      <c r="I13917">
        <v>120</v>
      </c>
      <c r="J13917">
        <v>120</v>
      </c>
      <c r="K13917">
        <v>1</v>
      </c>
      <c r="L13917">
        <v>0</v>
      </c>
      <c r="M13917">
        <v>112</v>
      </c>
      <c r="N13917">
        <v>2</v>
      </c>
      <c r="O13917">
        <v>5</v>
      </c>
      <c r="P13917">
        <v>0</v>
      </c>
      <c r="Q13917">
        <v>0</v>
      </c>
    </row>
    <row r="13918" spans="1:17" x14ac:dyDescent="0.2">
      <c r="A13918" s="121">
        <v>43861</v>
      </c>
      <c r="B13918" t="s">
        <v>406</v>
      </c>
      <c r="C13918" t="s">
        <v>442</v>
      </c>
      <c r="D13918" t="s">
        <v>447</v>
      </c>
      <c r="E13918" t="s">
        <v>448</v>
      </c>
      <c r="F13918" t="s">
        <v>410</v>
      </c>
      <c r="G13918">
        <v>250</v>
      </c>
      <c r="H13918">
        <v>250</v>
      </c>
      <c r="I13918">
        <v>249</v>
      </c>
      <c r="J13918">
        <v>249</v>
      </c>
      <c r="K13918">
        <v>0</v>
      </c>
      <c r="L13918">
        <v>0</v>
      </c>
      <c r="M13918">
        <v>231</v>
      </c>
      <c r="N13918">
        <v>19</v>
      </c>
      <c r="O13918">
        <v>0</v>
      </c>
      <c r="P13918">
        <v>0</v>
      </c>
      <c r="Q13918">
        <v>0</v>
      </c>
    </row>
    <row r="13919" spans="1:17" x14ac:dyDescent="0.2">
      <c r="A13919" s="121">
        <v>43861</v>
      </c>
      <c r="B13919" t="s">
        <v>406</v>
      </c>
      <c r="C13919" t="s">
        <v>442</v>
      </c>
      <c r="D13919" t="s">
        <v>449</v>
      </c>
      <c r="E13919" t="s">
        <v>624</v>
      </c>
      <c r="F13919" t="s">
        <v>410</v>
      </c>
      <c r="G13919">
        <v>1603</v>
      </c>
      <c r="H13919">
        <v>1603</v>
      </c>
      <c r="I13919">
        <v>1601</v>
      </c>
      <c r="J13919">
        <v>1601</v>
      </c>
      <c r="K13919">
        <v>9</v>
      </c>
      <c r="L13919">
        <v>0</v>
      </c>
      <c r="M13919">
        <v>1475</v>
      </c>
      <c r="N13919">
        <v>102</v>
      </c>
      <c r="O13919">
        <v>17</v>
      </c>
      <c r="P13919">
        <v>0</v>
      </c>
      <c r="Q13919">
        <v>0</v>
      </c>
    </row>
    <row r="13920" spans="1:17" x14ac:dyDescent="0.2">
      <c r="A13920" s="121">
        <v>43861</v>
      </c>
      <c r="B13920" t="s">
        <v>406</v>
      </c>
      <c r="C13920" t="s">
        <v>451</v>
      </c>
      <c r="D13920" t="s">
        <v>454</v>
      </c>
      <c r="E13920" t="s">
        <v>621</v>
      </c>
      <c r="F13920" t="s">
        <v>410</v>
      </c>
      <c r="G13920">
        <v>1785</v>
      </c>
      <c r="H13920">
        <v>1785</v>
      </c>
      <c r="I13920">
        <v>1775</v>
      </c>
      <c r="J13920">
        <v>1775</v>
      </c>
      <c r="K13920">
        <v>4</v>
      </c>
      <c r="L13920">
        <v>0</v>
      </c>
      <c r="M13920">
        <v>1540</v>
      </c>
      <c r="N13920">
        <v>5</v>
      </c>
      <c r="O13920">
        <v>236</v>
      </c>
      <c r="P13920">
        <v>0</v>
      </c>
      <c r="Q13920">
        <v>0</v>
      </c>
    </row>
    <row r="13921" spans="1:17" x14ac:dyDescent="0.2">
      <c r="A13921" s="121">
        <v>43861</v>
      </c>
      <c r="B13921" t="s">
        <v>406</v>
      </c>
      <c r="C13921" t="s">
        <v>451</v>
      </c>
      <c r="D13921" t="s">
        <v>622</v>
      </c>
      <c r="E13921" t="s">
        <v>623</v>
      </c>
      <c r="F13921" t="s">
        <v>413</v>
      </c>
      <c r="G13921">
        <v>5438</v>
      </c>
      <c r="H13921">
        <v>5438</v>
      </c>
      <c r="I13921">
        <v>4585</v>
      </c>
      <c r="J13921">
        <v>4585</v>
      </c>
      <c r="K13921">
        <v>1616</v>
      </c>
      <c r="L13921">
        <v>10</v>
      </c>
      <c r="M13921">
        <v>3602</v>
      </c>
      <c r="N13921">
        <v>32</v>
      </c>
      <c r="O13921">
        <v>178</v>
      </c>
      <c r="P13921">
        <v>30</v>
      </c>
      <c r="Q13921">
        <v>2</v>
      </c>
    </row>
    <row r="13922" spans="1:17" x14ac:dyDescent="0.2">
      <c r="A13922" s="121">
        <v>43861</v>
      </c>
      <c r="B13922" t="s">
        <v>406</v>
      </c>
      <c r="C13922" t="s">
        <v>456</v>
      </c>
      <c r="D13922" t="s">
        <v>457</v>
      </c>
      <c r="E13922" t="s">
        <v>458</v>
      </c>
      <c r="F13922" t="s">
        <v>413</v>
      </c>
      <c r="G13922">
        <v>5146</v>
      </c>
      <c r="H13922">
        <v>5146</v>
      </c>
      <c r="I13922">
        <v>4307</v>
      </c>
      <c r="J13922">
        <v>4307</v>
      </c>
      <c r="K13922">
        <v>1370</v>
      </c>
      <c r="L13922">
        <v>18</v>
      </c>
      <c r="M13922">
        <v>3357</v>
      </c>
      <c r="N13922">
        <v>13</v>
      </c>
      <c r="O13922">
        <v>388</v>
      </c>
      <c r="P13922">
        <v>47</v>
      </c>
      <c r="Q13922">
        <v>5</v>
      </c>
    </row>
    <row r="13923" spans="1:17" x14ac:dyDescent="0.2">
      <c r="A13923" s="121">
        <v>43861</v>
      </c>
      <c r="B13923" t="s">
        <v>406</v>
      </c>
      <c r="C13923" t="s">
        <v>456</v>
      </c>
      <c r="D13923" t="s">
        <v>459</v>
      </c>
      <c r="E13923" t="s">
        <v>460</v>
      </c>
      <c r="F13923" t="s">
        <v>413</v>
      </c>
      <c r="G13923">
        <v>1313</v>
      </c>
      <c r="H13923">
        <v>1313</v>
      </c>
      <c r="I13923">
        <v>1293</v>
      </c>
      <c r="J13923">
        <v>1293</v>
      </c>
      <c r="K13923">
        <v>126</v>
      </c>
      <c r="L13923">
        <v>0</v>
      </c>
      <c r="M13923">
        <v>1132</v>
      </c>
      <c r="N13923">
        <v>1</v>
      </c>
      <c r="O13923">
        <v>54</v>
      </c>
      <c r="P13923">
        <v>0</v>
      </c>
      <c r="Q13923">
        <v>0</v>
      </c>
    </row>
    <row r="13924" spans="1:17" x14ac:dyDescent="0.2">
      <c r="A13924" s="121">
        <v>43861</v>
      </c>
      <c r="B13924" t="s">
        <v>406</v>
      </c>
      <c r="C13924" t="s">
        <v>456</v>
      </c>
      <c r="D13924" t="s">
        <v>461</v>
      </c>
      <c r="E13924" t="s">
        <v>462</v>
      </c>
      <c r="F13924" t="s">
        <v>410</v>
      </c>
      <c r="G13924">
        <v>79</v>
      </c>
      <c r="I13924">
        <v>79</v>
      </c>
    </row>
    <row r="13925" spans="1:17" x14ac:dyDescent="0.2">
      <c r="A13925" s="121">
        <v>43861</v>
      </c>
      <c r="B13925" t="s">
        <v>406</v>
      </c>
      <c r="C13925" t="s">
        <v>456</v>
      </c>
      <c r="D13925" t="s">
        <v>465</v>
      </c>
      <c r="E13925" t="s">
        <v>466</v>
      </c>
      <c r="F13925" t="s">
        <v>410</v>
      </c>
      <c r="G13925">
        <v>25</v>
      </c>
      <c r="I13925">
        <v>25</v>
      </c>
    </row>
    <row r="13926" spans="1:17" x14ac:dyDescent="0.2">
      <c r="A13926" s="121">
        <v>43861</v>
      </c>
      <c r="B13926" t="s">
        <v>406</v>
      </c>
      <c r="C13926" t="s">
        <v>456</v>
      </c>
      <c r="D13926" t="s">
        <v>467</v>
      </c>
      <c r="E13926" t="s">
        <v>468</v>
      </c>
      <c r="F13926" t="s">
        <v>410</v>
      </c>
      <c r="G13926">
        <v>1384</v>
      </c>
      <c r="I13926">
        <v>1379</v>
      </c>
    </row>
    <row r="13927" spans="1:17" x14ac:dyDescent="0.2">
      <c r="A13927" s="121">
        <v>43861</v>
      </c>
      <c r="B13927" t="s">
        <v>406</v>
      </c>
      <c r="C13927" t="s">
        <v>456</v>
      </c>
      <c r="D13927" t="s">
        <v>469</v>
      </c>
      <c r="E13927" t="s">
        <v>470</v>
      </c>
      <c r="F13927" t="s">
        <v>410</v>
      </c>
      <c r="G13927">
        <v>560</v>
      </c>
      <c r="I13927">
        <v>559</v>
      </c>
    </row>
    <row r="13928" spans="1:17" x14ac:dyDescent="0.2">
      <c r="A13928" s="121">
        <v>43861</v>
      </c>
      <c r="B13928" t="s">
        <v>406</v>
      </c>
      <c r="C13928" t="s">
        <v>456</v>
      </c>
      <c r="D13928" t="s">
        <v>471</v>
      </c>
      <c r="E13928" t="s">
        <v>472</v>
      </c>
      <c r="F13928" t="s">
        <v>410</v>
      </c>
      <c r="G13928">
        <v>235</v>
      </c>
      <c r="I13928">
        <v>230</v>
      </c>
    </row>
    <row r="13929" spans="1:17" x14ac:dyDescent="0.2">
      <c r="A13929" s="121">
        <v>43861</v>
      </c>
      <c r="B13929" t="s">
        <v>406</v>
      </c>
      <c r="C13929" t="s">
        <v>456</v>
      </c>
      <c r="D13929" t="s">
        <v>473</v>
      </c>
      <c r="E13929" t="s">
        <v>474</v>
      </c>
      <c r="F13929" t="s">
        <v>410</v>
      </c>
      <c r="G13929">
        <v>102</v>
      </c>
      <c r="I13929">
        <v>102</v>
      </c>
    </row>
    <row r="13930" spans="1:17" x14ac:dyDescent="0.2">
      <c r="A13930" s="121">
        <v>43861</v>
      </c>
      <c r="B13930" t="s">
        <v>406</v>
      </c>
      <c r="C13930" t="s">
        <v>456</v>
      </c>
      <c r="D13930" t="s">
        <v>475</v>
      </c>
      <c r="E13930" t="s">
        <v>476</v>
      </c>
      <c r="F13930" t="s">
        <v>410</v>
      </c>
      <c r="G13930">
        <v>188</v>
      </c>
      <c r="I13930">
        <v>185</v>
      </c>
    </row>
    <row r="13931" spans="1:17" x14ac:dyDescent="0.2">
      <c r="A13931" s="121">
        <v>43861</v>
      </c>
      <c r="B13931" t="s">
        <v>406</v>
      </c>
      <c r="C13931" t="s">
        <v>456</v>
      </c>
      <c r="D13931" t="s">
        <v>477</v>
      </c>
      <c r="E13931" t="s">
        <v>478</v>
      </c>
      <c r="F13931" t="s">
        <v>413</v>
      </c>
      <c r="G13931">
        <v>2313</v>
      </c>
      <c r="H13931">
        <v>2313</v>
      </c>
      <c r="I13931">
        <v>2110</v>
      </c>
      <c r="J13931">
        <v>2110</v>
      </c>
      <c r="K13931">
        <v>567</v>
      </c>
      <c r="L13931">
        <v>3</v>
      </c>
      <c r="M13931">
        <v>1731</v>
      </c>
      <c r="N13931">
        <v>9</v>
      </c>
      <c r="O13931">
        <v>3</v>
      </c>
      <c r="P13931">
        <v>20</v>
      </c>
      <c r="Q13931">
        <v>3</v>
      </c>
    </row>
    <row r="13932" spans="1:17" x14ac:dyDescent="0.2">
      <c r="A13932" s="121">
        <v>43861</v>
      </c>
      <c r="B13932" t="s">
        <v>406</v>
      </c>
      <c r="C13932" t="s">
        <v>456</v>
      </c>
      <c r="D13932" t="s">
        <v>479</v>
      </c>
      <c r="E13932" t="s">
        <v>480</v>
      </c>
      <c r="F13932" t="s">
        <v>410</v>
      </c>
      <c r="G13932">
        <v>48</v>
      </c>
      <c r="I13932">
        <v>48</v>
      </c>
    </row>
    <row r="13933" spans="1:17" x14ac:dyDescent="0.2">
      <c r="A13933" s="121">
        <v>43861</v>
      </c>
      <c r="B13933" t="s">
        <v>406</v>
      </c>
      <c r="C13933" t="s">
        <v>456</v>
      </c>
      <c r="D13933" t="s">
        <v>481</v>
      </c>
      <c r="E13933" t="s">
        <v>482</v>
      </c>
      <c r="F13933" t="s">
        <v>410</v>
      </c>
      <c r="G13933">
        <v>21</v>
      </c>
      <c r="I13933">
        <v>21</v>
      </c>
    </row>
    <row r="13934" spans="1:17" x14ac:dyDescent="0.2">
      <c r="A13934" s="121">
        <v>43861</v>
      </c>
      <c r="B13934" t="s">
        <v>406</v>
      </c>
      <c r="C13934" t="s">
        <v>456</v>
      </c>
      <c r="D13934" t="s">
        <v>483</v>
      </c>
      <c r="E13934" t="s">
        <v>484</v>
      </c>
      <c r="F13934" t="s">
        <v>410</v>
      </c>
      <c r="G13934">
        <v>103</v>
      </c>
      <c r="I13934">
        <v>103</v>
      </c>
    </row>
    <row r="13935" spans="1:17" x14ac:dyDescent="0.2">
      <c r="A13935" s="121">
        <v>43861</v>
      </c>
      <c r="B13935" t="s">
        <v>406</v>
      </c>
      <c r="C13935" t="s">
        <v>456</v>
      </c>
      <c r="D13935" t="s">
        <v>489</v>
      </c>
      <c r="E13935" t="s">
        <v>490</v>
      </c>
      <c r="F13935" t="s">
        <v>410</v>
      </c>
      <c r="G13935">
        <v>50</v>
      </c>
      <c r="I13935">
        <v>50</v>
      </c>
    </row>
    <row r="13936" spans="1:17" x14ac:dyDescent="0.2">
      <c r="A13936" s="121">
        <v>43861</v>
      </c>
      <c r="B13936" t="s">
        <v>406</v>
      </c>
      <c r="C13936" t="s">
        <v>456</v>
      </c>
      <c r="D13936" t="s">
        <v>628</v>
      </c>
      <c r="E13936" t="s">
        <v>629</v>
      </c>
      <c r="F13936" t="s">
        <v>410</v>
      </c>
      <c r="G13936">
        <v>49</v>
      </c>
      <c r="I13936">
        <v>49</v>
      </c>
    </row>
    <row r="13937" spans="1:17" x14ac:dyDescent="0.2">
      <c r="A13937" s="121">
        <v>43861</v>
      </c>
      <c r="B13937" t="s">
        <v>406</v>
      </c>
      <c r="C13937" t="s">
        <v>491</v>
      </c>
      <c r="D13937" t="s">
        <v>492</v>
      </c>
      <c r="E13937" t="s">
        <v>493</v>
      </c>
      <c r="F13937" t="s">
        <v>410</v>
      </c>
      <c r="G13937">
        <v>1518</v>
      </c>
      <c r="H13937">
        <v>1518</v>
      </c>
      <c r="I13937">
        <v>1468</v>
      </c>
      <c r="J13937">
        <v>1468</v>
      </c>
      <c r="K13937">
        <v>247</v>
      </c>
      <c r="L13937">
        <v>1</v>
      </c>
      <c r="M13937">
        <v>1164</v>
      </c>
      <c r="N13937">
        <v>66</v>
      </c>
      <c r="O13937">
        <v>40</v>
      </c>
      <c r="P13937">
        <v>0</v>
      </c>
      <c r="Q13937">
        <v>0</v>
      </c>
    </row>
    <row r="13938" spans="1:17" x14ac:dyDescent="0.2">
      <c r="A13938" s="121">
        <v>43861</v>
      </c>
      <c r="B13938" t="s">
        <v>406</v>
      </c>
      <c r="C13938" t="s">
        <v>491</v>
      </c>
      <c r="D13938" t="s">
        <v>494</v>
      </c>
      <c r="E13938" t="s">
        <v>495</v>
      </c>
      <c r="F13938" t="s">
        <v>413</v>
      </c>
      <c r="G13938">
        <v>2824</v>
      </c>
      <c r="H13938">
        <v>2824</v>
      </c>
      <c r="I13938">
        <v>2424</v>
      </c>
      <c r="J13938">
        <v>2424</v>
      </c>
      <c r="K13938">
        <v>825</v>
      </c>
      <c r="L13938">
        <v>6</v>
      </c>
      <c r="M13938">
        <v>1897</v>
      </c>
      <c r="N13938">
        <v>47</v>
      </c>
      <c r="O13938">
        <v>49</v>
      </c>
      <c r="P13938">
        <v>34</v>
      </c>
      <c r="Q13938">
        <v>2</v>
      </c>
    </row>
    <row r="13939" spans="1:17" x14ac:dyDescent="0.2">
      <c r="A13939" s="121">
        <v>43861</v>
      </c>
      <c r="B13939" t="s">
        <v>406</v>
      </c>
      <c r="C13939" t="s">
        <v>491</v>
      </c>
      <c r="D13939" t="s">
        <v>496</v>
      </c>
      <c r="E13939" t="s">
        <v>497</v>
      </c>
      <c r="F13939" t="s">
        <v>413</v>
      </c>
      <c r="G13939">
        <v>5646</v>
      </c>
      <c r="H13939">
        <v>5646</v>
      </c>
      <c r="I13939">
        <v>4484</v>
      </c>
      <c r="J13939">
        <v>4484</v>
      </c>
      <c r="K13939">
        <v>1875</v>
      </c>
      <c r="L13939">
        <v>14</v>
      </c>
      <c r="M13939">
        <v>3567</v>
      </c>
      <c r="N13939">
        <v>90</v>
      </c>
      <c r="O13939">
        <v>100</v>
      </c>
      <c r="P13939">
        <v>213</v>
      </c>
      <c r="Q13939">
        <v>23</v>
      </c>
    </row>
    <row r="13940" spans="1:17" x14ac:dyDescent="0.2">
      <c r="A13940" s="121">
        <v>43861</v>
      </c>
      <c r="B13940" t="s">
        <v>406</v>
      </c>
      <c r="C13940" t="s">
        <v>491</v>
      </c>
      <c r="D13940" t="s">
        <v>498</v>
      </c>
      <c r="E13940" t="s">
        <v>499</v>
      </c>
      <c r="F13940" t="s">
        <v>413</v>
      </c>
      <c r="G13940">
        <v>7795</v>
      </c>
      <c r="H13940">
        <v>7795</v>
      </c>
      <c r="I13940">
        <v>6035</v>
      </c>
      <c r="J13940">
        <v>6035</v>
      </c>
      <c r="K13940">
        <v>2432</v>
      </c>
      <c r="L13940">
        <v>17</v>
      </c>
      <c r="M13940">
        <v>4801</v>
      </c>
      <c r="N13940">
        <v>131</v>
      </c>
      <c r="O13940">
        <v>414</v>
      </c>
      <c r="P13940">
        <v>172</v>
      </c>
      <c r="Q13940">
        <v>14</v>
      </c>
    </row>
    <row r="13941" spans="1:17" x14ac:dyDescent="0.2">
      <c r="A13941" s="121">
        <v>43861</v>
      </c>
      <c r="B13941" t="s">
        <v>406</v>
      </c>
      <c r="C13941" t="s">
        <v>491</v>
      </c>
      <c r="D13941" t="s">
        <v>500</v>
      </c>
      <c r="E13941" t="s">
        <v>620</v>
      </c>
      <c r="F13941" t="s">
        <v>410</v>
      </c>
      <c r="G13941">
        <v>2013</v>
      </c>
      <c r="H13941">
        <v>2013</v>
      </c>
      <c r="I13941">
        <v>2005</v>
      </c>
      <c r="J13941">
        <v>2005</v>
      </c>
      <c r="K13941">
        <v>1</v>
      </c>
      <c r="L13941">
        <v>0</v>
      </c>
      <c r="M13941">
        <v>1799</v>
      </c>
      <c r="N13941">
        <v>123</v>
      </c>
      <c r="O13941">
        <v>90</v>
      </c>
      <c r="P13941">
        <v>0</v>
      </c>
      <c r="Q13941">
        <v>0</v>
      </c>
    </row>
    <row r="13942" spans="1:17" x14ac:dyDescent="0.2">
      <c r="A13942" s="121">
        <v>43861</v>
      </c>
      <c r="B13942" t="s">
        <v>406</v>
      </c>
      <c r="C13942" t="s">
        <v>491</v>
      </c>
      <c r="D13942" t="s">
        <v>502</v>
      </c>
      <c r="E13942" t="s">
        <v>615</v>
      </c>
      <c r="F13942" t="s">
        <v>410</v>
      </c>
      <c r="G13942">
        <v>2974</v>
      </c>
      <c r="H13942">
        <v>2974</v>
      </c>
      <c r="I13942">
        <v>2921</v>
      </c>
      <c r="J13942">
        <v>2921</v>
      </c>
      <c r="K13942">
        <v>1</v>
      </c>
      <c r="L13942">
        <v>0</v>
      </c>
      <c r="M13942">
        <v>2583</v>
      </c>
      <c r="N13942">
        <v>203</v>
      </c>
      <c r="O13942">
        <v>187</v>
      </c>
      <c r="P13942">
        <v>0</v>
      </c>
      <c r="Q13942">
        <v>0</v>
      </c>
    </row>
    <row r="13943" spans="1:17" x14ac:dyDescent="0.2">
      <c r="A13943" s="121">
        <v>43861</v>
      </c>
      <c r="B13943" t="s">
        <v>406</v>
      </c>
      <c r="C13943" t="s">
        <v>491</v>
      </c>
      <c r="D13943" t="s">
        <v>504</v>
      </c>
      <c r="E13943" t="s">
        <v>630</v>
      </c>
      <c r="F13943" t="s">
        <v>413</v>
      </c>
      <c r="G13943">
        <v>8573</v>
      </c>
      <c r="H13943">
        <v>8573</v>
      </c>
      <c r="I13943">
        <v>5856</v>
      </c>
      <c r="J13943">
        <v>5856</v>
      </c>
      <c r="K13943">
        <v>2747</v>
      </c>
      <c r="L13943">
        <v>22</v>
      </c>
      <c r="M13943">
        <v>5448</v>
      </c>
      <c r="N13943">
        <v>49</v>
      </c>
      <c r="O13943">
        <v>307</v>
      </c>
      <c r="P13943">
        <v>416</v>
      </c>
      <c r="Q13943">
        <v>98</v>
      </c>
    </row>
    <row r="13944" spans="1:17" x14ac:dyDescent="0.2">
      <c r="A13944" s="121">
        <v>43861</v>
      </c>
      <c r="B13944" t="s">
        <v>406</v>
      </c>
      <c r="C13944" t="s">
        <v>491</v>
      </c>
      <c r="D13944" t="s">
        <v>506</v>
      </c>
      <c r="E13944" t="s">
        <v>507</v>
      </c>
      <c r="F13944" t="s">
        <v>413</v>
      </c>
      <c r="G13944">
        <v>5451</v>
      </c>
      <c r="H13944">
        <v>5451</v>
      </c>
      <c r="I13944">
        <v>5331</v>
      </c>
      <c r="J13944">
        <v>5331</v>
      </c>
      <c r="K13944">
        <v>1321</v>
      </c>
      <c r="L13944">
        <v>3</v>
      </c>
      <c r="M13944">
        <v>4107</v>
      </c>
      <c r="N13944">
        <v>0</v>
      </c>
      <c r="O13944">
        <v>20</v>
      </c>
      <c r="P13944">
        <v>0</v>
      </c>
      <c r="Q13944">
        <v>0</v>
      </c>
    </row>
    <row r="13945" spans="1:17" x14ac:dyDescent="0.2">
      <c r="A13945" s="121">
        <v>43861</v>
      </c>
      <c r="B13945" t="s">
        <v>406</v>
      </c>
      <c r="C13945" t="s">
        <v>510</v>
      </c>
      <c r="D13945" t="s">
        <v>513</v>
      </c>
      <c r="E13945" t="s">
        <v>514</v>
      </c>
      <c r="F13945" t="s">
        <v>410</v>
      </c>
      <c r="G13945">
        <v>723</v>
      </c>
      <c r="I13945">
        <v>722</v>
      </c>
    </row>
    <row r="13946" spans="1:17" x14ac:dyDescent="0.2">
      <c r="A13946" s="121">
        <v>43861</v>
      </c>
      <c r="B13946" t="s">
        <v>406</v>
      </c>
      <c r="C13946" t="s">
        <v>510</v>
      </c>
      <c r="D13946" t="s">
        <v>515</v>
      </c>
      <c r="E13946" t="s">
        <v>516</v>
      </c>
      <c r="F13946" t="s">
        <v>410</v>
      </c>
      <c r="G13946">
        <v>109</v>
      </c>
      <c r="I13946">
        <v>107</v>
      </c>
    </row>
    <row r="13947" spans="1:17" x14ac:dyDescent="0.2">
      <c r="A13947" s="121">
        <v>43861</v>
      </c>
      <c r="B13947" t="s">
        <v>406</v>
      </c>
      <c r="C13947" t="s">
        <v>510</v>
      </c>
      <c r="D13947" t="s">
        <v>519</v>
      </c>
      <c r="E13947" t="s">
        <v>520</v>
      </c>
      <c r="F13947" t="s">
        <v>410</v>
      </c>
      <c r="G13947">
        <v>282</v>
      </c>
      <c r="I13947">
        <v>271</v>
      </c>
    </row>
    <row r="13948" spans="1:17" x14ac:dyDescent="0.2">
      <c r="A13948" s="121">
        <v>43861</v>
      </c>
      <c r="B13948" t="s">
        <v>406</v>
      </c>
      <c r="C13948" t="s">
        <v>510</v>
      </c>
      <c r="D13948" t="s">
        <v>523</v>
      </c>
      <c r="E13948" t="s">
        <v>524</v>
      </c>
      <c r="F13948" t="s">
        <v>413</v>
      </c>
      <c r="G13948">
        <v>632</v>
      </c>
      <c r="H13948">
        <v>632</v>
      </c>
      <c r="I13948">
        <v>595</v>
      </c>
      <c r="J13948">
        <v>595</v>
      </c>
      <c r="K13948">
        <v>178</v>
      </c>
      <c r="L13948">
        <v>2</v>
      </c>
      <c r="M13948">
        <v>438</v>
      </c>
      <c r="N13948">
        <v>14</v>
      </c>
      <c r="O13948">
        <v>0</v>
      </c>
      <c r="P13948">
        <v>2</v>
      </c>
      <c r="Q13948">
        <v>1</v>
      </c>
    </row>
    <row r="13949" spans="1:17" x14ac:dyDescent="0.2">
      <c r="A13949" s="121">
        <v>43861</v>
      </c>
      <c r="B13949" t="s">
        <v>406</v>
      </c>
      <c r="C13949" t="s">
        <v>510</v>
      </c>
      <c r="D13949" t="s">
        <v>525</v>
      </c>
      <c r="E13949" t="s">
        <v>526</v>
      </c>
      <c r="F13949" t="s">
        <v>410</v>
      </c>
      <c r="G13949">
        <v>416</v>
      </c>
      <c r="I13949">
        <v>414</v>
      </c>
    </row>
    <row r="13950" spans="1:17" x14ac:dyDescent="0.2">
      <c r="A13950" s="121">
        <v>43861</v>
      </c>
      <c r="B13950" t="s">
        <v>406</v>
      </c>
      <c r="C13950" t="s">
        <v>510</v>
      </c>
      <c r="D13950" t="s">
        <v>527</v>
      </c>
      <c r="E13950" t="s">
        <v>528</v>
      </c>
      <c r="F13950" t="s">
        <v>410</v>
      </c>
      <c r="G13950">
        <v>128</v>
      </c>
      <c r="I13950">
        <v>128</v>
      </c>
    </row>
    <row r="13951" spans="1:17" x14ac:dyDescent="0.2">
      <c r="A13951" s="121">
        <v>43861</v>
      </c>
      <c r="B13951" t="s">
        <v>406</v>
      </c>
      <c r="C13951" t="s">
        <v>510</v>
      </c>
      <c r="D13951" t="s">
        <v>529</v>
      </c>
      <c r="E13951" t="s">
        <v>530</v>
      </c>
      <c r="F13951" t="s">
        <v>413</v>
      </c>
      <c r="G13951">
        <v>694</v>
      </c>
      <c r="H13951">
        <v>694</v>
      </c>
      <c r="I13951">
        <v>660</v>
      </c>
      <c r="J13951">
        <v>660</v>
      </c>
      <c r="K13951">
        <v>168</v>
      </c>
      <c r="L13951">
        <v>2</v>
      </c>
      <c r="M13951">
        <v>521</v>
      </c>
      <c r="N13951">
        <v>3</v>
      </c>
      <c r="O13951">
        <v>0</v>
      </c>
      <c r="P13951">
        <v>2</v>
      </c>
      <c r="Q13951">
        <v>1</v>
      </c>
    </row>
    <row r="13952" spans="1:17" x14ac:dyDescent="0.2">
      <c r="A13952" s="121">
        <v>43861</v>
      </c>
      <c r="B13952" t="s">
        <v>406</v>
      </c>
      <c r="C13952" t="s">
        <v>510</v>
      </c>
      <c r="D13952" t="s">
        <v>531</v>
      </c>
      <c r="E13952" t="s">
        <v>532</v>
      </c>
      <c r="F13952" t="s">
        <v>410</v>
      </c>
      <c r="G13952">
        <v>46</v>
      </c>
      <c r="I13952">
        <v>46</v>
      </c>
    </row>
    <row r="13953" spans="1:17" x14ac:dyDescent="0.2">
      <c r="A13953" s="121">
        <v>43861</v>
      </c>
      <c r="B13953" t="s">
        <v>406</v>
      </c>
      <c r="C13953" t="s">
        <v>510</v>
      </c>
      <c r="D13953" t="s">
        <v>533</v>
      </c>
      <c r="E13953" t="s">
        <v>534</v>
      </c>
      <c r="F13953" t="s">
        <v>413</v>
      </c>
      <c r="G13953">
        <v>2923</v>
      </c>
      <c r="H13953">
        <v>2923</v>
      </c>
      <c r="I13953">
        <v>2600</v>
      </c>
      <c r="J13953">
        <v>2600</v>
      </c>
      <c r="K13953">
        <v>671</v>
      </c>
      <c r="L13953">
        <v>4</v>
      </c>
      <c r="M13953">
        <v>2142</v>
      </c>
      <c r="N13953">
        <v>10</v>
      </c>
      <c r="O13953">
        <v>96</v>
      </c>
      <c r="P13953">
        <v>55</v>
      </c>
      <c r="Q13953">
        <v>9</v>
      </c>
    </row>
    <row r="13954" spans="1:17" x14ac:dyDescent="0.2">
      <c r="A13954" s="121">
        <v>43861</v>
      </c>
      <c r="B13954" t="s">
        <v>406</v>
      </c>
      <c r="C13954" t="s">
        <v>510</v>
      </c>
      <c r="D13954" t="s">
        <v>535</v>
      </c>
      <c r="E13954" t="s">
        <v>536</v>
      </c>
      <c r="F13954" t="s">
        <v>410</v>
      </c>
      <c r="G13954">
        <v>371</v>
      </c>
      <c r="I13954">
        <v>371</v>
      </c>
    </row>
    <row r="13955" spans="1:17" x14ac:dyDescent="0.2">
      <c r="A13955" s="121">
        <v>43861</v>
      </c>
      <c r="B13955" t="s">
        <v>406</v>
      </c>
      <c r="C13955" t="s">
        <v>510</v>
      </c>
      <c r="D13955" t="s">
        <v>539</v>
      </c>
      <c r="E13955" t="s">
        <v>540</v>
      </c>
      <c r="F13955" t="s">
        <v>413</v>
      </c>
      <c r="G13955">
        <v>651</v>
      </c>
      <c r="H13955">
        <v>651</v>
      </c>
      <c r="I13955">
        <v>604</v>
      </c>
      <c r="J13955">
        <v>604</v>
      </c>
      <c r="K13955">
        <v>139</v>
      </c>
      <c r="L13955">
        <v>1</v>
      </c>
      <c r="M13955">
        <v>497</v>
      </c>
      <c r="N13955">
        <v>8</v>
      </c>
      <c r="O13955">
        <v>6</v>
      </c>
      <c r="P13955">
        <v>3</v>
      </c>
      <c r="Q13955">
        <v>1</v>
      </c>
    </row>
    <row r="13956" spans="1:17" x14ac:dyDescent="0.2">
      <c r="A13956" s="121">
        <v>43861</v>
      </c>
      <c r="B13956" t="s">
        <v>406</v>
      </c>
      <c r="C13956" t="s">
        <v>510</v>
      </c>
      <c r="D13956" t="s">
        <v>541</v>
      </c>
      <c r="E13956" t="s">
        <v>542</v>
      </c>
      <c r="F13956" t="s">
        <v>410</v>
      </c>
      <c r="G13956">
        <v>319</v>
      </c>
      <c r="I13956">
        <v>318</v>
      </c>
    </row>
    <row r="13957" spans="1:17" x14ac:dyDescent="0.2">
      <c r="A13957" s="121">
        <v>43861</v>
      </c>
      <c r="B13957" t="s">
        <v>406</v>
      </c>
      <c r="C13957" t="s">
        <v>510</v>
      </c>
      <c r="D13957" t="s">
        <v>543</v>
      </c>
      <c r="E13957" t="s">
        <v>544</v>
      </c>
      <c r="F13957" t="s">
        <v>410</v>
      </c>
      <c r="G13957">
        <v>203</v>
      </c>
      <c r="I13957">
        <v>203</v>
      </c>
    </row>
    <row r="13958" spans="1:17" x14ac:dyDescent="0.2">
      <c r="A13958" s="121">
        <v>43861</v>
      </c>
      <c r="B13958" t="s">
        <v>406</v>
      </c>
      <c r="C13958" t="s">
        <v>510</v>
      </c>
      <c r="D13958" t="s">
        <v>547</v>
      </c>
      <c r="E13958" t="s">
        <v>548</v>
      </c>
      <c r="F13958" t="s">
        <v>410</v>
      </c>
      <c r="G13958">
        <v>134</v>
      </c>
      <c r="I13958">
        <v>134</v>
      </c>
    </row>
    <row r="13959" spans="1:17" x14ac:dyDescent="0.2">
      <c r="A13959" s="121">
        <v>43861</v>
      </c>
      <c r="B13959" t="s">
        <v>406</v>
      </c>
      <c r="C13959" t="s">
        <v>510</v>
      </c>
      <c r="D13959" t="s">
        <v>616</v>
      </c>
      <c r="E13959" t="s">
        <v>617</v>
      </c>
      <c r="F13959" t="s">
        <v>410</v>
      </c>
      <c r="G13959">
        <v>369</v>
      </c>
      <c r="I13959">
        <v>366</v>
      </c>
    </row>
    <row r="13960" spans="1:17" x14ac:dyDescent="0.2">
      <c r="A13960" s="121">
        <v>43861</v>
      </c>
      <c r="B13960" t="s">
        <v>406</v>
      </c>
      <c r="C13960" t="s">
        <v>510</v>
      </c>
      <c r="D13960" t="s">
        <v>549</v>
      </c>
      <c r="E13960" t="s">
        <v>550</v>
      </c>
      <c r="F13960" t="s">
        <v>410</v>
      </c>
      <c r="G13960">
        <v>99</v>
      </c>
      <c r="I13960">
        <v>99</v>
      </c>
    </row>
    <row r="13961" spans="1:17" x14ac:dyDescent="0.2">
      <c r="A13961" s="121">
        <v>43861</v>
      </c>
      <c r="B13961" t="s">
        <v>406</v>
      </c>
      <c r="C13961" t="s">
        <v>510</v>
      </c>
      <c r="D13961" t="s">
        <v>625</v>
      </c>
      <c r="E13961" t="s">
        <v>626</v>
      </c>
      <c r="F13961" t="s">
        <v>410</v>
      </c>
      <c r="G13961">
        <v>62</v>
      </c>
      <c r="I13961">
        <v>57</v>
      </c>
    </row>
    <row r="13962" spans="1:17" x14ac:dyDescent="0.2">
      <c r="A13962" s="121">
        <v>43861</v>
      </c>
      <c r="B13962" t="s">
        <v>406</v>
      </c>
      <c r="C13962" t="s">
        <v>551</v>
      </c>
      <c r="D13962" t="s">
        <v>552</v>
      </c>
      <c r="E13962" t="s">
        <v>553</v>
      </c>
      <c r="F13962" t="s">
        <v>413</v>
      </c>
      <c r="G13962">
        <v>5798</v>
      </c>
      <c r="H13962">
        <v>5798</v>
      </c>
      <c r="I13962">
        <v>5146</v>
      </c>
      <c r="J13962">
        <v>5146</v>
      </c>
      <c r="K13962">
        <v>2236</v>
      </c>
      <c r="L13962">
        <v>13</v>
      </c>
      <c r="M13962">
        <v>3413</v>
      </c>
      <c r="N13962">
        <v>112</v>
      </c>
      <c r="O13962">
        <v>24</v>
      </c>
      <c r="P13962">
        <v>37</v>
      </c>
      <c r="Q13962">
        <v>3</v>
      </c>
    </row>
    <row r="13963" spans="1:17" x14ac:dyDescent="0.2">
      <c r="A13963" s="121">
        <v>43861</v>
      </c>
      <c r="B13963" t="s">
        <v>406</v>
      </c>
      <c r="C13963" t="s">
        <v>551</v>
      </c>
      <c r="D13963" t="s">
        <v>554</v>
      </c>
      <c r="E13963" t="s">
        <v>555</v>
      </c>
      <c r="F13963" t="s">
        <v>410</v>
      </c>
      <c r="G13963">
        <v>56</v>
      </c>
      <c r="H13963">
        <v>56</v>
      </c>
      <c r="I13963">
        <v>55</v>
      </c>
      <c r="J13963">
        <v>55</v>
      </c>
      <c r="K13963">
        <v>2</v>
      </c>
      <c r="L13963">
        <v>0</v>
      </c>
      <c r="M13963">
        <v>52</v>
      </c>
      <c r="N13963">
        <v>2</v>
      </c>
      <c r="O13963">
        <v>0</v>
      </c>
      <c r="P13963">
        <v>0</v>
      </c>
      <c r="Q13963">
        <v>0</v>
      </c>
    </row>
    <row r="13964" spans="1:17" x14ac:dyDescent="0.2">
      <c r="A13964" s="121">
        <v>43861</v>
      </c>
      <c r="B13964" t="s">
        <v>406</v>
      </c>
      <c r="C13964" t="s">
        <v>551</v>
      </c>
      <c r="D13964" t="s">
        <v>556</v>
      </c>
      <c r="E13964" t="s">
        <v>557</v>
      </c>
      <c r="F13964" t="s">
        <v>410</v>
      </c>
      <c r="G13964">
        <v>29</v>
      </c>
      <c r="H13964">
        <v>29</v>
      </c>
      <c r="I13964">
        <v>29</v>
      </c>
      <c r="J13964">
        <v>29</v>
      </c>
      <c r="K13964">
        <v>0</v>
      </c>
      <c r="L13964">
        <v>0</v>
      </c>
      <c r="M13964">
        <v>29</v>
      </c>
      <c r="N13964">
        <v>0</v>
      </c>
      <c r="O13964">
        <v>0</v>
      </c>
      <c r="P13964">
        <v>0</v>
      </c>
      <c r="Q13964">
        <v>0</v>
      </c>
    </row>
    <row r="13965" spans="1:17" x14ac:dyDescent="0.2">
      <c r="A13965" s="121">
        <v>43861</v>
      </c>
      <c r="B13965" t="s">
        <v>406</v>
      </c>
      <c r="C13965" t="s">
        <v>551</v>
      </c>
      <c r="D13965" t="s">
        <v>558</v>
      </c>
      <c r="E13965" t="s">
        <v>559</v>
      </c>
      <c r="F13965" t="s">
        <v>413</v>
      </c>
      <c r="G13965">
        <v>5504</v>
      </c>
      <c r="H13965">
        <v>5504</v>
      </c>
      <c r="I13965">
        <v>4391</v>
      </c>
      <c r="J13965">
        <v>4391</v>
      </c>
      <c r="K13965">
        <v>1586</v>
      </c>
      <c r="L13965">
        <v>11</v>
      </c>
      <c r="M13965">
        <v>3845</v>
      </c>
      <c r="N13965">
        <v>56</v>
      </c>
      <c r="O13965">
        <v>6</v>
      </c>
      <c r="P13965">
        <v>180</v>
      </c>
      <c r="Q13965">
        <v>62</v>
      </c>
    </row>
    <row r="13966" spans="1:17" x14ac:dyDescent="0.2">
      <c r="A13966" s="121">
        <v>43861</v>
      </c>
      <c r="B13966" t="s">
        <v>406</v>
      </c>
      <c r="C13966" t="s">
        <v>551</v>
      </c>
      <c r="D13966" t="s">
        <v>560</v>
      </c>
      <c r="E13966" t="s">
        <v>561</v>
      </c>
      <c r="F13966" t="s">
        <v>413</v>
      </c>
      <c r="G13966">
        <v>6117</v>
      </c>
      <c r="H13966">
        <v>6117</v>
      </c>
      <c r="I13966">
        <v>5186</v>
      </c>
      <c r="J13966">
        <v>5186</v>
      </c>
      <c r="K13966">
        <v>1945</v>
      </c>
      <c r="L13966">
        <v>5</v>
      </c>
      <c r="M13966">
        <v>4053</v>
      </c>
      <c r="N13966">
        <v>78</v>
      </c>
      <c r="O13966">
        <v>36</v>
      </c>
      <c r="P13966">
        <v>183</v>
      </c>
      <c r="Q13966">
        <v>44</v>
      </c>
    </row>
    <row r="13967" spans="1:17" x14ac:dyDescent="0.2">
      <c r="A13967" s="121">
        <v>43861</v>
      </c>
      <c r="B13967" t="s">
        <v>406</v>
      </c>
      <c r="C13967" t="s">
        <v>562</v>
      </c>
      <c r="D13967" t="s">
        <v>605</v>
      </c>
      <c r="E13967" t="s">
        <v>606</v>
      </c>
      <c r="F13967" t="s">
        <v>410</v>
      </c>
      <c r="G13967">
        <v>114</v>
      </c>
      <c r="I13967">
        <v>114</v>
      </c>
    </row>
    <row r="13968" spans="1:17" x14ac:dyDescent="0.2">
      <c r="A13968" s="121">
        <v>43861</v>
      </c>
      <c r="B13968" t="s">
        <v>406</v>
      </c>
      <c r="C13968" t="s">
        <v>562</v>
      </c>
      <c r="D13968" t="s">
        <v>563</v>
      </c>
      <c r="E13968" t="s">
        <v>564</v>
      </c>
      <c r="F13968" t="s">
        <v>410</v>
      </c>
      <c r="G13968">
        <v>4078</v>
      </c>
      <c r="H13968">
        <v>4078</v>
      </c>
      <c r="I13968">
        <v>2950</v>
      </c>
      <c r="J13968">
        <v>2950</v>
      </c>
      <c r="K13968">
        <v>1198</v>
      </c>
      <c r="L13968">
        <v>1</v>
      </c>
      <c r="M13968">
        <v>2875</v>
      </c>
      <c r="N13968">
        <v>4</v>
      </c>
      <c r="O13968">
        <v>0</v>
      </c>
      <c r="P13968">
        <v>273</v>
      </c>
      <c r="Q13968">
        <v>152</v>
      </c>
    </row>
    <row r="13969" spans="1:17" x14ac:dyDescent="0.2">
      <c r="A13969" s="121">
        <v>43861</v>
      </c>
      <c r="B13969" t="s">
        <v>406</v>
      </c>
      <c r="C13969" t="s">
        <v>562</v>
      </c>
      <c r="D13969" t="s">
        <v>565</v>
      </c>
      <c r="E13969" t="s">
        <v>566</v>
      </c>
      <c r="F13969" t="s">
        <v>413</v>
      </c>
      <c r="G13969">
        <v>4954</v>
      </c>
      <c r="H13969">
        <v>4954</v>
      </c>
      <c r="I13969">
        <v>4166</v>
      </c>
      <c r="J13969">
        <v>4166</v>
      </c>
      <c r="K13969">
        <v>1039</v>
      </c>
      <c r="L13969">
        <v>2</v>
      </c>
      <c r="M13969">
        <v>3826</v>
      </c>
      <c r="N13969">
        <v>84</v>
      </c>
      <c r="O13969">
        <v>3</v>
      </c>
      <c r="P13969">
        <v>233</v>
      </c>
      <c r="Q13969">
        <v>71</v>
      </c>
    </row>
    <row r="13970" spans="1:17" x14ac:dyDescent="0.2">
      <c r="A13970" s="121">
        <v>43861</v>
      </c>
      <c r="B13970" t="s">
        <v>406</v>
      </c>
      <c r="C13970" t="s">
        <v>562</v>
      </c>
      <c r="D13970" t="s">
        <v>567</v>
      </c>
      <c r="E13970" t="s">
        <v>568</v>
      </c>
      <c r="F13970" t="s">
        <v>413</v>
      </c>
      <c r="G13970">
        <v>10631</v>
      </c>
      <c r="H13970">
        <v>10631</v>
      </c>
      <c r="I13970">
        <v>8547</v>
      </c>
      <c r="J13970">
        <v>8547</v>
      </c>
      <c r="K13970">
        <v>3535</v>
      </c>
      <c r="L13970">
        <v>16</v>
      </c>
      <c r="M13970">
        <v>6819</v>
      </c>
      <c r="N13970">
        <v>236</v>
      </c>
      <c r="O13970">
        <v>25</v>
      </c>
      <c r="P13970">
        <v>497</v>
      </c>
      <c r="Q13970">
        <v>177</v>
      </c>
    </row>
    <row r="13971" spans="1:17" x14ac:dyDescent="0.2">
      <c r="A13971" s="121">
        <v>43861</v>
      </c>
      <c r="B13971" t="s">
        <v>406</v>
      </c>
      <c r="C13971" t="s">
        <v>562</v>
      </c>
      <c r="D13971" t="s">
        <v>569</v>
      </c>
      <c r="E13971" t="s">
        <v>570</v>
      </c>
      <c r="F13971" t="s">
        <v>413</v>
      </c>
      <c r="G13971">
        <v>3840</v>
      </c>
      <c r="H13971">
        <v>3840</v>
      </c>
      <c r="I13971">
        <v>3737</v>
      </c>
      <c r="J13971">
        <v>3737</v>
      </c>
      <c r="K13971">
        <v>572</v>
      </c>
      <c r="L13971">
        <v>0</v>
      </c>
      <c r="M13971">
        <v>3070</v>
      </c>
      <c r="N13971">
        <v>185</v>
      </c>
      <c r="O13971">
        <v>13</v>
      </c>
      <c r="P13971">
        <v>1</v>
      </c>
      <c r="Q13971">
        <v>0</v>
      </c>
    </row>
    <row r="13972" spans="1:17" x14ac:dyDescent="0.2">
      <c r="A13972" s="121">
        <v>43861</v>
      </c>
      <c r="B13972" t="s">
        <v>406</v>
      </c>
      <c r="C13972" t="s">
        <v>571</v>
      </c>
      <c r="D13972" t="s">
        <v>572</v>
      </c>
      <c r="E13972" t="s">
        <v>627</v>
      </c>
      <c r="F13972" t="s">
        <v>413</v>
      </c>
      <c r="G13972">
        <v>585</v>
      </c>
      <c r="H13972">
        <v>585</v>
      </c>
      <c r="I13972">
        <v>559</v>
      </c>
      <c r="J13972">
        <v>559</v>
      </c>
      <c r="K13972">
        <v>144</v>
      </c>
      <c r="L13972">
        <v>0</v>
      </c>
      <c r="M13972">
        <v>434</v>
      </c>
      <c r="N13972">
        <v>3</v>
      </c>
      <c r="O13972">
        <v>4</v>
      </c>
      <c r="P13972">
        <v>0</v>
      </c>
      <c r="Q13972">
        <v>0</v>
      </c>
    </row>
    <row r="13973" spans="1:17" x14ac:dyDescent="0.2">
      <c r="A13973" s="121">
        <v>43861</v>
      </c>
      <c r="B13973" t="s">
        <v>406</v>
      </c>
      <c r="C13973" t="s">
        <v>574</v>
      </c>
      <c r="D13973" t="s">
        <v>575</v>
      </c>
      <c r="E13973" t="s">
        <v>576</v>
      </c>
      <c r="F13973" t="s">
        <v>413</v>
      </c>
      <c r="G13973">
        <v>587</v>
      </c>
      <c r="H13973">
        <v>587</v>
      </c>
      <c r="I13973">
        <v>556</v>
      </c>
      <c r="J13973">
        <v>556</v>
      </c>
      <c r="K13973">
        <v>124</v>
      </c>
      <c r="L13973">
        <v>0</v>
      </c>
      <c r="M13973">
        <v>456</v>
      </c>
      <c r="N13973">
        <v>3</v>
      </c>
      <c r="O13973">
        <v>4</v>
      </c>
      <c r="P13973">
        <v>0</v>
      </c>
      <c r="Q13973">
        <v>0</v>
      </c>
    </row>
    <row r="13974" spans="1:17" x14ac:dyDescent="0.2">
      <c r="A13974" s="121">
        <v>43861</v>
      </c>
      <c r="B13974" t="s">
        <v>406</v>
      </c>
      <c r="C13974" t="s">
        <v>577</v>
      </c>
      <c r="D13974" t="s">
        <v>578</v>
      </c>
      <c r="E13974" t="s">
        <v>579</v>
      </c>
      <c r="F13974" t="s">
        <v>413</v>
      </c>
      <c r="G13974">
        <v>4097</v>
      </c>
      <c r="H13974">
        <v>4097</v>
      </c>
      <c r="I13974">
        <v>3987</v>
      </c>
      <c r="J13974">
        <v>3987</v>
      </c>
      <c r="K13974">
        <v>1468</v>
      </c>
      <c r="L13974">
        <v>9</v>
      </c>
      <c r="M13974">
        <v>2380</v>
      </c>
      <c r="N13974">
        <v>207</v>
      </c>
      <c r="O13974">
        <v>33</v>
      </c>
      <c r="P13974">
        <v>1</v>
      </c>
      <c r="Q13974">
        <v>0</v>
      </c>
    </row>
    <row r="13975" spans="1:17" x14ac:dyDescent="0.2">
      <c r="A13975" s="121">
        <v>43861</v>
      </c>
      <c r="B13975" t="s">
        <v>406</v>
      </c>
      <c r="C13975" t="s">
        <v>577</v>
      </c>
      <c r="D13975" t="s">
        <v>580</v>
      </c>
      <c r="E13975" t="s">
        <v>581</v>
      </c>
      <c r="F13975" t="s">
        <v>413</v>
      </c>
      <c r="G13975">
        <v>1942</v>
      </c>
      <c r="H13975">
        <v>1942</v>
      </c>
      <c r="I13975">
        <v>1882</v>
      </c>
      <c r="J13975">
        <v>1882</v>
      </c>
      <c r="K13975">
        <v>383</v>
      </c>
      <c r="L13975">
        <v>2</v>
      </c>
      <c r="M13975">
        <v>1292</v>
      </c>
      <c r="N13975">
        <v>253</v>
      </c>
      <c r="O13975">
        <v>12</v>
      </c>
      <c r="P13975">
        <v>1</v>
      </c>
      <c r="Q13975">
        <v>0</v>
      </c>
    </row>
    <row r="13976" spans="1:17" x14ac:dyDescent="0.2">
      <c r="A13976" s="121">
        <v>43861</v>
      </c>
      <c r="B13976" t="s">
        <v>406</v>
      </c>
      <c r="C13976" t="s">
        <v>577</v>
      </c>
      <c r="D13976" t="s">
        <v>584</v>
      </c>
      <c r="E13976" t="s">
        <v>585</v>
      </c>
      <c r="F13976" t="s">
        <v>410</v>
      </c>
      <c r="G13976">
        <v>274</v>
      </c>
      <c r="H13976">
        <v>274</v>
      </c>
      <c r="I13976">
        <v>273</v>
      </c>
      <c r="J13976">
        <v>273</v>
      </c>
      <c r="K13976">
        <v>0</v>
      </c>
      <c r="L13976">
        <v>0</v>
      </c>
      <c r="M13976">
        <v>264</v>
      </c>
      <c r="N13976">
        <v>10</v>
      </c>
      <c r="O13976">
        <v>0</v>
      </c>
      <c r="P13976">
        <v>0</v>
      </c>
      <c r="Q13976">
        <v>0</v>
      </c>
    </row>
    <row r="13977" spans="1:17" x14ac:dyDescent="0.2">
      <c r="A13977" s="121">
        <v>43861</v>
      </c>
      <c r="B13977" t="s">
        <v>406</v>
      </c>
      <c r="C13977" t="s">
        <v>577</v>
      </c>
      <c r="D13977" t="s">
        <v>586</v>
      </c>
      <c r="E13977" t="s">
        <v>587</v>
      </c>
      <c r="F13977" t="s">
        <v>410</v>
      </c>
      <c r="G13977">
        <v>1326</v>
      </c>
      <c r="H13977">
        <v>1326</v>
      </c>
      <c r="I13977">
        <v>1325</v>
      </c>
      <c r="J13977">
        <v>1325</v>
      </c>
      <c r="K13977">
        <v>0</v>
      </c>
      <c r="L13977">
        <v>0</v>
      </c>
      <c r="M13977">
        <v>1238</v>
      </c>
      <c r="N13977">
        <v>86</v>
      </c>
      <c r="O13977">
        <v>2</v>
      </c>
      <c r="P13977">
        <v>0</v>
      </c>
      <c r="Q13977">
        <v>0</v>
      </c>
    </row>
    <row r="13978" spans="1:17" x14ac:dyDescent="0.2">
      <c r="A13978" s="121">
        <v>43861</v>
      </c>
      <c r="B13978" t="s">
        <v>406</v>
      </c>
      <c r="C13978" t="s">
        <v>577</v>
      </c>
      <c r="D13978" t="s">
        <v>613</v>
      </c>
      <c r="E13978" t="s">
        <v>614</v>
      </c>
      <c r="F13978" t="s">
        <v>410</v>
      </c>
      <c r="G13978">
        <v>143</v>
      </c>
      <c r="H13978">
        <v>143</v>
      </c>
      <c r="I13978">
        <v>143</v>
      </c>
      <c r="J13978">
        <v>143</v>
      </c>
      <c r="K13978">
        <v>0</v>
      </c>
      <c r="L13978">
        <v>0</v>
      </c>
      <c r="M13978">
        <v>133</v>
      </c>
      <c r="N13978">
        <v>6</v>
      </c>
      <c r="O13978">
        <v>4</v>
      </c>
      <c r="P13978">
        <v>0</v>
      </c>
      <c r="Q13978">
        <v>0</v>
      </c>
    </row>
    <row r="13979" spans="1:17" x14ac:dyDescent="0.2">
      <c r="A13979" s="121">
        <v>43861</v>
      </c>
      <c r="B13979" t="s">
        <v>406</v>
      </c>
      <c r="C13979" t="s">
        <v>577</v>
      </c>
      <c r="D13979" t="s">
        <v>590</v>
      </c>
      <c r="E13979" t="s">
        <v>591</v>
      </c>
      <c r="F13979" t="s">
        <v>410</v>
      </c>
      <c r="G13979">
        <v>428</v>
      </c>
      <c r="H13979">
        <v>428</v>
      </c>
      <c r="I13979">
        <v>428</v>
      </c>
      <c r="J13979">
        <v>428</v>
      </c>
      <c r="K13979">
        <v>0</v>
      </c>
      <c r="L13979">
        <v>1</v>
      </c>
      <c r="M13979">
        <v>416</v>
      </c>
      <c r="N13979">
        <v>11</v>
      </c>
      <c r="O13979">
        <v>0</v>
      </c>
      <c r="P13979">
        <v>0</v>
      </c>
      <c r="Q13979">
        <v>0</v>
      </c>
    </row>
    <row r="13980" spans="1:17" x14ac:dyDescent="0.2">
      <c r="A13980" s="121">
        <v>43861</v>
      </c>
      <c r="B13980" t="s">
        <v>406</v>
      </c>
      <c r="C13980" t="s">
        <v>577</v>
      </c>
      <c r="D13980" t="s">
        <v>607</v>
      </c>
      <c r="E13980" t="s">
        <v>608</v>
      </c>
      <c r="F13980" t="s">
        <v>410</v>
      </c>
      <c r="G13980">
        <v>110</v>
      </c>
      <c r="H13980">
        <v>110</v>
      </c>
      <c r="I13980">
        <v>110</v>
      </c>
      <c r="J13980">
        <v>110</v>
      </c>
      <c r="K13980">
        <v>0</v>
      </c>
      <c r="L13980">
        <v>0</v>
      </c>
      <c r="M13980">
        <v>106</v>
      </c>
      <c r="N13980">
        <v>4</v>
      </c>
      <c r="O13980">
        <v>0</v>
      </c>
      <c r="P13980">
        <v>0</v>
      </c>
      <c r="Q13980">
        <v>0</v>
      </c>
    </row>
    <row r="13981" spans="1:17" x14ac:dyDescent="0.2">
      <c r="A13981" s="121">
        <v>43861</v>
      </c>
      <c r="B13981" t="s">
        <v>406</v>
      </c>
      <c r="C13981" t="s">
        <v>577</v>
      </c>
      <c r="D13981" t="s">
        <v>592</v>
      </c>
      <c r="E13981" t="s">
        <v>593</v>
      </c>
      <c r="F13981" t="s">
        <v>410</v>
      </c>
      <c r="G13981">
        <v>194</v>
      </c>
      <c r="H13981">
        <v>194</v>
      </c>
      <c r="I13981">
        <v>194</v>
      </c>
      <c r="J13981">
        <v>194</v>
      </c>
      <c r="K13981">
        <v>0</v>
      </c>
      <c r="L13981">
        <v>1</v>
      </c>
      <c r="M13981">
        <v>164</v>
      </c>
      <c r="N13981">
        <v>29</v>
      </c>
      <c r="O13981">
        <v>0</v>
      </c>
      <c r="P13981">
        <v>0</v>
      </c>
      <c r="Q13981">
        <v>0</v>
      </c>
    </row>
    <row r="13982" spans="1:17" x14ac:dyDescent="0.2">
      <c r="A13982" s="121">
        <v>43861</v>
      </c>
      <c r="B13982" t="s">
        <v>406</v>
      </c>
      <c r="C13982" t="s">
        <v>594</v>
      </c>
      <c r="D13982" t="s">
        <v>595</v>
      </c>
      <c r="E13982" t="s">
        <v>596</v>
      </c>
      <c r="F13982" t="s">
        <v>410</v>
      </c>
      <c r="G13982">
        <v>72</v>
      </c>
      <c r="I13982">
        <v>72</v>
      </c>
    </row>
    <row r="13983" spans="1:17" x14ac:dyDescent="0.2">
      <c r="A13983" s="121">
        <v>43861</v>
      </c>
      <c r="B13983" t="s">
        <v>406</v>
      </c>
      <c r="C13983" t="s">
        <v>594</v>
      </c>
      <c r="D13983" t="s">
        <v>597</v>
      </c>
      <c r="E13983" t="s">
        <v>598</v>
      </c>
      <c r="F13983" t="s">
        <v>413</v>
      </c>
      <c r="G13983">
        <v>554</v>
      </c>
      <c r="H13983">
        <v>554</v>
      </c>
      <c r="I13983">
        <v>534</v>
      </c>
      <c r="J13983">
        <v>534</v>
      </c>
      <c r="K13983">
        <v>171</v>
      </c>
      <c r="L13983">
        <v>1</v>
      </c>
      <c r="M13983">
        <v>369</v>
      </c>
      <c r="N13983">
        <v>5</v>
      </c>
      <c r="O13983">
        <v>8</v>
      </c>
      <c r="P13983">
        <v>0</v>
      </c>
      <c r="Q13983">
        <v>0</v>
      </c>
    </row>
    <row r="13984" spans="1:17" x14ac:dyDescent="0.2">
      <c r="A13984" s="121">
        <v>43861</v>
      </c>
      <c r="B13984" t="s">
        <v>406</v>
      </c>
      <c r="C13984" t="s">
        <v>594</v>
      </c>
      <c r="D13984" t="s">
        <v>599</v>
      </c>
      <c r="E13984" t="s">
        <v>600</v>
      </c>
      <c r="F13984" t="s">
        <v>410</v>
      </c>
      <c r="G13984">
        <v>122</v>
      </c>
      <c r="H13984">
        <v>122</v>
      </c>
      <c r="I13984">
        <v>122</v>
      </c>
      <c r="J13984">
        <v>122</v>
      </c>
      <c r="K13984">
        <v>7</v>
      </c>
      <c r="L13984">
        <v>0</v>
      </c>
      <c r="M13984">
        <v>112</v>
      </c>
      <c r="N13984">
        <v>1</v>
      </c>
      <c r="O13984">
        <v>2</v>
      </c>
      <c r="P13984">
        <v>0</v>
      </c>
      <c r="Q13984">
        <v>0</v>
      </c>
    </row>
    <row r="13985" spans="1:17" x14ac:dyDescent="0.2">
      <c r="A13985" s="121">
        <v>43890</v>
      </c>
      <c r="B13985" t="s">
        <v>406</v>
      </c>
      <c r="C13985" t="s">
        <v>407</v>
      </c>
      <c r="D13985" t="s">
        <v>408</v>
      </c>
      <c r="E13985" t="s">
        <v>409</v>
      </c>
      <c r="F13985" t="s">
        <v>410</v>
      </c>
      <c r="G13985">
        <v>148</v>
      </c>
      <c r="I13985">
        <v>142</v>
      </c>
    </row>
    <row r="13986" spans="1:17" x14ac:dyDescent="0.2">
      <c r="A13986" s="121">
        <v>43890</v>
      </c>
      <c r="B13986" t="s">
        <v>406</v>
      </c>
      <c r="C13986" t="s">
        <v>407</v>
      </c>
      <c r="D13986" t="s">
        <v>601</v>
      </c>
      <c r="E13986" t="s">
        <v>602</v>
      </c>
      <c r="F13986" t="s">
        <v>410</v>
      </c>
      <c r="G13986">
        <v>64</v>
      </c>
      <c r="I13986">
        <v>64</v>
      </c>
    </row>
    <row r="13987" spans="1:17" x14ac:dyDescent="0.2">
      <c r="A13987" s="121">
        <v>43890</v>
      </c>
      <c r="B13987" t="s">
        <v>406</v>
      </c>
      <c r="C13987" t="s">
        <v>407</v>
      </c>
      <c r="D13987" t="s">
        <v>411</v>
      </c>
      <c r="E13987" t="s">
        <v>412</v>
      </c>
      <c r="F13987" t="s">
        <v>413</v>
      </c>
      <c r="G13987">
        <v>5336</v>
      </c>
      <c r="H13987">
        <v>5336</v>
      </c>
      <c r="I13987">
        <v>4424</v>
      </c>
      <c r="J13987">
        <v>4424</v>
      </c>
      <c r="K13987">
        <v>1721</v>
      </c>
      <c r="L13987">
        <v>9</v>
      </c>
      <c r="M13987">
        <v>3246</v>
      </c>
      <c r="N13987">
        <v>47</v>
      </c>
      <c r="O13987">
        <v>313</v>
      </c>
      <c r="P13987">
        <v>413</v>
      </c>
      <c r="Q13987">
        <v>226</v>
      </c>
    </row>
    <row r="13988" spans="1:17" x14ac:dyDescent="0.2">
      <c r="A13988" s="121">
        <v>43890</v>
      </c>
      <c r="B13988" t="s">
        <v>406</v>
      </c>
      <c r="C13988" t="s">
        <v>407</v>
      </c>
      <c r="D13988" t="s">
        <v>416</v>
      </c>
      <c r="E13988" t="s">
        <v>417</v>
      </c>
      <c r="F13988" t="s">
        <v>413</v>
      </c>
      <c r="G13988">
        <v>2661</v>
      </c>
      <c r="H13988">
        <v>2661</v>
      </c>
      <c r="I13988">
        <v>1732</v>
      </c>
      <c r="J13988">
        <v>1732</v>
      </c>
      <c r="K13988">
        <v>760</v>
      </c>
      <c r="L13988">
        <v>10</v>
      </c>
      <c r="M13988">
        <v>1760</v>
      </c>
      <c r="N13988">
        <v>97</v>
      </c>
      <c r="O13988">
        <v>34</v>
      </c>
      <c r="P13988">
        <v>403</v>
      </c>
      <c r="Q13988">
        <v>203</v>
      </c>
    </row>
    <row r="13989" spans="1:17" x14ac:dyDescent="0.2">
      <c r="A13989" s="121">
        <v>43890</v>
      </c>
      <c r="B13989" t="s">
        <v>406</v>
      </c>
      <c r="C13989" t="s">
        <v>407</v>
      </c>
      <c r="D13989" t="s">
        <v>618</v>
      </c>
      <c r="E13989" t="s">
        <v>619</v>
      </c>
      <c r="F13989" t="s">
        <v>410</v>
      </c>
      <c r="G13989">
        <v>76</v>
      </c>
      <c r="I13989">
        <v>76</v>
      </c>
    </row>
    <row r="13990" spans="1:17" x14ac:dyDescent="0.2">
      <c r="A13990" s="121">
        <v>43890</v>
      </c>
      <c r="B13990" t="s">
        <v>406</v>
      </c>
      <c r="C13990" t="s">
        <v>418</v>
      </c>
      <c r="D13990" t="s">
        <v>419</v>
      </c>
      <c r="E13990" t="s">
        <v>420</v>
      </c>
      <c r="F13990" t="s">
        <v>410</v>
      </c>
      <c r="G13990">
        <v>17</v>
      </c>
      <c r="I13990">
        <v>17</v>
      </c>
    </row>
    <row r="13991" spans="1:17" x14ac:dyDescent="0.2">
      <c r="A13991" s="121">
        <v>43890</v>
      </c>
      <c r="B13991" t="s">
        <v>406</v>
      </c>
      <c r="C13991" t="s">
        <v>418</v>
      </c>
      <c r="D13991" t="s">
        <v>421</v>
      </c>
      <c r="E13991" t="s">
        <v>422</v>
      </c>
      <c r="F13991" t="s">
        <v>410</v>
      </c>
      <c r="G13991">
        <v>63</v>
      </c>
      <c r="I13991">
        <v>63</v>
      </c>
    </row>
    <row r="13992" spans="1:17" x14ac:dyDescent="0.2">
      <c r="A13992" s="121">
        <v>43890</v>
      </c>
      <c r="B13992" t="s">
        <v>406</v>
      </c>
      <c r="C13992" t="s">
        <v>418</v>
      </c>
      <c r="D13992" t="s">
        <v>423</v>
      </c>
      <c r="E13992" t="s">
        <v>424</v>
      </c>
      <c r="F13992" t="s">
        <v>410</v>
      </c>
      <c r="G13992">
        <v>11</v>
      </c>
      <c r="I13992">
        <v>11</v>
      </c>
    </row>
    <row r="13993" spans="1:17" x14ac:dyDescent="0.2">
      <c r="A13993" s="121">
        <v>43890</v>
      </c>
      <c r="B13993" t="s">
        <v>406</v>
      </c>
      <c r="C13993" t="s">
        <v>418</v>
      </c>
      <c r="D13993" t="s">
        <v>425</v>
      </c>
      <c r="E13993" t="s">
        <v>426</v>
      </c>
      <c r="F13993" t="s">
        <v>410</v>
      </c>
      <c r="G13993">
        <v>49</v>
      </c>
      <c r="I13993">
        <v>49</v>
      </c>
    </row>
    <row r="13994" spans="1:17" x14ac:dyDescent="0.2">
      <c r="A13994" s="121">
        <v>43890</v>
      </c>
      <c r="B13994" t="s">
        <v>406</v>
      </c>
      <c r="C13994" t="s">
        <v>418</v>
      </c>
      <c r="D13994" t="s">
        <v>427</v>
      </c>
      <c r="E13994" t="s">
        <v>428</v>
      </c>
      <c r="F13994" t="s">
        <v>413</v>
      </c>
      <c r="G13994">
        <v>2304</v>
      </c>
      <c r="H13994">
        <v>2304</v>
      </c>
      <c r="I13994">
        <v>1994</v>
      </c>
      <c r="J13994">
        <v>1994</v>
      </c>
      <c r="K13994">
        <v>807</v>
      </c>
      <c r="L13994">
        <v>4</v>
      </c>
      <c r="M13994">
        <v>1324</v>
      </c>
      <c r="N13994">
        <v>147</v>
      </c>
      <c r="O13994">
        <v>22</v>
      </c>
      <c r="P13994">
        <v>61</v>
      </c>
      <c r="Q13994">
        <v>17</v>
      </c>
    </row>
    <row r="13995" spans="1:17" x14ac:dyDescent="0.2">
      <c r="A13995" s="121">
        <v>43890</v>
      </c>
      <c r="B13995" t="s">
        <v>406</v>
      </c>
      <c r="C13995" t="s">
        <v>429</v>
      </c>
      <c r="D13995" t="s">
        <v>430</v>
      </c>
      <c r="E13995" t="s">
        <v>431</v>
      </c>
      <c r="F13995" t="s">
        <v>410</v>
      </c>
      <c r="G13995">
        <v>23</v>
      </c>
      <c r="I13995">
        <v>23</v>
      </c>
    </row>
    <row r="13996" spans="1:17" x14ac:dyDescent="0.2">
      <c r="A13996" s="121">
        <v>43890</v>
      </c>
      <c r="B13996" t="s">
        <v>406</v>
      </c>
      <c r="C13996" t="s">
        <v>429</v>
      </c>
      <c r="D13996" t="s">
        <v>432</v>
      </c>
      <c r="E13996" t="s">
        <v>433</v>
      </c>
      <c r="F13996" t="s">
        <v>410</v>
      </c>
      <c r="G13996">
        <v>18</v>
      </c>
      <c r="I13996">
        <v>18</v>
      </c>
    </row>
    <row r="13997" spans="1:17" x14ac:dyDescent="0.2">
      <c r="A13997" s="121">
        <v>43890</v>
      </c>
      <c r="B13997" t="s">
        <v>406</v>
      </c>
      <c r="C13997" t="s">
        <v>429</v>
      </c>
      <c r="D13997" t="s">
        <v>436</v>
      </c>
      <c r="E13997" t="s">
        <v>437</v>
      </c>
      <c r="F13997" t="s">
        <v>410</v>
      </c>
      <c r="G13997">
        <v>7</v>
      </c>
      <c r="H13997">
        <v>7</v>
      </c>
      <c r="I13997">
        <v>7</v>
      </c>
      <c r="J13997">
        <v>7</v>
      </c>
      <c r="K13997">
        <v>0</v>
      </c>
      <c r="L13997">
        <v>0</v>
      </c>
      <c r="M13997">
        <v>7</v>
      </c>
      <c r="N13997">
        <v>0</v>
      </c>
      <c r="O13997">
        <v>0</v>
      </c>
      <c r="P13997">
        <v>0</v>
      </c>
      <c r="Q13997">
        <v>0</v>
      </c>
    </row>
    <row r="13998" spans="1:17" x14ac:dyDescent="0.2">
      <c r="A13998" s="121">
        <v>43890</v>
      </c>
      <c r="B13998" t="s">
        <v>406</v>
      </c>
      <c r="C13998" t="s">
        <v>429</v>
      </c>
      <c r="D13998" t="s">
        <v>438</v>
      </c>
      <c r="E13998" t="s">
        <v>439</v>
      </c>
      <c r="F13998" t="s">
        <v>413</v>
      </c>
      <c r="G13998">
        <v>995</v>
      </c>
      <c r="H13998">
        <v>995</v>
      </c>
      <c r="I13998">
        <v>882</v>
      </c>
      <c r="J13998">
        <v>882</v>
      </c>
      <c r="K13998">
        <v>90</v>
      </c>
      <c r="L13998">
        <v>0</v>
      </c>
      <c r="M13998">
        <v>805</v>
      </c>
      <c r="N13998">
        <v>72</v>
      </c>
      <c r="O13998">
        <v>28</v>
      </c>
      <c r="P13998">
        <v>16</v>
      </c>
      <c r="Q13998">
        <v>2</v>
      </c>
    </row>
    <row r="13999" spans="1:17" x14ac:dyDescent="0.2">
      <c r="A13999" s="121">
        <v>43890</v>
      </c>
      <c r="B13999" t="s">
        <v>406</v>
      </c>
      <c r="C13999" t="s">
        <v>429</v>
      </c>
      <c r="D13999" t="s">
        <v>440</v>
      </c>
      <c r="E13999" t="s">
        <v>441</v>
      </c>
      <c r="F13999" t="s">
        <v>413</v>
      </c>
      <c r="G13999">
        <v>2656</v>
      </c>
      <c r="H13999">
        <v>2656</v>
      </c>
      <c r="I13999">
        <v>2351</v>
      </c>
      <c r="J13999">
        <v>2351</v>
      </c>
      <c r="K13999">
        <v>792</v>
      </c>
      <c r="L13999">
        <v>3</v>
      </c>
      <c r="M13999">
        <v>1766</v>
      </c>
      <c r="N13999">
        <v>48</v>
      </c>
      <c r="O13999">
        <v>47</v>
      </c>
      <c r="P13999">
        <v>34</v>
      </c>
      <c r="Q13999">
        <v>7</v>
      </c>
    </row>
    <row r="14000" spans="1:17" x14ac:dyDescent="0.2">
      <c r="A14000" s="121">
        <v>43890</v>
      </c>
      <c r="B14000" t="s">
        <v>406</v>
      </c>
      <c r="C14000" t="s">
        <v>442</v>
      </c>
      <c r="D14000" t="s">
        <v>443</v>
      </c>
      <c r="E14000" t="s">
        <v>444</v>
      </c>
      <c r="F14000" t="s">
        <v>413</v>
      </c>
      <c r="G14000">
        <v>5317</v>
      </c>
      <c r="H14000">
        <v>5317</v>
      </c>
      <c r="I14000">
        <v>4608</v>
      </c>
      <c r="J14000">
        <v>4608</v>
      </c>
      <c r="K14000">
        <v>1698</v>
      </c>
      <c r="L14000">
        <v>8</v>
      </c>
      <c r="M14000">
        <v>3430</v>
      </c>
      <c r="N14000">
        <v>116</v>
      </c>
      <c r="O14000">
        <v>65</v>
      </c>
      <c r="P14000">
        <v>50</v>
      </c>
      <c r="Q14000">
        <v>0</v>
      </c>
    </row>
    <row r="14001" spans="1:17" x14ac:dyDescent="0.2">
      <c r="A14001" s="121">
        <v>43890</v>
      </c>
      <c r="B14001" t="s">
        <v>406</v>
      </c>
      <c r="C14001" t="s">
        <v>442</v>
      </c>
      <c r="D14001" t="s">
        <v>445</v>
      </c>
      <c r="E14001" t="s">
        <v>446</v>
      </c>
      <c r="F14001" t="s">
        <v>410</v>
      </c>
      <c r="G14001">
        <v>130</v>
      </c>
      <c r="H14001">
        <v>130</v>
      </c>
      <c r="I14001">
        <v>130</v>
      </c>
      <c r="J14001">
        <v>130</v>
      </c>
      <c r="K14001">
        <v>1</v>
      </c>
      <c r="L14001">
        <v>0</v>
      </c>
      <c r="M14001">
        <v>128</v>
      </c>
      <c r="N14001">
        <v>0</v>
      </c>
      <c r="O14001">
        <v>1</v>
      </c>
      <c r="P14001">
        <v>0</v>
      </c>
      <c r="Q14001">
        <v>0</v>
      </c>
    </row>
    <row r="14002" spans="1:17" x14ac:dyDescent="0.2">
      <c r="A14002" s="121">
        <v>43890</v>
      </c>
      <c r="B14002" t="s">
        <v>406</v>
      </c>
      <c r="C14002" t="s">
        <v>442</v>
      </c>
      <c r="D14002" t="s">
        <v>447</v>
      </c>
      <c r="E14002" t="s">
        <v>448</v>
      </c>
      <c r="F14002" t="s">
        <v>410</v>
      </c>
      <c r="G14002">
        <v>252</v>
      </c>
      <c r="H14002">
        <v>252</v>
      </c>
      <c r="I14002">
        <v>251</v>
      </c>
      <c r="J14002">
        <v>251</v>
      </c>
      <c r="K14002">
        <v>0</v>
      </c>
      <c r="L14002">
        <v>0</v>
      </c>
      <c r="M14002">
        <v>238</v>
      </c>
      <c r="N14002">
        <v>14</v>
      </c>
      <c r="O14002">
        <v>0</v>
      </c>
      <c r="P14002">
        <v>0</v>
      </c>
      <c r="Q14002">
        <v>0</v>
      </c>
    </row>
    <row r="14003" spans="1:17" x14ac:dyDescent="0.2">
      <c r="A14003" s="121">
        <v>43890</v>
      </c>
      <c r="B14003" t="s">
        <v>406</v>
      </c>
      <c r="C14003" t="s">
        <v>442</v>
      </c>
      <c r="D14003" t="s">
        <v>449</v>
      </c>
      <c r="E14003" t="s">
        <v>624</v>
      </c>
      <c r="F14003" t="s">
        <v>410</v>
      </c>
      <c r="G14003">
        <v>1500</v>
      </c>
      <c r="H14003">
        <v>1500</v>
      </c>
      <c r="I14003">
        <v>1498</v>
      </c>
      <c r="J14003">
        <v>1498</v>
      </c>
      <c r="K14003">
        <v>18</v>
      </c>
      <c r="L14003">
        <v>0</v>
      </c>
      <c r="M14003">
        <v>1357</v>
      </c>
      <c r="N14003">
        <v>118</v>
      </c>
      <c r="O14003">
        <v>7</v>
      </c>
      <c r="P14003">
        <v>0</v>
      </c>
      <c r="Q14003">
        <v>0</v>
      </c>
    </row>
    <row r="14004" spans="1:17" x14ac:dyDescent="0.2">
      <c r="A14004" s="121">
        <v>43890</v>
      </c>
      <c r="B14004" t="s">
        <v>406</v>
      </c>
      <c r="C14004" t="s">
        <v>451</v>
      </c>
      <c r="D14004" t="s">
        <v>454</v>
      </c>
      <c r="E14004" t="s">
        <v>621</v>
      </c>
      <c r="F14004" t="s">
        <v>410</v>
      </c>
      <c r="G14004">
        <v>1761</v>
      </c>
      <c r="H14004">
        <v>1761</v>
      </c>
      <c r="I14004">
        <v>1754</v>
      </c>
      <c r="J14004">
        <v>1754</v>
      </c>
      <c r="K14004">
        <v>3</v>
      </c>
      <c r="L14004">
        <v>0</v>
      </c>
      <c r="M14004">
        <v>1488</v>
      </c>
      <c r="N14004">
        <v>9</v>
      </c>
      <c r="O14004">
        <v>261</v>
      </c>
      <c r="P14004">
        <v>0</v>
      </c>
      <c r="Q14004">
        <v>0</v>
      </c>
    </row>
    <row r="14005" spans="1:17" x14ac:dyDescent="0.2">
      <c r="A14005" s="121">
        <v>43890</v>
      </c>
      <c r="B14005" t="s">
        <v>406</v>
      </c>
      <c r="C14005" t="s">
        <v>451</v>
      </c>
      <c r="D14005" t="s">
        <v>622</v>
      </c>
      <c r="E14005" t="s">
        <v>623</v>
      </c>
      <c r="F14005" t="s">
        <v>413</v>
      </c>
      <c r="G14005">
        <v>5014</v>
      </c>
      <c r="H14005">
        <v>5014</v>
      </c>
      <c r="I14005">
        <v>4638</v>
      </c>
      <c r="J14005">
        <v>4638</v>
      </c>
      <c r="K14005">
        <v>1479</v>
      </c>
      <c r="L14005">
        <v>10</v>
      </c>
      <c r="M14005">
        <v>3386</v>
      </c>
      <c r="N14005">
        <v>29</v>
      </c>
      <c r="O14005">
        <v>110</v>
      </c>
      <c r="P14005">
        <v>4</v>
      </c>
      <c r="Q14005">
        <v>1</v>
      </c>
    </row>
    <row r="14006" spans="1:17" x14ac:dyDescent="0.2">
      <c r="A14006" s="121">
        <v>43890</v>
      </c>
      <c r="B14006" t="s">
        <v>406</v>
      </c>
      <c r="C14006" t="s">
        <v>456</v>
      </c>
      <c r="D14006" t="s">
        <v>457</v>
      </c>
      <c r="E14006" t="s">
        <v>458</v>
      </c>
      <c r="F14006" t="s">
        <v>413</v>
      </c>
      <c r="G14006">
        <v>4679</v>
      </c>
      <c r="H14006">
        <v>4679</v>
      </c>
      <c r="I14006">
        <v>4085</v>
      </c>
      <c r="J14006">
        <v>4085</v>
      </c>
      <c r="K14006">
        <v>1268</v>
      </c>
      <c r="L14006">
        <v>8</v>
      </c>
      <c r="M14006">
        <v>3072</v>
      </c>
      <c r="N14006">
        <v>13</v>
      </c>
      <c r="O14006">
        <v>318</v>
      </c>
      <c r="P14006">
        <v>24</v>
      </c>
      <c r="Q14006">
        <v>4</v>
      </c>
    </row>
    <row r="14007" spans="1:17" x14ac:dyDescent="0.2">
      <c r="A14007" s="121">
        <v>43890</v>
      </c>
      <c r="B14007" t="s">
        <v>406</v>
      </c>
      <c r="C14007" t="s">
        <v>456</v>
      </c>
      <c r="D14007" t="s">
        <v>459</v>
      </c>
      <c r="E14007" t="s">
        <v>460</v>
      </c>
      <c r="F14007" t="s">
        <v>413</v>
      </c>
      <c r="G14007">
        <v>1284</v>
      </c>
      <c r="H14007">
        <v>1284</v>
      </c>
      <c r="I14007">
        <v>1256</v>
      </c>
      <c r="J14007">
        <v>1256</v>
      </c>
      <c r="K14007">
        <v>94</v>
      </c>
      <c r="L14007">
        <v>0</v>
      </c>
      <c r="M14007">
        <v>1133</v>
      </c>
      <c r="N14007">
        <v>0</v>
      </c>
      <c r="O14007">
        <v>57</v>
      </c>
      <c r="P14007">
        <v>0</v>
      </c>
      <c r="Q14007">
        <v>0</v>
      </c>
    </row>
    <row r="14008" spans="1:17" x14ac:dyDescent="0.2">
      <c r="A14008" s="121">
        <v>43890</v>
      </c>
      <c r="B14008" t="s">
        <v>406</v>
      </c>
      <c r="C14008" t="s">
        <v>456</v>
      </c>
      <c r="D14008" t="s">
        <v>461</v>
      </c>
      <c r="E14008" t="s">
        <v>462</v>
      </c>
      <c r="F14008" t="s">
        <v>410</v>
      </c>
      <c r="G14008">
        <v>91</v>
      </c>
      <c r="I14008">
        <v>91</v>
      </c>
    </row>
    <row r="14009" spans="1:17" x14ac:dyDescent="0.2">
      <c r="A14009" s="121">
        <v>43890</v>
      </c>
      <c r="B14009" t="s">
        <v>406</v>
      </c>
      <c r="C14009" t="s">
        <v>456</v>
      </c>
      <c r="D14009" t="s">
        <v>465</v>
      </c>
      <c r="E14009" t="s">
        <v>466</v>
      </c>
      <c r="F14009" t="s">
        <v>410</v>
      </c>
      <c r="G14009">
        <v>17</v>
      </c>
      <c r="I14009">
        <v>17</v>
      </c>
    </row>
    <row r="14010" spans="1:17" x14ac:dyDescent="0.2">
      <c r="A14010" s="121">
        <v>43890</v>
      </c>
      <c r="B14010" t="s">
        <v>406</v>
      </c>
      <c r="C14010" t="s">
        <v>456</v>
      </c>
      <c r="D14010" t="s">
        <v>467</v>
      </c>
      <c r="E14010" t="s">
        <v>468</v>
      </c>
      <c r="F14010" t="s">
        <v>410</v>
      </c>
      <c r="G14010">
        <v>1258</v>
      </c>
      <c r="I14010">
        <v>1256</v>
      </c>
    </row>
    <row r="14011" spans="1:17" x14ac:dyDescent="0.2">
      <c r="A14011" s="121">
        <v>43890</v>
      </c>
      <c r="B14011" t="s">
        <v>406</v>
      </c>
      <c r="C14011" t="s">
        <v>456</v>
      </c>
      <c r="D14011" t="s">
        <v>469</v>
      </c>
      <c r="E14011" t="s">
        <v>470</v>
      </c>
      <c r="F14011" t="s">
        <v>410</v>
      </c>
      <c r="G14011">
        <v>541</v>
      </c>
      <c r="I14011">
        <v>541</v>
      </c>
    </row>
    <row r="14012" spans="1:17" x14ac:dyDescent="0.2">
      <c r="A14012" s="121">
        <v>43890</v>
      </c>
      <c r="B14012" t="s">
        <v>406</v>
      </c>
      <c r="C14012" t="s">
        <v>456</v>
      </c>
      <c r="D14012" t="s">
        <v>471</v>
      </c>
      <c r="E14012" t="s">
        <v>472</v>
      </c>
      <c r="F14012" t="s">
        <v>410</v>
      </c>
      <c r="G14012">
        <v>234</v>
      </c>
      <c r="I14012">
        <v>232</v>
      </c>
    </row>
    <row r="14013" spans="1:17" x14ac:dyDescent="0.2">
      <c r="A14013" s="121">
        <v>43890</v>
      </c>
      <c r="B14013" t="s">
        <v>406</v>
      </c>
      <c r="C14013" t="s">
        <v>456</v>
      </c>
      <c r="D14013" t="s">
        <v>473</v>
      </c>
      <c r="E14013" t="s">
        <v>474</v>
      </c>
      <c r="F14013" t="s">
        <v>410</v>
      </c>
      <c r="G14013">
        <v>102</v>
      </c>
      <c r="I14013">
        <v>102</v>
      </c>
    </row>
    <row r="14014" spans="1:17" x14ac:dyDescent="0.2">
      <c r="A14014" s="121">
        <v>43890</v>
      </c>
      <c r="B14014" t="s">
        <v>406</v>
      </c>
      <c r="C14014" t="s">
        <v>456</v>
      </c>
      <c r="D14014" t="s">
        <v>475</v>
      </c>
      <c r="E14014" t="s">
        <v>476</v>
      </c>
      <c r="F14014" t="s">
        <v>410</v>
      </c>
      <c r="G14014">
        <v>181</v>
      </c>
      <c r="I14014">
        <v>180</v>
      </c>
    </row>
    <row r="14015" spans="1:17" x14ac:dyDescent="0.2">
      <c r="A14015" s="121">
        <v>43890</v>
      </c>
      <c r="B14015" t="s">
        <v>406</v>
      </c>
      <c r="C14015" t="s">
        <v>456</v>
      </c>
      <c r="D14015" t="s">
        <v>477</v>
      </c>
      <c r="E14015" t="s">
        <v>478</v>
      </c>
      <c r="F14015" t="s">
        <v>413</v>
      </c>
      <c r="G14015">
        <v>2080</v>
      </c>
      <c r="H14015">
        <v>2080</v>
      </c>
      <c r="I14015">
        <v>1907</v>
      </c>
      <c r="J14015">
        <v>1907</v>
      </c>
      <c r="K14015">
        <v>524</v>
      </c>
      <c r="L14015">
        <v>0</v>
      </c>
      <c r="M14015">
        <v>1531</v>
      </c>
      <c r="N14015">
        <v>19</v>
      </c>
      <c r="O14015">
        <v>6</v>
      </c>
      <c r="P14015">
        <v>14</v>
      </c>
      <c r="Q14015">
        <v>2</v>
      </c>
    </row>
    <row r="14016" spans="1:17" x14ac:dyDescent="0.2">
      <c r="A14016" s="121">
        <v>43890</v>
      </c>
      <c r="B14016" t="s">
        <v>406</v>
      </c>
      <c r="C14016" t="s">
        <v>456</v>
      </c>
      <c r="D14016" t="s">
        <v>479</v>
      </c>
      <c r="E14016" t="s">
        <v>480</v>
      </c>
      <c r="F14016" t="s">
        <v>410</v>
      </c>
      <c r="G14016">
        <v>55</v>
      </c>
      <c r="I14016">
        <v>55</v>
      </c>
    </row>
    <row r="14017" spans="1:17" x14ac:dyDescent="0.2">
      <c r="A14017" s="121">
        <v>43890</v>
      </c>
      <c r="B14017" t="s">
        <v>406</v>
      </c>
      <c r="C14017" t="s">
        <v>456</v>
      </c>
      <c r="D14017" t="s">
        <v>481</v>
      </c>
      <c r="E14017" t="s">
        <v>482</v>
      </c>
      <c r="F14017" t="s">
        <v>410</v>
      </c>
      <c r="G14017">
        <v>17</v>
      </c>
      <c r="I14017">
        <v>17</v>
      </c>
    </row>
    <row r="14018" spans="1:17" x14ac:dyDescent="0.2">
      <c r="A14018" s="121">
        <v>43890</v>
      </c>
      <c r="B14018" t="s">
        <v>406</v>
      </c>
      <c r="C14018" t="s">
        <v>456</v>
      </c>
      <c r="D14018" t="s">
        <v>483</v>
      </c>
      <c r="E14018" t="s">
        <v>484</v>
      </c>
      <c r="F14018" t="s">
        <v>410</v>
      </c>
      <c r="G14018">
        <v>73</v>
      </c>
      <c r="I14018">
        <v>73</v>
      </c>
    </row>
    <row r="14019" spans="1:17" x14ac:dyDescent="0.2">
      <c r="A14019" s="121">
        <v>43890</v>
      </c>
      <c r="B14019" t="s">
        <v>406</v>
      </c>
      <c r="C14019" t="s">
        <v>456</v>
      </c>
      <c r="D14019" t="s">
        <v>489</v>
      </c>
      <c r="E14019" t="s">
        <v>490</v>
      </c>
      <c r="F14019" t="s">
        <v>410</v>
      </c>
      <c r="G14019">
        <v>56</v>
      </c>
      <c r="I14019">
        <v>56</v>
      </c>
    </row>
    <row r="14020" spans="1:17" x14ac:dyDescent="0.2">
      <c r="A14020" s="121">
        <v>43890</v>
      </c>
      <c r="B14020" t="s">
        <v>406</v>
      </c>
      <c r="C14020" t="s">
        <v>456</v>
      </c>
      <c r="D14020" t="s">
        <v>628</v>
      </c>
      <c r="E14020" t="s">
        <v>629</v>
      </c>
      <c r="F14020" t="s">
        <v>410</v>
      </c>
      <c r="G14020">
        <v>44</v>
      </c>
      <c r="I14020">
        <v>44</v>
      </c>
    </row>
    <row r="14021" spans="1:17" x14ac:dyDescent="0.2">
      <c r="A14021" s="121">
        <v>43890</v>
      </c>
      <c r="B14021" t="s">
        <v>406</v>
      </c>
      <c r="C14021" t="s">
        <v>491</v>
      </c>
      <c r="D14021" t="s">
        <v>492</v>
      </c>
      <c r="E14021" t="s">
        <v>493</v>
      </c>
      <c r="F14021" t="s">
        <v>410</v>
      </c>
      <c r="G14021">
        <v>1308</v>
      </c>
      <c r="H14021">
        <v>1308</v>
      </c>
      <c r="I14021">
        <v>1247</v>
      </c>
      <c r="J14021">
        <v>1247</v>
      </c>
      <c r="K14021">
        <v>192</v>
      </c>
      <c r="L14021">
        <v>0</v>
      </c>
      <c r="M14021">
        <v>1024</v>
      </c>
      <c r="N14021">
        <v>69</v>
      </c>
      <c r="O14021">
        <v>23</v>
      </c>
      <c r="P14021">
        <v>2</v>
      </c>
      <c r="Q14021">
        <v>0</v>
      </c>
    </row>
    <row r="14022" spans="1:17" x14ac:dyDescent="0.2">
      <c r="A14022" s="121">
        <v>43890</v>
      </c>
      <c r="B14022" t="s">
        <v>406</v>
      </c>
      <c r="C14022" t="s">
        <v>491</v>
      </c>
      <c r="D14022" t="s">
        <v>494</v>
      </c>
      <c r="E14022" t="s">
        <v>495</v>
      </c>
      <c r="F14022" t="s">
        <v>413</v>
      </c>
      <c r="G14022">
        <v>2454</v>
      </c>
      <c r="H14022">
        <v>2454</v>
      </c>
      <c r="I14022">
        <v>2264</v>
      </c>
      <c r="J14022">
        <v>2264</v>
      </c>
      <c r="K14022">
        <v>686</v>
      </c>
      <c r="L14022">
        <v>5</v>
      </c>
      <c r="M14022">
        <v>1680</v>
      </c>
      <c r="N14022">
        <v>41</v>
      </c>
      <c r="O14022">
        <v>42</v>
      </c>
      <c r="P14022">
        <v>11</v>
      </c>
      <c r="Q14022">
        <v>2</v>
      </c>
    </row>
    <row r="14023" spans="1:17" x14ac:dyDescent="0.2">
      <c r="A14023" s="121">
        <v>43890</v>
      </c>
      <c r="B14023" t="s">
        <v>406</v>
      </c>
      <c r="C14023" t="s">
        <v>491</v>
      </c>
      <c r="D14023" t="s">
        <v>496</v>
      </c>
      <c r="E14023" t="s">
        <v>497</v>
      </c>
      <c r="F14023" t="s">
        <v>413</v>
      </c>
      <c r="G14023">
        <v>5102</v>
      </c>
      <c r="H14023">
        <v>5102</v>
      </c>
      <c r="I14023">
        <v>4127</v>
      </c>
      <c r="J14023">
        <v>4127</v>
      </c>
      <c r="K14023">
        <v>1704</v>
      </c>
      <c r="L14023">
        <v>6</v>
      </c>
      <c r="M14023">
        <v>3243</v>
      </c>
      <c r="N14023">
        <v>66</v>
      </c>
      <c r="O14023">
        <v>83</v>
      </c>
      <c r="P14023">
        <v>179</v>
      </c>
      <c r="Q14023">
        <v>9</v>
      </c>
    </row>
    <row r="14024" spans="1:17" x14ac:dyDescent="0.2">
      <c r="A14024" s="121">
        <v>43890</v>
      </c>
      <c r="B14024" t="s">
        <v>406</v>
      </c>
      <c r="C14024" t="s">
        <v>491</v>
      </c>
      <c r="D14024" t="s">
        <v>498</v>
      </c>
      <c r="E14024" t="s">
        <v>499</v>
      </c>
      <c r="F14024" t="s">
        <v>413</v>
      </c>
      <c r="G14024">
        <v>7423</v>
      </c>
      <c r="H14024">
        <v>7423</v>
      </c>
      <c r="I14024">
        <v>6047</v>
      </c>
      <c r="J14024">
        <v>6047</v>
      </c>
      <c r="K14024">
        <v>2345</v>
      </c>
      <c r="L14024">
        <v>17</v>
      </c>
      <c r="M14024">
        <v>4598</v>
      </c>
      <c r="N14024">
        <v>99</v>
      </c>
      <c r="O14024">
        <v>364</v>
      </c>
      <c r="P14024">
        <v>87</v>
      </c>
      <c r="Q14024">
        <v>7</v>
      </c>
    </row>
    <row r="14025" spans="1:17" x14ac:dyDescent="0.2">
      <c r="A14025" s="121">
        <v>43890</v>
      </c>
      <c r="B14025" t="s">
        <v>406</v>
      </c>
      <c r="C14025" t="s">
        <v>491</v>
      </c>
      <c r="D14025" t="s">
        <v>500</v>
      </c>
      <c r="E14025" t="s">
        <v>620</v>
      </c>
      <c r="F14025" t="s">
        <v>410</v>
      </c>
      <c r="G14025">
        <v>1836</v>
      </c>
      <c r="H14025">
        <v>1836</v>
      </c>
      <c r="I14025">
        <v>1832</v>
      </c>
      <c r="J14025">
        <v>1832</v>
      </c>
      <c r="K14025">
        <v>1</v>
      </c>
      <c r="L14025">
        <v>0</v>
      </c>
      <c r="M14025">
        <v>1628</v>
      </c>
      <c r="N14025">
        <v>119</v>
      </c>
      <c r="O14025">
        <v>88</v>
      </c>
      <c r="P14025">
        <v>0</v>
      </c>
      <c r="Q14025">
        <v>0</v>
      </c>
    </row>
    <row r="14026" spans="1:17" x14ac:dyDescent="0.2">
      <c r="A14026" s="121">
        <v>43890</v>
      </c>
      <c r="B14026" t="s">
        <v>406</v>
      </c>
      <c r="C14026" t="s">
        <v>491</v>
      </c>
      <c r="D14026" t="s">
        <v>502</v>
      </c>
      <c r="E14026" t="s">
        <v>615</v>
      </c>
      <c r="F14026" t="s">
        <v>410</v>
      </c>
      <c r="G14026">
        <v>2783</v>
      </c>
      <c r="H14026">
        <v>2783</v>
      </c>
      <c r="I14026">
        <v>2782</v>
      </c>
      <c r="J14026">
        <v>2782</v>
      </c>
      <c r="K14026">
        <v>3</v>
      </c>
      <c r="L14026">
        <v>1</v>
      </c>
      <c r="M14026">
        <v>2491</v>
      </c>
      <c r="N14026">
        <v>173</v>
      </c>
      <c r="O14026">
        <v>115</v>
      </c>
      <c r="P14026">
        <v>0</v>
      </c>
      <c r="Q14026">
        <v>0</v>
      </c>
    </row>
    <row r="14027" spans="1:17" x14ac:dyDescent="0.2">
      <c r="A14027" s="121">
        <v>43890</v>
      </c>
      <c r="B14027" t="s">
        <v>406</v>
      </c>
      <c r="C14027" t="s">
        <v>491</v>
      </c>
      <c r="D14027" t="s">
        <v>504</v>
      </c>
      <c r="E14027" t="s">
        <v>630</v>
      </c>
      <c r="F14027" t="s">
        <v>413</v>
      </c>
      <c r="G14027">
        <v>7870</v>
      </c>
      <c r="H14027">
        <v>7870</v>
      </c>
      <c r="I14027">
        <v>5421</v>
      </c>
      <c r="J14027">
        <v>5421</v>
      </c>
      <c r="K14027">
        <v>2480</v>
      </c>
      <c r="L14027">
        <v>22</v>
      </c>
      <c r="M14027">
        <v>5112</v>
      </c>
      <c r="N14027">
        <v>28</v>
      </c>
      <c r="O14027">
        <v>228</v>
      </c>
      <c r="P14027">
        <v>412</v>
      </c>
      <c r="Q14027">
        <v>61</v>
      </c>
    </row>
    <row r="14028" spans="1:17" x14ac:dyDescent="0.2">
      <c r="A14028" s="121">
        <v>43890</v>
      </c>
      <c r="B14028" t="s">
        <v>406</v>
      </c>
      <c r="C14028" t="s">
        <v>491</v>
      </c>
      <c r="D14028" t="s">
        <v>506</v>
      </c>
      <c r="E14028" t="s">
        <v>507</v>
      </c>
      <c r="F14028" t="s">
        <v>413</v>
      </c>
      <c r="G14028">
        <v>5004</v>
      </c>
      <c r="H14028">
        <v>5004</v>
      </c>
      <c r="I14028">
        <v>4922</v>
      </c>
      <c r="J14028">
        <v>4922</v>
      </c>
      <c r="K14028">
        <v>1108</v>
      </c>
      <c r="L14028">
        <v>0</v>
      </c>
      <c r="M14028">
        <v>3883</v>
      </c>
      <c r="N14028">
        <v>0</v>
      </c>
      <c r="O14028">
        <v>13</v>
      </c>
      <c r="P14028">
        <v>1</v>
      </c>
      <c r="Q14028">
        <v>0</v>
      </c>
    </row>
    <row r="14029" spans="1:17" x14ac:dyDescent="0.2">
      <c r="A14029" s="121">
        <v>43890</v>
      </c>
      <c r="B14029" t="s">
        <v>406</v>
      </c>
      <c r="C14029" t="s">
        <v>510</v>
      </c>
      <c r="D14029" t="s">
        <v>513</v>
      </c>
      <c r="E14029" t="s">
        <v>514</v>
      </c>
      <c r="F14029" t="s">
        <v>410</v>
      </c>
      <c r="G14029">
        <v>682</v>
      </c>
      <c r="I14029">
        <v>682</v>
      </c>
    </row>
    <row r="14030" spans="1:17" x14ac:dyDescent="0.2">
      <c r="A14030" s="121">
        <v>43890</v>
      </c>
      <c r="B14030" t="s">
        <v>406</v>
      </c>
      <c r="C14030" t="s">
        <v>510</v>
      </c>
      <c r="D14030" t="s">
        <v>515</v>
      </c>
      <c r="E14030" t="s">
        <v>516</v>
      </c>
      <c r="F14030" t="s">
        <v>410</v>
      </c>
      <c r="G14030">
        <v>90</v>
      </c>
      <c r="I14030">
        <v>88</v>
      </c>
    </row>
    <row r="14031" spans="1:17" x14ac:dyDescent="0.2">
      <c r="A14031" s="121">
        <v>43890</v>
      </c>
      <c r="B14031" t="s">
        <v>406</v>
      </c>
      <c r="C14031" t="s">
        <v>510</v>
      </c>
      <c r="D14031" t="s">
        <v>519</v>
      </c>
      <c r="E14031" t="s">
        <v>520</v>
      </c>
      <c r="F14031" t="s">
        <v>410</v>
      </c>
      <c r="G14031">
        <v>293</v>
      </c>
      <c r="I14031">
        <v>286</v>
      </c>
    </row>
    <row r="14032" spans="1:17" x14ac:dyDescent="0.2">
      <c r="A14032" s="121">
        <v>43890</v>
      </c>
      <c r="B14032" t="s">
        <v>406</v>
      </c>
      <c r="C14032" t="s">
        <v>510</v>
      </c>
      <c r="D14032" t="s">
        <v>523</v>
      </c>
      <c r="E14032" t="s">
        <v>524</v>
      </c>
      <c r="F14032" t="s">
        <v>413</v>
      </c>
      <c r="G14032">
        <v>520</v>
      </c>
      <c r="H14032">
        <v>520</v>
      </c>
      <c r="I14032">
        <v>504</v>
      </c>
      <c r="J14032">
        <v>504</v>
      </c>
      <c r="K14032">
        <v>138</v>
      </c>
      <c r="L14032">
        <v>0</v>
      </c>
      <c r="M14032">
        <v>355</v>
      </c>
      <c r="N14032">
        <v>15</v>
      </c>
      <c r="O14032">
        <v>12</v>
      </c>
      <c r="P14032">
        <v>1</v>
      </c>
      <c r="Q14032">
        <v>0</v>
      </c>
    </row>
    <row r="14033" spans="1:17" x14ac:dyDescent="0.2">
      <c r="A14033" s="121">
        <v>43890</v>
      </c>
      <c r="B14033" t="s">
        <v>406</v>
      </c>
      <c r="C14033" t="s">
        <v>510</v>
      </c>
      <c r="D14033" t="s">
        <v>525</v>
      </c>
      <c r="E14033" t="s">
        <v>526</v>
      </c>
      <c r="F14033" t="s">
        <v>410</v>
      </c>
      <c r="G14033">
        <v>269</v>
      </c>
      <c r="I14033">
        <v>264</v>
      </c>
    </row>
    <row r="14034" spans="1:17" x14ac:dyDescent="0.2">
      <c r="A14034" s="121">
        <v>43890</v>
      </c>
      <c r="B14034" t="s">
        <v>406</v>
      </c>
      <c r="C14034" t="s">
        <v>510</v>
      </c>
      <c r="D14034" t="s">
        <v>527</v>
      </c>
      <c r="E14034" t="s">
        <v>528</v>
      </c>
      <c r="F14034" t="s">
        <v>410</v>
      </c>
      <c r="G14034">
        <v>126</v>
      </c>
      <c r="I14034">
        <v>124</v>
      </c>
    </row>
    <row r="14035" spans="1:17" x14ac:dyDescent="0.2">
      <c r="A14035" s="121">
        <v>43890</v>
      </c>
      <c r="B14035" t="s">
        <v>406</v>
      </c>
      <c r="C14035" t="s">
        <v>510</v>
      </c>
      <c r="D14035" t="s">
        <v>529</v>
      </c>
      <c r="E14035" t="s">
        <v>530</v>
      </c>
      <c r="F14035" t="s">
        <v>413</v>
      </c>
      <c r="G14035">
        <v>653</v>
      </c>
      <c r="H14035">
        <v>653</v>
      </c>
      <c r="I14035">
        <v>630</v>
      </c>
      <c r="J14035">
        <v>630</v>
      </c>
      <c r="K14035">
        <v>156</v>
      </c>
      <c r="L14035">
        <v>0</v>
      </c>
      <c r="M14035">
        <v>470</v>
      </c>
      <c r="N14035">
        <v>23</v>
      </c>
      <c r="O14035">
        <v>4</v>
      </c>
      <c r="P14035">
        <v>3</v>
      </c>
      <c r="Q14035">
        <v>1</v>
      </c>
    </row>
    <row r="14036" spans="1:17" x14ac:dyDescent="0.2">
      <c r="A14036" s="121">
        <v>43890</v>
      </c>
      <c r="B14036" t="s">
        <v>406</v>
      </c>
      <c r="C14036" t="s">
        <v>510</v>
      </c>
      <c r="D14036" t="s">
        <v>531</v>
      </c>
      <c r="E14036" t="s">
        <v>532</v>
      </c>
      <c r="F14036" t="s">
        <v>410</v>
      </c>
      <c r="G14036">
        <v>58</v>
      </c>
      <c r="I14036">
        <v>58</v>
      </c>
    </row>
    <row r="14037" spans="1:17" x14ac:dyDescent="0.2">
      <c r="A14037" s="121">
        <v>43890</v>
      </c>
      <c r="B14037" t="s">
        <v>406</v>
      </c>
      <c r="C14037" t="s">
        <v>510</v>
      </c>
      <c r="D14037" t="s">
        <v>533</v>
      </c>
      <c r="E14037" t="s">
        <v>534</v>
      </c>
      <c r="F14037" t="s">
        <v>413</v>
      </c>
      <c r="G14037">
        <v>2786</v>
      </c>
      <c r="H14037">
        <v>2786</v>
      </c>
      <c r="I14037">
        <v>2451</v>
      </c>
      <c r="J14037">
        <v>2451</v>
      </c>
      <c r="K14037">
        <v>649</v>
      </c>
      <c r="L14037">
        <v>3</v>
      </c>
      <c r="M14037">
        <v>1926</v>
      </c>
      <c r="N14037">
        <v>45</v>
      </c>
      <c r="O14037">
        <v>163</v>
      </c>
      <c r="P14037">
        <v>28</v>
      </c>
      <c r="Q14037">
        <v>2</v>
      </c>
    </row>
    <row r="14038" spans="1:17" x14ac:dyDescent="0.2">
      <c r="A14038" s="121">
        <v>43890</v>
      </c>
      <c r="B14038" t="s">
        <v>406</v>
      </c>
      <c r="C14038" t="s">
        <v>510</v>
      </c>
      <c r="D14038" t="s">
        <v>535</v>
      </c>
      <c r="E14038" t="s">
        <v>536</v>
      </c>
      <c r="F14038" t="s">
        <v>410</v>
      </c>
      <c r="G14038">
        <v>313</v>
      </c>
      <c r="I14038">
        <v>313</v>
      </c>
    </row>
    <row r="14039" spans="1:17" x14ac:dyDescent="0.2">
      <c r="A14039" s="121">
        <v>43890</v>
      </c>
      <c r="B14039" t="s">
        <v>406</v>
      </c>
      <c r="C14039" t="s">
        <v>510</v>
      </c>
      <c r="D14039" t="s">
        <v>539</v>
      </c>
      <c r="E14039" t="s">
        <v>540</v>
      </c>
      <c r="F14039" t="s">
        <v>413</v>
      </c>
      <c r="G14039">
        <v>610</v>
      </c>
      <c r="H14039">
        <v>610</v>
      </c>
      <c r="I14039">
        <v>570</v>
      </c>
      <c r="J14039">
        <v>570</v>
      </c>
      <c r="K14039">
        <v>112</v>
      </c>
      <c r="L14039">
        <v>0</v>
      </c>
      <c r="M14039">
        <v>447</v>
      </c>
      <c r="N14039">
        <v>21</v>
      </c>
      <c r="O14039">
        <v>30</v>
      </c>
      <c r="P14039">
        <v>4</v>
      </c>
      <c r="Q14039">
        <v>0</v>
      </c>
    </row>
    <row r="14040" spans="1:17" x14ac:dyDescent="0.2">
      <c r="A14040" s="121">
        <v>43890</v>
      </c>
      <c r="B14040" t="s">
        <v>406</v>
      </c>
      <c r="C14040" t="s">
        <v>510</v>
      </c>
      <c r="D14040" t="s">
        <v>541</v>
      </c>
      <c r="E14040" t="s">
        <v>542</v>
      </c>
      <c r="F14040" t="s">
        <v>410</v>
      </c>
      <c r="G14040">
        <v>346</v>
      </c>
      <c r="I14040">
        <v>345</v>
      </c>
    </row>
    <row r="14041" spans="1:17" x14ac:dyDescent="0.2">
      <c r="A14041" s="121">
        <v>43890</v>
      </c>
      <c r="B14041" t="s">
        <v>406</v>
      </c>
      <c r="C14041" t="s">
        <v>510</v>
      </c>
      <c r="D14041" t="s">
        <v>543</v>
      </c>
      <c r="E14041" t="s">
        <v>544</v>
      </c>
      <c r="F14041" t="s">
        <v>410</v>
      </c>
      <c r="G14041">
        <v>171</v>
      </c>
      <c r="I14041">
        <v>171</v>
      </c>
    </row>
    <row r="14042" spans="1:17" x14ac:dyDescent="0.2">
      <c r="A14042" s="121">
        <v>43890</v>
      </c>
      <c r="B14042" t="s">
        <v>406</v>
      </c>
      <c r="C14042" t="s">
        <v>510</v>
      </c>
      <c r="D14042" t="s">
        <v>547</v>
      </c>
      <c r="E14042" t="s">
        <v>548</v>
      </c>
      <c r="F14042" t="s">
        <v>410</v>
      </c>
      <c r="G14042">
        <v>145</v>
      </c>
      <c r="I14042">
        <v>145</v>
      </c>
    </row>
    <row r="14043" spans="1:17" x14ac:dyDescent="0.2">
      <c r="A14043" s="121">
        <v>43890</v>
      </c>
      <c r="B14043" t="s">
        <v>406</v>
      </c>
      <c r="C14043" t="s">
        <v>510</v>
      </c>
      <c r="D14043" t="s">
        <v>616</v>
      </c>
      <c r="E14043" t="s">
        <v>617</v>
      </c>
      <c r="F14043" t="s">
        <v>410</v>
      </c>
      <c r="G14043">
        <v>335</v>
      </c>
      <c r="I14043">
        <v>329</v>
      </c>
    </row>
    <row r="14044" spans="1:17" x14ac:dyDescent="0.2">
      <c r="A14044" s="121">
        <v>43890</v>
      </c>
      <c r="B14044" t="s">
        <v>406</v>
      </c>
      <c r="C14044" t="s">
        <v>510</v>
      </c>
      <c r="D14044" t="s">
        <v>549</v>
      </c>
      <c r="E14044" t="s">
        <v>550</v>
      </c>
      <c r="F14044" t="s">
        <v>410</v>
      </c>
      <c r="G14044">
        <v>119</v>
      </c>
      <c r="I14044">
        <v>119</v>
      </c>
    </row>
    <row r="14045" spans="1:17" x14ac:dyDescent="0.2">
      <c r="A14045" s="121">
        <v>43890</v>
      </c>
      <c r="B14045" t="s">
        <v>406</v>
      </c>
      <c r="C14045" t="s">
        <v>510</v>
      </c>
      <c r="D14045" t="s">
        <v>625</v>
      </c>
      <c r="E14045" t="s">
        <v>626</v>
      </c>
      <c r="F14045" t="s">
        <v>410</v>
      </c>
      <c r="G14045">
        <v>56</v>
      </c>
      <c r="I14045">
        <v>54</v>
      </c>
    </row>
    <row r="14046" spans="1:17" x14ac:dyDescent="0.2">
      <c r="A14046" s="121">
        <v>43890</v>
      </c>
      <c r="B14046" t="s">
        <v>406</v>
      </c>
      <c r="C14046" t="s">
        <v>551</v>
      </c>
      <c r="D14046" t="s">
        <v>552</v>
      </c>
      <c r="E14046" t="s">
        <v>553</v>
      </c>
      <c r="F14046" t="s">
        <v>413</v>
      </c>
      <c r="G14046">
        <v>5403</v>
      </c>
      <c r="H14046">
        <v>5403</v>
      </c>
      <c r="I14046">
        <v>4878</v>
      </c>
      <c r="J14046">
        <v>4878</v>
      </c>
      <c r="K14046">
        <v>2011</v>
      </c>
      <c r="L14046">
        <v>7</v>
      </c>
      <c r="M14046">
        <v>3227</v>
      </c>
      <c r="N14046">
        <v>118</v>
      </c>
      <c r="O14046">
        <v>40</v>
      </c>
      <c r="P14046">
        <v>38</v>
      </c>
      <c r="Q14046">
        <v>6</v>
      </c>
    </row>
    <row r="14047" spans="1:17" x14ac:dyDescent="0.2">
      <c r="A14047" s="121">
        <v>43890</v>
      </c>
      <c r="B14047" t="s">
        <v>406</v>
      </c>
      <c r="C14047" t="s">
        <v>551</v>
      </c>
      <c r="D14047" t="s">
        <v>554</v>
      </c>
      <c r="E14047" t="s">
        <v>555</v>
      </c>
      <c r="F14047" t="s">
        <v>410</v>
      </c>
      <c r="G14047">
        <v>54</v>
      </c>
      <c r="H14047">
        <v>54</v>
      </c>
      <c r="I14047">
        <v>54</v>
      </c>
      <c r="J14047">
        <v>54</v>
      </c>
      <c r="K14047">
        <v>3</v>
      </c>
      <c r="L14047">
        <v>0</v>
      </c>
      <c r="M14047">
        <v>51</v>
      </c>
      <c r="N14047">
        <v>0</v>
      </c>
      <c r="O14047">
        <v>0</v>
      </c>
      <c r="P14047">
        <v>0</v>
      </c>
      <c r="Q14047">
        <v>0</v>
      </c>
    </row>
    <row r="14048" spans="1:17" x14ac:dyDescent="0.2">
      <c r="A14048" s="121">
        <v>43890</v>
      </c>
      <c r="B14048" t="s">
        <v>406</v>
      </c>
      <c r="C14048" t="s">
        <v>551</v>
      </c>
      <c r="D14048" t="s">
        <v>556</v>
      </c>
      <c r="E14048" t="s">
        <v>557</v>
      </c>
      <c r="F14048" t="s">
        <v>410</v>
      </c>
      <c r="G14048">
        <v>15</v>
      </c>
      <c r="H14048">
        <v>15</v>
      </c>
      <c r="I14048">
        <v>15</v>
      </c>
      <c r="J14048">
        <v>15</v>
      </c>
      <c r="K14048">
        <v>0</v>
      </c>
      <c r="L14048">
        <v>0</v>
      </c>
      <c r="M14048">
        <v>15</v>
      </c>
      <c r="N14048">
        <v>0</v>
      </c>
      <c r="O14048">
        <v>0</v>
      </c>
      <c r="P14048">
        <v>0</v>
      </c>
      <c r="Q14048">
        <v>0</v>
      </c>
    </row>
    <row r="14049" spans="1:17" x14ac:dyDescent="0.2">
      <c r="A14049" s="121">
        <v>43890</v>
      </c>
      <c r="B14049" t="s">
        <v>406</v>
      </c>
      <c r="C14049" t="s">
        <v>551</v>
      </c>
      <c r="D14049" t="s">
        <v>558</v>
      </c>
      <c r="E14049" t="s">
        <v>559</v>
      </c>
      <c r="F14049" t="s">
        <v>413</v>
      </c>
      <c r="G14049">
        <v>4901</v>
      </c>
      <c r="H14049">
        <v>4901</v>
      </c>
      <c r="I14049">
        <v>3961</v>
      </c>
      <c r="J14049">
        <v>3961</v>
      </c>
      <c r="K14049">
        <v>1357</v>
      </c>
      <c r="L14049">
        <v>11</v>
      </c>
      <c r="M14049">
        <v>3466</v>
      </c>
      <c r="N14049">
        <v>59</v>
      </c>
      <c r="O14049">
        <v>8</v>
      </c>
      <c r="P14049">
        <v>180</v>
      </c>
      <c r="Q14049">
        <v>57</v>
      </c>
    </row>
    <row r="14050" spans="1:17" x14ac:dyDescent="0.2">
      <c r="A14050" s="121">
        <v>43890</v>
      </c>
      <c r="B14050" t="s">
        <v>406</v>
      </c>
      <c r="C14050" t="s">
        <v>551</v>
      </c>
      <c r="D14050" t="s">
        <v>560</v>
      </c>
      <c r="E14050" t="s">
        <v>561</v>
      </c>
      <c r="F14050" t="s">
        <v>413</v>
      </c>
      <c r="G14050">
        <v>5761</v>
      </c>
      <c r="H14050">
        <v>5761</v>
      </c>
      <c r="I14050">
        <v>4848</v>
      </c>
      <c r="J14050">
        <v>4848</v>
      </c>
      <c r="K14050">
        <v>1791</v>
      </c>
      <c r="L14050">
        <v>9</v>
      </c>
      <c r="M14050">
        <v>3869</v>
      </c>
      <c r="N14050">
        <v>55</v>
      </c>
      <c r="O14050">
        <v>37</v>
      </c>
      <c r="P14050">
        <v>148</v>
      </c>
      <c r="Q14050">
        <v>30</v>
      </c>
    </row>
    <row r="14051" spans="1:17" x14ac:dyDescent="0.2">
      <c r="A14051" s="121">
        <v>43890</v>
      </c>
      <c r="B14051" t="s">
        <v>406</v>
      </c>
      <c r="C14051" t="s">
        <v>562</v>
      </c>
      <c r="D14051" t="s">
        <v>605</v>
      </c>
      <c r="E14051" t="s">
        <v>606</v>
      </c>
      <c r="F14051" t="s">
        <v>410</v>
      </c>
      <c r="G14051">
        <v>126</v>
      </c>
      <c r="I14051">
        <v>126</v>
      </c>
    </row>
    <row r="14052" spans="1:17" x14ac:dyDescent="0.2">
      <c r="A14052" s="121">
        <v>43890</v>
      </c>
      <c r="B14052" t="s">
        <v>406</v>
      </c>
      <c r="C14052" t="s">
        <v>562</v>
      </c>
      <c r="D14052" t="s">
        <v>563</v>
      </c>
      <c r="E14052" t="s">
        <v>564</v>
      </c>
      <c r="F14052" t="s">
        <v>410</v>
      </c>
      <c r="G14052">
        <v>3616</v>
      </c>
      <c r="H14052">
        <v>3616</v>
      </c>
      <c r="I14052">
        <v>2666</v>
      </c>
      <c r="J14052">
        <v>2666</v>
      </c>
      <c r="K14052">
        <v>1059</v>
      </c>
      <c r="L14052">
        <v>1</v>
      </c>
      <c r="M14052">
        <v>2552</v>
      </c>
      <c r="N14052">
        <v>2</v>
      </c>
      <c r="O14052">
        <v>2</v>
      </c>
      <c r="P14052">
        <v>280</v>
      </c>
      <c r="Q14052">
        <v>140</v>
      </c>
    </row>
    <row r="14053" spans="1:17" x14ac:dyDescent="0.2">
      <c r="A14053" s="121">
        <v>43890</v>
      </c>
      <c r="B14053" t="s">
        <v>406</v>
      </c>
      <c r="C14053" t="s">
        <v>562</v>
      </c>
      <c r="D14053" t="s">
        <v>565</v>
      </c>
      <c r="E14053" t="s">
        <v>566</v>
      </c>
      <c r="F14053" t="s">
        <v>413</v>
      </c>
      <c r="G14053">
        <v>4535</v>
      </c>
      <c r="H14053">
        <v>4535</v>
      </c>
      <c r="I14053">
        <v>3941</v>
      </c>
      <c r="J14053">
        <v>3941</v>
      </c>
      <c r="K14053">
        <v>917</v>
      </c>
      <c r="L14053">
        <v>6</v>
      </c>
      <c r="M14053">
        <v>3546</v>
      </c>
      <c r="N14053">
        <v>64</v>
      </c>
      <c r="O14053">
        <v>2</v>
      </c>
      <c r="P14053">
        <v>140</v>
      </c>
      <c r="Q14053">
        <v>45</v>
      </c>
    </row>
    <row r="14054" spans="1:17" x14ac:dyDescent="0.2">
      <c r="A14054" s="121">
        <v>43890</v>
      </c>
      <c r="B14054" t="s">
        <v>406</v>
      </c>
      <c r="C14054" t="s">
        <v>562</v>
      </c>
      <c r="D14054" t="s">
        <v>567</v>
      </c>
      <c r="E14054" t="s">
        <v>568</v>
      </c>
      <c r="F14054" t="s">
        <v>413</v>
      </c>
      <c r="G14054">
        <v>9968</v>
      </c>
      <c r="H14054">
        <v>9968</v>
      </c>
      <c r="I14054">
        <v>7721</v>
      </c>
      <c r="J14054">
        <v>7721</v>
      </c>
      <c r="K14054">
        <v>3214</v>
      </c>
      <c r="L14054">
        <v>13</v>
      </c>
      <c r="M14054">
        <v>6429</v>
      </c>
      <c r="N14054">
        <v>266</v>
      </c>
      <c r="O14054">
        <v>46</v>
      </c>
      <c r="P14054">
        <v>617</v>
      </c>
      <c r="Q14054">
        <v>269</v>
      </c>
    </row>
    <row r="14055" spans="1:17" x14ac:dyDescent="0.2">
      <c r="A14055" s="121">
        <v>43890</v>
      </c>
      <c r="B14055" t="s">
        <v>406</v>
      </c>
      <c r="C14055" t="s">
        <v>562</v>
      </c>
      <c r="D14055" t="s">
        <v>569</v>
      </c>
      <c r="E14055" t="s">
        <v>570</v>
      </c>
      <c r="F14055" t="s">
        <v>413</v>
      </c>
      <c r="G14055">
        <v>3664</v>
      </c>
      <c r="H14055">
        <v>3664</v>
      </c>
      <c r="I14055">
        <v>3553</v>
      </c>
      <c r="J14055">
        <v>3553</v>
      </c>
      <c r="K14055">
        <v>498</v>
      </c>
      <c r="L14055">
        <v>0</v>
      </c>
      <c r="M14055">
        <v>3046</v>
      </c>
      <c r="N14055">
        <v>113</v>
      </c>
      <c r="O14055">
        <v>7</v>
      </c>
      <c r="P14055">
        <v>2</v>
      </c>
      <c r="Q14055">
        <v>0</v>
      </c>
    </row>
    <row r="14056" spans="1:17" x14ac:dyDescent="0.2">
      <c r="A14056" s="121">
        <v>43890</v>
      </c>
      <c r="B14056" t="s">
        <v>406</v>
      </c>
      <c r="C14056" t="s">
        <v>571</v>
      </c>
      <c r="D14056" t="s">
        <v>572</v>
      </c>
      <c r="E14056" t="s">
        <v>627</v>
      </c>
      <c r="F14056" t="s">
        <v>413</v>
      </c>
      <c r="G14056">
        <v>562</v>
      </c>
      <c r="H14056">
        <v>562</v>
      </c>
      <c r="I14056">
        <v>529</v>
      </c>
      <c r="J14056">
        <v>529</v>
      </c>
      <c r="K14056">
        <v>139</v>
      </c>
      <c r="L14056">
        <v>0</v>
      </c>
      <c r="M14056">
        <v>415</v>
      </c>
      <c r="N14056">
        <v>4</v>
      </c>
      <c r="O14056">
        <v>4</v>
      </c>
      <c r="P14056">
        <v>3</v>
      </c>
      <c r="Q14056">
        <v>0</v>
      </c>
    </row>
    <row r="14057" spans="1:17" x14ac:dyDescent="0.2">
      <c r="A14057" s="121">
        <v>43890</v>
      </c>
      <c r="B14057" t="s">
        <v>406</v>
      </c>
      <c r="C14057" t="s">
        <v>574</v>
      </c>
      <c r="D14057" t="s">
        <v>575</v>
      </c>
      <c r="E14057" t="s">
        <v>576</v>
      </c>
      <c r="F14057" t="s">
        <v>413</v>
      </c>
      <c r="G14057">
        <v>591</v>
      </c>
      <c r="H14057">
        <v>591</v>
      </c>
      <c r="I14057">
        <v>546</v>
      </c>
      <c r="J14057">
        <v>546</v>
      </c>
      <c r="K14057">
        <v>144</v>
      </c>
      <c r="L14057">
        <v>0</v>
      </c>
      <c r="M14057">
        <v>444</v>
      </c>
      <c r="N14057">
        <v>1</v>
      </c>
      <c r="O14057">
        <v>2</v>
      </c>
      <c r="P14057">
        <v>2</v>
      </c>
      <c r="Q14057">
        <v>1</v>
      </c>
    </row>
    <row r="14058" spans="1:17" x14ac:dyDescent="0.2">
      <c r="A14058" s="121">
        <v>43890</v>
      </c>
      <c r="B14058" t="s">
        <v>406</v>
      </c>
      <c r="C14058" t="s">
        <v>577</v>
      </c>
      <c r="D14058" t="s">
        <v>578</v>
      </c>
      <c r="E14058" t="s">
        <v>579</v>
      </c>
      <c r="F14058" t="s">
        <v>413</v>
      </c>
      <c r="G14058">
        <v>4169</v>
      </c>
      <c r="H14058">
        <v>4169</v>
      </c>
      <c r="I14058">
        <v>4027</v>
      </c>
      <c r="J14058">
        <v>4027</v>
      </c>
      <c r="K14058">
        <v>1351</v>
      </c>
      <c r="L14058">
        <v>8</v>
      </c>
      <c r="M14058">
        <v>2563</v>
      </c>
      <c r="N14058">
        <v>202</v>
      </c>
      <c r="O14058">
        <v>45</v>
      </c>
      <c r="P14058">
        <v>1</v>
      </c>
      <c r="Q14058">
        <v>1</v>
      </c>
    </row>
    <row r="14059" spans="1:17" x14ac:dyDescent="0.2">
      <c r="A14059" s="121">
        <v>43890</v>
      </c>
      <c r="B14059" t="s">
        <v>406</v>
      </c>
      <c r="C14059" t="s">
        <v>577</v>
      </c>
      <c r="D14059" t="s">
        <v>580</v>
      </c>
      <c r="E14059" t="s">
        <v>581</v>
      </c>
      <c r="F14059" t="s">
        <v>413</v>
      </c>
      <c r="G14059">
        <v>1770</v>
      </c>
      <c r="H14059">
        <v>1770</v>
      </c>
      <c r="I14059">
        <v>1725</v>
      </c>
      <c r="J14059">
        <v>1725</v>
      </c>
      <c r="K14059">
        <v>352</v>
      </c>
      <c r="L14059">
        <v>1</v>
      </c>
      <c r="M14059">
        <v>1179</v>
      </c>
      <c r="N14059">
        <v>222</v>
      </c>
      <c r="O14059">
        <v>16</v>
      </c>
      <c r="P14059">
        <v>2</v>
      </c>
      <c r="Q14059">
        <v>0</v>
      </c>
    </row>
    <row r="14060" spans="1:17" x14ac:dyDescent="0.2">
      <c r="A14060" s="121">
        <v>43890</v>
      </c>
      <c r="B14060" t="s">
        <v>406</v>
      </c>
      <c r="C14060" t="s">
        <v>577</v>
      </c>
      <c r="D14060" t="s">
        <v>584</v>
      </c>
      <c r="E14060" t="s">
        <v>585</v>
      </c>
      <c r="F14060" t="s">
        <v>410</v>
      </c>
      <c r="G14060">
        <v>255</v>
      </c>
      <c r="H14060">
        <v>255</v>
      </c>
      <c r="I14060">
        <v>255</v>
      </c>
      <c r="J14060">
        <v>255</v>
      </c>
      <c r="K14060">
        <v>0</v>
      </c>
      <c r="L14060">
        <v>0</v>
      </c>
      <c r="M14060">
        <v>242</v>
      </c>
      <c r="N14060">
        <v>13</v>
      </c>
      <c r="O14060">
        <v>0</v>
      </c>
      <c r="P14060">
        <v>0</v>
      </c>
      <c r="Q14060">
        <v>0</v>
      </c>
    </row>
    <row r="14061" spans="1:17" x14ac:dyDescent="0.2">
      <c r="A14061" s="121">
        <v>43890</v>
      </c>
      <c r="B14061" t="s">
        <v>406</v>
      </c>
      <c r="C14061" t="s">
        <v>577</v>
      </c>
      <c r="D14061" t="s">
        <v>586</v>
      </c>
      <c r="E14061" t="s">
        <v>587</v>
      </c>
      <c r="F14061" t="s">
        <v>410</v>
      </c>
      <c r="G14061">
        <v>1024</v>
      </c>
      <c r="H14061">
        <v>1024</v>
      </c>
      <c r="I14061">
        <v>1023</v>
      </c>
      <c r="J14061">
        <v>1023</v>
      </c>
      <c r="K14061">
        <v>0</v>
      </c>
      <c r="L14061">
        <v>0</v>
      </c>
      <c r="M14061">
        <v>927</v>
      </c>
      <c r="N14061">
        <v>97</v>
      </c>
      <c r="O14061">
        <v>0</v>
      </c>
      <c r="P14061">
        <v>1</v>
      </c>
      <c r="Q14061">
        <v>0</v>
      </c>
    </row>
    <row r="14062" spans="1:17" x14ac:dyDescent="0.2">
      <c r="A14062" s="121">
        <v>43890</v>
      </c>
      <c r="B14062" t="s">
        <v>406</v>
      </c>
      <c r="C14062" t="s">
        <v>577</v>
      </c>
      <c r="D14062" t="s">
        <v>613</v>
      </c>
      <c r="E14062" t="s">
        <v>614</v>
      </c>
      <c r="F14062" t="s">
        <v>410</v>
      </c>
      <c r="G14062">
        <v>183</v>
      </c>
      <c r="H14062">
        <v>183</v>
      </c>
      <c r="I14062">
        <v>183</v>
      </c>
      <c r="J14062">
        <v>183</v>
      </c>
      <c r="K14062">
        <v>0</v>
      </c>
      <c r="L14062">
        <v>0</v>
      </c>
      <c r="M14062">
        <v>171</v>
      </c>
      <c r="N14062">
        <v>5</v>
      </c>
      <c r="O14062">
        <v>7</v>
      </c>
      <c r="P14062">
        <v>0</v>
      </c>
      <c r="Q14062">
        <v>0</v>
      </c>
    </row>
    <row r="14063" spans="1:17" x14ac:dyDescent="0.2">
      <c r="A14063" s="121">
        <v>43890</v>
      </c>
      <c r="B14063" t="s">
        <v>406</v>
      </c>
      <c r="C14063" t="s">
        <v>577</v>
      </c>
      <c r="D14063" t="s">
        <v>590</v>
      </c>
      <c r="E14063" t="s">
        <v>591</v>
      </c>
      <c r="F14063" t="s">
        <v>410</v>
      </c>
      <c r="G14063">
        <v>410</v>
      </c>
      <c r="H14063">
        <v>410</v>
      </c>
      <c r="I14063">
        <v>410</v>
      </c>
      <c r="J14063">
        <v>410</v>
      </c>
      <c r="K14063">
        <v>0</v>
      </c>
      <c r="L14063">
        <v>0</v>
      </c>
      <c r="M14063">
        <v>391</v>
      </c>
      <c r="N14063">
        <v>19</v>
      </c>
      <c r="O14063">
        <v>0</v>
      </c>
      <c r="P14063">
        <v>0</v>
      </c>
      <c r="Q14063">
        <v>0</v>
      </c>
    </row>
    <row r="14064" spans="1:17" x14ac:dyDescent="0.2">
      <c r="A14064" s="121">
        <v>43890</v>
      </c>
      <c r="B14064" t="s">
        <v>406</v>
      </c>
      <c r="C14064" t="s">
        <v>577</v>
      </c>
      <c r="D14064" t="s">
        <v>607</v>
      </c>
      <c r="E14064" t="s">
        <v>608</v>
      </c>
      <c r="F14064" t="s">
        <v>410</v>
      </c>
      <c r="G14064">
        <v>73</v>
      </c>
      <c r="H14064">
        <v>73</v>
      </c>
      <c r="I14064">
        <v>73</v>
      </c>
      <c r="J14064">
        <v>73</v>
      </c>
      <c r="K14064">
        <v>0</v>
      </c>
      <c r="L14064">
        <v>0</v>
      </c>
      <c r="M14064">
        <v>67</v>
      </c>
      <c r="N14064">
        <v>5</v>
      </c>
      <c r="O14064">
        <v>1</v>
      </c>
      <c r="P14064">
        <v>0</v>
      </c>
      <c r="Q14064">
        <v>0</v>
      </c>
    </row>
    <row r="14065" spans="1:17" x14ac:dyDescent="0.2">
      <c r="A14065" s="121">
        <v>43890</v>
      </c>
      <c r="B14065" t="s">
        <v>406</v>
      </c>
      <c r="C14065" t="s">
        <v>577</v>
      </c>
      <c r="D14065" t="s">
        <v>592</v>
      </c>
      <c r="E14065" t="s">
        <v>593</v>
      </c>
      <c r="F14065" t="s">
        <v>410</v>
      </c>
      <c r="G14065">
        <v>187</v>
      </c>
      <c r="H14065">
        <v>187</v>
      </c>
      <c r="I14065">
        <v>187</v>
      </c>
      <c r="J14065">
        <v>187</v>
      </c>
      <c r="K14065">
        <v>0</v>
      </c>
      <c r="L14065">
        <v>0</v>
      </c>
      <c r="M14065">
        <v>162</v>
      </c>
      <c r="N14065">
        <v>25</v>
      </c>
      <c r="O14065">
        <v>0</v>
      </c>
      <c r="P14065">
        <v>0</v>
      </c>
      <c r="Q14065">
        <v>0</v>
      </c>
    </row>
    <row r="14066" spans="1:17" x14ac:dyDescent="0.2">
      <c r="A14066" s="121">
        <v>43890</v>
      </c>
      <c r="B14066" t="s">
        <v>406</v>
      </c>
      <c r="C14066" t="s">
        <v>594</v>
      </c>
      <c r="D14066" t="s">
        <v>595</v>
      </c>
      <c r="E14066" t="s">
        <v>596</v>
      </c>
      <c r="F14066" t="s">
        <v>410</v>
      </c>
      <c r="G14066">
        <v>64</v>
      </c>
      <c r="I14066">
        <v>64</v>
      </c>
    </row>
    <row r="14067" spans="1:17" x14ac:dyDescent="0.2">
      <c r="A14067" s="121">
        <v>43890</v>
      </c>
      <c r="B14067" t="s">
        <v>406</v>
      </c>
      <c r="C14067" t="s">
        <v>594</v>
      </c>
      <c r="D14067" t="s">
        <v>597</v>
      </c>
      <c r="E14067" t="s">
        <v>598</v>
      </c>
      <c r="F14067" t="s">
        <v>413</v>
      </c>
      <c r="G14067">
        <v>448</v>
      </c>
      <c r="H14067">
        <v>448</v>
      </c>
      <c r="I14067">
        <v>442</v>
      </c>
      <c r="J14067">
        <v>442</v>
      </c>
      <c r="K14067">
        <v>147</v>
      </c>
      <c r="L14067">
        <v>0</v>
      </c>
      <c r="M14067">
        <v>284</v>
      </c>
      <c r="N14067">
        <v>2</v>
      </c>
      <c r="O14067">
        <v>15</v>
      </c>
      <c r="P14067">
        <v>0</v>
      </c>
      <c r="Q14067">
        <v>0</v>
      </c>
    </row>
    <row r="14068" spans="1:17" x14ac:dyDescent="0.2">
      <c r="A14068" s="121">
        <v>43890</v>
      </c>
      <c r="B14068" t="s">
        <v>406</v>
      </c>
      <c r="C14068" t="s">
        <v>594</v>
      </c>
      <c r="D14068" t="s">
        <v>599</v>
      </c>
      <c r="E14068" t="s">
        <v>600</v>
      </c>
      <c r="F14068" t="s">
        <v>410</v>
      </c>
      <c r="G14068">
        <v>96</v>
      </c>
      <c r="H14068">
        <v>96</v>
      </c>
      <c r="I14068">
        <v>93</v>
      </c>
      <c r="J14068">
        <v>93</v>
      </c>
      <c r="K14068">
        <v>9</v>
      </c>
      <c r="L14068">
        <v>0</v>
      </c>
      <c r="M14068">
        <v>85</v>
      </c>
      <c r="N14068">
        <v>2</v>
      </c>
      <c r="O14068">
        <v>0</v>
      </c>
      <c r="P14068">
        <v>0</v>
      </c>
      <c r="Q14068">
        <v>0</v>
      </c>
    </row>
    <row r="14069" spans="1:17" x14ac:dyDescent="0.2">
      <c r="A14069" s="121">
        <v>43921</v>
      </c>
      <c r="B14069" t="s">
        <v>406</v>
      </c>
      <c r="C14069" t="s">
        <v>407</v>
      </c>
      <c r="D14069" t="s">
        <v>408</v>
      </c>
      <c r="E14069" t="s">
        <v>409</v>
      </c>
      <c r="F14069" t="s">
        <v>410</v>
      </c>
      <c r="G14069">
        <v>134</v>
      </c>
      <c r="I14069">
        <v>132</v>
      </c>
    </row>
    <row r="14070" spans="1:17" x14ac:dyDescent="0.2">
      <c r="A14070" s="121">
        <v>43921</v>
      </c>
      <c r="B14070" t="s">
        <v>406</v>
      </c>
      <c r="C14070" t="s">
        <v>407</v>
      </c>
      <c r="D14070" t="s">
        <v>601</v>
      </c>
      <c r="E14070" t="s">
        <v>602</v>
      </c>
      <c r="F14070" t="s">
        <v>410</v>
      </c>
      <c r="G14070">
        <v>42</v>
      </c>
      <c r="I14070">
        <v>38</v>
      </c>
    </row>
    <row r="14071" spans="1:17" x14ac:dyDescent="0.2">
      <c r="A14071" s="121">
        <v>43921</v>
      </c>
      <c r="B14071" t="s">
        <v>406</v>
      </c>
      <c r="C14071" t="s">
        <v>407</v>
      </c>
      <c r="D14071" t="s">
        <v>411</v>
      </c>
      <c r="E14071" t="s">
        <v>412</v>
      </c>
      <c r="F14071" t="s">
        <v>413</v>
      </c>
      <c r="G14071">
        <v>4611</v>
      </c>
      <c r="H14071">
        <v>4611</v>
      </c>
      <c r="I14071">
        <v>4230</v>
      </c>
      <c r="J14071">
        <v>4230</v>
      </c>
      <c r="K14071">
        <v>1514</v>
      </c>
      <c r="L14071">
        <v>8</v>
      </c>
      <c r="M14071">
        <v>2788</v>
      </c>
      <c r="N14071">
        <v>35</v>
      </c>
      <c r="O14071">
        <v>266</v>
      </c>
      <c r="P14071">
        <v>130</v>
      </c>
      <c r="Q14071">
        <v>67</v>
      </c>
    </row>
    <row r="14072" spans="1:17" x14ac:dyDescent="0.2">
      <c r="A14072" s="121">
        <v>43921</v>
      </c>
      <c r="B14072" t="s">
        <v>406</v>
      </c>
      <c r="C14072" t="s">
        <v>407</v>
      </c>
      <c r="D14072" t="s">
        <v>416</v>
      </c>
      <c r="E14072" t="s">
        <v>417</v>
      </c>
      <c r="F14072" t="s">
        <v>413</v>
      </c>
      <c r="G14072">
        <v>2302</v>
      </c>
      <c r="H14072">
        <v>2302</v>
      </c>
      <c r="I14072">
        <v>1757</v>
      </c>
      <c r="J14072">
        <v>1757</v>
      </c>
      <c r="K14072">
        <v>716</v>
      </c>
      <c r="L14072">
        <v>5</v>
      </c>
      <c r="M14072">
        <v>1471</v>
      </c>
      <c r="N14072">
        <v>72</v>
      </c>
      <c r="O14072">
        <v>38</v>
      </c>
      <c r="P14072">
        <v>228</v>
      </c>
      <c r="Q14072">
        <v>124</v>
      </c>
    </row>
    <row r="14073" spans="1:17" x14ac:dyDescent="0.2">
      <c r="A14073" s="121">
        <v>43921</v>
      </c>
      <c r="B14073" t="s">
        <v>406</v>
      </c>
      <c r="C14073" t="s">
        <v>407</v>
      </c>
      <c r="D14073" t="s">
        <v>618</v>
      </c>
      <c r="E14073" t="s">
        <v>619</v>
      </c>
      <c r="F14073" t="s">
        <v>410</v>
      </c>
      <c r="G14073">
        <v>59</v>
      </c>
      <c r="I14073">
        <v>59</v>
      </c>
    </row>
    <row r="14074" spans="1:17" x14ac:dyDescent="0.2">
      <c r="A14074" s="121">
        <v>43921</v>
      </c>
      <c r="B14074" t="s">
        <v>406</v>
      </c>
      <c r="C14074" t="s">
        <v>418</v>
      </c>
      <c r="D14074" t="s">
        <v>419</v>
      </c>
      <c r="E14074" t="s">
        <v>420</v>
      </c>
      <c r="F14074" t="s">
        <v>410</v>
      </c>
      <c r="G14074">
        <v>3</v>
      </c>
      <c r="I14074">
        <v>3</v>
      </c>
    </row>
    <row r="14075" spans="1:17" x14ac:dyDescent="0.2">
      <c r="A14075" s="121">
        <v>43921</v>
      </c>
      <c r="B14075" t="s">
        <v>406</v>
      </c>
      <c r="C14075" t="s">
        <v>418</v>
      </c>
      <c r="D14075" t="s">
        <v>421</v>
      </c>
      <c r="E14075" t="s">
        <v>422</v>
      </c>
      <c r="F14075" t="s">
        <v>410</v>
      </c>
      <c r="G14075">
        <v>37</v>
      </c>
      <c r="I14075">
        <v>37</v>
      </c>
    </row>
    <row r="14076" spans="1:17" x14ac:dyDescent="0.2">
      <c r="A14076" s="121">
        <v>43921</v>
      </c>
      <c r="B14076" t="s">
        <v>406</v>
      </c>
      <c r="C14076" t="s">
        <v>418</v>
      </c>
      <c r="D14076" t="s">
        <v>423</v>
      </c>
      <c r="E14076" t="s">
        <v>424</v>
      </c>
      <c r="F14076" t="s">
        <v>410</v>
      </c>
      <c r="G14076">
        <v>8</v>
      </c>
      <c r="I14076">
        <v>8</v>
      </c>
    </row>
    <row r="14077" spans="1:17" x14ac:dyDescent="0.2">
      <c r="A14077" s="121">
        <v>43921</v>
      </c>
      <c r="B14077" t="s">
        <v>406</v>
      </c>
      <c r="C14077" t="s">
        <v>418</v>
      </c>
      <c r="D14077" t="s">
        <v>425</v>
      </c>
      <c r="E14077" t="s">
        <v>426</v>
      </c>
      <c r="F14077" t="s">
        <v>410</v>
      </c>
      <c r="G14077">
        <v>16</v>
      </c>
      <c r="I14077">
        <v>16</v>
      </c>
    </row>
    <row r="14078" spans="1:17" x14ac:dyDescent="0.2">
      <c r="A14078" s="121">
        <v>43921</v>
      </c>
      <c r="B14078" t="s">
        <v>406</v>
      </c>
      <c r="C14078" t="s">
        <v>418</v>
      </c>
      <c r="D14078" t="s">
        <v>427</v>
      </c>
      <c r="E14078" t="s">
        <v>428</v>
      </c>
      <c r="F14078" t="s">
        <v>413</v>
      </c>
      <c r="G14078">
        <v>1896</v>
      </c>
      <c r="H14078">
        <v>1896</v>
      </c>
      <c r="I14078">
        <v>1627</v>
      </c>
      <c r="J14078">
        <v>1627</v>
      </c>
      <c r="K14078">
        <v>639</v>
      </c>
      <c r="L14078">
        <v>4</v>
      </c>
      <c r="M14078">
        <v>1160</v>
      </c>
      <c r="N14078">
        <v>83</v>
      </c>
      <c r="O14078">
        <v>10</v>
      </c>
      <c r="P14078">
        <v>41</v>
      </c>
      <c r="Q14078">
        <v>17</v>
      </c>
    </row>
    <row r="14079" spans="1:17" x14ac:dyDescent="0.2">
      <c r="A14079" s="121">
        <v>43921</v>
      </c>
      <c r="B14079" t="s">
        <v>406</v>
      </c>
      <c r="C14079" t="s">
        <v>429</v>
      </c>
      <c r="D14079" t="s">
        <v>430</v>
      </c>
      <c r="E14079" t="s">
        <v>431</v>
      </c>
      <c r="F14079" t="s">
        <v>410</v>
      </c>
      <c r="G14079">
        <v>7</v>
      </c>
      <c r="I14079">
        <v>7</v>
      </c>
    </row>
    <row r="14080" spans="1:17" x14ac:dyDescent="0.2">
      <c r="A14080" s="121">
        <v>43921</v>
      </c>
      <c r="B14080" t="s">
        <v>406</v>
      </c>
      <c r="C14080" t="s">
        <v>429</v>
      </c>
      <c r="D14080" t="s">
        <v>432</v>
      </c>
      <c r="E14080" t="s">
        <v>433</v>
      </c>
      <c r="F14080" t="s">
        <v>410</v>
      </c>
      <c r="G14080">
        <v>16</v>
      </c>
      <c r="I14080">
        <v>16</v>
      </c>
    </row>
    <row r="14081" spans="1:17" x14ac:dyDescent="0.2">
      <c r="A14081" s="121">
        <v>43921</v>
      </c>
      <c r="B14081" t="s">
        <v>406</v>
      </c>
      <c r="C14081" t="s">
        <v>429</v>
      </c>
      <c r="D14081" t="s">
        <v>434</v>
      </c>
      <c r="E14081" t="s">
        <v>435</v>
      </c>
      <c r="F14081" t="s">
        <v>410</v>
      </c>
      <c r="G14081">
        <v>2</v>
      </c>
      <c r="I14081">
        <v>2</v>
      </c>
    </row>
    <row r="14082" spans="1:17" x14ac:dyDescent="0.2">
      <c r="A14082" s="121">
        <v>43921</v>
      </c>
      <c r="B14082" t="s">
        <v>406</v>
      </c>
      <c r="C14082" t="s">
        <v>429</v>
      </c>
      <c r="D14082" t="s">
        <v>436</v>
      </c>
      <c r="E14082" t="s">
        <v>437</v>
      </c>
      <c r="F14082" t="s">
        <v>410</v>
      </c>
      <c r="G14082">
        <v>3</v>
      </c>
      <c r="H14082">
        <v>3</v>
      </c>
      <c r="I14082">
        <v>3</v>
      </c>
      <c r="J14082">
        <v>3</v>
      </c>
      <c r="K14082">
        <v>0</v>
      </c>
      <c r="L14082">
        <v>0</v>
      </c>
      <c r="M14082">
        <v>3</v>
      </c>
      <c r="N14082">
        <v>0</v>
      </c>
      <c r="O14082">
        <v>0</v>
      </c>
      <c r="P14082">
        <v>0</v>
      </c>
      <c r="Q14082">
        <v>0</v>
      </c>
    </row>
    <row r="14083" spans="1:17" x14ac:dyDescent="0.2">
      <c r="A14083" s="121">
        <v>43921</v>
      </c>
      <c r="B14083" t="s">
        <v>406</v>
      </c>
      <c r="C14083" t="s">
        <v>429</v>
      </c>
      <c r="D14083" t="s">
        <v>438</v>
      </c>
      <c r="E14083" t="s">
        <v>439</v>
      </c>
      <c r="F14083" t="s">
        <v>413</v>
      </c>
      <c r="G14083">
        <v>947</v>
      </c>
      <c r="H14083">
        <v>947</v>
      </c>
      <c r="I14083">
        <v>843</v>
      </c>
      <c r="J14083">
        <v>843</v>
      </c>
      <c r="K14083">
        <v>77</v>
      </c>
      <c r="L14083">
        <v>0</v>
      </c>
      <c r="M14083">
        <v>765</v>
      </c>
      <c r="N14083">
        <v>57</v>
      </c>
      <c r="O14083">
        <v>48</v>
      </c>
      <c r="P14083">
        <v>21</v>
      </c>
      <c r="Q14083">
        <v>3</v>
      </c>
    </row>
    <row r="14084" spans="1:17" x14ac:dyDescent="0.2">
      <c r="A14084" s="121">
        <v>43921</v>
      </c>
      <c r="B14084" t="s">
        <v>406</v>
      </c>
      <c r="C14084" t="s">
        <v>429</v>
      </c>
      <c r="D14084" t="s">
        <v>440</v>
      </c>
      <c r="E14084" t="s">
        <v>441</v>
      </c>
      <c r="F14084" t="s">
        <v>413</v>
      </c>
      <c r="G14084">
        <v>2124</v>
      </c>
      <c r="H14084">
        <v>2124</v>
      </c>
      <c r="I14084">
        <v>1878</v>
      </c>
      <c r="J14084">
        <v>1878</v>
      </c>
      <c r="K14084">
        <v>703</v>
      </c>
      <c r="L14084">
        <v>5</v>
      </c>
      <c r="M14084">
        <v>1346</v>
      </c>
      <c r="N14084">
        <v>46</v>
      </c>
      <c r="O14084">
        <v>24</v>
      </c>
      <c r="P14084">
        <v>51</v>
      </c>
      <c r="Q14084">
        <v>13</v>
      </c>
    </row>
    <row r="14085" spans="1:17" x14ac:dyDescent="0.2">
      <c r="A14085" s="121">
        <v>43921</v>
      </c>
      <c r="B14085" t="s">
        <v>406</v>
      </c>
      <c r="C14085" t="s">
        <v>442</v>
      </c>
      <c r="D14085" t="s">
        <v>443</v>
      </c>
      <c r="E14085" t="s">
        <v>444</v>
      </c>
      <c r="F14085" t="s">
        <v>413</v>
      </c>
      <c r="G14085">
        <v>4189</v>
      </c>
      <c r="H14085">
        <v>4189</v>
      </c>
      <c r="I14085">
        <v>3721</v>
      </c>
      <c r="J14085">
        <v>3721</v>
      </c>
      <c r="K14085">
        <v>1335</v>
      </c>
      <c r="L14085">
        <v>6</v>
      </c>
      <c r="M14085">
        <v>2744</v>
      </c>
      <c r="N14085">
        <v>57</v>
      </c>
      <c r="O14085">
        <v>47</v>
      </c>
      <c r="P14085">
        <v>18</v>
      </c>
      <c r="Q14085">
        <v>0</v>
      </c>
    </row>
    <row r="14086" spans="1:17" x14ac:dyDescent="0.2">
      <c r="A14086" s="121">
        <v>43921</v>
      </c>
      <c r="B14086" t="s">
        <v>406</v>
      </c>
      <c r="C14086" t="s">
        <v>442</v>
      </c>
      <c r="D14086" t="s">
        <v>445</v>
      </c>
      <c r="E14086" t="s">
        <v>446</v>
      </c>
      <c r="F14086" t="s">
        <v>410</v>
      </c>
      <c r="G14086">
        <v>97</v>
      </c>
      <c r="H14086">
        <v>97</v>
      </c>
      <c r="I14086">
        <v>97</v>
      </c>
      <c r="J14086">
        <v>97</v>
      </c>
      <c r="K14086">
        <v>2</v>
      </c>
      <c r="L14086">
        <v>0</v>
      </c>
      <c r="M14086">
        <v>92</v>
      </c>
      <c r="N14086">
        <v>1</v>
      </c>
      <c r="O14086">
        <v>2</v>
      </c>
      <c r="P14086">
        <v>0</v>
      </c>
      <c r="Q14086">
        <v>0</v>
      </c>
    </row>
    <row r="14087" spans="1:17" x14ac:dyDescent="0.2">
      <c r="A14087" s="121">
        <v>43921</v>
      </c>
      <c r="B14087" t="s">
        <v>406</v>
      </c>
      <c r="C14087" t="s">
        <v>442</v>
      </c>
      <c r="D14087" t="s">
        <v>447</v>
      </c>
      <c r="E14087" t="s">
        <v>448</v>
      </c>
      <c r="F14087" t="s">
        <v>410</v>
      </c>
      <c r="G14087">
        <v>216</v>
      </c>
      <c r="H14087">
        <v>216</v>
      </c>
      <c r="I14087">
        <v>216</v>
      </c>
      <c r="J14087">
        <v>216</v>
      </c>
      <c r="K14087">
        <v>0</v>
      </c>
      <c r="L14087">
        <v>0</v>
      </c>
      <c r="M14087">
        <v>205</v>
      </c>
      <c r="N14087">
        <v>11</v>
      </c>
      <c r="O14087">
        <v>0</v>
      </c>
      <c r="P14087">
        <v>0</v>
      </c>
      <c r="Q14087">
        <v>0</v>
      </c>
    </row>
    <row r="14088" spans="1:17" x14ac:dyDescent="0.2">
      <c r="A14088" s="121">
        <v>43921</v>
      </c>
      <c r="B14088" t="s">
        <v>406</v>
      </c>
      <c r="C14088" t="s">
        <v>442</v>
      </c>
      <c r="D14088" t="s">
        <v>449</v>
      </c>
      <c r="E14088" t="s">
        <v>624</v>
      </c>
      <c r="F14088" t="s">
        <v>410</v>
      </c>
      <c r="G14088">
        <v>1218</v>
      </c>
      <c r="H14088">
        <v>1218</v>
      </c>
      <c r="I14088">
        <v>1217</v>
      </c>
      <c r="J14088">
        <v>1217</v>
      </c>
      <c r="K14088">
        <v>15</v>
      </c>
      <c r="L14088">
        <v>0</v>
      </c>
      <c r="M14088">
        <v>1131</v>
      </c>
      <c r="N14088">
        <v>63</v>
      </c>
      <c r="O14088">
        <v>9</v>
      </c>
      <c r="P14088">
        <v>0</v>
      </c>
      <c r="Q14088">
        <v>0</v>
      </c>
    </row>
    <row r="14089" spans="1:17" x14ac:dyDescent="0.2">
      <c r="A14089" s="121">
        <v>43921</v>
      </c>
      <c r="B14089" t="s">
        <v>406</v>
      </c>
      <c r="C14089" t="s">
        <v>451</v>
      </c>
      <c r="D14089" t="s">
        <v>454</v>
      </c>
      <c r="E14089" t="s">
        <v>621</v>
      </c>
      <c r="F14089" t="s">
        <v>410</v>
      </c>
      <c r="G14089">
        <v>1362</v>
      </c>
      <c r="H14089">
        <v>1362</v>
      </c>
      <c r="I14089">
        <v>1360</v>
      </c>
      <c r="J14089">
        <v>1360</v>
      </c>
      <c r="K14089">
        <v>4</v>
      </c>
      <c r="L14089">
        <v>0</v>
      </c>
      <c r="M14089">
        <v>1179</v>
      </c>
      <c r="N14089">
        <v>0</v>
      </c>
      <c r="O14089">
        <v>179</v>
      </c>
      <c r="P14089">
        <v>0</v>
      </c>
      <c r="Q14089">
        <v>0</v>
      </c>
    </row>
    <row r="14090" spans="1:17" x14ac:dyDescent="0.2">
      <c r="A14090" s="121">
        <v>43921</v>
      </c>
      <c r="B14090" t="s">
        <v>406</v>
      </c>
      <c r="C14090" t="s">
        <v>451</v>
      </c>
      <c r="D14090" t="s">
        <v>622</v>
      </c>
      <c r="E14090" t="s">
        <v>623</v>
      </c>
      <c r="F14090" t="s">
        <v>413</v>
      </c>
      <c r="G14090">
        <v>4256</v>
      </c>
      <c r="H14090">
        <v>4256</v>
      </c>
      <c r="I14090">
        <v>3874</v>
      </c>
      <c r="J14090">
        <v>3874</v>
      </c>
      <c r="K14090">
        <v>1306</v>
      </c>
      <c r="L14090">
        <v>6</v>
      </c>
      <c r="M14090">
        <v>2837</v>
      </c>
      <c r="N14090">
        <v>15</v>
      </c>
      <c r="O14090">
        <v>92</v>
      </c>
      <c r="P14090">
        <v>21</v>
      </c>
      <c r="Q14090">
        <v>10</v>
      </c>
    </row>
    <row r="14091" spans="1:17" x14ac:dyDescent="0.2">
      <c r="A14091" s="121">
        <v>43921</v>
      </c>
      <c r="B14091" t="s">
        <v>406</v>
      </c>
      <c r="C14091" t="s">
        <v>456</v>
      </c>
      <c r="D14091" t="s">
        <v>457</v>
      </c>
      <c r="E14091" t="s">
        <v>458</v>
      </c>
      <c r="F14091" t="s">
        <v>413</v>
      </c>
      <c r="G14091">
        <v>4001</v>
      </c>
      <c r="H14091">
        <v>4001</v>
      </c>
      <c r="I14091">
        <v>3403</v>
      </c>
      <c r="J14091">
        <v>3403</v>
      </c>
      <c r="K14091">
        <v>1237</v>
      </c>
      <c r="L14091">
        <v>11</v>
      </c>
      <c r="M14091">
        <v>2518</v>
      </c>
      <c r="N14091">
        <v>12</v>
      </c>
      <c r="O14091">
        <v>223</v>
      </c>
      <c r="P14091">
        <v>36</v>
      </c>
      <c r="Q14091">
        <v>0</v>
      </c>
    </row>
    <row r="14092" spans="1:17" x14ac:dyDescent="0.2">
      <c r="A14092" s="121">
        <v>43921</v>
      </c>
      <c r="B14092" t="s">
        <v>406</v>
      </c>
      <c r="C14092" t="s">
        <v>456</v>
      </c>
      <c r="D14092" t="s">
        <v>459</v>
      </c>
      <c r="E14092" t="s">
        <v>460</v>
      </c>
      <c r="F14092" t="s">
        <v>413</v>
      </c>
      <c r="G14092">
        <v>1065</v>
      </c>
      <c r="H14092">
        <v>1065</v>
      </c>
      <c r="I14092">
        <v>1050</v>
      </c>
      <c r="J14092">
        <v>1050</v>
      </c>
      <c r="K14092">
        <v>89</v>
      </c>
      <c r="L14092">
        <v>0</v>
      </c>
      <c r="M14092">
        <v>944</v>
      </c>
      <c r="N14092">
        <v>0</v>
      </c>
      <c r="O14092">
        <v>32</v>
      </c>
      <c r="P14092">
        <v>0</v>
      </c>
      <c r="Q14092">
        <v>0</v>
      </c>
    </row>
    <row r="14093" spans="1:17" x14ac:dyDescent="0.2">
      <c r="A14093" s="121">
        <v>43921</v>
      </c>
      <c r="B14093" t="s">
        <v>406</v>
      </c>
      <c r="C14093" t="s">
        <v>456</v>
      </c>
      <c r="D14093" t="s">
        <v>461</v>
      </c>
      <c r="E14093" t="s">
        <v>462</v>
      </c>
      <c r="F14093" t="s">
        <v>410</v>
      </c>
      <c r="G14093">
        <v>70</v>
      </c>
      <c r="I14093">
        <v>70</v>
      </c>
    </row>
    <row r="14094" spans="1:17" x14ac:dyDescent="0.2">
      <c r="A14094" s="121">
        <v>43921</v>
      </c>
      <c r="B14094" t="s">
        <v>406</v>
      </c>
      <c r="C14094" t="s">
        <v>456</v>
      </c>
      <c r="D14094" t="s">
        <v>465</v>
      </c>
      <c r="E14094" t="s">
        <v>466</v>
      </c>
      <c r="F14094" t="s">
        <v>410</v>
      </c>
      <c r="G14094">
        <v>15</v>
      </c>
      <c r="I14094">
        <v>15</v>
      </c>
    </row>
    <row r="14095" spans="1:17" x14ac:dyDescent="0.2">
      <c r="A14095" s="121">
        <v>43921</v>
      </c>
      <c r="B14095" t="s">
        <v>406</v>
      </c>
      <c r="C14095" t="s">
        <v>456</v>
      </c>
      <c r="D14095" t="s">
        <v>467</v>
      </c>
      <c r="E14095" t="s">
        <v>468</v>
      </c>
      <c r="F14095" t="s">
        <v>410</v>
      </c>
      <c r="G14095">
        <v>948</v>
      </c>
      <c r="I14095">
        <v>946</v>
      </c>
    </row>
    <row r="14096" spans="1:17" x14ac:dyDescent="0.2">
      <c r="A14096" s="121">
        <v>43921</v>
      </c>
      <c r="B14096" t="s">
        <v>406</v>
      </c>
      <c r="C14096" t="s">
        <v>456</v>
      </c>
      <c r="D14096" t="s">
        <v>469</v>
      </c>
      <c r="E14096" t="s">
        <v>470</v>
      </c>
      <c r="F14096" t="s">
        <v>410</v>
      </c>
      <c r="G14096">
        <v>492</v>
      </c>
      <c r="I14096">
        <v>492</v>
      </c>
    </row>
    <row r="14097" spans="1:17" x14ac:dyDescent="0.2">
      <c r="A14097" s="121">
        <v>43921</v>
      </c>
      <c r="B14097" t="s">
        <v>406</v>
      </c>
      <c r="C14097" t="s">
        <v>456</v>
      </c>
      <c r="D14097" t="s">
        <v>471</v>
      </c>
      <c r="E14097" t="s">
        <v>472</v>
      </c>
      <c r="F14097" t="s">
        <v>410</v>
      </c>
      <c r="G14097">
        <v>187</v>
      </c>
      <c r="I14097">
        <v>187</v>
      </c>
    </row>
    <row r="14098" spans="1:17" x14ac:dyDescent="0.2">
      <c r="A14098" s="121">
        <v>43921</v>
      </c>
      <c r="B14098" t="s">
        <v>406</v>
      </c>
      <c r="C14098" t="s">
        <v>456</v>
      </c>
      <c r="D14098" t="s">
        <v>473</v>
      </c>
      <c r="E14098" t="s">
        <v>474</v>
      </c>
      <c r="F14098" t="s">
        <v>410</v>
      </c>
      <c r="G14098">
        <v>53</v>
      </c>
      <c r="I14098">
        <v>53</v>
      </c>
    </row>
    <row r="14099" spans="1:17" x14ac:dyDescent="0.2">
      <c r="A14099" s="121">
        <v>43921</v>
      </c>
      <c r="B14099" t="s">
        <v>406</v>
      </c>
      <c r="C14099" t="s">
        <v>456</v>
      </c>
      <c r="D14099" t="s">
        <v>475</v>
      </c>
      <c r="E14099" t="s">
        <v>476</v>
      </c>
      <c r="F14099" t="s">
        <v>410</v>
      </c>
      <c r="G14099">
        <v>140</v>
      </c>
      <c r="I14099">
        <v>139</v>
      </c>
    </row>
    <row r="14100" spans="1:17" x14ac:dyDescent="0.2">
      <c r="A14100" s="121">
        <v>43921</v>
      </c>
      <c r="B14100" t="s">
        <v>406</v>
      </c>
      <c r="C14100" t="s">
        <v>456</v>
      </c>
      <c r="D14100" t="s">
        <v>477</v>
      </c>
      <c r="E14100" t="s">
        <v>478</v>
      </c>
      <c r="F14100" t="s">
        <v>413</v>
      </c>
      <c r="G14100">
        <v>1780</v>
      </c>
      <c r="H14100">
        <v>1780</v>
      </c>
      <c r="I14100">
        <v>1653</v>
      </c>
      <c r="J14100">
        <v>1653</v>
      </c>
      <c r="K14100">
        <v>421</v>
      </c>
      <c r="L14100">
        <v>4</v>
      </c>
      <c r="M14100">
        <v>1336</v>
      </c>
      <c r="N14100">
        <v>18</v>
      </c>
      <c r="O14100">
        <v>1</v>
      </c>
      <c r="P14100">
        <v>7</v>
      </c>
      <c r="Q14100">
        <v>1</v>
      </c>
    </row>
    <row r="14101" spans="1:17" x14ac:dyDescent="0.2">
      <c r="A14101" s="121">
        <v>43921</v>
      </c>
      <c r="B14101" t="s">
        <v>406</v>
      </c>
      <c r="C14101" t="s">
        <v>456</v>
      </c>
      <c r="D14101" t="s">
        <v>479</v>
      </c>
      <c r="E14101" t="s">
        <v>480</v>
      </c>
      <c r="F14101" t="s">
        <v>410</v>
      </c>
      <c r="G14101">
        <v>41</v>
      </c>
      <c r="I14101">
        <v>41</v>
      </c>
    </row>
    <row r="14102" spans="1:17" x14ac:dyDescent="0.2">
      <c r="A14102" s="121">
        <v>43921</v>
      </c>
      <c r="B14102" t="s">
        <v>406</v>
      </c>
      <c r="C14102" t="s">
        <v>456</v>
      </c>
      <c r="D14102" t="s">
        <v>481</v>
      </c>
      <c r="E14102" t="s">
        <v>482</v>
      </c>
      <c r="F14102" t="s">
        <v>410</v>
      </c>
      <c r="G14102">
        <v>19</v>
      </c>
      <c r="I14102">
        <v>19</v>
      </c>
    </row>
    <row r="14103" spans="1:17" x14ac:dyDescent="0.2">
      <c r="A14103" s="121">
        <v>43921</v>
      </c>
      <c r="B14103" t="s">
        <v>406</v>
      </c>
      <c r="C14103" t="s">
        <v>456</v>
      </c>
      <c r="D14103" t="s">
        <v>483</v>
      </c>
      <c r="E14103" t="s">
        <v>484</v>
      </c>
      <c r="F14103" t="s">
        <v>410</v>
      </c>
      <c r="G14103">
        <v>41</v>
      </c>
      <c r="I14103">
        <v>41</v>
      </c>
    </row>
    <row r="14104" spans="1:17" x14ac:dyDescent="0.2">
      <c r="A14104" s="121">
        <v>43921</v>
      </c>
      <c r="B14104" t="s">
        <v>406</v>
      </c>
      <c r="C14104" t="s">
        <v>456</v>
      </c>
      <c r="D14104" t="s">
        <v>489</v>
      </c>
      <c r="E14104" t="s">
        <v>490</v>
      </c>
      <c r="F14104" t="s">
        <v>410</v>
      </c>
      <c r="G14104">
        <v>38</v>
      </c>
      <c r="I14104">
        <v>38</v>
      </c>
    </row>
    <row r="14105" spans="1:17" x14ac:dyDescent="0.2">
      <c r="A14105" s="121">
        <v>43921</v>
      </c>
      <c r="B14105" t="s">
        <v>406</v>
      </c>
      <c r="C14105" t="s">
        <v>456</v>
      </c>
      <c r="D14105" t="s">
        <v>628</v>
      </c>
      <c r="E14105" t="s">
        <v>629</v>
      </c>
      <c r="F14105" t="s">
        <v>410</v>
      </c>
      <c r="G14105">
        <v>22</v>
      </c>
      <c r="I14105">
        <v>22</v>
      </c>
    </row>
    <row r="14106" spans="1:17" x14ac:dyDescent="0.2">
      <c r="A14106" s="121">
        <v>43921</v>
      </c>
      <c r="B14106" t="s">
        <v>406</v>
      </c>
      <c r="C14106" t="s">
        <v>491</v>
      </c>
      <c r="D14106" t="s">
        <v>492</v>
      </c>
      <c r="E14106" t="s">
        <v>493</v>
      </c>
      <c r="F14106" t="s">
        <v>410</v>
      </c>
      <c r="G14106">
        <v>1100</v>
      </c>
      <c r="H14106">
        <v>1100</v>
      </c>
      <c r="I14106">
        <v>1050</v>
      </c>
      <c r="J14106">
        <v>1050</v>
      </c>
      <c r="K14106">
        <v>146</v>
      </c>
      <c r="L14106">
        <v>1</v>
      </c>
      <c r="M14106">
        <v>870</v>
      </c>
      <c r="N14106">
        <v>62</v>
      </c>
      <c r="O14106">
        <v>21</v>
      </c>
      <c r="P14106">
        <v>3</v>
      </c>
      <c r="Q14106">
        <v>1</v>
      </c>
    </row>
    <row r="14107" spans="1:17" x14ac:dyDescent="0.2">
      <c r="A14107" s="121">
        <v>43921</v>
      </c>
      <c r="B14107" t="s">
        <v>406</v>
      </c>
      <c r="C14107" t="s">
        <v>491</v>
      </c>
      <c r="D14107" t="s">
        <v>494</v>
      </c>
      <c r="E14107" t="s">
        <v>495</v>
      </c>
      <c r="F14107" t="s">
        <v>413</v>
      </c>
      <c r="G14107">
        <v>2018</v>
      </c>
      <c r="H14107">
        <v>2018</v>
      </c>
      <c r="I14107">
        <v>1809</v>
      </c>
      <c r="J14107">
        <v>1809</v>
      </c>
      <c r="K14107">
        <v>543</v>
      </c>
      <c r="L14107">
        <v>6</v>
      </c>
      <c r="M14107">
        <v>1395</v>
      </c>
      <c r="N14107">
        <v>35</v>
      </c>
      <c r="O14107">
        <v>39</v>
      </c>
      <c r="P14107">
        <v>20</v>
      </c>
      <c r="Q14107">
        <v>5</v>
      </c>
    </row>
    <row r="14108" spans="1:17" x14ac:dyDescent="0.2">
      <c r="A14108" s="121">
        <v>43921</v>
      </c>
      <c r="B14108" t="s">
        <v>406</v>
      </c>
      <c r="C14108" t="s">
        <v>491</v>
      </c>
      <c r="D14108" t="s">
        <v>496</v>
      </c>
      <c r="E14108" t="s">
        <v>497</v>
      </c>
      <c r="F14108" t="s">
        <v>413</v>
      </c>
      <c r="G14108">
        <v>3988</v>
      </c>
      <c r="H14108">
        <v>3988</v>
      </c>
      <c r="I14108">
        <v>3441</v>
      </c>
      <c r="J14108">
        <v>3441</v>
      </c>
      <c r="K14108">
        <v>1233</v>
      </c>
      <c r="L14108">
        <v>14</v>
      </c>
      <c r="M14108">
        <v>2602</v>
      </c>
      <c r="N14108">
        <v>56</v>
      </c>
      <c r="O14108">
        <v>83</v>
      </c>
      <c r="P14108">
        <v>79</v>
      </c>
      <c r="Q14108">
        <v>6</v>
      </c>
    </row>
    <row r="14109" spans="1:17" x14ac:dyDescent="0.2">
      <c r="A14109" s="121">
        <v>43921</v>
      </c>
      <c r="B14109" t="s">
        <v>406</v>
      </c>
      <c r="C14109" t="s">
        <v>491</v>
      </c>
      <c r="D14109" t="s">
        <v>498</v>
      </c>
      <c r="E14109" t="s">
        <v>499</v>
      </c>
      <c r="F14109" t="s">
        <v>413</v>
      </c>
      <c r="G14109">
        <v>5116</v>
      </c>
      <c r="H14109">
        <v>5116</v>
      </c>
      <c r="I14109">
        <v>4392</v>
      </c>
      <c r="J14109">
        <v>4392</v>
      </c>
      <c r="K14109">
        <v>1827</v>
      </c>
      <c r="L14109">
        <v>11</v>
      </c>
      <c r="M14109">
        <v>3007</v>
      </c>
      <c r="N14109">
        <v>64</v>
      </c>
      <c r="O14109">
        <v>207</v>
      </c>
      <c r="P14109">
        <v>56</v>
      </c>
      <c r="Q14109">
        <v>5</v>
      </c>
    </row>
    <row r="14110" spans="1:17" x14ac:dyDescent="0.2">
      <c r="A14110" s="121">
        <v>43921</v>
      </c>
      <c r="B14110" t="s">
        <v>406</v>
      </c>
      <c r="C14110" t="s">
        <v>491</v>
      </c>
      <c r="D14110" t="s">
        <v>500</v>
      </c>
      <c r="E14110" t="s">
        <v>620</v>
      </c>
      <c r="F14110" t="s">
        <v>410</v>
      </c>
      <c r="G14110">
        <v>1569</v>
      </c>
      <c r="H14110">
        <v>1569</v>
      </c>
      <c r="I14110">
        <v>1556</v>
      </c>
      <c r="J14110">
        <v>1556</v>
      </c>
      <c r="K14110">
        <v>4</v>
      </c>
      <c r="L14110">
        <v>1</v>
      </c>
      <c r="M14110">
        <v>1384</v>
      </c>
      <c r="N14110">
        <v>96</v>
      </c>
      <c r="O14110">
        <v>84</v>
      </c>
      <c r="P14110">
        <v>1</v>
      </c>
      <c r="Q14110">
        <v>0</v>
      </c>
    </row>
    <row r="14111" spans="1:17" x14ac:dyDescent="0.2">
      <c r="A14111" s="121">
        <v>43921</v>
      </c>
      <c r="B14111" t="s">
        <v>406</v>
      </c>
      <c r="C14111" t="s">
        <v>491</v>
      </c>
      <c r="D14111" t="s">
        <v>502</v>
      </c>
      <c r="E14111" t="s">
        <v>615</v>
      </c>
      <c r="F14111" t="s">
        <v>410</v>
      </c>
      <c r="G14111">
        <v>1959</v>
      </c>
      <c r="H14111">
        <v>1959</v>
      </c>
      <c r="I14111">
        <v>1955</v>
      </c>
      <c r="J14111">
        <v>1955</v>
      </c>
      <c r="K14111">
        <v>1</v>
      </c>
      <c r="L14111">
        <v>0</v>
      </c>
      <c r="M14111">
        <v>1749</v>
      </c>
      <c r="N14111">
        <v>126</v>
      </c>
      <c r="O14111">
        <v>83</v>
      </c>
      <c r="P14111">
        <v>0</v>
      </c>
      <c r="Q14111">
        <v>0</v>
      </c>
    </row>
    <row r="14112" spans="1:17" x14ac:dyDescent="0.2">
      <c r="A14112" s="121">
        <v>43921</v>
      </c>
      <c r="B14112" t="s">
        <v>406</v>
      </c>
      <c r="C14112" t="s">
        <v>491</v>
      </c>
      <c r="D14112" t="s">
        <v>504</v>
      </c>
      <c r="E14112" t="s">
        <v>630</v>
      </c>
      <c r="F14112" t="s">
        <v>413</v>
      </c>
      <c r="G14112">
        <v>6035</v>
      </c>
      <c r="H14112">
        <v>6035</v>
      </c>
      <c r="I14112">
        <v>4635</v>
      </c>
      <c r="J14112">
        <v>4635</v>
      </c>
      <c r="K14112">
        <v>2182</v>
      </c>
      <c r="L14112">
        <v>21</v>
      </c>
      <c r="M14112">
        <v>3641</v>
      </c>
      <c r="N14112">
        <v>31</v>
      </c>
      <c r="O14112">
        <v>160</v>
      </c>
      <c r="P14112">
        <v>78</v>
      </c>
      <c r="Q14112">
        <v>6</v>
      </c>
    </row>
    <row r="14113" spans="1:17" x14ac:dyDescent="0.2">
      <c r="A14113" s="121">
        <v>43921</v>
      </c>
      <c r="B14113" t="s">
        <v>406</v>
      </c>
      <c r="C14113" t="s">
        <v>491</v>
      </c>
      <c r="D14113" t="s">
        <v>506</v>
      </c>
      <c r="E14113" t="s">
        <v>507</v>
      </c>
      <c r="F14113" t="s">
        <v>413</v>
      </c>
      <c r="G14113">
        <v>3042</v>
      </c>
      <c r="H14113">
        <v>3042</v>
      </c>
      <c r="I14113">
        <v>2939</v>
      </c>
      <c r="J14113">
        <v>2939</v>
      </c>
      <c r="K14113">
        <v>781</v>
      </c>
      <c r="L14113">
        <v>0</v>
      </c>
      <c r="M14113">
        <v>2256</v>
      </c>
      <c r="N14113">
        <v>3</v>
      </c>
      <c r="O14113">
        <v>2</v>
      </c>
      <c r="P14113">
        <v>0</v>
      </c>
      <c r="Q14113">
        <v>0</v>
      </c>
    </row>
    <row r="14114" spans="1:17" x14ac:dyDescent="0.2">
      <c r="A14114" s="121">
        <v>43921</v>
      </c>
      <c r="B14114" t="s">
        <v>406</v>
      </c>
      <c r="C14114" t="s">
        <v>510</v>
      </c>
      <c r="D14114" t="s">
        <v>513</v>
      </c>
      <c r="E14114" t="s">
        <v>514</v>
      </c>
      <c r="F14114" t="s">
        <v>410</v>
      </c>
      <c r="G14114">
        <v>487</v>
      </c>
      <c r="I14114">
        <v>487</v>
      </c>
    </row>
    <row r="14115" spans="1:17" x14ac:dyDescent="0.2">
      <c r="A14115" s="121">
        <v>43921</v>
      </c>
      <c r="B14115" t="s">
        <v>406</v>
      </c>
      <c r="C14115" t="s">
        <v>510</v>
      </c>
      <c r="D14115" t="s">
        <v>515</v>
      </c>
      <c r="E14115" t="s">
        <v>516</v>
      </c>
      <c r="F14115" t="s">
        <v>410</v>
      </c>
      <c r="G14115">
        <v>55</v>
      </c>
      <c r="I14115">
        <v>55</v>
      </c>
    </row>
    <row r="14116" spans="1:17" x14ac:dyDescent="0.2">
      <c r="A14116" s="121">
        <v>43921</v>
      </c>
      <c r="B14116" t="s">
        <v>406</v>
      </c>
      <c r="C14116" t="s">
        <v>510</v>
      </c>
      <c r="D14116" t="s">
        <v>519</v>
      </c>
      <c r="E14116" t="s">
        <v>520</v>
      </c>
      <c r="F14116" t="s">
        <v>410</v>
      </c>
      <c r="G14116">
        <v>246</v>
      </c>
      <c r="I14116">
        <v>240</v>
      </c>
    </row>
    <row r="14117" spans="1:17" x14ac:dyDescent="0.2">
      <c r="A14117" s="121">
        <v>43921</v>
      </c>
      <c r="B14117" t="s">
        <v>406</v>
      </c>
      <c r="C14117" t="s">
        <v>510</v>
      </c>
      <c r="D14117" t="s">
        <v>523</v>
      </c>
      <c r="E14117" t="s">
        <v>524</v>
      </c>
      <c r="F14117" t="s">
        <v>413</v>
      </c>
      <c r="G14117">
        <v>445</v>
      </c>
      <c r="H14117">
        <v>445</v>
      </c>
      <c r="I14117">
        <v>426</v>
      </c>
      <c r="J14117">
        <v>426</v>
      </c>
      <c r="K14117">
        <v>112</v>
      </c>
      <c r="L14117">
        <v>0</v>
      </c>
      <c r="M14117">
        <v>316</v>
      </c>
      <c r="N14117">
        <v>15</v>
      </c>
      <c r="O14117">
        <v>2</v>
      </c>
      <c r="P14117">
        <v>3</v>
      </c>
      <c r="Q14117">
        <v>0</v>
      </c>
    </row>
    <row r="14118" spans="1:17" x14ac:dyDescent="0.2">
      <c r="A14118" s="121">
        <v>43921</v>
      </c>
      <c r="B14118" t="s">
        <v>406</v>
      </c>
      <c r="C14118" t="s">
        <v>510</v>
      </c>
      <c r="D14118" t="s">
        <v>525</v>
      </c>
      <c r="E14118" t="s">
        <v>526</v>
      </c>
      <c r="F14118" t="s">
        <v>410</v>
      </c>
      <c r="G14118">
        <v>275</v>
      </c>
      <c r="I14118">
        <v>270</v>
      </c>
    </row>
    <row r="14119" spans="1:17" x14ac:dyDescent="0.2">
      <c r="A14119" s="121">
        <v>43921</v>
      </c>
      <c r="B14119" t="s">
        <v>406</v>
      </c>
      <c r="C14119" t="s">
        <v>510</v>
      </c>
      <c r="D14119" t="s">
        <v>527</v>
      </c>
      <c r="E14119" t="s">
        <v>528</v>
      </c>
      <c r="F14119" t="s">
        <v>410</v>
      </c>
      <c r="G14119">
        <v>93</v>
      </c>
      <c r="I14119">
        <v>93</v>
      </c>
    </row>
    <row r="14120" spans="1:17" x14ac:dyDescent="0.2">
      <c r="A14120" s="121">
        <v>43921</v>
      </c>
      <c r="B14120" t="s">
        <v>406</v>
      </c>
      <c r="C14120" t="s">
        <v>510</v>
      </c>
      <c r="D14120" t="s">
        <v>529</v>
      </c>
      <c r="E14120" t="s">
        <v>530</v>
      </c>
      <c r="F14120" t="s">
        <v>413</v>
      </c>
      <c r="G14120">
        <v>574</v>
      </c>
      <c r="H14120">
        <v>574</v>
      </c>
      <c r="I14120">
        <v>547</v>
      </c>
      <c r="J14120">
        <v>547</v>
      </c>
      <c r="K14120">
        <v>123</v>
      </c>
      <c r="L14120">
        <v>1</v>
      </c>
      <c r="M14120">
        <v>417</v>
      </c>
      <c r="N14120">
        <v>17</v>
      </c>
      <c r="O14120">
        <v>16</v>
      </c>
      <c r="P14120">
        <v>4</v>
      </c>
      <c r="Q14120">
        <v>2</v>
      </c>
    </row>
    <row r="14121" spans="1:17" x14ac:dyDescent="0.2">
      <c r="A14121" s="121">
        <v>43921</v>
      </c>
      <c r="B14121" t="s">
        <v>406</v>
      </c>
      <c r="C14121" t="s">
        <v>510</v>
      </c>
      <c r="D14121" t="s">
        <v>531</v>
      </c>
      <c r="E14121" t="s">
        <v>532</v>
      </c>
      <c r="F14121" t="s">
        <v>410</v>
      </c>
      <c r="G14121">
        <v>50</v>
      </c>
      <c r="I14121">
        <v>50</v>
      </c>
    </row>
    <row r="14122" spans="1:17" x14ac:dyDescent="0.2">
      <c r="A14122" s="121">
        <v>43921</v>
      </c>
      <c r="B14122" t="s">
        <v>406</v>
      </c>
      <c r="C14122" t="s">
        <v>510</v>
      </c>
      <c r="D14122" t="s">
        <v>533</v>
      </c>
      <c r="E14122" t="s">
        <v>534</v>
      </c>
      <c r="F14122" t="s">
        <v>413</v>
      </c>
      <c r="G14122">
        <v>2208</v>
      </c>
      <c r="H14122">
        <v>2208</v>
      </c>
      <c r="I14122">
        <v>1952</v>
      </c>
      <c r="J14122">
        <v>1952</v>
      </c>
      <c r="K14122">
        <v>578</v>
      </c>
      <c r="L14122">
        <v>2</v>
      </c>
      <c r="M14122">
        <v>1498</v>
      </c>
      <c r="N14122">
        <v>24</v>
      </c>
      <c r="O14122">
        <v>106</v>
      </c>
      <c r="P14122">
        <v>20</v>
      </c>
      <c r="Q14122">
        <v>0</v>
      </c>
    </row>
    <row r="14123" spans="1:17" x14ac:dyDescent="0.2">
      <c r="A14123" s="121">
        <v>43921</v>
      </c>
      <c r="B14123" t="s">
        <v>406</v>
      </c>
      <c r="C14123" t="s">
        <v>510</v>
      </c>
      <c r="D14123" t="s">
        <v>535</v>
      </c>
      <c r="E14123" t="s">
        <v>536</v>
      </c>
      <c r="F14123" t="s">
        <v>410</v>
      </c>
      <c r="G14123">
        <v>214</v>
      </c>
      <c r="I14123">
        <v>214</v>
      </c>
    </row>
    <row r="14124" spans="1:17" x14ac:dyDescent="0.2">
      <c r="A14124" s="121">
        <v>43921</v>
      </c>
      <c r="B14124" t="s">
        <v>406</v>
      </c>
      <c r="C14124" t="s">
        <v>510</v>
      </c>
      <c r="D14124" t="s">
        <v>539</v>
      </c>
      <c r="E14124" t="s">
        <v>540</v>
      </c>
      <c r="F14124" t="s">
        <v>413</v>
      </c>
      <c r="G14124">
        <v>452</v>
      </c>
      <c r="H14124">
        <v>452</v>
      </c>
      <c r="I14124">
        <v>430</v>
      </c>
      <c r="J14124">
        <v>430</v>
      </c>
      <c r="K14124">
        <v>59</v>
      </c>
      <c r="L14124">
        <v>0</v>
      </c>
      <c r="M14124">
        <v>374</v>
      </c>
      <c r="N14124">
        <v>7</v>
      </c>
      <c r="O14124">
        <v>12</v>
      </c>
      <c r="P14124">
        <v>1</v>
      </c>
      <c r="Q14124">
        <v>0</v>
      </c>
    </row>
    <row r="14125" spans="1:17" x14ac:dyDescent="0.2">
      <c r="A14125" s="121">
        <v>43921</v>
      </c>
      <c r="B14125" t="s">
        <v>406</v>
      </c>
      <c r="C14125" t="s">
        <v>510</v>
      </c>
      <c r="D14125" t="s">
        <v>541</v>
      </c>
      <c r="E14125" t="s">
        <v>542</v>
      </c>
      <c r="F14125" t="s">
        <v>410</v>
      </c>
      <c r="G14125">
        <v>262</v>
      </c>
      <c r="I14125">
        <v>262</v>
      </c>
    </row>
    <row r="14126" spans="1:17" x14ac:dyDescent="0.2">
      <c r="A14126" s="121">
        <v>43921</v>
      </c>
      <c r="B14126" t="s">
        <v>406</v>
      </c>
      <c r="C14126" t="s">
        <v>510</v>
      </c>
      <c r="D14126" t="s">
        <v>543</v>
      </c>
      <c r="E14126" t="s">
        <v>544</v>
      </c>
      <c r="F14126" t="s">
        <v>410</v>
      </c>
      <c r="G14126">
        <v>115</v>
      </c>
      <c r="I14126">
        <v>115</v>
      </c>
    </row>
    <row r="14127" spans="1:17" x14ac:dyDescent="0.2">
      <c r="A14127" s="121">
        <v>43921</v>
      </c>
      <c r="B14127" t="s">
        <v>406</v>
      </c>
      <c r="C14127" t="s">
        <v>510</v>
      </c>
      <c r="D14127" t="s">
        <v>547</v>
      </c>
      <c r="E14127" t="s">
        <v>548</v>
      </c>
      <c r="F14127" t="s">
        <v>410</v>
      </c>
      <c r="G14127">
        <v>106</v>
      </c>
      <c r="I14127">
        <v>106</v>
      </c>
    </row>
    <row r="14128" spans="1:17" x14ac:dyDescent="0.2">
      <c r="A14128" s="121">
        <v>43921</v>
      </c>
      <c r="B14128" t="s">
        <v>406</v>
      </c>
      <c r="C14128" t="s">
        <v>510</v>
      </c>
      <c r="D14128" t="s">
        <v>616</v>
      </c>
      <c r="E14128" t="s">
        <v>617</v>
      </c>
      <c r="F14128" t="s">
        <v>410</v>
      </c>
      <c r="G14128">
        <v>270</v>
      </c>
      <c r="I14128">
        <v>269</v>
      </c>
    </row>
    <row r="14129" spans="1:17" x14ac:dyDescent="0.2">
      <c r="A14129" s="121">
        <v>43921</v>
      </c>
      <c r="B14129" t="s">
        <v>406</v>
      </c>
      <c r="C14129" t="s">
        <v>510</v>
      </c>
      <c r="D14129" t="s">
        <v>549</v>
      </c>
      <c r="E14129" t="s">
        <v>550</v>
      </c>
      <c r="F14129" t="s">
        <v>410</v>
      </c>
      <c r="G14129">
        <v>83</v>
      </c>
      <c r="I14129">
        <v>83</v>
      </c>
    </row>
    <row r="14130" spans="1:17" x14ac:dyDescent="0.2">
      <c r="A14130" s="121">
        <v>43921</v>
      </c>
      <c r="B14130" t="s">
        <v>406</v>
      </c>
      <c r="C14130" t="s">
        <v>510</v>
      </c>
      <c r="D14130" t="s">
        <v>625</v>
      </c>
      <c r="E14130" t="s">
        <v>626</v>
      </c>
      <c r="F14130" t="s">
        <v>410</v>
      </c>
      <c r="G14130">
        <v>48</v>
      </c>
      <c r="I14130">
        <v>45</v>
      </c>
    </row>
    <row r="14131" spans="1:17" x14ac:dyDescent="0.2">
      <c r="A14131" s="121">
        <v>43921</v>
      </c>
      <c r="B14131" t="s">
        <v>406</v>
      </c>
      <c r="C14131" t="s">
        <v>551</v>
      </c>
      <c r="D14131" t="s">
        <v>552</v>
      </c>
      <c r="E14131" t="s">
        <v>553</v>
      </c>
      <c r="F14131" t="s">
        <v>413</v>
      </c>
      <c r="G14131">
        <v>4239</v>
      </c>
      <c r="H14131">
        <v>4239</v>
      </c>
      <c r="I14131">
        <v>3864</v>
      </c>
      <c r="J14131">
        <v>3864</v>
      </c>
      <c r="K14131">
        <v>1575</v>
      </c>
      <c r="L14131">
        <v>7</v>
      </c>
      <c r="M14131">
        <v>2549</v>
      </c>
      <c r="N14131">
        <v>86</v>
      </c>
      <c r="O14131">
        <v>22</v>
      </c>
      <c r="P14131">
        <v>29</v>
      </c>
      <c r="Q14131">
        <v>4</v>
      </c>
    </row>
    <row r="14132" spans="1:17" x14ac:dyDescent="0.2">
      <c r="A14132" s="121">
        <v>43921</v>
      </c>
      <c r="B14132" t="s">
        <v>406</v>
      </c>
      <c r="C14132" t="s">
        <v>551</v>
      </c>
      <c r="D14132" t="s">
        <v>554</v>
      </c>
      <c r="E14132" t="s">
        <v>555</v>
      </c>
      <c r="F14132" t="s">
        <v>410</v>
      </c>
      <c r="G14132">
        <v>37</v>
      </c>
      <c r="H14132">
        <v>37</v>
      </c>
      <c r="I14132">
        <v>37</v>
      </c>
      <c r="J14132">
        <v>37</v>
      </c>
      <c r="K14132">
        <v>2</v>
      </c>
      <c r="L14132">
        <v>0</v>
      </c>
      <c r="M14132">
        <v>35</v>
      </c>
      <c r="N14132">
        <v>0</v>
      </c>
      <c r="O14132">
        <v>0</v>
      </c>
      <c r="P14132">
        <v>0</v>
      </c>
      <c r="Q14132">
        <v>0</v>
      </c>
    </row>
    <row r="14133" spans="1:17" x14ac:dyDescent="0.2">
      <c r="A14133" s="121">
        <v>43921</v>
      </c>
      <c r="B14133" t="s">
        <v>406</v>
      </c>
      <c r="C14133" t="s">
        <v>551</v>
      </c>
      <c r="D14133" t="s">
        <v>556</v>
      </c>
      <c r="E14133" t="s">
        <v>557</v>
      </c>
      <c r="F14133" t="s">
        <v>410</v>
      </c>
      <c r="G14133">
        <v>28</v>
      </c>
      <c r="H14133">
        <v>28</v>
      </c>
      <c r="I14133">
        <v>28</v>
      </c>
      <c r="J14133">
        <v>28</v>
      </c>
      <c r="K14133">
        <v>2</v>
      </c>
      <c r="L14133">
        <v>0</v>
      </c>
      <c r="M14133">
        <v>26</v>
      </c>
      <c r="N14133">
        <v>0</v>
      </c>
      <c r="O14133">
        <v>0</v>
      </c>
      <c r="P14133">
        <v>0</v>
      </c>
      <c r="Q14133">
        <v>0</v>
      </c>
    </row>
    <row r="14134" spans="1:17" x14ac:dyDescent="0.2">
      <c r="A14134" s="121">
        <v>43921</v>
      </c>
      <c r="B14134" t="s">
        <v>406</v>
      </c>
      <c r="C14134" t="s">
        <v>551</v>
      </c>
      <c r="D14134" t="s">
        <v>558</v>
      </c>
      <c r="E14134" t="s">
        <v>559</v>
      </c>
      <c r="F14134" t="s">
        <v>413</v>
      </c>
      <c r="G14134">
        <v>3742</v>
      </c>
      <c r="H14134">
        <v>3742</v>
      </c>
      <c r="I14134">
        <v>3015</v>
      </c>
      <c r="J14134">
        <v>3015</v>
      </c>
      <c r="K14134">
        <v>1117</v>
      </c>
      <c r="L14134">
        <v>9</v>
      </c>
      <c r="M14134">
        <v>2545</v>
      </c>
      <c r="N14134">
        <v>67</v>
      </c>
      <c r="O14134">
        <v>4</v>
      </c>
      <c r="P14134">
        <v>113</v>
      </c>
      <c r="Q14134">
        <v>45</v>
      </c>
    </row>
    <row r="14135" spans="1:17" x14ac:dyDescent="0.2">
      <c r="A14135" s="121">
        <v>43921</v>
      </c>
      <c r="B14135" t="s">
        <v>406</v>
      </c>
      <c r="C14135" t="s">
        <v>551</v>
      </c>
      <c r="D14135" t="s">
        <v>560</v>
      </c>
      <c r="E14135" t="s">
        <v>561</v>
      </c>
      <c r="F14135" t="s">
        <v>413</v>
      </c>
      <c r="G14135">
        <v>4568</v>
      </c>
      <c r="H14135">
        <v>4568</v>
      </c>
      <c r="I14135">
        <v>3946</v>
      </c>
      <c r="J14135">
        <v>3946</v>
      </c>
      <c r="K14135">
        <v>1481</v>
      </c>
      <c r="L14135">
        <v>9</v>
      </c>
      <c r="M14135">
        <v>2999</v>
      </c>
      <c r="N14135">
        <v>48</v>
      </c>
      <c r="O14135">
        <v>31</v>
      </c>
      <c r="P14135">
        <v>115</v>
      </c>
      <c r="Q14135">
        <v>18</v>
      </c>
    </row>
    <row r="14136" spans="1:17" x14ac:dyDescent="0.2">
      <c r="A14136" s="121">
        <v>43921</v>
      </c>
      <c r="B14136" t="s">
        <v>406</v>
      </c>
      <c r="C14136" t="s">
        <v>562</v>
      </c>
      <c r="D14136" t="s">
        <v>605</v>
      </c>
      <c r="E14136" t="s">
        <v>606</v>
      </c>
      <c r="F14136" t="s">
        <v>410</v>
      </c>
      <c r="G14136">
        <v>99</v>
      </c>
      <c r="I14136">
        <v>99</v>
      </c>
    </row>
    <row r="14137" spans="1:17" x14ac:dyDescent="0.2">
      <c r="A14137" s="121">
        <v>43921</v>
      </c>
      <c r="B14137" t="s">
        <v>406</v>
      </c>
      <c r="C14137" t="s">
        <v>562</v>
      </c>
      <c r="D14137" t="s">
        <v>563</v>
      </c>
      <c r="E14137" t="s">
        <v>564</v>
      </c>
      <c r="F14137" t="s">
        <v>410</v>
      </c>
      <c r="G14137">
        <v>2650</v>
      </c>
      <c r="H14137">
        <v>2650</v>
      </c>
      <c r="I14137">
        <v>2222</v>
      </c>
      <c r="J14137">
        <v>2222</v>
      </c>
      <c r="K14137">
        <v>838</v>
      </c>
      <c r="L14137">
        <v>0</v>
      </c>
      <c r="M14137">
        <v>1811</v>
      </c>
      <c r="N14137">
        <v>0</v>
      </c>
      <c r="O14137">
        <v>1</v>
      </c>
      <c r="P14137">
        <v>64</v>
      </c>
      <c r="Q14137">
        <v>41</v>
      </c>
    </row>
    <row r="14138" spans="1:17" x14ac:dyDescent="0.2">
      <c r="A14138" s="121">
        <v>43921</v>
      </c>
      <c r="B14138" t="s">
        <v>406</v>
      </c>
      <c r="C14138" t="s">
        <v>562</v>
      </c>
      <c r="D14138" t="s">
        <v>565</v>
      </c>
      <c r="E14138" t="s">
        <v>566</v>
      </c>
      <c r="F14138" t="s">
        <v>413</v>
      </c>
      <c r="G14138">
        <v>3800</v>
      </c>
      <c r="H14138">
        <v>3800</v>
      </c>
      <c r="I14138">
        <v>3408</v>
      </c>
      <c r="J14138">
        <v>3408</v>
      </c>
      <c r="K14138">
        <v>776</v>
      </c>
      <c r="L14138">
        <v>3</v>
      </c>
      <c r="M14138">
        <v>2971</v>
      </c>
      <c r="N14138">
        <v>40</v>
      </c>
      <c r="O14138">
        <v>10</v>
      </c>
      <c r="P14138">
        <v>53</v>
      </c>
      <c r="Q14138">
        <v>13</v>
      </c>
    </row>
    <row r="14139" spans="1:17" x14ac:dyDescent="0.2">
      <c r="A14139" s="121">
        <v>43921</v>
      </c>
      <c r="B14139" t="s">
        <v>406</v>
      </c>
      <c r="C14139" t="s">
        <v>562</v>
      </c>
      <c r="D14139" t="s">
        <v>567</v>
      </c>
      <c r="E14139" t="s">
        <v>568</v>
      </c>
      <c r="F14139" t="s">
        <v>413</v>
      </c>
      <c r="G14139">
        <v>7955</v>
      </c>
      <c r="H14139">
        <v>7955</v>
      </c>
      <c r="I14139">
        <v>6446</v>
      </c>
      <c r="J14139">
        <v>6446</v>
      </c>
      <c r="K14139">
        <v>2848</v>
      </c>
      <c r="L14139">
        <v>11</v>
      </c>
      <c r="M14139">
        <v>4914</v>
      </c>
      <c r="N14139">
        <v>141</v>
      </c>
      <c r="O14139">
        <v>41</v>
      </c>
      <c r="P14139">
        <v>311</v>
      </c>
      <c r="Q14139">
        <v>97</v>
      </c>
    </row>
    <row r="14140" spans="1:17" x14ac:dyDescent="0.2">
      <c r="A14140" s="121">
        <v>43921</v>
      </c>
      <c r="B14140" t="s">
        <v>406</v>
      </c>
      <c r="C14140" t="s">
        <v>562</v>
      </c>
      <c r="D14140" t="s">
        <v>569</v>
      </c>
      <c r="E14140" t="s">
        <v>570</v>
      </c>
      <c r="F14140" t="s">
        <v>413</v>
      </c>
      <c r="G14140">
        <v>3260</v>
      </c>
      <c r="H14140">
        <v>3260</v>
      </c>
      <c r="I14140">
        <v>3199</v>
      </c>
      <c r="J14140">
        <v>3199</v>
      </c>
      <c r="K14140">
        <v>466</v>
      </c>
      <c r="L14140">
        <v>1</v>
      </c>
      <c r="M14140">
        <v>2713</v>
      </c>
      <c r="N14140">
        <v>69</v>
      </c>
      <c r="O14140">
        <v>11</v>
      </c>
      <c r="P14140">
        <v>0</v>
      </c>
      <c r="Q14140">
        <v>0</v>
      </c>
    </row>
    <row r="14141" spans="1:17" x14ac:dyDescent="0.2">
      <c r="A14141" s="121">
        <v>43921</v>
      </c>
      <c r="B14141" t="s">
        <v>406</v>
      </c>
      <c r="C14141" t="s">
        <v>571</v>
      </c>
      <c r="D14141" t="s">
        <v>572</v>
      </c>
      <c r="E14141" t="s">
        <v>627</v>
      </c>
      <c r="F14141" t="s">
        <v>413</v>
      </c>
      <c r="G14141">
        <v>415</v>
      </c>
      <c r="H14141">
        <v>415</v>
      </c>
      <c r="I14141">
        <v>394</v>
      </c>
      <c r="J14141">
        <v>394</v>
      </c>
      <c r="K14141">
        <v>101</v>
      </c>
      <c r="L14141">
        <v>1</v>
      </c>
      <c r="M14141">
        <v>309</v>
      </c>
      <c r="N14141">
        <v>2</v>
      </c>
      <c r="O14141">
        <v>2</v>
      </c>
      <c r="P14141">
        <v>0</v>
      </c>
      <c r="Q14141">
        <v>0</v>
      </c>
    </row>
    <row r="14142" spans="1:17" x14ac:dyDescent="0.2">
      <c r="A14142" s="121">
        <v>43921</v>
      </c>
      <c r="B14142" t="s">
        <v>406</v>
      </c>
      <c r="C14142" t="s">
        <v>574</v>
      </c>
      <c r="D14142" t="s">
        <v>575</v>
      </c>
      <c r="E14142" t="s">
        <v>576</v>
      </c>
      <c r="F14142" t="s">
        <v>413</v>
      </c>
      <c r="G14142">
        <v>451</v>
      </c>
      <c r="H14142">
        <v>451</v>
      </c>
      <c r="I14142">
        <v>410</v>
      </c>
      <c r="J14142">
        <v>410</v>
      </c>
      <c r="K14142">
        <v>143</v>
      </c>
      <c r="L14142">
        <v>1</v>
      </c>
      <c r="M14142">
        <v>302</v>
      </c>
      <c r="N14142">
        <v>4</v>
      </c>
      <c r="O14142">
        <v>1</v>
      </c>
      <c r="P14142">
        <v>2</v>
      </c>
      <c r="Q14142">
        <v>0</v>
      </c>
    </row>
    <row r="14143" spans="1:17" x14ac:dyDescent="0.2">
      <c r="A14143" s="121">
        <v>43921</v>
      </c>
      <c r="B14143" t="s">
        <v>406</v>
      </c>
      <c r="C14143" t="s">
        <v>577</v>
      </c>
      <c r="D14143" t="s">
        <v>578</v>
      </c>
      <c r="E14143" t="s">
        <v>579</v>
      </c>
      <c r="F14143" t="s">
        <v>413</v>
      </c>
      <c r="G14143">
        <v>3265</v>
      </c>
      <c r="H14143">
        <v>3265</v>
      </c>
      <c r="I14143">
        <v>3173</v>
      </c>
      <c r="J14143">
        <v>3173</v>
      </c>
      <c r="K14143">
        <v>1115</v>
      </c>
      <c r="L14143">
        <v>6</v>
      </c>
      <c r="M14143">
        <v>1970</v>
      </c>
      <c r="N14143">
        <v>142</v>
      </c>
      <c r="O14143">
        <v>32</v>
      </c>
      <c r="P14143">
        <v>2</v>
      </c>
      <c r="Q14143">
        <v>0</v>
      </c>
    </row>
    <row r="14144" spans="1:17" x14ac:dyDescent="0.2">
      <c r="A14144" s="121">
        <v>43921</v>
      </c>
      <c r="B14144" t="s">
        <v>406</v>
      </c>
      <c r="C14144" t="s">
        <v>577</v>
      </c>
      <c r="D14144" t="s">
        <v>580</v>
      </c>
      <c r="E14144" t="s">
        <v>581</v>
      </c>
      <c r="F14144" t="s">
        <v>413</v>
      </c>
      <c r="G14144">
        <v>1532</v>
      </c>
      <c r="H14144">
        <v>1532</v>
      </c>
      <c r="I14144">
        <v>1460</v>
      </c>
      <c r="J14144">
        <v>1460</v>
      </c>
      <c r="K14144">
        <v>340</v>
      </c>
      <c r="L14144">
        <v>0</v>
      </c>
      <c r="M14144">
        <v>987</v>
      </c>
      <c r="N14144">
        <v>190</v>
      </c>
      <c r="O14144">
        <v>15</v>
      </c>
      <c r="P14144">
        <v>4</v>
      </c>
      <c r="Q14144">
        <v>0</v>
      </c>
    </row>
    <row r="14145" spans="1:17" x14ac:dyDescent="0.2">
      <c r="A14145" s="121">
        <v>43921</v>
      </c>
      <c r="B14145" t="s">
        <v>406</v>
      </c>
      <c r="C14145" t="s">
        <v>577</v>
      </c>
      <c r="D14145" t="s">
        <v>584</v>
      </c>
      <c r="E14145" t="s">
        <v>585</v>
      </c>
      <c r="F14145" t="s">
        <v>410</v>
      </c>
      <c r="G14145">
        <v>160</v>
      </c>
      <c r="H14145">
        <v>160</v>
      </c>
      <c r="I14145">
        <v>159</v>
      </c>
      <c r="J14145">
        <v>159</v>
      </c>
      <c r="K14145">
        <v>0</v>
      </c>
      <c r="L14145">
        <v>0</v>
      </c>
      <c r="M14145">
        <v>155</v>
      </c>
      <c r="N14145">
        <v>5</v>
      </c>
      <c r="O14145">
        <v>0</v>
      </c>
      <c r="P14145">
        <v>0</v>
      </c>
      <c r="Q14145">
        <v>0</v>
      </c>
    </row>
    <row r="14146" spans="1:17" x14ac:dyDescent="0.2">
      <c r="A14146" s="121">
        <v>43921</v>
      </c>
      <c r="B14146" t="s">
        <v>406</v>
      </c>
      <c r="C14146" t="s">
        <v>577</v>
      </c>
      <c r="D14146" t="s">
        <v>586</v>
      </c>
      <c r="E14146" t="s">
        <v>587</v>
      </c>
      <c r="F14146" t="s">
        <v>410</v>
      </c>
      <c r="G14146">
        <v>702</v>
      </c>
      <c r="H14146">
        <v>702</v>
      </c>
      <c r="I14146">
        <v>702</v>
      </c>
      <c r="J14146">
        <v>702</v>
      </c>
      <c r="K14146">
        <v>0</v>
      </c>
      <c r="L14146">
        <v>0</v>
      </c>
      <c r="M14146">
        <v>644</v>
      </c>
      <c r="N14146">
        <v>58</v>
      </c>
      <c r="O14146">
        <v>0</v>
      </c>
      <c r="P14146">
        <v>0</v>
      </c>
      <c r="Q14146">
        <v>0</v>
      </c>
    </row>
    <row r="14147" spans="1:17" x14ac:dyDescent="0.2">
      <c r="A14147" s="121">
        <v>43921</v>
      </c>
      <c r="B14147" t="s">
        <v>406</v>
      </c>
      <c r="C14147" t="s">
        <v>577</v>
      </c>
      <c r="D14147" t="s">
        <v>613</v>
      </c>
      <c r="E14147" t="s">
        <v>614</v>
      </c>
      <c r="F14147" t="s">
        <v>410</v>
      </c>
      <c r="G14147">
        <v>85</v>
      </c>
      <c r="H14147">
        <v>85</v>
      </c>
      <c r="I14147">
        <v>85</v>
      </c>
      <c r="J14147">
        <v>85</v>
      </c>
      <c r="K14147">
        <v>0</v>
      </c>
      <c r="L14147">
        <v>0</v>
      </c>
      <c r="M14147">
        <v>75</v>
      </c>
      <c r="N14147">
        <v>6</v>
      </c>
      <c r="O14147">
        <v>4</v>
      </c>
      <c r="P14147">
        <v>0</v>
      </c>
      <c r="Q14147">
        <v>0</v>
      </c>
    </row>
    <row r="14148" spans="1:17" x14ac:dyDescent="0.2">
      <c r="A14148" s="121">
        <v>43921</v>
      </c>
      <c r="B14148" t="s">
        <v>406</v>
      </c>
      <c r="C14148" t="s">
        <v>577</v>
      </c>
      <c r="D14148" t="s">
        <v>590</v>
      </c>
      <c r="E14148" t="s">
        <v>591</v>
      </c>
      <c r="F14148" t="s">
        <v>410</v>
      </c>
      <c r="G14148">
        <v>278</v>
      </c>
      <c r="H14148">
        <v>278</v>
      </c>
      <c r="I14148">
        <v>277</v>
      </c>
      <c r="J14148">
        <v>277</v>
      </c>
      <c r="K14148">
        <v>0</v>
      </c>
      <c r="L14148">
        <v>1</v>
      </c>
      <c r="M14148">
        <v>257</v>
      </c>
      <c r="N14148">
        <v>20</v>
      </c>
      <c r="O14148">
        <v>0</v>
      </c>
      <c r="P14148">
        <v>0</v>
      </c>
      <c r="Q14148">
        <v>0</v>
      </c>
    </row>
    <row r="14149" spans="1:17" x14ac:dyDescent="0.2">
      <c r="A14149" s="121">
        <v>43921</v>
      </c>
      <c r="B14149" t="s">
        <v>406</v>
      </c>
      <c r="C14149" t="s">
        <v>577</v>
      </c>
      <c r="D14149" t="s">
        <v>607</v>
      </c>
      <c r="E14149" t="s">
        <v>608</v>
      </c>
      <c r="F14149" t="s">
        <v>410</v>
      </c>
      <c r="G14149">
        <v>38</v>
      </c>
      <c r="H14149">
        <v>38</v>
      </c>
      <c r="I14149">
        <v>38</v>
      </c>
      <c r="J14149">
        <v>38</v>
      </c>
      <c r="K14149">
        <v>0</v>
      </c>
      <c r="L14149">
        <v>0</v>
      </c>
      <c r="M14149">
        <v>34</v>
      </c>
      <c r="N14149">
        <v>4</v>
      </c>
      <c r="O14149">
        <v>0</v>
      </c>
      <c r="P14149">
        <v>0</v>
      </c>
      <c r="Q14149">
        <v>0</v>
      </c>
    </row>
    <row r="14150" spans="1:17" x14ac:dyDescent="0.2">
      <c r="A14150" s="121">
        <v>43921</v>
      </c>
      <c r="B14150" t="s">
        <v>406</v>
      </c>
      <c r="C14150" t="s">
        <v>577</v>
      </c>
      <c r="D14150" t="s">
        <v>592</v>
      </c>
      <c r="E14150" t="s">
        <v>593</v>
      </c>
      <c r="F14150" t="s">
        <v>410</v>
      </c>
      <c r="G14150">
        <v>166</v>
      </c>
      <c r="H14150">
        <v>166</v>
      </c>
      <c r="I14150">
        <v>166</v>
      </c>
      <c r="J14150">
        <v>166</v>
      </c>
      <c r="K14150">
        <v>0</v>
      </c>
      <c r="L14150">
        <v>0</v>
      </c>
      <c r="M14150">
        <v>153</v>
      </c>
      <c r="N14150">
        <v>13</v>
      </c>
      <c r="O14150">
        <v>0</v>
      </c>
      <c r="P14150">
        <v>0</v>
      </c>
      <c r="Q14150">
        <v>0</v>
      </c>
    </row>
    <row r="14151" spans="1:17" x14ac:dyDescent="0.2">
      <c r="A14151" s="121">
        <v>43921</v>
      </c>
      <c r="B14151" t="s">
        <v>406</v>
      </c>
      <c r="C14151" t="s">
        <v>594</v>
      </c>
      <c r="D14151" t="s">
        <v>595</v>
      </c>
      <c r="E14151" t="s">
        <v>596</v>
      </c>
      <c r="F14151" t="s">
        <v>410</v>
      </c>
      <c r="G14151">
        <v>26</v>
      </c>
      <c r="I14151">
        <v>26</v>
      </c>
    </row>
    <row r="14152" spans="1:17" x14ac:dyDescent="0.2">
      <c r="A14152" s="121">
        <v>43921</v>
      </c>
      <c r="B14152" t="s">
        <v>406</v>
      </c>
      <c r="C14152" t="s">
        <v>594</v>
      </c>
      <c r="D14152" t="s">
        <v>597</v>
      </c>
      <c r="E14152" t="s">
        <v>598</v>
      </c>
      <c r="F14152" t="s">
        <v>413</v>
      </c>
      <c r="G14152">
        <v>355</v>
      </c>
      <c r="H14152">
        <v>355</v>
      </c>
      <c r="I14152">
        <v>348</v>
      </c>
      <c r="J14152">
        <v>348</v>
      </c>
      <c r="K14152">
        <v>99</v>
      </c>
      <c r="L14152">
        <v>0</v>
      </c>
      <c r="M14152">
        <v>249</v>
      </c>
      <c r="N14152">
        <v>3</v>
      </c>
      <c r="O14152">
        <v>4</v>
      </c>
      <c r="P14152">
        <v>1</v>
      </c>
      <c r="Q14152">
        <v>0</v>
      </c>
    </row>
    <row r="14153" spans="1:17" x14ac:dyDescent="0.2">
      <c r="A14153" s="121">
        <v>43921</v>
      </c>
      <c r="B14153" t="s">
        <v>406</v>
      </c>
      <c r="C14153" t="s">
        <v>594</v>
      </c>
      <c r="D14153" t="s">
        <v>599</v>
      </c>
      <c r="E14153" t="s">
        <v>600</v>
      </c>
      <c r="F14153" t="s">
        <v>410</v>
      </c>
      <c r="G14153">
        <v>107</v>
      </c>
      <c r="H14153">
        <v>107</v>
      </c>
      <c r="I14153">
        <v>106</v>
      </c>
      <c r="J14153">
        <v>106</v>
      </c>
      <c r="K14153">
        <v>7</v>
      </c>
      <c r="L14153">
        <v>0</v>
      </c>
      <c r="M14153">
        <v>98</v>
      </c>
      <c r="N14153">
        <v>1</v>
      </c>
      <c r="O14153">
        <v>1</v>
      </c>
      <c r="P14153">
        <v>0</v>
      </c>
      <c r="Q14153">
        <v>0</v>
      </c>
    </row>
    <row r="14154" spans="1:17" x14ac:dyDescent="0.2">
      <c r="A14154" s="121">
        <v>43951</v>
      </c>
      <c r="B14154" t="s">
        <v>406</v>
      </c>
      <c r="C14154" t="s">
        <v>407</v>
      </c>
      <c r="D14154" t="s">
        <v>408</v>
      </c>
      <c r="E14154" t="s">
        <v>409</v>
      </c>
      <c r="F14154" t="s">
        <v>410</v>
      </c>
      <c r="G14154">
        <v>61</v>
      </c>
      <c r="I14154">
        <v>59</v>
      </c>
    </row>
    <row r="14155" spans="1:17" x14ac:dyDescent="0.2">
      <c r="A14155" s="121">
        <v>43951</v>
      </c>
      <c r="B14155" t="s">
        <v>406</v>
      </c>
      <c r="C14155" t="s">
        <v>407</v>
      </c>
      <c r="D14155" t="s">
        <v>601</v>
      </c>
      <c r="E14155" t="s">
        <v>602</v>
      </c>
      <c r="F14155" t="s">
        <v>410</v>
      </c>
      <c r="G14155">
        <v>14</v>
      </c>
      <c r="I14155">
        <v>14</v>
      </c>
    </row>
    <row r="14156" spans="1:17" x14ac:dyDescent="0.2">
      <c r="A14156" s="121">
        <v>43951</v>
      </c>
      <c r="B14156" t="s">
        <v>406</v>
      </c>
      <c r="C14156" t="s">
        <v>407</v>
      </c>
      <c r="D14156" t="s">
        <v>411</v>
      </c>
      <c r="E14156" t="s">
        <v>412</v>
      </c>
      <c r="F14156" t="s">
        <v>413</v>
      </c>
      <c r="G14156">
        <v>3485</v>
      </c>
      <c r="H14156">
        <v>3485</v>
      </c>
      <c r="I14156">
        <v>3423</v>
      </c>
      <c r="J14156">
        <v>3423</v>
      </c>
      <c r="K14156">
        <v>1561</v>
      </c>
      <c r="L14156">
        <v>5</v>
      </c>
      <c r="M14156">
        <v>1719</v>
      </c>
      <c r="N14156">
        <v>24</v>
      </c>
      <c r="O14156">
        <v>176</v>
      </c>
      <c r="P14156">
        <v>4</v>
      </c>
      <c r="Q14156">
        <v>0</v>
      </c>
    </row>
    <row r="14157" spans="1:17" x14ac:dyDescent="0.2">
      <c r="A14157" s="121">
        <v>43951</v>
      </c>
      <c r="B14157" t="s">
        <v>406</v>
      </c>
      <c r="C14157" t="s">
        <v>407</v>
      </c>
      <c r="D14157" t="s">
        <v>416</v>
      </c>
      <c r="E14157" t="s">
        <v>417</v>
      </c>
      <c r="F14157" t="s">
        <v>413</v>
      </c>
      <c r="G14157">
        <v>1828</v>
      </c>
      <c r="H14157">
        <v>1828</v>
      </c>
      <c r="I14157">
        <v>1689</v>
      </c>
      <c r="J14157">
        <v>1689</v>
      </c>
      <c r="K14157">
        <v>711</v>
      </c>
      <c r="L14157">
        <v>6</v>
      </c>
      <c r="M14157">
        <v>1033</v>
      </c>
      <c r="N14157">
        <v>44</v>
      </c>
      <c r="O14157">
        <v>34</v>
      </c>
      <c r="P14157">
        <v>11</v>
      </c>
      <c r="Q14157">
        <v>0</v>
      </c>
    </row>
    <row r="14158" spans="1:17" x14ac:dyDescent="0.2">
      <c r="A14158" s="121">
        <v>43951</v>
      </c>
      <c r="B14158" t="s">
        <v>406</v>
      </c>
      <c r="C14158" t="s">
        <v>407</v>
      </c>
      <c r="D14158" t="s">
        <v>618</v>
      </c>
      <c r="E14158" t="s">
        <v>619</v>
      </c>
      <c r="F14158" t="s">
        <v>410</v>
      </c>
      <c r="G14158">
        <v>15</v>
      </c>
      <c r="I14158">
        <v>15</v>
      </c>
    </row>
    <row r="14159" spans="1:17" x14ac:dyDescent="0.2">
      <c r="A14159" s="121">
        <v>43951</v>
      </c>
      <c r="B14159" t="s">
        <v>406</v>
      </c>
      <c r="C14159" t="s">
        <v>418</v>
      </c>
      <c r="D14159" t="s">
        <v>427</v>
      </c>
      <c r="E14159" t="s">
        <v>428</v>
      </c>
      <c r="F14159" t="s">
        <v>413</v>
      </c>
      <c r="G14159">
        <v>1494</v>
      </c>
      <c r="H14159">
        <v>1494</v>
      </c>
      <c r="I14159">
        <v>1336</v>
      </c>
      <c r="J14159">
        <v>1336</v>
      </c>
      <c r="K14159">
        <v>560</v>
      </c>
      <c r="L14159">
        <v>2</v>
      </c>
      <c r="M14159">
        <v>888</v>
      </c>
      <c r="N14159">
        <v>34</v>
      </c>
      <c r="O14159">
        <v>10</v>
      </c>
      <c r="P14159">
        <v>3</v>
      </c>
      <c r="Q14159">
        <v>0</v>
      </c>
    </row>
    <row r="14160" spans="1:17" x14ac:dyDescent="0.2">
      <c r="A14160" s="121">
        <v>43951</v>
      </c>
      <c r="B14160" t="s">
        <v>406</v>
      </c>
      <c r="C14160" t="s">
        <v>429</v>
      </c>
      <c r="D14160" t="s">
        <v>438</v>
      </c>
      <c r="E14160" t="s">
        <v>439</v>
      </c>
      <c r="F14160" t="s">
        <v>413</v>
      </c>
      <c r="G14160">
        <v>600</v>
      </c>
      <c r="H14160">
        <v>600</v>
      </c>
      <c r="I14160">
        <v>542</v>
      </c>
      <c r="J14160">
        <v>542</v>
      </c>
      <c r="K14160">
        <v>54</v>
      </c>
      <c r="L14160">
        <v>0</v>
      </c>
      <c r="M14160">
        <v>497</v>
      </c>
      <c r="N14160">
        <v>36</v>
      </c>
      <c r="O14160">
        <v>13</v>
      </c>
      <c r="P14160">
        <v>3</v>
      </c>
      <c r="Q14160">
        <v>0</v>
      </c>
    </row>
    <row r="14161" spans="1:17" x14ac:dyDescent="0.2">
      <c r="A14161" s="121">
        <v>43951</v>
      </c>
      <c r="B14161" t="s">
        <v>406</v>
      </c>
      <c r="C14161" t="s">
        <v>429</v>
      </c>
      <c r="D14161" t="s">
        <v>440</v>
      </c>
      <c r="E14161" t="s">
        <v>441</v>
      </c>
      <c r="F14161" t="s">
        <v>413</v>
      </c>
      <c r="G14161">
        <v>1505</v>
      </c>
      <c r="H14161">
        <v>1505</v>
      </c>
      <c r="I14161">
        <v>1438</v>
      </c>
      <c r="J14161">
        <v>1438</v>
      </c>
      <c r="K14161">
        <v>621</v>
      </c>
      <c r="L14161">
        <v>3</v>
      </c>
      <c r="M14161">
        <v>841</v>
      </c>
      <c r="N14161">
        <v>13</v>
      </c>
      <c r="O14161">
        <v>27</v>
      </c>
      <c r="P14161">
        <v>1</v>
      </c>
      <c r="Q14161">
        <v>0</v>
      </c>
    </row>
    <row r="14162" spans="1:17" x14ac:dyDescent="0.2">
      <c r="A14162" s="121">
        <v>43951</v>
      </c>
      <c r="B14162" t="s">
        <v>406</v>
      </c>
      <c r="C14162" t="s">
        <v>442</v>
      </c>
      <c r="D14162" t="s">
        <v>443</v>
      </c>
      <c r="E14162" t="s">
        <v>444</v>
      </c>
      <c r="F14162" t="s">
        <v>413</v>
      </c>
      <c r="G14162">
        <v>2511</v>
      </c>
      <c r="H14162">
        <v>2511</v>
      </c>
      <c r="I14162">
        <v>2403</v>
      </c>
      <c r="J14162">
        <v>2403</v>
      </c>
      <c r="K14162">
        <v>853</v>
      </c>
      <c r="L14162">
        <v>3</v>
      </c>
      <c r="M14162">
        <v>1616</v>
      </c>
      <c r="N14162">
        <v>30</v>
      </c>
      <c r="O14162">
        <v>9</v>
      </c>
      <c r="P14162">
        <v>2</v>
      </c>
      <c r="Q14162">
        <v>0</v>
      </c>
    </row>
    <row r="14163" spans="1:17" x14ac:dyDescent="0.2">
      <c r="A14163" s="121">
        <v>43951</v>
      </c>
      <c r="B14163" t="s">
        <v>406</v>
      </c>
      <c r="C14163" t="s">
        <v>442</v>
      </c>
      <c r="D14163" t="s">
        <v>445</v>
      </c>
      <c r="E14163" t="s">
        <v>446</v>
      </c>
      <c r="F14163" t="s">
        <v>410</v>
      </c>
      <c r="G14163">
        <v>74</v>
      </c>
      <c r="H14163">
        <v>74</v>
      </c>
      <c r="I14163">
        <v>74</v>
      </c>
      <c r="J14163">
        <v>74</v>
      </c>
      <c r="K14163">
        <v>0</v>
      </c>
      <c r="L14163">
        <v>0</v>
      </c>
      <c r="M14163">
        <v>63</v>
      </c>
      <c r="N14163">
        <v>4</v>
      </c>
      <c r="O14163">
        <v>7</v>
      </c>
      <c r="P14163">
        <v>0</v>
      </c>
      <c r="Q14163">
        <v>0</v>
      </c>
    </row>
    <row r="14164" spans="1:17" x14ac:dyDescent="0.2">
      <c r="A14164" s="121">
        <v>43951</v>
      </c>
      <c r="B14164" t="s">
        <v>406</v>
      </c>
      <c r="C14164" t="s">
        <v>442</v>
      </c>
      <c r="D14164" t="s">
        <v>447</v>
      </c>
      <c r="E14164" t="s">
        <v>448</v>
      </c>
      <c r="F14164" t="s">
        <v>410</v>
      </c>
      <c r="G14164">
        <v>116</v>
      </c>
      <c r="H14164">
        <v>116</v>
      </c>
      <c r="I14164">
        <v>116</v>
      </c>
      <c r="J14164">
        <v>116</v>
      </c>
      <c r="K14164">
        <v>0</v>
      </c>
      <c r="L14164">
        <v>0</v>
      </c>
      <c r="M14164">
        <v>111</v>
      </c>
      <c r="N14164">
        <v>5</v>
      </c>
      <c r="O14164">
        <v>0</v>
      </c>
      <c r="P14164">
        <v>0</v>
      </c>
      <c r="Q14164">
        <v>0</v>
      </c>
    </row>
    <row r="14165" spans="1:17" x14ac:dyDescent="0.2">
      <c r="A14165" s="121">
        <v>43951</v>
      </c>
      <c r="B14165" t="s">
        <v>406</v>
      </c>
      <c r="C14165" t="s">
        <v>442</v>
      </c>
      <c r="D14165" t="s">
        <v>449</v>
      </c>
      <c r="E14165" t="s">
        <v>624</v>
      </c>
      <c r="F14165" t="s">
        <v>410</v>
      </c>
      <c r="G14165">
        <v>686</v>
      </c>
      <c r="H14165">
        <v>686</v>
      </c>
      <c r="I14165">
        <v>686</v>
      </c>
      <c r="J14165">
        <v>686</v>
      </c>
      <c r="K14165">
        <v>5</v>
      </c>
      <c r="L14165">
        <v>0</v>
      </c>
      <c r="M14165">
        <v>658</v>
      </c>
      <c r="N14165">
        <v>22</v>
      </c>
      <c r="O14165">
        <v>1</v>
      </c>
      <c r="P14165">
        <v>0</v>
      </c>
      <c r="Q14165">
        <v>0</v>
      </c>
    </row>
    <row r="14166" spans="1:17" x14ac:dyDescent="0.2">
      <c r="A14166" s="121">
        <v>43951</v>
      </c>
      <c r="B14166" t="s">
        <v>406</v>
      </c>
      <c r="C14166" t="s">
        <v>451</v>
      </c>
      <c r="D14166" t="s">
        <v>454</v>
      </c>
      <c r="E14166" t="s">
        <v>621</v>
      </c>
      <c r="F14166" t="s">
        <v>410</v>
      </c>
      <c r="G14166">
        <v>1132</v>
      </c>
      <c r="H14166">
        <v>1132</v>
      </c>
      <c r="I14166">
        <v>1129</v>
      </c>
      <c r="J14166">
        <v>1129</v>
      </c>
      <c r="K14166">
        <v>0</v>
      </c>
      <c r="L14166">
        <v>0</v>
      </c>
      <c r="M14166">
        <v>1090</v>
      </c>
      <c r="N14166">
        <v>1</v>
      </c>
      <c r="O14166">
        <v>41</v>
      </c>
      <c r="P14166">
        <v>0</v>
      </c>
      <c r="Q14166">
        <v>0</v>
      </c>
    </row>
    <row r="14167" spans="1:17" x14ac:dyDescent="0.2">
      <c r="A14167" s="121">
        <v>43951</v>
      </c>
      <c r="B14167" t="s">
        <v>406</v>
      </c>
      <c r="C14167" t="s">
        <v>451</v>
      </c>
      <c r="D14167" t="s">
        <v>622</v>
      </c>
      <c r="E14167" t="s">
        <v>623</v>
      </c>
      <c r="F14167" t="s">
        <v>413</v>
      </c>
      <c r="G14167">
        <v>2586</v>
      </c>
      <c r="H14167">
        <v>2586</v>
      </c>
      <c r="I14167">
        <v>2485</v>
      </c>
      <c r="J14167">
        <v>2485</v>
      </c>
      <c r="K14167">
        <v>1037</v>
      </c>
      <c r="L14167">
        <v>10</v>
      </c>
      <c r="M14167">
        <v>1462</v>
      </c>
      <c r="N14167">
        <v>17</v>
      </c>
      <c r="O14167">
        <v>60</v>
      </c>
      <c r="P14167">
        <v>3</v>
      </c>
      <c r="Q14167">
        <v>1</v>
      </c>
    </row>
    <row r="14168" spans="1:17" x14ac:dyDescent="0.2">
      <c r="A14168" s="121">
        <v>43951</v>
      </c>
      <c r="B14168" t="s">
        <v>406</v>
      </c>
      <c r="C14168" t="s">
        <v>456</v>
      </c>
      <c r="D14168" t="s">
        <v>457</v>
      </c>
      <c r="E14168" t="s">
        <v>458</v>
      </c>
      <c r="F14168" t="s">
        <v>413</v>
      </c>
      <c r="G14168">
        <v>2860</v>
      </c>
      <c r="H14168">
        <v>2860</v>
      </c>
      <c r="I14168">
        <v>2560</v>
      </c>
      <c r="J14168">
        <v>2560</v>
      </c>
      <c r="K14168">
        <v>1435</v>
      </c>
      <c r="L14168">
        <v>10</v>
      </c>
      <c r="M14168">
        <v>1367</v>
      </c>
      <c r="N14168">
        <v>10</v>
      </c>
      <c r="O14168">
        <v>38</v>
      </c>
      <c r="P14168">
        <v>14</v>
      </c>
      <c r="Q14168">
        <v>0</v>
      </c>
    </row>
    <row r="14169" spans="1:17" x14ac:dyDescent="0.2">
      <c r="A14169" s="121">
        <v>43951</v>
      </c>
      <c r="B14169" t="s">
        <v>406</v>
      </c>
      <c r="C14169" t="s">
        <v>456</v>
      </c>
      <c r="D14169" t="s">
        <v>459</v>
      </c>
      <c r="E14169" t="s">
        <v>460</v>
      </c>
      <c r="F14169" t="s">
        <v>413</v>
      </c>
      <c r="G14169">
        <v>529</v>
      </c>
      <c r="H14169">
        <v>529</v>
      </c>
      <c r="I14169">
        <v>521</v>
      </c>
      <c r="J14169">
        <v>521</v>
      </c>
      <c r="K14169">
        <v>56</v>
      </c>
      <c r="L14169">
        <v>1</v>
      </c>
      <c r="M14169">
        <v>467</v>
      </c>
      <c r="N14169">
        <v>0</v>
      </c>
      <c r="O14169">
        <v>5</v>
      </c>
      <c r="P14169">
        <v>0</v>
      </c>
      <c r="Q14169">
        <v>0</v>
      </c>
    </row>
    <row r="14170" spans="1:17" x14ac:dyDescent="0.2">
      <c r="A14170" s="121">
        <v>43951</v>
      </c>
      <c r="B14170" t="s">
        <v>406</v>
      </c>
      <c r="C14170" t="s">
        <v>456</v>
      </c>
      <c r="D14170" t="s">
        <v>467</v>
      </c>
      <c r="E14170" t="s">
        <v>468</v>
      </c>
      <c r="F14170" t="s">
        <v>410</v>
      </c>
      <c r="G14170">
        <v>457</v>
      </c>
      <c r="I14170">
        <v>456</v>
      </c>
    </row>
    <row r="14171" spans="1:17" x14ac:dyDescent="0.2">
      <c r="A14171" s="121">
        <v>43951</v>
      </c>
      <c r="B14171" t="s">
        <v>406</v>
      </c>
      <c r="C14171" t="s">
        <v>456</v>
      </c>
      <c r="D14171" t="s">
        <v>469</v>
      </c>
      <c r="E14171" t="s">
        <v>470</v>
      </c>
      <c r="F14171" t="s">
        <v>410</v>
      </c>
      <c r="G14171">
        <v>264</v>
      </c>
      <c r="I14171">
        <v>264</v>
      </c>
    </row>
    <row r="14172" spans="1:17" x14ac:dyDescent="0.2">
      <c r="A14172" s="121">
        <v>43951</v>
      </c>
      <c r="B14172" t="s">
        <v>406</v>
      </c>
      <c r="C14172" t="s">
        <v>456</v>
      </c>
      <c r="D14172" t="s">
        <v>471</v>
      </c>
      <c r="E14172" t="s">
        <v>472</v>
      </c>
      <c r="F14172" t="s">
        <v>410</v>
      </c>
      <c r="G14172">
        <v>160</v>
      </c>
      <c r="I14172">
        <v>159</v>
      </c>
    </row>
    <row r="14173" spans="1:17" x14ac:dyDescent="0.2">
      <c r="A14173" s="121">
        <v>43951</v>
      </c>
      <c r="B14173" t="s">
        <v>406</v>
      </c>
      <c r="C14173" t="s">
        <v>456</v>
      </c>
      <c r="D14173" t="s">
        <v>477</v>
      </c>
      <c r="E14173" t="s">
        <v>478</v>
      </c>
      <c r="F14173" t="s">
        <v>413</v>
      </c>
      <c r="G14173">
        <v>1117</v>
      </c>
      <c r="H14173">
        <v>1117</v>
      </c>
      <c r="I14173">
        <v>1029</v>
      </c>
      <c r="J14173">
        <v>1029</v>
      </c>
      <c r="K14173">
        <v>306</v>
      </c>
      <c r="L14173">
        <v>1</v>
      </c>
      <c r="M14173">
        <v>798</v>
      </c>
      <c r="N14173">
        <v>9</v>
      </c>
      <c r="O14173">
        <v>3</v>
      </c>
      <c r="P14173">
        <v>3</v>
      </c>
      <c r="Q14173">
        <v>0</v>
      </c>
    </row>
    <row r="14174" spans="1:17" x14ac:dyDescent="0.2">
      <c r="A14174" s="121">
        <v>43951</v>
      </c>
      <c r="B14174" t="s">
        <v>406</v>
      </c>
      <c r="C14174" t="s">
        <v>456</v>
      </c>
      <c r="D14174" t="s">
        <v>479</v>
      </c>
      <c r="E14174" t="s">
        <v>480</v>
      </c>
      <c r="F14174" t="s">
        <v>410</v>
      </c>
      <c r="G14174">
        <v>2</v>
      </c>
      <c r="I14174">
        <v>2</v>
      </c>
    </row>
    <row r="14175" spans="1:17" x14ac:dyDescent="0.2">
      <c r="A14175" s="121">
        <v>43951</v>
      </c>
      <c r="B14175" t="s">
        <v>406</v>
      </c>
      <c r="C14175" t="s">
        <v>456</v>
      </c>
      <c r="D14175" t="s">
        <v>481</v>
      </c>
      <c r="E14175" t="s">
        <v>482</v>
      </c>
      <c r="F14175" t="s">
        <v>410</v>
      </c>
      <c r="G14175">
        <v>8</v>
      </c>
      <c r="I14175">
        <v>8</v>
      </c>
    </row>
    <row r="14176" spans="1:17" x14ac:dyDescent="0.2">
      <c r="A14176" s="121">
        <v>43951</v>
      </c>
      <c r="B14176" t="s">
        <v>406</v>
      </c>
      <c r="C14176" t="s">
        <v>456</v>
      </c>
      <c r="D14176" t="s">
        <v>483</v>
      </c>
      <c r="E14176" t="s">
        <v>484</v>
      </c>
      <c r="F14176" t="s">
        <v>410</v>
      </c>
      <c r="G14176">
        <v>8</v>
      </c>
      <c r="I14176">
        <v>8</v>
      </c>
    </row>
    <row r="14177" spans="1:17" x14ac:dyDescent="0.2">
      <c r="A14177" s="121">
        <v>43951</v>
      </c>
      <c r="B14177" t="s">
        <v>406</v>
      </c>
      <c r="C14177" t="s">
        <v>491</v>
      </c>
      <c r="D14177" t="s">
        <v>492</v>
      </c>
      <c r="E14177" t="s">
        <v>493</v>
      </c>
      <c r="F14177" t="s">
        <v>410</v>
      </c>
      <c r="G14177">
        <v>486</v>
      </c>
      <c r="H14177">
        <v>486</v>
      </c>
      <c r="I14177">
        <v>479</v>
      </c>
      <c r="J14177">
        <v>479</v>
      </c>
      <c r="K14177">
        <v>50</v>
      </c>
      <c r="L14177">
        <v>1</v>
      </c>
      <c r="M14177">
        <v>413</v>
      </c>
      <c r="N14177">
        <v>18</v>
      </c>
      <c r="O14177">
        <v>4</v>
      </c>
      <c r="P14177">
        <v>0</v>
      </c>
      <c r="Q14177">
        <v>0</v>
      </c>
    </row>
    <row r="14178" spans="1:17" x14ac:dyDescent="0.2">
      <c r="A14178" s="121">
        <v>43951</v>
      </c>
      <c r="B14178" t="s">
        <v>406</v>
      </c>
      <c r="C14178" t="s">
        <v>491</v>
      </c>
      <c r="D14178" t="s">
        <v>494</v>
      </c>
      <c r="E14178" t="s">
        <v>495</v>
      </c>
      <c r="F14178" t="s">
        <v>413</v>
      </c>
      <c r="G14178">
        <v>1068</v>
      </c>
      <c r="H14178">
        <v>1068</v>
      </c>
      <c r="I14178">
        <v>1013</v>
      </c>
      <c r="J14178">
        <v>1013</v>
      </c>
      <c r="K14178">
        <v>306</v>
      </c>
      <c r="L14178">
        <v>5</v>
      </c>
      <c r="M14178">
        <v>732</v>
      </c>
      <c r="N14178">
        <v>13</v>
      </c>
      <c r="O14178">
        <v>12</v>
      </c>
      <c r="P14178">
        <v>3</v>
      </c>
      <c r="Q14178">
        <v>0</v>
      </c>
    </row>
    <row r="14179" spans="1:17" x14ac:dyDescent="0.2">
      <c r="A14179" s="121">
        <v>43951</v>
      </c>
      <c r="B14179" t="s">
        <v>406</v>
      </c>
      <c r="C14179" t="s">
        <v>491</v>
      </c>
      <c r="D14179" t="s">
        <v>496</v>
      </c>
      <c r="E14179" t="s">
        <v>497</v>
      </c>
      <c r="F14179" t="s">
        <v>413</v>
      </c>
      <c r="G14179">
        <v>2068</v>
      </c>
      <c r="H14179">
        <v>2068</v>
      </c>
      <c r="I14179">
        <v>1944</v>
      </c>
      <c r="J14179">
        <v>1944</v>
      </c>
      <c r="K14179">
        <v>569</v>
      </c>
      <c r="L14179">
        <v>4</v>
      </c>
      <c r="M14179">
        <v>1413</v>
      </c>
      <c r="N14179">
        <v>49</v>
      </c>
      <c r="O14179">
        <v>33</v>
      </c>
      <c r="P14179">
        <v>15</v>
      </c>
      <c r="Q14179">
        <v>1</v>
      </c>
    </row>
    <row r="14180" spans="1:17" x14ac:dyDescent="0.2">
      <c r="A14180" s="121">
        <v>43951</v>
      </c>
      <c r="B14180" t="s">
        <v>406</v>
      </c>
      <c r="C14180" t="s">
        <v>491</v>
      </c>
      <c r="D14180" t="s">
        <v>498</v>
      </c>
      <c r="E14180" t="s">
        <v>499</v>
      </c>
      <c r="F14180" t="s">
        <v>413</v>
      </c>
      <c r="G14180">
        <v>3508</v>
      </c>
      <c r="H14180">
        <v>3508</v>
      </c>
      <c r="I14180">
        <v>3205</v>
      </c>
      <c r="J14180">
        <v>3205</v>
      </c>
      <c r="K14180">
        <v>1548</v>
      </c>
      <c r="L14180">
        <v>19</v>
      </c>
      <c r="M14180">
        <v>1791</v>
      </c>
      <c r="N14180">
        <v>58</v>
      </c>
      <c r="O14180">
        <v>92</v>
      </c>
      <c r="P14180">
        <v>8</v>
      </c>
      <c r="Q14180">
        <v>0</v>
      </c>
    </row>
    <row r="14181" spans="1:17" x14ac:dyDescent="0.2">
      <c r="A14181" s="121">
        <v>43951</v>
      </c>
      <c r="B14181" t="s">
        <v>406</v>
      </c>
      <c r="C14181" t="s">
        <v>491</v>
      </c>
      <c r="D14181" t="s">
        <v>500</v>
      </c>
      <c r="E14181" t="s">
        <v>620</v>
      </c>
      <c r="F14181" t="s">
        <v>410</v>
      </c>
      <c r="G14181">
        <v>962</v>
      </c>
      <c r="H14181">
        <v>962</v>
      </c>
      <c r="I14181">
        <v>962</v>
      </c>
      <c r="J14181">
        <v>962</v>
      </c>
      <c r="K14181">
        <v>2</v>
      </c>
      <c r="L14181">
        <v>0</v>
      </c>
      <c r="M14181">
        <v>894</v>
      </c>
      <c r="N14181">
        <v>31</v>
      </c>
      <c r="O14181">
        <v>35</v>
      </c>
      <c r="P14181">
        <v>0</v>
      </c>
      <c r="Q14181">
        <v>0</v>
      </c>
    </row>
    <row r="14182" spans="1:17" x14ac:dyDescent="0.2">
      <c r="A14182" s="121">
        <v>43951</v>
      </c>
      <c r="B14182" t="s">
        <v>406</v>
      </c>
      <c r="C14182" t="s">
        <v>491</v>
      </c>
      <c r="D14182" t="s">
        <v>504</v>
      </c>
      <c r="E14182" t="s">
        <v>630</v>
      </c>
      <c r="F14182" t="s">
        <v>413</v>
      </c>
      <c r="G14182">
        <v>4592</v>
      </c>
      <c r="H14182">
        <v>4592</v>
      </c>
      <c r="I14182">
        <v>4163</v>
      </c>
      <c r="J14182">
        <v>4163</v>
      </c>
      <c r="K14182">
        <v>1704</v>
      </c>
      <c r="L14182">
        <v>14</v>
      </c>
      <c r="M14182">
        <v>2773</v>
      </c>
      <c r="N14182">
        <v>47</v>
      </c>
      <c r="O14182">
        <v>54</v>
      </c>
      <c r="P14182">
        <v>14</v>
      </c>
      <c r="Q14182">
        <v>0</v>
      </c>
    </row>
    <row r="14183" spans="1:17" x14ac:dyDescent="0.2">
      <c r="A14183" s="121">
        <v>43951</v>
      </c>
      <c r="B14183" t="s">
        <v>406</v>
      </c>
      <c r="C14183" t="s">
        <v>491</v>
      </c>
      <c r="D14183" t="s">
        <v>506</v>
      </c>
      <c r="E14183" t="s">
        <v>507</v>
      </c>
      <c r="F14183" t="s">
        <v>413</v>
      </c>
      <c r="G14183">
        <v>1638</v>
      </c>
      <c r="H14183">
        <v>1638</v>
      </c>
      <c r="I14183">
        <v>1614</v>
      </c>
      <c r="J14183">
        <v>1614</v>
      </c>
      <c r="K14183">
        <v>298</v>
      </c>
      <c r="L14183">
        <v>2</v>
      </c>
      <c r="M14183">
        <v>1336</v>
      </c>
      <c r="N14183">
        <v>1</v>
      </c>
      <c r="O14183">
        <v>1</v>
      </c>
      <c r="P14183">
        <v>0</v>
      </c>
      <c r="Q14183">
        <v>0</v>
      </c>
    </row>
    <row r="14184" spans="1:17" x14ac:dyDescent="0.2">
      <c r="A14184" s="121">
        <v>43951</v>
      </c>
      <c r="B14184" t="s">
        <v>406</v>
      </c>
      <c r="C14184" t="s">
        <v>510</v>
      </c>
      <c r="D14184" t="s">
        <v>513</v>
      </c>
      <c r="E14184" t="s">
        <v>514</v>
      </c>
      <c r="F14184" t="s">
        <v>410</v>
      </c>
      <c r="G14184">
        <v>231</v>
      </c>
      <c r="I14184">
        <v>231</v>
      </c>
    </row>
    <row r="14185" spans="1:17" x14ac:dyDescent="0.2">
      <c r="A14185" s="121">
        <v>43951</v>
      </c>
      <c r="B14185" t="s">
        <v>406</v>
      </c>
      <c r="C14185" t="s">
        <v>510</v>
      </c>
      <c r="D14185" t="s">
        <v>515</v>
      </c>
      <c r="E14185" t="s">
        <v>516</v>
      </c>
      <c r="F14185" t="s">
        <v>410</v>
      </c>
      <c r="G14185">
        <v>29</v>
      </c>
      <c r="I14185">
        <v>28</v>
      </c>
    </row>
    <row r="14186" spans="1:17" x14ac:dyDescent="0.2">
      <c r="A14186" s="121">
        <v>43951</v>
      </c>
      <c r="B14186" t="s">
        <v>406</v>
      </c>
      <c r="C14186" t="s">
        <v>510</v>
      </c>
      <c r="D14186" t="s">
        <v>519</v>
      </c>
      <c r="E14186" t="s">
        <v>520</v>
      </c>
      <c r="F14186" t="s">
        <v>410</v>
      </c>
      <c r="G14186">
        <v>158</v>
      </c>
      <c r="I14186">
        <v>158</v>
      </c>
    </row>
    <row r="14187" spans="1:17" x14ac:dyDescent="0.2">
      <c r="A14187" s="121">
        <v>43951</v>
      </c>
      <c r="B14187" t="s">
        <v>406</v>
      </c>
      <c r="C14187" t="s">
        <v>510</v>
      </c>
      <c r="D14187" t="s">
        <v>523</v>
      </c>
      <c r="E14187" t="s">
        <v>524</v>
      </c>
      <c r="F14187" t="s">
        <v>413</v>
      </c>
      <c r="G14187">
        <v>289</v>
      </c>
      <c r="H14187">
        <v>289</v>
      </c>
      <c r="I14187">
        <v>271</v>
      </c>
      <c r="J14187">
        <v>271</v>
      </c>
      <c r="K14187">
        <v>76</v>
      </c>
      <c r="L14187">
        <v>0</v>
      </c>
      <c r="M14187">
        <v>202</v>
      </c>
      <c r="N14187">
        <v>10</v>
      </c>
      <c r="O14187">
        <v>1</v>
      </c>
      <c r="P14187">
        <v>1</v>
      </c>
      <c r="Q14187">
        <v>1</v>
      </c>
    </row>
    <row r="14188" spans="1:17" x14ac:dyDescent="0.2">
      <c r="A14188" s="121">
        <v>43951</v>
      </c>
      <c r="B14188" t="s">
        <v>406</v>
      </c>
      <c r="C14188" t="s">
        <v>510</v>
      </c>
      <c r="D14188" t="s">
        <v>525</v>
      </c>
      <c r="E14188" t="s">
        <v>526</v>
      </c>
      <c r="F14188" t="s">
        <v>410</v>
      </c>
      <c r="G14188">
        <v>211</v>
      </c>
      <c r="I14188">
        <v>210</v>
      </c>
    </row>
    <row r="14189" spans="1:17" x14ac:dyDescent="0.2">
      <c r="A14189" s="121">
        <v>43951</v>
      </c>
      <c r="B14189" t="s">
        <v>406</v>
      </c>
      <c r="C14189" t="s">
        <v>510</v>
      </c>
      <c r="D14189" t="s">
        <v>527</v>
      </c>
      <c r="E14189" t="s">
        <v>528</v>
      </c>
      <c r="F14189" t="s">
        <v>410</v>
      </c>
      <c r="G14189">
        <v>2</v>
      </c>
      <c r="I14189">
        <v>2</v>
      </c>
    </row>
    <row r="14190" spans="1:17" x14ac:dyDescent="0.2">
      <c r="A14190" s="121">
        <v>43951</v>
      </c>
      <c r="B14190" t="s">
        <v>406</v>
      </c>
      <c r="C14190" t="s">
        <v>510</v>
      </c>
      <c r="D14190" t="s">
        <v>529</v>
      </c>
      <c r="E14190" t="s">
        <v>530</v>
      </c>
      <c r="F14190" t="s">
        <v>413</v>
      </c>
      <c r="G14190">
        <v>447</v>
      </c>
      <c r="H14190">
        <v>447</v>
      </c>
      <c r="I14190">
        <v>425</v>
      </c>
      <c r="J14190">
        <v>425</v>
      </c>
      <c r="K14190">
        <v>104</v>
      </c>
      <c r="L14190">
        <v>1</v>
      </c>
      <c r="M14190">
        <v>322</v>
      </c>
      <c r="N14190">
        <v>17</v>
      </c>
      <c r="O14190">
        <v>3</v>
      </c>
      <c r="P14190">
        <v>0</v>
      </c>
      <c r="Q14190">
        <v>0</v>
      </c>
    </row>
    <row r="14191" spans="1:17" x14ac:dyDescent="0.2">
      <c r="A14191" s="121">
        <v>43951</v>
      </c>
      <c r="B14191" t="s">
        <v>406</v>
      </c>
      <c r="C14191" t="s">
        <v>510</v>
      </c>
      <c r="D14191" t="s">
        <v>531</v>
      </c>
      <c r="E14191" t="s">
        <v>532</v>
      </c>
      <c r="F14191" t="s">
        <v>410</v>
      </c>
      <c r="G14191">
        <v>15</v>
      </c>
      <c r="I14191">
        <v>15</v>
      </c>
    </row>
    <row r="14192" spans="1:17" x14ac:dyDescent="0.2">
      <c r="A14192" s="121">
        <v>43951</v>
      </c>
      <c r="B14192" t="s">
        <v>406</v>
      </c>
      <c r="C14192" t="s">
        <v>510</v>
      </c>
      <c r="D14192" t="s">
        <v>533</v>
      </c>
      <c r="E14192" t="s">
        <v>534</v>
      </c>
      <c r="F14192" t="s">
        <v>413</v>
      </c>
      <c r="G14192">
        <v>1320</v>
      </c>
      <c r="H14192">
        <v>1320</v>
      </c>
      <c r="I14192">
        <v>1265</v>
      </c>
      <c r="J14192">
        <v>1265</v>
      </c>
      <c r="K14192">
        <v>336</v>
      </c>
      <c r="L14192">
        <v>0</v>
      </c>
      <c r="M14192">
        <v>913</v>
      </c>
      <c r="N14192">
        <v>12</v>
      </c>
      <c r="O14192">
        <v>59</v>
      </c>
      <c r="P14192">
        <v>2</v>
      </c>
      <c r="Q14192">
        <v>0</v>
      </c>
    </row>
    <row r="14193" spans="1:17" x14ac:dyDescent="0.2">
      <c r="A14193" s="121">
        <v>43951</v>
      </c>
      <c r="B14193" t="s">
        <v>406</v>
      </c>
      <c r="C14193" t="s">
        <v>510</v>
      </c>
      <c r="D14193" t="s">
        <v>535</v>
      </c>
      <c r="E14193" t="s">
        <v>536</v>
      </c>
      <c r="F14193" t="s">
        <v>410</v>
      </c>
      <c r="G14193">
        <v>84</v>
      </c>
      <c r="I14193">
        <v>84</v>
      </c>
    </row>
    <row r="14194" spans="1:17" x14ac:dyDescent="0.2">
      <c r="A14194" s="121">
        <v>43951</v>
      </c>
      <c r="B14194" t="s">
        <v>406</v>
      </c>
      <c r="C14194" t="s">
        <v>510</v>
      </c>
      <c r="D14194" t="s">
        <v>539</v>
      </c>
      <c r="E14194" t="s">
        <v>540</v>
      </c>
      <c r="F14194" t="s">
        <v>413</v>
      </c>
      <c r="G14194">
        <v>237</v>
      </c>
      <c r="H14194">
        <v>237</v>
      </c>
      <c r="I14194">
        <v>233</v>
      </c>
      <c r="J14194">
        <v>233</v>
      </c>
      <c r="K14194">
        <v>44</v>
      </c>
      <c r="L14194">
        <v>0</v>
      </c>
      <c r="M14194">
        <v>182</v>
      </c>
      <c r="N14194">
        <v>9</v>
      </c>
      <c r="O14194">
        <v>2</v>
      </c>
      <c r="P14194">
        <v>0</v>
      </c>
      <c r="Q14194">
        <v>0</v>
      </c>
    </row>
    <row r="14195" spans="1:17" x14ac:dyDescent="0.2">
      <c r="A14195" s="121">
        <v>43951</v>
      </c>
      <c r="B14195" t="s">
        <v>406</v>
      </c>
      <c r="C14195" t="s">
        <v>510</v>
      </c>
      <c r="D14195" t="s">
        <v>541</v>
      </c>
      <c r="E14195" t="s">
        <v>542</v>
      </c>
      <c r="F14195" t="s">
        <v>410</v>
      </c>
      <c r="G14195">
        <v>227</v>
      </c>
      <c r="I14195">
        <v>226</v>
      </c>
    </row>
    <row r="14196" spans="1:17" x14ac:dyDescent="0.2">
      <c r="A14196" s="121">
        <v>43951</v>
      </c>
      <c r="B14196" t="s">
        <v>406</v>
      </c>
      <c r="C14196" t="s">
        <v>510</v>
      </c>
      <c r="D14196" t="s">
        <v>543</v>
      </c>
      <c r="E14196" t="s">
        <v>544</v>
      </c>
      <c r="F14196" t="s">
        <v>410</v>
      </c>
      <c r="G14196">
        <v>2</v>
      </c>
      <c r="I14196">
        <v>2</v>
      </c>
    </row>
    <row r="14197" spans="1:17" x14ac:dyDescent="0.2">
      <c r="A14197" s="121">
        <v>43951</v>
      </c>
      <c r="B14197" t="s">
        <v>406</v>
      </c>
      <c r="C14197" t="s">
        <v>510</v>
      </c>
      <c r="D14197" t="s">
        <v>616</v>
      </c>
      <c r="E14197" t="s">
        <v>617</v>
      </c>
      <c r="F14197" t="s">
        <v>410</v>
      </c>
      <c r="G14197">
        <v>182</v>
      </c>
      <c r="I14197">
        <v>182</v>
      </c>
    </row>
    <row r="14198" spans="1:17" x14ac:dyDescent="0.2">
      <c r="A14198" s="121">
        <v>43951</v>
      </c>
      <c r="B14198" t="s">
        <v>406</v>
      </c>
      <c r="C14198" t="s">
        <v>510</v>
      </c>
      <c r="D14198" t="s">
        <v>549</v>
      </c>
      <c r="E14198" t="s">
        <v>550</v>
      </c>
      <c r="F14198" t="s">
        <v>410</v>
      </c>
      <c r="G14198">
        <v>20</v>
      </c>
      <c r="I14198">
        <v>20</v>
      </c>
    </row>
    <row r="14199" spans="1:17" x14ac:dyDescent="0.2">
      <c r="A14199" s="121">
        <v>43951</v>
      </c>
      <c r="B14199" t="s">
        <v>406</v>
      </c>
      <c r="C14199" t="s">
        <v>510</v>
      </c>
      <c r="D14199" t="s">
        <v>625</v>
      </c>
      <c r="E14199" t="s">
        <v>626</v>
      </c>
      <c r="F14199" t="s">
        <v>410</v>
      </c>
      <c r="G14199">
        <v>26</v>
      </c>
      <c r="I14199">
        <v>26</v>
      </c>
    </row>
    <row r="14200" spans="1:17" x14ac:dyDescent="0.2">
      <c r="A14200" s="121">
        <v>43951</v>
      </c>
      <c r="B14200" t="s">
        <v>406</v>
      </c>
      <c r="C14200" t="s">
        <v>551</v>
      </c>
      <c r="D14200" t="s">
        <v>552</v>
      </c>
      <c r="E14200" t="s">
        <v>553</v>
      </c>
      <c r="F14200" t="s">
        <v>413</v>
      </c>
      <c r="G14200">
        <v>3076</v>
      </c>
      <c r="H14200">
        <v>3076</v>
      </c>
      <c r="I14200">
        <v>2936</v>
      </c>
      <c r="J14200">
        <v>2936</v>
      </c>
      <c r="K14200">
        <v>1141</v>
      </c>
      <c r="L14200">
        <v>10</v>
      </c>
      <c r="M14200">
        <v>1857</v>
      </c>
      <c r="N14200">
        <v>58</v>
      </c>
      <c r="O14200">
        <v>10</v>
      </c>
      <c r="P14200">
        <v>16</v>
      </c>
      <c r="Q14200">
        <v>2</v>
      </c>
    </row>
    <row r="14201" spans="1:17" x14ac:dyDescent="0.2">
      <c r="A14201" s="121">
        <v>43951</v>
      </c>
      <c r="B14201" t="s">
        <v>406</v>
      </c>
      <c r="C14201" t="s">
        <v>551</v>
      </c>
      <c r="D14201" t="s">
        <v>554</v>
      </c>
      <c r="E14201" t="s">
        <v>555</v>
      </c>
      <c r="F14201" t="s">
        <v>410</v>
      </c>
      <c r="G14201">
        <v>3</v>
      </c>
      <c r="H14201">
        <v>3</v>
      </c>
      <c r="I14201">
        <v>3</v>
      </c>
      <c r="J14201">
        <v>3</v>
      </c>
      <c r="K14201">
        <v>0</v>
      </c>
      <c r="L14201">
        <v>0</v>
      </c>
      <c r="M14201">
        <v>3</v>
      </c>
      <c r="N14201">
        <v>0</v>
      </c>
      <c r="O14201">
        <v>0</v>
      </c>
      <c r="P14201">
        <v>0</v>
      </c>
      <c r="Q14201">
        <v>0</v>
      </c>
    </row>
    <row r="14202" spans="1:17" x14ac:dyDescent="0.2">
      <c r="A14202" s="121">
        <v>43951</v>
      </c>
      <c r="B14202" t="s">
        <v>406</v>
      </c>
      <c r="C14202" t="s">
        <v>551</v>
      </c>
      <c r="D14202" t="s">
        <v>558</v>
      </c>
      <c r="E14202" t="s">
        <v>559</v>
      </c>
      <c r="F14202" t="s">
        <v>413</v>
      </c>
      <c r="G14202">
        <v>2670</v>
      </c>
      <c r="H14202">
        <v>2670</v>
      </c>
      <c r="I14202">
        <v>2444</v>
      </c>
      <c r="J14202">
        <v>2444</v>
      </c>
      <c r="K14202">
        <v>696</v>
      </c>
      <c r="L14202">
        <v>2</v>
      </c>
      <c r="M14202">
        <v>1902</v>
      </c>
      <c r="N14202">
        <v>66</v>
      </c>
      <c r="O14202">
        <v>4</v>
      </c>
      <c r="P14202">
        <v>7</v>
      </c>
      <c r="Q14202">
        <v>1</v>
      </c>
    </row>
    <row r="14203" spans="1:17" x14ac:dyDescent="0.2">
      <c r="A14203" s="121">
        <v>43951</v>
      </c>
      <c r="B14203" t="s">
        <v>406</v>
      </c>
      <c r="C14203" t="s">
        <v>551</v>
      </c>
      <c r="D14203" t="s">
        <v>560</v>
      </c>
      <c r="E14203" t="s">
        <v>561</v>
      </c>
      <c r="F14203" t="s">
        <v>413</v>
      </c>
      <c r="G14203">
        <v>3532</v>
      </c>
      <c r="H14203">
        <v>3532</v>
      </c>
      <c r="I14203">
        <v>3350</v>
      </c>
      <c r="J14203">
        <v>3350</v>
      </c>
      <c r="K14203">
        <v>1504</v>
      </c>
      <c r="L14203">
        <v>3</v>
      </c>
      <c r="M14203">
        <v>1984</v>
      </c>
      <c r="N14203">
        <v>34</v>
      </c>
      <c r="O14203">
        <v>7</v>
      </c>
      <c r="P14203">
        <v>23</v>
      </c>
      <c r="Q14203">
        <v>3</v>
      </c>
    </row>
    <row r="14204" spans="1:17" x14ac:dyDescent="0.2">
      <c r="A14204" s="121">
        <v>43951</v>
      </c>
      <c r="B14204" t="s">
        <v>406</v>
      </c>
      <c r="C14204" t="s">
        <v>562</v>
      </c>
      <c r="D14204" t="s">
        <v>605</v>
      </c>
      <c r="E14204" t="s">
        <v>606</v>
      </c>
      <c r="F14204" t="s">
        <v>410</v>
      </c>
      <c r="G14204">
        <v>50</v>
      </c>
      <c r="I14204">
        <v>50</v>
      </c>
    </row>
    <row r="14205" spans="1:17" x14ac:dyDescent="0.2">
      <c r="A14205" s="121">
        <v>43951</v>
      </c>
      <c r="B14205" t="s">
        <v>406</v>
      </c>
      <c r="C14205" t="s">
        <v>562</v>
      </c>
      <c r="D14205" t="s">
        <v>563</v>
      </c>
      <c r="E14205" t="s">
        <v>564</v>
      </c>
      <c r="F14205" t="s">
        <v>410</v>
      </c>
      <c r="G14205">
        <v>1784</v>
      </c>
      <c r="H14205">
        <v>1784</v>
      </c>
      <c r="I14205">
        <v>1668</v>
      </c>
      <c r="J14205">
        <v>1668</v>
      </c>
      <c r="K14205">
        <v>718</v>
      </c>
      <c r="L14205">
        <v>1</v>
      </c>
      <c r="M14205">
        <v>1060</v>
      </c>
      <c r="N14205">
        <v>4</v>
      </c>
      <c r="O14205">
        <v>1</v>
      </c>
      <c r="P14205">
        <v>4</v>
      </c>
      <c r="Q14205">
        <v>0</v>
      </c>
    </row>
    <row r="14206" spans="1:17" x14ac:dyDescent="0.2">
      <c r="A14206" s="121">
        <v>43951</v>
      </c>
      <c r="B14206" t="s">
        <v>406</v>
      </c>
      <c r="C14206" t="s">
        <v>562</v>
      </c>
      <c r="D14206" t="s">
        <v>565</v>
      </c>
      <c r="E14206" t="s">
        <v>566</v>
      </c>
      <c r="F14206" t="s">
        <v>413</v>
      </c>
      <c r="G14206">
        <v>2523</v>
      </c>
      <c r="H14206">
        <v>2523</v>
      </c>
      <c r="I14206">
        <v>2420</v>
      </c>
      <c r="J14206">
        <v>2420</v>
      </c>
      <c r="K14206">
        <v>679</v>
      </c>
      <c r="L14206">
        <v>3</v>
      </c>
      <c r="M14206">
        <v>1817</v>
      </c>
      <c r="N14206">
        <v>16</v>
      </c>
      <c r="O14206">
        <v>8</v>
      </c>
      <c r="P14206">
        <v>9</v>
      </c>
      <c r="Q14206">
        <v>1</v>
      </c>
    </row>
    <row r="14207" spans="1:17" x14ac:dyDescent="0.2">
      <c r="A14207" s="121">
        <v>43951</v>
      </c>
      <c r="B14207" t="s">
        <v>406</v>
      </c>
      <c r="C14207" t="s">
        <v>562</v>
      </c>
      <c r="D14207" t="s">
        <v>567</v>
      </c>
      <c r="E14207" t="s">
        <v>568</v>
      </c>
      <c r="F14207" t="s">
        <v>413</v>
      </c>
      <c r="G14207">
        <v>5671</v>
      </c>
      <c r="H14207">
        <v>5671</v>
      </c>
      <c r="I14207">
        <v>5383</v>
      </c>
      <c r="J14207">
        <v>5383</v>
      </c>
      <c r="K14207">
        <v>2374</v>
      </c>
      <c r="L14207">
        <v>4</v>
      </c>
      <c r="M14207">
        <v>3247</v>
      </c>
      <c r="N14207">
        <v>30</v>
      </c>
      <c r="O14207">
        <v>16</v>
      </c>
      <c r="P14207">
        <v>11</v>
      </c>
      <c r="Q14207">
        <v>0</v>
      </c>
    </row>
    <row r="14208" spans="1:17" x14ac:dyDescent="0.2">
      <c r="A14208" s="121">
        <v>43951</v>
      </c>
      <c r="B14208" t="s">
        <v>406</v>
      </c>
      <c r="C14208" t="s">
        <v>562</v>
      </c>
      <c r="D14208" t="s">
        <v>569</v>
      </c>
      <c r="E14208" t="s">
        <v>570</v>
      </c>
      <c r="F14208" t="s">
        <v>413</v>
      </c>
      <c r="G14208">
        <v>2002</v>
      </c>
      <c r="H14208">
        <v>2002</v>
      </c>
      <c r="I14208">
        <v>1960</v>
      </c>
      <c r="J14208">
        <v>1960</v>
      </c>
      <c r="K14208">
        <v>264</v>
      </c>
      <c r="L14208">
        <v>0</v>
      </c>
      <c r="M14208">
        <v>1683</v>
      </c>
      <c r="N14208">
        <v>38</v>
      </c>
      <c r="O14208">
        <v>17</v>
      </c>
      <c r="P14208">
        <v>0</v>
      </c>
      <c r="Q14208">
        <v>0</v>
      </c>
    </row>
    <row r="14209" spans="1:17" x14ac:dyDescent="0.2">
      <c r="A14209" s="121">
        <v>43951</v>
      </c>
      <c r="B14209" t="s">
        <v>406</v>
      </c>
      <c r="C14209" t="s">
        <v>571</v>
      </c>
      <c r="D14209" t="s">
        <v>572</v>
      </c>
      <c r="E14209" t="s">
        <v>627</v>
      </c>
      <c r="F14209" t="s">
        <v>413</v>
      </c>
      <c r="G14209">
        <v>236</v>
      </c>
      <c r="H14209">
        <v>236</v>
      </c>
      <c r="I14209">
        <v>233</v>
      </c>
      <c r="J14209">
        <v>233</v>
      </c>
      <c r="K14209">
        <v>70</v>
      </c>
      <c r="L14209">
        <v>0</v>
      </c>
      <c r="M14209">
        <v>164</v>
      </c>
      <c r="N14209">
        <v>2</v>
      </c>
      <c r="O14209">
        <v>0</v>
      </c>
      <c r="P14209">
        <v>0</v>
      </c>
      <c r="Q14209">
        <v>0</v>
      </c>
    </row>
    <row r="14210" spans="1:17" x14ac:dyDescent="0.2">
      <c r="A14210" s="121">
        <v>43951</v>
      </c>
      <c r="B14210" t="s">
        <v>406</v>
      </c>
      <c r="C14210" t="s">
        <v>574</v>
      </c>
      <c r="D14210" t="s">
        <v>575</v>
      </c>
      <c r="E14210" t="s">
        <v>576</v>
      </c>
      <c r="F14210" t="s">
        <v>413</v>
      </c>
      <c r="G14210">
        <v>352</v>
      </c>
      <c r="H14210">
        <v>352</v>
      </c>
      <c r="I14210">
        <v>327</v>
      </c>
      <c r="J14210">
        <v>327</v>
      </c>
      <c r="K14210">
        <v>94</v>
      </c>
      <c r="L14210">
        <v>1</v>
      </c>
      <c r="M14210">
        <v>252</v>
      </c>
      <c r="N14210">
        <v>2</v>
      </c>
      <c r="O14210">
        <v>3</v>
      </c>
      <c r="P14210">
        <v>0</v>
      </c>
      <c r="Q14210">
        <v>0</v>
      </c>
    </row>
    <row r="14211" spans="1:17" x14ac:dyDescent="0.2">
      <c r="A14211" s="121">
        <v>43951</v>
      </c>
      <c r="B14211" t="s">
        <v>406</v>
      </c>
      <c r="C14211" t="s">
        <v>577</v>
      </c>
      <c r="D14211" t="s">
        <v>578</v>
      </c>
      <c r="E14211" t="s">
        <v>579</v>
      </c>
      <c r="F14211" t="s">
        <v>413</v>
      </c>
      <c r="G14211">
        <v>2199</v>
      </c>
      <c r="H14211">
        <v>2199</v>
      </c>
      <c r="I14211">
        <v>2153</v>
      </c>
      <c r="J14211">
        <v>2153</v>
      </c>
      <c r="K14211">
        <v>818</v>
      </c>
      <c r="L14211">
        <v>3</v>
      </c>
      <c r="M14211">
        <v>1268</v>
      </c>
      <c r="N14211">
        <v>86</v>
      </c>
      <c r="O14211">
        <v>24</v>
      </c>
      <c r="P14211">
        <v>0</v>
      </c>
      <c r="Q14211">
        <v>0</v>
      </c>
    </row>
    <row r="14212" spans="1:17" x14ac:dyDescent="0.2">
      <c r="A14212" s="121">
        <v>43951</v>
      </c>
      <c r="B14212" t="s">
        <v>406</v>
      </c>
      <c r="C14212" t="s">
        <v>577</v>
      </c>
      <c r="D14212" t="s">
        <v>580</v>
      </c>
      <c r="E14212" t="s">
        <v>581</v>
      </c>
      <c r="F14212" t="s">
        <v>413</v>
      </c>
      <c r="G14212">
        <v>968</v>
      </c>
      <c r="H14212">
        <v>968</v>
      </c>
      <c r="I14212">
        <v>944</v>
      </c>
      <c r="J14212">
        <v>944</v>
      </c>
      <c r="K14212">
        <v>236</v>
      </c>
      <c r="L14212">
        <v>3</v>
      </c>
      <c r="M14212">
        <v>629</v>
      </c>
      <c r="N14212">
        <v>95</v>
      </c>
      <c r="O14212">
        <v>5</v>
      </c>
      <c r="P14212">
        <v>1</v>
      </c>
      <c r="Q14212">
        <v>1</v>
      </c>
    </row>
    <row r="14213" spans="1:17" x14ac:dyDescent="0.2">
      <c r="A14213" s="121">
        <v>43951</v>
      </c>
      <c r="B14213" t="s">
        <v>406</v>
      </c>
      <c r="C14213" t="s">
        <v>577</v>
      </c>
      <c r="D14213" t="s">
        <v>586</v>
      </c>
      <c r="E14213" t="s">
        <v>587</v>
      </c>
      <c r="F14213" t="s">
        <v>410</v>
      </c>
      <c r="G14213">
        <v>322</v>
      </c>
      <c r="H14213">
        <v>322</v>
      </c>
      <c r="I14213">
        <v>322</v>
      </c>
      <c r="J14213">
        <v>322</v>
      </c>
      <c r="K14213">
        <v>0</v>
      </c>
      <c r="L14213">
        <v>1</v>
      </c>
      <c r="M14213">
        <v>289</v>
      </c>
      <c r="N14213">
        <v>31</v>
      </c>
      <c r="O14213">
        <v>1</v>
      </c>
      <c r="P14213">
        <v>0</v>
      </c>
      <c r="Q14213">
        <v>0</v>
      </c>
    </row>
    <row r="14214" spans="1:17" x14ac:dyDescent="0.2">
      <c r="A14214" s="121">
        <v>43951</v>
      </c>
      <c r="B14214" t="s">
        <v>406</v>
      </c>
      <c r="C14214" t="s">
        <v>577</v>
      </c>
      <c r="D14214" t="s">
        <v>590</v>
      </c>
      <c r="E14214" t="s">
        <v>591</v>
      </c>
      <c r="F14214" t="s">
        <v>410</v>
      </c>
      <c r="G14214">
        <v>124</v>
      </c>
      <c r="H14214">
        <v>124</v>
      </c>
      <c r="I14214">
        <v>124</v>
      </c>
      <c r="J14214">
        <v>124</v>
      </c>
      <c r="K14214">
        <v>0</v>
      </c>
      <c r="L14214">
        <v>0</v>
      </c>
      <c r="M14214">
        <v>119</v>
      </c>
      <c r="N14214">
        <v>5</v>
      </c>
      <c r="O14214">
        <v>0</v>
      </c>
      <c r="P14214">
        <v>0</v>
      </c>
      <c r="Q14214">
        <v>0</v>
      </c>
    </row>
    <row r="14215" spans="1:17" x14ac:dyDescent="0.2">
      <c r="A14215" s="121">
        <v>43951</v>
      </c>
      <c r="B14215" t="s">
        <v>406</v>
      </c>
      <c r="C14215" t="s">
        <v>594</v>
      </c>
      <c r="D14215" t="s">
        <v>595</v>
      </c>
      <c r="E14215" t="s">
        <v>596</v>
      </c>
      <c r="F14215" t="s">
        <v>410</v>
      </c>
      <c r="G14215">
        <v>15</v>
      </c>
      <c r="I14215">
        <v>15</v>
      </c>
    </row>
    <row r="14216" spans="1:17" x14ac:dyDescent="0.2">
      <c r="A14216" s="121">
        <v>43951</v>
      </c>
      <c r="B14216" t="s">
        <v>406</v>
      </c>
      <c r="C14216" t="s">
        <v>594</v>
      </c>
      <c r="D14216" t="s">
        <v>597</v>
      </c>
      <c r="E14216" t="s">
        <v>598</v>
      </c>
      <c r="F14216" t="s">
        <v>413</v>
      </c>
      <c r="G14216">
        <v>212</v>
      </c>
      <c r="H14216">
        <v>212</v>
      </c>
      <c r="I14216">
        <v>206</v>
      </c>
      <c r="J14216">
        <v>206</v>
      </c>
      <c r="K14216">
        <v>49</v>
      </c>
      <c r="L14216">
        <v>0</v>
      </c>
      <c r="M14216">
        <v>160</v>
      </c>
      <c r="N14216">
        <v>3</v>
      </c>
      <c r="O14216">
        <v>0</v>
      </c>
      <c r="P14216">
        <v>1</v>
      </c>
      <c r="Q14216">
        <v>0</v>
      </c>
    </row>
    <row r="14217" spans="1:17" x14ac:dyDescent="0.2">
      <c r="A14217" s="121">
        <v>43951</v>
      </c>
      <c r="B14217" t="s">
        <v>406</v>
      </c>
      <c r="C14217" t="s">
        <v>594</v>
      </c>
      <c r="D14217" t="s">
        <v>599</v>
      </c>
      <c r="E14217" t="s">
        <v>600</v>
      </c>
      <c r="F14217" t="s">
        <v>410</v>
      </c>
      <c r="G14217">
        <v>64</v>
      </c>
      <c r="H14217">
        <v>64</v>
      </c>
      <c r="I14217">
        <v>64</v>
      </c>
      <c r="J14217">
        <v>64</v>
      </c>
      <c r="K14217">
        <v>3</v>
      </c>
      <c r="L14217">
        <v>0</v>
      </c>
      <c r="M14217">
        <v>61</v>
      </c>
      <c r="N14217">
        <v>0</v>
      </c>
      <c r="O14217">
        <v>0</v>
      </c>
      <c r="P14217">
        <v>0</v>
      </c>
      <c r="Q14217">
        <v>0</v>
      </c>
    </row>
    <row r="14218" spans="1:17" x14ac:dyDescent="0.2">
      <c r="A14218" s="121">
        <v>43982</v>
      </c>
      <c r="B14218" t="s">
        <v>406</v>
      </c>
      <c r="C14218" t="s">
        <v>407</v>
      </c>
      <c r="D14218" t="s">
        <v>408</v>
      </c>
      <c r="E14218" t="s">
        <v>409</v>
      </c>
      <c r="F14218" t="s">
        <v>410</v>
      </c>
      <c r="G14218">
        <v>132</v>
      </c>
      <c r="I14218">
        <v>127</v>
      </c>
    </row>
    <row r="14219" spans="1:17" x14ac:dyDescent="0.2">
      <c r="A14219" s="121">
        <v>43982</v>
      </c>
      <c r="B14219" t="s">
        <v>406</v>
      </c>
      <c r="C14219" t="s">
        <v>407</v>
      </c>
      <c r="D14219" t="s">
        <v>601</v>
      </c>
      <c r="E14219" t="s">
        <v>602</v>
      </c>
      <c r="F14219" t="s">
        <v>410</v>
      </c>
      <c r="G14219">
        <v>46</v>
      </c>
      <c r="I14219">
        <v>46</v>
      </c>
    </row>
    <row r="14220" spans="1:17" x14ac:dyDescent="0.2">
      <c r="A14220" s="121">
        <v>43982</v>
      </c>
      <c r="B14220" t="s">
        <v>406</v>
      </c>
      <c r="C14220" t="s">
        <v>407</v>
      </c>
      <c r="D14220" t="s">
        <v>411</v>
      </c>
      <c r="E14220" t="s">
        <v>412</v>
      </c>
      <c r="F14220" t="s">
        <v>413</v>
      </c>
      <c r="G14220">
        <v>4670</v>
      </c>
      <c r="H14220">
        <v>4670</v>
      </c>
      <c r="I14220">
        <v>4608</v>
      </c>
      <c r="J14220">
        <v>4608</v>
      </c>
      <c r="K14220">
        <v>1978</v>
      </c>
      <c r="L14220">
        <v>9</v>
      </c>
      <c r="M14220">
        <v>2325</v>
      </c>
      <c r="N14220">
        <v>35</v>
      </c>
      <c r="O14220">
        <v>323</v>
      </c>
      <c r="P14220">
        <v>0</v>
      </c>
      <c r="Q14220">
        <v>0</v>
      </c>
    </row>
    <row r="14221" spans="1:17" x14ac:dyDescent="0.2">
      <c r="A14221" s="121">
        <v>43982</v>
      </c>
      <c r="B14221" t="s">
        <v>406</v>
      </c>
      <c r="C14221" t="s">
        <v>407</v>
      </c>
      <c r="D14221" t="s">
        <v>416</v>
      </c>
      <c r="E14221" t="s">
        <v>417</v>
      </c>
      <c r="F14221" t="s">
        <v>413</v>
      </c>
      <c r="G14221">
        <v>2542</v>
      </c>
      <c r="H14221">
        <v>2542</v>
      </c>
      <c r="I14221">
        <v>2320</v>
      </c>
      <c r="J14221">
        <v>2320</v>
      </c>
      <c r="K14221">
        <v>1010</v>
      </c>
      <c r="L14221">
        <v>5</v>
      </c>
      <c r="M14221">
        <v>1455</v>
      </c>
      <c r="N14221">
        <v>41</v>
      </c>
      <c r="O14221">
        <v>31</v>
      </c>
      <c r="P14221">
        <v>12</v>
      </c>
      <c r="Q14221">
        <v>0</v>
      </c>
    </row>
    <row r="14222" spans="1:17" x14ac:dyDescent="0.2">
      <c r="A14222" s="121">
        <v>43982</v>
      </c>
      <c r="B14222" t="s">
        <v>406</v>
      </c>
      <c r="C14222" t="s">
        <v>407</v>
      </c>
      <c r="D14222" t="s">
        <v>618</v>
      </c>
      <c r="E14222" t="s">
        <v>619</v>
      </c>
      <c r="F14222" t="s">
        <v>410</v>
      </c>
      <c r="G14222">
        <v>31</v>
      </c>
      <c r="I14222">
        <v>30</v>
      </c>
    </row>
    <row r="14223" spans="1:17" x14ac:dyDescent="0.2">
      <c r="A14223" s="121">
        <v>43982</v>
      </c>
      <c r="B14223" t="s">
        <v>406</v>
      </c>
      <c r="C14223" t="s">
        <v>418</v>
      </c>
      <c r="D14223" t="s">
        <v>427</v>
      </c>
      <c r="E14223" t="s">
        <v>428</v>
      </c>
      <c r="F14223" t="s">
        <v>413</v>
      </c>
      <c r="G14223">
        <v>1913</v>
      </c>
      <c r="H14223">
        <v>1913</v>
      </c>
      <c r="I14223">
        <v>1765</v>
      </c>
      <c r="J14223">
        <v>1765</v>
      </c>
      <c r="K14223">
        <v>678</v>
      </c>
      <c r="L14223">
        <v>5</v>
      </c>
      <c r="M14223">
        <v>1156</v>
      </c>
      <c r="N14223">
        <v>68</v>
      </c>
      <c r="O14223">
        <v>6</v>
      </c>
      <c r="P14223">
        <v>12</v>
      </c>
      <c r="Q14223">
        <v>3</v>
      </c>
    </row>
    <row r="14224" spans="1:17" x14ac:dyDescent="0.2">
      <c r="A14224" s="121">
        <v>43982</v>
      </c>
      <c r="B14224" t="s">
        <v>406</v>
      </c>
      <c r="C14224" t="s">
        <v>429</v>
      </c>
      <c r="D14224" t="s">
        <v>438</v>
      </c>
      <c r="E14224" t="s">
        <v>439</v>
      </c>
      <c r="F14224" t="s">
        <v>413</v>
      </c>
      <c r="G14224">
        <v>760</v>
      </c>
      <c r="H14224">
        <v>760</v>
      </c>
      <c r="I14224">
        <v>698</v>
      </c>
      <c r="J14224">
        <v>698</v>
      </c>
      <c r="K14224">
        <v>79</v>
      </c>
      <c r="L14224">
        <v>1</v>
      </c>
      <c r="M14224">
        <v>620</v>
      </c>
      <c r="N14224">
        <v>42</v>
      </c>
      <c r="O14224">
        <v>18</v>
      </c>
      <c r="P14224">
        <v>5</v>
      </c>
      <c r="Q14224">
        <v>0</v>
      </c>
    </row>
    <row r="14225" spans="1:17" x14ac:dyDescent="0.2">
      <c r="A14225" s="121">
        <v>43982</v>
      </c>
      <c r="B14225" t="s">
        <v>406</v>
      </c>
      <c r="C14225" t="s">
        <v>429</v>
      </c>
      <c r="D14225" t="s">
        <v>440</v>
      </c>
      <c r="E14225" t="s">
        <v>441</v>
      </c>
      <c r="F14225" t="s">
        <v>413</v>
      </c>
      <c r="G14225">
        <v>2068</v>
      </c>
      <c r="H14225">
        <v>2068</v>
      </c>
      <c r="I14225">
        <v>1977</v>
      </c>
      <c r="J14225">
        <v>1977</v>
      </c>
      <c r="K14225">
        <v>728</v>
      </c>
      <c r="L14225">
        <v>3</v>
      </c>
      <c r="M14225">
        <v>1278</v>
      </c>
      <c r="N14225">
        <v>20</v>
      </c>
      <c r="O14225">
        <v>39</v>
      </c>
      <c r="P14225">
        <v>0</v>
      </c>
      <c r="Q14225">
        <v>0</v>
      </c>
    </row>
    <row r="14226" spans="1:17" x14ac:dyDescent="0.2">
      <c r="A14226" s="121">
        <v>43982</v>
      </c>
      <c r="B14226" t="s">
        <v>406</v>
      </c>
      <c r="C14226" t="s">
        <v>442</v>
      </c>
      <c r="D14226" t="s">
        <v>443</v>
      </c>
      <c r="E14226" t="s">
        <v>444</v>
      </c>
      <c r="F14226" t="s">
        <v>413</v>
      </c>
      <c r="G14226">
        <v>3821</v>
      </c>
      <c r="H14226">
        <v>3821</v>
      </c>
      <c r="I14226">
        <v>3649</v>
      </c>
      <c r="J14226">
        <v>3649</v>
      </c>
      <c r="K14226">
        <v>1269</v>
      </c>
      <c r="L14226">
        <v>10</v>
      </c>
      <c r="M14226">
        <v>2482</v>
      </c>
      <c r="N14226">
        <v>37</v>
      </c>
      <c r="O14226">
        <v>23</v>
      </c>
      <c r="P14226">
        <v>3</v>
      </c>
      <c r="Q14226">
        <v>0</v>
      </c>
    </row>
    <row r="14227" spans="1:17" x14ac:dyDescent="0.2">
      <c r="A14227" s="121">
        <v>43982</v>
      </c>
      <c r="B14227" t="s">
        <v>406</v>
      </c>
      <c r="C14227" t="s">
        <v>442</v>
      </c>
      <c r="D14227" t="s">
        <v>445</v>
      </c>
      <c r="E14227" t="s">
        <v>446</v>
      </c>
      <c r="F14227" t="s">
        <v>410</v>
      </c>
      <c r="G14227">
        <v>94</v>
      </c>
      <c r="H14227">
        <v>94</v>
      </c>
      <c r="I14227">
        <v>92</v>
      </c>
      <c r="J14227">
        <v>92</v>
      </c>
      <c r="K14227">
        <v>1</v>
      </c>
      <c r="L14227">
        <v>0</v>
      </c>
      <c r="M14227">
        <v>87</v>
      </c>
      <c r="N14227">
        <v>1</v>
      </c>
      <c r="O14227">
        <v>5</v>
      </c>
      <c r="P14227">
        <v>0</v>
      </c>
      <c r="Q14227">
        <v>0</v>
      </c>
    </row>
    <row r="14228" spans="1:17" x14ac:dyDescent="0.2">
      <c r="A14228" s="121">
        <v>43982</v>
      </c>
      <c r="B14228" t="s">
        <v>406</v>
      </c>
      <c r="C14228" t="s">
        <v>442</v>
      </c>
      <c r="D14228" t="s">
        <v>447</v>
      </c>
      <c r="E14228" t="s">
        <v>448</v>
      </c>
      <c r="F14228" t="s">
        <v>410</v>
      </c>
      <c r="G14228">
        <v>139</v>
      </c>
      <c r="H14228">
        <v>139</v>
      </c>
      <c r="I14228">
        <v>139</v>
      </c>
      <c r="J14228">
        <v>139</v>
      </c>
      <c r="K14228">
        <v>0</v>
      </c>
      <c r="L14228">
        <v>0</v>
      </c>
      <c r="M14228">
        <v>136</v>
      </c>
      <c r="N14228">
        <v>3</v>
      </c>
      <c r="O14228">
        <v>0</v>
      </c>
      <c r="P14228">
        <v>0</v>
      </c>
      <c r="Q14228">
        <v>0</v>
      </c>
    </row>
    <row r="14229" spans="1:17" x14ac:dyDescent="0.2">
      <c r="A14229" s="121">
        <v>43982</v>
      </c>
      <c r="B14229" t="s">
        <v>406</v>
      </c>
      <c r="C14229" t="s">
        <v>442</v>
      </c>
      <c r="D14229" t="s">
        <v>449</v>
      </c>
      <c r="E14229" t="s">
        <v>624</v>
      </c>
      <c r="F14229" t="s">
        <v>410</v>
      </c>
      <c r="G14229">
        <v>935</v>
      </c>
      <c r="H14229">
        <v>935</v>
      </c>
      <c r="I14229">
        <v>935</v>
      </c>
      <c r="J14229">
        <v>935</v>
      </c>
      <c r="K14229">
        <v>3</v>
      </c>
      <c r="L14229">
        <v>0</v>
      </c>
      <c r="M14229">
        <v>889</v>
      </c>
      <c r="N14229">
        <v>43</v>
      </c>
      <c r="O14229">
        <v>0</v>
      </c>
      <c r="P14229">
        <v>0</v>
      </c>
      <c r="Q14229">
        <v>0</v>
      </c>
    </row>
    <row r="14230" spans="1:17" x14ac:dyDescent="0.2">
      <c r="A14230" s="121">
        <v>43982</v>
      </c>
      <c r="B14230" t="s">
        <v>406</v>
      </c>
      <c r="C14230" t="s">
        <v>451</v>
      </c>
      <c r="D14230" t="s">
        <v>454</v>
      </c>
      <c r="E14230" t="s">
        <v>621</v>
      </c>
      <c r="F14230" t="s">
        <v>410</v>
      </c>
      <c r="G14230">
        <v>1665</v>
      </c>
      <c r="H14230">
        <v>1665</v>
      </c>
      <c r="I14230">
        <v>1661</v>
      </c>
      <c r="J14230">
        <v>1661</v>
      </c>
      <c r="K14230">
        <v>2</v>
      </c>
      <c r="L14230">
        <v>0</v>
      </c>
      <c r="M14230">
        <v>1599</v>
      </c>
      <c r="N14230">
        <v>0</v>
      </c>
      <c r="O14230">
        <v>64</v>
      </c>
      <c r="P14230">
        <v>0</v>
      </c>
      <c r="Q14230">
        <v>0</v>
      </c>
    </row>
    <row r="14231" spans="1:17" x14ac:dyDescent="0.2">
      <c r="A14231" s="121">
        <v>43982</v>
      </c>
      <c r="B14231" t="s">
        <v>406</v>
      </c>
      <c r="C14231" t="s">
        <v>451</v>
      </c>
      <c r="D14231" t="s">
        <v>622</v>
      </c>
      <c r="E14231" t="s">
        <v>623</v>
      </c>
      <c r="F14231" t="s">
        <v>413</v>
      </c>
      <c r="G14231">
        <v>3280</v>
      </c>
      <c r="H14231">
        <v>3280</v>
      </c>
      <c r="I14231">
        <v>3186</v>
      </c>
      <c r="J14231">
        <v>3186</v>
      </c>
      <c r="K14231">
        <v>1172</v>
      </c>
      <c r="L14231">
        <v>10</v>
      </c>
      <c r="M14231">
        <v>1998</v>
      </c>
      <c r="N14231">
        <v>20</v>
      </c>
      <c r="O14231">
        <v>80</v>
      </c>
      <c r="P14231">
        <v>0</v>
      </c>
      <c r="Q14231">
        <v>0</v>
      </c>
    </row>
    <row r="14232" spans="1:17" x14ac:dyDescent="0.2">
      <c r="A14232" s="121">
        <v>43982</v>
      </c>
      <c r="B14232" t="s">
        <v>406</v>
      </c>
      <c r="C14232" t="s">
        <v>456</v>
      </c>
      <c r="D14232" t="s">
        <v>457</v>
      </c>
      <c r="E14232" t="s">
        <v>458</v>
      </c>
      <c r="F14232" t="s">
        <v>413</v>
      </c>
      <c r="G14232">
        <v>3099</v>
      </c>
      <c r="H14232">
        <v>3099</v>
      </c>
      <c r="I14232">
        <v>2937</v>
      </c>
      <c r="J14232">
        <v>2937</v>
      </c>
      <c r="K14232">
        <v>1692</v>
      </c>
      <c r="L14232">
        <v>6</v>
      </c>
      <c r="M14232">
        <v>1282</v>
      </c>
      <c r="N14232">
        <v>12</v>
      </c>
      <c r="O14232">
        <v>107</v>
      </c>
      <c r="P14232">
        <v>3</v>
      </c>
      <c r="Q14232">
        <v>0</v>
      </c>
    </row>
    <row r="14233" spans="1:17" x14ac:dyDescent="0.2">
      <c r="A14233" s="121">
        <v>43982</v>
      </c>
      <c r="B14233" t="s">
        <v>406</v>
      </c>
      <c r="C14233" t="s">
        <v>456</v>
      </c>
      <c r="D14233" t="s">
        <v>459</v>
      </c>
      <c r="E14233" t="s">
        <v>460</v>
      </c>
      <c r="F14233" t="s">
        <v>413</v>
      </c>
      <c r="G14233">
        <v>686</v>
      </c>
      <c r="H14233">
        <v>686</v>
      </c>
      <c r="I14233">
        <v>671</v>
      </c>
      <c r="J14233">
        <v>671</v>
      </c>
      <c r="K14233">
        <v>56</v>
      </c>
      <c r="L14233">
        <v>1</v>
      </c>
      <c r="M14233">
        <v>623</v>
      </c>
      <c r="N14233">
        <v>0</v>
      </c>
      <c r="O14233">
        <v>6</v>
      </c>
      <c r="P14233">
        <v>1</v>
      </c>
      <c r="Q14233">
        <v>0</v>
      </c>
    </row>
    <row r="14234" spans="1:17" x14ac:dyDescent="0.2">
      <c r="A14234" s="121">
        <v>43982</v>
      </c>
      <c r="B14234" t="s">
        <v>406</v>
      </c>
      <c r="C14234" t="s">
        <v>456</v>
      </c>
      <c r="D14234" t="s">
        <v>467</v>
      </c>
      <c r="E14234" t="s">
        <v>468</v>
      </c>
      <c r="F14234" t="s">
        <v>410</v>
      </c>
      <c r="G14234">
        <v>577</v>
      </c>
      <c r="I14234">
        <v>577</v>
      </c>
    </row>
    <row r="14235" spans="1:17" x14ac:dyDescent="0.2">
      <c r="A14235" s="121">
        <v>43982</v>
      </c>
      <c r="B14235" t="s">
        <v>406</v>
      </c>
      <c r="C14235" t="s">
        <v>456</v>
      </c>
      <c r="D14235" t="s">
        <v>469</v>
      </c>
      <c r="E14235" t="s">
        <v>470</v>
      </c>
      <c r="F14235" t="s">
        <v>410</v>
      </c>
      <c r="G14235">
        <v>353</v>
      </c>
      <c r="I14235">
        <v>353</v>
      </c>
    </row>
    <row r="14236" spans="1:17" x14ac:dyDescent="0.2">
      <c r="A14236" s="121">
        <v>43982</v>
      </c>
      <c r="B14236" t="s">
        <v>406</v>
      </c>
      <c r="C14236" t="s">
        <v>456</v>
      </c>
      <c r="D14236" t="s">
        <v>471</v>
      </c>
      <c r="E14236" t="s">
        <v>472</v>
      </c>
      <c r="F14236" t="s">
        <v>410</v>
      </c>
      <c r="G14236">
        <v>198</v>
      </c>
      <c r="I14236">
        <v>198</v>
      </c>
    </row>
    <row r="14237" spans="1:17" x14ac:dyDescent="0.2">
      <c r="A14237" s="121">
        <v>43982</v>
      </c>
      <c r="B14237" t="s">
        <v>406</v>
      </c>
      <c r="C14237" t="s">
        <v>456</v>
      </c>
      <c r="D14237" t="s">
        <v>477</v>
      </c>
      <c r="E14237" t="s">
        <v>478</v>
      </c>
      <c r="F14237" t="s">
        <v>413</v>
      </c>
      <c r="G14237">
        <v>1340</v>
      </c>
      <c r="H14237">
        <v>1340</v>
      </c>
      <c r="I14237">
        <v>1257</v>
      </c>
      <c r="J14237">
        <v>1257</v>
      </c>
      <c r="K14237">
        <v>324</v>
      </c>
      <c r="L14237">
        <v>3</v>
      </c>
      <c r="M14237">
        <v>1006</v>
      </c>
      <c r="N14237">
        <v>5</v>
      </c>
      <c r="O14237">
        <v>2</v>
      </c>
      <c r="P14237">
        <v>2</v>
      </c>
      <c r="Q14237">
        <v>0</v>
      </c>
    </row>
    <row r="14238" spans="1:17" x14ac:dyDescent="0.2">
      <c r="A14238" s="121">
        <v>43982</v>
      </c>
      <c r="B14238" t="s">
        <v>406</v>
      </c>
      <c r="C14238" t="s">
        <v>456</v>
      </c>
      <c r="D14238" t="s">
        <v>481</v>
      </c>
      <c r="E14238" t="s">
        <v>482</v>
      </c>
      <c r="F14238" t="s">
        <v>410</v>
      </c>
      <c r="G14238">
        <v>3</v>
      </c>
      <c r="I14238">
        <v>3</v>
      </c>
    </row>
    <row r="14239" spans="1:17" x14ac:dyDescent="0.2">
      <c r="A14239" s="121">
        <v>43982</v>
      </c>
      <c r="B14239" t="s">
        <v>406</v>
      </c>
      <c r="C14239" t="s">
        <v>491</v>
      </c>
      <c r="D14239" t="s">
        <v>492</v>
      </c>
      <c r="E14239" t="s">
        <v>493</v>
      </c>
      <c r="F14239" t="s">
        <v>410</v>
      </c>
      <c r="G14239">
        <v>734</v>
      </c>
      <c r="H14239">
        <v>734</v>
      </c>
      <c r="I14239">
        <v>719</v>
      </c>
      <c r="J14239">
        <v>719</v>
      </c>
      <c r="K14239">
        <v>87</v>
      </c>
      <c r="L14239">
        <v>1</v>
      </c>
      <c r="M14239">
        <v>606</v>
      </c>
      <c r="N14239">
        <v>39</v>
      </c>
      <c r="O14239">
        <v>1</v>
      </c>
      <c r="P14239">
        <v>0</v>
      </c>
      <c r="Q14239">
        <v>0</v>
      </c>
    </row>
    <row r="14240" spans="1:17" x14ac:dyDescent="0.2">
      <c r="A14240" s="121">
        <v>43982</v>
      </c>
      <c r="B14240" t="s">
        <v>406</v>
      </c>
      <c r="C14240" t="s">
        <v>491</v>
      </c>
      <c r="D14240" t="s">
        <v>494</v>
      </c>
      <c r="E14240" t="s">
        <v>495</v>
      </c>
      <c r="F14240" t="s">
        <v>413</v>
      </c>
      <c r="G14240">
        <v>1578</v>
      </c>
      <c r="H14240">
        <v>1578</v>
      </c>
      <c r="I14240">
        <v>1506</v>
      </c>
      <c r="J14240">
        <v>1506</v>
      </c>
      <c r="K14240">
        <v>346</v>
      </c>
      <c r="L14240">
        <v>6</v>
      </c>
      <c r="M14240">
        <v>1169</v>
      </c>
      <c r="N14240">
        <v>24</v>
      </c>
      <c r="O14240">
        <v>33</v>
      </c>
      <c r="P14240">
        <v>4</v>
      </c>
      <c r="Q14240">
        <v>1</v>
      </c>
    </row>
    <row r="14241" spans="1:17" x14ac:dyDescent="0.2">
      <c r="A14241" s="121">
        <v>43982</v>
      </c>
      <c r="B14241" t="s">
        <v>406</v>
      </c>
      <c r="C14241" t="s">
        <v>491</v>
      </c>
      <c r="D14241" t="s">
        <v>496</v>
      </c>
      <c r="E14241" t="s">
        <v>497</v>
      </c>
      <c r="F14241" t="s">
        <v>413</v>
      </c>
      <c r="G14241">
        <v>3116</v>
      </c>
      <c r="H14241">
        <v>3116</v>
      </c>
      <c r="I14241">
        <v>2933</v>
      </c>
      <c r="J14241">
        <v>2933</v>
      </c>
      <c r="K14241">
        <v>911</v>
      </c>
      <c r="L14241">
        <v>7</v>
      </c>
      <c r="M14241">
        <v>2105</v>
      </c>
      <c r="N14241">
        <v>60</v>
      </c>
      <c r="O14241">
        <v>33</v>
      </c>
      <c r="P14241">
        <v>14</v>
      </c>
      <c r="Q14241">
        <v>2</v>
      </c>
    </row>
    <row r="14242" spans="1:17" x14ac:dyDescent="0.2">
      <c r="A14242" s="121">
        <v>43982</v>
      </c>
      <c r="B14242" t="s">
        <v>406</v>
      </c>
      <c r="C14242" t="s">
        <v>491</v>
      </c>
      <c r="D14242" t="s">
        <v>498</v>
      </c>
      <c r="E14242" t="s">
        <v>499</v>
      </c>
      <c r="F14242" t="s">
        <v>413</v>
      </c>
      <c r="G14242">
        <v>4559</v>
      </c>
      <c r="H14242">
        <v>4559</v>
      </c>
      <c r="I14242">
        <v>4349</v>
      </c>
      <c r="J14242">
        <v>4349</v>
      </c>
      <c r="K14242">
        <v>1612</v>
      </c>
      <c r="L14242">
        <v>16</v>
      </c>
      <c r="M14242">
        <v>2719</v>
      </c>
      <c r="N14242">
        <v>75</v>
      </c>
      <c r="O14242">
        <v>137</v>
      </c>
      <c r="P14242">
        <v>6</v>
      </c>
      <c r="Q14242">
        <v>2</v>
      </c>
    </row>
    <row r="14243" spans="1:17" x14ac:dyDescent="0.2">
      <c r="A14243" s="121">
        <v>43982</v>
      </c>
      <c r="B14243" t="s">
        <v>406</v>
      </c>
      <c r="C14243" t="s">
        <v>491</v>
      </c>
      <c r="D14243" t="s">
        <v>500</v>
      </c>
      <c r="E14243" t="s">
        <v>620</v>
      </c>
      <c r="F14243" t="s">
        <v>410</v>
      </c>
      <c r="G14243">
        <v>1292</v>
      </c>
      <c r="H14243">
        <v>1292</v>
      </c>
      <c r="I14243">
        <v>1291</v>
      </c>
      <c r="J14243">
        <v>1291</v>
      </c>
      <c r="K14243">
        <v>0</v>
      </c>
      <c r="L14243">
        <v>0</v>
      </c>
      <c r="M14243">
        <v>1225</v>
      </c>
      <c r="N14243">
        <v>41</v>
      </c>
      <c r="O14243">
        <v>26</v>
      </c>
      <c r="P14243">
        <v>0</v>
      </c>
      <c r="Q14243">
        <v>0</v>
      </c>
    </row>
    <row r="14244" spans="1:17" x14ac:dyDescent="0.2">
      <c r="A14244" s="121">
        <v>43982</v>
      </c>
      <c r="B14244" t="s">
        <v>406</v>
      </c>
      <c r="C14244" t="s">
        <v>491</v>
      </c>
      <c r="D14244" t="s">
        <v>504</v>
      </c>
      <c r="E14244" t="s">
        <v>630</v>
      </c>
      <c r="F14244" t="s">
        <v>413</v>
      </c>
      <c r="G14244">
        <v>6394</v>
      </c>
      <c r="H14244">
        <v>6394</v>
      </c>
      <c r="I14244">
        <v>6048</v>
      </c>
      <c r="J14244">
        <v>6048</v>
      </c>
      <c r="K14244">
        <v>2062</v>
      </c>
      <c r="L14244">
        <v>20</v>
      </c>
      <c r="M14244">
        <v>4148</v>
      </c>
      <c r="N14244">
        <v>62</v>
      </c>
      <c r="O14244">
        <v>102</v>
      </c>
      <c r="P14244">
        <v>7</v>
      </c>
      <c r="Q14244">
        <v>1</v>
      </c>
    </row>
    <row r="14245" spans="1:17" x14ac:dyDescent="0.2">
      <c r="A14245" s="121">
        <v>43982</v>
      </c>
      <c r="B14245" t="s">
        <v>406</v>
      </c>
      <c r="C14245" t="s">
        <v>491</v>
      </c>
      <c r="D14245" t="s">
        <v>506</v>
      </c>
      <c r="E14245" t="s">
        <v>507</v>
      </c>
      <c r="F14245" t="s">
        <v>413</v>
      </c>
      <c r="G14245">
        <v>2363</v>
      </c>
      <c r="H14245">
        <v>2363</v>
      </c>
      <c r="I14245">
        <v>2345</v>
      </c>
      <c r="J14245">
        <v>2345</v>
      </c>
      <c r="K14245">
        <v>442</v>
      </c>
      <c r="L14245">
        <v>1</v>
      </c>
      <c r="M14245">
        <v>1918</v>
      </c>
      <c r="N14245">
        <v>1</v>
      </c>
      <c r="O14245">
        <v>1</v>
      </c>
      <c r="P14245">
        <v>0</v>
      </c>
      <c r="Q14245">
        <v>0</v>
      </c>
    </row>
    <row r="14246" spans="1:17" x14ac:dyDescent="0.2">
      <c r="A14246" s="121">
        <v>43982</v>
      </c>
      <c r="B14246" t="s">
        <v>406</v>
      </c>
      <c r="C14246" t="s">
        <v>510</v>
      </c>
      <c r="D14246" t="s">
        <v>513</v>
      </c>
      <c r="E14246" t="s">
        <v>514</v>
      </c>
      <c r="F14246" t="s">
        <v>410</v>
      </c>
      <c r="G14246">
        <v>351</v>
      </c>
      <c r="I14246">
        <v>351</v>
      </c>
    </row>
    <row r="14247" spans="1:17" x14ac:dyDescent="0.2">
      <c r="A14247" s="121">
        <v>43982</v>
      </c>
      <c r="B14247" t="s">
        <v>406</v>
      </c>
      <c r="C14247" t="s">
        <v>510</v>
      </c>
      <c r="D14247" t="s">
        <v>515</v>
      </c>
      <c r="E14247" t="s">
        <v>516</v>
      </c>
      <c r="F14247" t="s">
        <v>410</v>
      </c>
      <c r="G14247">
        <v>49</v>
      </c>
      <c r="I14247">
        <v>49</v>
      </c>
    </row>
    <row r="14248" spans="1:17" x14ac:dyDescent="0.2">
      <c r="A14248" s="121">
        <v>43982</v>
      </c>
      <c r="B14248" t="s">
        <v>406</v>
      </c>
      <c r="C14248" t="s">
        <v>510</v>
      </c>
      <c r="D14248" t="s">
        <v>519</v>
      </c>
      <c r="E14248" t="s">
        <v>520</v>
      </c>
      <c r="F14248" t="s">
        <v>410</v>
      </c>
      <c r="G14248">
        <v>190</v>
      </c>
      <c r="I14248">
        <v>190</v>
      </c>
    </row>
    <row r="14249" spans="1:17" x14ac:dyDescent="0.2">
      <c r="A14249" s="121">
        <v>43982</v>
      </c>
      <c r="B14249" t="s">
        <v>406</v>
      </c>
      <c r="C14249" t="s">
        <v>510</v>
      </c>
      <c r="D14249" t="s">
        <v>523</v>
      </c>
      <c r="E14249" t="s">
        <v>524</v>
      </c>
      <c r="F14249" t="s">
        <v>413</v>
      </c>
      <c r="G14249">
        <v>380</v>
      </c>
      <c r="H14249">
        <v>380</v>
      </c>
      <c r="I14249">
        <v>359</v>
      </c>
      <c r="J14249">
        <v>359</v>
      </c>
      <c r="K14249">
        <v>115</v>
      </c>
      <c r="L14249">
        <v>1</v>
      </c>
      <c r="M14249">
        <v>256</v>
      </c>
      <c r="N14249">
        <v>6</v>
      </c>
      <c r="O14249">
        <v>2</v>
      </c>
      <c r="P14249">
        <v>0</v>
      </c>
      <c r="Q14249">
        <v>0</v>
      </c>
    </row>
    <row r="14250" spans="1:17" x14ac:dyDescent="0.2">
      <c r="A14250" s="121">
        <v>43982</v>
      </c>
      <c r="B14250" t="s">
        <v>406</v>
      </c>
      <c r="C14250" t="s">
        <v>510</v>
      </c>
      <c r="D14250" t="s">
        <v>525</v>
      </c>
      <c r="E14250" t="s">
        <v>526</v>
      </c>
      <c r="F14250" t="s">
        <v>410</v>
      </c>
      <c r="G14250">
        <v>269</v>
      </c>
      <c r="I14250">
        <v>269</v>
      </c>
    </row>
    <row r="14251" spans="1:17" x14ac:dyDescent="0.2">
      <c r="A14251" s="121">
        <v>43982</v>
      </c>
      <c r="B14251" t="s">
        <v>406</v>
      </c>
      <c r="C14251" t="s">
        <v>510</v>
      </c>
      <c r="D14251" t="s">
        <v>527</v>
      </c>
      <c r="E14251" t="s">
        <v>528</v>
      </c>
      <c r="F14251" t="s">
        <v>410</v>
      </c>
      <c r="G14251">
        <v>1</v>
      </c>
      <c r="I14251">
        <v>1</v>
      </c>
    </row>
    <row r="14252" spans="1:17" x14ac:dyDescent="0.2">
      <c r="A14252" s="121">
        <v>43982</v>
      </c>
      <c r="B14252" t="s">
        <v>406</v>
      </c>
      <c r="C14252" t="s">
        <v>510</v>
      </c>
      <c r="D14252" t="s">
        <v>529</v>
      </c>
      <c r="E14252" t="s">
        <v>530</v>
      </c>
      <c r="F14252" t="s">
        <v>413</v>
      </c>
      <c r="G14252">
        <v>555</v>
      </c>
      <c r="H14252">
        <v>555</v>
      </c>
      <c r="I14252">
        <v>539</v>
      </c>
      <c r="J14252">
        <v>539</v>
      </c>
      <c r="K14252">
        <v>141</v>
      </c>
      <c r="L14252">
        <v>2</v>
      </c>
      <c r="M14252">
        <v>385</v>
      </c>
      <c r="N14252">
        <v>21</v>
      </c>
      <c r="O14252">
        <v>6</v>
      </c>
      <c r="P14252">
        <v>1</v>
      </c>
      <c r="Q14252">
        <v>0</v>
      </c>
    </row>
    <row r="14253" spans="1:17" x14ac:dyDescent="0.2">
      <c r="A14253" s="121">
        <v>43982</v>
      </c>
      <c r="B14253" t="s">
        <v>406</v>
      </c>
      <c r="C14253" t="s">
        <v>510</v>
      </c>
      <c r="D14253" t="s">
        <v>531</v>
      </c>
      <c r="E14253" t="s">
        <v>532</v>
      </c>
      <c r="F14253" t="s">
        <v>410</v>
      </c>
      <c r="G14253">
        <v>21</v>
      </c>
      <c r="I14253">
        <v>21</v>
      </c>
    </row>
    <row r="14254" spans="1:17" x14ac:dyDescent="0.2">
      <c r="A14254" s="121">
        <v>43982</v>
      </c>
      <c r="B14254" t="s">
        <v>406</v>
      </c>
      <c r="C14254" t="s">
        <v>510</v>
      </c>
      <c r="D14254" t="s">
        <v>533</v>
      </c>
      <c r="E14254" t="s">
        <v>534</v>
      </c>
      <c r="F14254" t="s">
        <v>413</v>
      </c>
      <c r="G14254">
        <v>1915</v>
      </c>
      <c r="H14254">
        <v>1915</v>
      </c>
      <c r="I14254">
        <v>1781</v>
      </c>
      <c r="J14254">
        <v>1781</v>
      </c>
      <c r="K14254">
        <v>496</v>
      </c>
      <c r="L14254">
        <v>4</v>
      </c>
      <c r="M14254">
        <v>1289</v>
      </c>
      <c r="N14254">
        <v>15</v>
      </c>
      <c r="O14254">
        <v>111</v>
      </c>
      <c r="P14254">
        <v>3</v>
      </c>
      <c r="Q14254">
        <v>0</v>
      </c>
    </row>
    <row r="14255" spans="1:17" x14ac:dyDescent="0.2">
      <c r="A14255" s="121">
        <v>43982</v>
      </c>
      <c r="B14255" t="s">
        <v>406</v>
      </c>
      <c r="C14255" t="s">
        <v>510</v>
      </c>
      <c r="D14255" t="s">
        <v>535</v>
      </c>
      <c r="E14255" t="s">
        <v>536</v>
      </c>
      <c r="F14255" t="s">
        <v>410</v>
      </c>
      <c r="G14255">
        <v>139</v>
      </c>
      <c r="I14255">
        <v>139</v>
      </c>
    </row>
    <row r="14256" spans="1:17" x14ac:dyDescent="0.2">
      <c r="A14256" s="121">
        <v>43982</v>
      </c>
      <c r="B14256" t="s">
        <v>406</v>
      </c>
      <c r="C14256" t="s">
        <v>510</v>
      </c>
      <c r="D14256" t="s">
        <v>539</v>
      </c>
      <c r="E14256" t="s">
        <v>540</v>
      </c>
      <c r="F14256" t="s">
        <v>413</v>
      </c>
      <c r="G14256">
        <v>330</v>
      </c>
      <c r="H14256">
        <v>330</v>
      </c>
      <c r="I14256">
        <v>306</v>
      </c>
      <c r="J14256">
        <v>306</v>
      </c>
      <c r="K14256">
        <v>74</v>
      </c>
      <c r="L14256">
        <v>0</v>
      </c>
      <c r="M14256">
        <v>241</v>
      </c>
      <c r="N14256">
        <v>11</v>
      </c>
      <c r="O14256">
        <v>4</v>
      </c>
      <c r="P14256">
        <v>0</v>
      </c>
      <c r="Q14256">
        <v>0</v>
      </c>
    </row>
    <row r="14257" spans="1:17" x14ac:dyDescent="0.2">
      <c r="A14257" s="121">
        <v>43982</v>
      </c>
      <c r="B14257" t="s">
        <v>406</v>
      </c>
      <c r="C14257" t="s">
        <v>510</v>
      </c>
      <c r="D14257" t="s">
        <v>541</v>
      </c>
      <c r="E14257" t="s">
        <v>542</v>
      </c>
      <c r="F14257" t="s">
        <v>410</v>
      </c>
      <c r="G14257">
        <v>265</v>
      </c>
      <c r="I14257">
        <v>265</v>
      </c>
    </row>
    <row r="14258" spans="1:17" x14ac:dyDescent="0.2">
      <c r="A14258" s="121">
        <v>43982</v>
      </c>
      <c r="B14258" t="s">
        <v>406</v>
      </c>
      <c r="C14258" t="s">
        <v>510</v>
      </c>
      <c r="D14258" t="s">
        <v>543</v>
      </c>
      <c r="E14258" t="s">
        <v>544</v>
      </c>
      <c r="F14258" t="s">
        <v>410</v>
      </c>
      <c r="G14258">
        <v>5</v>
      </c>
      <c r="I14258">
        <v>5</v>
      </c>
    </row>
    <row r="14259" spans="1:17" x14ac:dyDescent="0.2">
      <c r="A14259" s="121">
        <v>43982</v>
      </c>
      <c r="B14259" t="s">
        <v>406</v>
      </c>
      <c r="C14259" t="s">
        <v>510</v>
      </c>
      <c r="D14259" t="s">
        <v>616</v>
      </c>
      <c r="E14259" t="s">
        <v>617</v>
      </c>
      <c r="F14259" t="s">
        <v>410</v>
      </c>
      <c r="G14259">
        <v>228</v>
      </c>
      <c r="I14259">
        <v>228</v>
      </c>
    </row>
    <row r="14260" spans="1:17" x14ac:dyDescent="0.2">
      <c r="A14260" s="121">
        <v>43982</v>
      </c>
      <c r="B14260" t="s">
        <v>406</v>
      </c>
      <c r="C14260" t="s">
        <v>510</v>
      </c>
      <c r="D14260" t="s">
        <v>549</v>
      </c>
      <c r="E14260" t="s">
        <v>550</v>
      </c>
      <c r="F14260" t="s">
        <v>410</v>
      </c>
      <c r="G14260">
        <v>22</v>
      </c>
      <c r="I14260">
        <v>22</v>
      </c>
    </row>
    <row r="14261" spans="1:17" x14ac:dyDescent="0.2">
      <c r="A14261" s="121">
        <v>43982</v>
      </c>
      <c r="B14261" t="s">
        <v>406</v>
      </c>
      <c r="C14261" t="s">
        <v>510</v>
      </c>
      <c r="D14261" t="s">
        <v>625</v>
      </c>
      <c r="E14261" t="s">
        <v>626</v>
      </c>
      <c r="F14261" t="s">
        <v>410</v>
      </c>
      <c r="G14261">
        <v>42</v>
      </c>
      <c r="I14261">
        <v>42</v>
      </c>
    </row>
    <row r="14262" spans="1:17" x14ac:dyDescent="0.2">
      <c r="A14262" s="121">
        <v>43982</v>
      </c>
      <c r="B14262" t="s">
        <v>406</v>
      </c>
      <c r="C14262" t="s">
        <v>551</v>
      </c>
      <c r="D14262" t="s">
        <v>552</v>
      </c>
      <c r="E14262" t="s">
        <v>553</v>
      </c>
      <c r="F14262" t="s">
        <v>413</v>
      </c>
      <c r="G14262">
        <v>4204</v>
      </c>
      <c r="H14262">
        <v>4204</v>
      </c>
      <c r="I14262">
        <v>4008</v>
      </c>
      <c r="J14262">
        <v>4008</v>
      </c>
      <c r="K14262">
        <v>1300</v>
      </c>
      <c r="L14262">
        <v>1</v>
      </c>
      <c r="M14262">
        <v>2780</v>
      </c>
      <c r="N14262">
        <v>114</v>
      </c>
      <c r="O14262">
        <v>9</v>
      </c>
      <c r="P14262">
        <v>18</v>
      </c>
      <c r="Q14262">
        <v>0</v>
      </c>
    </row>
    <row r="14263" spans="1:17" x14ac:dyDescent="0.2">
      <c r="A14263" s="121">
        <v>43982</v>
      </c>
      <c r="B14263" t="s">
        <v>406</v>
      </c>
      <c r="C14263" t="s">
        <v>551</v>
      </c>
      <c r="D14263" t="s">
        <v>558</v>
      </c>
      <c r="E14263" t="s">
        <v>559</v>
      </c>
      <c r="F14263" t="s">
        <v>413</v>
      </c>
      <c r="G14263">
        <v>3806</v>
      </c>
      <c r="H14263">
        <v>3806</v>
      </c>
      <c r="I14263">
        <v>3531</v>
      </c>
      <c r="J14263">
        <v>3531</v>
      </c>
      <c r="K14263">
        <v>876</v>
      </c>
      <c r="L14263">
        <v>7</v>
      </c>
      <c r="M14263">
        <v>2827</v>
      </c>
      <c r="N14263">
        <v>91</v>
      </c>
      <c r="O14263">
        <v>5</v>
      </c>
      <c r="P14263">
        <v>20</v>
      </c>
      <c r="Q14263">
        <v>3</v>
      </c>
    </row>
    <row r="14264" spans="1:17" x14ac:dyDescent="0.2">
      <c r="A14264" s="121">
        <v>43982</v>
      </c>
      <c r="B14264" t="s">
        <v>406</v>
      </c>
      <c r="C14264" t="s">
        <v>551</v>
      </c>
      <c r="D14264" t="s">
        <v>560</v>
      </c>
      <c r="E14264" t="s">
        <v>561</v>
      </c>
      <c r="F14264" t="s">
        <v>413</v>
      </c>
      <c r="G14264">
        <v>5084</v>
      </c>
      <c r="H14264">
        <v>5084</v>
      </c>
      <c r="I14264">
        <v>4794</v>
      </c>
      <c r="J14264">
        <v>4794</v>
      </c>
      <c r="K14264">
        <v>2035</v>
      </c>
      <c r="L14264">
        <v>1</v>
      </c>
      <c r="M14264">
        <v>2981</v>
      </c>
      <c r="N14264">
        <v>48</v>
      </c>
      <c r="O14264">
        <v>19</v>
      </c>
      <c r="P14264">
        <v>29</v>
      </c>
      <c r="Q14264">
        <v>2</v>
      </c>
    </row>
    <row r="14265" spans="1:17" x14ac:dyDescent="0.2">
      <c r="A14265" s="121">
        <v>43982</v>
      </c>
      <c r="B14265" t="s">
        <v>406</v>
      </c>
      <c r="C14265" t="s">
        <v>562</v>
      </c>
      <c r="D14265" t="s">
        <v>605</v>
      </c>
      <c r="E14265" t="s">
        <v>606</v>
      </c>
      <c r="F14265" t="s">
        <v>410</v>
      </c>
      <c r="G14265">
        <v>77</v>
      </c>
      <c r="I14265">
        <v>77</v>
      </c>
    </row>
    <row r="14266" spans="1:17" x14ac:dyDescent="0.2">
      <c r="A14266" s="121">
        <v>43982</v>
      </c>
      <c r="B14266" t="s">
        <v>406</v>
      </c>
      <c r="C14266" t="s">
        <v>562</v>
      </c>
      <c r="D14266" t="s">
        <v>563</v>
      </c>
      <c r="E14266" t="s">
        <v>564</v>
      </c>
      <c r="F14266" t="s">
        <v>410</v>
      </c>
      <c r="G14266">
        <v>2596</v>
      </c>
      <c r="H14266">
        <v>2596</v>
      </c>
      <c r="I14266">
        <v>2376</v>
      </c>
      <c r="J14266">
        <v>2376</v>
      </c>
      <c r="K14266">
        <v>1009</v>
      </c>
      <c r="L14266">
        <v>0</v>
      </c>
      <c r="M14266">
        <v>1580</v>
      </c>
      <c r="N14266">
        <v>7</v>
      </c>
      <c r="O14266">
        <v>0</v>
      </c>
      <c r="P14266">
        <v>4</v>
      </c>
      <c r="Q14266">
        <v>1</v>
      </c>
    </row>
    <row r="14267" spans="1:17" x14ac:dyDescent="0.2">
      <c r="A14267" s="121">
        <v>43982</v>
      </c>
      <c r="B14267" t="s">
        <v>406</v>
      </c>
      <c r="C14267" t="s">
        <v>562</v>
      </c>
      <c r="D14267" t="s">
        <v>565</v>
      </c>
      <c r="E14267" t="s">
        <v>566</v>
      </c>
      <c r="F14267" t="s">
        <v>413</v>
      </c>
      <c r="G14267">
        <v>3444</v>
      </c>
      <c r="H14267">
        <v>3444</v>
      </c>
      <c r="I14267">
        <v>3303</v>
      </c>
      <c r="J14267">
        <v>3303</v>
      </c>
      <c r="K14267">
        <v>755</v>
      </c>
      <c r="L14267">
        <v>4</v>
      </c>
      <c r="M14267">
        <v>2660</v>
      </c>
      <c r="N14267">
        <v>20</v>
      </c>
      <c r="O14267">
        <v>5</v>
      </c>
      <c r="P14267">
        <v>1</v>
      </c>
      <c r="Q14267">
        <v>0</v>
      </c>
    </row>
    <row r="14268" spans="1:17" x14ac:dyDescent="0.2">
      <c r="A14268" s="121">
        <v>43982</v>
      </c>
      <c r="B14268" t="s">
        <v>406</v>
      </c>
      <c r="C14268" t="s">
        <v>562</v>
      </c>
      <c r="D14268" t="s">
        <v>567</v>
      </c>
      <c r="E14268" t="s">
        <v>568</v>
      </c>
      <c r="F14268" t="s">
        <v>413</v>
      </c>
      <c r="G14268">
        <v>7557</v>
      </c>
      <c r="H14268">
        <v>7557</v>
      </c>
      <c r="I14268">
        <v>7241</v>
      </c>
      <c r="J14268">
        <v>7241</v>
      </c>
      <c r="K14268">
        <v>2886</v>
      </c>
      <c r="L14268">
        <v>1</v>
      </c>
      <c r="M14268">
        <v>4593</v>
      </c>
      <c r="N14268">
        <v>67</v>
      </c>
      <c r="O14268">
        <v>10</v>
      </c>
      <c r="P14268">
        <v>19</v>
      </c>
      <c r="Q14268">
        <v>2</v>
      </c>
    </row>
    <row r="14269" spans="1:17" x14ac:dyDescent="0.2">
      <c r="A14269" s="121">
        <v>43982</v>
      </c>
      <c r="B14269" t="s">
        <v>406</v>
      </c>
      <c r="C14269" t="s">
        <v>562</v>
      </c>
      <c r="D14269" t="s">
        <v>569</v>
      </c>
      <c r="E14269" t="s">
        <v>570</v>
      </c>
      <c r="F14269" t="s">
        <v>413</v>
      </c>
      <c r="G14269">
        <v>2476</v>
      </c>
      <c r="H14269">
        <v>2476</v>
      </c>
      <c r="I14269">
        <v>2430</v>
      </c>
      <c r="J14269">
        <v>2430</v>
      </c>
      <c r="K14269">
        <v>280</v>
      </c>
      <c r="L14269">
        <v>0</v>
      </c>
      <c r="M14269">
        <v>2071</v>
      </c>
      <c r="N14269">
        <v>91</v>
      </c>
      <c r="O14269">
        <v>34</v>
      </c>
      <c r="P14269">
        <v>0</v>
      </c>
      <c r="Q14269">
        <v>0</v>
      </c>
    </row>
    <row r="14270" spans="1:17" x14ac:dyDescent="0.2">
      <c r="A14270" s="121">
        <v>43982</v>
      </c>
      <c r="B14270" t="s">
        <v>406</v>
      </c>
      <c r="C14270" t="s">
        <v>571</v>
      </c>
      <c r="D14270" t="s">
        <v>572</v>
      </c>
      <c r="E14270" t="s">
        <v>627</v>
      </c>
      <c r="F14270" t="s">
        <v>413</v>
      </c>
      <c r="G14270">
        <v>357</v>
      </c>
      <c r="H14270">
        <v>357</v>
      </c>
      <c r="I14270">
        <v>348</v>
      </c>
      <c r="J14270">
        <v>348</v>
      </c>
      <c r="K14270">
        <v>112</v>
      </c>
      <c r="L14270">
        <v>0</v>
      </c>
      <c r="M14270">
        <v>241</v>
      </c>
      <c r="N14270">
        <v>3</v>
      </c>
      <c r="O14270">
        <v>1</v>
      </c>
      <c r="P14270">
        <v>1</v>
      </c>
      <c r="Q14270">
        <v>0</v>
      </c>
    </row>
    <row r="14271" spans="1:17" x14ac:dyDescent="0.2">
      <c r="A14271" s="121">
        <v>43982</v>
      </c>
      <c r="B14271" t="s">
        <v>406</v>
      </c>
      <c r="C14271" t="s">
        <v>574</v>
      </c>
      <c r="D14271" t="s">
        <v>575</v>
      </c>
      <c r="E14271" t="s">
        <v>576</v>
      </c>
      <c r="F14271" t="s">
        <v>413</v>
      </c>
      <c r="G14271">
        <v>371</v>
      </c>
      <c r="H14271">
        <v>371</v>
      </c>
      <c r="I14271">
        <v>367</v>
      </c>
      <c r="J14271">
        <v>367</v>
      </c>
      <c r="K14271">
        <v>104</v>
      </c>
      <c r="L14271">
        <v>0</v>
      </c>
      <c r="M14271">
        <v>264</v>
      </c>
      <c r="N14271">
        <v>0</v>
      </c>
      <c r="O14271">
        <v>3</v>
      </c>
      <c r="P14271">
        <v>0</v>
      </c>
      <c r="Q14271">
        <v>0</v>
      </c>
    </row>
    <row r="14272" spans="1:17" x14ac:dyDescent="0.2">
      <c r="A14272" s="121">
        <v>43982</v>
      </c>
      <c r="B14272" t="s">
        <v>406</v>
      </c>
      <c r="C14272" t="s">
        <v>577</v>
      </c>
      <c r="D14272" t="s">
        <v>578</v>
      </c>
      <c r="E14272" t="s">
        <v>579</v>
      </c>
      <c r="F14272" t="s">
        <v>413</v>
      </c>
      <c r="G14272">
        <v>3128</v>
      </c>
      <c r="H14272">
        <v>3128</v>
      </c>
      <c r="I14272">
        <v>3048</v>
      </c>
      <c r="J14272">
        <v>3048</v>
      </c>
      <c r="K14272">
        <v>1127</v>
      </c>
      <c r="L14272">
        <v>9</v>
      </c>
      <c r="M14272">
        <v>1865</v>
      </c>
      <c r="N14272">
        <v>109</v>
      </c>
      <c r="O14272">
        <v>18</v>
      </c>
      <c r="P14272">
        <v>2</v>
      </c>
      <c r="Q14272">
        <v>0</v>
      </c>
    </row>
    <row r="14273" spans="1:17" x14ac:dyDescent="0.2">
      <c r="A14273" s="121">
        <v>43982</v>
      </c>
      <c r="B14273" t="s">
        <v>406</v>
      </c>
      <c r="C14273" t="s">
        <v>577</v>
      </c>
      <c r="D14273" t="s">
        <v>580</v>
      </c>
      <c r="E14273" t="s">
        <v>581</v>
      </c>
      <c r="F14273" t="s">
        <v>413</v>
      </c>
      <c r="G14273">
        <v>1336</v>
      </c>
      <c r="H14273">
        <v>1336</v>
      </c>
      <c r="I14273">
        <v>1290</v>
      </c>
      <c r="J14273">
        <v>1290</v>
      </c>
      <c r="K14273">
        <v>308</v>
      </c>
      <c r="L14273">
        <v>0</v>
      </c>
      <c r="M14273">
        <v>899</v>
      </c>
      <c r="N14273">
        <v>115</v>
      </c>
      <c r="O14273">
        <v>14</v>
      </c>
      <c r="P14273">
        <v>1</v>
      </c>
      <c r="Q14273">
        <v>0</v>
      </c>
    </row>
    <row r="14274" spans="1:17" x14ac:dyDescent="0.2">
      <c r="A14274" s="121">
        <v>43982</v>
      </c>
      <c r="B14274" t="s">
        <v>406</v>
      </c>
      <c r="C14274" t="s">
        <v>577</v>
      </c>
      <c r="D14274" t="s">
        <v>586</v>
      </c>
      <c r="E14274" t="s">
        <v>587</v>
      </c>
      <c r="F14274" t="s">
        <v>410</v>
      </c>
      <c r="G14274">
        <v>457</v>
      </c>
      <c r="H14274">
        <v>457</v>
      </c>
      <c r="I14274">
        <v>457</v>
      </c>
      <c r="J14274">
        <v>457</v>
      </c>
      <c r="K14274">
        <v>0</v>
      </c>
      <c r="L14274">
        <v>2</v>
      </c>
      <c r="M14274">
        <v>406</v>
      </c>
      <c r="N14274">
        <v>49</v>
      </c>
      <c r="O14274">
        <v>0</v>
      </c>
      <c r="P14274">
        <v>0</v>
      </c>
      <c r="Q14274">
        <v>0</v>
      </c>
    </row>
    <row r="14275" spans="1:17" x14ac:dyDescent="0.2">
      <c r="A14275" s="121">
        <v>43982</v>
      </c>
      <c r="B14275" t="s">
        <v>406</v>
      </c>
      <c r="C14275" t="s">
        <v>577</v>
      </c>
      <c r="D14275" t="s">
        <v>590</v>
      </c>
      <c r="E14275" t="s">
        <v>591</v>
      </c>
      <c r="F14275" t="s">
        <v>410</v>
      </c>
      <c r="G14275">
        <v>193</v>
      </c>
      <c r="H14275">
        <v>193</v>
      </c>
      <c r="I14275">
        <v>193</v>
      </c>
      <c r="J14275">
        <v>193</v>
      </c>
      <c r="K14275">
        <v>0</v>
      </c>
      <c r="L14275">
        <v>0</v>
      </c>
      <c r="M14275">
        <v>174</v>
      </c>
      <c r="N14275">
        <v>19</v>
      </c>
      <c r="O14275">
        <v>0</v>
      </c>
      <c r="P14275">
        <v>0</v>
      </c>
      <c r="Q14275">
        <v>0</v>
      </c>
    </row>
    <row r="14276" spans="1:17" x14ac:dyDescent="0.2">
      <c r="A14276" s="121">
        <v>43982</v>
      </c>
      <c r="B14276" t="s">
        <v>406</v>
      </c>
      <c r="C14276" t="s">
        <v>594</v>
      </c>
      <c r="D14276" t="s">
        <v>595</v>
      </c>
      <c r="E14276" t="s">
        <v>596</v>
      </c>
      <c r="F14276" t="s">
        <v>410</v>
      </c>
      <c r="G14276">
        <v>21</v>
      </c>
      <c r="I14276">
        <v>21</v>
      </c>
    </row>
    <row r="14277" spans="1:17" x14ac:dyDescent="0.2">
      <c r="A14277" s="121">
        <v>43982</v>
      </c>
      <c r="B14277" t="s">
        <v>406</v>
      </c>
      <c r="C14277" t="s">
        <v>594</v>
      </c>
      <c r="D14277" t="s">
        <v>597</v>
      </c>
      <c r="E14277" t="s">
        <v>598</v>
      </c>
      <c r="F14277" t="s">
        <v>413</v>
      </c>
      <c r="G14277">
        <v>278</v>
      </c>
      <c r="H14277">
        <v>278</v>
      </c>
      <c r="I14277">
        <v>270</v>
      </c>
      <c r="J14277">
        <v>270</v>
      </c>
      <c r="K14277">
        <v>76</v>
      </c>
      <c r="L14277">
        <v>0</v>
      </c>
      <c r="M14277">
        <v>198</v>
      </c>
      <c r="N14277">
        <v>1</v>
      </c>
      <c r="O14277">
        <v>3</v>
      </c>
      <c r="P14277">
        <v>0</v>
      </c>
      <c r="Q14277">
        <v>0</v>
      </c>
    </row>
    <row r="14278" spans="1:17" x14ac:dyDescent="0.2">
      <c r="A14278" s="121">
        <v>43982</v>
      </c>
      <c r="B14278" t="s">
        <v>406</v>
      </c>
      <c r="C14278" t="s">
        <v>594</v>
      </c>
      <c r="D14278" t="s">
        <v>599</v>
      </c>
      <c r="E14278" t="s">
        <v>600</v>
      </c>
      <c r="F14278" t="s">
        <v>410</v>
      </c>
      <c r="G14278">
        <v>79</v>
      </c>
      <c r="H14278">
        <v>79</v>
      </c>
      <c r="I14278">
        <v>79</v>
      </c>
      <c r="J14278">
        <v>79</v>
      </c>
      <c r="K14278">
        <v>6</v>
      </c>
      <c r="L14278">
        <v>0</v>
      </c>
      <c r="M14278">
        <v>72</v>
      </c>
      <c r="N14278">
        <v>0</v>
      </c>
      <c r="O14278">
        <v>1</v>
      </c>
      <c r="P14278">
        <v>0</v>
      </c>
      <c r="Q14278">
        <v>0</v>
      </c>
    </row>
    <row r="14279" spans="1:17" x14ac:dyDescent="0.2">
      <c r="A14279" s="121">
        <v>44012</v>
      </c>
      <c r="B14279" t="s">
        <v>406</v>
      </c>
      <c r="C14279" t="s">
        <v>407</v>
      </c>
      <c r="D14279" t="s">
        <v>408</v>
      </c>
      <c r="E14279" t="s">
        <v>409</v>
      </c>
      <c r="F14279" t="s">
        <v>410</v>
      </c>
      <c r="G14279">
        <v>109</v>
      </c>
      <c r="I14279">
        <v>106</v>
      </c>
    </row>
    <row r="14280" spans="1:17" x14ac:dyDescent="0.2">
      <c r="A14280" s="121">
        <v>44012</v>
      </c>
      <c r="B14280" t="s">
        <v>406</v>
      </c>
      <c r="C14280" t="s">
        <v>407</v>
      </c>
      <c r="D14280" t="s">
        <v>601</v>
      </c>
      <c r="E14280" t="s">
        <v>602</v>
      </c>
      <c r="F14280" t="s">
        <v>410</v>
      </c>
      <c r="G14280">
        <v>32</v>
      </c>
      <c r="I14280">
        <v>32</v>
      </c>
    </row>
    <row r="14281" spans="1:17" x14ac:dyDescent="0.2">
      <c r="A14281" s="121">
        <v>44012</v>
      </c>
      <c r="B14281" t="s">
        <v>406</v>
      </c>
      <c r="C14281" t="s">
        <v>407</v>
      </c>
      <c r="D14281" t="s">
        <v>411</v>
      </c>
      <c r="E14281" t="s">
        <v>412</v>
      </c>
      <c r="F14281" t="s">
        <v>413</v>
      </c>
      <c r="G14281">
        <v>5247</v>
      </c>
      <c r="H14281">
        <v>5247</v>
      </c>
      <c r="I14281">
        <v>5075</v>
      </c>
      <c r="J14281">
        <v>5075</v>
      </c>
      <c r="K14281">
        <v>2151</v>
      </c>
      <c r="L14281">
        <v>7</v>
      </c>
      <c r="M14281">
        <v>2783</v>
      </c>
      <c r="N14281">
        <v>35</v>
      </c>
      <c r="O14281">
        <v>271</v>
      </c>
      <c r="P14281">
        <v>8</v>
      </c>
      <c r="Q14281">
        <v>0</v>
      </c>
    </row>
    <row r="14282" spans="1:17" x14ac:dyDescent="0.2">
      <c r="A14282" s="121">
        <v>44012</v>
      </c>
      <c r="B14282" t="s">
        <v>406</v>
      </c>
      <c r="C14282" t="s">
        <v>407</v>
      </c>
      <c r="D14282" t="s">
        <v>416</v>
      </c>
      <c r="E14282" t="s">
        <v>417</v>
      </c>
      <c r="F14282" t="s">
        <v>413</v>
      </c>
      <c r="G14282">
        <v>2470</v>
      </c>
      <c r="H14282">
        <v>2470</v>
      </c>
      <c r="I14282">
        <v>2356</v>
      </c>
      <c r="J14282">
        <v>2356</v>
      </c>
      <c r="K14282">
        <v>763</v>
      </c>
      <c r="L14282">
        <v>5</v>
      </c>
      <c r="M14282">
        <v>1606</v>
      </c>
      <c r="N14282">
        <v>52</v>
      </c>
      <c r="O14282">
        <v>44</v>
      </c>
      <c r="P14282">
        <v>6</v>
      </c>
      <c r="Q14282">
        <v>0</v>
      </c>
    </row>
    <row r="14283" spans="1:17" x14ac:dyDescent="0.2">
      <c r="A14283" s="121">
        <v>44012</v>
      </c>
      <c r="B14283" t="s">
        <v>406</v>
      </c>
      <c r="C14283" t="s">
        <v>407</v>
      </c>
      <c r="D14283" t="s">
        <v>618</v>
      </c>
      <c r="E14283" t="s">
        <v>619</v>
      </c>
      <c r="F14283" t="s">
        <v>410</v>
      </c>
      <c r="G14283">
        <v>46</v>
      </c>
      <c r="I14283">
        <v>46</v>
      </c>
    </row>
    <row r="14284" spans="1:17" x14ac:dyDescent="0.2">
      <c r="A14284" s="121">
        <v>44012</v>
      </c>
      <c r="B14284" t="s">
        <v>406</v>
      </c>
      <c r="C14284" t="s">
        <v>418</v>
      </c>
      <c r="D14284" t="s">
        <v>427</v>
      </c>
      <c r="E14284" t="s">
        <v>428</v>
      </c>
      <c r="F14284" t="s">
        <v>413</v>
      </c>
      <c r="G14284">
        <v>2150</v>
      </c>
      <c r="H14284">
        <v>2150</v>
      </c>
      <c r="I14284">
        <v>1898</v>
      </c>
      <c r="J14284">
        <v>1898</v>
      </c>
      <c r="K14284">
        <v>756</v>
      </c>
      <c r="L14284">
        <v>2</v>
      </c>
      <c r="M14284">
        <v>1306</v>
      </c>
      <c r="N14284">
        <v>77</v>
      </c>
      <c r="O14284">
        <v>9</v>
      </c>
      <c r="P14284">
        <v>35</v>
      </c>
      <c r="Q14284">
        <v>8</v>
      </c>
    </row>
    <row r="14285" spans="1:17" x14ac:dyDescent="0.2">
      <c r="A14285" s="121">
        <v>44012</v>
      </c>
      <c r="B14285" t="s">
        <v>406</v>
      </c>
      <c r="C14285" t="s">
        <v>429</v>
      </c>
      <c r="D14285" t="s">
        <v>438</v>
      </c>
      <c r="E14285" t="s">
        <v>439</v>
      </c>
      <c r="F14285" t="s">
        <v>413</v>
      </c>
      <c r="G14285">
        <v>875</v>
      </c>
      <c r="H14285">
        <v>875</v>
      </c>
      <c r="I14285">
        <v>798</v>
      </c>
      <c r="J14285">
        <v>798</v>
      </c>
      <c r="K14285">
        <v>92</v>
      </c>
      <c r="L14285">
        <v>0</v>
      </c>
      <c r="M14285">
        <v>691</v>
      </c>
      <c r="N14285">
        <v>64</v>
      </c>
      <c r="O14285">
        <v>28</v>
      </c>
      <c r="P14285">
        <v>9</v>
      </c>
      <c r="Q14285">
        <v>1</v>
      </c>
    </row>
    <row r="14286" spans="1:17" x14ac:dyDescent="0.2">
      <c r="A14286" s="121">
        <v>44012</v>
      </c>
      <c r="B14286" t="s">
        <v>406</v>
      </c>
      <c r="C14286" t="s">
        <v>429</v>
      </c>
      <c r="D14286" t="s">
        <v>440</v>
      </c>
      <c r="E14286" t="s">
        <v>441</v>
      </c>
      <c r="F14286" t="s">
        <v>413</v>
      </c>
      <c r="G14286">
        <v>2191</v>
      </c>
      <c r="H14286">
        <v>2191</v>
      </c>
      <c r="I14286">
        <v>2100</v>
      </c>
      <c r="J14286">
        <v>2100</v>
      </c>
      <c r="K14286">
        <v>625</v>
      </c>
      <c r="L14286">
        <v>1</v>
      </c>
      <c r="M14286">
        <v>1496</v>
      </c>
      <c r="N14286">
        <v>29</v>
      </c>
      <c r="O14286">
        <v>40</v>
      </c>
      <c r="P14286">
        <v>1</v>
      </c>
      <c r="Q14286">
        <v>0</v>
      </c>
    </row>
    <row r="14287" spans="1:17" x14ac:dyDescent="0.2">
      <c r="A14287" s="121">
        <v>44012</v>
      </c>
      <c r="B14287" t="s">
        <v>406</v>
      </c>
      <c r="C14287" t="s">
        <v>442</v>
      </c>
      <c r="D14287" t="s">
        <v>443</v>
      </c>
      <c r="E14287" t="s">
        <v>444</v>
      </c>
      <c r="F14287" t="s">
        <v>413</v>
      </c>
      <c r="G14287">
        <v>4358</v>
      </c>
      <c r="H14287">
        <v>4358</v>
      </c>
      <c r="I14287">
        <v>4175</v>
      </c>
      <c r="J14287">
        <v>4175</v>
      </c>
      <c r="K14287">
        <v>1408</v>
      </c>
      <c r="L14287">
        <v>3</v>
      </c>
      <c r="M14287">
        <v>2882</v>
      </c>
      <c r="N14287">
        <v>29</v>
      </c>
      <c r="O14287">
        <v>36</v>
      </c>
      <c r="P14287">
        <v>2</v>
      </c>
      <c r="Q14287">
        <v>0</v>
      </c>
    </row>
    <row r="14288" spans="1:17" x14ac:dyDescent="0.2">
      <c r="A14288" s="121">
        <v>44012</v>
      </c>
      <c r="B14288" t="s">
        <v>406</v>
      </c>
      <c r="C14288" t="s">
        <v>442</v>
      </c>
      <c r="D14288" t="s">
        <v>445</v>
      </c>
      <c r="E14288" t="s">
        <v>446</v>
      </c>
      <c r="F14288" t="s">
        <v>410</v>
      </c>
      <c r="G14288">
        <v>139</v>
      </c>
      <c r="H14288">
        <v>139</v>
      </c>
      <c r="I14288">
        <v>139</v>
      </c>
      <c r="J14288">
        <v>139</v>
      </c>
      <c r="K14288">
        <v>1</v>
      </c>
      <c r="L14288">
        <v>0</v>
      </c>
      <c r="M14288">
        <v>128</v>
      </c>
      <c r="N14288">
        <v>2</v>
      </c>
      <c r="O14288">
        <v>8</v>
      </c>
      <c r="P14288">
        <v>0</v>
      </c>
      <c r="Q14288">
        <v>0</v>
      </c>
    </row>
    <row r="14289" spans="1:17" x14ac:dyDescent="0.2">
      <c r="A14289" s="121">
        <v>44012</v>
      </c>
      <c r="B14289" t="s">
        <v>406</v>
      </c>
      <c r="C14289" t="s">
        <v>442</v>
      </c>
      <c r="D14289" t="s">
        <v>447</v>
      </c>
      <c r="E14289" t="s">
        <v>448</v>
      </c>
      <c r="F14289" t="s">
        <v>410</v>
      </c>
      <c r="G14289">
        <v>172</v>
      </c>
      <c r="H14289">
        <v>172</v>
      </c>
      <c r="I14289">
        <v>172</v>
      </c>
      <c r="J14289">
        <v>172</v>
      </c>
      <c r="K14289">
        <v>1</v>
      </c>
      <c r="L14289">
        <v>0</v>
      </c>
      <c r="M14289">
        <v>170</v>
      </c>
      <c r="N14289">
        <v>1</v>
      </c>
      <c r="O14289">
        <v>0</v>
      </c>
      <c r="P14289">
        <v>0</v>
      </c>
      <c r="Q14289">
        <v>0</v>
      </c>
    </row>
    <row r="14290" spans="1:17" x14ac:dyDescent="0.2">
      <c r="A14290" s="121">
        <v>44012</v>
      </c>
      <c r="B14290" t="s">
        <v>406</v>
      </c>
      <c r="C14290" t="s">
        <v>442</v>
      </c>
      <c r="D14290" t="s">
        <v>449</v>
      </c>
      <c r="E14290" t="s">
        <v>624</v>
      </c>
      <c r="F14290" t="s">
        <v>410</v>
      </c>
      <c r="G14290">
        <v>1144</v>
      </c>
      <c r="H14290">
        <v>1144</v>
      </c>
      <c r="I14290">
        <v>1143</v>
      </c>
      <c r="J14290">
        <v>1143</v>
      </c>
      <c r="K14290">
        <v>12</v>
      </c>
      <c r="L14290">
        <v>0</v>
      </c>
      <c r="M14290">
        <v>1077</v>
      </c>
      <c r="N14290">
        <v>51</v>
      </c>
      <c r="O14290">
        <v>4</v>
      </c>
      <c r="P14290">
        <v>0</v>
      </c>
      <c r="Q14290">
        <v>0</v>
      </c>
    </row>
    <row r="14291" spans="1:17" x14ac:dyDescent="0.2">
      <c r="A14291" s="121">
        <v>44012</v>
      </c>
      <c r="B14291" t="s">
        <v>406</v>
      </c>
      <c r="C14291" t="s">
        <v>451</v>
      </c>
      <c r="D14291" t="s">
        <v>454</v>
      </c>
      <c r="E14291" t="s">
        <v>621</v>
      </c>
      <c r="F14291" t="s">
        <v>410</v>
      </c>
      <c r="G14291">
        <v>2025</v>
      </c>
      <c r="H14291">
        <v>2025</v>
      </c>
      <c r="I14291">
        <v>2017</v>
      </c>
      <c r="J14291">
        <v>2017</v>
      </c>
      <c r="K14291">
        <v>8</v>
      </c>
      <c r="L14291">
        <v>0</v>
      </c>
      <c r="M14291">
        <v>1873</v>
      </c>
      <c r="N14291">
        <v>1</v>
      </c>
      <c r="O14291">
        <v>143</v>
      </c>
      <c r="P14291">
        <v>0</v>
      </c>
      <c r="Q14291">
        <v>0</v>
      </c>
    </row>
    <row r="14292" spans="1:17" x14ac:dyDescent="0.2">
      <c r="A14292" s="121">
        <v>44012</v>
      </c>
      <c r="B14292" t="s">
        <v>406</v>
      </c>
      <c r="C14292" t="s">
        <v>451</v>
      </c>
      <c r="D14292" t="s">
        <v>622</v>
      </c>
      <c r="E14292" t="s">
        <v>623</v>
      </c>
      <c r="F14292" t="s">
        <v>413</v>
      </c>
      <c r="G14292">
        <v>3834</v>
      </c>
      <c r="H14292">
        <v>3834</v>
      </c>
      <c r="I14292">
        <v>3679</v>
      </c>
      <c r="J14292">
        <v>3679</v>
      </c>
      <c r="K14292">
        <v>1364</v>
      </c>
      <c r="L14292">
        <v>8</v>
      </c>
      <c r="M14292">
        <v>2352</v>
      </c>
      <c r="N14292">
        <v>25</v>
      </c>
      <c r="O14292">
        <v>85</v>
      </c>
      <c r="P14292">
        <v>6</v>
      </c>
      <c r="Q14292">
        <v>0</v>
      </c>
    </row>
    <row r="14293" spans="1:17" x14ac:dyDescent="0.2">
      <c r="A14293" s="121">
        <v>44012</v>
      </c>
      <c r="B14293" t="s">
        <v>406</v>
      </c>
      <c r="C14293" t="s">
        <v>456</v>
      </c>
      <c r="D14293" t="s">
        <v>457</v>
      </c>
      <c r="E14293" t="s">
        <v>458</v>
      </c>
      <c r="F14293" t="s">
        <v>413</v>
      </c>
      <c r="G14293">
        <v>3740</v>
      </c>
      <c r="H14293">
        <v>3740</v>
      </c>
      <c r="I14293">
        <v>3531</v>
      </c>
      <c r="J14293">
        <v>3531</v>
      </c>
      <c r="K14293">
        <v>1594</v>
      </c>
      <c r="L14293">
        <v>5</v>
      </c>
      <c r="M14293">
        <v>1959</v>
      </c>
      <c r="N14293">
        <v>10</v>
      </c>
      <c r="O14293">
        <v>172</v>
      </c>
      <c r="P14293">
        <v>5</v>
      </c>
      <c r="Q14293">
        <v>1</v>
      </c>
    </row>
    <row r="14294" spans="1:17" x14ac:dyDescent="0.2">
      <c r="A14294" s="121">
        <v>44012</v>
      </c>
      <c r="B14294" t="s">
        <v>406</v>
      </c>
      <c r="C14294" t="s">
        <v>456</v>
      </c>
      <c r="D14294" t="s">
        <v>459</v>
      </c>
      <c r="E14294" t="s">
        <v>460</v>
      </c>
      <c r="F14294" t="s">
        <v>413</v>
      </c>
      <c r="G14294">
        <v>816</v>
      </c>
      <c r="H14294">
        <v>816</v>
      </c>
      <c r="I14294">
        <v>804</v>
      </c>
      <c r="J14294">
        <v>804</v>
      </c>
      <c r="K14294">
        <v>78</v>
      </c>
      <c r="L14294">
        <v>1</v>
      </c>
      <c r="M14294">
        <v>733</v>
      </c>
      <c r="N14294">
        <v>0</v>
      </c>
      <c r="O14294">
        <v>4</v>
      </c>
      <c r="P14294">
        <v>0</v>
      </c>
      <c r="Q14294">
        <v>0</v>
      </c>
    </row>
    <row r="14295" spans="1:17" x14ac:dyDescent="0.2">
      <c r="A14295" s="121">
        <v>44012</v>
      </c>
      <c r="B14295" t="s">
        <v>406</v>
      </c>
      <c r="C14295" t="s">
        <v>456</v>
      </c>
      <c r="D14295" t="s">
        <v>467</v>
      </c>
      <c r="E14295" t="s">
        <v>468</v>
      </c>
      <c r="F14295" t="s">
        <v>410</v>
      </c>
      <c r="G14295">
        <v>649</v>
      </c>
      <c r="I14295">
        <v>647</v>
      </c>
    </row>
    <row r="14296" spans="1:17" x14ac:dyDescent="0.2">
      <c r="A14296" s="121">
        <v>44012</v>
      </c>
      <c r="B14296" t="s">
        <v>406</v>
      </c>
      <c r="C14296" t="s">
        <v>456</v>
      </c>
      <c r="D14296" t="s">
        <v>469</v>
      </c>
      <c r="E14296" t="s">
        <v>470</v>
      </c>
      <c r="F14296" t="s">
        <v>410</v>
      </c>
      <c r="G14296">
        <v>429</v>
      </c>
      <c r="I14296">
        <v>429</v>
      </c>
    </row>
    <row r="14297" spans="1:17" x14ac:dyDescent="0.2">
      <c r="A14297" s="121">
        <v>44012</v>
      </c>
      <c r="B14297" t="s">
        <v>406</v>
      </c>
      <c r="C14297" t="s">
        <v>456</v>
      </c>
      <c r="D14297" t="s">
        <v>471</v>
      </c>
      <c r="E14297" t="s">
        <v>472</v>
      </c>
      <c r="F14297" t="s">
        <v>410</v>
      </c>
      <c r="G14297">
        <v>233</v>
      </c>
      <c r="I14297">
        <v>232</v>
      </c>
    </row>
    <row r="14298" spans="1:17" x14ac:dyDescent="0.2">
      <c r="A14298" s="121">
        <v>44012</v>
      </c>
      <c r="B14298" t="s">
        <v>406</v>
      </c>
      <c r="C14298" t="s">
        <v>456</v>
      </c>
      <c r="D14298" t="s">
        <v>477</v>
      </c>
      <c r="E14298" t="s">
        <v>478</v>
      </c>
      <c r="F14298" t="s">
        <v>413</v>
      </c>
      <c r="G14298">
        <v>1611</v>
      </c>
      <c r="H14298">
        <v>1611</v>
      </c>
      <c r="I14298">
        <v>1538</v>
      </c>
      <c r="J14298">
        <v>1538</v>
      </c>
      <c r="K14298">
        <v>416</v>
      </c>
      <c r="L14298">
        <v>2</v>
      </c>
      <c r="M14298">
        <v>1186</v>
      </c>
      <c r="N14298">
        <v>6</v>
      </c>
      <c r="O14298">
        <v>1</v>
      </c>
      <c r="P14298">
        <v>4</v>
      </c>
      <c r="Q14298">
        <v>0</v>
      </c>
    </row>
    <row r="14299" spans="1:17" x14ac:dyDescent="0.2">
      <c r="A14299" s="121">
        <v>44012</v>
      </c>
      <c r="B14299" t="s">
        <v>406</v>
      </c>
      <c r="C14299" t="s">
        <v>491</v>
      </c>
      <c r="D14299" t="s">
        <v>492</v>
      </c>
      <c r="E14299" t="s">
        <v>493</v>
      </c>
      <c r="F14299" t="s">
        <v>410</v>
      </c>
      <c r="G14299">
        <v>892</v>
      </c>
      <c r="H14299">
        <v>892</v>
      </c>
      <c r="I14299">
        <v>869</v>
      </c>
      <c r="J14299">
        <v>869</v>
      </c>
      <c r="K14299">
        <v>83</v>
      </c>
      <c r="L14299">
        <v>0</v>
      </c>
      <c r="M14299">
        <v>762</v>
      </c>
      <c r="N14299">
        <v>41</v>
      </c>
      <c r="O14299">
        <v>6</v>
      </c>
      <c r="P14299">
        <v>2</v>
      </c>
      <c r="Q14299">
        <v>0</v>
      </c>
    </row>
    <row r="14300" spans="1:17" x14ac:dyDescent="0.2">
      <c r="A14300" s="121">
        <v>44012</v>
      </c>
      <c r="B14300" t="s">
        <v>406</v>
      </c>
      <c r="C14300" t="s">
        <v>491</v>
      </c>
      <c r="D14300" t="s">
        <v>494</v>
      </c>
      <c r="E14300" t="s">
        <v>495</v>
      </c>
      <c r="F14300" t="s">
        <v>413</v>
      </c>
      <c r="G14300">
        <v>1854</v>
      </c>
      <c r="H14300">
        <v>1854</v>
      </c>
      <c r="I14300">
        <v>1776</v>
      </c>
      <c r="J14300">
        <v>1776</v>
      </c>
      <c r="K14300">
        <v>370</v>
      </c>
      <c r="L14300">
        <v>9</v>
      </c>
      <c r="M14300">
        <v>1397</v>
      </c>
      <c r="N14300">
        <v>32</v>
      </c>
      <c r="O14300">
        <v>46</v>
      </c>
      <c r="P14300">
        <v>3</v>
      </c>
      <c r="Q14300">
        <v>0</v>
      </c>
    </row>
    <row r="14301" spans="1:17" x14ac:dyDescent="0.2">
      <c r="A14301" s="121">
        <v>44012</v>
      </c>
      <c r="B14301" t="s">
        <v>406</v>
      </c>
      <c r="C14301" t="s">
        <v>491</v>
      </c>
      <c r="D14301" t="s">
        <v>496</v>
      </c>
      <c r="E14301" t="s">
        <v>497</v>
      </c>
      <c r="F14301" t="s">
        <v>413</v>
      </c>
      <c r="G14301">
        <v>3798</v>
      </c>
      <c r="H14301">
        <v>3798</v>
      </c>
      <c r="I14301">
        <v>3620</v>
      </c>
      <c r="J14301">
        <v>3620</v>
      </c>
      <c r="K14301">
        <v>1064</v>
      </c>
      <c r="L14301">
        <v>5</v>
      </c>
      <c r="M14301">
        <v>2571</v>
      </c>
      <c r="N14301">
        <v>89</v>
      </c>
      <c r="O14301">
        <v>69</v>
      </c>
      <c r="P14301">
        <v>10</v>
      </c>
      <c r="Q14301">
        <v>0</v>
      </c>
    </row>
    <row r="14302" spans="1:17" x14ac:dyDescent="0.2">
      <c r="A14302" s="121">
        <v>44012</v>
      </c>
      <c r="B14302" t="s">
        <v>406</v>
      </c>
      <c r="C14302" t="s">
        <v>491</v>
      </c>
      <c r="D14302" t="s">
        <v>498</v>
      </c>
      <c r="E14302" t="s">
        <v>499</v>
      </c>
      <c r="F14302" t="s">
        <v>413</v>
      </c>
      <c r="G14302">
        <v>5484</v>
      </c>
      <c r="H14302">
        <v>5484</v>
      </c>
      <c r="I14302">
        <v>5244</v>
      </c>
      <c r="J14302">
        <v>5244</v>
      </c>
      <c r="K14302">
        <v>1818</v>
      </c>
      <c r="L14302">
        <v>17</v>
      </c>
      <c r="M14302">
        <v>3380</v>
      </c>
      <c r="N14302">
        <v>119</v>
      </c>
      <c r="O14302">
        <v>150</v>
      </c>
      <c r="P14302">
        <v>5</v>
      </c>
      <c r="Q14302">
        <v>0</v>
      </c>
    </row>
    <row r="14303" spans="1:17" x14ac:dyDescent="0.2">
      <c r="A14303" s="121">
        <v>44012</v>
      </c>
      <c r="B14303" t="s">
        <v>406</v>
      </c>
      <c r="C14303" t="s">
        <v>491</v>
      </c>
      <c r="D14303" t="s">
        <v>500</v>
      </c>
      <c r="E14303" t="s">
        <v>620</v>
      </c>
      <c r="F14303" t="s">
        <v>410</v>
      </c>
      <c r="G14303">
        <v>1488</v>
      </c>
      <c r="H14303">
        <v>1488</v>
      </c>
      <c r="I14303">
        <v>1486</v>
      </c>
      <c r="J14303">
        <v>1486</v>
      </c>
      <c r="K14303">
        <v>1</v>
      </c>
      <c r="L14303">
        <v>0</v>
      </c>
      <c r="M14303">
        <v>1382</v>
      </c>
      <c r="N14303">
        <v>62</v>
      </c>
      <c r="O14303">
        <v>43</v>
      </c>
      <c r="P14303">
        <v>0</v>
      </c>
      <c r="Q14303">
        <v>0</v>
      </c>
    </row>
    <row r="14304" spans="1:17" x14ac:dyDescent="0.2">
      <c r="A14304" s="121">
        <v>44012</v>
      </c>
      <c r="B14304" t="s">
        <v>406</v>
      </c>
      <c r="C14304" t="s">
        <v>491</v>
      </c>
      <c r="D14304" t="s">
        <v>504</v>
      </c>
      <c r="E14304" t="s">
        <v>630</v>
      </c>
      <c r="F14304" t="s">
        <v>413</v>
      </c>
      <c r="G14304">
        <v>6980</v>
      </c>
      <c r="H14304">
        <v>6980</v>
      </c>
      <c r="I14304">
        <v>6682</v>
      </c>
      <c r="J14304">
        <v>6682</v>
      </c>
      <c r="K14304">
        <v>2152</v>
      </c>
      <c r="L14304">
        <v>18</v>
      </c>
      <c r="M14304">
        <v>4636</v>
      </c>
      <c r="N14304">
        <v>68</v>
      </c>
      <c r="O14304">
        <v>106</v>
      </c>
      <c r="P14304">
        <v>4</v>
      </c>
      <c r="Q14304">
        <v>0</v>
      </c>
    </row>
    <row r="14305" spans="1:17" x14ac:dyDescent="0.2">
      <c r="A14305" s="121">
        <v>44012</v>
      </c>
      <c r="B14305" t="s">
        <v>406</v>
      </c>
      <c r="C14305" t="s">
        <v>491</v>
      </c>
      <c r="D14305" t="s">
        <v>506</v>
      </c>
      <c r="E14305" t="s">
        <v>507</v>
      </c>
      <c r="F14305" t="s">
        <v>413</v>
      </c>
      <c r="G14305">
        <v>2822</v>
      </c>
      <c r="H14305">
        <v>2822</v>
      </c>
      <c r="I14305">
        <v>2783</v>
      </c>
      <c r="J14305">
        <v>2783</v>
      </c>
      <c r="K14305">
        <v>473</v>
      </c>
      <c r="L14305">
        <v>3</v>
      </c>
      <c r="M14305">
        <v>2343</v>
      </c>
      <c r="N14305">
        <v>0</v>
      </c>
      <c r="O14305">
        <v>3</v>
      </c>
      <c r="P14305">
        <v>0</v>
      </c>
      <c r="Q14305">
        <v>0</v>
      </c>
    </row>
    <row r="14306" spans="1:17" x14ac:dyDescent="0.2">
      <c r="A14306" s="121">
        <v>44012</v>
      </c>
      <c r="B14306" t="s">
        <v>406</v>
      </c>
      <c r="C14306" t="s">
        <v>510</v>
      </c>
      <c r="D14306" t="s">
        <v>513</v>
      </c>
      <c r="E14306" t="s">
        <v>514</v>
      </c>
      <c r="F14306" t="s">
        <v>410</v>
      </c>
      <c r="G14306">
        <v>419</v>
      </c>
      <c r="I14306">
        <v>416</v>
      </c>
    </row>
    <row r="14307" spans="1:17" x14ac:dyDescent="0.2">
      <c r="A14307" s="121">
        <v>44012</v>
      </c>
      <c r="B14307" t="s">
        <v>406</v>
      </c>
      <c r="C14307" t="s">
        <v>510</v>
      </c>
      <c r="D14307" t="s">
        <v>515</v>
      </c>
      <c r="E14307" t="s">
        <v>516</v>
      </c>
      <c r="F14307" t="s">
        <v>410</v>
      </c>
      <c r="G14307">
        <v>45</v>
      </c>
      <c r="I14307">
        <v>45</v>
      </c>
    </row>
    <row r="14308" spans="1:17" x14ac:dyDescent="0.2">
      <c r="A14308" s="121">
        <v>44012</v>
      </c>
      <c r="B14308" t="s">
        <v>406</v>
      </c>
      <c r="C14308" t="s">
        <v>510</v>
      </c>
      <c r="D14308" t="s">
        <v>519</v>
      </c>
      <c r="E14308" t="s">
        <v>520</v>
      </c>
      <c r="F14308" t="s">
        <v>410</v>
      </c>
      <c r="G14308">
        <v>231</v>
      </c>
      <c r="I14308">
        <v>231</v>
      </c>
    </row>
    <row r="14309" spans="1:17" x14ac:dyDescent="0.2">
      <c r="A14309" s="121">
        <v>44012</v>
      </c>
      <c r="B14309" t="s">
        <v>406</v>
      </c>
      <c r="C14309" t="s">
        <v>510</v>
      </c>
      <c r="D14309" t="s">
        <v>523</v>
      </c>
      <c r="E14309" t="s">
        <v>524</v>
      </c>
      <c r="F14309" t="s">
        <v>413</v>
      </c>
      <c r="G14309">
        <v>516</v>
      </c>
      <c r="H14309">
        <v>516</v>
      </c>
      <c r="I14309">
        <v>489</v>
      </c>
      <c r="J14309">
        <v>489</v>
      </c>
      <c r="K14309">
        <v>157</v>
      </c>
      <c r="L14309">
        <v>0</v>
      </c>
      <c r="M14309">
        <v>350</v>
      </c>
      <c r="N14309">
        <v>3</v>
      </c>
      <c r="O14309">
        <v>6</v>
      </c>
      <c r="P14309">
        <v>2</v>
      </c>
      <c r="Q14309">
        <v>0</v>
      </c>
    </row>
    <row r="14310" spans="1:17" x14ac:dyDescent="0.2">
      <c r="A14310" s="121">
        <v>44012</v>
      </c>
      <c r="B14310" t="s">
        <v>406</v>
      </c>
      <c r="C14310" t="s">
        <v>510</v>
      </c>
      <c r="D14310" t="s">
        <v>525</v>
      </c>
      <c r="E14310" t="s">
        <v>526</v>
      </c>
      <c r="F14310" t="s">
        <v>410</v>
      </c>
      <c r="G14310">
        <v>205</v>
      </c>
      <c r="I14310">
        <v>205</v>
      </c>
    </row>
    <row r="14311" spans="1:17" x14ac:dyDescent="0.2">
      <c r="A14311" s="121">
        <v>44012</v>
      </c>
      <c r="B14311" t="s">
        <v>406</v>
      </c>
      <c r="C14311" t="s">
        <v>510</v>
      </c>
      <c r="D14311" t="s">
        <v>527</v>
      </c>
      <c r="E14311" t="s">
        <v>528</v>
      </c>
      <c r="F14311" t="s">
        <v>410</v>
      </c>
      <c r="G14311">
        <v>2</v>
      </c>
      <c r="I14311">
        <v>2</v>
      </c>
    </row>
    <row r="14312" spans="1:17" x14ac:dyDescent="0.2">
      <c r="A14312" s="121">
        <v>44012</v>
      </c>
      <c r="B14312" t="s">
        <v>406</v>
      </c>
      <c r="C14312" t="s">
        <v>510</v>
      </c>
      <c r="D14312" t="s">
        <v>529</v>
      </c>
      <c r="E14312" t="s">
        <v>530</v>
      </c>
      <c r="F14312" t="s">
        <v>413</v>
      </c>
      <c r="G14312">
        <v>566</v>
      </c>
      <c r="H14312">
        <v>566</v>
      </c>
      <c r="I14312">
        <v>544</v>
      </c>
      <c r="J14312">
        <v>544</v>
      </c>
      <c r="K14312">
        <v>124</v>
      </c>
      <c r="L14312">
        <v>2</v>
      </c>
      <c r="M14312">
        <v>410</v>
      </c>
      <c r="N14312">
        <v>22</v>
      </c>
      <c r="O14312">
        <v>8</v>
      </c>
      <c r="P14312">
        <v>0</v>
      </c>
      <c r="Q14312">
        <v>0</v>
      </c>
    </row>
    <row r="14313" spans="1:17" x14ac:dyDescent="0.2">
      <c r="A14313" s="121">
        <v>44012</v>
      </c>
      <c r="B14313" t="s">
        <v>406</v>
      </c>
      <c r="C14313" t="s">
        <v>510</v>
      </c>
      <c r="D14313" t="s">
        <v>531</v>
      </c>
      <c r="E14313" t="s">
        <v>532</v>
      </c>
      <c r="F14313" t="s">
        <v>410</v>
      </c>
      <c r="G14313">
        <v>20</v>
      </c>
      <c r="I14313">
        <v>20</v>
      </c>
    </row>
    <row r="14314" spans="1:17" x14ac:dyDescent="0.2">
      <c r="A14314" s="121">
        <v>44012</v>
      </c>
      <c r="B14314" t="s">
        <v>406</v>
      </c>
      <c r="C14314" t="s">
        <v>510</v>
      </c>
      <c r="D14314" t="s">
        <v>533</v>
      </c>
      <c r="E14314" t="s">
        <v>534</v>
      </c>
      <c r="F14314" t="s">
        <v>413</v>
      </c>
      <c r="G14314">
        <v>2287</v>
      </c>
      <c r="H14314">
        <v>2287</v>
      </c>
      <c r="I14314">
        <v>2178</v>
      </c>
      <c r="J14314">
        <v>2178</v>
      </c>
      <c r="K14314">
        <v>657</v>
      </c>
      <c r="L14314">
        <v>3</v>
      </c>
      <c r="M14314">
        <v>1527</v>
      </c>
      <c r="N14314">
        <v>9</v>
      </c>
      <c r="O14314">
        <v>91</v>
      </c>
      <c r="P14314">
        <v>1</v>
      </c>
      <c r="Q14314">
        <v>0</v>
      </c>
    </row>
    <row r="14315" spans="1:17" x14ac:dyDescent="0.2">
      <c r="A14315" s="121">
        <v>44012</v>
      </c>
      <c r="B14315" t="s">
        <v>406</v>
      </c>
      <c r="C14315" t="s">
        <v>510</v>
      </c>
      <c r="D14315" t="s">
        <v>535</v>
      </c>
      <c r="E14315" t="s">
        <v>536</v>
      </c>
      <c r="F14315" t="s">
        <v>410</v>
      </c>
      <c r="G14315">
        <v>163</v>
      </c>
      <c r="I14315">
        <v>163</v>
      </c>
    </row>
    <row r="14316" spans="1:17" x14ac:dyDescent="0.2">
      <c r="A14316" s="121">
        <v>44012</v>
      </c>
      <c r="B14316" t="s">
        <v>406</v>
      </c>
      <c r="C14316" t="s">
        <v>510</v>
      </c>
      <c r="D14316" t="s">
        <v>539</v>
      </c>
      <c r="E14316" t="s">
        <v>540</v>
      </c>
      <c r="F14316" t="s">
        <v>413</v>
      </c>
      <c r="G14316">
        <v>532</v>
      </c>
      <c r="H14316">
        <v>532</v>
      </c>
      <c r="I14316">
        <v>506</v>
      </c>
      <c r="J14316">
        <v>506</v>
      </c>
      <c r="K14316">
        <v>94</v>
      </c>
      <c r="L14316">
        <v>0</v>
      </c>
      <c r="M14316">
        <v>406</v>
      </c>
      <c r="N14316">
        <v>21</v>
      </c>
      <c r="O14316">
        <v>11</v>
      </c>
      <c r="P14316">
        <v>2</v>
      </c>
      <c r="Q14316">
        <v>0</v>
      </c>
    </row>
    <row r="14317" spans="1:17" x14ac:dyDescent="0.2">
      <c r="A14317" s="121">
        <v>44012</v>
      </c>
      <c r="B14317" t="s">
        <v>406</v>
      </c>
      <c r="C14317" t="s">
        <v>510</v>
      </c>
      <c r="D14317" t="s">
        <v>541</v>
      </c>
      <c r="E14317" t="s">
        <v>542</v>
      </c>
      <c r="F14317" t="s">
        <v>410</v>
      </c>
      <c r="G14317">
        <v>273</v>
      </c>
      <c r="I14317">
        <v>273</v>
      </c>
    </row>
    <row r="14318" spans="1:17" x14ac:dyDescent="0.2">
      <c r="A14318" s="121">
        <v>44012</v>
      </c>
      <c r="B14318" t="s">
        <v>406</v>
      </c>
      <c r="C14318" t="s">
        <v>510</v>
      </c>
      <c r="D14318" t="s">
        <v>543</v>
      </c>
      <c r="E14318" t="s">
        <v>544</v>
      </c>
      <c r="F14318" t="s">
        <v>410</v>
      </c>
      <c r="G14318">
        <v>19</v>
      </c>
      <c r="I14318">
        <v>19</v>
      </c>
    </row>
    <row r="14319" spans="1:17" x14ac:dyDescent="0.2">
      <c r="A14319" s="121">
        <v>44012</v>
      </c>
      <c r="B14319" t="s">
        <v>406</v>
      </c>
      <c r="C14319" t="s">
        <v>510</v>
      </c>
      <c r="D14319" t="s">
        <v>616</v>
      </c>
      <c r="E14319" t="s">
        <v>617</v>
      </c>
      <c r="F14319" t="s">
        <v>410</v>
      </c>
      <c r="G14319">
        <v>253</v>
      </c>
      <c r="I14319">
        <v>253</v>
      </c>
    </row>
    <row r="14320" spans="1:17" x14ac:dyDescent="0.2">
      <c r="A14320" s="121">
        <v>44012</v>
      </c>
      <c r="B14320" t="s">
        <v>406</v>
      </c>
      <c r="C14320" t="s">
        <v>510</v>
      </c>
      <c r="D14320" t="s">
        <v>549</v>
      </c>
      <c r="E14320" t="s">
        <v>550</v>
      </c>
      <c r="F14320" t="s">
        <v>410</v>
      </c>
      <c r="G14320">
        <v>39</v>
      </c>
      <c r="I14320">
        <v>39</v>
      </c>
    </row>
    <row r="14321" spans="1:17" x14ac:dyDescent="0.2">
      <c r="A14321" s="121">
        <v>44012</v>
      </c>
      <c r="B14321" t="s">
        <v>406</v>
      </c>
      <c r="C14321" t="s">
        <v>510</v>
      </c>
      <c r="D14321" t="s">
        <v>625</v>
      </c>
      <c r="E14321" t="s">
        <v>626</v>
      </c>
      <c r="F14321" t="s">
        <v>410</v>
      </c>
      <c r="G14321">
        <v>45</v>
      </c>
      <c r="I14321">
        <v>44</v>
      </c>
    </row>
    <row r="14322" spans="1:17" x14ac:dyDescent="0.2">
      <c r="A14322" s="121">
        <v>44012</v>
      </c>
      <c r="B14322" t="s">
        <v>406</v>
      </c>
      <c r="C14322" t="s">
        <v>551</v>
      </c>
      <c r="D14322" t="s">
        <v>552</v>
      </c>
      <c r="E14322" t="s">
        <v>553</v>
      </c>
      <c r="F14322" t="s">
        <v>413</v>
      </c>
      <c r="G14322">
        <v>4918</v>
      </c>
      <c r="H14322">
        <v>4918</v>
      </c>
      <c r="I14322">
        <v>4631</v>
      </c>
      <c r="J14322">
        <v>4631</v>
      </c>
      <c r="K14322">
        <v>1640</v>
      </c>
      <c r="L14322">
        <v>6</v>
      </c>
      <c r="M14322">
        <v>3153</v>
      </c>
      <c r="N14322">
        <v>90</v>
      </c>
      <c r="O14322">
        <v>29</v>
      </c>
      <c r="P14322">
        <v>17</v>
      </c>
      <c r="Q14322">
        <v>0</v>
      </c>
    </row>
    <row r="14323" spans="1:17" x14ac:dyDescent="0.2">
      <c r="A14323" s="121">
        <v>44012</v>
      </c>
      <c r="B14323" t="s">
        <v>406</v>
      </c>
      <c r="C14323" t="s">
        <v>551</v>
      </c>
      <c r="D14323" t="s">
        <v>558</v>
      </c>
      <c r="E14323" t="s">
        <v>559</v>
      </c>
      <c r="F14323" t="s">
        <v>413</v>
      </c>
      <c r="G14323">
        <v>4590</v>
      </c>
      <c r="H14323">
        <v>4590</v>
      </c>
      <c r="I14323">
        <v>4323</v>
      </c>
      <c r="J14323">
        <v>4323</v>
      </c>
      <c r="K14323">
        <v>1214</v>
      </c>
      <c r="L14323">
        <v>3</v>
      </c>
      <c r="M14323">
        <v>3292</v>
      </c>
      <c r="N14323">
        <v>76</v>
      </c>
      <c r="O14323">
        <v>5</v>
      </c>
      <c r="P14323">
        <v>10</v>
      </c>
      <c r="Q14323">
        <v>2</v>
      </c>
    </row>
    <row r="14324" spans="1:17" x14ac:dyDescent="0.2">
      <c r="A14324" s="121">
        <v>44012</v>
      </c>
      <c r="B14324" t="s">
        <v>406</v>
      </c>
      <c r="C14324" t="s">
        <v>551</v>
      </c>
      <c r="D14324" t="s">
        <v>560</v>
      </c>
      <c r="E14324" t="s">
        <v>561</v>
      </c>
      <c r="F14324" t="s">
        <v>413</v>
      </c>
      <c r="G14324">
        <v>5594</v>
      </c>
      <c r="H14324">
        <v>5594</v>
      </c>
      <c r="I14324">
        <v>5137</v>
      </c>
      <c r="J14324">
        <v>5137</v>
      </c>
      <c r="K14324">
        <v>1993</v>
      </c>
      <c r="L14324">
        <v>6</v>
      </c>
      <c r="M14324">
        <v>3531</v>
      </c>
      <c r="N14324">
        <v>42</v>
      </c>
      <c r="O14324">
        <v>22</v>
      </c>
      <c r="P14324">
        <v>59</v>
      </c>
      <c r="Q14324">
        <v>7</v>
      </c>
    </row>
    <row r="14325" spans="1:17" x14ac:dyDescent="0.2">
      <c r="A14325" s="121">
        <v>44012</v>
      </c>
      <c r="B14325" t="s">
        <v>406</v>
      </c>
      <c r="C14325" t="s">
        <v>562</v>
      </c>
      <c r="D14325" t="s">
        <v>605</v>
      </c>
      <c r="E14325" t="s">
        <v>606</v>
      </c>
      <c r="F14325" t="s">
        <v>410</v>
      </c>
      <c r="G14325">
        <v>136</v>
      </c>
      <c r="I14325">
        <v>136</v>
      </c>
    </row>
    <row r="14326" spans="1:17" x14ac:dyDescent="0.2">
      <c r="A14326" s="121">
        <v>44012</v>
      </c>
      <c r="B14326" t="s">
        <v>406</v>
      </c>
      <c r="C14326" t="s">
        <v>562</v>
      </c>
      <c r="D14326" t="s">
        <v>563</v>
      </c>
      <c r="E14326" t="s">
        <v>564</v>
      </c>
      <c r="F14326" t="s">
        <v>410</v>
      </c>
      <c r="G14326">
        <v>2681</v>
      </c>
      <c r="H14326">
        <v>2681</v>
      </c>
      <c r="I14326">
        <v>2496</v>
      </c>
      <c r="J14326">
        <v>2496</v>
      </c>
      <c r="K14326">
        <v>1102</v>
      </c>
      <c r="L14326">
        <v>1</v>
      </c>
      <c r="M14326">
        <v>1575</v>
      </c>
      <c r="N14326">
        <v>2</v>
      </c>
      <c r="O14326">
        <v>1</v>
      </c>
      <c r="P14326">
        <v>6</v>
      </c>
      <c r="Q14326">
        <v>0</v>
      </c>
    </row>
    <row r="14327" spans="1:17" x14ac:dyDescent="0.2">
      <c r="A14327" s="121">
        <v>44012</v>
      </c>
      <c r="B14327" t="s">
        <v>406</v>
      </c>
      <c r="C14327" t="s">
        <v>562</v>
      </c>
      <c r="D14327" t="s">
        <v>565</v>
      </c>
      <c r="E14327" t="s">
        <v>566</v>
      </c>
      <c r="F14327" t="s">
        <v>413</v>
      </c>
      <c r="G14327">
        <v>3981</v>
      </c>
      <c r="H14327">
        <v>3981</v>
      </c>
      <c r="I14327">
        <v>3789</v>
      </c>
      <c r="J14327">
        <v>3789</v>
      </c>
      <c r="K14327">
        <v>808</v>
      </c>
      <c r="L14327">
        <v>3</v>
      </c>
      <c r="M14327">
        <v>3124</v>
      </c>
      <c r="N14327">
        <v>32</v>
      </c>
      <c r="O14327">
        <v>14</v>
      </c>
      <c r="P14327">
        <v>7</v>
      </c>
      <c r="Q14327">
        <v>1</v>
      </c>
    </row>
    <row r="14328" spans="1:17" x14ac:dyDescent="0.2">
      <c r="A14328" s="121">
        <v>44012</v>
      </c>
      <c r="B14328" t="s">
        <v>406</v>
      </c>
      <c r="C14328" t="s">
        <v>562</v>
      </c>
      <c r="D14328" t="s">
        <v>567</v>
      </c>
      <c r="E14328" t="s">
        <v>568</v>
      </c>
      <c r="F14328" t="s">
        <v>413</v>
      </c>
      <c r="G14328">
        <v>8355</v>
      </c>
      <c r="H14328">
        <v>8355</v>
      </c>
      <c r="I14328">
        <v>7877</v>
      </c>
      <c r="J14328">
        <v>7877</v>
      </c>
      <c r="K14328">
        <v>3150</v>
      </c>
      <c r="L14328">
        <v>4</v>
      </c>
      <c r="M14328">
        <v>5080</v>
      </c>
      <c r="N14328">
        <v>101</v>
      </c>
      <c r="O14328">
        <v>20</v>
      </c>
      <c r="P14328">
        <v>36</v>
      </c>
      <c r="Q14328">
        <v>2</v>
      </c>
    </row>
    <row r="14329" spans="1:17" x14ac:dyDescent="0.2">
      <c r="A14329" s="121">
        <v>44012</v>
      </c>
      <c r="B14329" t="s">
        <v>406</v>
      </c>
      <c r="C14329" t="s">
        <v>562</v>
      </c>
      <c r="D14329" t="s">
        <v>569</v>
      </c>
      <c r="E14329" t="s">
        <v>570</v>
      </c>
      <c r="F14329" t="s">
        <v>413</v>
      </c>
      <c r="G14329">
        <v>2584</v>
      </c>
      <c r="H14329">
        <v>2584</v>
      </c>
      <c r="I14329">
        <v>2524</v>
      </c>
      <c r="J14329">
        <v>2524</v>
      </c>
      <c r="K14329">
        <v>320</v>
      </c>
      <c r="L14329">
        <v>1</v>
      </c>
      <c r="M14329">
        <v>2154</v>
      </c>
      <c r="N14329">
        <v>59</v>
      </c>
      <c r="O14329">
        <v>50</v>
      </c>
      <c r="P14329">
        <v>1</v>
      </c>
      <c r="Q14329">
        <v>0</v>
      </c>
    </row>
    <row r="14330" spans="1:17" x14ac:dyDescent="0.2">
      <c r="A14330" s="121">
        <v>44012</v>
      </c>
      <c r="B14330" t="s">
        <v>406</v>
      </c>
      <c r="C14330" t="s">
        <v>571</v>
      </c>
      <c r="D14330" t="s">
        <v>572</v>
      </c>
      <c r="E14330" t="s">
        <v>627</v>
      </c>
      <c r="F14330" t="s">
        <v>413</v>
      </c>
      <c r="G14330">
        <v>399</v>
      </c>
      <c r="H14330">
        <v>399</v>
      </c>
      <c r="I14330">
        <v>394</v>
      </c>
      <c r="J14330">
        <v>394</v>
      </c>
      <c r="K14330">
        <v>119</v>
      </c>
      <c r="L14330">
        <v>0</v>
      </c>
      <c r="M14330">
        <v>277</v>
      </c>
      <c r="N14330">
        <v>0</v>
      </c>
      <c r="O14330">
        <v>3</v>
      </c>
      <c r="P14330">
        <v>0</v>
      </c>
      <c r="Q14330">
        <v>0</v>
      </c>
    </row>
    <row r="14331" spans="1:17" x14ac:dyDescent="0.2">
      <c r="A14331" s="121">
        <v>44012</v>
      </c>
      <c r="B14331" t="s">
        <v>406</v>
      </c>
      <c r="C14331" t="s">
        <v>574</v>
      </c>
      <c r="D14331" t="s">
        <v>575</v>
      </c>
      <c r="E14331" t="s">
        <v>576</v>
      </c>
      <c r="F14331" t="s">
        <v>413</v>
      </c>
      <c r="G14331">
        <v>470</v>
      </c>
      <c r="H14331">
        <v>470</v>
      </c>
      <c r="I14331">
        <v>461</v>
      </c>
      <c r="J14331">
        <v>461</v>
      </c>
      <c r="K14331">
        <v>116</v>
      </c>
      <c r="L14331">
        <v>0</v>
      </c>
      <c r="M14331">
        <v>352</v>
      </c>
      <c r="N14331">
        <v>0</v>
      </c>
      <c r="O14331">
        <v>2</v>
      </c>
      <c r="P14331">
        <v>0</v>
      </c>
      <c r="Q14331">
        <v>0</v>
      </c>
    </row>
    <row r="14332" spans="1:17" x14ac:dyDescent="0.2">
      <c r="A14332" s="121">
        <v>44012</v>
      </c>
      <c r="B14332" t="s">
        <v>406</v>
      </c>
      <c r="C14332" t="s">
        <v>577</v>
      </c>
      <c r="D14332" t="s">
        <v>578</v>
      </c>
      <c r="E14332" t="s">
        <v>579</v>
      </c>
      <c r="F14332" t="s">
        <v>413</v>
      </c>
      <c r="G14332">
        <v>3479</v>
      </c>
      <c r="H14332">
        <v>3479</v>
      </c>
      <c r="I14332">
        <v>3413</v>
      </c>
      <c r="J14332">
        <v>3413</v>
      </c>
      <c r="K14332">
        <v>1140</v>
      </c>
      <c r="L14332">
        <v>6</v>
      </c>
      <c r="M14332">
        <v>2124</v>
      </c>
      <c r="N14332">
        <v>167</v>
      </c>
      <c r="O14332">
        <v>42</v>
      </c>
      <c r="P14332">
        <v>1</v>
      </c>
      <c r="Q14332">
        <v>0</v>
      </c>
    </row>
    <row r="14333" spans="1:17" x14ac:dyDescent="0.2">
      <c r="A14333" s="121">
        <v>44012</v>
      </c>
      <c r="B14333" t="s">
        <v>406</v>
      </c>
      <c r="C14333" t="s">
        <v>577</v>
      </c>
      <c r="D14333" t="s">
        <v>580</v>
      </c>
      <c r="E14333" t="s">
        <v>581</v>
      </c>
      <c r="F14333" t="s">
        <v>413</v>
      </c>
      <c r="G14333">
        <v>1594</v>
      </c>
      <c r="H14333">
        <v>1594</v>
      </c>
      <c r="I14333">
        <v>1551</v>
      </c>
      <c r="J14333">
        <v>1551</v>
      </c>
      <c r="K14333">
        <v>346</v>
      </c>
      <c r="L14333">
        <v>2</v>
      </c>
      <c r="M14333">
        <v>1062</v>
      </c>
      <c r="N14333">
        <v>174</v>
      </c>
      <c r="O14333">
        <v>10</v>
      </c>
      <c r="P14333">
        <v>1</v>
      </c>
      <c r="Q14333">
        <v>0</v>
      </c>
    </row>
    <row r="14334" spans="1:17" x14ac:dyDescent="0.2">
      <c r="A14334" s="121">
        <v>44012</v>
      </c>
      <c r="B14334" t="s">
        <v>406</v>
      </c>
      <c r="C14334" t="s">
        <v>577</v>
      </c>
      <c r="D14334" t="s">
        <v>586</v>
      </c>
      <c r="E14334" t="s">
        <v>587</v>
      </c>
      <c r="F14334" t="s">
        <v>410</v>
      </c>
      <c r="G14334">
        <v>499</v>
      </c>
      <c r="H14334">
        <v>499</v>
      </c>
      <c r="I14334">
        <v>498</v>
      </c>
      <c r="J14334">
        <v>498</v>
      </c>
      <c r="K14334">
        <v>0</v>
      </c>
      <c r="L14334">
        <v>0</v>
      </c>
      <c r="M14334">
        <v>443</v>
      </c>
      <c r="N14334">
        <v>53</v>
      </c>
      <c r="O14334">
        <v>3</v>
      </c>
      <c r="P14334">
        <v>0</v>
      </c>
      <c r="Q14334">
        <v>0</v>
      </c>
    </row>
    <row r="14335" spans="1:17" x14ac:dyDescent="0.2">
      <c r="A14335" s="121">
        <v>44012</v>
      </c>
      <c r="B14335" t="s">
        <v>406</v>
      </c>
      <c r="C14335" t="s">
        <v>577</v>
      </c>
      <c r="D14335" t="s">
        <v>590</v>
      </c>
      <c r="E14335" t="s">
        <v>591</v>
      </c>
      <c r="F14335" t="s">
        <v>410</v>
      </c>
      <c r="G14335">
        <v>252</v>
      </c>
      <c r="H14335">
        <v>252</v>
      </c>
      <c r="I14335">
        <v>252</v>
      </c>
      <c r="J14335">
        <v>252</v>
      </c>
      <c r="K14335">
        <v>0</v>
      </c>
      <c r="L14335">
        <v>0</v>
      </c>
      <c r="M14335">
        <v>241</v>
      </c>
      <c r="N14335">
        <v>11</v>
      </c>
      <c r="O14335">
        <v>0</v>
      </c>
      <c r="P14335">
        <v>0</v>
      </c>
      <c r="Q14335">
        <v>0</v>
      </c>
    </row>
    <row r="14336" spans="1:17" x14ac:dyDescent="0.2">
      <c r="A14336" s="121">
        <v>44012</v>
      </c>
      <c r="B14336" t="s">
        <v>406</v>
      </c>
      <c r="C14336" t="s">
        <v>594</v>
      </c>
      <c r="D14336" t="s">
        <v>595</v>
      </c>
      <c r="E14336" t="s">
        <v>596</v>
      </c>
      <c r="F14336" t="s">
        <v>410</v>
      </c>
      <c r="G14336">
        <v>36</v>
      </c>
      <c r="I14336">
        <v>36</v>
      </c>
    </row>
    <row r="14337" spans="1:17" x14ac:dyDescent="0.2">
      <c r="A14337" s="121">
        <v>44012</v>
      </c>
      <c r="B14337" t="s">
        <v>406</v>
      </c>
      <c r="C14337" t="s">
        <v>594</v>
      </c>
      <c r="D14337" t="s">
        <v>597</v>
      </c>
      <c r="E14337" t="s">
        <v>598</v>
      </c>
      <c r="F14337" t="s">
        <v>413</v>
      </c>
      <c r="G14337">
        <v>374</v>
      </c>
      <c r="H14337">
        <v>374</v>
      </c>
      <c r="I14337">
        <v>368</v>
      </c>
      <c r="J14337">
        <v>368</v>
      </c>
      <c r="K14337">
        <v>106</v>
      </c>
      <c r="L14337">
        <v>0</v>
      </c>
      <c r="M14337">
        <v>261</v>
      </c>
      <c r="N14337">
        <v>4</v>
      </c>
      <c r="O14337">
        <v>3</v>
      </c>
      <c r="P14337">
        <v>0</v>
      </c>
      <c r="Q14337">
        <v>0</v>
      </c>
    </row>
    <row r="14338" spans="1:17" x14ac:dyDescent="0.2">
      <c r="A14338" s="121">
        <v>44012</v>
      </c>
      <c r="B14338" t="s">
        <v>406</v>
      </c>
      <c r="C14338" t="s">
        <v>594</v>
      </c>
      <c r="D14338" t="s">
        <v>599</v>
      </c>
      <c r="E14338" t="s">
        <v>600</v>
      </c>
      <c r="F14338" t="s">
        <v>410</v>
      </c>
      <c r="G14338">
        <v>86</v>
      </c>
      <c r="H14338">
        <v>86</v>
      </c>
      <c r="I14338">
        <v>86</v>
      </c>
      <c r="J14338">
        <v>86</v>
      </c>
      <c r="K14338">
        <v>8</v>
      </c>
      <c r="L14338">
        <v>0</v>
      </c>
      <c r="M14338">
        <v>78</v>
      </c>
      <c r="N14338">
        <v>0</v>
      </c>
      <c r="O14338">
        <v>0</v>
      </c>
      <c r="P14338">
        <v>0</v>
      </c>
      <c r="Q14338">
        <v>0</v>
      </c>
    </row>
    <row r="14339" spans="1:17" x14ac:dyDescent="0.2">
      <c r="A14339" s="121">
        <v>44043</v>
      </c>
      <c r="B14339" t="s">
        <v>406</v>
      </c>
      <c r="C14339" t="s">
        <v>407</v>
      </c>
      <c r="D14339" t="s">
        <v>408</v>
      </c>
      <c r="E14339" t="s">
        <v>409</v>
      </c>
      <c r="F14339" t="s">
        <v>410</v>
      </c>
      <c r="G14339">
        <v>157</v>
      </c>
      <c r="I14339">
        <v>155</v>
      </c>
    </row>
    <row r="14340" spans="1:17" x14ac:dyDescent="0.2">
      <c r="A14340" s="121">
        <v>44043</v>
      </c>
      <c r="B14340" t="s">
        <v>406</v>
      </c>
      <c r="C14340" t="s">
        <v>407</v>
      </c>
      <c r="D14340" t="s">
        <v>601</v>
      </c>
      <c r="E14340" t="s">
        <v>602</v>
      </c>
      <c r="F14340" t="s">
        <v>410</v>
      </c>
      <c r="G14340">
        <v>32</v>
      </c>
      <c r="I14340">
        <v>32</v>
      </c>
    </row>
    <row r="14341" spans="1:17" x14ac:dyDescent="0.2">
      <c r="A14341" s="121">
        <v>44043</v>
      </c>
      <c r="B14341" t="s">
        <v>406</v>
      </c>
      <c r="C14341" t="s">
        <v>407</v>
      </c>
      <c r="D14341" t="s">
        <v>411</v>
      </c>
      <c r="E14341" t="s">
        <v>412</v>
      </c>
      <c r="F14341" t="s">
        <v>413</v>
      </c>
      <c r="G14341">
        <v>5726</v>
      </c>
      <c r="H14341">
        <v>5726</v>
      </c>
      <c r="I14341">
        <v>5512</v>
      </c>
      <c r="J14341">
        <v>5512</v>
      </c>
      <c r="K14341">
        <v>2332</v>
      </c>
      <c r="L14341">
        <v>6</v>
      </c>
      <c r="M14341">
        <v>2967</v>
      </c>
      <c r="N14341">
        <v>38</v>
      </c>
      <c r="O14341">
        <v>383</v>
      </c>
      <c r="P14341">
        <v>11</v>
      </c>
      <c r="Q14341">
        <v>0</v>
      </c>
    </row>
    <row r="14342" spans="1:17" x14ac:dyDescent="0.2">
      <c r="A14342" s="121">
        <v>44043</v>
      </c>
      <c r="B14342" t="s">
        <v>406</v>
      </c>
      <c r="C14342" t="s">
        <v>407</v>
      </c>
      <c r="D14342" t="s">
        <v>416</v>
      </c>
      <c r="E14342" t="s">
        <v>417</v>
      </c>
      <c r="F14342" t="s">
        <v>413</v>
      </c>
      <c r="G14342">
        <v>2673</v>
      </c>
      <c r="H14342">
        <v>2673</v>
      </c>
      <c r="I14342">
        <v>2503</v>
      </c>
      <c r="J14342">
        <v>2503</v>
      </c>
      <c r="K14342">
        <v>879</v>
      </c>
      <c r="L14342">
        <v>3</v>
      </c>
      <c r="M14342">
        <v>1696</v>
      </c>
      <c r="N14342">
        <v>57</v>
      </c>
      <c r="O14342">
        <v>38</v>
      </c>
      <c r="P14342">
        <v>13</v>
      </c>
      <c r="Q14342">
        <v>1</v>
      </c>
    </row>
    <row r="14343" spans="1:17" x14ac:dyDescent="0.2">
      <c r="A14343" s="121">
        <v>44043</v>
      </c>
      <c r="B14343" t="s">
        <v>406</v>
      </c>
      <c r="C14343" t="s">
        <v>407</v>
      </c>
      <c r="D14343" t="s">
        <v>618</v>
      </c>
      <c r="E14343" t="s">
        <v>619</v>
      </c>
      <c r="F14343" t="s">
        <v>410</v>
      </c>
      <c r="G14343">
        <v>41</v>
      </c>
      <c r="I14343">
        <v>41</v>
      </c>
    </row>
    <row r="14344" spans="1:17" x14ac:dyDescent="0.2">
      <c r="A14344" s="121">
        <v>44043</v>
      </c>
      <c r="B14344" t="s">
        <v>406</v>
      </c>
      <c r="C14344" t="s">
        <v>418</v>
      </c>
      <c r="D14344" t="s">
        <v>427</v>
      </c>
      <c r="E14344" t="s">
        <v>428</v>
      </c>
      <c r="F14344" t="s">
        <v>413</v>
      </c>
      <c r="G14344">
        <v>2431</v>
      </c>
      <c r="H14344">
        <v>2431</v>
      </c>
      <c r="I14344">
        <v>2219</v>
      </c>
      <c r="J14344">
        <v>2219</v>
      </c>
      <c r="K14344">
        <v>770</v>
      </c>
      <c r="L14344">
        <v>1</v>
      </c>
      <c r="M14344">
        <v>1580</v>
      </c>
      <c r="N14344">
        <v>61</v>
      </c>
      <c r="O14344">
        <v>19</v>
      </c>
      <c r="P14344">
        <v>16</v>
      </c>
      <c r="Q14344">
        <v>5</v>
      </c>
    </row>
    <row r="14345" spans="1:17" x14ac:dyDescent="0.2">
      <c r="A14345" s="121">
        <v>44043</v>
      </c>
      <c r="B14345" t="s">
        <v>406</v>
      </c>
      <c r="C14345" t="s">
        <v>429</v>
      </c>
      <c r="D14345" t="s">
        <v>438</v>
      </c>
      <c r="E14345" t="s">
        <v>439</v>
      </c>
      <c r="F14345" t="s">
        <v>413</v>
      </c>
      <c r="G14345">
        <v>936</v>
      </c>
      <c r="H14345">
        <v>936</v>
      </c>
      <c r="I14345">
        <v>870</v>
      </c>
      <c r="J14345">
        <v>870</v>
      </c>
      <c r="K14345">
        <v>88</v>
      </c>
      <c r="L14345">
        <v>2</v>
      </c>
      <c r="M14345">
        <v>770</v>
      </c>
      <c r="N14345">
        <v>55</v>
      </c>
      <c r="O14345">
        <v>21</v>
      </c>
      <c r="P14345">
        <v>7</v>
      </c>
      <c r="Q14345">
        <v>0</v>
      </c>
    </row>
    <row r="14346" spans="1:17" x14ac:dyDescent="0.2">
      <c r="A14346" s="121">
        <v>44043</v>
      </c>
      <c r="B14346" t="s">
        <v>406</v>
      </c>
      <c r="C14346" t="s">
        <v>429</v>
      </c>
      <c r="D14346" t="s">
        <v>440</v>
      </c>
      <c r="E14346" t="s">
        <v>441</v>
      </c>
      <c r="F14346" t="s">
        <v>413</v>
      </c>
      <c r="G14346">
        <v>2437</v>
      </c>
      <c r="H14346">
        <v>2437</v>
      </c>
      <c r="I14346">
        <v>2337</v>
      </c>
      <c r="J14346">
        <v>2337</v>
      </c>
      <c r="K14346">
        <v>684</v>
      </c>
      <c r="L14346">
        <v>1</v>
      </c>
      <c r="M14346">
        <v>1687</v>
      </c>
      <c r="N14346">
        <v>27</v>
      </c>
      <c r="O14346">
        <v>38</v>
      </c>
      <c r="P14346">
        <v>4</v>
      </c>
      <c r="Q14346">
        <v>0</v>
      </c>
    </row>
    <row r="14347" spans="1:17" x14ac:dyDescent="0.2">
      <c r="A14347" s="121">
        <v>44043</v>
      </c>
      <c r="B14347" t="s">
        <v>406</v>
      </c>
      <c r="C14347" t="s">
        <v>442</v>
      </c>
      <c r="D14347" t="s">
        <v>443</v>
      </c>
      <c r="E14347" t="s">
        <v>444</v>
      </c>
      <c r="F14347" t="s">
        <v>413</v>
      </c>
      <c r="G14347">
        <v>4790</v>
      </c>
      <c r="H14347">
        <v>4790</v>
      </c>
      <c r="I14347">
        <v>4542</v>
      </c>
      <c r="J14347">
        <v>4542</v>
      </c>
      <c r="K14347">
        <v>1470</v>
      </c>
      <c r="L14347">
        <v>6</v>
      </c>
      <c r="M14347">
        <v>3201</v>
      </c>
      <c r="N14347">
        <v>43</v>
      </c>
      <c r="O14347">
        <v>70</v>
      </c>
      <c r="P14347">
        <v>7</v>
      </c>
      <c r="Q14347">
        <v>0</v>
      </c>
    </row>
    <row r="14348" spans="1:17" x14ac:dyDescent="0.2">
      <c r="A14348" s="121">
        <v>44043</v>
      </c>
      <c r="B14348" t="s">
        <v>406</v>
      </c>
      <c r="C14348" t="s">
        <v>442</v>
      </c>
      <c r="D14348" t="s">
        <v>445</v>
      </c>
      <c r="E14348" t="s">
        <v>446</v>
      </c>
      <c r="F14348" t="s">
        <v>410</v>
      </c>
      <c r="G14348">
        <v>129</v>
      </c>
      <c r="H14348">
        <v>129</v>
      </c>
      <c r="I14348">
        <v>129</v>
      </c>
      <c r="J14348">
        <v>129</v>
      </c>
      <c r="K14348">
        <v>0</v>
      </c>
      <c r="L14348">
        <v>0</v>
      </c>
      <c r="M14348">
        <v>125</v>
      </c>
      <c r="N14348">
        <v>0</v>
      </c>
      <c r="O14348">
        <v>4</v>
      </c>
      <c r="P14348">
        <v>0</v>
      </c>
      <c r="Q14348">
        <v>0</v>
      </c>
    </row>
    <row r="14349" spans="1:17" x14ac:dyDescent="0.2">
      <c r="A14349" s="121">
        <v>44043</v>
      </c>
      <c r="B14349" t="s">
        <v>406</v>
      </c>
      <c r="C14349" t="s">
        <v>442</v>
      </c>
      <c r="D14349" t="s">
        <v>447</v>
      </c>
      <c r="E14349" t="s">
        <v>448</v>
      </c>
      <c r="F14349" t="s">
        <v>410</v>
      </c>
      <c r="G14349">
        <v>239</v>
      </c>
      <c r="H14349">
        <v>239</v>
      </c>
      <c r="I14349">
        <v>239</v>
      </c>
      <c r="J14349">
        <v>239</v>
      </c>
      <c r="K14349">
        <v>0</v>
      </c>
      <c r="L14349">
        <v>0</v>
      </c>
      <c r="M14349">
        <v>232</v>
      </c>
      <c r="N14349">
        <v>7</v>
      </c>
      <c r="O14349">
        <v>0</v>
      </c>
      <c r="P14349">
        <v>0</v>
      </c>
      <c r="Q14349">
        <v>0</v>
      </c>
    </row>
    <row r="14350" spans="1:17" x14ac:dyDescent="0.2">
      <c r="A14350" s="121">
        <v>44043</v>
      </c>
      <c r="B14350" t="s">
        <v>406</v>
      </c>
      <c r="C14350" t="s">
        <v>442</v>
      </c>
      <c r="D14350" t="s">
        <v>449</v>
      </c>
      <c r="E14350" t="s">
        <v>624</v>
      </c>
      <c r="F14350" t="s">
        <v>410</v>
      </c>
      <c r="G14350">
        <v>1288</v>
      </c>
      <c r="H14350">
        <v>1288</v>
      </c>
      <c r="I14350">
        <v>1287</v>
      </c>
      <c r="J14350">
        <v>1287</v>
      </c>
      <c r="K14350">
        <v>8</v>
      </c>
      <c r="L14350">
        <v>0</v>
      </c>
      <c r="M14350">
        <v>1203</v>
      </c>
      <c r="N14350">
        <v>71</v>
      </c>
      <c r="O14350">
        <v>6</v>
      </c>
      <c r="P14350">
        <v>0</v>
      </c>
      <c r="Q14350">
        <v>0</v>
      </c>
    </row>
    <row r="14351" spans="1:17" x14ac:dyDescent="0.2">
      <c r="A14351" s="121">
        <v>44043</v>
      </c>
      <c r="B14351" t="s">
        <v>406</v>
      </c>
      <c r="C14351" t="s">
        <v>451</v>
      </c>
      <c r="D14351" t="s">
        <v>454</v>
      </c>
      <c r="E14351" t="s">
        <v>621</v>
      </c>
      <c r="F14351" t="s">
        <v>410</v>
      </c>
      <c r="G14351">
        <v>2151</v>
      </c>
      <c r="H14351">
        <v>2151</v>
      </c>
      <c r="I14351">
        <v>2141</v>
      </c>
      <c r="J14351">
        <v>2141</v>
      </c>
      <c r="K14351">
        <v>11</v>
      </c>
      <c r="L14351">
        <v>0</v>
      </c>
      <c r="M14351">
        <v>1968</v>
      </c>
      <c r="N14351">
        <v>0</v>
      </c>
      <c r="O14351">
        <v>172</v>
      </c>
      <c r="P14351">
        <v>0</v>
      </c>
      <c r="Q14351">
        <v>0</v>
      </c>
    </row>
    <row r="14352" spans="1:17" x14ac:dyDescent="0.2">
      <c r="A14352" s="121">
        <v>44043</v>
      </c>
      <c r="B14352" t="s">
        <v>406</v>
      </c>
      <c r="C14352" t="s">
        <v>451</v>
      </c>
      <c r="D14352" t="s">
        <v>622</v>
      </c>
      <c r="E14352" t="s">
        <v>623</v>
      </c>
      <c r="F14352" t="s">
        <v>413</v>
      </c>
      <c r="G14352">
        <v>4153</v>
      </c>
      <c r="H14352">
        <v>4153</v>
      </c>
      <c r="I14352">
        <v>3893</v>
      </c>
      <c r="J14352">
        <v>3893</v>
      </c>
      <c r="K14352">
        <v>1434</v>
      </c>
      <c r="L14352">
        <v>7</v>
      </c>
      <c r="M14352">
        <v>2590</v>
      </c>
      <c r="N14352">
        <v>30</v>
      </c>
      <c r="O14352">
        <v>92</v>
      </c>
      <c r="P14352">
        <v>4</v>
      </c>
      <c r="Q14352">
        <v>0</v>
      </c>
    </row>
    <row r="14353" spans="1:17" x14ac:dyDescent="0.2">
      <c r="A14353" s="121">
        <v>44043</v>
      </c>
      <c r="B14353" t="s">
        <v>406</v>
      </c>
      <c r="C14353" t="s">
        <v>456</v>
      </c>
      <c r="D14353" t="s">
        <v>457</v>
      </c>
      <c r="E14353" t="s">
        <v>458</v>
      </c>
      <c r="F14353" t="s">
        <v>413</v>
      </c>
      <c r="G14353">
        <v>4641</v>
      </c>
      <c r="H14353">
        <v>4641</v>
      </c>
      <c r="I14353">
        <v>4203</v>
      </c>
      <c r="J14353">
        <v>4203</v>
      </c>
      <c r="K14353">
        <v>1403</v>
      </c>
      <c r="L14353">
        <v>4</v>
      </c>
      <c r="M14353">
        <v>3109</v>
      </c>
      <c r="N14353">
        <v>9</v>
      </c>
      <c r="O14353">
        <v>116</v>
      </c>
      <c r="P14353">
        <v>7</v>
      </c>
      <c r="Q14353">
        <v>1</v>
      </c>
    </row>
    <row r="14354" spans="1:17" x14ac:dyDescent="0.2">
      <c r="A14354" s="121">
        <v>44043</v>
      </c>
      <c r="B14354" t="s">
        <v>406</v>
      </c>
      <c r="C14354" t="s">
        <v>456</v>
      </c>
      <c r="D14354" t="s">
        <v>459</v>
      </c>
      <c r="E14354" t="s">
        <v>460</v>
      </c>
      <c r="F14354" t="s">
        <v>413</v>
      </c>
      <c r="G14354">
        <v>979</v>
      </c>
      <c r="H14354">
        <v>979</v>
      </c>
      <c r="I14354">
        <v>960</v>
      </c>
      <c r="J14354">
        <v>960</v>
      </c>
      <c r="K14354">
        <v>92</v>
      </c>
      <c r="L14354">
        <v>1</v>
      </c>
      <c r="M14354">
        <v>877</v>
      </c>
      <c r="N14354">
        <v>0</v>
      </c>
      <c r="O14354">
        <v>9</v>
      </c>
      <c r="P14354">
        <v>0</v>
      </c>
      <c r="Q14354">
        <v>0</v>
      </c>
    </row>
    <row r="14355" spans="1:17" x14ac:dyDescent="0.2">
      <c r="A14355" s="121">
        <v>44043</v>
      </c>
      <c r="B14355" t="s">
        <v>406</v>
      </c>
      <c r="C14355" t="s">
        <v>456</v>
      </c>
      <c r="D14355" t="s">
        <v>467</v>
      </c>
      <c r="E14355" t="s">
        <v>468</v>
      </c>
      <c r="F14355" t="s">
        <v>410</v>
      </c>
      <c r="G14355">
        <v>720</v>
      </c>
      <c r="I14355">
        <v>719</v>
      </c>
    </row>
    <row r="14356" spans="1:17" x14ac:dyDescent="0.2">
      <c r="A14356" s="121">
        <v>44043</v>
      </c>
      <c r="B14356" t="s">
        <v>406</v>
      </c>
      <c r="C14356" t="s">
        <v>456</v>
      </c>
      <c r="D14356" t="s">
        <v>469</v>
      </c>
      <c r="E14356" t="s">
        <v>470</v>
      </c>
      <c r="F14356" t="s">
        <v>410</v>
      </c>
      <c r="G14356">
        <v>404</v>
      </c>
      <c r="I14356">
        <v>403</v>
      </c>
    </row>
    <row r="14357" spans="1:17" x14ac:dyDescent="0.2">
      <c r="A14357" s="121">
        <v>44043</v>
      </c>
      <c r="B14357" t="s">
        <v>406</v>
      </c>
      <c r="C14357" t="s">
        <v>456</v>
      </c>
      <c r="D14357" t="s">
        <v>471</v>
      </c>
      <c r="E14357" t="s">
        <v>472</v>
      </c>
      <c r="F14357" t="s">
        <v>410</v>
      </c>
      <c r="G14357">
        <v>285</v>
      </c>
      <c r="I14357">
        <v>284</v>
      </c>
    </row>
    <row r="14358" spans="1:17" x14ac:dyDescent="0.2">
      <c r="A14358" s="121">
        <v>44043</v>
      </c>
      <c r="B14358" t="s">
        <v>406</v>
      </c>
      <c r="C14358" t="s">
        <v>456</v>
      </c>
      <c r="D14358" t="s">
        <v>477</v>
      </c>
      <c r="E14358" t="s">
        <v>478</v>
      </c>
      <c r="F14358" t="s">
        <v>413</v>
      </c>
      <c r="G14358">
        <v>2030</v>
      </c>
      <c r="H14358">
        <v>2030</v>
      </c>
      <c r="I14358">
        <v>1889</v>
      </c>
      <c r="J14358">
        <v>1889</v>
      </c>
      <c r="K14358">
        <v>504</v>
      </c>
      <c r="L14358">
        <v>3</v>
      </c>
      <c r="M14358">
        <v>1513</v>
      </c>
      <c r="N14358">
        <v>10</v>
      </c>
      <c r="O14358">
        <v>0</v>
      </c>
      <c r="P14358">
        <v>7</v>
      </c>
      <c r="Q14358">
        <v>1</v>
      </c>
    </row>
    <row r="14359" spans="1:17" x14ac:dyDescent="0.2">
      <c r="A14359" s="121">
        <v>44043</v>
      </c>
      <c r="B14359" t="s">
        <v>406</v>
      </c>
      <c r="C14359" t="s">
        <v>456</v>
      </c>
      <c r="D14359" t="s">
        <v>481</v>
      </c>
      <c r="E14359" t="s">
        <v>482</v>
      </c>
      <c r="F14359" t="s">
        <v>410</v>
      </c>
      <c r="G14359">
        <v>5</v>
      </c>
      <c r="I14359">
        <v>5</v>
      </c>
    </row>
    <row r="14360" spans="1:17" x14ac:dyDescent="0.2">
      <c r="A14360" s="121">
        <v>44043</v>
      </c>
      <c r="B14360" t="s">
        <v>406</v>
      </c>
      <c r="C14360" t="s">
        <v>491</v>
      </c>
      <c r="D14360" t="s">
        <v>492</v>
      </c>
      <c r="E14360" t="s">
        <v>493</v>
      </c>
      <c r="F14360" t="s">
        <v>410</v>
      </c>
      <c r="G14360">
        <v>1036</v>
      </c>
      <c r="H14360">
        <v>1036</v>
      </c>
      <c r="I14360">
        <v>1006</v>
      </c>
      <c r="J14360">
        <v>1006</v>
      </c>
      <c r="K14360">
        <v>102</v>
      </c>
      <c r="L14360">
        <v>0</v>
      </c>
      <c r="M14360">
        <v>866</v>
      </c>
      <c r="N14360">
        <v>51</v>
      </c>
      <c r="O14360">
        <v>17</v>
      </c>
      <c r="P14360">
        <v>0</v>
      </c>
      <c r="Q14360">
        <v>0</v>
      </c>
    </row>
    <row r="14361" spans="1:17" x14ac:dyDescent="0.2">
      <c r="A14361" s="121">
        <v>44043</v>
      </c>
      <c r="B14361" t="s">
        <v>406</v>
      </c>
      <c r="C14361" t="s">
        <v>491</v>
      </c>
      <c r="D14361" t="s">
        <v>494</v>
      </c>
      <c r="E14361" t="s">
        <v>495</v>
      </c>
      <c r="F14361" t="s">
        <v>413</v>
      </c>
      <c r="G14361">
        <v>2066</v>
      </c>
      <c r="H14361">
        <v>2066</v>
      </c>
      <c r="I14361">
        <v>1960</v>
      </c>
      <c r="J14361">
        <v>1960</v>
      </c>
      <c r="K14361">
        <v>454</v>
      </c>
      <c r="L14361">
        <v>3</v>
      </c>
      <c r="M14361">
        <v>1537</v>
      </c>
      <c r="N14361">
        <v>35</v>
      </c>
      <c r="O14361">
        <v>37</v>
      </c>
      <c r="P14361">
        <v>7</v>
      </c>
      <c r="Q14361">
        <v>0</v>
      </c>
    </row>
    <row r="14362" spans="1:17" x14ac:dyDescent="0.2">
      <c r="A14362" s="121">
        <v>44043</v>
      </c>
      <c r="B14362" t="s">
        <v>406</v>
      </c>
      <c r="C14362" t="s">
        <v>491</v>
      </c>
      <c r="D14362" t="s">
        <v>496</v>
      </c>
      <c r="E14362" t="s">
        <v>497</v>
      </c>
      <c r="F14362" t="s">
        <v>413</v>
      </c>
      <c r="G14362">
        <v>4196</v>
      </c>
      <c r="H14362">
        <v>4196</v>
      </c>
      <c r="I14362">
        <v>3960</v>
      </c>
      <c r="J14362">
        <v>3960</v>
      </c>
      <c r="K14362">
        <v>1167</v>
      </c>
      <c r="L14362">
        <v>9</v>
      </c>
      <c r="M14362">
        <v>2863</v>
      </c>
      <c r="N14362">
        <v>102</v>
      </c>
      <c r="O14362">
        <v>55</v>
      </c>
      <c r="P14362">
        <v>17</v>
      </c>
      <c r="Q14362">
        <v>0</v>
      </c>
    </row>
    <row r="14363" spans="1:17" x14ac:dyDescent="0.2">
      <c r="A14363" s="121">
        <v>44043</v>
      </c>
      <c r="B14363" t="s">
        <v>406</v>
      </c>
      <c r="C14363" t="s">
        <v>491</v>
      </c>
      <c r="D14363" t="s">
        <v>498</v>
      </c>
      <c r="E14363" t="s">
        <v>499</v>
      </c>
      <c r="F14363" t="s">
        <v>413</v>
      </c>
      <c r="G14363">
        <v>6075</v>
      </c>
      <c r="H14363">
        <v>6075</v>
      </c>
      <c r="I14363">
        <v>5826</v>
      </c>
      <c r="J14363">
        <v>5826</v>
      </c>
      <c r="K14363">
        <v>1952</v>
      </c>
      <c r="L14363">
        <v>15</v>
      </c>
      <c r="M14363">
        <v>3813</v>
      </c>
      <c r="N14363">
        <v>97</v>
      </c>
      <c r="O14363">
        <v>198</v>
      </c>
      <c r="P14363">
        <v>8</v>
      </c>
      <c r="Q14363">
        <v>0</v>
      </c>
    </row>
    <row r="14364" spans="1:17" x14ac:dyDescent="0.2">
      <c r="A14364" s="121">
        <v>44043</v>
      </c>
      <c r="B14364" t="s">
        <v>406</v>
      </c>
      <c r="C14364" t="s">
        <v>491</v>
      </c>
      <c r="D14364" t="s">
        <v>500</v>
      </c>
      <c r="E14364" t="s">
        <v>620</v>
      </c>
      <c r="F14364" t="s">
        <v>410</v>
      </c>
      <c r="G14364">
        <v>1615</v>
      </c>
      <c r="H14364">
        <v>1615</v>
      </c>
      <c r="I14364">
        <v>1613</v>
      </c>
      <c r="J14364">
        <v>1613</v>
      </c>
      <c r="K14364">
        <v>1</v>
      </c>
      <c r="L14364">
        <v>0</v>
      </c>
      <c r="M14364">
        <v>1453</v>
      </c>
      <c r="N14364">
        <v>96</v>
      </c>
      <c r="O14364">
        <v>65</v>
      </c>
      <c r="P14364">
        <v>0</v>
      </c>
      <c r="Q14364">
        <v>0</v>
      </c>
    </row>
    <row r="14365" spans="1:17" x14ac:dyDescent="0.2">
      <c r="A14365" s="121">
        <v>44043</v>
      </c>
      <c r="B14365" t="s">
        <v>406</v>
      </c>
      <c r="C14365" t="s">
        <v>491</v>
      </c>
      <c r="D14365" t="s">
        <v>502</v>
      </c>
      <c r="E14365" t="s">
        <v>615</v>
      </c>
      <c r="F14365" t="s">
        <v>410</v>
      </c>
      <c r="G14365">
        <v>1103</v>
      </c>
      <c r="H14365">
        <v>1103</v>
      </c>
      <c r="I14365">
        <v>1097</v>
      </c>
      <c r="J14365">
        <v>1097</v>
      </c>
      <c r="K14365">
        <v>0</v>
      </c>
      <c r="L14365">
        <v>0</v>
      </c>
      <c r="M14365">
        <v>1061</v>
      </c>
      <c r="N14365">
        <v>27</v>
      </c>
      <c r="O14365">
        <v>15</v>
      </c>
      <c r="P14365">
        <v>0</v>
      </c>
      <c r="Q14365">
        <v>0</v>
      </c>
    </row>
    <row r="14366" spans="1:17" x14ac:dyDescent="0.2">
      <c r="A14366" s="121">
        <v>44043</v>
      </c>
      <c r="B14366" t="s">
        <v>406</v>
      </c>
      <c r="C14366" t="s">
        <v>491</v>
      </c>
      <c r="D14366" t="s">
        <v>504</v>
      </c>
      <c r="E14366" t="s">
        <v>630</v>
      </c>
      <c r="F14366" t="s">
        <v>413</v>
      </c>
      <c r="G14366">
        <v>7191</v>
      </c>
      <c r="H14366">
        <v>7191</v>
      </c>
      <c r="I14366">
        <v>6830</v>
      </c>
      <c r="J14366">
        <v>6830</v>
      </c>
      <c r="K14366">
        <v>2530</v>
      </c>
      <c r="L14366">
        <v>15</v>
      </c>
      <c r="M14366">
        <v>4462</v>
      </c>
      <c r="N14366">
        <v>56</v>
      </c>
      <c r="O14366">
        <v>128</v>
      </c>
      <c r="P14366">
        <v>7</v>
      </c>
      <c r="Q14366">
        <v>1</v>
      </c>
    </row>
    <row r="14367" spans="1:17" x14ac:dyDescent="0.2">
      <c r="A14367" s="121">
        <v>44043</v>
      </c>
      <c r="B14367" t="s">
        <v>406</v>
      </c>
      <c r="C14367" t="s">
        <v>491</v>
      </c>
      <c r="D14367" t="s">
        <v>506</v>
      </c>
      <c r="E14367" t="s">
        <v>507</v>
      </c>
      <c r="F14367" t="s">
        <v>413</v>
      </c>
      <c r="G14367">
        <v>2774</v>
      </c>
      <c r="H14367">
        <v>2774</v>
      </c>
      <c r="I14367">
        <v>2751</v>
      </c>
      <c r="J14367">
        <v>2751</v>
      </c>
      <c r="K14367">
        <v>530</v>
      </c>
      <c r="L14367">
        <v>1</v>
      </c>
      <c r="M14367">
        <v>2238</v>
      </c>
      <c r="N14367">
        <v>3</v>
      </c>
      <c r="O14367">
        <v>2</v>
      </c>
      <c r="P14367">
        <v>0</v>
      </c>
      <c r="Q14367">
        <v>0</v>
      </c>
    </row>
    <row r="14368" spans="1:17" x14ac:dyDescent="0.2">
      <c r="A14368" s="121">
        <v>44043</v>
      </c>
      <c r="B14368" t="s">
        <v>406</v>
      </c>
      <c r="C14368" t="s">
        <v>510</v>
      </c>
      <c r="D14368" t="s">
        <v>513</v>
      </c>
      <c r="E14368" t="s">
        <v>514</v>
      </c>
      <c r="F14368" t="s">
        <v>410</v>
      </c>
      <c r="G14368">
        <v>533</v>
      </c>
      <c r="I14368">
        <v>528</v>
      </c>
    </row>
    <row r="14369" spans="1:17" x14ac:dyDescent="0.2">
      <c r="A14369" s="121">
        <v>44043</v>
      </c>
      <c r="B14369" t="s">
        <v>406</v>
      </c>
      <c r="C14369" t="s">
        <v>510</v>
      </c>
      <c r="D14369" t="s">
        <v>515</v>
      </c>
      <c r="E14369" t="s">
        <v>516</v>
      </c>
      <c r="F14369" t="s">
        <v>410</v>
      </c>
      <c r="G14369">
        <v>73</v>
      </c>
      <c r="I14369">
        <v>73</v>
      </c>
    </row>
    <row r="14370" spans="1:17" x14ac:dyDescent="0.2">
      <c r="A14370" s="121">
        <v>44043</v>
      </c>
      <c r="B14370" t="s">
        <v>406</v>
      </c>
      <c r="C14370" t="s">
        <v>510</v>
      </c>
      <c r="D14370" t="s">
        <v>519</v>
      </c>
      <c r="E14370" t="s">
        <v>520</v>
      </c>
      <c r="F14370" t="s">
        <v>410</v>
      </c>
      <c r="G14370">
        <v>224</v>
      </c>
      <c r="I14370">
        <v>224</v>
      </c>
    </row>
    <row r="14371" spans="1:17" x14ac:dyDescent="0.2">
      <c r="A14371" s="121">
        <v>44043</v>
      </c>
      <c r="B14371" t="s">
        <v>406</v>
      </c>
      <c r="C14371" t="s">
        <v>510</v>
      </c>
      <c r="D14371" t="s">
        <v>523</v>
      </c>
      <c r="E14371" t="s">
        <v>524</v>
      </c>
      <c r="F14371" t="s">
        <v>413</v>
      </c>
      <c r="G14371">
        <v>542</v>
      </c>
      <c r="H14371">
        <v>542</v>
      </c>
      <c r="I14371">
        <v>524</v>
      </c>
      <c r="J14371">
        <v>524</v>
      </c>
      <c r="K14371">
        <v>130</v>
      </c>
      <c r="L14371">
        <v>3</v>
      </c>
      <c r="M14371">
        <v>388</v>
      </c>
      <c r="N14371">
        <v>16</v>
      </c>
      <c r="O14371">
        <v>5</v>
      </c>
      <c r="P14371">
        <v>0</v>
      </c>
      <c r="Q14371">
        <v>0</v>
      </c>
    </row>
    <row r="14372" spans="1:17" x14ac:dyDescent="0.2">
      <c r="A14372" s="121">
        <v>44043</v>
      </c>
      <c r="B14372" t="s">
        <v>406</v>
      </c>
      <c r="C14372" t="s">
        <v>510</v>
      </c>
      <c r="D14372" t="s">
        <v>525</v>
      </c>
      <c r="E14372" t="s">
        <v>526</v>
      </c>
      <c r="F14372" t="s">
        <v>410</v>
      </c>
      <c r="G14372">
        <v>360</v>
      </c>
      <c r="I14372">
        <v>360</v>
      </c>
    </row>
    <row r="14373" spans="1:17" x14ac:dyDescent="0.2">
      <c r="A14373" s="121">
        <v>44043</v>
      </c>
      <c r="B14373" t="s">
        <v>406</v>
      </c>
      <c r="C14373" t="s">
        <v>510</v>
      </c>
      <c r="D14373" t="s">
        <v>527</v>
      </c>
      <c r="E14373" t="s">
        <v>528</v>
      </c>
      <c r="F14373" t="s">
        <v>410</v>
      </c>
      <c r="G14373">
        <v>5</v>
      </c>
      <c r="I14373">
        <v>5</v>
      </c>
    </row>
    <row r="14374" spans="1:17" x14ac:dyDescent="0.2">
      <c r="A14374" s="121">
        <v>44043</v>
      </c>
      <c r="B14374" t="s">
        <v>406</v>
      </c>
      <c r="C14374" t="s">
        <v>510</v>
      </c>
      <c r="D14374" t="s">
        <v>529</v>
      </c>
      <c r="E14374" t="s">
        <v>530</v>
      </c>
      <c r="F14374" t="s">
        <v>413</v>
      </c>
      <c r="G14374">
        <v>669</v>
      </c>
      <c r="H14374">
        <v>669</v>
      </c>
      <c r="I14374">
        <v>638</v>
      </c>
      <c r="J14374">
        <v>638</v>
      </c>
      <c r="K14374">
        <v>157</v>
      </c>
      <c r="L14374">
        <v>0</v>
      </c>
      <c r="M14374">
        <v>490</v>
      </c>
      <c r="N14374">
        <v>10</v>
      </c>
      <c r="O14374">
        <v>12</v>
      </c>
      <c r="P14374">
        <v>6</v>
      </c>
      <c r="Q14374">
        <v>0</v>
      </c>
    </row>
    <row r="14375" spans="1:17" x14ac:dyDescent="0.2">
      <c r="A14375" s="121">
        <v>44043</v>
      </c>
      <c r="B14375" t="s">
        <v>406</v>
      </c>
      <c r="C14375" t="s">
        <v>510</v>
      </c>
      <c r="D14375" t="s">
        <v>531</v>
      </c>
      <c r="E14375" t="s">
        <v>532</v>
      </c>
      <c r="F14375" t="s">
        <v>410</v>
      </c>
      <c r="G14375">
        <v>15</v>
      </c>
      <c r="I14375">
        <v>15</v>
      </c>
    </row>
    <row r="14376" spans="1:17" x14ac:dyDescent="0.2">
      <c r="A14376" s="121">
        <v>44043</v>
      </c>
      <c r="B14376" t="s">
        <v>406</v>
      </c>
      <c r="C14376" t="s">
        <v>510</v>
      </c>
      <c r="D14376" t="s">
        <v>533</v>
      </c>
      <c r="E14376" t="s">
        <v>534</v>
      </c>
      <c r="F14376" t="s">
        <v>413</v>
      </c>
      <c r="G14376">
        <v>2742</v>
      </c>
      <c r="H14376">
        <v>2742</v>
      </c>
      <c r="I14376">
        <v>2608</v>
      </c>
      <c r="J14376">
        <v>2608</v>
      </c>
      <c r="K14376">
        <v>727</v>
      </c>
      <c r="L14376">
        <v>6</v>
      </c>
      <c r="M14376">
        <v>1908</v>
      </c>
      <c r="N14376">
        <v>18</v>
      </c>
      <c r="O14376">
        <v>83</v>
      </c>
      <c r="P14376">
        <v>5</v>
      </c>
      <c r="Q14376">
        <v>0</v>
      </c>
    </row>
    <row r="14377" spans="1:17" x14ac:dyDescent="0.2">
      <c r="A14377" s="121">
        <v>44043</v>
      </c>
      <c r="B14377" t="s">
        <v>406</v>
      </c>
      <c r="C14377" t="s">
        <v>510</v>
      </c>
      <c r="D14377" t="s">
        <v>535</v>
      </c>
      <c r="E14377" t="s">
        <v>536</v>
      </c>
      <c r="F14377" t="s">
        <v>410</v>
      </c>
      <c r="G14377">
        <v>249</v>
      </c>
      <c r="I14377">
        <v>249</v>
      </c>
    </row>
    <row r="14378" spans="1:17" x14ac:dyDescent="0.2">
      <c r="A14378" s="121">
        <v>44043</v>
      </c>
      <c r="B14378" t="s">
        <v>406</v>
      </c>
      <c r="C14378" t="s">
        <v>510</v>
      </c>
      <c r="D14378" t="s">
        <v>539</v>
      </c>
      <c r="E14378" t="s">
        <v>540</v>
      </c>
      <c r="F14378" t="s">
        <v>413</v>
      </c>
      <c r="G14378">
        <v>676</v>
      </c>
      <c r="H14378">
        <v>676</v>
      </c>
      <c r="I14378">
        <v>650</v>
      </c>
      <c r="J14378">
        <v>650</v>
      </c>
      <c r="K14378">
        <v>111</v>
      </c>
      <c r="L14378">
        <v>0</v>
      </c>
      <c r="M14378">
        <v>541</v>
      </c>
      <c r="N14378">
        <v>16</v>
      </c>
      <c r="O14378">
        <v>8</v>
      </c>
      <c r="P14378">
        <v>0</v>
      </c>
      <c r="Q14378">
        <v>0</v>
      </c>
    </row>
    <row r="14379" spans="1:17" x14ac:dyDescent="0.2">
      <c r="A14379" s="121">
        <v>44043</v>
      </c>
      <c r="B14379" t="s">
        <v>406</v>
      </c>
      <c r="C14379" t="s">
        <v>510</v>
      </c>
      <c r="D14379" t="s">
        <v>541</v>
      </c>
      <c r="E14379" t="s">
        <v>542</v>
      </c>
      <c r="F14379" t="s">
        <v>410</v>
      </c>
      <c r="G14379">
        <v>326</v>
      </c>
      <c r="I14379">
        <v>325</v>
      </c>
    </row>
    <row r="14380" spans="1:17" x14ac:dyDescent="0.2">
      <c r="A14380" s="121">
        <v>44043</v>
      </c>
      <c r="B14380" t="s">
        <v>406</v>
      </c>
      <c r="C14380" t="s">
        <v>510</v>
      </c>
      <c r="D14380" t="s">
        <v>543</v>
      </c>
      <c r="E14380" t="s">
        <v>544</v>
      </c>
      <c r="F14380" t="s">
        <v>410</v>
      </c>
      <c r="G14380">
        <v>104</v>
      </c>
      <c r="I14380">
        <v>104</v>
      </c>
    </row>
    <row r="14381" spans="1:17" x14ac:dyDescent="0.2">
      <c r="A14381" s="121">
        <v>44043</v>
      </c>
      <c r="B14381" t="s">
        <v>406</v>
      </c>
      <c r="C14381" t="s">
        <v>510</v>
      </c>
      <c r="D14381" t="s">
        <v>616</v>
      </c>
      <c r="E14381" t="s">
        <v>617</v>
      </c>
      <c r="F14381" t="s">
        <v>410</v>
      </c>
      <c r="G14381">
        <v>327</v>
      </c>
      <c r="I14381">
        <v>327</v>
      </c>
    </row>
    <row r="14382" spans="1:17" x14ac:dyDescent="0.2">
      <c r="A14382" s="121">
        <v>44043</v>
      </c>
      <c r="B14382" t="s">
        <v>406</v>
      </c>
      <c r="C14382" t="s">
        <v>510</v>
      </c>
      <c r="D14382" t="s">
        <v>549</v>
      </c>
      <c r="E14382" t="s">
        <v>550</v>
      </c>
      <c r="F14382" t="s">
        <v>410</v>
      </c>
      <c r="G14382">
        <v>66</v>
      </c>
      <c r="I14382">
        <v>66</v>
      </c>
    </row>
    <row r="14383" spans="1:17" x14ac:dyDescent="0.2">
      <c r="A14383" s="121">
        <v>44043</v>
      </c>
      <c r="B14383" t="s">
        <v>406</v>
      </c>
      <c r="C14383" t="s">
        <v>510</v>
      </c>
      <c r="D14383" t="s">
        <v>625</v>
      </c>
      <c r="E14383" t="s">
        <v>626</v>
      </c>
      <c r="F14383" t="s">
        <v>410</v>
      </c>
      <c r="G14383">
        <v>92</v>
      </c>
      <c r="I14383">
        <v>91</v>
      </c>
    </row>
    <row r="14384" spans="1:17" x14ac:dyDescent="0.2">
      <c r="A14384" s="121">
        <v>44043</v>
      </c>
      <c r="B14384" t="s">
        <v>406</v>
      </c>
      <c r="C14384" t="s">
        <v>551</v>
      </c>
      <c r="D14384" t="s">
        <v>552</v>
      </c>
      <c r="E14384" t="s">
        <v>553</v>
      </c>
      <c r="F14384" t="s">
        <v>413</v>
      </c>
      <c r="G14384">
        <v>5072</v>
      </c>
      <c r="H14384">
        <v>5072</v>
      </c>
      <c r="I14384">
        <v>4670</v>
      </c>
      <c r="J14384">
        <v>4670</v>
      </c>
      <c r="K14384">
        <v>1653</v>
      </c>
      <c r="L14384">
        <v>8</v>
      </c>
      <c r="M14384">
        <v>3315</v>
      </c>
      <c r="N14384">
        <v>86</v>
      </c>
      <c r="O14384">
        <v>10</v>
      </c>
      <c r="P14384">
        <v>35</v>
      </c>
      <c r="Q14384">
        <v>5</v>
      </c>
    </row>
    <row r="14385" spans="1:17" x14ac:dyDescent="0.2">
      <c r="A14385" s="121">
        <v>44043</v>
      </c>
      <c r="B14385" t="s">
        <v>406</v>
      </c>
      <c r="C14385" t="s">
        <v>551</v>
      </c>
      <c r="D14385" t="s">
        <v>558</v>
      </c>
      <c r="E14385" t="s">
        <v>559</v>
      </c>
      <c r="F14385" t="s">
        <v>413</v>
      </c>
      <c r="G14385">
        <v>4760</v>
      </c>
      <c r="H14385">
        <v>4760</v>
      </c>
      <c r="I14385">
        <v>4474</v>
      </c>
      <c r="J14385">
        <v>4474</v>
      </c>
      <c r="K14385">
        <v>1286</v>
      </c>
      <c r="L14385">
        <v>7</v>
      </c>
      <c r="M14385">
        <v>3390</v>
      </c>
      <c r="N14385">
        <v>75</v>
      </c>
      <c r="O14385">
        <v>2</v>
      </c>
      <c r="P14385">
        <v>14</v>
      </c>
      <c r="Q14385">
        <v>1</v>
      </c>
    </row>
    <row r="14386" spans="1:17" x14ac:dyDescent="0.2">
      <c r="A14386" s="121">
        <v>44043</v>
      </c>
      <c r="B14386" t="s">
        <v>406</v>
      </c>
      <c r="C14386" t="s">
        <v>551</v>
      </c>
      <c r="D14386" t="s">
        <v>560</v>
      </c>
      <c r="E14386" t="s">
        <v>561</v>
      </c>
      <c r="F14386" t="s">
        <v>413</v>
      </c>
      <c r="G14386">
        <v>5695</v>
      </c>
      <c r="H14386">
        <v>5695</v>
      </c>
      <c r="I14386">
        <v>5231</v>
      </c>
      <c r="J14386">
        <v>5231</v>
      </c>
      <c r="K14386">
        <v>1862</v>
      </c>
      <c r="L14386">
        <v>7</v>
      </c>
      <c r="M14386">
        <v>3745</v>
      </c>
      <c r="N14386">
        <v>58</v>
      </c>
      <c r="O14386">
        <v>23</v>
      </c>
      <c r="P14386">
        <v>55</v>
      </c>
      <c r="Q14386">
        <v>6</v>
      </c>
    </row>
    <row r="14387" spans="1:17" x14ac:dyDescent="0.2">
      <c r="A14387" s="121">
        <v>44043</v>
      </c>
      <c r="B14387" t="s">
        <v>406</v>
      </c>
      <c r="C14387" t="s">
        <v>562</v>
      </c>
      <c r="D14387" t="s">
        <v>605</v>
      </c>
      <c r="E14387" t="s">
        <v>606</v>
      </c>
      <c r="F14387" t="s">
        <v>410</v>
      </c>
      <c r="G14387">
        <v>73</v>
      </c>
      <c r="I14387">
        <v>73</v>
      </c>
    </row>
    <row r="14388" spans="1:17" x14ac:dyDescent="0.2">
      <c r="A14388" s="121">
        <v>44043</v>
      </c>
      <c r="B14388" t="s">
        <v>406</v>
      </c>
      <c r="C14388" t="s">
        <v>562</v>
      </c>
      <c r="D14388" t="s">
        <v>563</v>
      </c>
      <c r="E14388" t="s">
        <v>564</v>
      </c>
      <c r="F14388" t="s">
        <v>410</v>
      </c>
      <c r="G14388">
        <v>2672</v>
      </c>
      <c r="H14388">
        <v>2672</v>
      </c>
      <c r="I14388">
        <v>2525</v>
      </c>
      <c r="J14388">
        <v>2525</v>
      </c>
      <c r="K14388">
        <v>983</v>
      </c>
      <c r="L14388">
        <v>0</v>
      </c>
      <c r="M14388">
        <v>1684</v>
      </c>
      <c r="N14388">
        <v>5</v>
      </c>
      <c r="O14388">
        <v>0</v>
      </c>
      <c r="P14388">
        <v>1</v>
      </c>
      <c r="Q14388">
        <v>0</v>
      </c>
    </row>
    <row r="14389" spans="1:17" x14ac:dyDescent="0.2">
      <c r="A14389" s="121">
        <v>44043</v>
      </c>
      <c r="B14389" t="s">
        <v>406</v>
      </c>
      <c r="C14389" t="s">
        <v>562</v>
      </c>
      <c r="D14389" t="s">
        <v>565</v>
      </c>
      <c r="E14389" t="s">
        <v>566</v>
      </c>
      <c r="F14389" t="s">
        <v>413</v>
      </c>
      <c r="G14389">
        <v>4194</v>
      </c>
      <c r="H14389">
        <v>4194</v>
      </c>
      <c r="I14389">
        <v>4018</v>
      </c>
      <c r="J14389">
        <v>4018</v>
      </c>
      <c r="K14389">
        <v>855</v>
      </c>
      <c r="L14389">
        <v>3</v>
      </c>
      <c r="M14389">
        <v>3295</v>
      </c>
      <c r="N14389">
        <v>38</v>
      </c>
      <c r="O14389">
        <v>3</v>
      </c>
      <c r="P14389">
        <v>11</v>
      </c>
      <c r="Q14389">
        <v>0</v>
      </c>
    </row>
    <row r="14390" spans="1:17" x14ac:dyDescent="0.2">
      <c r="A14390" s="121">
        <v>44043</v>
      </c>
      <c r="B14390" t="s">
        <v>406</v>
      </c>
      <c r="C14390" t="s">
        <v>562</v>
      </c>
      <c r="D14390" t="s">
        <v>567</v>
      </c>
      <c r="E14390" t="s">
        <v>568</v>
      </c>
      <c r="F14390" t="s">
        <v>413</v>
      </c>
      <c r="G14390">
        <v>9018</v>
      </c>
      <c r="H14390">
        <v>9018</v>
      </c>
      <c r="I14390">
        <v>8419</v>
      </c>
      <c r="J14390">
        <v>8419</v>
      </c>
      <c r="K14390">
        <v>3396</v>
      </c>
      <c r="L14390">
        <v>10</v>
      </c>
      <c r="M14390">
        <v>5494</v>
      </c>
      <c r="N14390">
        <v>101</v>
      </c>
      <c r="O14390">
        <v>17</v>
      </c>
      <c r="P14390">
        <v>44</v>
      </c>
      <c r="Q14390">
        <v>3</v>
      </c>
    </row>
    <row r="14391" spans="1:17" x14ac:dyDescent="0.2">
      <c r="A14391" s="121">
        <v>44043</v>
      </c>
      <c r="B14391" t="s">
        <v>406</v>
      </c>
      <c r="C14391" t="s">
        <v>562</v>
      </c>
      <c r="D14391" t="s">
        <v>569</v>
      </c>
      <c r="E14391" t="s">
        <v>570</v>
      </c>
      <c r="F14391" t="s">
        <v>413</v>
      </c>
      <c r="G14391">
        <v>3027</v>
      </c>
      <c r="H14391">
        <v>3027</v>
      </c>
      <c r="I14391">
        <v>2959</v>
      </c>
      <c r="J14391">
        <v>2959</v>
      </c>
      <c r="K14391">
        <v>376</v>
      </c>
      <c r="L14391">
        <v>1</v>
      </c>
      <c r="M14391">
        <v>2511</v>
      </c>
      <c r="N14391">
        <v>73</v>
      </c>
      <c r="O14391">
        <v>66</v>
      </c>
      <c r="P14391">
        <v>1</v>
      </c>
      <c r="Q14391">
        <v>0</v>
      </c>
    </row>
    <row r="14392" spans="1:17" x14ac:dyDescent="0.2">
      <c r="A14392" s="121">
        <v>44043</v>
      </c>
      <c r="B14392" t="s">
        <v>406</v>
      </c>
      <c r="C14392" t="s">
        <v>571</v>
      </c>
      <c r="D14392" t="s">
        <v>572</v>
      </c>
      <c r="E14392" t="s">
        <v>627</v>
      </c>
      <c r="F14392" t="s">
        <v>413</v>
      </c>
      <c r="G14392">
        <v>467</v>
      </c>
      <c r="H14392">
        <v>467</v>
      </c>
      <c r="I14392">
        <v>463</v>
      </c>
      <c r="J14392">
        <v>463</v>
      </c>
      <c r="K14392">
        <v>130</v>
      </c>
      <c r="L14392">
        <v>0</v>
      </c>
      <c r="M14392">
        <v>331</v>
      </c>
      <c r="N14392">
        <v>0</v>
      </c>
      <c r="O14392">
        <v>6</v>
      </c>
      <c r="P14392">
        <v>0</v>
      </c>
      <c r="Q14392">
        <v>0</v>
      </c>
    </row>
    <row r="14393" spans="1:17" x14ac:dyDescent="0.2">
      <c r="A14393" s="121">
        <v>44043</v>
      </c>
      <c r="B14393" t="s">
        <v>406</v>
      </c>
      <c r="C14393" t="s">
        <v>574</v>
      </c>
      <c r="D14393" t="s">
        <v>575</v>
      </c>
      <c r="E14393" t="s">
        <v>576</v>
      </c>
      <c r="F14393" t="s">
        <v>413</v>
      </c>
      <c r="G14393">
        <v>521</v>
      </c>
      <c r="H14393">
        <v>521</v>
      </c>
      <c r="I14393">
        <v>519</v>
      </c>
      <c r="J14393">
        <v>519</v>
      </c>
      <c r="K14393">
        <v>119</v>
      </c>
      <c r="L14393">
        <v>1</v>
      </c>
      <c r="M14393">
        <v>390</v>
      </c>
      <c r="N14393">
        <v>2</v>
      </c>
      <c r="O14393">
        <v>9</v>
      </c>
      <c r="P14393">
        <v>0</v>
      </c>
      <c r="Q14393">
        <v>0</v>
      </c>
    </row>
    <row r="14394" spans="1:17" x14ac:dyDescent="0.2">
      <c r="A14394" s="121">
        <v>44043</v>
      </c>
      <c r="B14394" t="s">
        <v>406</v>
      </c>
      <c r="C14394" t="s">
        <v>577</v>
      </c>
      <c r="D14394" t="s">
        <v>578</v>
      </c>
      <c r="E14394" t="s">
        <v>579</v>
      </c>
      <c r="F14394" t="s">
        <v>413</v>
      </c>
      <c r="G14394">
        <v>4184</v>
      </c>
      <c r="H14394">
        <v>4184</v>
      </c>
      <c r="I14394">
        <v>4024</v>
      </c>
      <c r="J14394">
        <v>4024</v>
      </c>
      <c r="K14394">
        <v>1446</v>
      </c>
      <c r="L14394">
        <v>9</v>
      </c>
      <c r="M14394">
        <v>2509</v>
      </c>
      <c r="N14394">
        <v>168</v>
      </c>
      <c r="O14394">
        <v>52</v>
      </c>
      <c r="P14394">
        <v>2</v>
      </c>
      <c r="Q14394">
        <v>0</v>
      </c>
    </row>
    <row r="14395" spans="1:17" x14ac:dyDescent="0.2">
      <c r="A14395" s="121">
        <v>44043</v>
      </c>
      <c r="B14395" t="s">
        <v>406</v>
      </c>
      <c r="C14395" t="s">
        <v>577</v>
      </c>
      <c r="D14395" t="s">
        <v>580</v>
      </c>
      <c r="E14395" t="s">
        <v>581</v>
      </c>
      <c r="F14395" t="s">
        <v>413</v>
      </c>
      <c r="G14395">
        <v>1793</v>
      </c>
      <c r="H14395">
        <v>1793</v>
      </c>
      <c r="I14395">
        <v>1724</v>
      </c>
      <c r="J14395">
        <v>1724</v>
      </c>
      <c r="K14395">
        <v>363</v>
      </c>
      <c r="L14395">
        <v>0</v>
      </c>
      <c r="M14395">
        <v>1257</v>
      </c>
      <c r="N14395">
        <v>161</v>
      </c>
      <c r="O14395">
        <v>12</v>
      </c>
      <c r="P14395">
        <v>4</v>
      </c>
      <c r="Q14395">
        <v>0</v>
      </c>
    </row>
    <row r="14396" spans="1:17" x14ac:dyDescent="0.2">
      <c r="A14396" s="121">
        <v>44043</v>
      </c>
      <c r="B14396" t="s">
        <v>406</v>
      </c>
      <c r="C14396" t="s">
        <v>577</v>
      </c>
      <c r="D14396" t="s">
        <v>586</v>
      </c>
      <c r="E14396" t="s">
        <v>587</v>
      </c>
      <c r="F14396" t="s">
        <v>410</v>
      </c>
      <c r="G14396">
        <v>647</v>
      </c>
      <c r="H14396">
        <v>647</v>
      </c>
      <c r="I14396">
        <v>647</v>
      </c>
      <c r="J14396">
        <v>647</v>
      </c>
      <c r="K14396">
        <v>0</v>
      </c>
      <c r="L14396">
        <v>0</v>
      </c>
      <c r="M14396">
        <v>585</v>
      </c>
      <c r="N14396">
        <v>61</v>
      </c>
      <c r="O14396">
        <v>1</v>
      </c>
      <c r="P14396">
        <v>0</v>
      </c>
      <c r="Q14396">
        <v>0</v>
      </c>
    </row>
    <row r="14397" spans="1:17" x14ac:dyDescent="0.2">
      <c r="A14397" s="121">
        <v>44043</v>
      </c>
      <c r="B14397" t="s">
        <v>406</v>
      </c>
      <c r="C14397" t="s">
        <v>577</v>
      </c>
      <c r="D14397" t="s">
        <v>590</v>
      </c>
      <c r="E14397" t="s">
        <v>591</v>
      </c>
      <c r="F14397" t="s">
        <v>410</v>
      </c>
      <c r="G14397">
        <v>266</v>
      </c>
      <c r="H14397">
        <v>266</v>
      </c>
      <c r="I14397">
        <v>266</v>
      </c>
      <c r="J14397">
        <v>266</v>
      </c>
      <c r="K14397">
        <v>0</v>
      </c>
      <c r="L14397">
        <v>0</v>
      </c>
      <c r="M14397">
        <v>248</v>
      </c>
      <c r="N14397">
        <v>18</v>
      </c>
      <c r="O14397">
        <v>0</v>
      </c>
      <c r="P14397">
        <v>0</v>
      </c>
      <c r="Q14397">
        <v>0</v>
      </c>
    </row>
    <row r="14398" spans="1:17" x14ac:dyDescent="0.2">
      <c r="A14398" s="121">
        <v>44043</v>
      </c>
      <c r="B14398" t="s">
        <v>406</v>
      </c>
      <c r="C14398" t="s">
        <v>594</v>
      </c>
      <c r="D14398" t="s">
        <v>595</v>
      </c>
      <c r="E14398" t="s">
        <v>596</v>
      </c>
      <c r="F14398" t="s">
        <v>410</v>
      </c>
      <c r="G14398">
        <v>26</v>
      </c>
      <c r="I14398">
        <v>26</v>
      </c>
    </row>
    <row r="14399" spans="1:17" x14ac:dyDescent="0.2">
      <c r="A14399" s="121">
        <v>44043</v>
      </c>
      <c r="B14399" t="s">
        <v>406</v>
      </c>
      <c r="C14399" t="s">
        <v>594</v>
      </c>
      <c r="D14399" t="s">
        <v>597</v>
      </c>
      <c r="E14399" t="s">
        <v>598</v>
      </c>
      <c r="F14399" t="s">
        <v>413</v>
      </c>
      <c r="G14399">
        <v>369</v>
      </c>
      <c r="H14399">
        <v>369</v>
      </c>
      <c r="I14399">
        <v>365</v>
      </c>
      <c r="J14399">
        <v>365</v>
      </c>
      <c r="K14399">
        <v>86</v>
      </c>
      <c r="L14399">
        <v>1</v>
      </c>
      <c r="M14399">
        <v>273</v>
      </c>
      <c r="N14399">
        <v>3</v>
      </c>
      <c r="O14399">
        <v>6</v>
      </c>
      <c r="P14399">
        <v>0</v>
      </c>
      <c r="Q14399">
        <v>0</v>
      </c>
    </row>
    <row r="14400" spans="1:17" x14ac:dyDescent="0.2">
      <c r="A14400" s="121">
        <v>44043</v>
      </c>
      <c r="B14400" t="s">
        <v>406</v>
      </c>
      <c r="C14400" t="s">
        <v>594</v>
      </c>
      <c r="D14400" t="s">
        <v>599</v>
      </c>
      <c r="E14400" t="s">
        <v>600</v>
      </c>
      <c r="F14400" t="s">
        <v>410</v>
      </c>
      <c r="G14400">
        <v>95</v>
      </c>
      <c r="H14400">
        <v>95</v>
      </c>
      <c r="I14400">
        <v>94</v>
      </c>
      <c r="J14400">
        <v>94</v>
      </c>
      <c r="K14400">
        <v>8</v>
      </c>
      <c r="L14400">
        <v>0</v>
      </c>
      <c r="M14400">
        <v>86</v>
      </c>
      <c r="N14400">
        <v>1</v>
      </c>
      <c r="O14400">
        <v>0</v>
      </c>
      <c r="P14400">
        <v>0</v>
      </c>
      <c r="Q14400">
        <v>0</v>
      </c>
    </row>
    <row r="14401" spans="1:17" x14ac:dyDescent="0.2">
      <c r="A14401" s="121">
        <v>44074</v>
      </c>
      <c r="B14401" t="s">
        <v>406</v>
      </c>
      <c r="C14401" t="s">
        <v>407</v>
      </c>
      <c r="D14401" t="s">
        <v>408</v>
      </c>
      <c r="E14401" t="s">
        <v>409</v>
      </c>
      <c r="F14401" t="s">
        <v>410</v>
      </c>
      <c r="G14401">
        <v>251</v>
      </c>
      <c r="I14401">
        <v>245</v>
      </c>
    </row>
    <row r="14402" spans="1:17" x14ac:dyDescent="0.2">
      <c r="A14402" s="121">
        <v>44074</v>
      </c>
      <c r="B14402" t="s">
        <v>406</v>
      </c>
      <c r="C14402" t="s">
        <v>407</v>
      </c>
      <c r="D14402" t="s">
        <v>601</v>
      </c>
      <c r="E14402" t="s">
        <v>602</v>
      </c>
      <c r="F14402" t="s">
        <v>410</v>
      </c>
      <c r="G14402">
        <v>80</v>
      </c>
      <c r="I14402">
        <v>79</v>
      </c>
    </row>
    <row r="14403" spans="1:17" x14ac:dyDescent="0.2">
      <c r="A14403" s="121">
        <v>44074</v>
      </c>
      <c r="B14403" t="s">
        <v>406</v>
      </c>
      <c r="C14403" t="s">
        <v>407</v>
      </c>
      <c r="D14403" t="s">
        <v>411</v>
      </c>
      <c r="E14403" t="s">
        <v>412</v>
      </c>
      <c r="F14403" t="s">
        <v>413</v>
      </c>
      <c r="G14403">
        <v>5715</v>
      </c>
      <c r="H14403">
        <v>5715</v>
      </c>
      <c r="I14403">
        <v>5331</v>
      </c>
      <c r="J14403">
        <v>5331</v>
      </c>
      <c r="K14403">
        <v>1644</v>
      </c>
      <c r="L14403">
        <v>2</v>
      </c>
      <c r="M14403">
        <v>3690</v>
      </c>
      <c r="N14403">
        <v>44</v>
      </c>
      <c r="O14403">
        <v>335</v>
      </c>
      <c r="P14403">
        <v>52</v>
      </c>
      <c r="Q14403">
        <v>2</v>
      </c>
    </row>
    <row r="14404" spans="1:17" x14ac:dyDescent="0.2">
      <c r="A14404" s="121">
        <v>44074</v>
      </c>
      <c r="B14404" t="s">
        <v>406</v>
      </c>
      <c r="C14404" t="s">
        <v>407</v>
      </c>
      <c r="D14404" t="s">
        <v>416</v>
      </c>
      <c r="E14404" t="s">
        <v>417</v>
      </c>
      <c r="F14404" t="s">
        <v>413</v>
      </c>
      <c r="G14404">
        <v>3091</v>
      </c>
      <c r="H14404">
        <v>3091</v>
      </c>
      <c r="I14404">
        <v>2893</v>
      </c>
      <c r="J14404">
        <v>2893</v>
      </c>
      <c r="K14404">
        <v>958</v>
      </c>
      <c r="L14404">
        <v>2</v>
      </c>
      <c r="M14404">
        <v>2010</v>
      </c>
      <c r="N14404">
        <v>76</v>
      </c>
      <c r="O14404">
        <v>45</v>
      </c>
      <c r="P14404">
        <v>17</v>
      </c>
      <c r="Q14404">
        <v>1</v>
      </c>
    </row>
    <row r="14405" spans="1:17" x14ac:dyDescent="0.2">
      <c r="A14405" s="121">
        <v>44074</v>
      </c>
      <c r="B14405" t="s">
        <v>406</v>
      </c>
      <c r="C14405" t="s">
        <v>407</v>
      </c>
      <c r="D14405" t="s">
        <v>618</v>
      </c>
      <c r="E14405" t="s">
        <v>619</v>
      </c>
      <c r="F14405" t="s">
        <v>410</v>
      </c>
      <c r="G14405">
        <v>66</v>
      </c>
      <c r="I14405">
        <v>66</v>
      </c>
    </row>
    <row r="14406" spans="1:17" x14ac:dyDescent="0.2">
      <c r="A14406" s="121">
        <v>44074</v>
      </c>
      <c r="B14406" t="s">
        <v>406</v>
      </c>
      <c r="C14406" t="s">
        <v>418</v>
      </c>
      <c r="D14406" t="s">
        <v>427</v>
      </c>
      <c r="E14406" t="s">
        <v>428</v>
      </c>
      <c r="F14406" t="s">
        <v>413</v>
      </c>
      <c r="G14406">
        <v>2520</v>
      </c>
      <c r="H14406">
        <v>2520</v>
      </c>
      <c r="I14406">
        <v>2184</v>
      </c>
      <c r="J14406">
        <v>2184</v>
      </c>
      <c r="K14406">
        <v>735</v>
      </c>
      <c r="L14406">
        <v>3</v>
      </c>
      <c r="M14406">
        <v>1744</v>
      </c>
      <c r="N14406">
        <v>29</v>
      </c>
      <c r="O14406">
        <v>9</v>
      </c>
      <c r="P14406">
        <v>55</v>
      </c>
      <c r="Q14406">
        <v>20</v>
      </c>
    </row>
    <row r="14407" spans="1:17" x14ac:dyDescent="0.2">
      <c r="A14407" s="121">
        <v>44074</v>
      </c>
      <c r="B14407" t="s">
        <v>406</v>
      </c>
      <c r="C14407" t="s">
        <v>429</v>
      </c>
      <c r="D14407" t="s">
        <v>438</v>
      </c>
      <c r="E14407" t="s">
        <v>439</v>
      </c>
      <c r="F14407" t="s">
        <v>413</v>
      </c>
      <c r="G14407">
        <v>1126</v>
      </c>
      <c r="H14407">
        <v>1126</v>
      </c>
      <c r="I14407">
        <v>1059</v>
      </c>
      <c r="J14407">
        <v>1059</v>
      </c>
      <c r="K14407">
        <v>76</v>
      </c>
      <c r="L14407">
        <v>2</v>
      </c>
      <c r="M14407">
        <v>962</v>
      </c>
      <c r="N14407">
        <v>55</v>
      </c>
      <c r="O14407">
        <v>31</v>
      </c>
      <c r="P14407">
        <v>11</v>
      </c>
      <c r="Q14407">
        <v>0</v>
      </c>
    </row>
    <row r="14408" spans="1:17" x14ac:dyDescent="0.2">
      <c r="A14408" s="121">
        <v>44074</v>
      </c>
      <c r="B14408" t="s">
        <v>406</v>
      </c>
      <c r="C14408" t="s">
        <v>429</v>
      </c>
      <c r="D14408" t="s">
        <v>440</v>
      </c>
      <c r="E14408" t="s">
        <v>441</v>
      </c>
      <c r="F14408" t="s">
        <v>413</v>
      </c>
      <c r="G14408">
        <v>2893</v>
      </c>
      <c r="H14408">
        <v>2893</v>
      </c>
      <c r="I14408">
        <v>2700</v>
      </c>
      <c r="J14408">
        <v>2700</v>
      </c>
      <c r="K14408">
        <v>829</v>
      </c>
      <c r="L14408">
        <v>4</v>
      </c>
      <c r="M14408">
        <v>1986</v>
      </c>
      <c r="N14408">
        <v>30</v>
      </c>
      <c r="O14408">
        <v>44</v>
      </c>
      <c r="P14408">
        <v>5</v>
      </c>
      <c r="Q14408">
        <v>0</v>
      </c>
    </row>
    <row r="14409" spans="1:17" x14ac:dyDescent="0.2">
      <c r="A14409" s="121">
        <v>44074</v>
      </c>
      <c r="B14409" t="s">
        <v>406</v>
      </c>
      <c r="C14409" t="s">
        <v>442</v>
      </c>
      <c r="D14409" t="s">
        <v>443</v>
      </c>
      <c r="E14409" t="s">
        <v>444</v>
      </c>
      <c r="F14409" t="s">
        <v>413</v>
      </c>
      <c r="G14409">
        <v>5229</v>
      </c>
      <c r="H14409">
        <v>5229</v>
      </c>
      <c r="I14409">
        <v>4911</v>
      </c>
      <c r="J14409">
        <v>4911</v>
      </c>
      <c r="K14409">
        <v>1562</v>
      </c>
      <c r="L14409">
        <v>5</v>
      </c>
      <c r="M14409">
        <v>3536</v>
      </c>
      <c r="N14409">
        <v>43</v>
      </c>
      <c r="O14409">
        <v>83</v>
      </c>
      <c r="P14409">
        <v>7</v>
      </c>
      <c r="Q14409">
        <v>0</v>
      </c>
    </row>
    <row r="14410" spans="1:17" x14ac:dyDescent="0.2">
      <c r="A14410" s="121">
        <v>44074</v>
      </c>
      <c r="B14410" t="s">
        <v>406</v>
      </c>
      <c r="C14410" t="s">
        <v>442</v>
      </c>
      <c r="D14410" t="s">
        <v>445</v>
      </c>
      <c r="E14410" t="s">
        <v>446</v>
      </c>
      <c r="F14410" t="s">
        <v>410</v>
      </c>
      <c r="G14410">
        <v>133</v>
      </c>
      <c r="H14410">
        <v>133</v>
      </c>
      <c r="I14410">
        <v>131</v>
      </c>
      <c r="J14410">
        <v>131</v>
      </c>
      <c r="K14410">
        <v>0</v>
      </c>
      <c r="L14410">
        <v>0</v>
      </c>
      <c r="M14410">
        <v>124</v>
      </c>
      <c r="N14410">
        <v>1</v>
      </c>
      <c r="O14410">
        <v>8</v>
      </c>
      <c r="P14410">
        <v>0</v>
      </c>
      <c r="Q14410">
        <v>0</v>
      </c>
    </row>
    <row r="14411" spans="1:17" x14ac:dyDescent="0.2">
      <c r="A14411" s="121">
        <v>44074</v>
      </c>
      <c r="B14411" t="s">
        <v>406</v>
      </c>
      <c r="C14411" t="s">
        <v>442</v>
      </c>
      <c r="D14411" t="s">
        <v>447</v>
      </c>
      <c r="E14411" t="s">
        <v>448</v>
      </c>
      <c r="F14411" t="s">
        <v>410</v>
      </c>
      <c r="G14411">
        <v>219</v>
      </c>
      <c r="H14411">
        <v>219</v>
      </c>
      <c r="I14411">
        <v>219</v>
      </c>
      <c r="J14411">
        <v>219</v>
      </c>
      <c r="K14411">
        <v>0</v>
      </c>
      <c r="L14411">
        <v>0</v>
      </c>
      <c r="M14411">
        <v>208</v>
      </c>
      <c r="N14411">
        <v>11</v>
      </c>
      <c r="O14411">
        <v>0</v>
      </c>
      <c r="P14411">
        <v>0</v>
      </c>
      <c r="Q14411">
        <v>0</v>
      </c>
    </row>
    <row r="14412" spans="1:17" x14ac:dyDescent="0.2">
      <c r="A14412" s="121">
        <v>44074</v>
      </c>
      <c r="B14412" t="s">
        <v>406</v>
      </c>
      <c r="C14412" t="s">
        <v>442</v>
      </c>
      <c r="D14412" t="s">
        <v>449</v>
      </c>
      <c r="E14412" t="s">
        <v>624</v>
      </c>
      <c r="F14412" t="s">
        <v>410</v>
      </c>
      <c r="G14412">
        <v>1487</v>
      </c>
      <c r="H14412">
        <v>1487</v>
      </c>
      <c r="I14412">
        <v>1484</v>
      </c>
      <c r="J14412">
        <v>1484</v>
      </c>
      <c r="K14412">
        <v>12</v>
      </c>
      <c r="L14412">
        <v>0</v>
      </c>
      <c r="M14412">
        <v>1398</v>
      </c>
      <c r="N14412">
        <v>64</v>
      </c>
      <c r="O14412">
        <v>13</v>
      </c>
      <c r="P14412">
        <v>1</v>
      </c>
      <c r="Q14412">
        <v>0</v>
      </c>
    </row>
    <row r="14413" spans="1:17" x14ac:dyDescent="0.2">
      <c r="A14413" s="121">
        <v>44074</v>
      </c>
      <c r="B14413" t="s">
        <v>406</v>
      </c>
      <c r="C14413" t="s">
        <v>451</v>
      </c>
      <c r="D14413" t="s">
        <v>454</v>
      </c>
      <c r="E14413" t="s">
        <v>621</v>
      </c>
      <c r="F14413" t="s">
        <v>410</v>
      </c>
      <c r="G14413">
        <v>2460</v>
      </c>
      <c r="H14413">
        <v>2460</v>
      </c>
      <c r="I14413">
        <v>2444</v>
      </c>
      <c r="J14413">
        <v>2444</v>
      </c>
      <c r="K14413">
        <v>12</v>
      </c>
      <c r="L14413">
        <v>0</v>
      </c>
      <c r="M14413">
        <v>2201</v>
      </c>
      <c r="N14413">
        <v>2</v>
      </c>
      <c r="O14413">
        <v>245</v>
      </c>
      <c r="P14413">
        <v>0</v>
      </c>
      <c r="Q14413">
        <v>0</v>
      </c>
    </row>
    <row r="14414" spans="1:17" x14ac:dyDescent="0.2">
      <c r="A14414" s="121">
        <v>44074</v>
      </c>
      <c r="B14414" t="s">
        <v>406</v>
      </c>
      <c r="C14414" t="s">
        <v>451</v>
      </c>
      <c r="D14414" t="s">
        <v>622</v>
      </c>
      <c r="E14414" t="s">
        <v>623</v>
      </c>
      <c r="F14414" t="s">
        <v>413</v>
      </c>
      <c r="G14414">
        <v>4292</v>
      </c>
      <c r="H14414">
        <v>4292</v>
      </c>
      <c r="I14414">
        <v>3846</v>
      </c>
      <c r="J14414">
        <v>3846</v>
      </c>
      <c r="K14414">
        <v>1423</v>
      </c>
      <c r="L14414">
        <v>10</v>
      </c>
      <c r="M14414">
        <v>2731</v>
      </c>
      <c r="N14414">
        <v>29</v>
      </c>
      <c r="O14414">
        <v>99</v>
      </c>
      <c r="P14414">
        <v>17</v>
      </c>
      <c r="Q14414">
        <v>3</v>
      </c>
    </row>
    <row r="14415" spans="1:17" x14ac:dyDescent="0.2">
      <c r="A14415" s="121">
        <v>44074</v>
      </c>
      <c r="B14415" t="s">
        <v>406</v>
      </c>
      <c r="C14415" t="s">
        <v>456</v>
      </c>
      <c r="D14415" t="s">
        <v>457</v>
      </c>
      <c r="E14415" t="s">
        <v>458</v>
      </c>
      <c r="F14415" t="s">
        <v>413</v>
      </c>
      <c r="G14415">
        <v>4341</v>
      </c>
      <c r="H14415">
        <v>4341</v>
      </c>
      <c r="I14415">
        <v>3881</v>
      </c>
      <c r="J14415">
        <v>3881</v>
      </c>
      <c r="K14415">
        <v>1335</v>
      </c>
      <c r="L14415">
        <v>15</v>
      </c>
      <c r="M14415">
        <v>2859</v>
      </c>
      <c r="N14415">
        <v>10</v>
      </c>
      <c r="O14415">
        <v>122</v>
      </c>
      <c r="P14415">
        <v>25</v>
      </c>
      <c r="Q14415">
        <v>1</v>
      </c>
    </row>
    <row r="14416" spans="1:17" x14ac:dyDescent="0.2">
      <c r="A14416" s="121">
        <v>44074</v>
      </c>
      <c r="B14416" t="s">
        <v>406</v>
      </c>
      <c r="C14416" t="s">
        <v>456</v>
      </c>
      <c r="D14416" t="s">
        <v>459</v>
      </c>
      <c r="E14416" t="s">
        <v>460</v>
      </c>
      <c r="F14416" t="s">
        <v>413</v>
      </c>
      <c r="G14416">
        <v>1178</v>
      </c>
      <c r="H14416">
        <v>1178</v>
      </c>
      <c r="I14416">
        <v>1161</v>
      </c>
      <c r="J14416">
        <v>1161</v>
      </c>
      <c r="K14416">
        <v>102</v>
      </c>
      <c r="L14416">
        <v>0</v>
      </c>
      <c r="M14416">
        <v>1070</v>
      </c>
      <c r="N14416">
        <v>0</v>
      </c>
      <c r="O14416">
        <v>6</v>
      </c>
      <c r="P14416">
        <v>0</v>
      </c>
      <c r="Q14416">
        <v>0</v>
      </c>
    </row>
    <row r="14417" spans="1:17" x14ac:dyDescent="0.2">
      <c r="A14417" s="121">
        <v>44074</v>
      </c>
      <c r="B14417" t="s">
        <v>406</v>
      </c>
      <c r="C14417" t="s">
        <v>456</v>
      </c>
      <c r="D14417" t="s">
        <v>467</v>
      </c>
      <c r="E14417" t="s">
        <v>468</v>
      </c>
      <c r="F14417" t="s">
        <v>410</v>
      </c>
      <c r="G14417">
        <v>744</v>
      </c>
      <c r="I14417">
        <v>744</v>
      </c>
    </row>
    <row r="14418" spans="1:17" x14ac:dyDescent="0.2">
      <c r="A14418" s="121">
        <v>44074</v>
      </c>
      <c r="B14418" t="s">
        <v>406</v>
      </c>
      <c r="C14418" t="s">
        <v>456</v>
      </c>
      <c r="D14418" t="s">
        <v>469</v>
      </c>
      <c r="E14418" t="s">
        <v>470</v>
      </c>
      <c r="F14418" t="s">
        <v>410</v>
      </c>
      <c r="G14418">
        <v>491</v>
      </c>
      <c r="I14418">
        <v>491</v>
      </c>
    </row>
    <row r="14419" spans="1:17" x14ac:dyDescent="0.2">
      <c r="A14419" s="121">
        <v>44074</v>
      </c>
      <c r="B14419" t="s">
        <v>406</v>
      </c>
      <c r="C14419" t="s">
        <v>456</v>
      </c>
      <c r="D14419" t="s">
        <v>471</v>
      </c>
      <c r="E14419" t="s">
        <v>472</v>
      </c>
      <c r="F14419" t="s">
        <v>410</v>
      </c>
      <c r="G14419">
        <v>280</v>
      </c>
      <c r="I14419">
        <v>278</v>
      </c>
    </row>
    <row r="14420" spans="1:17" x14ac:dyDescent="0.2">
      <c r="A14420" s="121">
        <v>44074</v>
      </c>
      <c r="B14420" t="s">
        <v>406</v>
      </c>
      <c r="C14420" t="s">
        <v>456</v>
      </c>
      <c r="D14420" t="s">
        <v>477</v>
      </c>
      <c r="E14420" t="s">
        <v>478</v>
      </c>
      <c r="F14420" t="s">
        <v>413</v>
      </c>
      <c r="G14420">
        <v>2093</v>
      </c>
      <c r="H14420">
        <v>2093</v>
      </c>
      <c r="I14420">
        <v>1961</v>
      </c>
      <c r="J14420">
        <v>1961</v>
      </c>
      <c r="K14420">
        <v>510</v>
      </c>
      <c r="L14420">
        <v>4</v>
      </c>
      <c r="M14420">
        <v>1565</v>
      </c>
      <c r="N14420">
        <v>8</v>
      </c>
      <c r="O14420">
        <v>6</v>
      </c>
      <c r="P14420">
        <v>9</v>
      </c>
      <c r="Q14420">
        <v>1</v>
      </c>
    </row>
    <row r="14421" spans="1:17" x14ac:dyDescent="0.2">
      <c r="A14421" s="121">
        <v>44074</v>
      </c>
      <c r="B14421" t="s">
        <v>406</v>
      </c>
      <c r="C14421" t="s">
        <v>456</v>
      </c>
      <c r="D14421" t="s">
        <v>481</v>
      </c>
      <c r="E14421" t="s">
        <v>482</v>
      </c>
      <c r="F14421" t="s">
        <v>410</v>
      </c>
      <c r="G14421">
        <v>2</v>
      </c>
      <c r="I14421">
        <v>2</v>
      </c>
    </row>
    <row r="14422" spans="1:17" x14ac:dyDescent="0.2">
      <c r="A14422" s="121">
        <v>44074</v>
      </c>
      <c r="B14422" t="s">
        <v>406</v>
      </c>
      <c r="C14422" t="s">
        <v>491</v>
      </c>
      <c r="D14422" t="s">
        <v>492</v>
      </c>
      <c r="E14422" t="s">
        <v>493</v>
      </c>
      <c r="F14422" t="s">
        <v>410</v>
      </c>
      <c r="G14422">
        <v>1198</v>
      </c>
      <c r="H14422">
        <v>1198</v>
      </c>
      <c r="I14422">
        <v>1172</v>
      </c>
      <c r="J14422">
        <v>1172</v>
      </c>
      <c r="K14422">
        <v>116</v>
      </c>
      <c r="L14422">
        <v>1</v>
      </c>
      <c r="M14422">
        <v>998</v>
      </c>
      <c r="N14422">
        <v>64</v>
      </c>
      <c r="O14422">
        <v>19</v>
      </c>
      <c r="P14422">
        <v>0</v>
      </c>
      <c r="Q14422">
        <v>0</v>
      </c>
    </row>
    <row r="14423" spans="1:17" x14ac:dyDescent="0.2">
      <c r="A14423" s="121">
        <v>44074</v>
      </c>
      <c r="B14423" t="s">
        <v>406</v>
      </c>
      <c r="C14423" t="s">
        <v>491</v>
      </c>
      <c r="D14423" t="s">
        <v>494</v>
      </c>
      <c r="E14423" t="s">
        <v>495</v>
      </c>
      <c r="F14423" t="s">
        <v>413</v>
      </c>
      <c r="G14423">
        <v>2276</v>
      </c>
      <c r="H14423">
        <v>2276</v>
      </c>
      <c r="I14423">
        <v>2109</v>
      </c>
      <c r="J14423">
        <v>2109</v>
      </c>
      <c r="K14423">
        <v>494</v>
      </c>
      <c r="L14423">
        <v>4</v>
      </c>
      <c r="M14423">
        <v>1691</v>
      </c>
      <c r="N14423">
        <v>27</v>
      </c>
      <c r="O14423">
        <v>60</v>
      </c>
      <c r="P14423">
        <v>8</v>
      </c>
      <c r="Q14423">
        <v>0</v>
      </c>
    </row>
    <row r="14424" spans="1:17" x14ac:dyDescent="0.2">
      <c r="A14424" s="121">
        <v>44074</v>
      </c>
      <c r="B14424" t="s">
        <v>406</v>
      </c>
      <c r="C14424" t="s">
        <v>491</v>
      </c>
      <c r="D14424" t="s">
        <v>496</v>
      </c>
      <c r="E14424" t="s">
        <v>497</v>
      </c>
      <c r="F14424" t="s">
        <v>413</v>
      </c>
      <c r="G14424">
        <v>4654</v>
      </c>
      <c r="H14424">
        <v>4654</v>
      </c>
      <c r="I14424">
        <v>4325</v>
      </c>
      <c r="J14424">
        <v>4325</v>
      </c>
      <c r="K14424">
        <v>1260</v>
      </c>
      <c r="L14424">
        <v>7</v>
      </c>
      <c r="M14424">
        <v>3197</v>
      </c>
      <c r="N14424">
        <v>97</v>
      </c>
      <c r="O14424">
        <v>93</v>
      </c>
      <c r="P14424">
        <v>39</v>
      </c>
      <c r="Q14424">
        <v>0</v>
      </c>
    </row>
    <row r="14425" spans="1:17" x14ac:dyDescent="0.2">
      <c r="A14425" s="121">
        <v>44074</v>
      </c>
      <c r="B14425" t="s">
        <v>406</v>
      </c>
      <c r="C14425" t="s">
        <v>491</v>
      </c>
      <c r="D14425" t="s">
        <v>498</v>
      </c>
      <c r="E14425" t="s">
        <v>499</v>
      </c>
      <c r="F14425" t="s">
        <v>413</v>
      </c>
      <c r="G14425">
        <v>6447</v>
      </c>
      <c r="H14425">
        <v>6447</v>
      </c>
      <c r="I14425">
        <v>6136</v>
      </c>
      <c r="J14425">
        <v>6136</v>
      </c>
      <c r="K14425">
        <v>2199</v>
      </c>
      <c r="L14425">
        <v>12</v>
      </c>
      <c r="M14425">
        <v>3930</v>
      </c>
      <c r="N14425">
        <v>122</v>
      </c>
      <c r="O14425">
        <v>184</v>
      </c>
      <c r="P14425">
        <v>10</v>
      </c>
      <c r="Q14425">
        <v>0</v>
      </c>
    </row>
    <row r="14426" spans="1:17" x14ac:dyDescent="0.2">
      <c r="A14426" s="121">
        <v>44074</v>
      </c>
      <c r="B14426" t="s">
        <v>406</v>
      </c>
      <c r="C14426" t="s">
        <v>491</v>
      </c>
      <c r="D14426" t="s">
        <v>500</v>
      </c>
      <c r="E14426" t="s">
        <v>620</v>
      </c>
      <c r="F14426" t="s">
        <v>410</v>
      </c>
      <c r="G14426">
        <v>1817</v>
      </c>
      <c r="H14426">
        <v>1817</v>
      </c>
      <c r="I14426">
        <v>1816</v>
      </c>
      <c r="J14426">
        <v>1816</v>
      </c>
      <c r="K14426">
        <v>0</v>
      </c>
      <c r="L14426">
        <v>0</v>
      </c>
      <c r="M14426">
        <v>1638</v>
      </c>
      <c r="N14426">
        <v>113</v>
      </c>
      <c r="O14426">
        <v>66</v>
      </c>
      <c r="P14426">
        <v>0</v>
      </c>
      <c r="Q14426">
        <v>0</v>
      </c>
    </row>
    <row r="14427" spans="1:17" x14ac:dyDescent="0.2">
      <c r="A14427" s="121">
        <v>44074</v>
      </c>
      <c r="B14427" t="s">
        <v>406</v>
      </c>
      <c r="C14427" t="s">
        <v>491</v>
      </c>
      <c r="D14427" t="s">
        <v>502</v>
      </c>
      <c r="E14427" t="s">
        <v>615</v>
      </c>
      <c r="F14427" t="s">
        <v>410</v>
      </c>
      <c r="G14427">
        <v>1932</v>
      </c>
      <c r="H14427">
        <v>1932</v>
      </c>
      <c r="I14427">
        <v>1919</v>
      </c>
      <c r="J14427">
        <v>1919</v>
      </c>
      <c r="K14427">
        <v>0</v>
      </c>
      <c r="L14427">
        <v>2</v>
      </c>
      <c r="M14427">
        <v>1842</v>
      </c>
      <c r="N14427">
        <v>61</v>
      </c>
      <c r="O14427">
        <v>27</v>
      </c>
      <c r="P14427">
        <v>0</v>
      </c>
      <c r="Q14427">
        <v>0</v>
      </c>
    </row>
    <row r="14428" spans="1:17" x14ac:dyDescent="0.2">
      <c r="A14428" s="121">
        <v>44074</v>
      </c>
      <c r="B14428" t="s">
        <v>406</v>
      </c>
      <c r="C14428" t="s">
        <v>491</v>
      </c>
      <c r="D14428" t="s">
        <v>504</v>
      </c>
      <c r="E14428" t="s">
        <v>630</v>
      </c>
      <c r="F14428" t="s">
        <v>413</v>
      </c>
      <c r="G14428">
        <v>7395</v>
      </c>
      <c r="H14428">
        <v>7395</v>
      </c>
      <c r="I14428">
        <v>6624</v>
      </c>
      <c r="J14428">
        <v>6624</v>
      </c>
      <c r="K14428">
        <v>2677</v>
      </c>
      <c r="L14428">
        <v>16</v>
      </c>
      <c r="M14428">
        <v>4487</v>
      </c>
      <c r="N14428">
        <v>60</v>
      </c>
      <c r="O14428">
        <v>155</v>
      </c>
      <c r="P14428">
        <v>28</v>
      </c>
      <c r="Q14428">
        <v>0</v>
      </c>
    </row>
    <row r="14429" spans="1:17" x14ac:dyDescent="0.2">
      <c r="A14429" s="121">
        <v>44074</v>
      </c>
      <c r="B14429" t="s">
        <v>406</v>
      </c>
      <c r="C14429" t="s">
        <v>491</v>
      </c>
      <c r="D14429" t="s">
        <v>506</v>
      </c>
      <c r="E14429" t="s">
        <v>507</v>
      </c>
      <c r="F14429" t="s">
        <v>413</v>
      </c>
      <c r="G14429">
        <v>3151</v>
      </c>
      <c r="H14429">
        <v>3151</v>
      </c>
      <c r="I14429">
        <v>3094</v>
      </c>
      <c r="J14429">
        <v>3094</v>
      </c>
      <c r="K14429">
        <v>697</v>
      </c>
      <c r="L14429">
        <v>0</v>
      </c>
      <c r="M14429">
        <v>2447</v>
      </c>
      <c r="N14429">
        <v>1</v>
      </c>
      <c r="O14429">
        <v>6</v>
      </c>
      <c r="P14429">
        <v>0</v>
      </c>
      <c r="Q14429">
        <v>0</v>
      </c>
    </row>
    <row r="14430" spans="1:17" x14ac:dyDescent="0.2">
      <c r="A14430" s="121">
        <v>44074</v>
      </c>
      <c r="B14430" t="s">
        <v>406</v>
      </c>
      <c r="C14430" t="s">
        <v>510</v>
      </c>
      <c r="D14430" t="s">
        <v>513</v>
      </c>
      <c r="E14430" t="s">
        <v>514</v>
      </c>
      <c r="F14430" t="s">
        <v>410</v>
      </c>
      <c r="G14430">
        <v>537</v>
      </c>
      <c r="I14430">
        <v>537</v>
      </c>
    </row>
    <row r="14431" spans="1:17" x14ac:dyDescent="0.2">
      <c r="A14431" s="121">
        <v>44074</v>
      </c>
      <c r="B14431" t="s">
        <v>406</v>
      </c>
      <c r="C14431" t="s">
        <v>510</v>
      </c>
      <c r="D14431" t="s">
        <v>515</v>
      </c>
      <c r="E14431" t="s">
        <v>516</v>
      </c>
      <c r="F14431" t="s">
        <v>410</v>
      </c>
      <c r="G14431">
        <v>98</v>
      </c>
      <c r="I14431">
        <v>96</v>
      </c>
    </row>
    <row r="14432" spans="1:17" x14ac:dyDescent="0.2">
      <c r="A14432" s="121">
        <v>44074</v>
      </c>
      <c r="B14432" t="s">
        <v>406</v>
      </c>
      <c r="C14432" t="s">
        <v>510</v>
      </c>
      <c r="D14432" t="s">
        <v>519</v>
      </c>
      <c r="E14432" t="s">
        <v>520</v>
      </c>
      <c r="F14432" t="s">
        <v>410</v>
      </c>
      <c r="G14432">
        <v>135</v>
      </c>
      <c r="I14432">
        <v>135</v>
      </c>
    </row>
    <row r="14433" spans="1:17" x14ac:dyDescent="0.2">
      <c r="A14433" s="121">
        <v>44074</v>
      </c>
      <c r="B14433" t="s">
        <v>406</v>
      </c>
      <c r="C14433" t="s">
        <v>510</v>
      </c>
      <c r="D14433" t="s">
        <v>523</v>
      </c>
      <c r="E14433" t="s">
        <v>524</v>
      </c>
      <c r="F14433" t="s">
        <v>413</v>
      </c>
      <c r="G14433">
        <v>707</v>
      </c>
      <c r="H14433">
        <v>707</v>
      </c>
      <c r="I14433">
        <v>693</v>
      </c>
      <c r="J14433">
        <v>693</v>
      </c>
      <c r="K14433">
        <v>149</v>
      </c>
      <c r="L14433">
        <v>0</v>
      </c>
      <c r="M14433">
        <v>530</v>
      </c>
      <c r="N14433">
        <v>11</v>
      </c>
      <c r="O14433">
        <v>17</v>
      </c>
      <c r="P14433">
        <v>0</v>
      </c>
      <c r="Q14433">
        <v>0</v>
      </c>
    </row>
    <row r="14434" spans="1:17" x14ac:dyDescent="0.2">
      <c r="A14434" s="121">
        <v>44074</v>
      </c>
      <c r="B14434" t="s">
        <v>406</v>
      </c>
      <c r="C14434" t="s">
        <v>510</v>
      </c>
      <c r="D14434" t="s">
        <v>525</v>
      </c>
      <c r="E14434" t="s">
        <v>526</v>
      </c>
      <c r="F14434" t="s">
        <v>410</v>
      </c>
      <c r="G14434">
        <v>445</v>
      </c>
      <c r="I14434">
        <v>445</v>
      </c>
    </row>
    <row r="14435" spans="1:17" x14ac:dyDescent="0.2">
      <c r="A14435" s="121">
        <v>44074</v>
      </c>
      <c r="B14435" t="s">
        <v>406</v>
      </c>
      <c r="C14435" t="s">
        <v>510</v>
      </c>
      <c r="D14435" t="s">
        <v>527</v>
      </c>
      <c r="E14435" t="s">
        <v>528</v>
      </c>
      <c r="F14435" t="s">
        <v>410</v>
      </c>
      <c r="G14435">
        <v>7</v>
      </c>
      <c r="I14435">
        <v>7</v>
      </c>
    </row>
    <row r="14436" spans="1:17" x14ac:dyDescent="0.2">
      <c r="A14436" s="121">
        <v>44074</v>
      </c>
      <c r="B14436" t="s">
        <v>406</v>
      </c>
      <c r="C14436" t="s">
        <v>510</v>
      </c>
      <c r="D14436" t="s">
        <v>529</v>
      </c>
      <c r="E14436" t="s">
        <v>530</v>
      </c>
      <c r="F14436" t="s">
        <v>413</v>
      </c>
      <c r="G14436">
        <v>704</v>
      </c>
      <c r="H14436">
        <v>704</v>
      </c>
      <c r="I14436">
        <v>675</v>
      </c>
      <c r="J14436">
        <v>675</v>
      </c>
      <c r="K14436">
        <v>128</v>
      </c>
      <c r="L14436">
        <v>4</v>
      </c>
      <c r="M14436">
        <v>549</v>
      </c>
      <c r="N14436">
        <v>11</v>
      </c>
      <c r="O14436">
        <v>12</v>
      </c>
      <c r="P14436">
        <v>2</v>
      </c>
      <c r="Q14436">
        <v>0</v>
      </c>
    </row>
    <row r="14437" spans="1:17" x14ac:dyDescent="0.2">
      <c r="A14437" s="121">
        <v>44074</v>
      </c>
      <c r="B14437" t="s">
        <v>406</v>
      </c>
      <c r="C14437" t="s">
        <v>510</v>
      </c>
      <c r="D14437" t="s">
        <v>531</v>
      </c>
      <c r="E14437" t="s">
        <v>532</v>
      </c>
      <c r="F14437" t="s">
        <v>410</v>
      </c>
      <c r="G14437">
        <v>39</v>
      </c>
      <c r="I14437">
        <v>39</v>
      </c>
    </row>
    <row r="14438" spans="1:17" x14ac:dyDescent="0.2">
      <c r="A14438" s="121">
        <v>44074</v>
      </c>
      <c r="B14438" t="s">
        <v>406</v>
      </c>
      <c r="C14438" t="s">
        <v>510</v>
      </c>
      <c r="D14438" t="s">
        <v>533</v>
      </c>
      <c r="E14438" t="s">
        <v>534</v>
      </c>
      <c r="F14438" t="s">
        <v>413</v>
      </c>
      <c r="G14438">
        <v>3160</v>
      </c>
      <c r="H14438">
        <v>3160</v>
      </c>
      <c r="I14438">
        <v>2836</v>
      </c>
      <c r="J14438">
        <v>2836</v>
      </c>
      <c r="K14438">
        <v>765</v>
      </c>
      <c r="L14438">
        <v>5</v>
      </c>
      <c r="M14438">
        <v>2217</v>
      </c>
      <c r="N14438">
        <v>31</v>
      </c>
      <c r="O14438">
        <v>142</v>
      </c>
      <c r="P14438">
        <v>14</v>
      </c>
      <c r="Q14438">
        <v>1</v>
      </c>
    </row>
    <row r="14439" spans="1:17" x14ac:dyDescent="0.2">
      <c r="A14439" s="121">
        <v>44074</v>
      </c>
      <c r="B14439" t="s">
        <v>406</v>
      </c>
      <c r="C14439" t="s">
        <v>510</v>
      </c>
      <c r="D14439" t="s">
        <v>535</v>
      </c>
      <c r="E14439" t="s">
        <v>536</v>
      </c>
      <c r="F14439" t="s">
        <v>410</v>
      </c>
      <c r="G14439">
        <v>293</v>
      </c>
      <c r="I14439">
        <v>293</v>
      </c>
    </row>
    <row r="14440" spans="1:17" x14ac:dyDescent="0.2">
      <c r="A14440" s="121">
        <v>44074</v>
      </c>
      <c r="B14440" t="s">
        <v>406</v>
      </c>
      <c r="C14440" t="s">
        <v>510</v>
      </c>
      <c r="D14440" t="s">
        <v>539</v>
      </c>
      <c r="E14440" t="s">
        <v>540</v>
      </c>
      <c r="F14440" t="s">
        <v>413</v>
      </c>
      <c r="G14440">
        <v>893</v>
      </c>
      <c r="H14440">
        <v>893</v>
      </c>
      <c r="I14440">
        <v>844</v>
      </c>
      <c r="J14440">
        <v>844</v>
      </c>
      <c r="K14440">
        <v>134</v>
      </c>
      <c r="L14440">
        <v>1</v>
      </c>
      <c r="M14440">
        <v>724</v>
      </c>
      <c r="N14440">
        <v>22</v>
      </c>
      <c r="O14440">
        <v>12</v>
      </c>
      <c r="P14440">
        <v>1</v>
      </c>
      <c r="Q14440">
        <v>0</v>
      </c>
    </row>
    <row r="14441" spans="1:17" x14ac:dyDescent="0.2">
      <c r="A14441" s="121">
        <v>44074</v>
      </c>
      <c r="B14441" t="s">
        <v>406</v>
      </c>
      <c r="C14441" t="s">
        <v>510</v>
      </c>
      <c r="D14441" t="s">
        <v>541</v>
      </c>
      <c r="E14441" t="s">
        <v>542</v>
      </c>
      <c r="F14441" t="s">
        <v>410</v>
      </c>
      <c r="G14441">
        <v>387</v>
      </c>
      <c r="I14441">
        <v>387</v>
      </c>
    </row>
    <row r="14442" spans="1:17" x14ac:dyDescent="0.2">
      <c r="A14442" s="121">
        <v>44074</v>
      </c>
      <c r="B14442" t="s">
        <v>406</v>
      </c>
      <c r="C14442" t="s">
        <v>510</v>
      </c>
      <c r="D14442" t="s">
        <v>543</v>
      </c>
      <c r="E14442" t="s">
        <v>544</v>
      </c>
      <c r="F14442" t="s">
        <v>410</v>
      </c>
      <c r="G14442">
        <v>112</v>
      </c>
      <c r="I14442">
        <v>112</v>
      </c>
    </row>
    <row r="14443" spans="1:17" x14ac:dyDescent="0.2">
      <c r="A14443" s="121">
        <v>44074</v>
      </c>
      <c r="B14443" t="s">
        <v>406</v>
      </c>
      <c r="C14443" t="s">
        <v>510</v>
      </c>
      <c r="D14443" t="s">
        <v>616</v>
      </c>
      <c r="E14443" t="s">
        <v>617</v>
      </c>
      <c r="F14443" t="s">
        <v>410</v>
      </c>
      <c r="G14443">
        <v>343</v>
      </c>
      <c r="I14443">
        <v>343</v>
      </c>
    </row>
    <row r="14444" spans="1:17" x14ac:dyDescent="0.2">
      <c r="A14444" s="121">
        <v>44074</v>
      </c>
      <c r="B14444" t="s">
        <v>406</v>
      </c>
      <c r="C14444" t="s">
        <v>510</v>
      </c>
      <c r="D14444" t="s">
        <v>549</v>
      </c>
      <c r="E14444" t="s">
        <v>550</v>
      </c>
      <c r="F14444" t="s">
        <v>410</v>
      </c>
      <c r="G14444">
        <v>89</v>
      </c>
      <c r="I14444">
        <v>89</v>
      </c>
    </row>
    <row r="14445" spans="1:17" x14ac:dyDescent="0.2">
      <c r="A14445" s="121">
        <v>44074</v>
      </c>
      <c r="B14445" t="s">
        <v>406</v>
      </c>
      <c r="C14445" t="s">
        <v>510</v>
      </c>
      <c r="D14445" t="s">
        <v>625</v>
      </c>
      <c r="E14445" t="s">
        <v>626</v>
      </c>
      <c r="F14445" t="s">
        <v>410</v>
      </c>
      <c r="G14445">
        <v>127</v>
      </c>
      <c r="I14445">
        <v>127</v>
      </c>
    </row>
    <row r="14446" spans="1:17" x14ac:dyDescent="0.2">
      <c r="A14446" s="121">
        <v>44074</v>
      </c>
      <c r="B14446" t="s">
        <v>406</v>
      </c>
      <c r="C14446" t="s">
        <v>551</v>
      </c>
      <c r="D14446" t="s">
        <v>552</v>
      </c>
      <c r="E14446" t="s">
        <v>553</v>
      </c>
      <c r="F14446" t="s">
        <v>413</v>
      </c>
      <c r="G14446">
        <v>5548</v>
      </c>
      <c r="H14446">
        <v>5548</v>
      </c>
      <c r="I14446">
        <v>4804</v>
      </c>
      <c r="J14446">
        <v>4804</v>
      </c>
      <c r="K14446">
        <v>1766</v>
      </c>
      <c r="L14446">
        <v>1</v>
      </c>
      <c r="M14446">
        <v>3663</v>
      </c>
      <c r="N14446">
        <v>95</v>
      </c>
      <c r="O14446">
        <v>23</v>
      </c>
      <c r="P14446">
        <v>54</v>
      </c>
      <c r="Q14446">
        <v>5</v>
      </c>
    </row>
    <row r="14447" spans="1:17" x14ac:dyDescent="0.2">
      <c r="A14447" s="121">
        <v>44074</v>
      </c>
      <c r="B14447" t="s">
        <v>406</v>
      </c>
      <c r="C14447" t="s">
        <v>551</v>
      </c>
      <c r="D14447" t="s">
        <v>558</v>
      </c>
      <c r="E14447" t="s">
        <v>559</v>
      </c>
      <c r="F14447" t="s">
        <v>413</v>
      </c>
      <c r="G14447">
        <v>4998</v>
      </c>
      <c r="H14447">
        <v>4998</v>
      </c>
      <c r="I14447">
        <v>4540</v>
      </c>
      <c r="J14447">
        <v>4540</v>
      </c>
      <c r="K14447">
        <v>1329</v>
      </c>
      <c r="L14447">
        <v>3</v>
      </c>
      <c r="M14447">
        <v>3563</v>
      </c>
      <c r="N14447">
        <v>95</v>
      </c>
      <c r="O14447">
        <v>8</v>
      </c>
      <c r="P14447">
        <v>36</v>
      </c>
      <c r="Q14447">
        <v>4</v>
      </c>
    </row>
    <row r="14448" spans="1:17" x14ac:dyDescent="0.2">
      <c r="A14448" s="121">
        <v>44074</v>
      </c>
      <c r="B14448" t="s">
        <v>406</v>
      </c>
      <c r="C14448" t="s">
        <v>551</v>
      </c>
      <c r="D14448" t="s">
        <v>560</v>
      </c>
      <c r="E14448" t="s">
        <v>561</v>
      </c>
      <c r="F14448" t="s">
        <v>413</v>
      </c>
      <c r="G14448">
        <v>6292</v>
      </c>
      <c r="H14448">
        <v>6292</v>
      </c>
      <c r="I14448">
        <v>5567</v>
      </c>
      <c r="J14448">
        <v>5567</v>
      </c>
      <c r="K14448">
        <v>1872</v>
      </c>
      <c r="L14448">
        <v>7</v>
      </c>
      <c r="M14448">
        <v>4324</v>
      </c>
      <c r="N14448">
        <v>54</v>
      </c>
      <c r="O14448">
        <v>35</v>
      </c>
      <c r="P14448">
        <v>52</v>
      </c>
      <c r="Q14448">
        <v>1</v>
      </c>
    </row>
    <row r="14449" spans="1:17" x14ac:dyDescent="0.2">
      <c r="A14449" s="121">
        <v>44074</v>
      </c>
      <c r="B14449" t="s">
        <v>406</v>
      </c>
      <c r="C14449" t="s">
        <v>562</v>
      </c>
      <c r="D14449" t="s">
        <v>605</v>
      </c>
      <c r="E14449" t="s">
        <v>606</v>
      </c>
      <c r="F14449" t="s">
        <v>410</v>
      </c>
      <c r="G14449">
        <v>137</v>
      </c>
      <c r="I14449">
        <v>137</v>
      </c>
    </row>
    <row r="14450" spans="1:17" x14ac:dyDescent="0.2">
      <c r="A14450" s="121">
        <v>44074</v>
      </c>
      <c r="B14450" t="s">
        <v>406</v>
      </c>
      <c r="C14450" t="s">
        <v>562</v>
      </c>
      <c r="D14450" t="s">
        <v>563</v>
      </c>
      <c r="E14450" t="s">
        <v>564</v>
      </c>
      <c r="F14450" t="s">
        <v>410</v>
      </c>
      <c r="G14450">
        <v>2937</v>
      </c>
      <c r="H14450">
        <v>2937</v>
      </c>
      <c r="I14450">
        <v>2709</v>
      </c>
      <c r="J14450">
        <v>2709</v>
      </c>
      <c r="K14450">
        <v>1088</v>
      </c>
      <c r="L14450">
        <v>0</v>
      </c>
      <c r="M14450">
        <v>1844</v>
      </c>
      <c r="N14450">
        <v>4</v>
      </c>
      <c r="O14450">
        <v>1</v>
      </c>
      <c r="P14450">
        <v>6</v>
      </c>
      <c r="Q14450">
        <v>0</v>
      </c>
    </row>
    <row r="14451" spans="1:17" x14ac:dyDescent="0.2">
      <c r="A14451" s="121">
        <v>44074</v>
      </c>
      <c r="B14451" t="s">
        <v>406</v>
      </c>
      <c r="C14451" t="s">
        <v>562</v>
      </c>
      <c r="D14451" t="s">
        <v>565</v>
      </c>
      <c r="E14451" t="s">
        <v>566</v>
      </c>
      <c r="F14451" t="s">
        <v>413</v>
      </c>
      <c r="G14451">
        <v>4623</v>
      </c>
      <c r="H14451">
        <v>4623</v>
      </c>
      <c r="I14451">
        <v>4372</v>
      </c>
      <c r="J14451">
        <v>4372</v>
      </c>
      <c r="K14451">
        <v>875</v>
      </c>
      <c r="L14451">
        <v>3</v>
      </c>
      <c r="M14451">
        <v>3697</v>
      </c>
      <c r="N14451">
        <v>42</v>
      </c>
      <c r="O14451">
        <v>6</v>
      </c>
      <c r="P14451">
        <v>17</v>
      </c>
      <c r="Q14451">
        <v>2</v>
      </c>
    </row>
    <row r="14452" spans="1:17" x14ac:dyDescent="0.2">
      <c r="A14452" s="121">
        <v>44074</v>
      </c>
      <c r="B14452" t="s">
        <v>406</v>
      </c>
      <c r="C14452" t="s">
        <v>562</v>
      </c>
      <c r="D14452" t="s">
        <v>567</v>
      </c>
      <c r="E14452" t="s">
        <v>568</v>
      </c>
      <c r="F14452" t="s">
        <v>413</v>
      </c>
      <c r="G14452">
        <v>9638</v>
      </c>
      <c r="H14452">
        <v>9638</v>
      </c>
      <c r="I14452">
        <v>8536</v>
      </c>
      <c r="J14452">
        <v>8536</v>
      </c>
      <c r="K14452">
        <v>3550</v>
      </c>
      <c r="L14452">
        <v>8</v>
      </c>
      <c r="M14452">
        <v>5930</v>
      </c>
      <c r="N14452">
        <v>118</v>
      </c>
      <c r="O14452">
        <v>32</v>
      </c>
      <c r="P14452">
        <v>69</v>
      </c>
      <c r="Q14452">
        <v>8</v>
      </c>
    </row>
    <row r="14453" spans="1:17" x14ac:dyDescent="0.2">
      <c r="A14453" s="121">
        <v>44074</v>
      </c>
      <c r="B14453" t="s">
        <v>406</v>
      </c>
      <c r="C14453" t="s">
        <v>562</v>
      </c>
      <c r="D14453" t="s">
        <v>569</v>
      </c>
      <c r="E14453" t="s">
        <v>570</v>
      </c>
      <c r="F14453" t="s">
        <v>413</v>
      </c>
      <c r="G14453">
        <v>3801</v>
      </c>
      <c r="H14453">
        <v>3801</v>
      </c>
      <c r="I14453">
        <v>3697</v>
      </c>
      <c r="J14453">
        <v>3697</v>
      </c>
      <c r="K14453">
        <v>507</v>
      </c>
      <c r="L14453">
        <v>0</v>
      </c>
      <c r="M14453">
        <v>3145</v>
      </c>
      <c r="N14453">
        <v>94</v>
      </c>
      <c r="O14453">
        <v>55</v>
      </c>
      <c r="P14453">
        <v>0</v>
      </c>
      <c r="Q14453">
        <v>0</v>
      </c>
    </row>
    <row r="14454" spans="1:17" x14ac:dyDescent="0.2">
      <c r="A14454" s="121">
        <v>44074</v>
      </c>
      <c r="B14454" t="s">
        <v>406</v>
      </c>
      <c r="C14454" t="s">
        <v>571</v>
      </c>
      <c r="D14454" t="s">
        <v>572</v>
      </c>
      <c r="E14454" t="s">
        <v>627</v>
      </c>
      <c r="F14454" t="s">
        <v>413</v>
      </c>
      <c r="G14454">
        <v>520</v>
      </c>
      <c r="H14454">
        <v>520</v>
      </c>
      <c r="I14454">
        <v>513</v>
      </c>
      <c r="J14454">
        <v>513</v>
      </c>
      <c r="K14454">
        <v>142</v>
      </c>
      <c r="L14454">
        <v>0</v>
      </c>
      <c r="M14454">
        <v>369</v>
      </c>
      <c r="N14454">
        <v>5</v>
      </c>
      <c r="O14454">
        <v>4</v>
      </c>
      <c r="P14454">
        <v>0</v>
      </c>
      <c r="Q14454">
        <v>0</v>
      </c>
    </row>
    <row r="14455" spans="1:17" x14ac:dyDescent="0.2">
      <c r="A14455" s="121">
        <v>44074</v>
      </c>
      <c r="B14455" t="s">
        <v>406</v>
      </c>
      <c r="C14455" t="s">
        <v>574</v>
      </c>
      <c r="D14455" t="s">
        <v>575</v>
      </c>
      <c r="E14455" t="s">
        <v>576</v>
      </c>
      <c r="F14455" t="s">
        <v>413</v>
      </c>
      <c r="G14455">
        <v>522</v>
      </c>
      <c r="H14455">
        <v>522</v>
      </c>
      <c r="I14455">
        <v>514</v>
      </c>
      <c r="J14455">
        <v>514</v>
      </c>
      <c r="K14455">
        <v>163</v>
      </c>
      <c r="L14455">
        <v>0</v>
      </c>
      <c r="M14455">
        <v>354</v>
      </c>
      <c r="N14455">
        <v>2</v>
      </c>
      <c r="O14455">
        <v>3</v>
      </c>
      <c r="P14455">
        <v>0</v>
      </c>
      <c r="Q14455">
        <v>0</v>
      </c>
    </row>
    <row r="14456" spans="1:17" x14ac:dyDescent="0.2">
      <c r="A14456" s="121">
        <v>44074</v>
      </c>
      <c r="B14456" t="s">
        <v>406</v>
      </c>
      <c r="C14456" t="s">
        <v>577</v>
      </c>
      <c r="D14456" t="s">
        <v>578</v>
      </c>
      <c r="E14456" t="s">
        <v>579</v>
      </c>
      <c r="F14456" t="s">
        <v>413</v>
      </c>
      <c r="G14456">
        <v>4422</v>
      </c>
      <c r="H14456">
        <v>4422</v>
      </c>
      <c r="I14456">
        <v>4175</v>
      </c>
      <c r="J14456">
        <v>4175</v>
      </c>
      <c r="K14456">
        <v>1520</v>
      </c>
      <c r="L14456">
        <v>2</v>
      </c>
      <c r="M14456">
        <v>2662</v>
      </c>
      <c r="N14456">
        <v>183</v>
      </c>
      <c r="O14456">
        <v>55</v>
      </c>
      <c r="P14456">
        <v>0</v>
      </c>
      <c r="Q14456">
        <v>0</v>
      </c>
    </row>
    <row r="14457" spans="1:17" x14ac:dyDescent="0.2">
      <c r="A14457" s="121">
        <v>44074</v>
      </c>
      <c r="B14457" t="s">
        <v>406</v>
      </c>
      <c r="C14457" t="s">
        <v>577</v>
      </c>
      <c r="D14457" t="s">
        <v>580</v>
      </c>
      <c r="E14457" t="s">
        <v>581</v>
      </c>
      <c r="F14457" t="s">
        <v>413</v>
      </c>
      <c r="G14457">
        <v>1954</v>
      </c>
      <c r="H14457">
        <v>1954</v>
      </c>
      <c r="I14457">
        <v>1854</v>
      </c>
      <c r="J14457">
        <v>1854</v>
      </c>
      <c r="K14457">
        <v>360</v>
      </c>
      <c r="L14457">
        <v>0</v>
      </c>
      <c r="M14457">
        <v>1349</v>
      </c>
      <c r="N14457">
        <v>220</v>
      </c>
      <c r="O14457">
        <v>25</v>
      </c>
      <c r="P14457">
        <v>9</v>
      </c>
      <c r="Q14457">
        <v>1</v>
      </c>
    </row>
    <row r="14458" spans="1:17" x14ac:dyDescent="0.2">
      <c r="A14458" s="121">
        <v>44074</v>
      </c>
      <c r="B14458" t="s">
        <v>406</v>
      </c>
      <c r="C14458" t="s">
        <v>577</v>
      </c>
      <c r="D14458" t="s">
        <v>586</v>
      </c>
      <c r="E14458" t="s">
        <v>587</v>
      </c>
      <c r="F14458" t="s">
        <v>410</v>
      </c>
      <c r="G14458">
        <v>724</v>
      </c>
      <c r="H14458">
        <v>724</v>
      </c>
      <c r="I14458">
        <v>724</v>
      </c>
      <c r="J14458">
        <v>724</v>
      </c>
      <c r="K14458">
        <v>0</v>
      </c>
      <c r="L14458">
        <v>1</v>
      </c>
      <c r="M14458">
        <v>639</v>
      </c>
      <c r="N14458">
        <v>80</v>
      </c>
      <c r="O14458">
        <v>4</v>
      </c>
      <c r="P14458">
        <v>0</v>
      </c>
      <c r="Q14458">
        <v>0</v>
      </c>
    </row>
    <row r="14459" spans="1:17" x14ac:dyDescent="0.2">
      <c r="A14459" s="121">
        <v>44074</v>
      </c>
      <c r="B14459" t="s">
        <v>406</v>
      </c>
      <c r="C14459" t="s">
        <v>577</v>
      </c>
      <c r="D14459" t="s">
        <v>590</v>
      </c>
      <c r="E14459" t="s">
        <v>591</v>
      </c>
      <c r="F14459" t="s">
        <v>410</v>
      </c>
      <c r="G14459">
        <v>324</v>
      </c>
      <c r="H14459">
        <v>324</v>
      </c>
      <c r="I14459">
        <v>324</v>
      </c>
      <c r="J14459">
        <v>324</v>
      </c>
      <c r="K14459">
        <v>0</v>
      </c>
      <c r="L14459">
        <v>0</v>
      </c>
      <c r="M14459">
        <v>311</v>
      </c>
      <c r="N14459">
        <v>12</v>
      </c>
      <c r="O14459">
        <v>1</v>
      </c>
      <c r="P14459">
        <v>0</v>
      </c>
      <c r="Q14459">
        <v>0</v>
      </c>
    </row>
    <row r="14460" spans="1:17" x14ac:dyDescent="0.2">
      <c r="A14460" s="121">
        <v>44074</v>
      </c>
      <c r="B14460" t="s">
        <v>406</v>
      </c>
      <c r="C14460" t="s">
        <v>594</v>
      </c>
      <c r="D14460" t="s">
        <v>595</v>
      </c>
      <c r="E14460" t="s">
        <v>596</v>
      </c>
      <c r="F14460" t="s">
        <v>410</v>
      </c>
      <c r="G14460">
        <v>43</v>
      </c>
      <c r="I14460">
        <v>43</v>
      </c>
    </row>
    <row r="14461" spans="1:17" x14ac:dyDescent="0.2">
      <c r="A14461" s="121">
        <v>44074</v>
      </c>
      <c r="B14461" t="s">
        <v>406</v>
      </c>
      <c r="C14461" t="s">
        <v>594</v>
      </c>
      <c r="D14461" t="s">
        <v>597</v>
      </c>
      <c r="E14461" t="s">
        <v>598</v>
      </c>
      <c r="F14461" t="s">
        <v>413</v>
      </c>
      <c r="G14461">
        <v>492</v>
      </c>
      <c r="H14461">
        <v>492</v>
      </c>
      <c r="I14461">
        <v>483</v>
      </c>
      <c r="J14461">
        <v>483</v>
      </c>
      <c r="K14461">
        <v>156</v>
      </c>
      <c r="L14461">
        <v>0</v>
      </c>
      <c r="M14461">
        <v>320</v>
      </c>
      <c r="N14461">
        <v>6</v>
      </c>
      <c r="O14461">
        <v>10</v>
      </c>
      <c r="P14461">
        <v>0</v>
      </c>
      <c r="Q14461">
        <v>0</v>
      </c>
    </row>
    <row r="14462" spans="1:17" x14ac:dyDescent="0.2">
      <c r="A14462" s="121">
        <v>44074</v>
      </c>
      <c r="B14462" t="s">
        <v>406</v>
      </c>
      <c r="C14462" t="s">
        <v>594</v>
      </c>
      <c r="D14462" t="s">
        <v>599</v>
      </c>
      <c r="E14462" t="s">
        <v>600</v>
      </c>
      <c r="F14462" t="s">
        <v>410</v>
      </c>
      <c r="G14462">
        <v>129</v>
      </c>
      <c r="H14462">
        <v>129</v>
      </c>
      <c r="I14462">
        <v>129</v>
      </c>
      <c r="J14462">
        <v>129</v>
      </c>
      <c r="K14462">
        <v>11</v>
      </c>
      <c r="L14462">
        <v>0</v>
      </c>
      <c r="M14462">
        <v>115</v>
      </c>
      <c r="N14462">
        <v>1</v>
      </c>
      <c r="O14462">
        <v>2</v>
      </c>
      <c r="P14462">
        <v>0</v>
      </c>
      <c r="Q14462">
        <v>0</v>
      </c>
    </row>
    <row r="14463" spans="1:17" x14ac:dyDescent="0.2">
      <c r="A14463" s="121">
        <v>44104</v>
      </c>
      <c r="B14463" t="s">
        <v>406</v>
      </c>
      <c r="C14463" t="s">
        <v>407</v>
      </c>
      <c r="D14463" t="s">
        <v>408</v>
      </c>
      <c r="E14463" t="s">
        <v>409</v>
      </c>
      <c r="F14463" t="s">
        <v>410</v>
      </c>
      <c r="G14463">
        <v>200</v>
      </c>
      <c r="I14463">
        <v>192</v>
      </c>
    </row>
    <row r="14464" spans="1:17" x14ac:dyDescent="0.2">
      <c r="A14464" s="121">
        <v>44104</v>
      </c>
      <c r="B14464" t="s">
        <v>406</v>
      </c>
      <c r="C14464" t="s">
        <v>407</v>
      </c>
      <c r="D14464" t="s">
        <v>601</v>
      </c>
      <c r="E14464" t="s">
        <v>602</v>
      </c>
      <c r="F14464" t="s">
        <v>410</v>
      </c>
      <c r="G14464">
        <v>44</v>
      </c>
      <c r="I14464">
        <v>44</v>
      </c>
    </row>
    <row r="14465" spans="1:17" x14ac:dyDescent="0.2">
      <c r="A14465" s="121">
        <v>44104</v>
      </c>
      <c r="B14465" t="s">
        <v>406</v>
      </c>
      <c r="C14465" t="s">
        <v>407</v>
      </c>
      <c r="D14465" t="s">
        <v>411</v>
      </c>
      <c r="E14465" t="s">
        <v>412</v>
      </c>
      <c r="F14465" t="s">
        <v>413</v>
      </c>
      <c r="G14465">
        <v>5126</v>
      </c>
      <c r="H14465">
        <v>5126</v>
      </c>
      <c r="I14465">
        <v>4567</v>
      </c>
      <c r="J14465">
        <v>4567</v>
      </c>
      <c r="K14465">
        <v>1470</v>
      </c>
      <c r="L14465">
        <v>9</v>
      </c>
      <c r="M14465">
        <v>3353</v>
      </c>
      <c r="N14465">
        <v>47</v>
      </c>
      <c r="O14465">
        <v>247</v>
      </c>
      <c r="P14465">
        <v>183</v>
      </c>
      <c r="Q14465">
        <v>81</v>
      </c>
    </row>
    <row r="14466" spans="1:17" x14ac:dyDescent="0.2">
      <c r="A14466" s="121">
        <v>44104</v>
      </c>
      <c r="B14466" t="s">
        <v>406</v>
      </c>
      <c r="C14466" t="s">
        <v>407</v>
      </c>
      <c r="D14466" t="s">
        <v>416</v>
      </c>
      <c r="E14466" t="s">
        <v>417</v>
      </c>
      <c r="F14466" t="s">
        <v>413</v>
      </c>
      <c r="G14466">
        <v>2741</v>
      </c>
      <c r="H14466">
        <v>2741</v>
      </c>
      <c r="I14466">
        <v>2545</v>
      </c>
      <c r="J14466">
        <v>2545</v>
      </c>
      <c r="K14466">
        <v>825</v>
      </c>
      <c r="L14466">
        <v>5</v>
      </c>
      <c r="M14466">
        <v>1818</v>
      </c>
      <c r="N14466">
        <v>66</v>
      </c>
      <c r="O14466">
        <v>27</v>
      </c>
      <c r="P14466">
        <v>28</v>
      </c>
      <c r="Q14466">
        <v>6</v>
      </c>
    </row>
    <row r="14467" spans="1:17" x14ac:dyDescent="0.2">
      <c r="A14467" s="121">
        <v>44104</v>
      </c>
      <c r="B14467" t="s">
        <v>406</v>
      </c>
      <c r="C14467" t="s">
        <v>407</v>
      </c>
      <c r="D14467" t="s">
        <v>618</v>
      </c>
      <c r="E14467" t="s">
        <v>619</v>
      </c>
      <c r="F14467" t="s">
        <v>410</v>
      </c>
      <c r="G14467">
        <v>65</v>
      </c>
      <c r="I14467">
        <v>65</v>
      </c>
    </row>
    <row r="14468" spans="1:17" x14ac:dyDescent="0.2">
      <c r="A14468" s="121">
        <v>44104</v>
      </c>
      <c r="B14468" t="s">
        <v>406</v>
      </c>
      <c r="C14468" t="s">
        <v>418</v>
      </c>
      <c r="D14468" t="s">
        <v>427</v>
      </c>
      <c r="E14468" t="s">
        <v>428</v>
      </c>
      <c r="F14468" t="s">
        <v>413</v>
      </c>
      <c r="G14468">
        <v>2493</v>
      </c>
      <c r="H14468">
        <v>2493</v>
      </c>
      <c r="I14468">
        <v>2133</v>
      </c>
      <c r="J14468">
        <v>2133</v>
      </c>
      <c r="K14468">
        <v>779</v>
      </c>
      <c r="L14468">
        <v>3</v>
      </c>
      <c r="M14468">
        <v>1651</v>
      </c>
      <c r="N14468">
        <v>32</v>
      </c>
      <c r="O14468">
        <v>28</v>
      </c>
      <c r="P14468">
        <v>55</v>
      </c>
      <c r="Q14468">
        <v>21</v>
      </c>
    </row>
    <row r="14469" spans="1:17" x14ac:dyDescent="0.2">
      <c r="A14469" s="121">
        <v>44104</v>
      </c>
      <c r="B14469" t="s">
        <v>406</v>
      </c>
      <c r="C14469" t="s">
        <v>429</v>
      </c>
      <c r="D14469" t="s">
        <v>438</v>
      </c>
      <c r="E14469" t="s">
        <v>439</v>
      </c>
      <c r="F14469" t="s">
        <v>413</v>
      </c>
      <c r="G14469">
        <v>937</v>
      </c>
      <c r="H14469">
        <v>937</v>
      </c>
      <c r="I14469">
        <v>878</v>
      </c>
      <c r="J14469">
        <v>878</v>
      </c>
      <c r="K14469">
        <v>90</v>
      </c>
      <c r="L14469">
        <v>1</v>
      </c>
      <c r="M14469">
        <v>772</v>
      </c>
      <c r="N14469">
        <v>54</v>
      </c>
      <c r="O14469">
        <v>20</v>
      </c>
      <c r="P14469">
        <v>7</v>
      </c>
      <c r="Q14469">
        <v>1</v>
      </c>
    </row>
    <row r="14470" spans="1:17" x14ac:dyDescent="0.2">
      <c r="A14470" s="121">
        <v>44104</v>
      </c>
      <c r="B14470" t="s">
        <v>406</v>
      </c>
      <c r="C14470" t="s">
        <v>429</v>
      </c>
      <c r="D14470" t="s">
        <v>440</v>
      </c>
      <c r="E14470" t="s">
        <v>441</v>
      </c>
      <c r="F14470" t="s">
        <v>413</v>
      </c>
      <c r="G14470">
        <v>2448</v>
      </c>
      <c r="H14470">
        <v>2448</v>
      </c>
      <c r="I14470">
        <v>2304</v>
      </c>
      <c r="J14470">
        <v>2304</v>
      </c>
      <c r="K14470">
        <v>798</v>
      </c>
      <c r="L14470">
        <v>4</v>
      </c>
      <c r="M14470">
        <v>1589</v>
      </c>
      <c r="N14470">
        <v>20</v>
      </c>
      <c r="O14470">
        <v>37</v>
      </c>
      <c r="P14470">
        <v>4</v>
      </c>
      <c r="Q14470">
        <v>1</v>
      </c>
    </row>
    <row r="14471" spans="1:17" x14ac:dyDescent="0.2">
      <c r="A14471" s="121">
        <v>44104</v>
      </c>
      <c r="B14471" t="s">
        <v>406</v>
      </c>
      <c r="C14471" t="s">
        <v>442</v>
      </c>
      <c r="D14471" t="s">
        <v>443</v>
      </c>
      <c r="E14471" t="s">
        <v>444</v>
      </c>
      <c r="F14471" t="s">
        <v>413</v>
      </c>
      <c r="G14471">
        <v>4882</v>
      </c>
      <c r="H14471">
        <v>4882</v>
      </c>
      <c r="I14471">
        <v>4643</v>
      </c>
      <c r="J14471">
        <v>4643</v>
      </c>
      <c r="K14471">
        <v>1435</v>
      </c>
      <c r="L14471">
        <v>3</v>
      </c>
      <c r="M14471">
        <v>3345</v>
      </c>
      <c r="N14471">
        <v>44</v>
      </c>
      <c r="O14471">
        <v>55</v>
      </c>
      <c r="P14471">
        <v>4</v>
      </c>
      <c r="Q14471">
        <v>0</v>
      </c>
    </row>
    <row r="14472" spans="1:17" x14ac:dyDescent="0.2">
      <c r="A14472" s="121">
        <v>44104</v>
      </c>
      <c r="B14472" t="s">
        <v>406</v>
      </c>
      <c r="C14472" t="s">
        <v>442</v>
      </c>
      <c r="D14472" t="s">
        <v>445</v>
      </c>
      <c r="E14472" t="s">
        <v>446</v>
      </c>
      <c r="F14472" t="s">
        <v>410</v>
      </c>
      <c r="G14472">
        <v>134</v>
      </c>
      <c r="H14472">
        <v>134</v>
      </c>
      <c r="I14472">
        <v>133</v>
      </c>
      <c r="J14472">
        <v>133</v>
      </c>
      <c r="K14472">
        <v>1</v>
      </c>
      <c r="L14472">
        <v>0</v>
      </c>
      <c r="M14472">
        <v>128</v>
      </c>
      <c r="N14472">
        <v>2</v>
      </c>
      <c r="O14472">
        <v>3</v>
      </c>
      <c r="P14472">
        <v>0</v>
      </c>
      <c r="Q14472">
        <v>0</v>
      </c>
    </row>
    <row r="14473" spans="1:17" x14ac:dyDescent="0.2">
      <c r="A14473" s="121">
        <v>44104</v>
      </c>
      <c r="B14473" t="s">
        <v>406</v>
      </c>
      <c r="C14473" t="s">
        <v>442</v>
      </c>
      <c r="D14473" t="s">
        <v>447</v>
      </c>
      <c r="E14473" t="s">
        <v>448</v>
      </c>
      <c r="F14473" t="s">
        <v>410</v>
      </c>
      <c r="G14473">
        <v>285</v>
      </c>
      <c r="H14473">
        <v>285</v>
      </c>
      <c r="I14473">
        <v>283</v>
      </c>
      <c r="J14473">
        <v>283</v>
      </c>
      <c r="K14473">
        <v>4</v>
      </c>
      <c r="L14473">
        <v>0</v>
      </c>
      <c r="M14473">
        <v>273</v>
      </c>
      <c r="N14473">
        <v>8</v>
      </c>
      <c r="O14473">
        <v>0</v>
      </c>
      <c r="P14473">
        <v>0</v>
      </c>
      <c r="Q14473">
        <v>0</v>
      </c>
    </row>
    <row r="14474" spans="1:17" x14ac:dyDescent="0.2">
      <c r="A14474" s="121">
        <v>44104</v>
      </c>
      <c r="B14474" t="s">
        <v>406</v>
      </c>
      <c r="C14474" t="s">
        <v>442</v>
      </c>
      <c r="D14474" t="s">
        <v>449</v>
      </c>
      <c r="E14474" t="s">
        <v>624</v>
      </c>
      <c r="F14474" t="s">
        <v>410</v>
      </c>
      <c r="G14474">
        <v>1488</v>
      </c>
      <c r="H14474">
        <v>1488</v>
      </c>
      <c r="I14474">
        <v>1487</v>
      </c>
      <c r="J14474">
        <v>1487</v>
      </c>
      <c r="K14474">
        <v>5</v>
      </c>
      <c r="L14474">
        <v>0</v>
      </c>
      <c r="M14474">
        <v>1370</v>
      </c>
      <c r="N14474">
        <v>90</v>
      </c>
      <c r="O14474">
        <v>23</v>
      </c>
      <c r="P14474">
        <v>0</v>
      </c>
      <c r="Q14474">
        <v>0</v>
      </c>
    </row>
    <row r="14475" spans="1:17" x14ac:dyDescent="0.2">
      <c r="A14475" s="121">
        <v>44104</v>
      </c>
      <c r="B14475" t="s">
        <v>406</v>
      </c>
      <c r="C14475" t="s">
        <v>451</v>
      </c>
      <c r="D14475" t="s">
        <v>454</v>
      </c>
      <c r="E14475" t="s">
        <v>621</v>
      </c>
      <c r="F14475" t="s">
        <v>410</v>
      </c>
      <c r="G14475">
        <v>2081</v>
      </c>
      <c r="H14475">
        <v>2081</v>
      </c>
      <c r="I14475">
        <v>2076</v>
      </c>
      <c r="J14475">
        <v>2076</v>
      </c>
      <c r="K14475">
        <v>20</v>
      </c>
      <c r="L14475">
        <v>0</v>
      </c>
      <c r="M14475">
        <v>1900</v>
      </c>
      <c r="N14475">
        <v>2</v>
      </c>
      <c r="O14475">
        <v>159</v>
      </c>
      <c r="P14475">
        <v>0</v>
      </c>
      <c r="Q14475">
        <v>0</v>
      </c>
    </row>
    <row r="14476" spans="1:17" x14ac:dyDescent="0.2">
      <c r="A14476" s="121">
        <v>44104</v>
      </c>
      <c r="B14476" t="s">
        <v>406</v>
      </c>
      <c r="C14476" t="s">
        <v>451</v>
      </c>
      <c r="D14476" t="s">
        <v>622</v>
      </c>
      <c r="E14476" t="s">
        <v>623</v>
      </c>
      <c r="F14476" t="s">
        <v>413</v>
      </c>
      <c r="G14476">
        <v>3979</v>
      </c>
      <c r="H14476">
        <v>3979</v>
      </c>
      <c r="I14476">
        <v>3439</v>
      </c>
      <c r="J14476">
        <v>3439</v>
      </c>
      <c r="K14476">
        <v>1370</v>
      </c>
      <c r="L14476">
        <v>16</v>
      </c>
      <c r="M14476">
        <v>2464</v>
      </c>
      <c r="N14476">
        <v>24</v>
      </c>
      <c r="O14476">
        <v>105</v>
      </c>
      <c r="P14476">
        <v>18</v>
      </c>
      <c r="Q14476">
        <v>3</v>
      </c>
    </row>
    <row r="14477" spans="1:17" x14ac:dyDescent="0.2">
      <c r="A14477" s="121">
        <v>44104</v>
      </c>
      <c r="B14477" t="s">
        <v>406</v>
      </c>
      <c r="C14477" t="s">
        <v>456</v>
      </c>
      <c r="D14477" t="s">
        <v>457</v>
      </c>
      <c r="E14477" t="s">
        <v>458</v>
      </c>
      <c r="F14477" t="s">
        <v>413</v>
      </c>
      <c r="G14477">
        <v>4210</v>
      </c>
      <c r="H14477">
        <v>4210</v>
      </c>
      <c r="I14477">
        <v>3755</v>
      </c>
      <c r="J14477">
        <v>3755</v>
      </c>
      <c r="K14477">
        <v>1197</v>
      </c>
      <c r="L14477">
        <v>8</v>
      </c>
      <c r="M14477">
        <v>2816</v>
      </c>
      <c r="N14477">
        <v>15</v>
      </c>
      <c r="O14477">
        <v>174</v>
      </c>
      <c r="P14477">
        <v>19</v>
      </c>
      <c r="Q14477">
        <v>2</v>
      </c>
    </row>
    <row r="14478" spans="1:17" x14ac:dyDescent="0.2">
      <c r="A14478" s="121">
        <v>44104</v>
      </c>
      <c r="B14478" t="s">
        <v>406</v>
      </c>
      <c r="C14478" t="s">
        <v>456</v>
      </c>
      <c r="D14478" t="s">
        <v>459</v>
      </c>
      <c r="E14478" t="s">
        <v>460</v>
      </c>
      <c r="F14478" t="s">
        <v>413</v>
      </c>
      <c r="G14478">
        <v>1243</v>
      </c>
      <c r="H14478">
        <v>1243</v>
      </c>
      <c r="I14478">
        <v>1214</v>
      </c>
      <c r="J14478">
        <v>1214</v>
      </c>
      <c r="K14478">
        <v>103</v>
      </c>
      <c r="L14478">
        <v>1</v>
      </c>
      <c r="M14478">
        <v>1135</v>
      </c>
      <c r="N14478">
        <v>0</v>
      </c>
      <c r="O14478">
        <v>4</v>
      </c>
      <c r="P14478">
        <v>0</v>
      </c>
      <c r="Q14478">
        <v>0</v>
      </c>
    </row>
    <row r="14479" spans="1:17" x14ac:dyDescent="0.2">
      <c r="A14479" s="121">
        <v>44104</v>
      </c>
      <c r="B14479" t="s">
        <v>406</v>
      </c>
      <c r="C14479" t="s">
        <v>456</v>
      </c>
      <c r="D14479" t="s">
        <v>467</v>
      </c>
      <c r="E14479" t="s">
        <v>468</v>
      </c>
      <c r="F14479" t="s">
        <v>410</v>
      </c>
      <c r="G14479">
        <v>798</v>
      </c>
      <c r="I14479">
        <v>798</v>
      </c>
    </row>
    <row r="14480" spans="1:17" x14ac:dyDescent="0.2">
      <c r="A14480" s="121">
        <v>44104</v>
      </c>
      <c r="B14480" t="s">
        <v>406</v>
      </c>
      <c r="C14480" t="s">
        <v>456</v>
      </c>
      <c r="D14480" t="s">
        <v>469</v>
      </c>
      <c r="E14480" t="s">
        <v>470</v>
      </c>
      <c r="F14480" t="s">
        <v>410</v>
      </c>
      <c r="G14480">
        <v>497</v>
      </c>
      <c r="I14480">
        <v>497</v>
      </c>
    </row>
    <row r="14481" spans="1:17" x14ac:dyDescent="0.2">
      <c r="A14481" s="121">
        <v>44104</v>
      </c>
      <c r="B14481" t="s">
        <v>406</v>
      </c>
      <c r="C14481" t="s">
        <v>456</v>
      </c>
      <c r="D14481" t="s">
        <v>471</v>
      </c>
      <c r="E14481" t="s">
        <v>472</v>
      </c>
      <c r="F14481" t="s">
        <v>410</v>
      </c>
      <c r="G14481">
        <v>276</v>
      </c>
      <c r="I14481">
        <v>273</v>
      </c>
    </row>
    <row r="14482" spans="1:17" x14ac:dyDescent="0.2">
      <c r="A14482" s="121">
        <v>44104</v>
      </c>
      <c r="B14482" t="s">
        <v>406</v>
      </c>
      <c r="C14482" t="s">
        <v>456</v>
      </c>
      <c r="D14482" t="s">
        <v>477</v>
      </c>
      <c r="E14482" t="s">
        <v>478</v>
      </c>
      <c r="F14482" t="s">
        <v>413</v>
      </c>
      <c r="G14482">
        <v>1876</v>
      </c>
      <c r="H14482">
        <v>1876</v>
      </c>
      <c r="I14482">
        <v>1781</v>
      </c>
      <c r="J14482">
        <v>1781</v>
      </c>
      <c r="K14482">
        <v>464</v>
      </c>
      <c r="L14482">
        <v>4</v>
      </c>
      <c r="M14482">
        <v>1401</v>
      </c>
      <c r="N14482">
        <v>2</v>
      </c>
      <c r="O14482">
        <v>5</v>
      </c>
      <c r="P14482">
        <v>2</v>
      </c>
      <c r="Q14482">
        <v>0</v>
      </c>
    </row>
    <row r="14483" spans="1:17" x14ac:dyDescent="0.2">
      <c r="A14483" s="121">
        <v>44104</v>
      </c>
      <c r="B14483" t="s">
        <v>406</v>
      </c>
      <c r="C14483" t="s">
        <v>491</v>
      </c>
      <c r="D14483" t="s">
        <v>492</v>
      </c>
      <c r="E14483" t="s">
        <v>493</v>
      </c>
      <c r="F14483" t="s">
        <v>410</v>
      </c>
      <c r="G14483">
        <v>1177</v>
      </c>
      <c r="H14483">
        <v>1177</v>
      </c>
      <c r="I14483">
        <v>1162</v>
      </c>
      <c r="J14483">
        <v>1162</v>
      </c>
      <c r="K14483">
        <v>110</v>
      </c>
      <c r="L14483">
        <v>0</v>
      </c>
      <c r="M14483">
        <v>1009</v>
      </c>
      <c r="N14483">
        <v>48</v>
      </c>
      <c r="O14483">
        <v>10</v>
      </c>
      <c r="P14483">
        <v>1</v>
      </c>
      <c r="Q14483">
        <v>0</v>
      </c>
    </row>
    <row r="14484" spans="1:17" x14ac:dyDescent="0.2">
      <c r="A14484" s="121">
        <v>44104</v>
      </c>
      <c r="B14484" t="s">
        <v>406</v>
      </c>
      <c r="C14484" t="s">
        <v>491</v>
      </c>
      <c r="D14484" t="s">
        <v>494</v>
      </c>
      <c r="E14484" t="s">
        <v>495</v>
      </c>
      <c r="F14484" t="s">
        <v>413</v>
      </c>
      <c r="G14484">
        <v>2025</v>
      </c>
      <c r="H14484">
        <v>2025</v>
      </c>
      <c r="I14484">
        <v>1889</v>
      </c>
      <c r="J14484">
        <v>1889</v>
      </c>
      <c r="K14484">
        <v>442</v>
      </c>
      <c r="L14484">
        <v>4</v>
      </c>
      <c r="M14484">
        <v>1496</v>
      </c>
      <c r="N14484">
        <v>39</v>
      </c>
      <c r="O14484">
        <v>44</v>
      </c>
      <c r="P14484">
        <v>5</v>
      </c>
      <c r="Q14484">
        <v>0</v>
      </c>
    </row>
    <row r="14485" spans="1:17" x14ac:dyDescent="0.2">
      <c r="A14485" s="121">
        <v>44104</v>
      </c>
      <c r="B14485" t="s">
        <v>406</v>
      </c>
      <c r="C14485" t="s">
        <v>491</v>
      </c>
      <c r="D14485" t="s">
        <v>496</v>
      </c>
      <c r="E14485" t="s">
        <v>497</v>
      </c>
      <c r="F14485" t="s">
        <v>413</v>
      </c>
      <c r="G14485">
        <v>4359</v>
      </c>
      <c r="H14485">
        <v>4359</v>
      </c>
      <c r="I14485">
        <v>4018</v>
      </c>
      <c r="J14485">
        <v>4018</v>
      </c>
      <c r="K14485">
        <v>1302</v>
      </c>
      <c r="L14485">
        <v>5</v>
      </c>
      <c r="M14485">
        <v>2889</v>
      </c>
      <c r="N14485">
        <v>100</v>
      </c>
      <c r="O14485">
        <v>63</v>
      </c>
      <c r="P14485">
        <v>44</v>
      </c>
      <c r="Q14485">
        <v>2</v>
      </c>
    </row>
    <row r="14486" spans="1:17" x14ac:dyDescent="0.2">
      <c r="A14486" s="121">
        <v>44104</v>
      </c>
      <c r="B14486" t="s">
        <v>406</v>
      </c>
      <c r="C14486" t="s">
        <v>491</v>
      </c>
      <c r="D14486" t="s">
        <v>498</v>
      </c>
      <c r="E14486" t="s">
        <v>499</v>
      </c>
      <c r="F14486" t="s">
        <v>413</v>
      </c>
      <c r="G14486">
        <v>6152</v>
      </c>
      <c r="H14486">
        <v>6152</v>
      </c>
      <c r="I14486">
        <v>5708</v>
      </c>
      <c r="J14486">
        <v>5708</v>
      </c>
      <c r="K14486">
        <v>2121</v>
      </c>
      <c r="L14486">
        <v>22</v>
      </c>
      <c r="M14486">
        <v>3706</v>
      </c>
      <c r="N14486">
        <v>116</v>
      </c>
      <c r="O14486">
        <v>187</v>
      </c>
      <c r="P14486">
        <v>13</v>
      </c>
      <c r="Q14486">
        <v>0</v>
      </c>
    </row>
    <row r="14487" spans="1:17" x14ac:dyDescent="0.2">
      <c r="A14487" s="121">
        <v>44104</v>
      </c>
      <c r="B14487" t="s">
        <v>406</v>
      </c>
      <c r="C14487" t="s">
        <v>491</v>
      </c>
      <c r="D14487" t="s">
        <v>500</v>
      </c>
      <c r="E14487" t="s">
        <v>620</v>
      </c>
      <c r="F14487" t="s">
        <v>410</v>
      </c>
      <c r="G14487">
        <v>1830</v>
      </c>
      <c r="H14487">
        <v>1830</v>
      </c>
      <c r="I14487">
        <v>1830</v>
      </c>
      <c r="J14487">
        <v>1830</v>
      </c>
      <c r="K14487">
        <v>1</v>
      </c>
      <c r="L14487">
        <v>0</v>
      </c>
      <c r="M14487">
        <v>1626</v>
      </c>
      <c r="N14487">
        <v>131</v>
      </c>
      <c r="O14487">
        <v>72</v>
      </c>
      <c r="P14487">
        <v>0</v>
      </c>
      <c r="Q14487">
        <v>0</v>
      </c>
    </row>
    <row r="14488" spans="1:17" x14ac:dyDescent="0.2">
      <c r="A14488" s="121">
        <v>44104</v>
      </c>
      <c r="B14488" t="s">
        <v>406</v>
      </c>
      <c r="C14488" t="s">
        <v>491</v>
      </c>
      <c r="D14488" t="s">
        <v>502</v>
      </c>
      <c r="E14488" t="s">
        <v>615</v>
      </c>
      <c r="F14488" t="s">
        <v>410</v>
      </c>
      <c r="G14488">
        <v>1844</v>
      </c>
      <c r="H14488">
        <v>1844</v>
      </c>
      <c r="I14488">
        <v>1837</v>
      </c>
      <c r="J14488">
        <v>1837</v>
      </c>
      <c r="K14488">
        <v>2</v>
      </c>
      <c r="L14488">
        <v>0</v>
      </c>
      <c r="M14488">
        <v>1746</v>
      </c>
      <c r="N14488">
        <v>52</v>
      </c>
      <c r="O14488">
        <v>44</v>
      </c>
      <c r="P14488">
        <v>0</v>
      </c>
      <c r="Q14488">
        <v>0</v>
      </c>
    </row>
    <row r="14489" spans="1:17" x14ac:dyDescent="0.2">
      <c r="A14489" s="121">
        <v>44104</v>
      </c>
      <c r="B14489" t="s">
        <v>406</v>
      </c>
      <c r="C14489" t="s">
        <v>491</v>
      </c>
      <c r="D14489" t="s">
        <v>504</v>
      </c>
      <c r="E14489" t="s">
        <v>630</v>
      </c>
      <c r="F14489" t="s">
        <v>413</v>
      </c>
      <c r="G14489">
        <v>6868</v>
      </c>
      <c r="H14489">
        <v>6868</v>
      </c>
      <c r="I14489">
        <v>6162</v>
      </c>
      <c r="J14489">
        <v>6162</v>
      </c>
      <c r="K14489">
        <v>2602</v>
      </c>
      <c r="L14489">
        <v>23</v>
      </c>
      <c r="M14489">
        <v>4091</v>
      </c>
      <c r="N14489">
        <v>49</v>
      </c>
      <c r="O14489">
        <v>103</v>
      </c>
      <c r="P14489">
        <v>28</v>
      </c>
      <c r="Q14489">
        <v>0</v>
      </c>
    </row>
    <row r="14490" spans="1:17" x14ac:dyDescent="0.2">
      <c r="A14490" s="121">
        <v>44104</v>
      </c>
      <c r="B14490" t="s">
        <v>406</v>
      </c>
      <c r="C14490" t="s">
        <v>491</v>
      </c>
      <c r="D14490" t="s">
        <v>506</v>
      </c>
      <c r="E14490" t="s">
        <v>507</v>
      </c>
      <c r="F14490" t="s">
        <v>413</v>
      </c>
      <c r="G14490">
        <v>4228</v>
      </c>
      <c r="H14490">
        <v>4228</v>
      </c>
      <c r="I14490">
        <v>4149</v>
      </c>
      <c r="J14490">
        <v>4149</v>
      </c>
      <c r="K14490">
        <v>964</v>
      </c>
      <c r="L14490">
        <v>2</v>
      </c>
      <c r="M14490">
        <v>3251</v>
      </c>
      <c r="N14490">
        <v>4</v>
      </c>
      <c r="O14490">
        <v>7</v>
      </c>
      <c r="P14490">
        <v>0</v>
      </c>
      <c r="Q14490">
        <v>0</v>
      </c>
    </row>
    <row r="14491" spans="1:17" x14ac:dyDescent="0.2">
      <c r="A14491" s="121">
        <v>44104</v>
      </c>
      <c r="B14491" t="s">
        <v>406</v>
      </c>
      <c r="C14491" t="s">
        <v>510</v>
      </c>
      <c r="D14491" t="s">
        <v>513</v>
      </c>
      <c r="E14491" t="s">
        <v>514</v>
      </c>
      <c r="F14491" t="s">
        <v>410</v>
      </c>
      <c r="G14491">
        <v>480</v>
      </c>
      <c r="I14491">
        <v>479</v>
      </c>
    </row>
    <row r="14492" spans="1:17" x14ac:dyDescent="0.2">
      <c r="A14492" s="121">
        <v>44104</v>
      </c>
      <c r="B14492" t="s">
        <v>406</v>
      </c>
      <c r="C14492" t="s">
        <v>510</v>
      </c>
      <c r="D14492" t="s">
        <v>515</v>
      </c>
      <c r="E14492" t="s">
        <v>516</v>
      </c>
      <c r="F14492" t="s">
        <v>410</v>
      </c>
      <c r="G14492">
        <v>66</v>
      </c>
      <c r="I14492">
        <v>65</v>
      </c>
    </row>
    <row r="14493" spans="1:17" x14ac:dyDescent="0.2">
      <c r="A14493" s="121">
        <v>44104</v>
      </c>
      <c r="B14493" t="s">
        <v>406</v>
      </c>
      <c r="C14493" t="s">
        <v>510</v>
      </c>
      <c r="D14493" t="s">
        <v>519</v>
      </c>
      <c r="E14493" t="s">
        <v>520</v>
      </c>
      <c r="F14493" t="s">
        <v>410</v>
      </c>
      <c r="G14493">
        <v>323</v>
      </c>
      <c r="I14493">
        <v>323</v>
      </c>
    </row>
    <row r="14494" spans="1:17" x14ac:dyDescent="0.2">
      <c r="A14494" s="121">
        <v>44104</v>
      </c>
      <c r="B14494" t="s">
        <v>406</v>
      </c>
      <c r="C14494" t="s">
        <v>510</v>
      </c>
      <c r="D14494" t="s">
        <v>523</v>
      </c>
      <c r="E14494" t="s">
        <v>524</v>
      </c>
      <c r="F14494" t="s">
        <v>413</v>
      </c>
      <c r="G14494">
        <v>629</v>
      </c>
      <c r="H14494">
        <v>629</v>
      </c>
      <c r="I14494">
        <v>605</v>
      </c>
      <c r="J14494">
        <v>605</v>
      </c>
      <c r="K14494">
        <v>158</v>
      </c>
      <c r="L14494">
        <v>0</v>
      </c>
      <c r="M14494">
        <v>441</v>
      </c>
      <c r="N14494">
        <v>17</v>
      </c>
      <c r="O14494">
        <v>13</v>
      </c>
      <c r="P14494">
        <v>3</v>
      </c>
      <c r="Q14494">
        <v>0</v>
      </c>
    </row>
    <row r="14495" spans="1:17" x14ac:dyDescent="0.2">
      <c r="A14495" s="121">
        <v>44104</v>
      </c>
      <c r="B14495" t="s">
        <v>406</v>
      </c>
      <c r="C14495" t="s">
        <v>510</v>
      </c>
      <c r="D14495" t="s">
        <v>525</v>
      </c>
      <c r="E14495" t="s">
        <v>526</v>
      </c>
      <c r="F14495" t="s">
        <v>410</v>
      </c>
      <c r="G14495">
        <v>372</v>
      </c>
      <c r="I14495">
        <v>365</v>
      </c>
    </row>
    <row r="14496" spans="1:17" x14ac:dyDescent="0.2">
      <c r="A14496" s="121">
        <v>44104</v>
      </c>
      <c r="B14496" t="s">
        <v>406</v>
      </c>
      <c r="C14496" t="s">
        <v>510</v>
      </c>
      <c r="D14496" t="s">
        <v>527</v>
      </c>
      <c r="E14496" t="s">
        <v>528</v>
      </c>
      <c r="F14496" t="s">
        <v>410</v>
      </c>
      <c r="G14496">
        <v>7</v>
      </c>
      <c r="I14496">
        <v>7</v>
      </c>
    </row>
    <row r="14497" spans="1:17" x14ac:dyDescent="0.2">
      <c r="A14497" s="121">
        <v>44104</v>
      </c>
      <c r="B14497" t="s">
        <v>406</v>
      </c>
      <c r="C14497" t="s">
        <v>510</v>
      </c>
      <c r="D14497" t="s">
        <v>529</v>
      </c>
      <c r="E14497" t="s">
        <v>530</v>
      </c>
      <c r="F14497" t="s">
        <v>413</v>
      </c>
      <c r="G14497">
        <v>678</v>
      </c>
      <c r="H14497">
        <v>678</v>
      </c>
      <c r="I14497">
        <v>635</v>
      </c>
      <c r="J14497">
        <v>635</v>
      </c>
      <c r="K14497">
        <v>136</v>
      </c>
      <c r="L14497">
        <v>1</v>
      </c>
      <c r="M14497">
        <v>500</v>
      </c>
      <c r="N14497">
        <v>29</v>
      </c>
      <c r="O14497">
        <v>12</v>
      </c>
      <c r="P14497">
        <v>6</v>
      </c>
      <c r="Q14497">
        <v>0</v>
      </c>
    </row>
    <row r="14498" spans="1:17" x14ac:dyDescent="0.2">
      <c r="A14498" s="121">
        <v>44104</v>
      </c>
      <c r="B14498" t="s">
        <v>406</v>
      </c>
      <c r="C14498" t="s">
        <v>510</v>
      </c>
      <c r="D14498" t="s">
        <v>531</v>
      </c>
      <c r="E14498" t="s">
        <v>532</v>
      </c>
      <c r="F14498" t="s">
        <v>410</v>
      </c>
      <c r="G14498">
        <v>22</v>
      </c>
      <c r="I14498">
        <v>22</v>
      </c>
    </row>
    <row r="14499" spans="1:17" x14ac:dyDescent="0.2">
      <c r="A14499" s="121">
        <v>44104</v>
      </c>
      <c r="B14499" t="s">
        <v>406</v>
      </c>
      <c r="C14499" t="s">
        <v>510</v>
      </c>
      <c r="D14499" t="s">
        <v>533</v>
      </c>
      <c r="E14499" t="s">
        <v>534</v>
      </c>
      <c r="F14499" t="s">
        <v>413</v>
      </c>
      <c r="G14499">
        <v>2748</v>
      </c>
      <c r="H14499">
        <v>2748</v>
      </c>
      <c r="I14499">
        <v>2486</v>
      </c>
      <c r="J14499">
        <v>2486</v>
      </c>
      <c r="K14499">
        <v>746</v>
      </c>
      <c r="L14499">
        <v>3</v>
      </c>
      <c r="M14499">
        <v>1855</v>
      </c>
      <c r="N14499">
        <v>22</v>
      </c>
      <c r="O14499">
        <v>122</v>
      </c>
      <c r="P14499">
        <v>7</v>
      </c>
      <c r="Q14499">
        <v>0</v>
      </c>
    </row>
    <row r="14500" spans="1:17" x14ac:dyDescent="0.2">
      <c r="A14500" s="121">
        <v>44104</v>
      </c>
      <c r="B14500" t="s">
        <v>406</v>
      </c>
      <c r="C14500" t="s">
        <v>510</v>
      </c>
      <c r="D14500" t="s">
        <v>535</v>
      </c>
      <c r="E14500" t="s">
        <v>536</v>
      </c>
      <c r="F14500" t="s">
        <v>410</v>
      </c>
      <c r="G14500">
        <v>172</v>
      </c>
      <c r="I14500">
        <v>172</v>
      </c>
    </row>
    <row r="14501" spans="1:17" x14ac:dyDescent="0.2">
      <c r="A14501" s="121">
        <v>44104</v>
      </c>
      <c r="B14501" t="s">
        <v>406</v>
      </c>
      <c r="C14501" t="s">
        <v>510</v>
      </c>
      <c r="D14501" t="s">
        <v>539</v>
      </c>
      <c r="E14501" t="s">
        <v>540</v>
      </c>
      <c r="F14501" t="s">
        <v>413</v>
      </c>
      <c r="G14501">
        <v>632</v>
      </c>
      <c r="H14501">
        <v>632</v>
      </c>
      <c r="I14501">
        <v>606</v>
      </c>
      <c r="J14501">
        <v>606</v>
      </c>
      <c r="K14501">
        <v>119</v>
      </c>
      <c r="L14501">
        <v>0</v>
      </c>
      <c r="M14501">
        <v>487</v>
      </c>
      <c r="N14501">
        <v>19</v>
      </c>
      <c r="O14501">
        <v>7</v>
      </c>
      <c r="P14501">
        <v>1</v>
      </c>
      <c r="Q14501">
        <v>0</v>
      </c>
    </row>
    <row r="14502" spans="1:17" x14ac:dyDescent="0.2">
      <c r="A14502" s="121">
        <v>44104</v>
      </c>
      <c r="B14502" t="s">
        <v>406</v>
      </c>
      <c r="C14502" t="s">
        <v>510</v>
      </c>
      <c r="D14502" t="s">
        <v>541</v>
      </c>
      <c r="E14502" t="s">
        <v>542</v>
      </c>
      <c r="F14502" t="s">
        <v>410</v>
      </c>
      <c r="G14502">
        <v>336</v>
      </c>
      <c r="I14502">
        <v>335</v>
      </c>
    </row>
    <row r="14503" spans="1:17" x14ac:dyDescent="0.2">
      <c r="A14503" s="121">
        <v>44104</v>
      </c>
      <c r="B14503" t="s">
        <v>406</v>
      </c>
      <c r="C14503" t="s">
        <v>510</v>
      </c>
      <c r="D14503" t="s">
        <v>543</v>
      </c>
      <c r="E14503" t="s">
        <v>544</v>
      </c>
      <c r="F14503" t="s">
        <v>410</v>
      </c>
      <c r="G14503">
        <v>72</v>
      </c>
      <c r="I14503">
        <v>72</v>
      </c>
    </row>
    <row r="14504" spans="1:17" x14ac:dyDescent="0.2">
      <c r="A14504" s="121">
        <v>44104</v>
      </c>
      <c r="B14504" t="s">
        <v>406</v>
      </c>
      <c r="C14504" t="s">
        <v>510</v>
      </c>
      <c r="D14504" t="s">
        <v>616</v>
      </c>
      <c r="E14504" t="s">
        <v>617</v>
      </c>
      <c r="F14504" t="s">
        <v>410</v>
      </c>
      <c r="G14504">
        <v>291</v>
      </c>
      <c r="I14504">
        <v>291</v>
      </c>
    </row>
    <row r="14505" spans="1:17" x14ac:dyDescent="0.2">
      <c r="A14505" s="121">
        <v>44104</v>
      </c>
      <c r="B14505" t="s">
        <v>406</v>
      </c>
      <c r="C14505" t="s">
        <v>510</v>
      </c>
      <c r="D14505" t="s">
        <v>549</v>
      </c>
      <c r="E14505" t="s">
        <v>550</v>
      </c>
      <c r="F14505" t="s">
        <v>410</v>
      </c>
      <c r="G14505">
        <v>58</v>
      </c>
      <c r="I14505">
        <v>58</v>
      </c>
    </row>
    <row r="14506" spans="1:17" x14ac:dyDescent="0.2">
      <c r="A14506" s="121">
        <v>44104</v>
      </c>
      <c r="B14506" t="s">
        <v>406</v>
      </c>
      <c r="C14506" t="s">
        <v>510</v>
      </c>
      <c r="D14506" t="s">
        <v>625</v>
      </c>
      <c r="E14506" t="s">
        <v>626</v>
      </c>
      <c r="F14506" t="s">
        <v>410</v>
      </c>
      <c r="G14506">
        <v>139</v>
      </c>
      <c r="I14506">
        <v>139</v>
      </c>
    </row>
    <row r="14507" spans="1:17" x14ac:dyDescent="0.2">
      <c r="A14507" s="121">
        <v>44104</v>
      </c>
      <c r="B14507" t="s">
        <v>406</v>
      </c>
      <c r="C14507" t="s">
        <v>551</v>
      </c>
      <c r="D14507" t="s">
        <v>552</v>
      </c>
      <c r="E14507" t="s">
        <v>553</v>
      </c>
      <c r="F14507" t="s">
        <v>413</v>
      </c>
      <c r="G14507">
        <v>5209</v>
      </c>
      <c r="H14507">
        <v>5209</v>
      </c>
      <c r="I14507">
        <v>4456</v>
      </c>
      <c r="J14507">
        <v>4456</v>
      </c>
      <c r="K14507">
        <v>1696</v>
      </c>
      <c r="L14507">
        <v>4</v>
      </c>
      <c r="M14507">
        <v>3393</v>
      </c>
      <c r="N14507">
        <v>94</v>
      </c>
      <c r="O14507">
        <v>22</v>
      </c>
      <c r="P14507">
        <v>51</v>
      </c>
      <c r="Q14507">
        <v>6</v>
      </c>
    </row>
    <row r="14508" spans="1:17" x14ac:dyDescent="0.2">
      <c r="A14508" s="121">
        <v>44104</v>
      </c>
      <c r="B14508" t="s">
        <v>406</v>
      </c>
      <c r="C14508" t="s">
        <v>551</v>
      </c>
      <c r="D14508" t="s">
        <v>558</v>
      </c>
      <c r="E14508" t="s">
        <v>559</v>
      </c>
      <c r="F14508" t="s">
        <v>413</v>
      </c>
      <c r="G14508">
        <v>4839</v>
      </c>
      <c r="H14508">
        <v>4839</v>
      </c>
      <c r="I14508">
        <v>4291</v>
      </c>
      <c r="J14508">
        <v>4291</v>
      </c>
      <c r="K14508">
        <v>1391</v>
      </c>
      <c r="L14508">
        <v>10</v>
      </c>
      <c r="M14508">
        <v>3332</v>
      </c>
      <c r="N14508">
        <v>91</v>
      </c>
      <c r="O14508">
        <v>15</v>
      </c>
      <c r="P14508">
        <v>35</v>
      </c>
      <c r="Q14508">
        <v>5</v>
      </c>
    </row>
    <row r="14509" spans="1:17" x14ac:dyDescent="0.2">
      <c r="A14509" s="121">
        <v>44104</v>
      </c>
      <c r="B14509" t="s">
        <v>406</v>
      </c>
      <c r="C14509" t="s">
        <v>551</v>
      </c>
      <c r="D14509" t="s">
        <v>560</v>
      </c>
      <c r="E14509" t="s">
        <v>561</v>
      </c>
      <c r="F14509" t="s">
        <v>413</v>
      </c>
      <c r="G14509">
        <v>5850</v>
      </c>
      <c r="H14509">
        <v>5850</v>
      </c>
      <c r="I14509">
        <v>5206</v>
      </c>
      <c r="J14509">
        <v>5206</v>
      </c>
      <c r="K14509">
        <v>1753</v>
      </c>
      <c r="L14509">
        <v>5</v>
      </c>
      <c r="M14509">
        <v>4016</v>
      </c>
      <c r="N14509">
        <v>47</v>
      </c>
      <c r="O14509">
        <v>29</v>
      </c>
      <c r="P14509">
        <v>57</v>
      </c>
      <c r="Q14509">
        <v>11</v>
      </c>
    </row>
    <row r="14510" spans="1:17" x14ac:dyDescent="0.2">
      <c r="A14510" s="121">
        <v>44104</v>
      </c>
      <c r="B14510" t="s">
        <v>406</v>
      </c>
      <c r="C14510" t="s">
        <v>562</v>
      </c>
      <c r="D14510" t="s">
        <v>605</v>
      </c>
      <c r="E14510" t="s">
        <v>606</v>
      </c>
      <c r="F14510" t="s">
        <v>410</v>
      </c>
      <c r="G14510">
        <v>59</v>
      </c>
      <c r="I14510">
        <v>59</v>
      </c>
    </row>
    <row r="14511" spans="1:17" x14ac:dyDescent="0.2">
      <c r="A14511" s="121">
        <v>44104</v>
      </c>
      <c r="B14511" t="s">
        <v>406</v>
      </c>
      <c r="C14511" t="s">
        <v>562</v>
      </c>
      <c r="D14511" t="s">
        <v>563</v>
      </c>
      <c r="E14511" t="s">
        <v>564</v>
      </c>
      <c r="F14511" t="s">
        <v>410</v>
      </c>
      <c r="G14511">
        <v>3068</v>
      </c>
      <c r="H14511">
        <v>3068</v>
      </c>
      <c r="I14511">
        <v>2743</v>
      </c>
      <c r="J14511">
        <v>2743</v>
      </c>
      <c r="K14511">
        <v>1160</v>
      </c>
      <c r="L14511">
        <v>1</v>
      </c>
      <c r="M14511">
        <v>1888</v>
      </c>
      <c r="N14511">
        <v>5</v>
      </c>
      <c r="O14511">
        <v>14</v>
      </c>
      <c r="P14511">
        <v>25</v>
      </c>
      <c r="Q14511">
        <v>0</v>
      </c>
    </row>
    <row r="14512" spans="1:17" x14ac:dyDescent="0.2">
      <c r="A14512" s="121">
        <v>44104</v>
      </c>
      <c r="B14512" t="s">
        <v>406</v>
      </c>
      <c r="C14512" t="s">
        <v>562</v>
      </c>
      <c r="D14512" t="s">
        <v>565</v>
      </c>
      <c r="E14512" t="s">
        <v>566</v>
      </c>
      <c r="F14512" t="s">
        <v>413</v>
      </c>
      <c r="G14512">
        <v>4352</v>
      </c>
      <c r="H14512">
        <v>4352</v>
      </c>
      <c r="I14512">
        <v>3996</v>
      </c>
      <c r="J14512">
        <v>3996</v>
      </c>
      <c r="K14512">
        <v>885</v>
      </c>
      <c r="L14512">
        <v>0</v>
      </c>
      <c r="M14512">
        <v>3436</v>
      </c>
      <c r="N14512">
        <v>28</v>
      </c>
      <c r="O14512">
        <v>3</v>
      </c>
      <c r="P14512">
        <v>32</v>
      </c>
      <c r="Q14512">
        <v>8</v>
      </c>
    </row>
    <row r="14513" spans="1:17" x14ac:dyDescent="0.2">
      <c r="A14513" s="121">
        <v>44104</v>
      </c>
      <c r="B14513" t="s">
        <v>406</v>
      </c>
      <c r="C14513" t="s">
        <v>562</v>
      </c>
      <c r="D14513" t="s">
        <v>567</v>
      </c>
      <c r="E14513" t="s">
        <v>568</v>
      </c>
      <c r="F14513" t="s">
        <v>413</v>
      </c>
      <c r="G14513">
        <v>9224</v>
      </c>
      <c r="H14513">
        <v>9224</v>
      </c>
      <c r="I14513">
        <v>7925</v>
      </c>
      <c r="J14513">
        <v>7925</v>
      </c>
      <c r="K14513">
        <v>3376</v>
      </c>
      <c r="L14513">
        <v>4</v>
      </c>
      <c r="M14513">
        <v>5696</v>
      </c>
      <c r="N14513">
        <v>115</v>
      </c>
      <c r="O14513">
        <v>33</v>
      </c>
      <c r="P14513">
        <v>143</v>
      </c>
      <c r="Q14513">
        <v>31</v>
      </c>
    </row>
    <row r="14514" spans="1:17" x14ac:dyDescent="0.2">
      <c r="A14514" s="121">
        <v>44104</v>
      </c>
      <c r="B14514" t="s">
        <v>406</v>
      </c>
      <c r="C14514" t="s">
        <v>562</v>
      </c>
      <c r="D14514" t="s">
        <v>569</v>
      </c>
      <c r="E14514" t="s">
        <v>570</v>
      </c>
      <c r="F14514" t="s">
        <v>413</v>
      </c>
      <c r="G14514">
        <v>3767</v>
      </c>
      <c r="H14514">
        <v>3767</v>
      </c>
      <c r="I14514">
        <v>3659</v>
      </c>
      <c r="J14514">
        <v>3659</v>
      </c>
      <c r="K14514">
        <v>456</v>
      </c>
      <c r="L14514">
        <v>0</v>
      </c>
      <c r="M14514">
        <v>3112</v>
      </c>
      <c r="N14514">
        <v>140</v>
      </c>
      <c r="O14514">
        <v>59</v>
      </c>
      <c r="P14514">
        <v>2</v>
      </c>
      <c r="Q14514">
        <v>0</v>
      </c>
    </row>
    <row r="14515" spans="1:17" x14ac:dyDescent="0.2">
      <c r="A14515" s="121">
        <v>44104</v>
      </c>
      <c r="B14515" t="s">
        <v>406</v>
      </c>
      <c r="C14515" t="s">
        <v>571</v>
      </c>
      <c r="D14515" t="s">
        <v>572</v>
      </c>
      <c r="E14515" t="s">
        <v>627</v>
      </c>
      <c r="F14515" t="s">
        <v>413</v>
      </c>
      <c r="G14515">
        <v>506</v>
      </c>
      <c r="H14515">
        <v>506</v>
      </c>
      <c r="I14515">
        <v>499</v>
      </c>
      <c r="J14515">
        <v>499</v>
      </c>
      <c r="K14515">
        <v>150</v>
      </c>
      <c r="L14515">
        <v>0</v>
      </c>
      <c r="M14515">
        <v>353</v>
      </c>
      <c r="N14515">
        <v>0</v>
      </c>
      <c r="O14515">
        <v>3</v>
      </c>
      <c r="P14515">
        <v>0</v>
      </c>
      <c r="Q14515">
        <v>0</v>
      </c>
    </row>
    <row r="14516" spans="1:17" x14ac:dyDescent="0.2">
      <c r="A14516" s="121">
        <v>44104</v>
      </c>
      <c r="B14516" t="s">
        <v>406</v>
      </c>
      <c r="C14516" t="s">
        <v>574</v>
      </c>
      <c r="D14516" t="s">
        <v>575</v>
      </c>
      <c r="E14516" t="s">
        <v>576</v>
      </c>
      <c r="F14516" t="s">
        <v>413</v>
      </c>
      <c r="G14516">
        <v>467</v>
      </c>
      <c r="H14516">
        <v>467</v>
      </c>
      <c r="I14516">
        <v>460</v>
      </c>
      <c r="J14516">
        <v>460</v>
      </c>
      <c r="K14516">
        <v>141</v>
      </c>
      <c r="L14516">
        <v>0</v>
      </c>
      <c r="M14516">
        <v>321</v>
      </c>
      <c r="N14516">
        <v>1</v>
      </c>
      <c r="O14516">
        <v>4</v>
      </c>
      <c r="P14516">
        <v>0</v>
      </c>
      <c r="Q14516">
        <v>0</v>
      </c>
    </row>
    <row r="14517" spans="1:17" x14ac:dyDescent="0.2">
      <c r="A14517" s="121">
        <v>44104</v>
      </c>
      <c r="B14517" t="s">
        <v>406</v>
      </c>
      <c r="C14517" t="s">
        <v>577</v>
      </c>
      <c r="D14517" t="s">
        <v>578</v>
      </c>
      <c r="E14517" t="s">
        <v>579</v>
      </c>
      <c r="F14517" t="s">
        <v>413</v>
      </c>
      <c r="G14517">
        <v>4193</v>
      </c>
      <c r="H14517">
        <v>4193</v>
      </c>
      <c r="I14517">
        <v>3946</v>
      </c>
      <c r="J14517">
        <v>3946</v>
      </c>
      <c r="K14517">
        <v>1398</v>
      </c>
      <c r="L14517">
        <v>1</v>
      </c>
      <c r="M14517">
        <v>2561</v>
      </c>
      <c r="N14517">
        <v>153</v>
      </c>
      <c r="O14517">
        <v>80</v>
      </c>
      <c r="P14517">
        <v>3</v>
      </c>
      <c r="Q14517">
        <v>0</v>
      </c>
    </row>
    <row r="14518" spans="1:17" x14ac:dyDescent="0.2">
      <c r="A14518" s="121">
        <v>44104</v>
      </c>
      <c r="B14518" t="s">
        <v>406</v>
      </c>
      <c r="C14518" t="s">
        <v>577</v>
      </c>
      <c r="D14518" t="s">
        <v>580</v>
      </c>
      <c r="E14518" t="s">
        <v>581</v>
      </c>
      <c r="F14518" t="s">
        <v>413</v>
      </c>
      <c r="G14518">
        <v>1844</v>
      </c>
      <c r="H14518">
        <v>1844</v>
      </c>
      <c r="I14518">
        <v>1780</v>
      </c>
      <c r="J14518">
        <v>1780</v>
      </c>
      <c r="K14518">
        <v>323</v>
      </c>
      <c r="L14518">
        <v>0</v>
      </c>
      <c r="M14518">
        <v>1304</v>
      </c>
      <c r="N14518">
        <v>196</v>
      </c>
      <c r="O14518">
        <v>21</v>
      </c>
      <c r="P14518">
        <v>4</v>
      </c>
      <c r="Q14518">
        <v>0</v>
      </c>
    </row>
    <row r="14519" spans="1:17" x14ac:dyDescent="0.2">
      <c r="A14519" s="121">
        <v>44104</v>
      </c>
      <c r="B14519" t="s">
        <v>406</v>
      </c>
      <c r="C14519" t="s">
        <v>577</v>
      </c>
      <c r="D14519" t="s">
        <v>586</v>
      </c>
      <c r="E14519" t="s">
        <v>587</v>
      </c>
      <c r="F14519" t="s">
        <v>410</v>
      </c>
      <c r="G14519">
        <v>698</v>
      </c>
      <c r="H14519">
        <v>698</v>
      </c>
      <c r="I14519">
        <v>698</v>
      </c>
      <c r="J14519">
        <v>698</v>
      </c>
      <c r="K14519">
        <v>0</v>
      </c>
      <c r="L14519">
        <v>0</v>
      </c>
      <c r="M14519">
        <v>646</v>
      </c>
      <c r="N14519">
        <v>52</v>
      </c>
      <c r="O14519">
        <v>0</v>
      </c>
      <c r="P14519">
        <v>0</v>
      </c>
      <c r="Q14519">
        <v>0</v>
      </c>
    </row>
    <row r="14520" spans="1:17" x14ac:dyDescent="0.2">
      <c r="A14520" s="121">
        <v>44104</v>
      </c>
      <c r="B14520" t="s">
        <v>406</v>
      </c>
      <c r="C14520" t="s">
        <v>577</v>
      </c>
      <c r="D14520" t="s">
        <v>590</v>
      </c>
      <c r="E14520" t="s">
        <v>591</v>
      </c>
      <c r="F14520" t="s">
        <v>410</v>
      </c>
      <c r="G14520">
        <v>334</v>
      </c>
      <c r="H14520">
        <v>334</v>
      </c>
      <c r="I14520">
        <v>334</v>
      </c>
      <c r="J14520">
        <v>334</v>
      </c>
      <c r="K14520">
        <v>0</v>
      </c>
      <c r="L14520">
        <v>0</v>
      </c>
      <c r="M14520">
        <v>329</v>
      </c>
      <c r="N14520">
        <v>5</v>
      </c>
      <c r="O14520">
        <v>0</v>
      </c>
      <c r="P14520">
        <v>0</v>
      </c>
      <c r="Q14520">
        <v>0</v>
      </c>
    </row>
    <row r="14521" spans="1:17" x14ac:dyDescent="0.2">
      <c r="A14521" s="121">
        <v>44104</v>
      </c>
      <c r="B14521" t="s">
        <v>406</v>
      </c>
      <c r="C14521" t="s">
        <v>594</v>
      </c>
      <c r="D14521" t="s">
        <v>595</v>
      </c>
      <c r="E14521" t="s">
        <v>596</v>
      </c>
      <c r="F14521" t="s">
        <v>410</v>
      </c>
      <c r="G14521">
        <v>31</v>
      </c>
      <c r="I14521">
        <v>31</v>
      </c>
    </row>
    <row r="14522" spans="1:17" x14ac:dyDescent="0.2">
      <c r="A14522" s="121">
        <v>44104</v>
      </c>
      <c r="B14522" t="s">
        <v>406</v>
      </c>
      <c r="C14522" t="s">
        <v>594</v>
      </c>
      <c r="D14522" t="s">
        <v>597</v>
      </c>
      <c r="E14522" t="s">
        <v>598</v>
      </c>
      <c r="F14522" t="s">
        <v>413</v>
      </c>
      <c r="G14522">
        <v>384</v>
      </c>
      <c r="H14522">
        <v>384</v>
      </c>
      <c r="I14522">
        <v>374</v>
      </c>
      <c r="J14522">
        <v>374</v>
      </c>
      <c r="K14522">
        <v>111</v>
      </c>
      <c r="L14522">
        <v>0</v>
      </c>
      <c r="M14522">
        <v>264</v>
      </c>
      <c r="N14522">
        <v>1</v>
      </c>
      <c r="O14522">
        <v>8</v>
      </c>
      <c r="P14522">
        <v>0</v>
      </c>
      <c r="Q14522">
        <v>0</v>
      </c>
    </row>
    <row r="14523" spans="1:17" x14ac:dyDescent="0.2">
      <c r="A14523" s="121">
        <v>44104</v>
      </c>
      <c r="B14523" t="s">
        <v>406</v>
      </c>
      <c r="C14523" t="s">
        <v>594</v>
      </c>
      <c r="D14523" t="s">
        <v>599</v>
      </c>
      <c r="E14523" t="s">
        <v>600</v>
      </c>
      <c r="F14523" t="s">
        <v>410</v>
      </c>
      <c r="G14523">
        <v>94</v>
      </c>
      <c r="H14523">
        <v>94</v>
      </c>
      <c r="I14523">
        <v>93</v>
      </c>
      <c r="J14523">
        <v>93</v>
      </c>
      <c r="K14523">
        <v>6</v>
      </c>
      <c r="L14523">
        <v>0</v>
      </c>
      <c r="M14523">
        <v>87</v>
      </c>
      <c r="N14523">
        <v>0</v>
      </c>
      <c r="O14523">
        <v>1</v>
      </c>
      <c r="P14523">
        <v>0</v>
      </c>
      <c r="Q14523">
        <v>0</v>
      </c>
    </row>
    <row r="14524" spans="1:17" x14ac:dyDescent="0.2">
      <c r="A14524" s="121">
        <v>44135</v>
      </c>
      <c r="B14524" t="s">
        <v>406</v>
      </c>
      <c r="C14524" t="s">
        <v>407</v>
      </c>
      <c r="D14524" t="s">
        <v>408</v>
      </c>
      <c r="E14524" t="s">
        <v>409</v>
      </c>
      <c r="F14524" t="s">
        <v>410</v>
      </c>
      <c r="G14524">
        <v>137</v>
      </c>
      <c r="I14524">
        <v>134</v>
      </c>
    </row>
    <row r="14525" spans="1:17" x14ac:dyDescent="0.2">
      <c r="A14525" s="121">
        <v>44135</v>
      </c>
      <c r="B14525" t="s">
        <v>406</v>
      </c>
      <c r="C14525" t="s">
        <v>407</v>
      </c>
      <c r="D14525" t="s">
        <v>601</v>
      </c>
      <c r="E14525" t="s">
        <v>602</v>
      </c>
      <c r="F14525" t="s">
        <v>410</v>
      </c>
      <c r="G14525">
        <v>50</v>
      </c>
      <c r="I14525">
        <v>50</v>
      </c>
    </row>
    <row r="14526" spans="1:17" x14ac:dyDescent="0.2">
      <c r="A14526" s="121">
        <v>44135</v>
      </c>
      <c r="B14526" t="s">
        <v>406</v>
      </c>
      <c r="C14526" t="s">
        <v>407</v>
      </c>
      <c r="D14526" t="s">
        <v>411</v>
      </c>
      <c r="E14526" t="s">
        <v>412</v>
      </c>
      <c r="F14526" t="s">
        <v>413</v>
      </c>
      <c r="G14526">
        <v>4628</v>
      </c>
      <c r="H14526">
        <v>4628</v>
      </c>
      <c r="I14526">
        <v>4025</v>
      </c>
      <c r="J14526">
        <v>4025</v>
      </c>
      <c r="K14526">
        <v>1503</v>
      </c>
      <c r="L14526">
        <v>12</v>
      </c>
      <c r="M14526">
        <v>2874</v>
      </c>
      <c r="N14526">
        <v>33</v>
      </c>
      <c r="O14526">
        <v>206</v>
      </c>
      <c r="P14526">
        <v>173</v>
      </c>
      <c r="Q14526">
        <v>74</v>
      </c>
    </row>
    <row r="14527" spans="1:17" x14ac:dyDescent="0.2">
      <c r="A14527" s="121">
        <v>44135</v>
      </c>
      <c r="B14527" t="s">
        <v>406</v>
      </c>
      <c r="C14527" t="s">
        <v>407</v>
      </c>
      <c r="D14527" t="s">
        <v>416</v>
      </c>
      <c r="E14527" t="s">
        <v>417</v>
      </c>
      <c r="F14527" t="s">
        <v>413</v>
      </c>
      <c r="G14527">
        <v>2515</v>
      </c>
      <c r="H14527">
        <v>2515</v>
      </c>
      <c r="I14527">
        <v>2093</v>
      </c>
      <c r="J14527">
        <v>2093</v>
      </c>
      <c r="K14527">
        <v>844</v>
      </c>
      <c r="L14527">
        <v>7</v>
      </c>
      <c r="M14527">
        <v>1554</v>
      </c>
      <c r="N14527">
        <v>76</v>
      </c>
      <c r="O14527">
        <v>34</v>
      </c>
      <c r="P14527">
        <v>105</v>
      </c>
      <c r="Q14527">
        <v>36</v>
      </c>
    </row>
    <row r="14528" spans="1:17" x14ac:dyDescent="0.2">
      <c r="A14528" s="121">
        <v>44135</v>
      </c>
      <c r="B14528" t="s">
        <v>406</v>
      </c>
      <c r="C14528" t="s">
        <v>407</v>
      </c>
      <c r="D14528" t="s">
        <v>618</v>
      </c>
      <c r="E14528" t="s">
        <v>619</v>
      </c>
      <c r="F14528" t="s">
        <v>410</v>
      </c>
      <c r="G14528">
        <v>46</v>
      </c>
      <c r="I14528">
        <v>46</v>
      </c>
    </row>
    <row r="14529" spans="1:17" x14ac:dyDescent="0.2">
      <c r="A14529" s="121">
        <v>44135</v>
      </c>
      <c r="B14529" t="s">
        <v>406</v>
      </c>
      <c r="C14529" t="s">
        <v>418</v>
      </c>
      <c r="D14529" t="s">
        <v>427</v>
      </c>
      <c r="E14529" t="s">
        <v>428</v>
      </c>
      <c r="F14529" t="s">
        <v>413</v>
      </c>
      <c r="G14529">
        <v>2167</v>
      </c>
      <c r="H14529">
        <v>2167</v>
      </c>
      <c r="I14529">
        <v>1924</v>
      </c>
      <c r="J14529">
        <v>1924</v>
      </c>
      <c r="K14529">
        <v>725</v>
      </c>
      <c r="L14529">
        <v>1</v>
      </c>
      <c r="M14529">
        <v>1396</v>
      </c>
      <c r="N14529">
        <v>35</v>
      </c>
      <c r="O14529">
        <v>10</v>
      </c>
      <c r="P14529">
        <v>14</v>
      </c>
      <c r="Q14529">
        <v>0</v>
      </c>
    </row>
    <row r="14530" spans="1:17" x14ac:dyDescent="0.2">
      <c r="A14530" s="121">
        <v>44135</v>
      </c>
      <c r="B14530" t="s">
        <v>406</v>
      </c>
      <c r="C14530" t="s">
        <v>429</v>
      </c>
      <c r="D14530" t="s">
        <v>438</v>
      </c>
      <c r="E14530" t="s">
        <v>439</v>
      </c>
      <c r="F14530" t="s">
        <v>413</v>
      </c>
      <c r="G14530">
        <v>821</v>
      </c>
      <c r="H14530">
        <v>821</v>
      </c>
      <c r="I14530">
        <v>768</v>
      </c>
      <c r="J14530">
        <v>768</v>
      </c>
      <c r="K14530">
        <v>66</v>
      </c>
      <c r="L14530">
        <v>0</v>
      </c>
      <c r="M14530">
        <v>698</v>
      </c>
      <c r="N14530">
        <v>45</v>
      </c>
      <c r="O14530">
        <v>12</v>
      </c>
      <c r="P14530">
        <v>8</v>
      </c>
      <c r="Q14530">
        <v>2</v>
      </c>
    </row>
    <row r="14531" spans="1:17" x14ac:dyDescent="0.2">
      <c r="A14531" s="121">
        <v>44135</v>
      </c>
      <c r="B14531" t="s">
        <v>406</v>
      </c>
      <c r="C14531" t="s">
        <v>429</v>
      </c>
      <c r="D14531" t="s">
        <v>440</v>
      </c>
      <c r="E14531" t="s">
        <v>441</v>
      </c>
      <c r="F14531" t="s">
        <v>413</v>
      </c>
      <c r="G14531">
        <v>2319</v>
      </c>
      <c r="H14531">
        <v>2319</v>
      </c>
      <c r="I14531">
        <v>2160</v>
      </c>
      <c r="J14531">
        <v>2160</v>
      </c>
      <c r="K14531">
        <v>775</v>
      </c>
      <c r="L14531">
        <v>7</v>
      </c>
      <c r="M14531">
        <v>1480</v>
      </c>
      <c r="N14531">
        <v>30</v>
      </c>
      <c r="O14531">
        <v>27</v>
      </c>
      <c r="P14531">
        <v>2</v>
      </c>
      <c r="Q14531">
        <v>0</v>
      </c>
    </row>
    <row r="14532" spans="1:17" x14ac:dyDescent="0.2">
      <c r="A14532" s="121">
        <v>44135</v>
      </c>
      <c r="B14532" t="s">
        <v>406</v>
      </c>
      <c r="C14532" t="s">
        <v>442</v>
      </c>
      <c r="D14532" t="s">
        <v>443</v>
      </c>
      <c r="E14532" t="s">
        <v>444</v>
      </c>
      <c r="F14532" t="s">
        <v>413</v>
      </c>
      <c r="G14532">
        <v>4612</v>
      </c>
      <c r="H14532">
        <v>4612</v>
      </c>
      <c r="I14532">
        <v>4252</v>
      </c>
      <c r="J14532">
        <v>4252</v>
      </c>
      <c r="K14532">
        <v>1492</v>
      </c>
      <c r="L14532">
        <v>12</v>
      </c>
      <c r="M14532">
        <v>3016</v>
      </c>
      <c r="N14532">
        <v>40</v>
      </c>
      <c r="O14532">
        <v>52</v>
      </c>
      <c r="P14532">
        <v>4</v>
      </c>
      <c r="Q14532">
        <v>0</v>
      </c>
    </row>
    <row r="14533" spans="1:17" x14ac:dyDescent="0.2">
      <c r="A14533" s="121">
        <v>44135</v>
      </c>
      <c r="B14533" t="s">
        <v>406</v>
      </c>
      <c r="C14533" t="s">
        <v>442</v>
      </c>
      <c r="D14533" t="s">
        <v>445</v>
      </c>
      <c r="E14533" t="s">
        <v>446</v>
      </c>
      <c r="F14533" t="s">
        <v>410</v>
      </c>
      <c r="G14533">
        <v>117</v>
      </c>
      <c r="H14533">
        <v>117</v>
      </c>
      <c r="I14533">
        <v>116</v>
      </c>
      <c r="J14533">
        <v>116</v>
      </c>
      <c r="K14533">
        <v>0</v>
      </c>
      <c r="L14533">
        <v>0</v>
      </c>
      <c r="M14533">
        <v>111</v>
      </c>
      <c r="N14533">
        <v>3</v>
      </c>
      <c r="O14533">
        <v>3</v>
      </c>
      <c r="P14533">
        <v>0</v>
      </c>
      <c r="Q14533">
        <v>0</v>
      </c>
    </row>
    <row r="14534" spans="1:17" x14ac:dyDescent="0.2">
      <c r="A14534" s="121">
        <v>44135</v>
      </c>
      <c r="B14534" t="s">
        <v>406</v>
      </c>
      <c r="C14534" t="s">
        <v>442</v>
      </c>
      <c r="D14534" t="s">
        <v>447</v>
      </c>
      <c r="E14534" t="s">
        <v>448</v>
      </c>
      <c r="F14534" t="s">
        <v>410</v>
      </c>
      <c r="G14534">
        <v>201</v>
      </c>
      <c r="H14534">
        <v>201</v>
      </c>
      <c r="I14534">
        <v>201</v>
      </c>
      <c r="J14534">
        <v>201</v>
      </c>
      <c r="K14534">
        <v>0</v>
      </c>
      <c r="L14534">
        <v>0</v>
      </c>
      <c r="M14534">
        <v>190</v>
      </c>
      <c r="N14534">
        <v>10</v>
      </c>
      <c r="O14534">
        <v>1</v>
      </c>
      <c r="P14534">
        <v>0</v>
      </c>
      <c r="Q14534">
        <v>0</v>
      </c>
    </row>
    <row r="14535" spans="1:17" x14ac:dyDescent="0.2">
      <c r="A14535" s="121">
        <v>44135</v>
      </c>
      <c r="B14535" t="s">
        <v>406</v>
      </c>
      <c r="C14535" t="s">
        <v>442</v>
      </c>
      <c r="D14535" t="s">
        <v>449</v>
      </c>
      <c r="E14535" t="s">
        <v>624</v>
      </c>
      <c r="F14535" t="s">
        <v>410</v>
      </c>
      <c r="G14535">
        <v>1201</v>
      </c>
      <c r="H14535">
        <v>1201</v>
      </c>
      <c r="I14535">
        <v>1200</v>
      </c>
      <c r="J14535">
        <v>1200</v>
      </c>
      <c r="K14535">
        <v>9</v>
      </c>
      <c r="L14535">
        <v>0</v>
      </c>
      <c r="M14535">
        <v>1103</v>
      </c>
      <c r="N14535">
        <v>77</v>
      </c>
      <c r="O14535">
        <v>12</v>
      </c>
      <c r="P14535">
        <v>1</v>
      </c>
      <c r="Q14535">
        <v>0</v>
      </c>
    </row>
    <row r="14536" spans="1:17" x14ac:dyDescent="0.2">
      <c r="A14536" s="121">
        <v>44135</v>
      </c>
      <c r="B14536" t="s">
        <v>406</v>
      </c>
      <c r="C14536" t="s">
        <v>451</v>
      </c>
      <c r="D14536" t="s">
        <v>454</v>
      </c>
      <c r="E14536" t="s">
        <v>621</v>
      </c>
      <c r="F14536" t="s">
        <v>410</v>
      </c>
      <c r="G14536">
        <v>1797</v>
      </c>
      <c r="H14536">
        <v>1797</v>
      </c>
      <c r="I14536">
        <v>1794</v>
      </c>
      <c r="J14536">
        <v>1794</v>
      </c>
      <c r="K14536">
        <v>11</v>
      </c>
      <c r="L14536">
        <v>0</v>
      </c>
      <c r="M14536">
        <v>1703</v>
      </c>
      <c r="N14536">
        <v>11</v>
      </c>
      <c r="O14536">
        <v>72</v>
      </c>
      <c r="P14536">
        <v>0</v>
      </c>
      <c r="Q14536">
        <v>0</v>
      </c>
    </row>
    <row r="14537" spans="1:17" x14ac:dyDescent="0.2">
      <c r="A14537" s="121">
        <v>44135</v>
      </c>
      <c r="B14537" t="s">
        <v>406</v>
      </c>
      <c r="C14537" t="s">
        <v>451</v>
      </c>
      <c r="D14537" t="s">
        <v>622</v>
      </c>
      <c r="E14537" t="s">
        <v>623</v>
      </c>
      <c r="F14537" t="s">
        <v>413</v>
      </c>
      <c r="G14537">
        <v>3806</v>
      </c>
      <c r="H14537">
        <v>3806</v>
      </c>
      <c r="I14537">
        <v>3472</v>
      </c>
      <c r="J14537">
        <v>3472</v>
      </c>
      <c r="K14537">
        <v>1386</v>
      </c>
      <c r="L14537">
        <v>9</v>
      </c>
      <c r="M14537">
        <v>2336</v>
      </c>
      <c r="N14537">
        <v>16</v>
      </c>
      <c r="O14537">
        <v>59</v>
      </c>
      <c r="P14537">
        <v>11</v>
      </c>
      <c r="Q14537">
        <v>1</v>
      </c>
    </row>
    <row r="14538" spans="1:17" x14ac:dyDescent="0.2">
      <c r="A14538" s="121">
        <v>44135</v>
      </c>
      <c r="B14538" t="s">
        <v>406</v>
      </c>
      <c r="C14538" t="s">
        <v>456</v>
      </c>
      <c r="D14538" t="s">
        <v>457</v>
      </c>
      <c r="E14538" t="s">
        <v>458</v>
      </c>
      <c r="F14538" t="s">
        <v>413</v>
      </c>
      <c r="G14538">
        <v>4081</v>
      </c>
      <c r="H14538">
        <v>4081</v>
      </c>
      <c r="I14538">
        <v>3472</v>
      </c>
      <c r="J14538">
        <v>3472</v>
      </c>
      <c r="K14538">
        <v>1278</v>
      </c>
      <c r="L14538">
        <v>13</v>
      </c>
      <c r="M14538">
        <v>2580</v>
      </c>
      <c r="N14538">
        <v>10</v>
      </c>
      <c r="O14538">
        <v>200</v>
      </c>
      <c r="P14538">
        <v>38</v>
      </c>
      <c r="Q14538">
        <v>4</v>
      </c>
    </row>
    <row r="14539" spans="1:17" x14ac:dyDescent="0.2">
      <c r="A14539" s="121">
        <v>44135</v>
      </c>
      <c r="B14539" t="s">
        <v>406</v>
      </c>
      <c r="C14539" t="s">
        <v>456</v>
      </c>
      <c r="D14539" t="s">
        <v>459</v>
      </c>
      <c r="E14539" t="s">
        <v>460</v>
      </c>
      <c r="F14539" t="s">
        <v>413</v>
      </c>
      <c r="G14539">
        <v>970</v>
      </c>
      <c r="H14539">
        <v>970</v>
      </c>
      <c r="I14539">
        <v>956</v>
      </c>
      <c r="J14539">
        <v>956</v>
      </c>
      <c r="K14539">
        <v>99</v>
      </c>
      <c r="L14539">
        <v>0</v>
      </c>
      <c r="M14539">
        <v>866</v>
      </c>
      <c r="N14539">
        <v>0</v>
      </c>
      <c r="O14539">
        <v>5</v>
      </c>
      <c r="P14539">
        <v>0</v>
      </c>
      <c r="Q14539">
        <v>0</v>
      </c>
    </row>
    <row r="14540" spans="1:17" x14ac:dyDescent="0.2">
      <c r="A14540" s="121">
        <v>44135</v>
      </c>
      <c r="B14540" t="s">
        <v>406</v>
      </c>
      <c r="C14540" t="s">
        <v>456</v>
      </c>
      <c r="D14540" t="s">
        <v>467</v>
      </c>
      <c r="E14540" t="s">
        <v>468</v>
      </c>
      <c r="F14540" t="s">
        <v>410</v>
      </c>
      <c r="G14540">
        <v>656</v>
      </c>
      <c r="I14540">
        <v>656</v>
      </c>
    </row>
    <row r="14541" spans="1:17" x14ac:dyDescent="0.2">
      <c r="A14541" s="121">
        <v>44135</v>
      </c>
      <c r="B14541" t="s">
        <v>406</v>
      </c>
      <c r="C14541" t="s">
        <v>456</v>
      </c>
      <c r="D14541" t="s">
        <v>469</v>
      </c>
      <c r="E14541" t="s">
        <v>470</v>
      </c>
      <c r="F14541" t="s">
        <v>410</v>
      </c>
      <c r="G14541">
        <v>416</v>
      </c>
      <c r="I14541">
        <v>414</v>
      </c>
    </row>
    <row r="14542" spans="1:17" x14ac:dyDescent="0.2">
      <c r="A14542" s="121">
        <v>44135</v>
      </c>
      <c r="B14542" t="s">
        <v>406</v>
      </c>
      <c r="C14542" t="s">
        <v>456</v>
      </c>
      <c r="D14542" t="s">
        <v>471</v>
      </c>
      <c r="E14542" t="s">
        <v>472</v>
      </c>
      <c r="F14542" t="s">
        <v>410</v>
      </c>
      <c r="G14542">
        <v>219</v>
      </c>
      <c r="I14542">
        <v>219</v>
      </c>
    </row>
    <row r="14543" spans="1:17" x14ac:dyDescent="0.2">
      <c r="A14543" s="121">
        <v>44135</v>
      </c>
      <c r="B14543" t="s">
        <v>406</v>
      </c>
      <c r="C14543" t="s">
        <v>456</v>
      </c>
      <c r="D14543" t="s">
        <v>477</v>
      </c>
      <c r="E14543" t="s">
        <v>478</v>
      </c>
      <c r="F14543" t="s">
        <v>413</v>
      </c>
      <c r="G14543">
        <v>1795</v>
      </c>
      <c r="H14543">
        <v>1795</v>
      </c>
      <c r="I14543">
        <v>1599</v>
      </c>
      <c r="J14543">
        <v>1599</v>
      </c>
      <c r="K14543">
        <v>491</v>
      </c>
      <c r="L14543">
        <v>2</v>
      </c>
      <c r="M14543">
        <v>1287</v>
      </c>
      <c r="N14543">
        <v>13</v>
      </c>
      <c r="O14543">
        <v>2</v>
      </c>
      <c r="P14543">
        <v>20</v>
      </c>
      <c r="Q14543">
        <v>1</v>
      </c>
    </row>
    <row r="14544" spans="1:17" x14ac:dyDescent="0.2">
      <c r="A14544" s="121">
        <v>44135</v>
      </c>
      <c r="B14544" t="s">
        <v>406</v>
      </c>
      <c r="C14544" t="s">
        <v>491</v>
      </c>
      <c r="D14544" t="s">
        <v>492</v>
      </c>
      <c r="E14544" t="s">
        <v>493</v>
      </c>
      <c r="F14544" t="s">
        <v>410</v>
      </c>
      <c r="G14544">
        <v>997</v>
      </c>
      <c r="H14544">
        <v>997</v>
      </c>
      <c r="I14544">
        <v>980</v>
      </c>
      <c r="J14544">
        <v>980</v>
      </c>
      <c r="K14544">
        <v>100</v>
      </c>
      <c r="L14544">
        <v>0</v>
      </c>
      <c r="M14544">
        <v>853</v>
      </c>
      <c r="N14544">
        <v>37</v>
      </c>
      <c r="O14544">
        <v>7</v>
      </c>
      <c r="P14544">
        <v>3</v>
      </c>
      <c r="Q14544">
        <v>0</v>
      </c>
    </row>
    <row r="14545" spans="1:17" x14ac:dyDescent="0.2">
      <c r="A14545" s="121">
        <v>44135</v>
      </c>
      <c r="B14545" t="s">
        <v>406</v>
      </c>
      <c r="C14545" t="s">
        <v>491</v>
      </c>
      <c r="D14545" t="s">
        <v>494</v>
      </c>
      <c r="E14545" t="s">
        <v>495</v>
      </c>
      <c r="F14545" t="s">
        <v>413</v>
      </c>
      <c r="G14545">
        <v>1991</v>
      </c>
      <c r="H14545">
        <v>1991</v>
      </c>
      <c r="I14545">
        <v>1825</v>
      </c>
      <c r="J14545">
        <v>1825</v>
      </c>
      <c r="K14545">
        <v>494</v>
      </c>
      <c r="L14545">
        <v>1</v>
      </c>
      <c r="M14545">
        <v>1426</v>
      </c>
      <c r="N14545">
        <v>30</v>
      </c>
      <c r="O14545">
        <v>40</v>
      </c>
      <c r="P14545">
        <v>23</v>
      </c>
      <c r="Q14545">
        <v>1</v>
      </c>
    </row>
    <row r="14546" spans="1:17" x14ac:dyDescent="0.2">
      <c r="A14546" s="121">
        <v>44135</v>
      </c>
      <c r="B14546" t="s">
        <v>406</v>
      </c>
      <c r="C14546" t="s">
        <v>491</v>
      </c>
      <c r="D14546" t="s">
        <v>496</v>
      </c>
      <c r="E14546" t="s">
        <v>497</v>
      </c>
      <c r="F14546" t="s">
        <v>413</v>
      </c>
      <c r="G14546">
        <v>4098</v>
      </c>
      <c r="H14546">
        <v>4098</v>
      </c>
      <c r="I14546">
        <v>3557</v>
      </c>
      <c r="J14546">
        <v>3557</v>
      </c>
      <c r="K14546">
        <v>1277</v>
      </c>
      <c r="L14546">
        <v>10</v>
      </c>
      <c r="M14546">
        <v>2656</v>
      </c>
      <c r="N14546">
        <v>94</v>
      </c>
      <c r="O14546">
        <v>61</v>
      </c>
      <c r="P14546">
        <v>82</v>
      </c>
      <c r="Q14546">
        <v>0</v>
      </c>
    </row>
    <row r="14547" spans="1:17" x14ac:dyDescent="0.2">
      <c r="A14547" s="121">
        <v>44135</v>
      </c>
      <c r="B14547" t="s">
        <v>406</v>
      </c>
      <c r="C14547" t="s">
        <v>491</v>
      </c>
      <c r="D14547" t="s">
        <v>498</v>
      </c>
      <c r="E14547" t="s">
        <v>499</v>
      </c>
      <c r="F14547" t="s">
        <v>413</v>
      </c>
      <c r="G14547">
        <v>5915</v>
      </c>
      <c r="H14547">
        <v>5915</v>
      </c>
      <c r="I14547">
        <v>5001</v>
      </c>
      <c r="J14547">
        <v>5001</v>
      </c>
      <c r="K14547">
        <v>1904</v>
      </c>
      <c r="L14547">
        <v>18</v>
      </c>
      <c r="M14547">
        <v>3691</v>
      </c>
      <c r="N14547">
        <v>131</v>
      </c>
      <c r="O14547">
        <v>171</v>
      </c>
      <c r="P14547">
        <v>125</v>
      </c>
      <c r="Q14547">
        <v>13</v>
      </c>
    </row>
    <row r="14548" spans="1:17" x14ac:dyDescent="0.2">
      <c r="A14548" s="121">
        <v>44135</v>
      </c>
      <c r="B14548" t="s">
        <v>406</v>
      </c>
      <c r="C14548" t="s">
        <v>491</v>
      </c>
      <c r="D14548" t="s">
        <v>500</v>
      </c>
      <c r="E14548" t="s">
        <v>620</v>
      </c>
      <c r="F14548" t="s">
        <v>410</v>
      </c>
      <c r="G14548">
        <v>1206</v>
      </c>
      <c r="H14548">
        <v>1206</v>
      </c>
      <c r="I14548">
        <v>1205</v>
      </c>
      <c r="J14548">
        <v>1205</v>
      </c>
      <c r="K14548">
        <v>0</v>
      </c>
      <c r="L14548">
        <v>0</v>
      </c>
      <c r="M14548">
        <v>1110</v>
      </c>
      <c r="N14548">
        <v>73</v>
      </c>
      <c r="O14548">
        <v>23</v>
      </c>
      <c r="P14548">
        <v>0</v>
      </c>
      <c r="Q14548">
        <v>0</v>
      </c>
    </row>
    <row r="14549" spans="1:17" x14ac:dyDescent="0.2">
      <c r="A14549" s="121">
        <v>44135</v>
      </c>
      <c r="B14549" t="s">
        <v>406</v>
      </c>
      <c r="C14549" t="s">
        <v>491</v>
      </c>
      <c r="D14549" t="s">
        <v>502</v>
      </c>
      <c r="E14549" t="s">
        <v>615</v>
      </c>
      <c r="F14549" t="s">
        <v>410</v>
      </c>
      <c r="G14549">
        <v>1619</v>
      </c>
      <c r="H14549">
        <v>1619</v>
      </c>
      <c r="I14549">
        <v>1617</v>
      </c>
      <c r="J14549">
        <v>1617</v>
      </c>
      <c r="K14549">
        <v>0</v>
      </c>
      <c r="L14549">
        <v>1</v>
      </c>
      <c r="M14549">
        <v>1552</v>
      </c>
      <c r="N14549">
        <v>49</v>
      </c>
      <c r="O14549">
        <v>17</v>
      </c>
      <c r="P14549">
        <v>0</v>
      </c>
      <c r="Q14549">
        <v>0</v>
      </c>
    </row>
    <row r="14550" spans="1:17" x14ac:dyDescent="0.2">
      <c r="A14550" s="121">
        <v>44135</v>
      </c>
      <c r="B14550" t="s">
        <v>406</v>
      </c>
      <c r="C14550" t="s">
        <v>491</v>
      </c>
      <c r="D14550" t="s">
        <v>504</v>
      </c>
      <c r="E14550" t="s">
        <v>630</v>
      </c>
      <c r="F14550" t="s">
        <v>413</v>
      </c>
      <c r="G14550">
        <v>6631</v>
      </c>
      <c r="H14550">
        <v>6631</v>
      </c>
      <c r="I14550">
        <v>5337</v>
      </c>
      <c r="J14550">
        <v>5337</v>
      </c>
      <c r="K14550">
        <v>2574</v>
      </c>
      <c r="L14550">
        <v>33</v>
      </c>
      <c r="M14550">
        <v>3835</v>
      </c>
      <c r="N14550">
        <v>57</v>
      </c>
      <c r="O14550">
        <v>132</v>
      </c>
      <c r="P14550">
        <v>173</v>
      </c>
      <c r="Q14550">
        <v>10</v>
      </c>
    </row>
    <row r="14551" spans="1:17" x14ac:dyDescent="0.2">
      <c r="A14551" s="121">
        <v>44135</v>
      </c>
      <c r="B14551" t="s">
        <v>406</v>
      </c>
      <c r="C14551" t="s">
        <v>491</v>
      </c>
      <c r="D14551" t="s">
        <v>506</v>
      </c>
      <c r="E14551" t="s">
        <v>507</v>
      </c>
      <c r="F14551" t="s">
        <v>413</v>
      </c>
      <c r="G14551">
        <v>3799</v>
      </c>
      <c r="H14551">
        <v>3799</v>
      </c>
      <c r="I14551">
        <v>3755</v>
      </c>
      <c r="J14551">
        <v>3755</v>
      </c>
      <c r="K14551">
        <v>977</v>
      </c>
      <c r="L14551">
        <v>1</v>
      </c>
      <c r="M14551">
        <v>2815</v>
      </c>
      <c r="N14551">
        <v>2</v>
      </c>
      <c r="O14551">
        <v>4</v>
      </c>
      <c r="P14551">
        <v>0</v>
      </c>
      <c r="Q14551">
        <v>0</v>
      </c>
    </row>
    <row r="14552" spans="1:17" x14ac:dyDescent="0.2">
      <c r="A14552" s="121">
        <v>44135</v>
      </c>
      <c r="B14552" t="s">
        <v>406</v>
      </c>
      <c r="C14552" t="s">
        <v>510</v>
      </c>
      <c r="D14552" t="s">
        <v>513</v>
      </c>
      <c r="E14552" t="s">
        <v>514</v>
      </c>
      <c r="F14552" t="s">
        <v>410</v>
      </c>
      <c r="G14552">
        <v>480</v>
      </c>
      <c r="I14552">
        <v>480</v>
      </c>
    </row>
    <row r="14553" spans="1:17" x14ac:dyDescent="0.2">
      <c r="A14553" s="121">
        <v>44135</v>
      </c>
      <c r="B14553" t="s">
        <v>406</v>
      </c>
      <c r="C14553" t="s">
        <v>510</v>
      </c>
      <c r="D14553" t="s">
        <v>515</v>
      </c>
      <c r="E14553" t="s">
        <v>516</v>
      </c>
      <c r="F14553" t="s">
        <v>410</v>
      </c>
      <c r="G14553">
        <v>76</v>
      </c>
      <c r="I14553">
        <v>75</v>
      </c>
    </row>
    <row r="14554" spans="1:17" x14ac:dyDescent="0.2">
      <c r="A14554" s="121">
        <v>44135</v>
      </c>
      <c r="B14554" t="s">
        <v>406</v>
      </c>
      <c r="C14554" t="s">
        <v>510</v>
      </c>
      <c r="D14554" t="s">
        <v>519</v>
      </c>
      <c r="E14554" t="s">
        <v>520</v>
      </c>
      <c r="F14554" t="s">
        <v>410</v>
      </c>
      <c r="G14554">
        <v>277</v>
      </c>
      <c r="I14554">
        <v>277</v>
      </c>
    </row>
    <row r="14555" spans="1:17" x14ac:dyDescent="0.2">
      <c r="A14555" s="121">
        <v>44135</v>
      </c>
      <c r="B14555" t="s">
        <v>406</v>
      </c>
      <c r="C14555" t="s">
        <v>510</v>
      </c>
      <c r="D14555" t="s">
        <v>523</v>
      </c>
      <c r="E14555" t="s">
        <v>524</v>
      </c>
      <c r="F14555" t="s">
        <v>413</v>
      </c>
      <c r="G14555">
        <v>606</v>
      </c>
      <c r="H14555">
        <v>606</v>
      </c>
      <c r="I14555">
        <v>579</v>
      </c>
      <c r="J14555">
        <v>579</v>
      </c>
      <c r="K14555">
        <v>152</v>
      </c>
      <c r="L14555">
        <v>2</v>
      </c>
      <c r="M14555">
        <v>431</v>
      </c>
      <c r="N14555">
        <v>14</v>
      </c>
      <c r="O14555">
        <v>7</v>
      </c>
      <c r="P14555">
        <v>3</v>
      </c>
      <c r="Q14555">
        <v>0</v>
      </c>
    </row>
    <row r="14556" spans="1:17" x14ac:dyDescent="0.2">
      <c r="A14556" s="121">
        <v>44135</v>
      </c>
      <c r="B14556" t="s">
        <v>406</v>
      </c>
      <c r="C14556" t="s">
        <v>510</v>
      </c>
      <c r="D14556" t="s">
        <v>525</v>
      </c>
      <c r="E14556" t="s">
        <v>526</v>
      </c>
      <c r="F14556" t="s">
        <v>410</v>
      </c>
      <c r="G14556">
        <v>464</v>
      </c>
      <c r="I14556">
        <v>457</v>
      </c>
    </row>
    <row r="14557" spans="1:17" x14ac:dyDescent="0.2">
      <c r="A14557" s="121">
        <v>44135</v>
      </c>
      <c r="B14557" t="s">
        <v>406</v>
      </c>
      <c r="C14557" t="s">
        <v>510</v>
      </c>
      <c r="D14557" t="s">
        <v>527</v>
      </c>
      <c r="E14557" t="s">
        <v>528</v>
      </c>
      <c r="F14557" t="s">
        <v>410</v>
      </c>
      <c r="G14557">
        <v>14</v>
      </c>
      <c r="I14557">
        <v>14</v>
      </c>
    </row>
    <row r="14558" spans="1:17" x14ac:dyDescent="0.2">
      <c r="A14558" s="121">
        <v>44135</v>
      </c>
      <c r="B14558" t="s">
        <v>406</v>
      </c>
      <c r="C14558" t="s">
        <v>510</v>
      </c>
      <c r="D14558" t="s">
        <v>529</v>
      </c>
      <c r="E14558" t="s">
        <v>530</v>
      </c>
      <c r="F14558" t="s">
        <v>413</v>
      </c>
      <c r="G14558">
        <v>590</v>
      </c>
      <c r="H14558">
        <v>590</v>
      </c>
      <c r="I14558">
        <v>554</v>
      </c>
      <c r="J14558">
        <v>554</v>
      </c>
      <c r="K14558">
        <v>142</v>
      </c>
      <c r="L14558">
        <v>1</v>
      </c>
      <c r="M14558">
        <v>412</v>
      </c>
      <c r="N14558">
        <v>21</v>
      </c>
      <c r="O14558">
        <v>14</v>
      </c>
      <c r="P14558">
        <v>1</v>
      </c>
      <c r="Q14558">
        <v>0</v>
      </c>
    </row>
    <row r="14559" spans="1:17" x14ac:dyDescent="0.2">
      <c r="A14559" s="121">
        <v>44135</v>
      </c>
      <c r="B14559" t="s">
        <v>406</v>
      </c>
      <c r="C14559" t="s">
        <v>510</v>
      </c>
      <c r="D14559" t="s">
        <v>531</v>
      </c>
      <c r="E14559" t="s">
        <v>532</v>
      </c>
      <c r="F14559" t="s">
        <v>410</v>
      </c>
      <c r="G14559">
        <v>26</v>
      </c>
      <c r="I14559">
        <v>26</v>
      </c>
    </row>
    <row r="14560" spans="1:17" x14ac:dyDescent="0.2">
      <c r="A14560" s="121">
        <v>44135</v>
      </c>
      <c r="B14560" t="s">
        <v>406</v>
      </c>
      <c r="C14560" t="s">
        <v>510</v>
      </c>
      <c r="D14560" t="s">
        <v>533</v>
      </c>
      <c r="E14560" t="s">
        <v>534</v>
      </c>
      <c r="F14560" t="s">
        <v>413</v>
      </c>
      <c r="G14560">
        <v>2438</v>
      </c>
      <c r="H14560">
        <v>2438</v>
      </c>
      <c r="I14560">
        <v>2172</v>
      </c>
      <c r="J14560">
        <v>2172</v>
      </c>
      <c r="K14560">
        <v>714</v>
      </c>
      <c r="L14560">
        <v>1</v>
      </c>
      <c r="M14560">
        <v>1618</v>
      </c>
      <c r="N14560">
        <v>19</v>
      </c>
      <c r="O14560">
        <v>86</v>
      </c>
      <c r="P14560">
        <v>11</v>
      </c>
      <c r="Q14560">
        <v>0</v>
      </c>
    </row>
    <row r="14561" spans="1:17" x14ac:dyDescent="0.2">
      <c r="A14561" s="121">
        <v>44135</v>
      </c>
      <c r="B14561" t="s">
        <v>406</v>
      </c>
      <c r="C14561" t="s">
        <v>510</v>
      </c>
      <c r="D14561" t="s">
        <v>535</v>
      </c>
      <c r="E14561" t="s">
        <v>536</v>
      </c>
      <c r="F14561" t="s">
        <v>410</v>
      </c>
      <c r="G14561">
        <v>213</v>
      </c>
      <c r="I14561">
        <v>213</v>
      </c>
    </row>
    <row r="14562" spans="1:17" x14ac:dyDescent="0.2">
      <c r="A14562" s="121">
        <v>44135</v>
      </c>
      <c r="B14562" t="s">
        <v>406</v>
      </c>
      <c r="C14562" t="s">
        <v>510</v>
      </c>
      <c r="D14562" t="s">
        <v>539</v>
      </c>
      <c r="E14562" t="s">
        <v>540</v>
      </c>
      <c r="F14562" t="s">
        <v>413</v>
      </c>
      <c r="G14562">
        <v>559</v>
      </c>
      <c r="H14562">
        <v>559</v>
      </c>
      <c r="I14562">
        <v>531</v>
      </c>
      <c r="J14562">
        <v>531</v>
      </c>
      <c r="K14562">
        <v>90</v>
      </c>
      <c r="L14562">
        <v>0</v>
      </c>
      <c r="M14562">
        <v>445</v>
      </c>
      <c r="N14562">
        <v>20</v>
      </c>
      <c r="O14562">
        <v>4</v>
      </c>
      <c r="P14562">
        <v>0</v>
      </c>
      <c r="Q14562">
        <v>0</v>
      </c>
    </row>
    <row r="14563" spans="1:17" x14ac:dyDescent="0.2">
      <c r="A14563" s="121">
        <v>44135</v>
      </c>
      <c r="B14563" t="s">
        <v>406</v>
      </c>
      <c r="C14563" t="s">
        <v>510</v>
      </c>
      <c r="D14563" t="s">
        <v>541</v>
      </c>
      <c r="E14563" t="s">
        <v>542</v>
      </c>
      <c r="F14563" t="s">
        <v>410</v>
      </c>
      <c r="G14563">
        <v>351</v>
      </c>
      <c r="I14563">
        <v>349</v>
      </c>
    </row>
    <row r="14564" spans="1:17" x14ac:dyDescent="0.2">
      <c r="A14564" s="121">
        <v>44135</v>
      </c>
      <c r="B14564" t="s">
        <v>406</v>
      </c>
      <c r="C14564" t="s">
        <v>510</v>
      </c>
      <c r="D14564" t="s">
        <v>543</v>
      </c>
      <c r="E14564" t="s">
        <v>544</v>
      </c>
      <c r="F14564" t="s">
        <v>410</v>
      </c>
      <c r="G14564">
        <v>75</v>
      </c>
      <c r="I14564">
        <v>75</v>
      </c>
    </row>
    <row r="14565" spans="1:17" x14ac:dyDescent="0.2">
      <c r="A14565" s="121">
        <v>44135</v>
      </c>
      <c r="B14565" t="s">
        <v>406</v>
      </c>
      <c r="C14565" t="s">
        <v>510</v>
      </c>
      <c r="D14565" t="s">
        <v>547</v>
      </c>
      <c r="E14565" t="s">
        <v>548</v>
      </c>
      <c r="F14565" t="s">
        <v>410</v>
      </c>
      <c r="G14565">
        <v>66</v>
      </c>
      <c r="I14565">
        <v>66</v>
      </c>
    </row>
    <row r="14566" spans="1:17" x14ac:dyDescent="0.2">
      <c r="A14566" s="121">
        <v>44135</v>
      </c>
      <c r="B14566" t="s">
        <v>406</v>
      </c>
      <c r="C14566" t="s">
        <v>510</v>
      </c>
      <c r="D14566" t="s">
        <v>616</v>
      </c>
      <c r="E14566" t="s">
        <v>617</v>
      </c>
      <c r="F14566" t="s">
        <v>410</v>
      </c>
      <c r="G14566">
        <v>260</v>
      </c>
      <c r="I14566">
        <v>248</v>
      </c>
    </row>
    <row r="14567" spans="1:17" x14ac:dyDescent="0.2">
      <c r="A14567" s="121">
        <v>44135</v>
      </c>
      <c r="B14567" t="s">
        <v>406</v>
      </c>
      <c r="C14567" t="s">
        <v>510</v>
      </c>
      <c r="D14567" t="s">
        <v>549</v>
      </c>
      <c r="E14567" t="s">
        <v>550</v>
      </c>
      <c r="F14567" t="s">
        <v>410</v>
      </c>
      <c r="G14567">
        <v>66</v>
      </c>
      <c r="I14567">
        <v>66</v>
      </c>
    </row>
    <row r="14568" spans="1:17" x14ac:dyDescent="0.2">
      <c r="A14568" s="121">
        <v>44135</v>
      </c>
      <c r="B14568" t="s">
        <v>406</v>
      </c>
      <c r="C14568" t="s">
        <v>510</v>
      </c>
      <c r="D14568" t="s">
        <v>625</v>
      </c>
      <c r="E14568" t="s">
        <v>626</v>
      </c>
      <c r="F14568" t="s">
        <v>410</v>
      </c>
      <c r="G14568">
        <v>139</v>
      </c>
      <c r="I14568">
        <v>139</v>
      </c>
    </row>
    <row r="14569" spans="1:17" x14ac:dyDescent="0.2">
      <c r="A14569" s="121">
        <v>44135</v>
      </c>
      <c r="B14569" t="s">
        <v>406</v>
      </c>
      <c r="C14569" t="s">
        <v>551</v>
      </c>
      <c r="D14569" t="s">
        <v>552</v>
      </c>
      <c r="E14569" t="s">
        <v>553</v>
      </c>
      <c r="F14569" t="s">
        <v>413</v>
      </c>
      <c r="G14569">
        <v>4910</v>
      </c>
      <c r="H14569">
        <v>4910</v>
      </c>
      <c r="I14569">
        <v>3956</v>
      </c>
      <c r="J14569">
        <v>3956</v>
      </c>
      <c r="K14569">
        <v>1820</v>
      </c>
      <c r="L14569">
        <v>5</v>
      </c>
      <c r="M14569">
        <v>2966</v>
      </c>
      <c r="N14569">
        <v>95</v>
      </c>
      <c r="O14569">
        <v>24</v>
      </c>
      <c r="P14569">
        <v>132</v>
      </c>
      <c r="Q14569">
        <v>24</v>
      </c>
    </row>
    <row r="14570" spans="1:17" x14ac:dyDescent="0.2">
      <c r="A14570" s="121">
        <v>44135</v>
      </c>
      <c r="B14570" t="s">
        <v>406</v>
      </c>
      <c r="C14570" t="s">
        <v>551</v>
      </c>
      <c r="D14570" t="s">
        <v>558</v>
      </c>
      <c r="E14570" t="s">
        <v>559</v>
      </c>
      <c r="F14570" t="s">
        <v>413</v>
      </c>
      <c r="G14570">
        <v>4439</v>
      </c>
      <c r="H14570">
        <v>4439</v>
      </c>
      <c r="I14570">
        <v>3598</v>
      </c>
      <c r="J14570">
        <v>3598</v>
      </c>
      <c r="K14570">
        <v>1336</v>
      </c>
      <c r="L14570">
        <v>12</v>
      </c>
      <c r="M14570">
        <v>3011</v>
      </c>
      <c r="N14570">
        <v>75</v>
      </c>
      <c r="O14570">
        <v>5</v>
      </c>
      <c r="P14570">
        <v>87</v>
      </c>
      <c r="Q14570">
        <v>23</v>
      </c>
    </row>
    <row r="14571" spans="1:17" x14ac:dyDescent="0.2">
      <c r="A14571" s="121">
        <v>44135</v>
      </c>
      <c r="B14571" t="s">
        <v>406</v>
      </c>
      <c r="C14571" t="s">
        <v>551</v>
      </c>
      <c r="D14571" t="s">
        <v>560</v>
      </c>
      <c r="E14571" t="s">
        <v>561</v>
      </c>
      <c r="F14571" t="s">
        <v>413</v>
      </c>
      <c r="G14571">
        <v>5648</v>
      </c>
      <c r="H14571">
        <v>5648</v>
      </c>
      <c r="I14571">
        <v>4858</v>
      </c>
      <c r="J14571">
        <v>4858</v>
      </c>
      <c r="K14571">
        <v>1950</v>
      </c>
      <c r="L14571">
        <v>10</v>
      </c>
      <c r="M14571">
        <v>3613</v>
      </c>
      <c r="N14571">
        <v>56</v>
      </c>
      <c r="O14571">
        <v>19</v>
      </c>
      <c r="P14571">
        <v>155</v>
      </c>
      <c r="Q14571">
        <v>30</v>
      </c>
    </row>
    <row r="14572" spans="1:17" x14ac:dyDescent="0.2">
      <c r="A14572" s="121">
        <v>44135</v>
      </c>
      <c r="B14572" t="s">
        <v>406</v>
      </c>
      <c r="C14572" t="s">
        <v>562</v>
      </c>
      <c r="D14572" t="s">
        <v>605</v>
      </c>
      <c r="E14572" t="s">
        <v>606</v>
      </c>
      <c r="F14572" t="s">
        <v>410</v>
      </c>
      <c r="G14572">
        <v>66</v>
      </c>
      <c r="I14572">
        <v>66</v>
      </c>
    </row>
    <row r="14573" spans="1:17" x14ac:dyDescent="0.2">
      <c r="A14573" s="121">
        <v>44135</v>
      </c>
      <c r="B14573" t="s">
        <v>406</v>
      </c>
      <c r="C14573" t="s">
        <v>562</v>
      </c>
      <c r="D14573" t="s">
        <v>563</v>
      </c>
      <c r="E14573" t="s">
        <v>564</v>
      </c>
      <c r="F14573" t="s">
        <v>410</v>
      </c>
      <c r="G14573">
        <v>2905</v>
      </c>
      <c r="H14573">
        <v>2905</v>
      </c>
      <c r="I14573">
        <v>2601</v>
      </c>
      <c r="J14573">
        <v>2601</v>
      </c>
      <c r="K14573">
        <v>1179</v>
      </c>
      <c r="L14573">
        <v>0</v>
      </c>
      <c r="M14573">
        <v>1714</v>
      </c>
      <c r="N14573">
        <v>2</v>
      </c>
      <c r="O14573">
        <v>10</v>
      </c>
      <c r="P14573">
        <v>18</v>
      </c>
      <c r="Q14573">
        <v>2</v>
      </c>
    </row>
    <row r="14574" spans="1:17" x14ac:dyDescent="0.2">
      <c r="A14574" s="121">
        <v>44135</v>
      </c>
      <c r="B14574" t="s">
        <v>406</v>
      </c>
      <c r="C14574" t="s">
        <v>562</v>
      </c>
      <c r="D14574" t="s">
        <v>565</v>
      </c>
      <c r="E14574" t="s">
        <v>566</v>
      </c>
      <c r="F14574" t="s">
        <v>413</v>
      </c>
      <c r="G14574">
        <v>4099</v>
      </c>
      <c r="H14574">
        <v>4099</v>
      </c>
      <c r="I14574">
        <v>3633</v>
      </c>
      <c r="J14574">
        <v>3633</v>
      </c>
      <c r="K14574">
        <v>886</v>
      </c>
      <c r="L14574">
        <v>3</v>
      </c>
      <c r="M14574">
        <v>3164</v>
      </c>
      <c r="N14574">
        <v>43</v>
      </c>
      <c r="O14574">
        <v>3</v>
      </c>
      <c r="P14574">
        <v>56</v>
      </c>
      <c r="Q14574">
        <v>9</v>
      </c>
    </row>
    <row r="14575" spans="1:17" x14ac:dyDescent="0.2">
      <c r="A14575" s="121">
        <v>44135</v>
      </c>
      <c r="B14575" t="s">
        <v>406</v>
      </c>
      <c r="C14575" t="s">
        <v>562</v>
      </c>
      <c r="D14575" t="s">
        <v>567</v>
      </c>
      <c r="E14575" t="s">
        <v>568</v>
      </c>
      <c r="F14575" t="s">
        <v>413</v>
      </c>
      <c r="G14575">
        <v>8863</v>
      </c>
      <c r="H14575">
        <v>8863</v>
      </c>
      <c r="I14575">
        <v>7683</v>
      </c>
      <c r="J14575">
        <v>7683</v>
      </c>
      <c r="K14575">
        <v>3338</v>
      </c>
      <c r="L14575">
        <v>7</v>
      </c>
      <c r="M14575">
        <v>5393</v>
      </c>
      <c r="N14575">
        <v>102</v>
      </c>
      <c r="O14575">
        <v>23</v>
      </c>
      <c r="P14575">
        <v>153</v>
      </c>
      <c r="Q14575">
        <v>14</v>
      </c>
    </row>
    <row r="14576" spans="1:17" x14ac:dyDescent="0.2">
      <c r="A14576" s="121">
        <v>44135</v>
      </c>
      <c r="B14576" t="s">
        <v>406</v>
      </c>
      <c r="C14576" t="s">
        <v>562</v>
      </c>
      <c r="D14576" t="s">
        <v>569</v>
      </c>
      <c r="E14576" t="s">
        <v>570</v>
      </c>
      <c r="F14576" t="s">
        <v>413</v>
      </c>
      <c r="G14576">
        <v>3395</v>
      </c>
      <c r="H14576">
        <v>3395</v>
      </c>
      <c r="I14576">
        <v>3306</v>
      </c>
      <c r="J14576">
        <v>3306</v>
      </c>
      <c r="K14576">
        <v>438</v>
      </c>
      <c r="L14576">
        <v>0</v>
      </c>
      <c r="M14576">
        <v>2741</v>
      </c>
      <c r="N14576">
        <v>183</v>
      </c>
      <c r="O14576">
        <v>33</v>
      </c>
      <c r="P14576">
        <v>4</v>
      </c>
      <c r="Q14576">
        <v>1</v>
      </c>
    </row>
    <row r="14577" spans="1:17" x14ac:dyDescent="0.2">
      <c r="A14577" s="121">
        <v>44135</v>
      </c>
      <c r="B14577" t="s">
        <v>406</v>
      </c>
      <c r="C14577" t="s">
        <v>571</v>
      </c>
      <c r="D14577" t="s">
        <v>572</v>
      </c>
      <c r="E14577" t="s">
        <v>627</v>
      </c>
      <c r="F14577" t="s">
        <v>413</v>
      </c>
      <c r="G14577">
        <v>454</v>
      </c>
      <c r="H14577">
        <v>454</v>
      </c>
      <c r="I14577">
        <v>425</v>
      </c>
      <c r="J14577">
        <v>425</v>
      </c>
      <c r="K14577">
        <v>139</v>
      </c>
      <c r="L14577">
        <v>0</v>
      </c>
      <c r="M14577">
        <v>314</v>
      </c>
      <c r="N14577">
        <v>0</v>
      </c>
      <c r="O14577">
        <v>1</v>
      </c>
      <c r="P14577">
        <v>2</v>
      </c>
      <c r="Q14577">
        <v>1</v>
      </c>
    </row>
    <row r="14578" spans="1:17" x14ac:dyDescent="0.2">
      <c r="A14578" s="121">
        <v>44135</v>
      </c>
      <c r="B14578" t="s">
        <v>406</v>
      </c>
      <c r="C14578" t="s">
        <v>574</v>
      </c>
      <c r="D14578" t="s">
        <v>575</v>
      </c>
      <c r="E14578" t="s">
        <v>576</v>
      </c>
      <c r="F14578" t="s">
        <v>413</v>
      </c>
      <c r="G14578">
        <v>443</v>
      </c>
      <c r="H14578">
        <v>443</v>
      </c>
      <c r="I14578">
        <v>439</v>
      </c>
      <c r="J14578">
        <v>439</v>
      </c>
      <c r="K14578">
        <v>140</v>
      </c>
      <c r="L14578">
        <v>0</v>
      </c>
      <c r="M14578">
        <v>295</v>
      </c>
      <c r="N14578">
        <v>1</v>
      </c>
      <c r="O14578">
        <v>7</v>
      </c>
      <c r="P14578">
        <v>0</v>
      </c>
      <c r="Q14578">
        <v>0</v>
      </c>
    </row>
    <row r="14579" spans="1:17" x14ac:dyDescent="0.2">
      <c r="A14579" s="121">
        <v>44135</v>
      </c>
      <c r="B14579" t="s">
        <v>406</v>
      </c>
      <c r="C14579" t="s">
        <v>577</v>
      </c>
      <c r="D14579" t="s">
        <v>578</v>
      </c>
      <c r="E14579" t="s">
        <v>579</v>
      </c>
      <c r="F14579" t="s">
        <v>413</v>
      </c>
      <c r="G14579">
        <v>3761</v>
      </c>
      <c r="H14579">
        <v>3761</v>
      </c>
      <c r="I14579">
        <v>3628</v>
      </c>
      <c r="J14579">
        <v>3628</v>
      </c>
      <c r="K14579">
        <v>1398</v>
      </c>
      <c r="L14579">
        <v>2</v>
      </c>
      <c r="M14579">
        <v>2179</v>
      </c>
      <c r="N14579">
        <v>160</v>
      </c>
      <c r="O14579">
        <v>22</v>
      </c>
      <c r="P14579">
        <v>3</v>
      </c>
      <c r="Q14579">
        <v>0</v>
      </c>
    </row>
    <row r="14580" spans="1:17" x14ac:dyDescent="0.2">
      <c r="A14580" s="121">
        <v>44135</v>
      </c>
      <c r="B14580" t="s">
        <v>406</v>
      </c>
      <c r="C14580" t="s">
        <v>577</v>
      </c>
      <c r="D14580" t="s">
        <v>580</v>
      </c>
      <c r="E14580" t="s">
        <v>581</v>
      </c>
      <c r="F14580" t="s">
        <v>413</v>
      </c>
      <c r="G14580">
        <v>1525</v>
      </c>
      <c r="H14580">
        <v>1525</v>
      </c>
      <c r="I14580">
        <v>1503</v>
      </c>
      <c r="J14580">
        <v>1503</v>
      </c>
      <c r="K14580">
        <v>275</v>
      </c>
      <c r="L14580">
        <v>1</v>
      </c>
      <c r="M14580">
        <v>1071</v>
      </c>
      <c r="N14580">
        <v>166</v>
      </c>
      <c r="O14580">
        <v>12</v>
      </c>
      <c r="P14580">
        <v>2</v>
      </c>
      <c r="Q14580">
        <v>0</v>
      </c>
    </row>
    <row r="14581" spans="1:17" x14ac:dyDescent="0.2">
      <c r="A14581" s="121">
        <v>44135</v>
      </c>
      <c r="B14581" t="s">
        <v>406</v>
      </c>
      <c r="C14581" t="s">
        <v>577</v>
      </c>
      <c r="D14581" t="s">
        <v>586</v>
      </c>
      <c r="E14581" t="s">
        <v>587</v>
      </c>
      <c r="F14581" t="s">
        <v>410</v>
      </c>
      <c r="G14581">
        <v>585</v>
      </c>
      <c r="H14581">
        <v>585</v>
      </c>
      <c r="I14581">
        <v>585</v>
      </c>
      <c r="J14581">
        <v>585</v>
      </c>
      <c r="K14581">
        <v>0</v>
      </c>
      <c r="L14581">
        <v>0</v>
      </c>
      <c r="M14581">
        <v>539</v>
      </c>
      <c r="N14581">
        <v>45</v>
      </c>
      <c r="O14581">
        <v>1</v>
      </c>
      <c r="P14581">
        <v>0</v>
      </c>
      <c r="Q14581">
        <v>0</v>
      </c>
    </row>
    <row r="14582" spans="1:17" x14ac:dyDescent="0.2">
      <c r="A14582" s="121">
        <v>44135</v>
      </c>
      <c r="B14582" t="s">
        <v>406</v>
      </c>
      <c r="C14582" t="s">
        <v>577</v>
      </c>
      <c r="D14582" t="s">
        <v>590</v>
      </c>
      <c r="E14582" t="s">
        <v>591</v>
      </c>
      <c r="F14582" t="s">
        <v>410</v>
      </c>
      <c r="G14582">
        <v>304</v>
      </c>
      <c r="H14582">
        <v>304</v>
      </c>
      <c r="I14582">
        <v>304</v>
      </c>
      <c r="J14582">
        <v>304</v>
      </c>
      <c r="K14582">
        <v>0</v>
      </c>
      <c r="L14582">
        <v>0</v>
      </c>
      <c r="M14582">
        <v>294</v>
      </c>
      <c r="N14582">
        <v>10</v>
      </c>
      <c r="O14582">
        <v>0</v>
      </c>
      <c r="P14582">
        <v>0</v>
      </c>
      <c r="Q14582">
        <v>0</v>
      </c>
    </row>
    <row r="14583" spans="1:17" x14ac:dyDescent="0.2">
      <c r="A14583" s="121">
        <v>44135</v>
      </c>
      <c r="B14583" t="s">
        <v>406</v>
      </c>
      <c r="C14583" t="s">
        <v>594</v>
      </c>
      <c r="D14583" t="s">
        <v>595</v>
      </c>
      <c r="E14583" t="s">
        <v>596</v>
      </c>
      <c r="F14583" t="s">
        <v>410</v>
      </c>
      <c r="G14583">
        <v>36</v>
      </c>
      <c r="I14583">
        <v>36</v>
      </c>
    </row>
    <row r="14584" spans="1:17" x14ac:dyDescent="0.2">
      <c r="A14584" s="121">
        <v>44135</v>
      </c>
      <c r="B14584" t="s">
        <v>406</v>
      </c>
      <c r="C14584" t="s">
        <v>594</v>
      </c>
      <c r="D14584" t="s">
        <v>597</v>
      </c>
      <c r="E14584" t="s">
        <v>598</v>
      </c>
      <c r="F14584" t="s">
        <v>413</v>
      </c>
      <c r="G14584">
        <v>406</v>
      </c>
      <c r="H14584">
        <v>406</v>
      </c>
      <c r="I14584">
        <v>393</v>
      </c>
      <c r="J14584">
        <v>393</v>
      </c>
      <c r="K14584">
        <v>143</v>
      </c>
      <c r="L14584">
        <v>1</v>
      </c>
      <c r="M14584">
        <v>254</v>
      </c>
      <c r="N14584">
        <v>1</v>
      </c>
      <c r="O14584">
        <v>7</v>
      </c>
      <c r="P14584">
        <v>0</v>
      </c>
      <c r="Q14584">
        <v>0</v>
      </c>
    </row>
    <row r="14585" spans="1:17" x14ac:dyDescent="0.2">
      <c r="A14585" s="121">
        <v>44135</v>
      </c>
      <c r="B14585" t="s">
        <v>406</v>
      </c>
      <c r="C14585" t="s">
        <v>594</v>
      </c>
      <c r="D14585" t="s">
        <v>599</v>
      </c>
      <c r="E14585" t="s">
        <v>600</v>
      </c>
      <c r="F14585" t="s">
        <v>410</v>
      </c>
      <c r="G14585">
        <v>57</v>
      </c>
      <c r="H14585">
        <v>57</v>
      </c>
      <c r="I14585">
        <v>57</v>
      </c>
      <c r="J14585">
        <v>57</v>
      </c>
      <c r="K14585">
        <v>7</v>
      </c>
      <c r="L14585">
        <v>0</v>
      </c>
      <c r="M14585">
        <v>49</v>
      </c>
      <c r="N14585">
        <v>1</v>
      </c>
      <c r="O14585">
        <v>0</v>
      </c>
      <c r="P14585">
        <v>0</v>
      </c>
      <c r="Q14585">
        <v>0</v>
      </c>
    </row>
    <row r="14586" spans="1:17" x14ac:dyDescent="0.2">
      <c r="A14586" s="121">
        <v>44165</v>
      </c>
      <c r="B14586" t="s">
        <v>406</v>
      </c>
      <c r="C14586" t="s">
        <v>407</v>
      </c>
      <c r="D14586" t="s">
        <v>408</v>
      </c>
      <c r="E14586" t="s">
        <v>409</v>
      </c>
      <c r="F14586" t="s">
        <v>410</v>
      </c>
      <c r="G14586">
        <v>136</v>
      </c>
      <c r="I14586">
        <v>130</v>
      </c>
    </row>
    <row r="14587" spans="1:17" x14ac:dyDescent="0.2">
      <c r="A14587" s="121">
        <v>44165</v>
      </c>
      <c r="B14587" t="s">
        <v>406</v>
      </c>
      <c r="C14587" t="s">
        <v>407</v>
      </c>
      <c r="D14587" t="s">
        <v>601</v>
      </c>
      <c r="E14587" t="s">
        <v>602</v>
      </c>
      <c r="F14587" t="s">
        <v>410</v>
      </c>
      <c r="G14587">
        <v>55</v>
      </c>
      <c r="I14587">
        <v>54</v>
      </c>
    </row>
    <row r="14588" spans="1:17" x14ac:dyDescent="0.2">
      <c r="A14588" s="121">
        <v>44165</v>
      </c>
      <c r="B14588" t="s">
        <v>406</v>
      </c>
      <c r="C14588" t="s">
        <v>407</v>
      </c>
      <c r="D14588" t="s">
        <v>411</v>
      </c>
      <c r="E14588" t="s">
        <v>412</v>
      </c>
      <c r="F14588" t="s">
        <v>413</v>
      </c>
      <c r="G14588">
        <v>3689</v>
      </c>
      <c r="H14588">
        <v>3689</v>
      </c>
      <c r="I14588">
        <v>3073</v>
      </c>
      <c r="J14588">
        <v>3073</v>
      </c>
      <c r="K14588">
        <v>1361</v>
      </c>
      <c r="L14588">
        <v>6</v>
      </c>
      <c r="M14588">
        <v>2069</v>
      </c>
      <c r="N14588">
        <v>54</v>
      </c>
      <c r="O14588">
        <v>199</v>
      </c>
      <c r="P14588">
        <v>185</v>
      </c>
      <c r="Q14588">
        <v>68</v>
      </c>
    </row>
    <row r="14589" spans="1:17" x14ac:dyDescent="0.2">
      <c r="A14589" s="121">
        <v>44165</v>
      </c>
      <c r="B14589" t="s">
        <v>406</v>
      </c>
      <c r="C14589" t="s">
        <v>407</v>
      </c>
      <c r="D14589" t="s">
        <v>416</v>
      </c>
      <c r="E14589" t="s">
        <v>417</v>
      </c>
      <c r="F14589" t="s">
        <v>413</v>
      </c>
      <c r="G14589">
        <v>1985</v>
      </c>
      <c r="H14589">
        <v>1985</v>
      </c>
      <c r="I14589">
        <v>1497</v>
      </c>
      <c r="J14589">
        <v>1497</v>
      </c>
      <c r="K14589">
        <v>749</v>
      </c>
      <c r="L14589">
        <v>8</v>
      </c>
      <c r="M14589">
        <v>1150</v>
      </c>
      <c r="N14589">
        <v>51</v>
      </c>
      <c r="O14589">
        <v>27</v>
      </c>
      <c r="P14589">
        <v>148</v>
      </c>
      <c r="Q14589">
        <v>46</v>
      </c>
    </row>
    <row r="14590" spans="1:17" x14ac:dyDescent="0.2">
      <c r="A14590" s="121">
        <v>44165</v>
      </c>
      <c r="B14590" t="s">
        <v>406</v>
      </c>
      <c r="C14590" t="s">
        <v>407</v>
      </c>
      <c r="D14590" t="s">
        <v>618</v>
      </c>
      <c r="E14590" t="s">
        <v>619</v>
      </c>
      <c r="F14590" t="s">
        <v>410</v>
      </c>
      <c r="G14590">
        <v>43</v>
      </c>
      <c r="I14590">
        <v>43</v>
      </c>
    </row>
    <row r="14591" spans="1:17" x14ac:dyDescent="0.2">
      <c r="A14591" s="121">
        <v>44165</v>
      </c>
      <c r="B14591" t="s">
        <v>406</v>
      </c>
      <c r="C14591" t="s">
        <v>418</v>
      </c>
      <c r="D14591" t="s">
        <v>425</v>
      </c>
      <c r="E14591" t="s">
        <v>426</v>
      </c>
      <c r="F14591" t="s">
        <v>410</v>
      </c>
      <c r="G14591">
        <v>36</v>
      </c>
      <c r="I14591">
        <v>36</v>
      </c>
    </row>
    <row r="14592" spans="1:17" x14ac:dyDescent="0.2">
      <c r="A14592" s="121">
        <v>44165</v>
      </c>
      <c r="B14592" t="s">
        <v>406</v>
      </c>
      <c r="C14592" t="s">
        <v>418</v>
      </c>
      <c r="D14592" t="s">
        <v>427</v>
      </c>
      <c r="E14592" t="s">
        <v>428</v>
      </c>
      <c r="F14592" t="s">
        <v>413</v>
      </c>
      <c r="G14592">
        <v>2123</v>
      </c>
      <c r="H14592">
        <v>2123</v>
      </c>
      <c r="I14592">
        <v>1859</v>
      </c>
      <c r="J14592">
        <v>1859</v>
      </c>
      <c r="K14592">
        <v>711</v>
      </c>
      <c r="L14592">
        <v>0</v>
      </c>
      <c r="M14592">
        <v>1359</v>
      </c>
      <c r="N14592">
        <v>45</v>
      </c>
      <c r="O14592">
        <v>8</v>
      </c>
      <c r="P14592">
        <v>33</v>
      </c>
      <c r="Q14592">
        <v>7</v>
      </c>
    </row>
    <row r="14593" spans="1:17" x14ac:dyDescent="0.2">
      <c r="A14593" s="121">
        <v>44165</v>
      </c>
      <c r="B14593" t="s">
        <v>406</v>
      </c>
      <c r="C14593" t="s">
        <v>429</v>
      </c>
      <c r="D14593" t="s">
        <v>438</v>
      </c>
      <c r="E14593" t="s">
        <v>439</v>
      </c>
      <c r="F14593" t="s">
        <v>413</v>
      </c>
      <c r="G14593">
        <v>822</v>
      </c>
      <c r="H14593">
        <v>822</v>
      </c>
      <c r="I14593">
        <v>751</v>
      </c>
      <c r="J14593">
        <v>751</v>
      </c>
      <c r="K14593">
        <v>72</v>
      </c>
      <c r="L14593">
        <v>1</v>
      </c>
      <c r="M14593">
        <v>669</v>
      </c>
      <c r="N14593">
        <v>59</v>
      </c>
      <c r="O14593">
        <v>21</v>
      </c>
      <c r="P14593">
        <v>14</v>
      </c>
      <c r="Q14593">
        <v>4</v>
      </c>
    </row>
    <row r="14594" spans="1:17" x14ac:dyDescent="0.2">
      <c r="A14594" s="121">
        <v>44165</v>
      </c>
      <c r="B14594" t="s">
        <v>406</v>
      </c>
      <c r="C14594" t="s">
        <v>429</v>
      </c>
      <c r="D14594" t="s">
        <v>440</v>
      </c>
      <c r="E14594" t="s">
        <v>441</v>
      </c>
      <c r="F14594" t="s">
        <v>413</v>
      </c>
      <c r="G14594">
        <v>2261</v>
      </c>
      <c r="H14594">
        <v>2261</v>
      </c>
      <c r="I14594">
        <v>2119</v>
      </c>
      <c r="J14594">
        <v>2119</v>
      </c>
      <c r="K14594">
        <v>767</v>
      </c>
      <c r="L14594">
        <v>0</v>
      </c>
      <c r="M14594">
        <v>1448</v>
      </c>
      <c r="N14594">
        <v>22</v>
      </c>
      <c r="O14594">
        <v>24</v>
      </c>
      <c r="P14594">
        <v>3</v>
      </c>
      <c r="Q14594">
        <v>0</v>
      </c>
    </row>
    <row r="14595" spans="1:17" x14ac:dyDescent="0.2">
      <c r="A14595" s="121">
        <v>44165</v>
      </c>
      <c r="B14595" t="s">
        <v>406</v>
      </c>
      <c r="C14595" t="s">
        <v>442</v>
      </c>
      <c r="D14595" t="s">
        <v>443</v>
      </c>
      <c r="E14595" t="s">
        <v>444</v>
      </c>
      <c r="F14595" t="s">
        <v>413</v>
      </c>
      <c r="G14595">
        <v>4165</v>
      </c>
      <c r="H14595">
        <v>4165</v>
      </c>
      <c r="I14595">
        <v>3748</v>
      </c>
      <c r="J14595">
        <v>3748</v>
      </c>
      <c r="K14595">
        <v>1367</v>
      </c>
      <c r="L14595">
        <v>6</v>
      </c>
      <c r="M14595">
        <v>2712</v>
      </c>
      <c r="N14595">
        <v>33</v>
      </c>
      <c r="O14595">
        <v>47</v>
      </c>
      <c r="P14595">
        <v>31</v>
      </c>
      <c r="Q14595">
        <v>0</v>
      </c>
    </row>
    <row r="14596" spans="1:17" x14ac:dyDescent="0.2">
      <c r="A14596" s="121">
        <v>44165</v>
      </c>
      <c r="B14596" t="s">
        <v>406</v>
      </c>
      <c r="C14596" t="s">
        <v>442</v>
      </c>
      <c r="D14596" t="s">
        <v>445</v>
      </c>
      <c r="E14596" t="s">
        <v>446</v>
      </c>
      <c r="F14596" t="s">
        <v>410</v>
      </c>
      <c r="G14596">
        <v>104</v>
      </c>
      <c r="H14596">
        <v>104</v>
      </c>
      <c r="I14596">
        <v>101</v>
      </c>
      <c r="J14596">
        <v>101</v>
      </c>
      <c r="K14596">
        <v>2</v>
      </c>
      <c r="L14596">
        <v>0</v>
      </c>
      <c r="M14596">
        <v>98</v>
      </c>
      <c r="N14596">
        <v>4</v>
      </c>
      <c r="O14596">
        <v>0</v>
      </c>
      <c r="P14596">
        <v>0</v>
      </c>
      <c r="Q14596">
        <v>0</v>
      </c>
    </row>
    <row r="14597" spans="1:17" x14ac:dyDescent="0.2">
      <c r="A14597" s="121">
        <v>44165</v>
      </c>
      <c r="B14597" t="s">
        <v>406</v>
      </c>
      <c r="C14597" t="s">
        <v>442</v>
      </c>
      <c r="D14597" t="s">
        <v>447</v>
      </c>
      <c r="E14597" t="s">
        <v>448</v>
      </c>
      <c r="F14597" t="s">
        <v>410</v>
      </c>
      <c r="G14597">
        <v>210</v>
      </c>
      <c r="H14597">
        <v>210</v>
      </c>
      <c r="I14597">
        <v>210</v>
      </c>
      <c r="J14597">
        <v>210</v>
      </c>
      <c r="K14597">
        <v>0</v>
      </c>
      <c r="L14597">
        <v>0</v>
      </c>
      <c r="M14597">
        <v>205</v>
      </c>
      <c r="N14597">
        <v>5</v>
      </c>
      <c r="O14597">
        <v>0</v>
      </c>
      <c r="P14597">
        <v>0</v>
      </c>
      <c r="Q14597">
        <v>0</v>
      </c>
    </row>
    <row r="14598" spans="1:17" x14ac:dyDescent="0.2">
      <c r="A14598" s="121">
        <v>44165</v>
      </c>
      <c r="B14598" t="s">
        <v>406</v>
      </c>
      <c r="C14598" t="s">
        <v>442</v>
      </c>
      <c r="D14598" t="s">
        <v>449</v>
      </c>
      <c r="E14598" t="s">
        <v>624</v>
      </c>
      <c r="F14598" t="s">
        <v>410</v>
      </c>
      <c r="G14598">
        <v>1149</v>
      </c>
      <c r="H14598">
        <v>1149</v>
      </c>
      <c r="I14598">
        <v>1143</v>
      </c>
      <c r="J14598">
        <v>1143</v>
      </c>
      <c r="K14598">
        <v>2</v>
      </c>
      <c r="L14598">
        <v>0</v>
      </c>
      <c r="M14598">
        <v>1082</v>
      </c>
      <c r="N14598">
        <v>56</v>
      </c>
      <c r="O14598">
        <v>9</v>
      </c>
      <c r="P14598">
        <v>0</v>
      </c>
      <c r="Q14598">
        <v>0</v>
      </c>
    </row>
    <row r="14599" spans="1:17" x14ac:dyDescent="0.2">
      <c r="A14599" s="121">
        <v>44165</v>
      </c>
      <c r="B14599" t="s">
        <v>406</v>
      </c>
      <c r="C14599" t="s">
        <v>451</v>
      </c>
      <c r="D14599" t="s">
        <v>454</v>
      </c>
      <c r="E14599" t="s">
        <v>621</v>
      </c>
      <c r="F14599" t="s">
        <v>410</v>
      </c>
      <c r="G14599">
        <v>1461</v>
      </c>
      <c r="H14599">
        <v>1461</v>
      </c>
      <c r="I14599">
        <v>1459</v>
      </c>
      <c r="J14599">
        <v>1459</v>
      </c>
      <c r="K14599">
        <v>13</v>
      </c>
      <c r="L14599">
        <v>0</v>
      </c>
      <c r="M14599">
        <v>1360</v>
      </c>
      <c r="N14599">
        <v>6</v>
      </c>
      <c r="O14599">
        <v>82</v>
      </c>
      <c r="P14599">
        <v>0</v>
      </c>
      <c r="Q14599">
        <v>0</v>
      </c>
    </row>
    <row r="14600" spans="1:17" x14ac:dyDescent="0.2">
      <c r="A14600" s="121">
        <v>44165</v>
      </c>
      <c r="B14600" t="s">
        <v>406</v>
      </c>
      <c r="C14600" t="s">
        <v>451</v>
      </c>
      <c r="D14600" t="s">
        <v>622</v>
      </c>
      <c r="E14600" t="s">
        <v>623</v>
      </c>
      <c r="F14600" t="s">
        <v>413</v>
      </c>
      <c r="G14600">
        <v>3743</v>
      </c>
      <c r="H14600">
        <v>3743</v>
      </c>
      <c r="I14600">
        <v>3451</v>
      </c>
      <c r="J14600">
        <v>3451</v>
      </c>
      <c r="K14600">
        <v>1339</v>
      </c>
      <c r="L14600">
        <v>5</v>
      </c>
      <c r="M14600">
        <v>2325</v>
      </c>
      <c r="N14600">
        <v>23</v>
      </c>
      <c r="O14600">
        <v>51</v>
      </c>
      <c r="P14600">
        <v>26</v>
      </c>
      <c r="Q14600">
        <v>12</v>
      </c>
    </row>
    <row r="14601" spans="1:17" x14ac:dyDescent="0.2">
      <c r="A14601" s="121">
        <v>44165</v>
      </c>
      <c r="B14601" t="s">
        <v>406</v>
      </c>
      <c r="C14601" t="s">
        <v>456</v>
      </c>
      <c r="D14601" t="s">
        <v>457</v>
      </c>
      <c r="E14601" t="s">
        <v>458</v>
      </c>
      <c r="F14601" t="s">
        <v>413</v>
      </c>
      <c r="G14601">
        <v>4009</v>
      </c>
      <c r="H14601">
        <v>4009</v>
      </c>
      <c r="I14601">
        <v>3465</v>
      </c>
      <c r="J14601">
        <v>3465</v>
      </c>
      <c r="K14601">
        <v>1141</v>
      </c>
      <c r="L14601">
        <v>13</v>
      </c>
      <c r="M14601">
        <v>2630</v>
      </c>
      <c r="N14601">
        <v>18</v>
      </c>
      <c r="O14601">
        <v>207</v>
      </c>
      <c r="P14601">
        <v>47</v>
      </c>
      <c r="Q14601">
        <v>3</v>
      </c>
    </row>
    <row r="14602" spans="1:17" x14ac:dyDescent="0.2">
      <c r="A14602" s="121">
        <v>44165</v>
      </c>
      <c r="B14602" t="s">
        <v>406</v>
      </c>
      <c r="C14602" t="s">
        <v>456</v>
      </c>
      <c r="D14602" t="s">
        <v>459</v>
      </c>
      <c r="E14602" t="s">
        <v>460</v>
      </c>
      <c r="F14602" t="s">
        <v>413</v>
      </c>
      <c r="G14602">
        <v>1018</v>
      </c>
      <c r="H14602">
        <v>1018</v>
      </c>
      <c r="I14602">
        <v>1002</v>
      </c>
      <c r="J14602">
        <v>1002</v>
      </c>
      <c r="K14602">
        <v>81</v>
      </c>
      <c r="L14602">
        <v>0</v>
      </c>
      <c r="M14602">
        <v>933</v>
      </c>
      <c r="N14602">
        <v>1</v>
      </c>
      <c r="O14602">
        <v>3</v>
      </c>
      <c r="P14602">
        <v>2</v>
      </c>
      <c r="Q14602">
        <v>0</v>
      </c>
    </row>
    <row r="14603" spans="1:17" x14ac:dyDescent="0.2">
      <c r="A14603" s="121">
        <v>44165</v>
      </c>
      <c r="B14603" t="s">
        <v>406</v>
      </c>
      <c r="C14603" t="s">
        <v>456</v>
      </c>
      <c r="D14603" t="s">
        <v>467</v>
      </c>
      <c r="E14603" t="s">
        <v>468</v>
      </c>
      <c r="F14603" t="s">
        <v>410</v>
      </c>
      <c r="G14603">
        <v>690</v>
      </c>
      <c r="I14603">
        <v>690</v>
      </c>
    </row>
    <row r="14604" spans="1:17" x14ac:dyDescent="0.2">
      <c r="A14604" s="121">
        <v>44165</v>
      </c>
      <c r="B14604" t="s">
        <v>406</v>
      </c>
      <c r="C14604" t="s">
        <v>456</v>
      </c>
      <c r="D14604" t="s">
        <v>469</v>
      </c>
      <c r="E14604" t="s">
        <v>470</v>
      </c>
      <c r="F14604" t="s">
        <v>410</v>
      </c>
      <c r="G14604">
        <v>429</v>
      </c>
      <c r="I14604">
        <v>429</v>
      </c>
    </row>
    <row r="14605" spans="1:17" x14ac:dyDescent="0.2">
      <c r="A14605" s="121">
        <v>44165</v>
      </c>
      <c r="B14605" t="s">
        <v>406</v>
      </c>
      <c r="C14605" t="s">
        <v>456</v>
      </c>
      <c r="D14605" t="s">
        <v>471</v>
      </c>
      <c r="E14605" t="s">
        <v>472</v>
      </c>
      <c r="F14605" t="s">
        <v>410</v>
      </c>
      <c r="G14605">
        <v>257</v>
      </c>
      <c r="I14605">
        <v>257</v>
      </c>
    </row>
    <row r="14606" spans="1:17" x14ac:dyDescent="0.2">
      <c r="A14606" s="121">
        <v>44165</v>
      </c>
      <c r="B14606" t="s">
        <v>406</v>
      </c>
      <c r="C14606" t="s">
        <v>456</v>
      </c>
      <c r="D14606" t="s">
        <v>477</v>
      </c>
      <c r="E14606" t="s">
        <v>478</v>
      </c>
      <c r="F14606" t="s">
        <v>413</v>
      </c>
      <c r="G14606">
        <v>1726</v>
      </c>
      <c r="H14606">
        <v>1726</v>
      </c>
      <c r="I14606">
        <v>1621</v>
      </c>
      <c r="J14606">
        <v>1621</v>
      </c>
      <c r="K14606">
        <v>482</v>
      </c>
      <c r="L14606">
        <v>0</v>
      </c>
      <c r="M14606">
        <v>1234</v>
      </c>
      <c r="N14606">
        <v>8</v>
      </c>
      <c r="O14606">
        <v>2</v>
      </c>
      <c r="P14606">
        <v>4</v>
      </c>
      <c r="Q14606">
        <v>0</v>
      </c>
    </row>
    <row r="14607" spans="1:17" x14ac:dyDescent="0.2">
      <c r="A14607" s="121">
        <v>44165</v>
      </c>
      <c r="B14607" t="s">
        <v>406</v>
      </c>
      <c r="C14607" t="s">
        <v>491</v>
      </c>
      <c r="D14607" t="s">
        <v>492</v>
      </c>
      <c r="E14607" t="s">
        <v>493</v>
      </c>
      <c r="F14607" t="s">
        <v>410</v>
      </c>
      <c r="G14607">
        <v>947</v>
      </c>
      <c r="H14607">
        <v>947</v>
      </c>
      <c r="I14607">
        <v>919</v>
      </c>
      <c r="J14607">
        <v>919</v>
      </c>
      <c r="K14607">
        <v>97</v>
      </c>
      <c r="L14607">
        <v>1</v>
      </c>
      <c r="M14607">
        <v>801</v>
      </c>
      <c r="N14607">
        <v>41</v>
      </c>
      <c r="O14607">
        <v>7</v>
      </c>
      <c r="P14607">
        <v>2</v>
      </c>
      <c r="Q14607">
        <v>0</v>
      </c>
    </row>
    <row r="14608" spans="1:17" x14ac:dyDescent="0.2">
      <c r="A14608" s="121">
        <v>44165</v>
      </c>
      <c r="B14608" t="s">
        <v>406</v>
      </c>
      <c r="C14608" t="s">
        <v>491</v>
      </c>
      <c r="D14608" t="s">
        <v>494</v>
      </c>
      <c r="E14608" t="s">
        <v>495</v>
      </c>
      <c r="F14608" t="s">
        <v>413</v>
      </c>
      <c r="G14608">
        <v>1926</v>
      </c>
      <c r="H14608">
        <v>1926</v>
      </c>
      <c r="I14608">
        <v>1769</v>
      </c>
      <c r="J14608">
        <v>1769</v>
      </c>
      <c r="K14608">
        <v>455</v>
      </c>
      <c r="L14608">
        <v>4</v>
      </c>
      <c r="M14608">
        <v>1400</v>
      </c>
      <c r="N14608">
        <v>23</v>
      </c>
      <c r="O14608">
        <v>44</v>
      </c>
      <c r="P14608">
        <v>19</v>
      </c>
      <c r="Q14608">
        <v>0</v>
      </c>
    </row>
    <row r="14609" spans="1:17" x14ac:dyDescent="0.2">
      <c r="A14609" s="121">
        <v>44165</v>
      </c>
      <c r="B14609" t="s">
        <v>406</v>
      </c>
      <c r="C14609" t="s">
        <v>491</v>
      </c>
      <c r="D14609" t="s">
        <v>496</v>
      </c>
      <c r="E14609" t="s">
        <v>497</v>
      </c>
      <c r="F14609" t="s">
        <v>413</v>
      </c>
      <c r="G14609">
        <v>3700</v>
      </c>
      <c r="H14609">
        <v>3700</v>
      </c>
      <c r="I14609">
        <v>3303</v>
      </c>
      <c r="J14609">
        <v>3303</v>
      </c>
      <c r="K14609">
        <v>1197</v>
      </c>
      <c r="L14609">
        <v>8</v>
      </c>
      <c r="M14609">
        <v>2358</v>
      </c>
      <c r="N14609">
        <v>72</v>
      </c>
      <c r="O14609">
        <v>65</v>
      </c>
      <c r="P14609">
        <v>49</v>
      </c>
      <c r="Q14609">
        <v>1</v>
      </c>
    </row>
    <row r="14610" spans="1:17" x14ac:dyDescent="0.2">
      <c r="A14610" s="121">
        <v>44165</v>
      </c>
      <c r="B14610" t="s">
        <v>406</v>
      </c>
      <c r="C14610" t="s">
        <v>491</v>
      </c>
      <c r="D14610" t="s">
        <v>498</v>
      </c>
      <c r="E14610" t="s">
        <v>499</v>
      </c>
      <c r="F14610" t="s">
        <v>413</v>
      </c>
      <c r="G14610">
        <v>5433</v>
      </c>
      <c r="H14610">
        <v>5433</v>
      </c>
      <c r="I14610">
        <v>4825</v>
      </c>
      <c r="J14610">
        <v>4825</v>
      </c>
      <c r="K14610">
        <v>1770</v>
      </c>
      <c r="L14610">
        <v>25</v>
      </c>
      <c r="M14610">
        <v>3409</v>
      </c>
      <c r="N14610">
        <v>125</v>
      </c>
      <c r="O14610">
        <v>104</v>
      </c>
      <c r="P14610">
        <v>55</v>
      </c>
      <c r="Q14610">
        <v>7</v>
      </c>
    </row>
    <row r="14611" spans="1:17" x14ac:dyDescent="0.2">
      <c r="A14611" s="121">
        <v>44165</v>
      </c>
      <c r="B14611" t="s">
        <v>406</v>
      </c>
      <c r="C14611" t="s">
        <v>491</v>
      </c>
      <c r="D14611" t="s">
        <v>500</v>
      </c>
      <c r="E14611" t="s">
        <v>620</v>
      </c>
      <c r="F14611" t="s">
        <v>410</v>
      </c>
      <c r="G14611">
        <v>1400</v>
      </c>
      <c r="H14611">
        <v>1400</v>
      </c>
      <c r="I14611">
        <v>1399</v>
      </c>
      <c r="J14611">
        <v>1399</v>
      </c>
      <c r="K14611">
        <v>0</v>
      </c>
      <c r="L14611">
        <v>0</v>
      </c>
      <c r="M14611">
        <v>1271</v>
      </c>
      <c r="N14611">
        <v>78</v>
      </c>
      <c r="O14611">
        <v>51</v>
      </c>
      <c r="P14611">
        <v>0</v>
      </c>
      <c r="Q14611">
        <v>0</v>
      </c>
    </row>
    <row r="14612" spans="1:17" x14ac:dyDescent="0.2">
      <c r="A14612" s="121">
        <v>44165</v>
      </c>
      <c r="B14612" t="s">
        <v>406</v>
      </c>
      <c r="C14612" t="s">
        <v>491</v>
      </c>
      <c r="D14612" t="s">
        <v>502</v>
      </c>
      <c r="E14612" t="s">
        <v>615</v>
      </c>
      <c r="F14612" t="s">
        <v>410</v>
      </c>
      <c r="G14612">
        <v>1519</v>
      </c>
      <c r="H14612">
        <v>1519</v>
      </c>
      <c r="I14612">
        <v>1511</v>
      </c>
      <c r="J14612">
        <v>1511</v>
      </c>
      <c r="K14612">
        <v>0</v>
      </c>
      <c r="L14612">
        <v>0</v>
      </c>
      <c r="M14612">
        <v>1454</v>
      </c>
      <c r="N14612">
        <v>51</v>
      </c>
      <c r="O14612">
        <v>14</v>
      </c>
      <c r="P14612">
        <v>0</v>
      </c>
      <c r="Q14612">
        <v>0</v>
      </c>
    </row>
    <row r="14613" spans="1:17" x14ac:dyDescent="0.2">
      <c r="A14613" s="121">
        <v>44165</v>
      </c>
      <c r="B14613" t="s">
        <v>406</v>
      </c>
      <c r="C14613" t="s">
        <v>491</v>
      </c>
      <c r="D14613" t="s">
        <v>504</v>
      </c>
      <c r="E14613" t="s">
        <v>630</v>
      </c>
      <c r="F14613" t="s">
        <v>413</v>
      </c>
      <c r="G14613">
        <v>6177</v>
      </c>
      <c r="H14613">
        <v>6177</v>
      </c>
      <c r="I14613">
        <v>5001</v>
      </c>
      <c r="J14613">
        <v>5001</v>
      </c>
      <c r="K14613">
        <v>2241</v>
      </c>
      <c r="L14613">
        <v>18</v>
      </c>
      <c r="M14613">
        <v>3757</v>
      </c>
      <c r="N14613">
        <v>60</v>
      </c>
      <c r="O14613">
        <v>101</v>
      </c>
      <c r="P14613">
        <v>232</v>
      </c>
      <c r="Q14613">
        <v>16</v>
      </c>
    </row>
    <row r="14614" spans="1:17" x14ac:dyDescent="0.2">
      <c r="A14614" s="121">
        <v>44165</v>
      </c>
      <c r="B14614" t="s">
        <v>406</v>
      </c>
      <c r="C14614" t="s">
        <v>491</v>
      </c>
      <c r="D14614" t="s">
        <v>506</v>
      </c>
      <c r="E14614" t="s">
        <v>507</v>
      </c>
      <c r="F14614" t="s">
        <v>413</v>
      </c>
      <c r="G14614">
        <v>3837</v>
      </c>
      <c r="H14614">
        <v>3837</v>
      </c>
      <c r="I14614">
        <v>3792</v>
      </c>
      <c r="J14614">
        <v>3792</v>
      </c>
      <c r="K14614">
        <v>994</v>
      </c>
      <c r="L14614">
        <v>0</v>
      </c>
      <c r="M14614">
        <v>2839</v>
      </c>
      <c r="N14614">
        <v>2</v>
      </c>
      <c r="O14614">
        <v>2</v>
      </c>
      <c r="P14614">
        <v>0</v>
      </c>
      <c r="Q14614">
        <v>0</v>
      </c>
    </row>
    <row r="14615" spans="1:17" x14ac:dyDescent="0.2">
      <c r="A14615" s="121">
        <v>44165</v>
      </c>
      <c r="B14615" t="s">
        <v>406</v>
      </c>
      <c r="C14615" t="s">
        <v>510</v>
      </c>
      <c r="D14615" t="s">
        <v>513</v>
      </c>
      <c r="E14615" t="s">
        <v>514</v>
      </c>
      <c r="F14615" t="s">
        <v>410</v>
      </c>
      <c r="G14615">
        <v>438</v>
      </c>
      <c r="I14615">
        <v>438</v>
      </c>
    </row>
    <row r="14616" spans="1:17" x14ac:dyDescent="0.2">
      <c r="A14616" s="121">
        <v>44165</v>
      </c>
      <c r="B14616" t="s">
        <v>406</v>
      </c>
      <c r="C14616" t="s">
        <v>510</v>
      </c>
      <c r="D14616" t="s">
        <v>515</v>
      </c>
      <c r="E14616" t="s">
        <v>516</v>
      </c>
      <c r="F14616" t="s">
        <v>410</v>
      </c>
      <c r="G14616">
        <v>54</v>
      </c>
      <c r="I14616">
        <v>53</v>
      </c>
    </row>
    <row r="14617" spans="1:17" x14ac:dyDescent="0.2">
      <c r="A14617" s="121">
        <v>44165</v>
      </c>
      <c r="B14617" t="s">
        <v>406</v>
      </c>
      <c r="C14617" t="s">
        <v>510</v>
      </c>
      <c r="D14617" t="s">
        <v>519</v>
      </c>
      <c r="E14617" t="s">
        <v>520</v>
      </c>
      <c r="F14617" t="s">
        <v>410</v>
      </c>
      <c r="G14617">
        <v>217</v>
      </c>
      <c r="I14617">
        <v>217</v>
      </c>
    </row>
    <row r="14618" spans="1:17" x14ac:dyDescent="0.2">
      <c r="A14618" s="121">
        <v>44165</v>
      </c>
      <c r="B14618" t="s">
        <v>406</v>
      </c>
      <c r="C14618" t="s">
        <v>510</v>
      </c>
      <c r="D14618" t="s">
        <v>523</v>
      </c>
      <c r="E14618" t="s">
        <v>524</v>
      </c>
      <c r="F14618" t="s">
        <v>413</v>
      </c>
      <c r="G14618">
        <v>563</v>
      </c>
      <c r="H14618">
        <v>563</v>
      </c>
      <c r="I14618">
        <v>543</v>
      </c>
      <c r="J14618">
        <v>543</v>
      </c>
      <c r="K14618">
        <v>154</v>
      </c>
      <c r="L14618">
        <v>0</v>
      </c>
      <c r="M14618">
        <v>388</v>
      </c>
      <c r="N14618">
        <v>11</v>
      </c>
      <c r="O14618">
        <v>10</v>
      </c>
      <c r="P14618">
        <v>1</v>
      </c>
      <c r="Q14618">
        <v>0</v>
      </c>
    </row>
    <row r="14619" spans="1:17" x14ac:dyDescent="0.2">
      <c r="A14619" s="121">
        <v>44165</v>
      </c>
      <c r="B14619" t="s">
        <v>406</v>
      </c>
      <c r="C14619" t="s">
        <v>510</v>
      </c>
      <c r="D14619" t="s">
        <v>525</v>
      </c>
      <c r="E14619" t="s">
        <v>526</v>
      </c>
      <c r="F14619" t="s">
        <v>410</v>
      </c>
      <c r="G14619">
        <v>343</v>
      </c>
      <c r="I14619">
        <v>333</v>
      </c>
    </row>
    <row r="14620" spans="1:17" x14ac:dyDescent="0.2">
      <c r="A14620" s="121">
        <v>44165</v>
      </c>
      <c r="B14620" t="s">
        <v>406</v>
      </c>
      <c r="C14620" t="s">
        <v>510</v>
      </c>
      <c r="D14620" t="s">
        <v>527</v>
      </c>
      <c r="E14620" t="s">
        <v>528</v>
      </c>
      <c r="F14620" t="s">
        <v>410</v>
      </c>
      <c r="G14620">
        <v>13</v>
      </c>
      <c r="I14620">
        <v>13</v>
      </c>
    </row>
    <row r="14621" spans="1:17" x14ac:dyDescent="0.2">
      <c r="A14621" s="121">
        <v>44165</v>
      </c>
      <c r="B14621" t="s">
        <v>406</v>
      </c>
      <c r="C14621" t="s">
        <v>510</v>
      </c>
      <c r="D14621" t="s">
        <v>529</v>
      </c>
      <c r="E14621" t="s">
        <v>530</v>
      </c>
      <c r="F14621" t="s">
        <v>413</v>
      </c>
      <c r="G14621">
        <v>567</v>
      </c>
      <c r="H14621">
        <v>567</v>
      </c>
      <c r="I14621">
        <v>532</v>
      </c>
      <c r="J14621">
        <v>532</v>
      </c>
      <c r="K14621">
        <v>140</v>
      </c>
      <c r="L14621">
        <v>0</v>
      </c>
      <c r="M14621">
        <v>392</v>
      </c>
      <c r="N14621">
        <v>22</v>
      </c>
      <c r="O14621">
        <v>13</v>
      </c>
      <c r="P14621">
        <v>5</v>
      </c>
      <c r="Q14621">
        <v>2</v>
      </c>
    </row>
    <row r="14622" spans="1:17" x14ac:dyDescent="0.2">
      <c r="A14622" s="121">
        <v>44165</v>
      </c>
      <c r="B14622" t="s">
        <v>406</v>
      </c>
      <c r="C14622" t="s">
        <v>510</v>
      </c>
      <c r="D14622" t="s">
        <v>531</v>
      </c>
      <c r="E14622" t="s">
        <v>532</v>
      </c>
      <c r="F14622" t="s">
        <v>410</v>
      </c>
      <c r="G14622">
        <v>7</v>
      </c>
      <c r="I14622">
        <v>7</v>
      </c>
    </row>
    <row r="14623" spans="1:17" x14ac:dyDescent="0.2">
      <c r="A14623" s="121">
        <v>44165</v>
      </c>
      <c r="B14623" t="s">
        <v>406</v>
      </c>
      <c r="C14623" t="s">
        <v>510</v>
      </c>
      <c r="D14623" t="s">
        <v>533</v>
      </c>
      <c r="E14623" t="s">
        <v>534</v>
      </c>
      <c r="F14623" t="s">
        <v>413</v>
      </c>
      <c r="G14623">
        <v>2383</v>
      </c>
      <c r="H14623">
        <v>2383</v>
      </c>
      <c r="I14623">
        <v>2117</v>
      </c>
      <c r="J14623">
        <v>2117</v>
      </c>
      <c r="K14623">
        <v>634</v>
      </c>
      <c r="L14623">
        <v>4</v>
      </c>
      <c r="M14623">
        <v>1642</v>
      </c>
      <c r="N14623">
        <v>18</v>
      </c>
      <c r="O14623">
        <v>85</v>
      </c>
      <c r="P14623">
        <v>21</v>
      </c>
      <c r="Q14623">
        <v>0</v>
      </c>
    </row>
    <row r="14624" spans="1:17" x14ac:dyDescent="0.2">
      <c r="A14624" s="121">
        <v>44165</v>
      </c>
      <c r="B14624" t="s">
        <v>406</v>
      </c>
      <c r="C14624" t="s">
        <v>510</v>
      </c>
      <c r="D14624" t="s">
        <v>535</v>
      </c>
      <c r="E14624" t="s">
        <v>536</v>
      </c>
      <c r="F14624" t="s">
        <v>410</v>
      </c>
      <c r="G14624">
        <v>126</v>
      </c>
      <c r="I14624">
        <v>126</v>
      </c>
    </row>
    <row r="14625" spans="1:17" x14ac:dyDescent="0.2">
      <c r="A14625" s="121">
        <v>44165</v>
      </c>
      <c r="B14625" t="s">
        <v>406</v>
      </c>
      <c r="C14625" t="s">
        <v>510</v>
      </c>
      <c r="D14625" t="s">
        <v>539</v>
      </c>
      <c r="E14625" t="s">
        <v>540</v>
      </c>
      <c r="F14625" t="s">
        <v>413</v>
      </c>
      <c r="G14625">
        <v>543</v>
      </c>
      <c r="H14625">
        <v>543</v>
      </c>
      <c r="I14625">
        <v>513</v>
      </c>
      <c r="J14625">
        <v>513</v>
      </c>
      <c r="K14625">
        <v>106</v>
      </c>
      <c r="L14625">
        <v>2</v>
      </c>
      <c r="M14625">
        <v>420</v>
      </c>
      <c r="N14625">
        <v>11</v>
      </c>
      <c r="O14625">
        <v>4</v>
      </c>
      <c r="P14625">
        <v>0</v>
      </c>
      <c r="Q14625">
        <v>0</v>
      </c>
    </row>
    <row r="14626" spans="1:17" x14ac:dyDescent="0.2">
      <c r="A14626" s="121">
        <v>44165</v>
      </c>
      <c r="B14626" t="s">
        <v>406</v>
      </c>
      <c r="C14626" t="s">
        <v>510</v>
      </c>
      <c r="D14626" t="s">
        <v>541</v>
      </c>
      <c r="E14626" t="s">
        <v>542</v>
      </c>
      <c r="F14626" t="s">
        <v>410</v>
      </c>
      <c r="G14626">
        <v>266</v>
      </c>
      <c r="I14626">
        <v>264</v>
      </c>
    </row>
    <row r="14627" spans="1:17" x14ac:dyDescent="0.2">
      <c r="A14627" s="121">
        <v>44165</v>
      </c>
      <c r="B14627" t="s">
        <v>406</v>
      </c>
      <c r="C14627" t="s">
        <v>510</v>
      </c>
      <c r="D14627" t="s">
        <v>543</v>
      </c>
      <c r="E14627" t="s">
        <v>544</v>
      </c>
      <c r="F14627" t="s">
        <v>410</v>
      </c>
      <c r="G14627">
        <v>50</v>
      </c>
      <c r="I14627">
        <v>50</v>
      </c>
    </row>
    <row r="14628" spans="1:17" x14ac:dyDescent="0.2">
      <c r="A14628" s="121">
        <v>44165</v>
      </c>
      <c r="B14628" t="s">
        <v>406</v>
      </c>
      <c r="C14628" t="s">
        <v>510</v>
      </c>
      <c r="D14628" t="s">
        <v>547</v>
      </c>
      <c r="E14628" t="s">
        <v>548</v>
      </c>
      <c r="F14628" t="s">
        <v>410</v>
      </c>
      <c r="G14628">
        <v>104</v>
      </c>
      <c r="I14628">
        <v>104</v>
      </c>
    </row>
    <row r="14629" spans="1:17" x14ac:dyDescent="0.2">
      <c r="A14629" s="121">
        <v>44165</v>
      </c>
      <c r="B14629" t="s">
        <v>406</v>
      </c>
      <c r="C14629" t="s">
        <v>510</v>
      </c>
      <c r="D14629" t="s">
        <v>616</v>
      </c>
      <c r="E14629" t="s">
        <v>617</v>
      </c>
      <c r="F14629" t="s">
        <v>410</v>
      </c>
      <c r="G14629">
        <v>281</v>
      </c>
      <c r="I14629">
        <v>274</v>
      </c>
    </row>
    <row r="14630" spans="1:17" x14ac:dyDescent="0.2">
      <c r="A14630" s="121">
        <v>44165</v>
      </c>
      <c r="B14630" t="s">
        <v>406</v>
      </c>
      <c r="C14630" t="s">
        <v>510</v>
      </c>
      <c r="D14630" t="s">
        <v>549</v>
      </c>
      <c r="E14630" t="s">
        <v>550</v>
      </c>
      <c r="F14630" t="s">
        <v>410</v>
      </c>
      <c r="G14630">
        <v>43</v>
      </c>
      <c r="I14630">
        <v>43</v>
      </c>
    </row>
    <row r="14631" spans="1:17" x14ac:dyDescent="0.2">
      <c r="A14631" s="121">
        <v>44165</v>
      </c>
      <c r="B14631" t="s">
        <v>406</v>
      </c>
      <c r="C14631" t="s">
        <v>510</v>
      </c>
      <c r="D14631" t="s">
        <v>625</v>
      </c>
      <c r="E14631" t="s">
        <v>626</v>
      </c>
      <c r="F14631" t="s">
        <v>410</v>
      </c>
      <c r="G14631">
        <v>95</v>
      </c>
      <c r="I14631">
        <v>95</v>
      </c>
    </row>
    <row r="14632" spans="1:17" x14ac:dyDescent="0.2">
      <c r="A14632" s="121">
        <v>44165</v>
      </c>
      <c r="B14632" t="s">
        <v>406</v>
      </c>
      <c r="C14632" t="s">
        <v>551</v>
      </c>
      <c r="D14632" t="s">
        <v>552</v>
      </c>
      <c r="E14632" t="s">
        <v>553</v>
      </c>
      <c r="F14632" t="s">
        <v>413</v>
      </c>
      <c r="G14632">
        <v>4399</v>
      </c>
      <c r="H14632">
        <v>4399</v>
      </c>
      <c r="I14632">
        <v>3684</v>
      </c>
      <c r="J14632">
        <v>3684</v>
      </c>
      <c r="K14632">
        <v>1686</v>
      </c>
      <c r="L14632">
        <v>4</v>
      </c>
      <c r="M14632">
        <v>2608</v>
      </c>
      <c r="N14632">
        <v>91</v>
      </c>
      <c r="O14632">
        <v>10</v>
      </c>
      <c r="P14632">
        <v>96</v>
      </c>
      <c r="Q14632">
        <v>15</v>
      </c>
    </row>
    <row r="14633" spans="1:17" x14ac:dyDescent="0.2">
      <c r="A14633" s="121">
        <v>44165</v>
      </c>
      <c r="B14633" t="s">
        <v>406</v>
      </c>
      <c r="C14633" t="s">
        <v>551</v>
      </c>
      <c r="D14633" t="s">
        <v>558</v>
      </c>
      <c r="E14633" t="s">
        <v>559</v>
      </c>
      <c r="F14633" t="s">
        <v>413</v>
      </c>
      <c r="G14633">
        <v>4126</v>
      </c>
      <c r="H14633">
        <v>4126</v>
      </c>
      <c r="I14633">
        <v>3553</v>
      </c>
      <c r="J14633">
        <v>3553</v>
      </c>
      <c r="K14633">
        <v>1282</v>
      </c>
      <c r="L14633">
        <v>4</v>
      </c>
      <c r="M14633">
        <v>2745</v>
      </c>
      <c r="N14633">
        <v>80</v>
      </c>
      <c r="O14633">
        <v>15</v>
      </c>
      <c r="P14633">
        <v>68</v>
      </c>
      <c r="Q14633">
        <v>13</v>
      </c>
    </row>
    <row r="14634" spans="1:17" x14ac:dyDescent="0.2">
      <c r="A14634" s="121">
        <v>44165</v>
      </c>
      <c r="B14634" t="s">
        <v>406</v>
      </c>
      <c r="C14634" t="s">
        <v>551</v>
      </c>
      <c r="D14634" t="s">
        <v>560</v>
      </c>
      <c r="E14634" t="s">
        <v>561</v>
      </c>
      <c r="F14634" t="s">
        <v>413</v>
      </c>
      <c r="G14634">
        <v>5096</v>
      </c>
      <c r="H14634">
        <v>5096</v>
      </c>
      <c r="I14634">
        <v>4274</v>
      </c>
      <c r="J14634">
        <v>4274</v>
      </c>
      <c r="K14634">
        <v>1806</v>
      </c>
      <c r="L14634">
        <v>3</v>
      </c>
      <c r="M14634">
        <v>3206</v>
      </c>
      <c r="N14634">
        <v>59</v>
      </c>
      <c r="O14634">
        <v>22</v>
      </c>
      <c r="P14634">
        <v>213</v>
      </c>
      <c r="Q14634">
        <v>71</v>
      </c>
    </row>
    <row r="14635" spans="1:17" x14ac:dyDescent="0.2">
      <c r="A14635" s="121">
        <v>44165</v>
      </c>
      <c r="B14635" t="s">
        <v>406</v>
      </c>
      <c r="C14635" t="s">
        <v>562</v>
      </c>
      <c r="D14635" t="s">
        <v>605</v>
      </c>
      <c r="E14635" t="s">
        <v>606</v>
      </c>
      <c r="F14635" t="s">
        <v>410</v>
      </c>
      <c r="G14635">
        <v>80</v>
      </c>
      <c r="I14635">
        <v>80</v>
      </c>
    </row>
    <row r="14636" spans="1:17" x14ac:dyDescent="0.2">
      <c r="A14636" s="121">
        <v>44165</v>
      </c>
      <c r="B14636" t="s">
        <v>406</v>
      </c>
      <c r="C14636" t="s">
        <v>562</v>
      </c>
      <c r="D14636" t="s">
        <v>563</v>
      </c>
      <c r="E14636" t="s">
        <v>564</v>
      </c>
      <c r="F14636" t="s">
        <v>410</v>
      </c>
      <c r="G14636">
        <v>2649</v>
      </c>
      <c r="H14636">
        <v>2649</v>
      </c>
      <c r="I14636">
        <v>2375</v>
      </c>
      <c r="J14636">
        <v>2375</v>
      </c>
      <c r="K14636">
        <v>1130</v>
      </c>
      <c r="L14636">
        <v>0</v>
      </c>
      <c r="M14636">
        <v>1511</v>
      </c>
      <c r="N14636">
        <v>0</v>
      </c>
      <c r="O14636">
        <v>8</v>
      </c>
      <c r="P14636">
        <v>22</v>
      </c>
      <c r="Q14636">
        <v>1</v>
      </c>
    </row>
    <row r="14637" spans="1:17" x14ac:dyDescent="0.2">
      <c r="A14637" s="121">
        <v>44165</v>
      </c>
      <c r="B14637" t="s">
        <v>406</v>
      </c>
      <c r="C14637" t="s">
        <v>562</v>
      </c>
      <c r="D14637" t="s">
        <v>565</v>
      </c>
      <c r="E14637" t="s">
        <v>566</v>
      </c>
      <c r="F14637" t="s">
        <v>413</v>
      </c>
      <c r="G14637">
        <v>3577</v>
      </c>
      <c r="H14637">
        <v>3577</v>
      </c>
      <c r="I14637">
        <v>3188</v>
      </c>
      <c r="J14637">
        <v>3188</v>
      </c>
      <c r="K14637">
        <v>773</v>
      </c>
      <c r="L14637">
        <v>6</v>
      </c>
      <c r="M14637">
        <v>2755</v>
      </c>
      <c r="N14637">
        <v>39</v>
      </c>
      <c r="O14637">
        <v>4</v>
      </c>
      <c r="P14637">
        <v>34</v>
      </c>
      <c r="Q14637">
        <v>6</v>
      </c>
    </row>
    <row r="14638" spans="1:17" x14ac:dyDescent="0.2">
      <c r="A14638" s="121">
        <v>44165</v>
      </c>
      <c r="B14638" t="s">
        <v>406</v>
      </c>
      <c r="C14638" t="s">
        <v>562</v>
      </c>
      <c r="D14638" t="s">
        <v>567</v>
      </c>
      <c r="E14638" t="s">
        <v>568</v>
      </c>
      <c r="F14638" t="s">
        <v>413</v>
      </c>
      <c r="G14638">
        <v>8172</v>
      </c>
      <c r="H14638">
        <v>8172</v>
      </c>
      <c r="I14638">
        <v>6784</v>
      </c>
      <c r="J14638">
        <v>6784</v>
      </c>
      <c r="K14638">
        <v>3219</v>
      </c>
      <c r="L14638">
        <v>6</v>
      </c>
      <c r="M14638">
        <v>4825</v>
      </c>
      <c r="N14638">
        <v>103</v>
      </c>
      <c r="O14638">
        <v>19</v>
      </c>
      <c r="P14638">
        <v>161</v>
      </c>
      <c r="Q14638">
        <v>30</v>
      </c>
    </row>
    <row r="14639" spans="1:17" x14ac:dyDescent="0.2">
      <c r="A14639" s="121">
        <v>44165</v>
      </c>
      <c r="B14639" t="s">
        <v>406</v>
      </c>
      <c r="C14639" t="s">
        <v>562</v>
      </c>
      <c r="D14639" t="s">
        <v>569</v>
      </c>
      <c r="E14639" t="s">
        <v>570</v>
      </c>
      <c r="F14639" t="s">
        <v>413</v>
      </c>
      <c r="G14639">
        <v>3298</v>
      </c>
      <c r="H14639">
        <v>3298</v>
      </c>
      <c r="I14639">
        <v>3194</v>
      </c>
      <c r="J14639">
        <v>3194</v>
      </c>
      <c r="K14639">
        <v>410</v>
      </c>
      <c r="L14639">
        <v>0</v>
      </c>
      <c r="M14639">
        <v>2751</v>
      </c>
      <c r="N14639">
        <v>105</v>
      </c>
      <c r="O14639">
        <v>32</v>
      </c>
      <c r="P14639">
        <v>2</v>
      </c>
      <c r="Q14639">
        <v>0</v>
      </c>
    </row>
    <row r="14640" spans="1:17" x14ac:dyDescent="0.2">
      <c r="A14640" s="121">
        <v>44165</v>
      </c>
      <c r="B14640" t="s">
        <v>406</v>
      </c>
      <c r="C14640" t="s">
        <v>571</v>
      </c>
      <c r="D14640" t="s">
        <v>572</v>
      </c>
      <c r="E14640" t="s">
        <v>627</v>
      </c>
      <c r="F14640" t="s">
        <v>413</v>
      </c>
      <c r="G14640">
        <v>437</v>
      </c>
      <c r="H14640">
        <v>437</v>
      </c>
      <c r="I14640">
        <v>424</v>
      </c>
      <c r="J14640">
        <v>424</v>
      </c>
      <c r="K14640">
        <v>136</v>
      </c>
      <c r="L14640">
        <v>0</v>
      </c>
      <c r="M14640">
        <v>296</v>
      </c>
      <c r="N14640">
        <v>2</v>
      </c>
      <c r="O14640">
        <v>3</v>
      </c>
      <c r="P14640">
        <v>0</v>
      </c>
      <c r="Q14640">
        <v>0</v>
      </c>
    </row>
    <row r="14641" spans="1:17" x14ac:dyDescent="0.2">
      <c r="A14641" s="121">
        <v>44165</v>
      </c>
      <c r="B14641" t="s">
        <v>406</v>
      </c>
      <c r="C14641" t="s">
        <v>574</v>
      </c>
      <c r="D14641" t="s">
        <v>575</v>
      </c>
      <c r="E14641" t="s">
        <v>576</v>
      </c>
      <c r="F14641" t="s">
        <v>413</v>
      </c>
      <c r="G14641">
        <v>443</v>
      </c>
      <c r="H14641">
        <v>443</v>
      </c>
      <c r="I14641">
        <v>433</v>
      </c>
      <c r="J14641">
        <v>433</v>
      </c>
      <c r="K14641">
        <v>149</v>
      </c>
      <c r="L14641">
        <v>0</v>
      </c>
      <c r="M14641">
        <v>291</v>
      </c>
      <c r="N14641">
        <v>1</v>
      </c>
      <c r="O14641">
        <v>2</v>
      </c>
      <c r="P14641">
        <v>1</v>
      </c>
      <c r="Q14641">
        <v>0</v>
      </c>
    </row>
    <row r="14642" spans="1:17" x14ac:dyDescent="0.2">
      <c r="A14642" s="121">
        <v>44165</v>
      </c>
      <c r="B14642" t="s">
        <v>406</v>
      </c>
      <c r="C14642" t="s">
        <v>577</v>
      </c>
      <c r="D14642" t="s">
        <v>578</v>
      </c>
      <c r="E14642" t="s">
        <v>579</v>
      </c>
      <c r="F14642" t="s">
        <v>413</v>
      </c>
      <c r="G14642">
        <v>3572</v>
      </c>
      <c r="H14642">
        <v>3572</v>
      </c>
      <c r="I14642">
        <v>3457</v>
      </c>
      <c r="J14642">
        <v>3457</v>
      </c>
      <c r="K14642">
        <v>1395</v>
      </c>
      <c r="L14642">
        <v>7</v>
      </c>
      <c r="M14642">
        <v>2020</v>
      </c>
      <c r="N14642">
        <v>125</v>
      </c>
      <c r="O14642">
        <v>25</v>
      </c>
      <c r="P14642">
        <v>0</v>
      </c>
      <c r="Q14642">
        <v>0</v>
      </c>
    </row>
    <row r="14643" spans="1:17" x14ac:dyDescent="0.2">
      <c r="A14643" s="121">
        <v>44165</v>
      </c>
      <c r="B14643" t="s">
        <v>406</v>
      </c>
      <c r="C14643" t="s">
        <v>577</v>
      </c>
      <c r="D14643" t="s">
        <v>580</v>
      </c>
      <c r="E14643" t="s">
        <v>581</v>
      </c>
      <c r="F14643" t="s">
        <v>413</v>
      </c>
      <c r="G14643">
        <v>1470</v>
      </c>
      <c r="H14643">
        <v>1470</v>
      </c>
      <c r="I14643">
        <v>1443</v>
      </c>
      <c r="J14643">
        <v>1443</v>
      </c>
      <c r="K14643">
        <v>258</v>
      </c>
      <c r="L14643">
        <v>0</v>
      </c>
      <c r="M14643">
        <v>1065</v>
      </c>
      <c r="N14643">
        <v>137</v>
      </c>
      <c r="O14643">
        <v>10</v>
      </c>
      <c r="P14643">
        <v>0</v>
      </c>
      <c r="Q14643">
        <v>0</v>
      </c>
    </row>
    <row r="14644" spans="1:17" x14ac:dyDescent="0.2">
      <c r="A14644" s="121">
        <v>44165</v>
      </c>
      <c r="B14644" t="s">
        <v>406</v>
      </c>
      <c r="C14644" t="s">
        <v>577</v>
      </c>
      <c r="D14644" t="s">
        <v>586</v>
      </c>
      <c r="E14644" t="s">
        <v>587</v>
      </c>
      <c r="F14644" t="s">
        <v>410</v>
      </c>
      <c r="G14644">
        <v>584</v>
      </c>
      <c r="H14644">
        <v>584</v>
      </c>
      <c r="I14644">
        <v>584</v>
      </c>
      <c r="J14644">
        <v>584</v>
      </c>
      <c r="K14644">
        <v>0</v>
      </c>
      <c r="L14644">
        <v>0</v>
      </c>
      <c r="M14644">
        <v>555</v>
      </c>
      <c r="N14644">
        <v>29</v>
      </c>
      <c r="O14644">
        <v>0</v>
      </c>
      <c r="P14644">
        <v>0</v>
      </c>
      <c r="Q14644">
        <v>0</v>
      </c>
    </row>
    <row r="14645" spans="1:17" x14ac:dyDescent="0.2">
      <c r="A14645" s="121">
        <v>44165</v>
      </c>
      <c r="B14645" t="s">
        <v>406</v>
      </c>
      <c r="C14645" t="s">
        <v>577</v>
      </c>
      <c r="D14645" t="s">
        <v>590</v>
      </c>
      <c r="E14645" t="s">
        <v>591</v>
      </c>
      <c r="F14645" t="s">
        <v>410</v>
      </c>
      <c r="G14645">
        <v>273</v>
      </c>
      <c r="H14645">
        <v>273</v>
      </c>
      <c r="I14645">
        <v>273</v>
      </c>
      <c r="J14645">
        <v>273</v>
      </c>
      <c r="K14645">
        <v>0</v>
      </c>
      <c r="L14645">
        <v>0</v>
      </c>
      <c r="M14645">
        <v>263</v>
      </c>
      <c r="N14645">
        <v>10</v>
      </c>
      <c r="O14645">
        <v>0</v>
      </c>
      <c r="P14645">
        <v>0</v>
      </c>
      <c r="Q14645">
        <v>0</v>
      </c>
    </row>
    <row r="14646" spans="1:17" x14ac:dyDescent="0.2">
      <c r="A14646" s="121">
        <v>44165</v>
      </c>
      <c r="B14646" t="s">
        <v>406</v>
      </c>
      <c r="C14646" t="s">
        <v>594</v>
      </c>
      <c r="D14646" t="s">
        <v>595</v>
      </c>
      <c r="E14646" t="s">
        <v>596</v>
      </c>
      <c r="F14646" t="s">
        <v>410</v>
      </c>
      <c r="G14646">
        <v>40</v>
      </c>
      <c r="I14646">
        <v>40</v>
      </c>
    </row>
    <row r="14647" spans="1:17" x14ac:dyDescent="0.2">
      <c r="A14647" s="121">
        <v>44165</v>
      </c>
      <c r="B14647" t="s">
        <v>406</v>
      </c>
      <c r="C14647" t="s">
        <v>594</v>
      </c>
      <c r="D14647" t="s">
        <v>597</v>
      </c>
      <c r="E14647" t="s">
        <v>598</v>
      </c>
      <c r="F14647" t="s">
        <v>413</v>
      </c>
      <c r="G14647">
        <v>362</v>
      </c>
      <c r="H14647">
        <v>362</v>
      </c>
      <c r="I14647">
        <v>352</v>
      </c>
      <c r="J14647">
        <v>352</v>
      </c>
      <c r="K14647">
        <v>125</v>
      </c>
      <c r="L14647">
        <v>1</v>
      </c>
      <c r="M14647">
        <v>229</v>
      </c>
      <c r="N14647">
        <v>3</v>
      </c>
      <c r="O14647">
        <v>4</v>
      </c>
      <c r="P14647">
        <v>0</v>
      </c>
      <c r="Q14647">
        <v>0</v>
      </c>
    </row>
    <row r="14648" spans="1:17" x14ac:dyDescent="0.2">
      <c r="A14648" s="121">
        <v>44165</v>
      </c>
      <c r="B14648" t="s">
        <v>406</v>
      </c>
      <c r="C14648" t="s">
        <v>594</v>
      </c>
      <c r="D14648" t="s">
        <v>599</v>
      </c>
      <c r="E14648" t="s">
        <v>600</v>
      </c>
      <c r="F14648" t="s">
        <v>410</v>
      </c>
      <c r="G14648">
        <v>77</v>
      </c>
      <c r="H14648">
        <v>77</v>
      </c>
      <c r="I14648">
        <v>76</v>
      </c>
      <c r="J14648">
        <v>76</v>
      </c>
      <c r="K14648">
        <v>2</v>
      </c>
      <c r="L14648">
        <v>0</v>
      </c>
      <c r="M14648">
        <v>75</v>
      </c>
      <c r="N14648">
        <v>0</v>
      </c>
      <c r="O14648">
        <v>0</v>
      </c>
      <c r="P14648">
        <v>0</v>
      </c>
      <c r="Q14648">
        <v>0</v>
      </c>
    </row>
    <row r="14649" spans="1:17" x14ac:dyDescent="0.2">
      <c r="A14649" s="121">
        <v>44196</v>
      </c>
      <c r="B14649" t="s">
        <v>406</v>
      </c>
      <c r="C14649" t="s">
        <v>407</v>
      </c>
      <c r="D14649" t="s">
        <v>408</v>
      </c>
      <c r="E14649" t="s">
        <v>409</v>
      </c>
      <c r="F14649" t="s">
        <v>410</v>
      </c>
      <c r="G14649">
        <v>130</v>
      </c>
      <c r="I14649">
        <v>127</v>
      </c>
    </row>
    <row r="14650" spans="1:17" x14ac:dyDescent="0.2">
      <c r="A14650" s="121">
        <v>44196</v>
      </c>
      <c r="B14650" t="s">
        <v>406</v>
      </c>
      <c r="C14650" t="s">
        <v>407</v>
      </c>
      <c r="D14650" t="s">
        <v>601</v>
      </c>
      <c r="E14650" t="s">
        <v>602</v>
      </c>
      <c r="F14650" t="s">
        <v>410</v>
      </c>
      <c r="G14650">
        <v>37</v>
      </c>
      <c r="I14650">
        <v>37</v>
      </c>
    </row>
    <row r="14651" spans="1:17" x14ac:dyDescent="0.2">
      <c r="A14651" s="121">
        <v>44196</v>
      </c>
      <c r="B14651" t="s">
        <v>406</v>
      </c>
      <c r="C14651" t="s">
        <v>407</v>
      </c>
      <c r="D14651" t="s">
        <v>411</v>
      </c>
      <c r="E14651" t="s">
        <v>412</v>
      </c>
      <c r="F14651" t="s">
        <v>413</v>
      </c>
      <c r="G14651">
        <v>3811</v>
      </c>
      <c r="H14651">
        <v>3811</v>
      </c>
      <c r="I14651">
        <v>3030</v>
      </c>
      <c r="J14651">
        <v>3030</v>
      </c>
      <c r="K14651">
        <v>1253</v>
      </c>
      <c r="L14651">
        <v>9</v>
      </c>
      <c r="M14651">
        <v>2245</v>
      </c>
      <c r="N14651">
        <v>47</v>
      </c>
      <c r="O14651">
        <v>257</v>
      </c>
      <c r="P14651">
        <v>380</v>
      </c>
      <c r="Q14651">
        <v>218</v>
      </c>
    </row>
    <row r="14652" spans="1:17" x14ac:dyDescent="0.2">
      <c r="A14652" s="121">
        <v>44196</v>
      </c>
      <c r="B14652" t="s">
        <v>406</v>
      </c>
      <c r="C14652" t="s">
        <v>407</v>
      </c>
      <c r="D14652" t="s">
        <v>416</v>
      </c>
      <c r="E14652" t="s">
        <v>417</v>
      </c>
      <c r="F14652" t="s">
        <v>413</v>
      </c>
      <c r="G14652">
        <v>1848</v>
      </c>
      <c r="H14652">
        <v>1848</v>
      </c>
      <c r="I14652">
        <v>1374</v>
      </c>
      <c r="J14652">
        <v>1374</v>
      </c>
      <c r="K14652">
        <v>692</v>
      </c>
      <c r="L14652">
        <v>8</v>
      </c>
      <c r="M14652">
        <v>1088</v>
      </c>
      <c r="N14652">
        <v>30</v>
      </c>
      <c r="O14652">
        <v>30</v>
      </c>
      <c r="P14652">
        <v>179</v>
      </c>
      <c r="Q14652">
        <v>53</v>
      </c>
    </row>
    <row r="14653" spans="1:17" x14ac:dyDescent="0.2">
      <c r="A14653" s="121">
        <v>44196</v>
      </c>
      <c r="B14653" t="s">
        <v>406</v>
      </c>
      <c r="C14653" t="s">
        <v>407</v>
      </c>
      <c r="D14653" t="s">
        <v>618</v>
      </c>
      <c r="E14653" t="s">
        <v>619</v>
      </c>
      <c r="F14653" t="s">
        <v>410</v>
      </c>
      <c r="G14653">
        <v>30</v>
      </c>
      <c r="I14653">
        <v>30</v>
      </c>
    </row>
    <row r="14654" spans="1:17" x14ac:dyDescent="0.2">
      <c r="A14654" s="121">
        <v>44196</v>
      </c>
      <c r="B14654" t="s">
        <v>406</v>
      </c>
      <c r="C14654" t="s">
        <v>418</v>
      </c>
      <c r="D14654" t="s">
        <v>419</v>
      </c>
      <c r="E14654" t="s">
        <v>420</v>
      </c>
      <c r="F14654" t="s">
        <v>410</v>
      </c>
      <c r="G14654">
        <v>1</v>
      </c>
      <c r="I14654">
        <v>1</v>
      </c>
    </row>
    <row r="14655" spans="1:17" x14ac:dyDescent="0.2">
      <c r="A14655" s="121">
        <v>44196</v>
      </c>
      <c r="B14655" t="s">
        <v>406</v>
      </c>
      <c r="C14655" t="s">
        <v>418</v>
      </c>
      <c r="D14655" t="s">
        <v>421</v>
      </c>
      <c r="E14655" t="s">
        <v>422</v>
      </c>
      <c r="F14655" t="s">
        <v>410</v>
      </c>
      <c r="G14655">
        <v>3</v>
      </c>
      <c r="I14655">
        <v>3</v>
      </c>
    </row>
    <row r="14656" spans="1:17" x14ac:dyDescent="0.2">
      <c r="A14656" s="121">
        <v>44196</v>
      </c>
      <c r="B14656" t="s">
        <v>406</v>
      </c>
      <c r="C14656" t="s">
        <v>418</v>
      </c>
      <c r="D14656" t="s">
        <v>425</v>
      </c>
      <c r="E14656" t="s">
        <v>426</v>
      </c>
      <c r="F14656" t="s">
        <v>410</v>
      </c>
      <c r="G14656">
        <v>73</v>
      </c>
      <c r="I14656">
        <v>73</v>
      </c>
    </row>
    <row r="14657" spans="1:17" x14ac:dyDescent="0.2">
      <c r="A14657" s="121">
        <v>44196</v>
      </c>
      <c r="B14657" t="s">
        <v>406</v>
      </c>
      <c r="C14657" t="s">
        <v>418</v>
      </c>
      <c r="D14657" t="s">
        <v>427</v>
      </c>
      <c r="E14657" t="s">
        <v>428</v>
      </c>
      <c r="F14657" t="s">
        <v>413</v>
      </c>
      <c r="G14657">
        <v>1997</v>
      </c>
      <c r="H14657">
        <v>1997</v>
      </c>
      <c r="I14657">
        <v>1565</v>
      </c>
      <c r="J14657">
        <v>1565</v>
      </c>
      <c r="K14657">
        <v>688</v>
      </c>
      <c r="L14657">
        <v>3</v>
      </c>
      <c r="M14657">
        <v>1263</v>
      </c>
      <c r="N14657">
        <v>38</v>
      </c>
      <c r="O14657">
        <v>5</v>
      </c>
      <c r="P14657">
        <v>96</v>
      </c>
      <c r="Q14657">
        <v>38</v>
      </c>
    </row>
    <row r="14658" spans="1:17" x14ac:dyDescent="0.2">
      <c r="A14658" s="121">
        <v>44196</v>
      </c>
      <c r="B14658" t="s">
        <v>406</v>
      </c>
      <c r="C14658" t="s">
        <v>429</v>
      </c>
      <c r="D14658" t="s">
        <v>438</v>
      </c>
      <c r="E14658" t="s">
        <v>439</v>
      </c>
      <c r="F14658" t="s">
        <v>413</v>
      </c>
      <c r="G14658">
        <v>692</v>
      </c>
      <c r="H14658">
        <v>692</v>
      </c>
      <c r="I14658">
        <v>616</v>
      </c>
      <c r="J14658">
        <v>616</v>
      </c>
      <c r="K14658">
        <v>44</v>
      </c>
      <c r="L14658">
        <v>1</v>
      </c>
      <c r="M14658">
        <v>575</v>
      </c>
      <c r="N14658">
        <v>54</v>
      </c>
      <c r="O14658">
        <v>18</v>
      </c>
      <c r="P14658">
        <v>13</v>
      </c>
      <c r="Q14658">
        <v>3</v>
      </c>
    </row>
    <row r="14659" spans="1:17" x14ac:dyDescent="0.2">
      <c r="A14659" s="121">
        <v>44196</v>
      </c>
      <c r="B14659" t="s">
        <v>406</v>
      </c>
      <c r="C14659" t="s">
        <v>429</v>
      </c>
      <c r="D14659" t="s">
        <v>440</v>
      </c>
      <c r="E14659" t="s">
        <v>441</v>
      </c>
      <c r="F14659" t="s">
        <v>413</v>
      </c>
      <c r="G14659">
        <v>1916</v>
      </c>
      <c r="H14659">
        <v>1916</v>
      </c>
      <c r="I14659">
        <v>1689</v>
      </c>
      <c r="J14659">
        <v>1689</v>
      </c>
      <c r="K14659">
        <v>674</v>
      </c>
      <c r="L14659">
        <v>7</v>
      </c>
      <c r="M14659">
        <v>1191</v>
      </c>
      <c r="N14659">
        <v>21</v>
      </c>
      <c r="O14659">
        <v>23</v>
      </c>
      <c r="P14659">
        <v>8</v>
      </c>
      <c r="Q14659">
        <v>1</v>
      </c>
    </row>
    <row r="14660" spans="1:17" x14ac:dyDescent="0.2">
      <c r="A14660" s="121">
        <v>44196</v>
      </c>
      <c r="B14660" t="s">
        <v>406</v>
      </c>
      <c r="C14660" t="s">
        <v>442</v>
      </c>
      <c r="D14660" t="s">
        <v>443</v>
      </c>
      <c r="E14660" t="s">
        <v>444</v>
      </c>
      <c r="F14660" t="s">
        <v>413</v>
      </c>
      <c r="G14660">
        <v>4009</v>
      </c>
      <c r="H14660">
        <v>4009</v>
      </c>
      <c r="I14660">
        <v>3489</v>
      </c>
      <c r="J14660">
        <v>3489</v>
      </c>
      <c r="K14660">
        <v>1367</v>
      </c>
      <c r="L14660">
        <v>11</v>
      </c>
      <c r="M14660">
        <v>2515</v>
      </c>
      <c r="N14660">
        <v>36</v>
      </c>
      <c r="O14660">
        <v>80</v>
      </c>
      <c r="P14660">
        <v>84</v>
      </c>
      <c r="Q14660">
        <v>8</v>
      </c>
    </row>
    <row r="14661" spans="1:17" x14ac:dyDescent="0.2">
      <c r="A14661" s="121">
        <v>44196</v>
      </c>
      <c r="B14661" t="s">
        <v>406</v>
      </c>
      <c r="C14661" t="s">
        <v>442</v>
      </c>
      <c r="D14661" t="s">
        <v>445</v>
      </c>
      <c r="E14661" t="s">
        <v>446</v>
      </c>
      <c r="F14661" t="s">
        <v>410</v>
      </c>
      <c r="G14661">
        <v>81</v>
      </c>
      <c r="H14661">
        <v>81</v>
      </c>
      <c r="I14661">
        <v>80</v>
      </c>
      <c r="J14661">
        <v>80</v>
      </c>
      <c r="K14661">
        <v>2</v>
      </c>
      <c r="L14661">
        <v>0</v>
      </c>
      <c r="M14661">
        <v>76</v>
      </c>
      <c r="N14661">
        <v>3</v>
      </c>
      <c r="O14661">
        <v>0</v>
      </c>
      <c r="P14661">
        <v>0</v>
      </c>
      <c r="Q14661">
        <v>0</v>
      </c>
    </row>
    <row r="14662" spans="1:17" x14ac:dyDescent="0.2">
      <c r="A14662" s="121">
        <v>44196</v>
      </c>
      <c r="B14662" t="s">
        <v>406</v>
      </c>
      <c r="C14662" t="s">
        <v>442</v>
      </c>
      <c r="D14662" t="s">
        <v>447</v>
      </c>
      <c r="E14662" t="s">
        <v>448</v>
      </c>
      <c r="F14662" t="s">
        <v>410</v>
      </c>
      <c r="G14662">
        <v>114</v>
      </c>
      <c r="H14662">
        <v>114</v>
      </c>
      <c r="I14662">
        <v>114</v>
      </c>
      <c r="J14662">
        <v>114</v>
      </c>
      <c r="K14662">
        <v>0</v>
      </c>
      <c r="L14662">
        <v>0</v>
      </c>
      <c r="M14662">
        <v>109</v>
      </c>
      <c r="N14662">
        <v>5</v>
      </c>
      <c r="O14662">
        <v>0</v>
      </c>
      <c r="P14662">
        <v>0</v>
      </c>
      <c r="Q14662">
        <v>0</v>
      </c>
    </row>
    <row r="14663" spans="1:17" x14ac:dyDescent="0.2">
      <c r="A14663" s="121">
        <v>44196</v>
      </c>
      <c r="B14663" t="s">
        <v>406</v>
      </c>
      <c r="C14663" t="s">
        <v>442</v>
      </c>
      <c r="D14663" t="s">
        <v>449</v>
      </c>
      <c r="E14663" t="s">
        <v>624</v>
      </c>
      <c r="F14663" t="s">
        <v>410</v>
      </c>
      <c r="G14663">
        <v>762</v>
      </c>
      <c r="H14663">
        <v>762</v>
      </c>
      <c r="I14663">
        <v>762</v>
      </c>
      <c r="J14663">
        <v>762</v>
      </c>
      <c r="K14663">
        <v>2</v>
      </c>
      <c r="L14663">
        <v>0</v>
      </c>
      <c r="M14663">
        <v>708</v>
      </c>
      <c r="N14663">
        <v>48</v>
      </c>
      <c r="O14663">
        <v>4</v>
      </c>
      <c r="P14663">
        <v>0</v>
      </c>
      <c r="Q14663">
        <v>0</v>
      </c>
    </row>
    <row r="14664" spans="1:17" x14ac:dyDescent="0.2">
      <c r="A14664" s="121">
        <v>44196</v>
      </c>
      <c r="B14664" t="s">
        <v>406</v>
      </c>
      <c r="C14664" t="s">
        <v>451</v>
      </c>
      <c r="D14664" t="s">
        <v>454</v>
      </c>
      <c r="E14664" t="s">
        <v>621</v>
      </c>
      <c r="F14664" t="s">
        <v>410</v>
      </c>
      <c r="G14664">
        <v>1033</v>
      </c>
      <c r="H14664">
        <v>1033</v>
      </c>
      <c r="I14664">
        <v>1032</v>
      </c>
      <c r="J14664">
        <v>1032</v>
      </c>
      <c r="K14664">
        <v>1</v>
      </c>
      <c r="L14664">
        <v>0</v>
      </c>
      <c r="M14664">
        <v>966</v>
      </c>
      <c r="N14664">
        <v>2</v>
      </c>
      <c r="O14664">
        <v>64</v>
      </c>
      <c r="P14664">
        <v>0</v>
      </c>
      <c r="Q14664">
        <v>0</v>
      </c>
    </row>
    <row r="14665" spans="1:17" x14ac:dyDescent="0.2">
      <c r="A14665" s="121">
        <v>44196</v>
      </c>
      <c r="B14665" t="s">
        <v>406</v>
      </c>
      <c r="C14665" t="s">
        <v>451</v>
      </c>
      <c r="D14665" t="s">
        <v>622</v>
      </c>
      <c r="E14665" t="s">
        <v>623</v>
      </c>
      <c r="F14665" t="s">
        <v>413</v>
      </c>
      <c r="G14665">
        <v>3446</v>
      </c>
      <c r="H14665">
        <v>3446</v>
      </c>
      <c r="I14665">
        <v>3066</v>
      </c>
      <c r="J14665">
        <v>3066</v>
      </c>
      <c r="K14665">
        <v>1359</v>
      </c>
      <c r="L14665">
        <v>12</v>
      </c>
      <c r="M14665">
        <v>2005</v>
      </c>
      <c r="N14665">
        <v>19</v>
      </c>
      <c r="O14665">
        <v>51</v>
      </c>
      <c r="P14665">
        <v>17</v>
      </c>
      <c r="Q14665">
        <v>4</v>
      </c>
    </row>
    <row r="14666" spans="1:17" x14ac:dyDescent="0.2">
      <c r="A14666" s="121">
        <v>44196</v>
      </c>
      <c r="B14666" t="s">
        <v>406</v>
      </c>
      <c r="C14666" t="s">
        <v>456</v>
      </c>
      <c r="D14666" t="s">
        <v>457</v>
      </c>
      <c r="E14666" t="s">
        <v>458</v>
      </c>
      <c r="F14666" t="s">
        <v>413</v>
      </c>
      <c r="G14666">
        <v>3559</v>
      </c>
      <c r="H14666">
        <v>3559</v>
      </c>
      <c r="I14666">
        <v>2808</v>
      </c>
      <c r="J14666">
        <v>2808</v>
      </c>
      <c r="K14666">
        <v>1260</v>
      </c>
      <c r="L14666">
        <v>12</v>
      </c>
      <c r="M14666">
        <v>1999</v>
      </c>
      <c r="N14666">
        <v>17</v>
      </c>
      <c r="O14666">
        <v>271</v>
      </c>
      <c r="P14666">
        <v>100</v>
      </c>
      <c r="Q14666">
        <v>12</v>
      </c>
    </row>
    <row r="14667" spans="1:17" x14ac:dyDescent="0.2">
      <c r="A14667" s="121">
        <v>44196</v>
      </c>
      <c r="B14667" t="s">
        <v>406</v>
      </c>
      <c r="C14667" t="s">
        <v>456</v>
      </c>
      <c r="D14667" t="s">
        <v>459</v>
      </c>
      <c r="E14667" t="s">
        <v>460</v>
      </c>
      <c r="F14667" t="s">
        <v>413</v>
      </c>
      <c r="G14667">
        <v>787</v>
      </c>
      <c r="H14667">
        <v>787</v>
      </c>
      <c r="I14667">
        <v>772</v>
      </c>
      <c r="J14667">
        <v>772</v>
      </c>
      <c r="K14667">
        <v>71</v>
      </c>
      <c r="L14667">
        <v>1</v>
      </c>
      <c r="M14667">
        <v>713</v>
      </c>
      <c r="N14667">
        <v>0</v>
      </c>
      <c r="O14667">
        <v>2</v>
      </c>
      <c r="P14667">
        <v>0</v>
      </c>
      <c r="Q14667">
        <v>0</v>
      </c>
    </row>
    <row r="14668" spans="1:17" x14ac:dyDescent="0.2">
      <c r="A14668" s="121">
        <v>44196</v>
      </c>
      <c r="B14668" t="s">
        <v>406</v>
      </c>
      <c r="C14668" t="s">
        <v>456</v>
      </c>
      <c r="D14668" t="s">
        <v>467</v>
      </c>
      <c r="E14668" t="s">
        <v>468</v>
      </c>
      <c r="F14668" t="s">
        <v>410</v>
      </c>
      <c r="G14668">
        <v>423</v>
      </c>
      <c r="I14668">
        <v>422</v>
      </c>
    </row>
    <row r="14669" spans="1:17" x14ac:dyDescent="0.2">
      <c r="A14669" s="121">
        <v>44196</v>
      </c>
      <c r="B14669" t="s">
        <v>406</v>
      </c>
      <c r="C14669" t="s">
        <v>456</v>
      </c>
      <c r="D14669" t="s">
        <v>469</v>
      </c>
      <c r="E14669" t="s">
        <v>470</v>
      </c>
      <c r="F14669" t="s">
        <v>410</v>
      </c>
      <c r="G14669">
        <v>143</v>
      </c>
      <c r="I14669">
        <v>143</v>
      </c>
    </row>
    <row r="14670" spans="1:17" x14ac:dyDescent="0.2">
      <c r="A14670" s="121">
        <v>44196</v>
      </c>
      <c r="B14670" t="s">
        <v>406</v>
      </c>
      <c r="C14670" t="s">
        <v>456</v>
      </c>
      <c r="D14670" t="s">
        <v>471</v>
      </c>
      <c r="E14670" t="s">
        <v>472</v>
      </c>
      <c r="F14670" t="s">
        <v>410</v>
      </c>
      <c r="G14670">
        <v>155</v>
      </c>
      <c r="I14670">
        <v>151</v>
      </c>
    </row>
    <row r="14671" spans="1:17" x14ac:dyDescent="0.2">
      <c r="A14671" s="121">
        <v>44196</v>
      </c>
      <c r="B14671" t="s">
        <v>406</v>
      </c>
      <c r="C14671" t="s">
        <v>456</v>
      </c>
      <c r="D14671" t="s">
        <v>477</v>
      </c>
      <c r="E14671" t="s">
        <v>478</v>
      </c>
      <c r="F14671" t="s">
        <v>413</v>
      </c>
      <c r="G14671">
        <v>1719</v>
      </c>
      <c r="H14671">
        <v>1719</v>
      </c>
      <c r="I14671">
        <v>1548</v>
      </c>
      <c r="J14671">
        <v>1548</v>
      </c>
      <c r="K14671">
        <v>521</v>
      </c>
      <c r="L14671">
        <v>6</v>
      </c>
      <c r="M14671">
        <v>1177</v>
      </c>
      <c r="N14671">
        <v>11</v>
      </c>
      <c r="O14671">
        <v>4</v>
      </c>
      <c r="P14671">
        <v>16</v>
      </c>
      <c r="Q14671">
        <v>2</v>
      </c>
    </row>
    <row r="14672" spans="1:17" x14ac:dyDescent="0.2">
      <c r="A14672" s="121">
        <v>44196</v>
      </c>
      <c r="B14672" t="s">
        <v>406</v>
      </c>
      <c r="C14672" t="s">
        <v>491</v>
      </c>
      <c r="D14672" t="s">
        <v>492</v>
      </c>
      <c r="E14672" t="s">
        <v>493</v>
      </c>
      <c r="F14672" t="s">
        <v>410</v>
      </c>
      <c r="G14672">
        <v>888</v>
      </c>
      <c r="H14672">
        <v>888</v>
      </c>
      <c r="I14672">
        <v>859</v>
      </c>
      <c r="J14672">
        <v>859</v>
      </c>
      <c r="K14672">
        <v>107</v>
      </c>
      <c r="L14672">
        <v>0</v>
      </c>
      <c r="M14672">
        <v>722</v>
      </c>
      <c r="N14672">
        <v>52</v>
      </c>
      <c r="O14672">
        <v>7</v>
      </c>
      <c r="P14672">
        <v>1</v>
      </c>
      <c r="Q14672">
        <v>0</v>
      </c>
    </row>
    <row r="14673" spans="1:17" x14ac:dyDescent="0.2">
      <c r="A14673" s="121">
        <v>44196</v>
      </c>
      <c r="B14673" t="s">
        <v>406</v>
      </c>
      <c r="C14673" t="s">
        <v>491</v>
      </c>
      <c r="D14673" t="s">
        <v>494</v>
      </c>
      <c r="E14673" t="s">
        <v>495</v>
      </c>
      <c r="F14673" t="s">
        <v>413</v>
      </c>
      <c r="G14673">
        <v>1885</v>
      </c>
      <c r="H14673">
        <v>1885</v>
      </c>
      <c r="I14673">
        <v>1624</v>
      </c>
      <c r="J14673">
        <v>1624</v>
      </c>
      <c r="K14673">
        <v>502</v>
      </c>
      <c r="L14673">
        <v>9</v>
      </c>
      <c r="M14673">
        <v>1285</v>
      </c>
      <c r="N14673">
        <v>32</v>
      </c>
      <c r="O14673">
        <v>57</v>
      </c>
      <c r="P14673">
        <v>36</v>
      </c>
      <c r="Q14673">
        <v>3</v>
      </c>
    </row>
    <row r="14674" spans="1:17" x14ac:dyDescent="0.2">
      <c r="A14674" s="121">
        <v>44196</v>
      </c>
      <c r="B14674" t="s">
        <v>406</v>
      </c>
      <c r="C14674" t="s">
        <v>491</v>
      </c>
      <c r="D14674" t="s">
        <v>496</v>
      </c>
      <c r="E14674" t="s">
        <v>497</v>
      </c>
      <c r="F14674" t="s">
        <v>413</v>
      </c>
      <c r="G14674">
        <v>3829</v>
      </c>
      <c r="H14674">
        <v>3829</v>
      </c>
      <c r="I14674">
        <v>3214</v>
      </c>
      <c r="J14674">
        <v>3214</v>
      </c>
      <c r="K14674">
        <v>1265</v>
      </c>
      <c r="L14674">
        <v>10</v>
      </c>
      <c r="M14674">
        <v>2438</v>
      </c>
      <c r="N14674">
        <v>56</v>
      </c>
      <c r="O14674">
        <v>60</v>
      </c>
      <c r="P14674">
        <v>150</v>
      </c>
      <c r="Q14674">
        <v>5</v>
      </c>
    </row>
    <row r="14675" spans="1:17" x14ac:dyDescent="0.2">
      <c r="A14675" s="121">
        <v>44196</v>
      </c>
      <c r="B14675" t="s">
        <v>406</v>
      </c>
      <c r="C14675" t="s">
        <v>491</v>
      </c>
      <c r="D14675" t="s">
        <v>498</v>
      </c>
      <c r="E14675" t="s">
        <v>499</v>
      </c>
      <c r="F14675" t="s">
        <v>413</v>
      </c>
      <c r="G14675">
        <v>5263</v>
      </c>
      <c r="H14675">
        <v>5263</v>
      </c>
      <c r="I14675">
        <v>4658</v>
      </c>
      <c r="J14675">
        <v>4658</v>
      </c>
      <c r="K14675">
        <v>1825</v>
      </c>
      <c r="L14675">
        <v>14</v>
      </c>
      <c r="M14675">
        <v>3181</v>
      </c>
      <c r="N14675">
        <v>93</v>
      </c>
      <c r="O14675">
        <v>150</v>
      </c>
      <c r="P14675">
        <v>39</v>
      </c>
      <c r="Q14675">
        <v>1</v>
      </c>
    </row>
    <row r="14676" spans="1:17" x14ac:dyDescent="0.2">
      <c r="A14676" s="121">
        <v>44196</v>
      </c>
      <c r="B14676" t="s">
        <v>406</v>
      </c>
      <c r="C14676" t="s">
        <v>491</v>
      </c>
      <c r="D14676" t="s">
        <v>500</v>
      </c>
      <c r="E14676" t="s">
        <v>620</v>
      </c>
      <c r="F14676" t="s">
        <v>410</v>
      </c>
      <c r="G14676">
        <v>1175</v>
      </c>
      <c r="H14676">
        <v>1175</v>
      </c>
      <c r="I14676">
        <v>1175</v>
      </c>
      <c r="J14676">
        <v>1175</v>
      </c>
      <c r="K14676">
        <v>0</v>
      </c>
      <c r="L14676">
        <v>1</v>
      </c>
      <c r="M14676">
        <v>1092</v>
      </c>
      <c r="N14676">
        <v>52</v>
      </c>
      <c r="O14676">
        <v>30</v>
      </c>
      <c r="P14676">
        <v>0</v>
      </c>
      <c r="Q14676">
        <v>0</v>
      </c>
    </row>
    <row r="14677" spans="1:17" x14ac:dyDescent="0.2">
      <c r="A14677" s="121">
        <v>44196</v>
      </c>
      <c r="B14677" t="s">
        <v>406</v>
      </c>
      <c r="C14677" t="s">
        <v>491</v>
      </c>
      <c r="D14677" t="s">
        <v>502</v>
      </c>
      <c r="E14677" t="s">
        <v>615</v>
      </c>
      <c r="F14677" t="s">
        <v>410</v>
      </c>
      <c r="G14677">
        <v>1367</v>
      </c>
      <c r="H14677">
        <v>1367</v>
      </c>
      <c r="I14677">
        <v>1366</v>
      </c>
      <c r="J14677">
        <v>1366</v>
      </c>
      <c r="K14677">
        <v>2</v>
      </c>
      <c r="L14677">
        <v>0</v>
      </c>
      <c r="M14677">
        <v>1287</v>
      </c>
      <c r="N14677">
        <v>63</v>
      </c>
      <c r="O14677">
        <v>15</v>
      </c>
      <c r="P14677">
        <v>0</v>
      </c>
      <c r="Q14677">
        <v>0</v>
      </c>
    </row>
    <row r="14678" spans="1:17" x14ac:dyDescent="0.2">
      <c r="A14678" s="121">
        <v>44196</v>
      </c>
      <c r="B14678" t="s">
        <v>406</v>
      </c>
      <c r="C14678" t="s">
        <v>491</v>
      </c>
      <c r="D14678" t="s">
        <v>504</v>
      </c>
      <c r="E14678" t="s">
        <v>630</v>
      </c>
      <c r="F14678" t="s">
        <v>413</v>
      </c>
      <c r="G14678">
        <v>6054</v>
      </c>
      <c r="H14678">
        <v>6054</v>
      </c>
      <c r="I14678">
        <v>4904</v>
      </c>
      <c r="J14678">
        <v>4904</v>
      </c>
      <c r="K14678">
        <v>2377</v>
      </c>
      <c r="L14678">
        <v>33</v>
      </c>
      <c r="M14678">
        <v>3495</v>
      </c>
      <c r="N14678">
        <v>41</v>
      </c>
      <c r="O14678">
        <v>108</v>
      </c>
      <c r="P14678">
        <v>154</v>
      </c>
      <c r="Q14678">
        <v>21</v>
      </c>
    </row>
    <row r="14679" spans="1:17" x14ac:dyDescent="0.2">
      <c r="A14679" s="121">
        <v>44196</v>
      </c>
      <c r="B14679" t="s">
        <v>406</v>
      </c>
      <c r="C14679" t="s">
        <v>491</v>
      </c>
      <c r="D14679" t="s">
        <v>506</v>
      </c>
      <c r="E14679" t="s">
        <v>507</v>
      </c>
      <c r="F14679" t="s">
        <v>413</v>
      </c>
      <c r="G14679">
        <v>3479</v>
      </c>
      <c r="H14679">
        <v>3479</v>
      </c>
      <c r="I14679">
        <v>3435</v>
      </c>
      <c r="J14679">
        <v>3435</v>
      </c>
      <c r="K14679">
        <v>855</v>
      </c>
      <c r="L14679">
        <v>5</v>
      </c>
      <c r="M14679">
        <v>2619</v>
      </c>
      <c r="N14679">
        <v>0</v>
      </c>
      <c r="O14679">
        <v>0</v>
      </c>
      <c r="P14679">
        <v>1</v>
      </c>
      <c r="Q14679">
        <v>0</v>
      </c>
    </row>
    <row r="14680" spans="1:17" x14ac:dyDescent="0.2">
      <c r="A14680" s="121">
        <v>44196</v>
      </c>
      <c r="B14680" t="s">
        <v>406</v>
      </c>
      <c r="C14680" t="s">
        <v>510</v>
      </c>
      <c r="D14680" t="s">
        <v>513</v>
      </c>
      <c r="E14680" t="s">
        <v>514</v>
      </c>
      <c r="F14680" t="s">
        <v>410</v>
      </c>
      <c r="G14680">
        <v>500</v>
      </c>
      <c r="I14680">
        <v>497</v>
      </c>
    </row>
    <row r="14681" spans="1:17" x14ac:dyDescent="0.2">
      <c r="A14681" s="121">
        <v>44196</v>
      </c>
      <c r="B14681" t="s">
        <v>406</v>
      </c>
      <c r="C14681" t="s">
        <v>510</v>
      </c>
      <c r="D14681" t="s">
        <v>515</v>
      </c>
      <c r="E14681" t="s">
        <v>516</v>
      </c>
      <c r="F14681" t="s">
        <v>410</v>
      </c>
      <c r="G14681">
        <v>55</v>
      </c>
      <c r="I14681">
        <v>53</v>
      </c>
    </row>
    <row r="14682" spans="1:17" x14ac:dyDescent="0.2">
      <c r="A14682" s="121">
        <v>44196</v>
      </c>
      <c r="B14682" t="s">
        <v>406</v>
      </c>
      <c r="C14682" t="s">
        <v>510</v>
      </c>
      <c r="D14682" t="s">
        <v>519</v>
      </c>
      <c r="E14682" t="s">
        <v>520</v>
      </c>
      <c r="F14682" t="s">
        <v>410</v>
      </c>
      <c r="G14682">
        <v>257</v>
      </c>
      <c r="I14682">
        <v>257</v>
      </c>
    </row>
    <row r="14683" spans="1:17" x14ac:dyDescent="0.2">
      <c r="A14683" s="121">
        <v>44196</v>
      </c>
      <c r="B14683" t="s">
        <v>406</v>
      </c>
      <c r="C14683" t="s">
        <v>510</v>
      </c>
      <c r="D14683" t="s">
        <v>523</v>
      </c>
      <c r="E14683" t="s">
        <v>524</v>
      </c>
      <c r="F14683" t="s">
        <v>413</v>
      </c>
      <c r="G14683">
        <v>491</v>
      </c>
      <c r="H14683">
        <v>491</v>
      </c>
      <c r="I14683">
        <v>478</v>
      </c>
      <c r="J14683">
        <v>478</v>
      </c>
      <c r="K14683">
        <v>148</v>
      </c>
      <c r="L14683">
        <v>1</v>
      </c>
      <c r="M14683">
        <v>321</v>
      </c>
      <c r="N14683">
        <v>13</v>
      </c>
      <c r="O14683">
        <v>8</v>
      </c>
      <c r="P14683">
        <v>1</v>
      </c>
      <c r="Q14683">
        <v>0</v>
      </c>
    </row>
    <row r="14684" spans="1:17" x14ac:dyDescent="0.2">
      <c r="A14684" s="121">
        <v>44196</v>
      </c>
      <c r="B14684" t="s">
        <v>406</v>
      </c>
      <c r="C14684" t="s">
        <v>510</v>
      </c>
      <c r="D14684" t="s">
        <v>525</v>
      </c>
      <c r="E14684" t="s">
        <v>526</v>
      </c>
      <c r="F14684" t="s">
        <v>410</v>
      </c>
      <c r="G14684">
        <v>321</v>
      </c>
      <c r="I14684">
        <v>316</v>
      </c>
    </row>
    <row r="14685" spans="1:17" x14ac:dyDescent="0.2">
      <c r="A14685" s="121">
        <v>44196</v>
      </c>
      <c r="B14685" t="s">
        <v>406</v>
      </c>
      <c r="C14685" t="s">
        <v>510</v>
      </c>
      <c r="D14685" t="s">
        <v>527</v>
      </c>
      <c r="E14685" t="s">
        <v>528</v>
      </c>
      <c r="F14685" t="s">
        <v>410</v>
      </c>
      <c r="G14685">
        <v>16</v>
      </c>
      <c r="I14685">
        <v>16</v>
      </c>
    </row>
    <row r="14686" spans="1:17" x14ac:dyDescent="0.2">
      <c r="A14686" s="121">
        <v>44196</v>
      </c>
      <c r="B14686" t="s">
        <v>406</v>
      </c>
      <c r="C14686" t="s">
        <v>510</v>
      </c>
      <c r="D14686" t="s">
        <v>529</v>
      </c>
      <c r="E14686" t="s">
        <v>530</v>
      </c>
      <c r="F14686" t="s">
        <v>413</v>
      </c>
      <c r="G14686">
        <v>582</v>
      </c>
      <c r="H14686">
        <v>582</v>
      </c>
      <c r="I14686">
        <v>539</v>
      </c>
      <c r="J14686">
        <v>539</v>
      </c>
      <c r="K14686">
        <v>136</v>
      </c>
      <c r="L14686">
        <v>1</v>
      </c>
      <c r="M14686">
        <v>420</v>
      </c>
      <c r="N14686">
        <v>18</v>
      </c>
      <c r="O14686">
        <v>7</v>
      </c>
      <c r="P14686">
        <v>7</v>
      </c>
      <c r="Q14686">
        <v>2</v>
      </c>
    </row>
    <row r="14687" spans="1:17" x14ac:dyDescent="0.2">
      <c r="A14687" s="121">
        <v>44196</v>
      </c>
      <c r="B14687" t="s">
        <v>406</v>
      </c>
      <c r="C14687" t="s">
        <v>510</v>
      </c>
      <c r="D14687" t="s">
        <v>531</v>
      </c>
      <c r="E14687" t="s">
        <v>532</v>
      </c>
      <c r="F14687" t="s">
        <v>410</v>
      </c>
      <c r="G14687">
        <v>12</v>
      </c>
      <c r="I14687">
        <v>12</v>
      </c>
    </row>
    <row r="14688" spans="1:17" x14ac:dyDescent="0.2">
      <c r="A14688" s="121">
        <v>44196</v>
      </c>
      <c r="B14688" t="s">
        <v>406</v>
      </c>
      <c r="C14688" t="s">
        <v>510</v>
      </c>
      <c r="D14688" t="s">
        <v>533</v>
      </c>
      <c r="E14688" t="s">
        <v>534</v>
      </c>
      <c r="F14688" t="s">
        <v>413</v>
      </c>
      <c r="G14688">
        <v>2224</v>
      </c>
      <c r="H14688">
        <v>2224</v>
      </c>
      <c r="I14688">
        <v>1937</v>
      </c>
      <c r="J14688">
        <v>1937</v>
      </c>
      <c r="K14688">
        <v>663</v>
      </c>
      <c r="L14688">
        <v>1</v>
      </c>
      <c r="M14688">
        <v>1474</v>
      </c>
      <c r="N14688">
        <v>16</v>
      </c>
      <c r="O14688">
        <v>70</v>
      </c>
      <c r="P14688">
        <v>25</v>
      </c>
      <c r="Q14688">
        <v>1</v>
      </c>
    </row>
    <row r="14689" spans="1:17" x14ac:dyDescent="0.2">
      <c r="A14689" s="121">
        <v>44196</v>
      </c>
      <c r="B14689" t="s">
        <v>406</v>
      </c>
      <c r="C14689" t="s">
        <v>510</v>
      </c>
      <c r="D14689" t="s">
        <v>535</v>
      </c>
      <c r="E14689" t="s">
        <v>536</v>
      </c>
      <c r="F14689" t="s">
        <v>410</v>
      </c>
      <c r="G14689">
        <v>342</v>
      </c>
      <c r="I14689">
        <v>342</v>
      </c>
    </row>
    <row r="14690" spans="1:17" x14ac:dyDescent="0.2">
      <c r="A14690" s="121">
        <v>44196</v>
      </c>
      <c r="B14690" t="s">
        <v>406</v>
      </c>
      <c r="C14690" t="s">
        <v>510</v>
      </c>
      <c r="D14690" t="s">
        <v>539</v>
      </c>
      <c r="E14690" t="s">
        <v>540</v>
      </c>
      <c r="F14690" t="s">
        <v>413</v>
      </c>
      <c r="G14690">
        <v>467</v>
      </c>
      <c r="H14690">
        <v>467</v>
      </c>
      <c r="I14690">
        <v>437</v>
      </c>
      <c r="J14690">
        <v>437</v>
      </c>
      <c r="K14690">
        <v>112</v>
      </c>
      <c r="L14690">
        <v>0</v>
      </c>
      <c r="M14690">
        <v>336</v>
      </c>
      <c r="N14690">
        <v>16</v>
      </c>
      <c r="O14690">
        <v>3</v>
      </c>
      <c r="P14690">
        <v>0</v>
      </c>
      <c r="Q14690">
        <v>0</v>
      </c>
    </row>
    <row r="14691" spans="1:17" x14ac:dyDescent="0.2">
      <c r="A14691" s="121">
        <v>44196</v>
      </c>
      <c r="B14691" t="s">
        <v>406</v>
      </c>
      <c r="C14691" t="s">
        <v>510</v>
      </c>
      <c r="D14691" t="s">
        <v>541</v>
      </c>
      <c r="E14691" t="s">
        <v>542</v>
      </c>
      <c r="F14691" t="s">
        <v>410</v>
      </c>
      <c r="G14691">
        <v>290</v>
      </c>
      <c r="I14691">
        <v>273</v>
      </c>
    </row>
    <row r="14692" spans="1:17" x14ac:dyDescent="0.2">
      <c r="A14692" s="121">
        <v>44196</v>
      </c>
      <c r="B14692" t="s">
        <v>406</v>
      </c>
      <c r="C14692" t="s">
        <v>510</v>
      </c>
      <c r="D14692" t="s">
        <v>543</v>
      </c>
      <c r="E14692" t="s">
        <v>544</v>
      </c>
      <c r="F14692" t="s">
        <v>410</v>
      </c>
      <c r="G14692">
        <v>68</v>
      </c>
      <c r="I14692">
        <v>68</v>
      </c>
    </row>
    <row r="14693" spans="1:17" x14ac:dyDescent="0.2">
      <c r="A14693" s="121">
        <v>44196</v>
      </c>
      <c r="B14693" t="s">
        <v>406</v>
      </c>
      <c r="C14693" t="s">
        <v>510</v>
      </c>
      <c r="D14693" t="s">
        <v>547</v>
      </c>
      <c r="E14693" t="s">
        <v>548</v>
      </c>
      <c r="F14693" t="s">
        <v>410</v>
      </c>
      <c r="G14693">
        <v>78</v>
      </c>
      <c r="I14693">
        <v>78</v>
      </c>
    </row>
    <row r="14694" spans="1:17" x14ac:dyDescent="0.2">
      <c r="A14694" s="121">
        <v>44196</v>
      </c>
      <c r="B14694" t="s">
        <v>406</v>
      </c>
      <c r="C14694" t="s">
        <v>510</v>
      </c>
      <c r="D14694" t="s">
        <v>616</v>
      </c>
      <c r="E14694" t="s">
        <v>617</v>
      </c>
      <c r="F14694" t="s">
        <v>410</v>
      </c>
      <c r="G14694">
        <v>275</v>
      </c>
      <c r="I14694">
        <v>259</v>
      </c>
    </row>
    <row r="14695" spans="1:17" x14ac:dyDescent="0.2">
      <c r="A14695" s="121">
        <v>44196</v>
      </c>
      <c r="B14695" t="s">
        <v>406</v>
      </c>
      <c r="C14695" t="s">
        <v>510</v>
      </c>
      <c r="D14695" t="s">
        <v>549</v>
      </c>
      <c r="E14695" t="s">
        <v>550</v>
      </c>
      <c r="F14695" t="s">
        <v>410</v>
      </c>
      <c r="G14695">
        <v>54</v>
      </c>
      <c r="I14695">
        <v>54</v>
      </c>
    </row>
    <row r="14696" spans="1:17" x14ac:dyDescent="0.2">
      <c r="A14696" s="121">
        <v>44196</v>
      </c>
      <c r="B14696" t="s">
        <v>406</v>
      </c>
      <c r="C14696" t="s">
        <v>510</v>
      </c>
      <c r="D14696" t="s">
        <v>625</v>
      </c>
      <c r="E14696" t="s">
        <v>626</v>
      </c>
      <c r="F14696" t="s">
        <v>410</v>
      </c>
      <c r="G14696">
        <v>107</v>
      </c>
      <c r="I14696">
        <v>107</v>
      </c>
    </row>
    <row r="14697" spans="1:17" x14ac:dyDescent="0.2">
      <c r="A14697" s="121">
        <v>44196</v>
      </c>
      <c r="B14697" t="s">
        <v>406</v>
      </c>
      <c r="C14697" t="s">
        <v>551</v>
      </c>
      <c r="D14697" t="s">
        <v>552</v>
      </c>
      <c r="E14697" t="s">
        <v>553</v>
      </c>
      <c r="F14697" t="s">
        <v>413</v>
      </c>
      <c r="G14697">
        <v>4444</v>
      </c>
      <c r="H14697">
        <v>4444</v>
      </c>
      <c r="I14697">
        <v>3560</v>
      </c>
      <c r="J14697">
        <v>3560</v>
      </c>
      <c r="K14697">
        <v>1693</v>
      </c>
      <c r="L14697">
        <v>4</v>
      </c>
      <c r="M14697">
        <v>2641</v>
      </c>
      <c r="N14697">
        <v>82</v>
      </c>
      <c r="O14697">
        <v>24</v>
      </c>
      <c r="P14697">
        <v>141</v>
      </c>
      <c r="Q14697">
        <v>37</v>
      </c>
    </row>
    <row r="14698" spans="1:17" x14ac:dyDescent="0.2">
      <c r="A14698" s="121">
        <v>44196</v>
      </c>
      <c r="B14698" t="s">
        <v>406</v>
      </c>
      <c r="C14698" t="s">
        <v>551</v>
      </c>
      <c r="D14698" t="s">
        <v>558</v>
      </c>
      <c r="E14698" t="s">
        <v>559</v>
      </c>
      <c r="F14698" t="s">
        <v>413</v>
      </c>
      <c r="G14698">
        <v>4085</v>
      </c>
      <c r="H14698">
        <v>4085</v>
      </c>
      <c r="I14698">
        <v>3395</v>
      </c>
      <c r="J14698">
        <v>3395</v>
      </c>
      <c r="K14698">
        <v>1345</v>
      </c>
      <c r="L14698">
        <v>4</v>
      </c>
      <c r="M14698">
        <v>2672</v>
      </c>
      <c r="N14698">
        <v>55</v>
      </c>
      <c r="O14698">
        <v>9</v>
      </c>
      <c r="P14698">
        <v>72</v>
      </c>
      <c r="Q14698">
        <v>19</v>
      </c>
    </row>
    <row r="14699" spans="1:17" x14ac:dyDescent="0.2">
      <c r="A14699" s="121">
        <v>44196</v>
      </c>
      <c r="B14699" t="s">
        <v>406</v>
      </c>
      <c r="C14699" t="s">
        <v>551</v>
      </c>
      <c r="D14699" t="s">
        <v>560</v>
      </c>
      <c r="E14699" t="s">
        <v>561</v>
      </c>
      <c r="F14699" t="s">
        <v>413</v>
      </c>
      <c r="G14699">
        <v>4602</v>
      </c>
      <c r="H14699">
        <v>4602</v>
      </c>
      <c r="I14699">
        <v>3431</v>
      </c>
      <c r="J14699">
        <v>3431</v>
      </c>
      <c r="K14699">
        <v>1506</v>
      </c>
      <c r="L14699">
        <v>8</v>
      </c>
      <c r="M14699">
        <v>3007</v>
      </c>
      <c r="N14699">
        <v>58</v>
      </c>
      <c r="O14699">
        <v>23</v>
      </c>
      <c r="P14699">
        <v>270</v>
      </c>
      <c r="Q14699">
        <v>78</v>
      </c>
    </row>
    <row r="14700" spans="1:17" x14ac:dyDescent="0.2">
      <c r="A14700" s="121">
        <v>44196</v>
      </c>
      <c r="B14700" t="s">
        <v>406</v>
      </c>
      <c r="C14700" t="s">
        <v>562</v>
      </c>
      <c r="D14700" t="s">
        <v>605</v>
      </c>
      <c r="E14700" t="s">
        <v>606</v>
      </c>
      <c r="F14700" t="s">
        <v>410</v>
      </c>
      <c r="G14700">
        <v>65</v>
      </c>
      <c r="I14700">
        <v>65</v>
      </c>
    </row>
    <row r="14701" spans="1:17" x14ac:dyDescent="0.2">
      <c r="A14701" s="121">
        <v>44196</v>
      </c>
      <c r="B14701" t="s">
        <v>406</v>
      </c>
      <c r="C14701" t="s">
        <v>562</v>
      </c>
      <c r="D14701" t="s">
        <v>563</v>
      </c>
      <c r="E14701" t="s">
        <v>564</v>
      </c>
      <c r="F14701" t="s">
        <v>410</v>
      </c>
      <c r="G14701">
        <v>2484</v>
      </c>
      <c r="H14701">
        <v>2484</v>
      </c>
      <c r="I14701">
        <v>2022</v>
      </c>
      <c r="J14701">
        <v>2022</v>
      </c>
      <c r="K14701">
        <v>1088</v>
      </c>
      <c r="L14701">
        <v>0</v>
      </c>
      <c r="M14701">
        <v>1385</v>
      </c>
      <c r="N14701">
        <v>3</v>
      </c>
      <c r="O14701">
        <v>8</v>
      </c>
      <c r="P14701">
        <v>56</v>
      </c>
      <c r="Q14701">
        <v>19</v>
      </c>
    </row>
    <row r="14702" spans="1:17" x14ac:dyDescent="0.2">
      <c r="A14702" s="121">
        <v>44196</v>
      </c>
      <c r="B14702" t="s">
        <v>406</v>
      </c>
      <c r="C14702" t="s">
        <v>562</v>
      </c>
      <c r="D14702" t="s">
        <v>565</v>
      </c>
      <c r="E14702" t="s">
        <v>566</v>
      </c>
      <c r="F14702" t="s">
        <v>413</v>
      </c>
      <c r="G14702">
        <v>3512</v>
      </c>
      <c r="H14702">
        <v>3512</v>
      </c>
      <c r="I14702">
        <v>3065</v>
      </c>
      <c r="J14702">
        <v>3065</v>
      </c>
      <c r="K14702">
        <v>809</v>
      </c>
      <c r="L14702">
        <v>3</v>
      </c>
      <c r="M14702">
        <v>2667</v>
      </c>
      <c r="N14702">
        <v>29</v>
      </c>
      <c r="O14702">
        <v>4</v>
      </c>
      <c r="P14702">
        <v>92</v>
      </c>
      <c r="Q14702">
        <v>25</v>
      </c>
    </row>
    <row r="14703" spans="1:17" x14ac:dyDescent="0.2">
      <c r="A14703" s="121">
        <v>44196</v>
      </c>
      <c r="B14703" t="s">
        <v>406</v>
      </c>
      <c r="C14703" t="s">
        <v>562</v>
      </c>
      <c r="D14703" t="s">
        <v>567</v>
      </c>
      <c r="E14703" t="s">
        <v>568</v>
      </c>
      <c r="F14703" t="s">
        <v>413</v>
      </c>
      <c r="G14703">
        <v>7973</v>
      </c>
      <c r="H14703">
        <v>7973</v>
      </c>
      <c r="I14703">
        <v>6151</v>
      </c>
      <c r="J14703">
        <v>6151</v>
      </c>
      <c r="K14703">
        <v>3287</v>
      </c>
      <c r="L14703">
        <v>6</v>
      </c>
      <c r="M14703">
        <v>4559</v>
      </c>
      <c r="N14703">
        <v>95</v>
      </c>
      <c r="O14703">
        <v>26</v>
      </c>
      <c r="P14703">
        <v>333</v>
      </c>
      <c r="Q14703">
        <v>80</v>
      </c>
    </row>
    <row r="14704" spans="1:17" x14ac:dyDescent="0.2">
      <c r="A14704" s="121">
        <v>44196</v>
      </c>
      <c r="B14704" t="s">
        <v>406</v>
      </c>
      <c r="C14704" t="s">
        <v>562</v>
      </c>
      <c r="D14704" t="s">
        <v>569</v>
      </c>
      <c r="E14704" t="s">
        <v>570</v>
      </c>
      <c r="F14704" t="s">
        <v>413</v>
      </c>
      <c r="G14704">
        <v>2882</v>
      </c>
      <c r="H14704">
        <v>2882</v>
      </c>
      <c r="I14704">
        <v>2803</v>
      </c>
      <c r="J14704">
        <v>2803</v>
      </c>
      <c r="K14704">
        <v>343</v>
      </c>
      <c r="L14704">
        <v>2</v>
      </c>
      <c r="M14704">
        <v>2422</v>
      </c>
      <c r="N14704">
        <v>90</v>
      </c>
      <c r="O14704">
        <v>25</v>
      </c>
      <c r="P14704">
        <v>0</v>
      </c>
      <c r="Q14704">
        <v>0</v>
      </c>
    </row>
    <row r="14705" spans="1:17" x14ac:dyDescent="0.2">
      <c r="A14705" s="121">
        <v>44196</v>
      </c>
      <c r="B14705" t="s">
        <v>406</v>
      </c>
      <c r="C14705" t="s">
        <v>571</v>
      </c>
      <c r="D14705" t="s">
        <v>572</v>
      </c>
      <c r="E14705" t="s">
        <v>627</v>
      </c>
      <c r="F14705" t="s">
        <v>413</v>
      </c>
      <c r="G14705">
        <v>384</v>
      </c>
      <c r="H14705">
        <v>384</v>
      </c>
      <c r="I14705">
        <v>368</v>
      </c>
      <c r="J14705">
        <v>368</v>
      </c>
      <c r="K14705">
        <v>127</v>
      </c>
      <c r="L14705">
        <v>0</v>
      </c>
      <c r="M14705">
        <v>251</v>
      </c>
      <c r="N14705">
        <v>3</v>
      </c>
      <c r="O14705">
        <v>3</v>
      </c>
      <c r="P14705">
        <v>1</v>
      </c>
      <c r="Q14705">
        <v>0</v>
      </c>
    </row>
    <row r="14706" spans="1:17" x14ac:dyDescent="0.2">
      <c r="A14706" s="121">
        <v>44196</v>
      </c>
      <c r="B14706" t="s">
        <v>406</v>
      </c>
      <c r="C14706" t="s">
        <v>574</v>
      </c>
      <c r="D14706" t="s">
        <v>575</v>
      </c>
      <c r="E14706" t="s">
        <v>576</v>
      </c>
      <c r="F14706" t="s">
        <v>413</v>
      </c>
      <c r="G14706">
        <v>415</v>
      </c>
      <c r="H14706">
        <v>415</v>
      </c>
      <c r="I14706">
        <v>408</v>
      </c>
      <c r="J14706">
        <v>408</v>
      </c>
      <c r="K14706">
        <v>129</v>
      </c>
      <c r="L14706">
        <v>1</v>
      </c>
      <c r="M14706">
        <v>278</v>
      </c>
      <c r="N14706">
        <v>1</v>
      </c>
      <c r="O14706">
        <v>6</v>
      </c>
      <c r="P14706">
        <v>1</v>
      </c>
      <c r="Q14706">
        <v>0</v>
      </c>
    </row>
    <row r="14707" spans="1:17" x14ac:dyDescent="0.2">
      <c r="A14707" s="121">
        <v>44196</v>
      </c>
      <c r="B14707" t="s">
        <v>406</v>
      </c>
      <c r="C14707" t="s">
        <v>577</v>
      </c>
      <c r="D14707" t="s">
        <v>578</v>
      </c>
      <c r="E14707" t="s">
        <v>579</v>
      </c>
      <c r="F14707" t="s">
        <v>413</v>
      </c>
      <c r="G14707">
        <v>3322</v>
      </c>
      <c r="H14707">
        <v>3322</v>
      </c>
      <c r="I14707">
        <v>3117</v>
      </c>
      <c r="J14707">
        <v>3117</v>
      </c>
      <c r="K14707">
        <v>1320</v>
      </c>
      <c r="L14707">
        <v>6</v>
      </c>
      <c r="M14707">
        <v>1866</v>
      </c>
      <c r="N14707">
        <v>108</v>
      </c>
      <c r="O14707">
        <v>22</v>
      </c>
      <c r="P14707">
        <v>3</v>
      </c>
      <c r="Q14707">
        <v>0</v>
      </c>
    </row>
    <row r="14708" spans="1:17" x14ac:dyDescent="0.2">
      <c r="A14708" s="121">
        <v>44196</v>
      </c>
      <c r="B14708" t="s">
        <v>406</v>
      </c>
      <c r="C14708" t="s">
        <v>577</v>
      </c>
      <c r="D14708" t="s">
        <v>580</v>
      </c>
      <c r="E14708" t="s">
        <v>581</v>
      </c>
      <c r="F14708" t="s">
        <v>413</v>
      </c>
      <c r="G14708">
        <v>1297</v>
      </c>
      <c r="H14708">
        <v>1297</v>
      </c>
      <c r="I14708">
        <v>1254</v>
      </c>
      <c r="J14708">
        <v>1254</v>
      </c>
      <c r="K14708">
        <v>261</v>
      </c>
      <c r="L14708">
        <v>0</v>
      </c>
      <c r="M14708">
        <v>888</v>
      </c>
      <c r="N14708">
        <v>139</v>
      </c>
      <c r="O14708">
        <v>9</v>
      </c>
      <c r="P14708">
        <v>9</v>
      </c>
      <c r="Q14708">
        <v>2</v>
      </c>
    </row>
    <row r="14709" spans="1:17" x14ac:dyDescent="0.2">
      <c r="A14709" s="121">
        <v>44196</v>
      </c>
      <c r="B14709" t="s">
        <v>406</v>
      </c>
      <c r="C14709" t="s">
        <v>577</v>
      </c>
      <c r="D14709" t="s">
        <v>586</v>
      </c>
      <c r="E14709" t="s">
        <v>587</v>
      </c>
      <c r="F14709" t="s">
        <v>410</v>
      </c>
      <c r="G14709">
        <v>534</v>
      </c>
      <c r="H14709">
        <v>534</v>
      </c>
      <c r="I14709">
        <v>533</v>
      </c>
      <c r="J14709">
        <v>533</v>
      </c>
      <c r="K14709">
        <v>0</v>
      </c>
      <c r="L14709">
        <v>0</v>
      </c>
      <c r="M14709">
        <v>476</v>
      </c>
      <c r="N14709">
        <v>58</v>
      </c>
      <c r="O14709">
        <v>0</v>
      </c>
      <c r="P14709">
        <v>0</v>
      </c>
      <c r="Q14709">
        <v>0</v>
      </c>
    </row>
    <row r="14710" spans="1:17" x14ac:dyDescent="0.2">
      <c r="A14710" s="121">
        <v>44196</v>
      </c>
      <c r="B14710" t="s">
        <v>406</v>
      </c>
      <c r="C14710" t="s">
        <v>577</v>
      </c>
      <c r="D14710" t="s">
        <v>590</v>
      </c>
      <c r="E14710" t="s">
        <v>591</v>
      </c>
      <c r="F14710" t="s">
        <v>410</v>
      </c>
      <c r="G14710">
        <v>249</v>
      </c>
      <c r="H14710">
        <v>249</v>
      </c>
      <c r="I14710">
        <v>249</v>
      </c>
      <c r="J14710">
        <v>249</v>
      </c>
      <c r="K14710">
        <v>0</v>
      </c>
      <c r="L14710">
        <v>0</v>
      </c>
      <c r="M14710">
        <v>242</v>
      </c>
      <c r="N14710">
        <v>7</v>
      </c>
      <c r="O14710">
        <v>0</v>
      </c>
      <c r="P14710">
        <v>0</v>
      </c>
      <c r="Q14710">
        <v>0</v>
      </c>
    </row>
    <row r="14711" spans="1:17" x14ac:dyDescent="0.2">
      <c r="A14711" s="121">
        <v>44196</v>
      </c>
      <c r="B14711" t="s">
        <v>406</v>
      </c>
      <c r="C14711" t="s">
        <v>594</v>
      </c>
      <c r="D14711" t="s">
        <v>595</v>
      </c>
      <c r="E14711" t="s">
        <v>596</v>
      </c>
      <c r="F14711" t="s">
        <v>410</v>
      </c>
      <c r="G14711">
        <v>35</v>
      </c>
      <c r="I14711">
        <v>35</v>
      </c>
    </row>
    <row r="14712" spans="1:17" x14ac:dyDescent="0.2">
      <c r="A14712" s="121">
        <v>44196</v>
      </c>
      <c r="B14712" t="s">
        <v>406</v>
      </c>
      <c r="C14712" t="s">
        <v>594</v>
      </c>
      <c r="D14712" t="s">
        <v>597</v>
      </c>
      <c r="E14712" t="s">
        <v>598</v>
      </c>
      <c r="F14712" t="s">
        <v>413</v>
      </c>
      <c r="G14712">
        <v>292</v>
      </c>
      <c r="H14712">
        <v>292</v>
      </c>
      <c r="I14712">
        <v>286</v>
      </c>
      <c r="J14712">
        <v>286</v>
      </c>
      <c r="K14712">
        <v>112</v>
      </c>
      <c r="L14712">
        <v>0</v>
      </c>
      <c r="M14712">
        <v>178</v>
      </c>
      <c r="N14712">
        <v>0</v>
      </c>
      <c r="O14712">
        <v>2</v>
      </c>
      <c r="P14712">
        <v>0</v>
      </c>
      <c r="Q14712">
        <v>0</v>
      </c>
    </row>
    <row r="14713" spans="1:17" x14ac:dyDescent="0.2">
      <c r="A14713" s="121">
        <v>44196</v>
      </c>
      <c r="B14713" t="s">
        <v>406</v>
      </c>
      <c r="C14713" t="s">
        <v>594</v>
      </c>
      <c r="D14713" t="s">
        <v>599</v>
      </c>
      <c r="E14713" t="s">
        <v>600</v>
      </c>
      <c r="F14713" t="s">
        <v>410</v>
      </c>
      <c r="G14713">
        <v>52</v>
      </c>
      <c r="H14713">
        <v>52</v>
      </c>
      <c r="I14713">
        <v>52</v>
      </c>
      <c r="J14713">
        <v>52</v>
      </c>
      <c r="K14713">
        <v>6</v>
      </c>
      <c r="L14713">
        <v>0</v>
      </c>
      <c r="M14713">
        <v>45</v>
      </c>
      <c r="N14713">
        <v>0</v>
      </c>
      <c r="O14713">
        <v>1</v>
      </c>
      <c r="P14713">
        <v>0</v>
      </c>
      <c r="Q14713">
        <v>0</v>
      </c>
    </row>
    <row r="14714" spans="1:17" x14ac:dyDescent="0.2">
      <c r="A14714" s="121">
        <v>44227</v>
      </c>
      <c r="B14714" t="s">
        <v>406</v>
      </c>
      <c r="C14714" t="s">
        <v>407</v>
      </c>
      <c r="D14714" t="s">
        <v>408</v>
      </c>
      <c r="E14714" t="s">
        <v>409</v>
      </c>
      <c r="F14714" t="s">
        <v>410</v>
      </c>
      <c r="G14714">
        <v>146</v>
      </c>
      <c r="I14714">
        <v>142</v>
      </c>
    </row>
    <row r="14715" spans="1:17" x14ac:dyDescent="0.2">
      <c r="A14715" s="121">
        <v>44227</v>
      </c>
      <c r="B14715" t="s">
        <v>406</v>
      </c>
      <c r="C14715" t="s">
        <v>407</v>
      </c>
      <c r="D14715" t="s">
        <v>601</v>
      </c>
      <c r="E14715" t="s">
        <v>602</v>
      </c>
      <c r="F14715" t="s">
        <v>410</v>
      </c>
      <c r="G14715">
        <v>51</v>
      </c>
      <c r="I14715">
        <v>51</v>
      </c>
    </row>
    <row r="14716" spans="1:17" x14ac:dyDescent="0.2">
      <c r="A14716" s="121">
        <v>44227</v>
      </c>
      <c r="B14716" t="s">
        <v>406</v>
      </c>
      <c r="C14716" t="s">
        <v>407</v>
      </c>
      <c r="D14716" t="s">
        <v>411</v>
      </c>
      <c r="E14716" t="s">
        <v>412</v>
      </c>
      <c r="F14716" t="s">
        <v>413</v>
      </c>
      <c r="G14716">
        <v>3276</v>
      </c>
      <c r="H14716">
        <v>3276</v>
      </c>
      <c r="I14716">
        <v>2437</v>
      </c>
      <c r="J14716">
        <v>2437</v>
      </c>
      <c r="K14716">
        <v>1191</v>
      </c>
      <c r="L14716">
        <v>12</v>
      </c>
      <c r="M14716">
        <v>1871</v>
      </c>
      <c r="N14716">
        <v>41</v>
      </c>
      <c r="O14716">
        <v>161</v>
      </c>
      <c r="P14716">
        <v>453</v>
      </c>
      <c r="Q14716">
        <v>269</v>
      </c>
    </row>
    <row r="14717" spans="1:17" x14ac:dyDescent="0.2">
      <c r="A14717" s="121">
        <v>44227</v>
      </c>
      <c r="B14717" t="s">
        <v>406</v>
      </c>
      <c r="C14717" t="s">
        <v>407</v>
      </c>
      <c r="D14717" t="s">
        <v>416</v>
      </c>
      <c r="E14717" t="s">
        <v>417</v>
      </c>
      <c r="F14717" t="s">
        <v>413</v>
      </c>
      <c r="G14717">
        <v>1811</v>
      </c>
      <c r="H14717">
        <v>1811</v>
      </c>
      <c r="I14717">
        <v>1509</v>
      </c>
      <c r="J14717">
        <v>1509</v>
      </c>
      <c r="K14717">
        <v>680</v>
      </c>
      <c r="L14717">
        <v>6</v>
      </c>
      <c r="M14717">
        <v>1060</v>
      </c>
      <c r="N14717">
        <v>40</v>
      </c>
      <c r="O14717">
        <v>25</v>
      </c>
      <c r="P14717">
        <v>89</v>
      </c>
      <c r="Q14717">
        <v>37</v>
      </c>
    </row>
    <row r="14718" spans="1:17" x14ac:dyDescent="0.2">
      <c r="A14718" s="121">
        <v>44227</v>
      </c>
      <c r="B14718" t="s">
        <v>406</v>
      </c>
      <c r="C14718" t="s">
        <v>407</v>
      </c>
      <c r="D14718" t="s">
        <v>618</v>
      </c>
      <c r="E14718" t="s">
        <v>619</v>
      </c>
      <c r="F14718" t="s">
        <v>410</v>
      </c>
      <c r="G14718">
        <v>24</v>
      </c>
      <c r="I14718">
        <v>23</v>
      </c>
    </row>
    <row r="14719" spans="1:17" x14ac:dyDescent="0.2">
      <c r="A14719" s="121">
        <v>44227</v>
      </c>
      <c r="B14719" t="s">
        <v>406</v>
      </c>
      <c r="C14719" t="s">
        <v>418</v>
      </c>
      <c r="D14719" t="s">
        <v>421</v>
      </c>
      <c r="E14719" t="s">
        <v>422</v>
      </c>
      <c r="F14719" t="s">
        <v>410</v>
      </c>
      <c r="G14719">
        <v>1</v>
      </c>
      <c r="I14719">
        <v>1</v>
      </c>
    </row>
    <row r="14720" spans="1:17" x14ac:dyDescent="0.2">
      <c r="A14720" s="121">
        <v>44227</v>
      </c>
      <c r="B14720" t="s">
        <v>406</v>
      </c>
      <c r="C14720" t="s">
        <v>418</v>
      </c>
      <c r="D14720" t="s">
        <v>425</v>
      </c>
      <c r="E14720" t="s">
        <v>426</v>
      </c>
      <c r="F14720" t="s">
        <v>410</v>
      </c>
      <c r="G14720">
        <v>21</v>
      </c>
      <c r="I14720">
        <v>21</v>
      </c>
    </row>
    <row r="14721" spans="1:17" x14ac:dyDescent="0.2">
      <c r="A14721" s="121">
        <v>44227</v>
      </c>
      <c r="B14721" t="s">
        <v>406</v>
      </c>
      <c r="C14721" t="s">
        <v>418</v>
      </c>
      <c r="D14721" t="s">
        <v>427</v>
      </c>
      <c r="E14721" t="s">
        <v>428</v>
      </c>
      <c r="F14721" t="s">
        <v>413</v>
      </c>
      <c r="G14721">
        <v>1896</v>
      </c>
      <c r="H14721">
        <v>1896</v>
      </c>
      <c r="I14721">
        <v>1489</v>
      </c>
      <c r="J14721">
        <v>1489</v>
      </c>
      <c r="K14721">
        <v>703</v>
      </c>
      <c r="L14721">
        <v>3</v>
      </c>
      <c r="M14721">
        <v>1127</v>
      </c>
      <c r="N14721">
        <v>57</v>
      </c>
      <c r="O14721">
        <v>6</v>
      </c>
      <c r="P14721">
        <v>83</v>
      </c>
      <c r="Q14721">
        <v>38</v>
      </c>
    </row>
    <row r="14722" spans="1:17" x14ac:dyDescent="0.2">
      <c r="A14722" s="121">
        <v>44227</v>
      </c>
      <c r="B14722" t="s">
        <v>406</v>
      </c>
      <c r="C14722" t="s">
        <v>429</v>
      </c>
      <c r="D14722" t="s">
        <v>438</v>
      </c>
      <c r="E14722" t="s">
        <v>439</v>
      </c>
      <c r="F14722" t="s">
        <v>413</v>
      </c>
      <c r="G14722">
        <v>547</v>
      </c>
      <c r="H14722">
        <v>547</v>
      </c>
      <c r="I14722">
        <v>479</v>
      </c>
      <c r="J14722">
        <v>479</v>
      </c>
      <c r="K14722">
        <v>53</v>
      </c>
      <c r="L14722">
        <v>2</v>
      </c>
      <c r="M14722">
        <v>412</v>
      </c>
      <c r="N14722">
        <v>55</v>
      </c>
      <c r="O14722">
        <v>25</v>
      </c>
      <c r="P14722">
        <v>10</v>
      </c>
      <c r="Q14722">
        <v>2</v>
      </c>
    </row>
    <row r="14723" spans="1:17" x14ac:dyDescent="0.2">
      <c r="A14723" s="121">
        <v>44227</v>
      </c>
      <c r="B14723" t="s">
        <v>406</v>
      </c>
      <c r="C14723" t="s">
        <v>429</v>
      </c>
      <c r="D14723" t="s">
        <v>440</v>
      </c>
      <c r="E14723" t="s">
        <v>441</v>
      </c>
      <c r="F14723" t="s">
        <v>413</v>
      </c>
      <c r="G14723">
        <v>1582</v>
      </c>
      <c r="H14723">
        <v>1582</v>
      </c>
      <c r="I14723">
        <v>1402</v>
      </c>
      <c r="J14723">
        <v>1402</v>
      </c>
      <c r="K14723">
        <v>628</v>
      </c>
      <c r="L14723">
        <v>2</v>
      </c>
      <c r="M14723">
        <v>930</v>
      </c>
      <c r="N14723">
        <v>11</v>
      </c>
      <c r="O14723">
        <v>11</v>
      </c>
      <c r="P14723">
        <v>9</v>
      </c>
      <c r="Q14723">
        <v>0</v>
      </c>
    </row>
    <row r="14724" spans="1:17" x14ac:dyDescent="0.2">
      <c r="A14724" s="121">
        <v>44227</v>
      </c>
      <c r="B14724" t="s">
        <v>406</v>
      </c>
      <c r="C14724" t="s">
        <v>442</v>
      </c>
      <c r="D14724" t="s">
        <v>443</v>
      </c>
      <c r="E14724" t="s">
        <v>444</v>
      </c>
      <c r="F14724" t="s">
        <v>413</v>
      </c>
      <c r="G14724">
        <v>3715</v>
      </c>
      <c r="H14724">
        <v>3715</v>
      </c>
      <c r="I14724">
        <v>3276</v>
      </c>
      <c r="J14724">
        <v>3276</v>
      </c>
      <c r="K14724">
        <v>1339</v>
      </c>
      <c r="L14724">
        <v>8</v>
      </c>
      <c r="M14724">
        <v>2298</v>
      </c>
      <c r="N14724">
        <v>34</v>
      </c>
      <c r="O14724">
        <v>36</v>
      </c>
      <c r="P14724">
        <v>21</v>
      </c>
      <c r="Q14724">
        <v>0</v>
      </c>
    </row>
    <row r="14725" spans="1:17" x14ac:dyDescent="0.2">
      <c r="A14725" s="121">
        <v>44227</v>
      </c>
      <c r="B14725" t="s">
        <v>406</v>
      </c>
      <c r="C14725" t="s">
        <v>442</v>
      </c>
      <c r="D14725" t="s">
        <v>445</v>
      </c>
      <c r="E14725" t="s">
        <v>446</v>
      </c>
      <c r="F14725" t="s">
        <v>410</v>
      </c>
      <c r="G14725">
        <v>44</v>
      </c>
      <c r="H14725">
        <v>44</v>
      </c>
      <c r="I14725">
        <v>42</v>
      </c>
      <c r="J14725">
        <v>42</v>
      </c>
      <c r="K14725">
        <v>0</v>
      </c>
      <c r="L14725">
        <v>0</v>
      </c>
      <c r="M14725">
        <v>40</v>
      </c>
      <c r="N14725">
        <v>1</v>
      </c>
      <c r="O14725">
        <v>3</v>
      </c>
      <c r="P14725">
        <v>0</v>
      </c>
      <c r="Q14725">
        <v>0</v>
      </c>
    </row>
    <row r="14726" spans="1:17" x14ac:dyDescent="0.2">
      <c r="A14726" s="121">
        <v>44227</v>
      </c>
      <c r="B14726" t="s">
        <v>406</v>
      </c>
      <c r="C14726" t="s">
        <v>442</v>
      </c>
      <c r="D14726" t="s">
        <v>447</v>
      </c>
      <c r="E14726" t="s">
        <v>448</v>
      </c>
      <c r="F14726" t="s">
        <v>410</v>
      </c>
      <c r="G14726">
        <v>81</v>
      </c>
      <c r="H14726">
        <v>81</v>
      </c>
      <c r="I14726">
        <v>81</v>
      </c>
      <c r="J14726">
        <v>81</v>
      </c>
      <c r="K14726">
        <v>1</v>
      </c>
      <c r="L14726">
        <v>0</v>
      </c>
      <c r="M14726">
        <v>73</v>
      </c>
      <c r="N14726">
        <v>7</v>
      </c>
      <c r="O14726">
        <v>0</v>
      </c>
      <c r="P14726">
        <v>0</v>
      </c>
      <c r="Q14726">
        <v>0</v>
      </c>
    </row>
    <row r="14727" spans="1:17" x14ac:dyDescent="0.2">
      <c r="A14727" s="121">
        <v>44227</v>
      </c>
      <c r="B14727" t="s">
        <v>406</v>
      </c>
      <c r="C14727" t="s">
        <v>442</v>
      </c>
      <c r="D14727" t="s">
        <v>449</v>
      </c>
      <c r="E14727" t="s">
        <v>624</v>
      </c>
      <c r="F14727" t="s">
        <v>410</v>
      </c>
      <c r="G14727">
        <v>654</v>
      </c>
      <c r="H14727">
        <v>654</v>
      </c>
      <c r="I14727">
        <v>654</v>
      </c>
      <c r="J14727">
        <v>654</v>
      </c>
      <c r="K14727">
        <v>3</v>
      </c>
      <c r="L14727">
        <v>0</v>
      </c>
      <c r="M14727">
        <v>606</v>
      </c>
      <c r="N14727">
        <v>40</v>
      </c>
      <c r="O14727">
        <v>5</v>
      </c>
      <c r="P14727">
        <v>0</v>
      </c>
      <c r="Q14727">
        <v>0</v>
      </c>
    </row>
    <row r="14728" spans="1:17" x14ac:dyDescent="0.2">
      <c r="A14728" s="121">
        <v>44227</v>
      </c>
      <c r="B14728" t="s">
        <v>406</v>
      </c>
      <c r="C14728" t="s">
        <v>451</v>
      </c>
      <c r="D14728" t="s">
        <v>454</v>
      </c>
      <c r="E14728" t="s">
        <v>621</v>
      </c>
      <c r="F14728" t="s">
        <v>410</v>
      </c>
      <c r="G14728">
        <v>747</v>
      </c>
      <c r="H14728">
        <v>747</v>
      </c>
      <c r="I14728">
        <v>746</v>
      </c>
      <c r="J14728">
        <v>746</v>
      </c>
      <c r="K14728">
        <v>3</v>
      </c>
      <c r="L14728">
        <v>0</v>
      </c>
      <c r="M14728">
        <v>686</v>
      </c>
      <c r="N14728">
        <v>3</v>
      </c>
      <c r="O14728">
        <v>55</v>
      </c>
      <c r="P14728">
        <v>0</v>
      </c>
      <c r="Q14728">
        <v>0</v>
      </c>
    </row>
    <row r="14729" spans="1:17" x14ac:dyDescent="0.2">
      <c r="A14729" s="121">
        <v>44227</v>
      </c>
      <c r="B14729" t="s">
        <v>406</v>
      </c>
      <c r="C14729" t="s">
        <v>451</v>
      </c>
      <c r="D14729" t="s">
        <v>622</v>
      </c>
      <c r="E14729" t="s">
        <v>623</v>
      </c>
      <c r="F14729" t="s">
        <v>413</v>
      </c>
      <c r="G14729">
        <v>3514</v>
      </c>
      <c r="H14729">
        <v>3514</v>
      </c>
      <c r="I14729">
        <v>3051</v>
      </c>
      <c r="J14729">
        <v>3051</v>
      </c>
      <c r="K14729">
        <v>1273</v>
      </c>
      <c r="L14729">
        <v>10</v>
      </c>
      <c r="M14729">
        <v>2009</v>
      </c>
      <c r="N14729">
        <v>33</v>
      </c>
      <c r="O14729">
        <v>189</v>
      </c>
      <c r="P14729">
        <v>69</v>
      </c>
      <c r="Q14729">
        <v>9</v>
      </c>
    </row>
    <row r="14730" spans="1:17" x14ac:dyDescent="0.2">
      <c r="A14730" s="121">
        <v>44227</v>
      </c>
      <c r="B14730" t="s">
        <v>406</v>
      </c>
      <c r="C14730" t="s">
        <v>456</v>
      </c>
      <c r="D14730" t="s">
        <v>457</v>
      </c>
      <c r="E14730" t="s">
        <v>458</v>
      </c>
      <c r="F14730" t="s">
        <v>413</v>
      </c>
      <c r="G14730">
        <v>3009</v>
      </c>
      <c r="H14730">
        <v>3009</v>
      </c>
      <c r="I14730">
        <v>2214</v>
      </c>
      <c r="J14730">
        <v>2214</v>
      </c>
      <c r="K14730">
        <v>1213</v>
      </c>
      <c r="L14730">
        <v>19</v>
      </c>
      <c r="M14730">
        <v>1602</v>
      </c>
      <c r="N14730">
        <v>16</v>
      </c>
      <c r="O14730">
        <v>159</v>
      </c>
      <c r="P14730">
        <v>80</v>
      </c>
      <c r="Q14730">
        <v>10</v>
      </c>
    </row>
    <row r="14731" spans="1:17" x14ac:dyDescent="0.2">
      <c r="A14731" s="121">
        <v>44227</v>
      </c>
      <c r="B14731" t="s">
        <v>406</v>
      </c>
      <c r="C14731" t="s">
        <v>456</v>
      </c>
      <c r="D14731" t="s">
        <v>459</v>
      </c>
      <c r="E14731" t="s">
        <v>460</v>
      </c>
      <c r="F14731" t="s">
        <v>413</v>
      </c>
      <c r="G14731">
        <v>621</v>
      </c>
      <c r="H14731">
        <v>621</v>
      </c>
      <c r="I14731">
        <v>613</v>
      </c>
      <c r="J14731">
        <v>613</v>
      </c>
      <c r="K14731">
        <v>84</v>
      </c>
      <c r="L14731">
        <v>0</v>
      </c>
      <c r="M14731">
        <v>533</v>
      </c>
      <c r="N14731">
        <v>0</v>
      </c>
      <c r="O14731">
        <v>4</v>
      </c>
      <c r="P14731">
        <v>0</v>
      </c>
      <c r="Q14731">
        <v>0</v>
      </c>
    </row>
    <row r="14732" spans="1:17" x14ac:dyDescent="0.2">
      <c r="A14732" s="121">
        <v>44227</v>
      </c>
      <c r="B14732" t="s">
        <v>406</v>
      </c>
      <c r="C14732" t="s">
        <v>456</v>
      </c>
      <c r="D14732" t="s">
        <v>467</v>
      </c>
      <c r="E14732" t="s">
        <v>468</v>
      </c>
      <c r="F14732" t="s">
        <v>410</v>
      </c>
      <c r="G14732">
        <v>187</v>
      </c>
      <c r="I14732">
        <v>187</v>
      </c>
    </row>
    <row r="14733" spans="1:17" x14ac:dyDescent="0.2">
      <c r="A14733" s="121">
        <v>44227</v>
      </c>
      <c r="B14733" t="s">
        <v>406</v>
      </c>
      <c r="C14733" t="s">
        <v>456</v>
      </c>
      <c r="D14733" t="s">
        <v>469</v>
      </c>
      <c r="E14733" t="s">
        <v>470</v>
      </c>
      <c r="F14733" t="s">
        <v>410</v>
      </c>
      <c r="G14733">
        <v>164</v>
      </c>
      <c r="I14733">
        <v>164</v>
      </c>
    </row>
    <row r="14734" spans="1:17" x14ac:dyDescent="0.2">
      <c r="A14734" s="121">
        <v>44227</v>
      </c>
      <c r="B14734" t="s">
        <v>406</v>
      </c>
      <c r="C14734" t="s">
        <v>456</v>
      </c>
      <c r="D14734" t="s">
        <v>471</v>
      </c>
      <c r="E14734" t="s">
        <v>472</v>
      </c>
      <c r="F14734" t="s">
        <v>410</v>
      </c>
      <c r="G14734">
        <v>176</v>
      </c>
      <c r="I14734">
        <v>175</v>
      </c>
    </row>
    <row r="14735" spans="1:17" x14ac:dyDescent="0.2">
      <c r="A14735" s="121">
        <v>44227</v>
      </c>
      <c r="B14735" t="s">
        <v>406</v>
      </c>
      <c r="C14735" t="s">
        <v>456</v>
      </c>
      <c r="D14735" t="s">
        <v>477</v>
      </c>
      <c r="E14735" t="s">
        <v>478</v>
      </c>
      <c r="F14735" t="s">
        <v>413</v>
      </c>
      <c r="G14735">
        <v>1341</v>
      </c>
      <c r="H14735">
        <v>1341</v>
      </c>
      <c r="I14735">
        <v>1220</v>
      </c>
      <c r="J14735">
        <v>1220</v>
      </c>
      <c r="K14735">
        <v>428</v>
      </c>
      <c r="L14735">
        <v>3</v>
      </c>
      <c r="M14735">
        <v>893</v>
      </c>
      <c r="N14735">
        <v>16</v>
      </c>
      <c r="O14735">
        <v>1</v>
      </c>
      <c r="P14735">
        <v>9</v>
      </c>
      <c r="Q14735">
        <v>1</v>
      </c>
    </row>
    <row r="14736" spans="1:17" x14ac:dyDescent="0.2">
      <c r="A14736" s="121">
        <v>44227</v>
      </c>
      <c r="B14736" t="s">
        <v>406</v>
      </c>
      <c r="C14736" t="s">
        <v>491</v>
      </c>
      <c r="D14736" t="s">
        <v>492</v>
      </c>
      <c r="E14736" t="s">
        <v>493</v>
      </c>
      <c r="F14736" t="s">
        <v>410</v>
      </c>
      <c r="G14736">
        <v>779</v>
      </c>
      <c r="H14736">
        <v>779</v>
      </c>
      <c r="I14736">
        <v>739</v>
      </c>
      <c r="J14736">
        <v>739</v>
      </c>
      <c r="K14736">
        <v>101</v>
      </c>
      <c r="L14736">
        <v>0</v>
      </c>
      <c r="M14736">
        <v>645</v>
      </c>
      <c r="N14736">
        <v>32</v>
      </c>
      <c r="O14736">
        <v>1</v>
      </c>
      <c r="P14736">
        <v>1</v>
      </c>
      <c r="Q14736">
        <v>0</v>
      </c>
    </row>
    <row r="14737" spans="1:17" x14ac:dyDescent="0.2">
      <c r="A14737" s="121">
        <v>44227</v>
      </c>
      <c r="B14737" t="s">
        <v>406</v>
      </c>
      <c r="C14737" t="s">
        <v>491</v>
      </c>
      <c r="D14737" t="s">
        <v>494</v>
      </c>
      <c r="E14737" t="s">
        <v>495</v>
      </c>
      <c r="F14737" t="s">
        <v>413</v>
      </c>
      <c r="G14737">
        <v>1633</v>
      </c>
      <c r="H14737">
        <v>1633</v>
      </c>
      <c r="I14737">
        <v>1420</v>
      </c>
      <c r="J14737">
        <v>1420</v>
      </c>
      <c r="K14737">
        <v>465</v>
      </c>
      <c r="L14737">
        <v>3</v>
      </c>
      <c r="M14737">
        <v>1097</v>
      </c>
      <c r="N14737">
        <v>26</v>
      </c>
      <c r="O14737">
        <v>42</v>
      </c>
      <c r="P14737">
        <v>26</v>
      </c>
      <c r="Q14737">
        <v>1</v>
      </c>
    </row>
    <row r="14738" spans="1:17" x14ac:dyDescent="0.2">
      <c r="A14738" s="121">
        <v>44227</v>
      </c>
      <c r="B14738" t="s">
        <v>406</v>
      </c>
      <c r="C14738" t="s">
        <v>491</v>
      </c>
      <c r="D14738" t="s">
        <v>496</v>
      </c>
      <c r="E14738" t="s">
        <v>497</v>
      </c>
      <c r="F14738" t="s">
        <v>413</v>
      </c>
      <c r="G14738">
        <v>3561</v>
      </c>
      <c r="H14738">
        <v>3561</v>
      </c>
      <c r="I14738">
        <v>3046</v>
      </c>
      <c r="J14738">
        <v>3046</v>
      </c>
      <c r="K14738">
        <v>1228</v>
      </c>
      <c r="L14738">
        <v>11</v>
      </c>
      <c r="M14738">
        <v>2199</v>
      </c>
      <c r="N14738">
        <v>61</v>
      </c>
      <c r="O14738">
        <v>62</v>
      </c>
      <c r="P14738">
        <v>86</v>
      </c>
      <c r="Q14738">
        <v>3</v>
      </c>
    </row>
    <row r="14739" spans="1:17" x14ac:dyDescent="0.2">
      <c r="A14739" s="121">
        <v>44227</v>
      </c>
      <c r="B14739" t="s">
        <v>406</v>
      </c>
      <c r="C14739" t="s">
        <v>491</v>
      </c>
      <c r="D14739" t="s">
        <v>498</v>
      </c>
      <c r="E14739" t="s">
        <v>499</v>
      </c>
      <c r="F14739" t="s">
        <v>413</v>
      </c>
      <c r="G14739">
        <v>5155</v>
      </c>
      <c r="H14739">
        <v>5155</v>
      </c>
      <c r="I14739">
        <v>4462</v>
      </c>
      <c r="J14739">
        <v>4462</v>
      </c>
      <c r="K14739">
        <v>1836</v>
      </c>
      <c r="L14739">
        <v>14</v>
      </c>
      <c r="M14739">
        <v>3093</v>
      </c>
      <c r="N14739">
        <v>87</v>
      </c>
      <c r="O14739">
        <v>125</v>
      </c>
      <c r="P14739">
        <v>56</v>
      </c>
      <c r="Q14739">
        <v>3</v>
      </c>
    </row>
    <row r="14740" spans="1:17" x14ac:dyDescent="0.2">
      <c r="A14740" s="121">
        <v>44227</v>
      </c>
      <c r="B14740" t="s">
        <v>406</v>
      </c>
      <c r="C14740" t="s">
        <v>491</v>
      </c>
      <c r="D14740" t="s">
        <v>500</v>
      </c>
      <c r="E14740" t="s">
        <v>620</v>
      </c>
      <c r="F14740" t="s">
        <v>410</v>
      </c>
      <c r="G14740">
        <v>1220</v>
      </c>
      <c r="H14740">
        <v>1220</v>
      </c>
      <c r="I14740">
        <v>1209</v>
      </c>
      <c r="J14740">
        <v>1209</v>
      </c>
      <c r="K14740">
        <v>1</v>
      </c>
      <c r="L14740">
        <v>0</v>
      </c>
      <c r="M14740">
        <v>1117</v>
      </c>
      <c r="N14740">
        <v>68</v>
      </c>
      <c r="O14740">
        <v>34</v>
      </c>
      <c r="P14740">
        <v>1</v>
      </c>
      <c r="Q14740">
        <v>0</v>
      </c>
    </row>
    <row r="14741" spans="1:17" x14ac:dyDescent="0.2">
      <c r="A14741" s="121">
        <v>44227</v>
      </c>
      <c r="B14741" t="s">
        <v>406</v>
      </c>
      <c r="C14741" t="s">
        <v>491</v>
      </c>
      <c r="D14741" t="s">
        <v>502</v>
      </c>
      <c r="E14741" t="s">
        <v>615</v>
      </c>
      <c r="F14741" t="s">
        <v>410</v>
      </c>
      <c r="G14741">
        <v>1310</v>
      </c>
      <c r="H14741">
        <v>1310</v>
      </c>
      <c r="I14741">
        <v>1249</v>
      </c>
      <c r="J14741">
        <v>1249</v>
      </c>
      <c r="K14741">
        <v>4</v>
      </c>
      <c r="L14741">
        <v>1</v>
      </c>
      <c r="M14741">
        <v>1237</v>
      </c>
      <c r="N14741">
        <v>55</v>
      </c>
      <c r="O14741">
        <v>13</v>
      </c>
      <c r="P14741">
        <v>1</v>
      </c>
      <c r="Q14741">
        <v>1</v>
      </c>
    </row>
    <row r="14742" spans="1:17" x14ac:dyDescent="0.2">
      <c r="A14742" s="121">
        <v>44227</v>
      </c>
      <c r="B14742" t="s">
        <v>406</v>
      </c>
      <c r="C14742" t="s">
        <v>491</v>
      </c>
      <c r="D14742" t="s">
        <v>504</v>
      </c>
      <c r="E14742" t="s">
        <v>630</v>
      </c>
      <c r="F14742" t="s">
        <v>413</v>
      </c>
      <c r="G14742">
        <v>5821</v>
      </c>
      <c r="H14742">
        <v>5821</v>
      </c>
      <c r="I14742">
        <v>4614</v>
      </c>
      <c r="J14742">
        <v>4614</v>
      </c>
      <c r="K14742">
        <v>2358</v>
      </c>
      <c r="L14742">
        <v>20</v>
      </c>
      <c r="M14742">
        <v>3313</v>
      </c>
      <c r="N14742">
        <v>50</v>
      </c>
      <c r="O14742">
        <v>80</v>
      </c>
      <c r="P14742">
        <v>123</v>
      </c>
      <c r="Q14742">
        <v>14</v>
      </c>
    </row>
    <row r="14743" spans="1:17" x14ac:dyDescent="0.2">
      <c r="A14743" s="121">
        <v>44227</v>
      </c>
      <c r="B14743" t="s">
        <v>406</v>
      </c>
      <c r="C14743" t="s">
        <v>491</v>
      </c>
      <c r="D14743" t="s">
        <v>506</v>
      </c>
      <c r="E14743" t="s">
        <v>507</v>
      </c>
      <c r="F14743" t="s">
        <v>413</v>
      </c>
      <c r="G14743">
        <v>2827</v>
      </c>
      <c r="H14743">
        <v>2827</v>
      </c>
      <c r="I14743">
        <v>2798</v>
      </c>
      <c r="J14743">
        <v>2798</v>
      </c>
      <c r="K14743">
        <v>725</v>
      </c>
      <c r="L14743">
        <v>4</v>
      </c>
      <c r="M14743">
        <v>2095</v>
      </c>
      <c r="N14743">
        <v>1</v>
      </c>
      <c r="O14743">
        <v>2</v>
      </c>
      <c r="P14743">
        <v>0</v>
      </c>
      <c r="Q14743">
        <v>0</v>
      </c>
    </row>
    <row r="14744" spans="1:17" x14ac:dyDescent="0.2">
      <c r="A14744" s="121">
        <v>44227</v>
      </c>
      <c r="B14744" t="s">
        <v>406</v>
      </c>
      <c r="C14744" t="s">
        <v>491</v>
      </c>
      <c r="D14744" t="s">
        <v>508</v>
      </c>
      <c r="E14744" t="s">
        <v>631</v>
      </c>
      <c r="F14744" t="s">
        <v>410</v>
      </c>
      <c r="G14744">
        <v>13</v>
      </c>
      <c r="H14744">
        <v>13</v>
      </c>
      <c r="I14744">
        <v>13</v>
      </c>
      <c r="J14744">
        <v>13</v>
      </c>
      <c r="K14744">
        <v>1</v>
      </c>
      <c r="L14744">
        <v>0</v>
      </c>
      <c r="M14744">
        <v>12</v>
      </c>
      <c r="N14744">
        <v>0</v>
      </c>
      <c r="O14744">
        <v>0</v>
      </c>
      <c r="P14744">
        <v>0</v>
      </c>
      <c r="Q14744">
        <v>0</v>
      </c>
    </row>
    <row r="14745" spans="1:17" x14ac:dyDescent="0.2">
      <c r="A14745" s="121">
        <v>44227</v>
      </c>
      <c r="B14745" t="s">
        <v>406</v>
      </c>
      <c r="C14745" t="s">
        <v>510</v>
      </c>
      <c r="D14745" t="s">
        <v>513</v>
      </c>
      <c r="E14745" t="s">
        <v>514</v>
      </c>
      <c r="F14745" t="s">
        <v>410</v>
      </c>
      <c r="G14745">
        <v>349</v>
      </c>
      <c r="I14745">
        <v>340</v>
      </c>
    </row>
    <row r="14746" spans="1:17" x14ac:dyDescent="0.2">
      <c r="A14746" s="121">
        <v>44227</v>
      </c>
      <c r="B14746" t="s">
        <v>406</v>
      </c>
      <c r="C14746" t="s">
        <v>510</v>
      </c>
      <c r="D14746" t="s">
        <v>515</v>
      </c>
      <c r="E14746" t="s">
        <v>516</v>
      </c>
      <c r="F14746" t="s">
        <v>410</v>
      </c>
      <c r="G14746">
        <v>57</v>
      </c>
      <c r="I14746">
        <v>57</v>
      </c>
    </row>
    <row r="14747" spans="1:17" x14ac:dyDescent="0.2">
      <c r="A14747" s="121">
        <v>44227</v>
      </c>
      <c r="B14747" t="s">
        <v>406</v>
      </c>
      <c r="C14747" t="s">
        <v>510</v>
      </c>
      <c r="D14747" t="s">
        <v>519</v>
      </c>
      <c r="E14747" t="s">
        <v>520</v>
      </c>
      <c r="F14747" t="s">
        <v>410</v>
      </c>
      <c r="G14747">
        <v>252</v>
      </c>
      <c r="I14747">
        <v>252</v>
      </c>
    </row>
    <row r="14748" spans="1:17" x14ac:dyDescent="0.2">
      <c r="A14748" s="121">
        <v>44227</v>
      </c>
      <c r="B14748" t="s">
        <v>406</v>
      </c>
      <c r="C14748" t="s">
        <v>510</v>
      </c>
      <c r="D14748" t="s">
        <v>523</v>
      </c>
      <c r="E14748" t="s">
        <v>524</v>
      </c>
      <c r="F14748" t="s">
        <v>413</v>
      </c>
      <c r="G14748">
        <v>432</v>
      </c>
      <c r="H14748">
        <v>432</v>
      </c>
      <c r="I14748">
        <v>409</v>
      </c>
      <c r="J14748">
        <v>409</v>
      </c>
      <c r="K14748">
        <v>149</v>
      </c>
      <c r="L14748">
        <v>1</v>
      </c>
      <c r="M14748">
        <v>273</v>
      </c>
      <c r="N14748">
        <v>4</v>
      </c>
      <c r="O14748">
        <v>5</v>
      </c>
      <c r="P14748">
        <v>0</v>
      </c>
      <c r="Q14748">
        <v>0</v>
      </c>
    </row>
    <row r="14749" spans="1:17" x14ac:dyDescent="0.2">
      <c r="A14749" s="121">
        <v>44227</v>
      </c>
      <c r="B14749" t="s">
        <v>406</v>
      </c>
      <c r="C14749" t="s">
        <v>510</v>
      </c>
      <c r="D14749" t="s">
        <v>525</v>
      </c>
      <c r="E14749" t="s">
        <v>526</v>
      </c>
      <c r="F14749" t="s">
        <v>410</v>
      </c>
      <c r="G14749">
        <v>308</v>
      </c>
      <c r="I14749">
        <v>304</v>
      </c>
    </row>
    <row r="14750" spans="1:17" x14ac:dyDescent="0.2">
      <c r="A14750" s="121">
        <v>44227</v>
      </c>
      <c r="B14750" t="s">
        <v>406</v>
      </c>
      <c r="C14750" t="s">
        <v>510</v>
      </c>
      <c r="D14750" t="s">
        <v>527</v>
      </c>
      <c r="E14750" t="s">
        <v>528</v>
      </c>
      <c r="F14750" t="s">
        <v>410</v>
      </c>
      <c r="G14750">
        <v>6</v>
      </c>
      <c r="I14750">
        <v>6</v>
      </c>
    </row>
    <row r="14751" spans="1:17" x14ac:dyDescent="0.2">
      <c r="A14751" s="121">
        <v>44227</v>
      </c>
      <c r="B14751" t="s">
        <v>406</v>
      </c>
      <c r="C14751" t="s">
        <v>510</v>
      </c>
      <c r="D14751" t="s">
        <v>529</v>
      </c>
      <c r="E14751" t="s">
        <v>530</v>
      </c>
      <c r="F14751" t="s">
        <v>413</v>
      </c>
      <c r="G14751">
        <v>538</v>
      </c>
      <c r="H14751">
        <v>538</v>
      </c>
      <c r="I14751">
        <v>492</v>
      </c>
      <c r="J14751">
        <v>492</v>
      </c>
      <c r="K14751">
        <v>119</v>
      </c>
      <c r="L14751">
        <v>1</v>
      </c>
      <c r="M14751">
        <v>392</v>
      </c>
      <c r="N14751">
        <v>22</v>
      </c>
      <c r="O14751">
        <v>4</v>
      </c>
      <c r="P14751">
        <v>10</v>
      </c>
      <c r="Q14751">
        <v>3</v>
      </c>
    </row>
    <row r="14752" spans="1:17" x14ac:dyDescent="0.2">
      <c r="A14752" s="121">
        <v>44227</v>
      </c>
      <c r="B14752" t="s">
        <v>406</v>
      </c>
      <c r="C14752" t="s">
        <v>510</v>
      </c>
      <c r="D14752" t="s">
        <v>531</v>
      </c>
      <c r="E14752" t="s">
        <v>532</v>
      </c>
      <c r="F14752" t="s">
        <v>410</v>
      </c>
      <c r="G14752">
        <v>24</v>
      </c>
      <c r="I14752">
        <v>24</v>
      </c>
    </row>
    <row r="14753" spans="1:17" x14ac:dyDescent="0.2">
      <c r="A14753" s="121">
        <v>44227</v>
      </c>
      <c r="B14753" t="s">
        <v>406</v>
      </c>
      <c r="C14753" t="s">
        <v>510</v>
      </c>
      <c r="D14753" t="s">
        <v>533</v>
      </c>
      <c r="E14753" t="s">
        <v>534</v>
      </c>
      <c r="F14753" t="s">
        <v>413</v>
      </c>
      <c r="G14753">
        <v>1817</v>
      </c>
      <c r="H14753">
        <v>1817</v>
      </c>
      <c r="I14753">
        <v>1583</v>
      </c>
      <c r="J14753">
        <v>1583</v>
      </c>
      <c r="K14753">
        <v>623</v>
      </c>
      <c r="L14753">
        <v>1</v>
      </c>
      <c r="M14753">
        <v>1124</v>
      </c>
      <c r="N14753">
        <v>14</v>
      </c>
      <c r="O14753">
        <v>55</v>
      </c>
      <c r="P14753">
        <v>36</v>
      </c>
      <c r="Q14753">
        <v>1</v>
      </c>
    </row>
    <row r="14754" spans="1:17" x14ac:dyDescent="0.2">
      <c r="A14754" s="121">
        <v>44227</v>
      </c>
      <c r="B14754" t="s">
        <v>406</v>
      </c>
      <c r="C14754" t="s">
        <v>510</v>
      </c>
      <c r="D14754" t="s">
        <v>535</v>
      </c>
      <c r="E14754" t="s">
        <v>536</v>
      </c>
      <c r="F14754" t="s">
        <v>410</v>
      </c>
      <c r="G14754">
        <v>353</v>
      </c>
      <c r="I14754">
        <v>353</v>
      </c>
    </row>
    <row r="14755" spans="1:17" x14ac:dyDescent="0.2">
      <c r="A14755" s="121">
        <v>44227</v>
      </c>
      <c r="B14755" t="s">
        <v>406</v>
      </c>
      <c r="C14755" t="s">
        <v>510</v>
      </c>
      <c r="D14755" t="s">
        <v>539</v>
      </c>
      <c r="E14755" t="s">
        <v>540</v>
      </c>
      <c r="F14755" t="s">
        <v>413</v>
      </c>
      <c r="G14755">
        <v>398</v>
      </c>
      <c r="H14755">
        <v>398</v>
      </c>
      <c r="I14755">
        <v>379</v>
      </c>
      <c r="J14755">
        <v>379</v>
      </c>
      <c r="K14755">
        <v>93</v>
      </c>
      <c r="L14755">
        <v>1</v>
      </c>
      <c r="M14755">
        <v>293</v>
      </c>
      <c r="N14755">
        <v>5</v>
      </c>
      <c r="O14755">
        <v>6</v>
      </c>
      <c r="P14755">
        <v>2</v>
      </c>
      <c r="Q14755">
        <v>0</v>
      </c>
    </row>
    <row r="14756" spans="1:17" x14ac:dyDescent="0.2">
      <c r="A14756" s="121">
        <v>44227</v>
      </c>
      <c r="B14756" t="s">
        <v>406</v>
      </c>
      <c r="C14756" t="s">
        <v>510</v>
      </c>
      <c r="D14756" t="s">
        <v>541</v>
      </c>
      <c r="E14756" t="s">
        <v>542</v>
      </c>
      <c r="F14756" t="s">
        <v>410</v>
      </c>
      <c r="G14756">
        <v>212</v>
      </c>
      <c r="I14756">
        <v>212</v>
      </c>
    </row>
    <row r="14757" spans="1:17" x14ac:dyDescent="0.2">
      <c r="A14757" s="121">
        <v>44227</v>
      </c>
      <c r="B14757" t="s">
        <v>406</v>
      </c>
      <c r="C14757" t="s">
        <v>510</v>
      </c>
      <c r="D14757" t="s">
        <v>543</v>
      </c>
      <c r="E14757" t="s">
        <v>544</v>
      </c>
      <c r="F14757" t="s">
        <v>410</v>
      </c>
      <c r="G14757">
        <v>29</v>
      </c>
      <c r="I14757">
        <v>29</v>
      </c>
    </row>
    <row r="14758" spans="1:17" x14ac:dyDescent="0.2">
      <c r="A14758" s="121">
        <v>44227</v>
      </c>
      <c r="B14758" t="s">
        <v>406</v>
      </c>
      <c r="C14758" t="s">
        <v>510</v>
      </c>
      <c r="D14758" t="s">
        <v>616</v>
      </c>
      <c r="E14758" t="s">
        <v>617</v>
      </c>
      <c r="F14758" t="s">
        <v>410</v>
      </c>
      <c r="G14758">
        <v>248</v>
      </c>
      <c r="I14758">
        <v>247</v>
      </c>
    </row>
    <row r="14759" spans="1:17" x14ac:dyDescent="0.2">
      <c r="A14759" s="121">
        <v>44227</v>
      </c>
      <c r="B14759" t="s">
        <v>406</v>
      </c>
      <c r="C14759" t="s">
        <v>510</v>
      </c>
      <c r="D14759" t="s">
        <v>549</v>
      </c>
      <c r="E14759" t="s">
        <v>550</v>
      </c>
      <c r="F14759" t="s">
        <v>410</v>
      </c>
      <c r="G14759">
        <v>39</v>
      </c>
      <c r="I14759">
        <v>39</v>
      </c>
    </row>
    <row r="14760" spans="1:17" x14ac:dyDescent="0.2">
      <c r="A14760" s="121">
        <v>44227</v>
      </c>
      <c r="B14760" t="s">
        <v>406</v>
      </c>
      <c r="C14760" t="s">
        <v>510</v>
      </c>
      <c r="D14760" t="s">
        <v>625</v>
      </c>
      <c r="E14760" t="s">
        <v>626</v>
      </c>
      <c r="F14760" t="s">
        <v>410</v>
      </c>
      <c r="G14760">
        <v>103</v>
      </c>
      <c r="I14760">
        <v>101</v>
      </c>
    </row>
    <row r="14761" spans="1:17" x14ac:dyDescent="0.2">
      <c r="A14761" s="121">
        <v>44227</v>
      </c>
      <c r="B14761" t="s">
        <v>406</v>
      </c>
      <c r="C14761" t="s">
        <v>551</v>
      </c>
      <c r="D14761" t="s">
        <v>552</v>
      </c>
      <c r="E14761" t="s">
        <v>553</v>
      </c>
      <c r="F14761" t="s">
        <v>413</v>
      </c>
      <c r="G14761">
        <v>4252</v>
      </c>
      <c r="H14761">
        <v>4252</v>
      </c>
      <c r="I14761">
        <v>3369</v>
      </c>
      <c r="J14761">
        <v>3369</v>
      </c>
      <c r="K14761">
        <v>1577</v>
      </c>
      <c r="L14761">
        <v>6</v>
      </c>
      <c r="M14761">
        <v>2590</v>
      </c>
      <c r="N14761">
        <v>66</v>
      </c>
      <c r="O14761">
        <v>13</v>
      </c>
      <c r="P14761">
        <v>130</v>
      </c>
      <c r="Q14761">
        <v>21</v>
      </c>
    </row>
    <row r="14762" spans="1:17" x14ac:dyDescent="0.2">
      <c r="A14762" s="121">
        <v>44227</v>
      </c>
      <c r="B14762" t="s">
        <v>406</v>
      </c>
      <c r="C14762" t="s">
        <v>551</v>
      </c>
      <c r="D14762" t="s">
        <v>558</v>
      </c>
      <c r="E14762" t="s">
        <v>559</v>
      </c>
      <c r="F14762" t="s">
        <v>413</v>
      </c>
      <c r="G14762">
        <v>3963</v>
      </c>
      <c r="H14762">
        <v>3963</v>
      </c>
      <c r="I14762">
        <v>3361</v>
      </c>
      <c r="J14762">
        <v>3361</v>
      </c>
      <c r="K14762">
        <v>1324</v>
      </c>
      <c r="L14762">
        <v>5</v>
      </c>
      <c r="M14762">
        <v>2553</v>
      </c>
      <c r="N14762">
        <v>65</v>
      </c>
      <c r="O14762">
        <v>16</v>
      </c>
      <c r="P14762">
        <v>79</v>
      </c>
      <c r="Q14762">
        <v>23</v>
      </c>
    </row>
    <row r="14763" spans="1:17" x14ac:dyDescent="0.2">
      <c r="A14763" s="121">
        <v>44227</v>
      </c>
      <c r="B14763" t="s">
        <v>406</v>
      </c>
      <c r="C14763" t="s">
        <v>551</v>
      </c>
      <c r="D14763" t="s">
        <v>560</v>
      </c>
      <c r="E14763" t="s">
        <v>561</v>
      </c>
      <c r="F14763" t="s">
        <v>413</v>
      </c>
      <c r="G14763">
        <v>4638</v>
      </c>
      <c r="H14763">
        <v>4638</v>
      </c>
      <c r="I14763">
        <v>3540</v>
      </c>
      <c r="J14763">
        <v>3540</v>
      </c>
      <c r="K14763">
        <v>1661</v>
      </c>
      <c r="L14763">
        <v>12</v>
      </c>
      <c r="M14763">
        <v>2899</v>
      </c>
      <c r="N14763">
        <v>47</v>
      </c>
      <c r="O14763">
        <v>19</v>
      </c>
      <c r="P14763">
        <v>304</v>
      </c>
      <c r="Q14763">
        <v>107</v>
      </c>
    </row>
    <row r="14764" spans="1:17" x14ac:dyDescent="0.2">
      <c r="A14764" s="121">
        <v>44227</v>
      </c>
      <c r="B14764" t="s">
        <v>406</v>
      </c>
      <c r="C14764" t="s">
        <v>562</v>
      </c>
      <c r="D14764" t="s">
        <v>605</v>
      </c>
      <c r="E14764" t="s">
        <v>606</v>
      </c>
      <c r="F14764" t="s">
        <v>410</v>
      </c>
      <c r="G14764">
        <v>40</v>
      </c>
      <c r="H14764">
        <v>1</v>
      </c>
      <c r="I14764">
        <v>40</v>
      </c>
      <c r="J14764">
        <v>1</v>
      </c>
      <c r="K14764">
        <v>0</v>
      </c>
      <c r="L14764">
        <v>0</v>
      </c>
      <c r="M14764">
        <v>1</v>
      </c>
      <c r="N14764">
        <v>0</v>
      </c>
      <c r="O14764">
        <v>0</v>
      </c>
      <c r="P14764">
        <v>0</v>
      </c>
      <c r="Q14764">
        <v>0</v>
      </c>
    </row>
    <row r="14765" spans="1:17" x14ac:dyDescent="0.2">
      <c r="A14765" s="121">
        <v>44227</v>
      </c>
      <c r="B14765" t="s">
        <v>406</v>
      </c>
      <c r="C14765" t="s">
        <v>562</v>
      </c>
      <c r="D14765" t="s">
        <v>563</v>
      </c>
      <c r="E14765" t="s">
        <v>564</v>
      </c>
      <c r="F14765" t="s">
        <v>410</v>
      </c>
      <c r="G14765">
        <v>2410</v>
      </c>
      <c r="H14765">
        <v>2410</v>
      </c>
      <c r="I14765">
        <v>1902</v>
      </c>
      <c r="J14765">
        <v>1902</v>
      </c>
      <c r="K14765">
        <v>1157</v>
      </c>
      <c r="L14765">
        <v>1</v>
      </c>
      <c r="M14765">
        <v>1249</v>
      </c>
      <c r="N14765">
        <v>1</v>
      </c>
      <c r="O14765">
        <v>2</v>
      </c>
      <c r="P14765">
        <v>35</v>
      </c>
      <c r="Q14765">
        <v>3</v>
      </c>
    </row>
    <row r="14766" spans="1:17" x14ac:dyDescent="0.2">
      <c r="A14766" s="121">
        <v>44227</v>
      </c>
      <c r="B14766" t="s">
        <v>406</v>
      </c>
      <c r="C14766" t="s">
        <v>562</v>
      </c>
      <c r="D14766" t="s">
        <v>565</v>
      </c>
      <c r="E14766" t="s">
        <v>566</v>
      </c>
      <c r="F14766" t="s">
        <v>413</v>
      </c>
      <c r="G14766">
        <v>3314</v>
      </c>
      <c r="H14766">
        <v>3314</v>
      </c>
      <c r="I14766">
        <v>2976</v>
      </c>
      <c r="J14766">
        <v>2976</v>
      </c>
      <c r="K14766">
        <v>789</v>
      </c>
      <c r="L14766">
        <v>1</v>
      </c>
      <c r="M14766">
        <v>2486</v>
      </c>
      <c r="N14766">
        <v>36</v>
      </c>
      <c r="O14766">
        <v>2</v>
      </c>
      <c r="P14766">
        <v>34</v>
      </c>
      <c r="Q14766">
        <v>11</v>
      </c>
    </row>
    <row r="14767" spans="1:17" x14ac:dyDescent="0.2">
      <c r="A14767" s="121">
        <v>44227</v>
      </c>
      <c r="B14767" t="s">
        <v>406</v>
      </c>
      <c r="C14767" t="s">
        <v>562</v>
      </c>
      <c r="D14767" t="s">
        <v>567</v>
      </c>
      <c r="E14767" t="s">
        <v>568</v>
      </c>
      <c r="F14767" t="s">
        <v>413</v>
      </c>
      <c r="G14767">
        <v>7761</v>
      </c>
      <c r="H14767">
        <v>7761</v>
      </c>
      <c r="I14767">
        <v>6207</v>
      </c>
      <c r="J14767">
        <v>6207</v>
      </c>
      <c r="K14767">
        <v>3216</v>
      </c>
      <c r="L14767">
        <v>10</v>
      </c>
      <c r="M14767">
        <v>4419</v>
      </c>
      <c r="N14767">
        <v>98</v>
      </c>
      <c r="O14767">
        <v>18</v>
      </c>
      <c r="P14767">
        <v>222</v>
      </c>
      <c r="Q14767">
        <v>34</v>
      </c>
    </row>
    <row r="14768" spans="1:17" x14ac:dyDescent="0.2">
      <c r="A14768" s="121">
        <v>44227</v>
      </c>
      <c r="B14768" t="s">
        <v>406</v>
      </c>
      <c r="C14768" t="s">
        <v>562</v>
      </c>
      <c r="D14768" t="s">
        <v>569</v>
      </c>
      <c r="E14768" t="s">
        <v>570</v>
      </c>
      <c r="F14768" t="s">
        <v>413</v>
      </c>
      <c r="G14768">
        <v>2349</v>
      </c>
      <c r="H14768">
        <v>2349</v>
      </c>
      <c r="I14768">
        <v>2290</v>
      </c>
      <c r="J14768">
        <v>2290</v>
      </c>
      <c r="K14768">
        <v>352</v>
      </c>
      <c r="L14768">
        <v>1</v>
      </c>
      <c r="M14768">
        <v>1880</v>
      </c>
      <c r="N14768">
        <v>95</v>
      </c>
      <c r="O14768">
        <v>21</v>
      </c>
      <c r="P14768">
        <v>0</v>
      </c>
      <c r="Q14768">
        <v>0</v>
      </c>
    </row>
    <row r="14769" spans="1:17" x14ac:dyDescent="0.2">
      <c r="A14769" s="121">
        <v>44227</v>
      </c>
      <c r="B14769" t="s">
        <v>406</v>
      </c>
      <c r="C14769" t="s">
        <v>571</v>
      </c>
      <c r="D14769" t="s">
        <v>572</v>
      </c>
      <c r="E14769" t="s">
        <v>627</v>
      </c>
      <c r="F14769" t="s">
        <v>413</v>
      </c>
      <c r="G14769">
        <v>323</v>
      </c>
      <c r="H14769">
        <v>323</v>
      </c>
      <c r="I14769">
        <v>310</v>
      </c>
      <c r="J14769">
        <v>310</v>
      </c>
      <c r="K14769">
        <v>119</v>
      </c>
      <c r="L14769">
        <v>0</v>
      </c>
      <c r="M14769">
        <v>201</v>
      </c>
      <c r="N14769">
        <v>1</v>
      </c>
      <c r="O14769">
        <v>2</v>
      </c>
      <c r="P14769">
        <v>0</v>
      </c>
      <c r="Q14769">
        <v>0</v>
      </c>
    </row>
    <row r="14770" spans="1:17" x14ac:dyDescent="0.2">
      <c r="A14770" s="121">
        <v>44227</v>
      </c>
      <c r="B14770" t="s">
        <v>406</v>
      </c>
      <c r="C14770" t="s">
        <v>574</v>
      </c>
      <c r="D14770" t="s">
        <v>575</v>
      </c>
      <c r="E14770" t="s">
        <v>576</v>
      </c>
      <c r="F14770" t="s">
        <v>413</v>
      </c>
      <c r="G14770">
        <v>361</v>
      </c>
      <c r="H14770">
        <v>361</v>
      </c>
      <c r="I14770">
        <v>357</v>
      </c>
      <c r="J14770">
        <v>357</v>
      </c>
      <c r="K14770">
        <v>130</v>
      </c>
      <c r="L14770">
        <v>0</v>
      </c>
      <c r="M14770">
        <v>229</v>
      </c>
      <c r="N14770">
        <v>1</v>
      </c>
      <c r="O14770">
        <v>1</v>
      </c>
      <c r="P14770">
        <v>0</v>
      </c>
      <c r="Q14770">
        <v>0</v>
      </c>
    </row>
    <row r="14771" spans="1:17" x14ac:dyDescent="0.2">
      <c r="A14771" s="121">
        <v>44227</v>
      </c>
      <c r="B14771" t="s">
        <v>406</v>
      </c>
      <c r="C14771" t="s">
        <v>577</v>
      </c>
      <c r="D14771" t="s">
        <v>578</v>
      </c>
      <c r="E14771" t="s">
        <v>579</v>
      </c>
      <c r="F14771" t="s">
        <v>413</v>
      </c>
      <c r="G14771">
        <v>2989</v>
      </c>
      <c r="H14771">
        <v>2989</v>
      </c>
      <c r="I14771">
        <v>2830</v>
      </c>
      <c r="J14771">
        <v>2830</v>
      </c>
      <c r="K14771">
        <v>1285</v>
      </c>
      <c r="L14771">
        <v>12</v>
      </c>
      <c r="M14771">
        <v>1557</v>
      </c>
      <c r="N14771">
        <v>100</v>
      </c>
      <c r="O14771">
        <v>35</v>
      </c>
      <c r="P14771">
        <v>4</v>
      </c>
      <c r="Q14771">
        <v>0</v>
      </c>
    </row>
    <row r="14772" spans="1:17" x14ac:dyDescent="0.2">
      <c r="A14772" s="121">
        <v>44227</v>
      </c>
      <c r="B14772" t="s">
        <v>406</v>
      </c>
      <c r="C14772" t="s">
        <v>577</v>
      </c>
      <c r="D14772" t="s">
        <v>580</v>
      </c>
      <c r="E14772" t="s">
        <v>581</v>
      </c>
      <c r="F14772" t="s">
        <v>413</v>
      </c>
      <c r="G14772">
        <v>1083</v>
      </c>
      <c r="H14772">
        <v>1083</v>
      </c>
      <c r="I14772">
        <v>1051</v>
      </c>
      <c r="J14772">
        <v>1051</v>
      </c>
      <c r="K14772">
        <v>205</v>
      </c>
      <c r="L14772">
        <v>0</v>
      </c>
      <c r="M14772">
        <v>760</v>
      </c>
      <c r="N14772">
        <v>113</v>
      </c>
      <c r="O14772">
        <v>5</v>
      </c>
      <c r="P14772">
        <v>6</v>
      </c>
      <c r="Q14772">
        <v>2</v>
      </c>
    </row>
    <row r="14773" spans="1:17" x14ac:dyDescent="0.2">
      <c r="A14773" s="121">
        <v>44227</v>
      </c>
      <c r="B14773" t="s">
        <v>406</v>
      </c>
      <c r="C14773" t="s">
        <v>577</v>
      </c>
      <c r="D14773" t="s">
        <v>586</v>
      </c>
      <c r="E14773" t="s">
        <v>587</v>
      </c>
      <c r="F14773" t="s">
        <v>410</v>
      </c>
      <c r="G14773">
        <v>419</v>
      </c>
      <c r="H14773">
        <v>419</v>
      </c>
      <c r="I14773">
        <v>419</v>
      </c>
      <c r="J14773">
        <v>419</v>
      </c>
      <c r="K14773">
        <v>0</v>
      </c>
      <c r="L14773">
        <v>0</v>
      </c>
      <c r="M14773">
        <v>382</v>
      </c>
      <c r="N14773">
        <v>37</v>
      </c>
      <c r="O14773">
        <v>0</v>
      </c>
      <c r="P14773">
        <v>0</v>
      </c>
      <c r="Q14773">
        <v>0</v>
      </c>
    </row>
    <row r="14774" spans="1:17" x14ac:dyDescent="0.2">
      <c r="A14774" s="121">
        <v>44227</v>
      </c>
      <c r="B14774" t="s">
        <v>406</v>
      </c>
      <c r="C14774" t="s">
        <v>577</v>
      </c>
      <c r="D14774" t="s">
        <v>590</v>
      </c>
      <c r="E14774" t="s">
        <v>591</v>
      </c>
      <c r="F14774" t="s">
        <v>410</v>
      </c>
      <c r="G14774">
        <v>240</v>
      </c>
      <c r="H14774">
        <v>240</v>
      </c>
      <c r="I14774">
        <v>240</v>
      </c>
      <c r="J14774">
        <v>240</v>
      </c>
      <c r="K14774">
        <v>0</v>
      </c>
      <c r="L14774">
        <v>0</v>
      </c>
      <c r="M14774">
        <v>233</v>
      </c>
      <c r="N14774">
        <v>6</v>
      </c>
      <c r="O14774">
        <v>1</v>
      </c>
      <c r="P14774">
        <v>0</v>
      </c>
      <c r="Q14774">
        <v>0</v>
      </c>
    </row>
    <row r="14775" spans="1:17" x14ac:dyDescent="0.2">
      <c r="A14775" s="121">
        <v>44227</v>
      </c>
      <c r="B14775" t="s">
        <v>406</v>
      </c>
      <c r="C14775" t="s">
        <v>594</v>
      </c>
      <c r="D14775" t="s">
        <v>595</v>
      </c>
      <c r="E14775" t="s">
        <v>596</v>
      </c>
      <c r="F14775" t="s">
        <v>410</v>
      </c>
      <c r="G14775">
        <v>21</v>
      </c>
      <c r="I14775">
        <v>21</v>
      </c>
    </row>
    <row r="14776" spans="1:17" x14ac:dyDescent="0.2">
      <c r="A14776" s="121">
        <v>44227</v>
      </c>
      <c r="B14776" t="s">
        <v>406</v>
      </c>
      <c r="C14776" t="s">
        <v>594</v>
      </c>
      <c r="D14776" t="s">
        <v>597</v>
      </c>
      <c r="E14776" t="s">
        <v>598</v>
      </c>
      <c r="F14776" t="s">
        <v>413</v>
      </c>
      <c r="G14776">
        <v>269</v>
      </c>
      <c r="H14776">
        <v>269</v>
      </c>
      <c r="I14776">
        <v>264</v>
      </c>
      <c r="J14776">
        <v>264</v>
      </c>
      <c r="K14776">
        <v>106</v>
      </c>
      <c r="L14776">
        <v>1</v>
      </c>
      <c r="M14776">
        <v>159</v>
      </c>
      <c r="N14776">
        <v>2</v>
      </c>
      <c r="O14776">
        <v>1</v>
      </c>
      <c r="P14776">
        <v>0</v>
      </c>
      <c r="Q14776">
        <v>0</v>
      </c>
    </row>
    <row r="14777" spans="1:17" x14ac:dyDescent="0.2">
      <c r="A14777" s="121">
        <v>44227</v>
      </c>
      <c r="B14777" t="s">
        <v>406</v>
      </c>
      <c r="C14777" t="s">
        <v>594</v>
      </c>
      <c r="D14777" t="s">
        <v>599</v>
      </c>
      <c r="E14777" t="s">
        <v>600</v>
      </c>
      <c r="F14777" t="s">
        <v>410</v>
      </c>
      <c r="G14777">
        <v>47</v>
      </c>
      <c r="H14777">
        <v>47</v>
      </c>
      <c r="I14777">
        <v>45</v>
      </c>
      <c r="J14777">
        <v>45</v>
      </c>
      <c r="K14777">
        <v>4</v>
      </c>
      <c r="L14777">
        <v>0</v>
      </c>
      <c r="M14777">
        <v>40</v>
      </c>
      <c r="N14777">
        <v>2</v>
      </c>
      <c r="O14777">
        <v>1</v>
      </c>
      <c r="P14777">
        <v>0</v>
      </c>
      <c r="Q14777">
        <v>0</v>
      </c>
    </row>
    <row r="14778" spans="1:17" x14ac:dyDescent="0.2">
      <c r="A14778" s="121">
        <v>44255</v>
      </c>
      <c r="B14778" t="s">
        <v>406</v>
      </c>
      <c r="C14778" t="s">
        <v>407</v>
      </c>
      <c r="D14778" t="s">
        <v>408</v>
      </c>
      <c r="E14778" t="s">
        <v>409</v>
      </c>
      <c r="F14778" t="s">
        <v>410</v>
      </c>
      <c r="G14778">
        <v>122</v>
      </c>
      <c r="I14778">
        <v>115</v>
      </c>
    </row>
    <row r="14779" spans="1:17" x14ac:dyDescent="0.2">
      <c r="A14779" s="121">
        <v>44255</v>
      </c>
      <c r="B14779" t="s">
        <v>406</v>
      </c>
      <c r="C14779" t="s">
        <v>407</v>
      </c>
      <c r="D14779" t="s">
        <v>601</v>
      </c>
      <c r="E14779" t="s">
        <v>602</v>
      </c>
      <c r="F14779" t="s">
        <v>410</v>
      </c>
      <c r="G14779">
        <v>24</v>
      </c>
      <c r="I14779">
        <v>24</v>
      </c>
    </row>
    <row r="14780" spans="1:17" x14ac:dyDescent="0.2">
      <c r="A14780" s="121">
        <v>44255</v>
      </c>
      <c r="B14780" t="s">
        <v>406</v>
      </c>
      <c r="C14780" t="s">
        <v>407</v>
      </c>
      <c r="D14780" t="s">
        <v>411</v>
      </c>
      <c r="E14780" t="s">
        <v>412</v>
      </c>
      <c r="F14780" t="s">
        <v>413</v>
      </c>
      <c r="G14780">
        <v>3223</v>
      </c>
      <c r="H14780">
        <v>3223</v>
      </c>
      <c r="I14780">
        <v>2567</v>
      </c>
      <c r="J14780">
        <v>2567</v>
      </c>
      <c r="K14780">
        <v>1151</v>
      </c>
      <c r="L14780">
        <v>9</v>
      </c>
      <c r="M14780">
        <v>1857</v>
      </c>
      <c r="N14780">
        <v>34</v>
      </c>
      <c r="O14780">
        <v>172</v>
      </c>
      <c r="P14780">
        <v>303</v>
      </c>
      <c r="Q14780">
        <v>169</v>
      </c>
    </row>
    <row r="14781" spans="1:17" x14ac:dyDescent="0.2">
      <c r="A14781" s="121">
        <v>44255</v>
      </c>
      <c r="B14781" t="s">
        <v>406</v>
      </c>
      <c r="C14781" t="s">
        <v>407</v>
      </c>
      <c r="D14781" t="s">
        <v>416</v>
      </c>
      <c r="E14781" t="s">
        <v>417</v>
      </c>
      <c r="F14781" t="s">
        <v>413</v>
      </c>
      <c r="G14781">
        <v>1639</v>
      </c>
      <c r="H14781">
        <v>1639</v>
      </c>
      <c r="I14781">
        <v>1351</v>
      </c>
      <c r="J14781">
        <v>1351</v>
      </c>
      <c r="K14781">
        <v>617</v>
      </c>
      <c r="L14781">
        <v>3</v>
      </c>
      <c r="M14781">
        <v>968</v>
      </c>
      <c r="N14781">
        <v>38</v>
      </c>
      <c r="O14781">
        <v>13</v>
      </c>
      <c r="P14781">
        <v>104</v>
      </c>
      <c r="Q14781">
        <v>38</v>
      </c>
    </row>
    <row r="14782" spans="1:17" x14ac:dyDescent="0.2">
      <c r="A14782" s="121">
        <v>44255</v>
      </c>
      <c r="B14782" t="s">
        <v>406</v>
      </c>
      <c r="C14782" t="s">
        <v>407</v>
      </c>
      <c r="D14782" t="s">
        <v>618</v>
      </c>
      <c r="E14782" t="s">
        <v>619</v>
      </c>
      <c r="F14782" t="s">
        <v>410</v>
      </c>
      <c r="G14782">
        <v>31</v>
      </c>
      <c r="I14782">
        <v>31</v>
      </c>
    </row>
    <row r="14783" spans="1:17" x14ac:dyDescent="0.2">
      <c r="A14783" s="121">
        <v>44255</v>
      </c>
      <c r="B14783" t="s">
        <v>406</v>
      </c>
      <c r="C14783" t="s">
        <v>418</v>
      </c>
      <c r="D14783" t="s">
        <v>425</v>
      </c>
      <c r="E14783" t="s">
        <v>426</v>
      </c>
      <c r="F14783" t="s">
        <v>410</v>
      </c>
      <c r="G14783">
        <v>18</v>
      </c>
      <c r="I14783">
        <v>18</v>
      </c>
    </row>
    <row r="14784" spans="1:17" x14ac:dyDescent="0.2">
      <c r="A14784" s="121">
        <v>44255</v>
      </c>
      <c r="B14784" t="s">
        <v>406</v>
      </c>
      <c r="C14784" t="s">
        <v>418</v>
      </c>
      <c r="D14784" t="s">
        <v>427</v>
      </c>
      <c r="E14784" t="s">
        <v>428</v>
      </c>
      <c r="F14784" t="s">
        <v>413</v>
      </c>
      <c r="G14784">
        <v>1795</v>
      </c>
      <c r="H14784">
        <v>1795</v>
      </c>
      <c r="I14784">
        <v>1337</v>
      </c>
      <c r="J14784">
        <v>1337</v>
      </c>
      <c r="K14784">
        <v>634</v>
      </c>
      <c r="L14784">
        <v>6</v>
      </c>
      <c r="M14784">
        <v>1112</v>
      </c>
      <c r="N14784">
        <v>36</v>
      </c>
      <c r="O14784">
        <v>7</v>
      </c>
      <c r="P14784">
        <v>125</v>
      </c>
      <c r="Q14784">
        <v>59</v>
      </c>
    </row>
    <row r="14785" spans="1:17" x14ac:dyDescent="0.2">
      <c r="A14785" s="121">
        <v>44255</v>
      </c>
      <c r="B14785" t="s">
        <v>406</v>
      </c>
      <c r="C14785" t="s">
        <v>429</v>
      </c>
      <c r="D14785" t="s">
        <v>438</v>
      </c>
      <c r="E14785" t="s">
        <v>439</v>
      </c>
      <c r="F14785" t="s">
        <v>413</v>
      </c>
      <c r="G14785">
        <v>517</v>
      </c>
      <c r="H14785">
        <v>517</v>
      </c>
      <c r="I14785">
        <v>484</v>
      </c>
      <c r="J14785">
        <v>484</v>
      </c>
      <c r="K14785">
        <v>49</v>
      </c>
      <c r="L14785">
        <v>1</v>
      </c>
      <c r="M14785">
        <v>427</v>
      </c>
      <c r="N14785">
        <v>32</v>
      </c>
      <c r="O14785">
        <v>8</v>
      </c>
      <c r="P14785">
        <v>2</v>
      </c>
      <c r="Q14785">
        <v>0</v>
      </c>
    </row>
    <row r="14786" spans="1:17" x14ac:dyDescent="0.2">
      <c r="A14786" s="121">
        <v>44255</v>
      </c>
      <c r="B14786" t="s">
        <v>406</v>
      </c>
      <c r="C14786" t="s">
        <v>429</v>
      </c>
      <c r="D14786" t="s">
        <v>440</v>
      </c>
      <c r="E14786" t="s">
        <v>441</v>
      </c>
      <c r="F14786" t="s">
        <v>413</v>
      </c>
      <c r="G14786">
        <v>1330</v>
      </c>
      <c r="H14786">
        <v>1330</v>
      </c>
      <c r="I14786">
        <v>1219</v>
      </c>
      <c r="J14786">
        <v>1219</v>
      </c>
      <c r="K14786">
        <v>486</v>
      </c>
      <c r="L14786">
        <v>0</v>
      </c>
      <c r="M14786">
        <v>813</v>
      </c>
      <c r="N14786">
        <v>22</v>
      </c>
      <c r="O14786">
        <v>9</v>
      </c>
      <c r="P14786">
        <v>4</v>
      </c>
      <c r="Q14786">
        <v>0</v>
      </c>
    </row>
    <row r="14787" spans="1:17" x14ac:dyDescent="0.2">
      <c r="A14787" s="121">
        <v>44255</v>
      </c>
      <c r="B14787" t="s">
        <v>406</v>
      </c>
      <c r="C14787" t="s">
        <v>442</v>
      </c>
      <c r="D14787" t="s">
        <v>443</v>
      </c>
      <c r="E14787" t="s">
        <v>444</v>
      </c>
      <c r="F14787" t="s">
        <v>413</v>
      </c>
      <c r="G14787">
        <v>3511</v>
      </c>
      <c r="H14787">
        <v>3511</v>
      </c>
      <c r="I14787">
        <v>3142</v>
      </c>
      <c r="J14787">
        <v>3142</v>
      </c>
      <c r="K14787">
        <v>1240</v>
      </c>
      <c r="L14787">
        <v>14</v>
      </c>
      <c r="M14787">
        <v>2172</v>
      </c>
      <c r="N14787">
        <v>38</v>
      </c>
      <c r="O14787">
        <v>47</v>
      </c>
      <c r="P14787">
        <v>13</v>
      </c>
      <c r="Q14787">
        <v>0</v>
      </c>
    </row>
    <row r="14788" spans="1:17" x14ac:dyDescent="0.2">
      <c r="A14788" s="121">
        <v>44255</v>
      </c>
      <c r="B14788" t="s">
        <v>406</v>
      </c>
      <c r="C14788" t="s">
        <v>442</v>
      </c>
      <c r="D14788" t="s">
        <v>445</v>
      </c>
      <c r="E14788" t="s">
        <v>446</v>
      </c>
      <c r="F14788" t="s">
        <v>410</v>
      </c>
      <c r="G14788">
        <v>69</v>
      </c>
      <c r="H14788">
        <v>69</v>
      </c>
      <c r="I14788">
        <v>68</v>
      </c>
      <c r="J14788">
        <v>68</v>
      </c>
      <c r="K14788">
        <v>0</v>
      </c>
      <c r="L14788">
        <v>0</v>
      </c>
      <c r="M14788">
        <v>64</v>
      </c>
      <c r="N14788">
        <v>1</v>
      </c>
      <c r="O14788">
        <v>4</v>
      </c>
      <c r="P14788">
        <v>0</v>
      </c>
      <c r="Q14788">
        <v>0</v>
      </c>
    </row>
    <row r="14789" spans="1:17" x14ac:dyDescent="0.2">
      <c r="A14789" s="121">
        <v>44255</v>
      </c>
      <c r="B14789" t="s">
        <v>406</v>
      </c>
      <c r="C14789" t="s">
        <v>442</v>
      </c>
      <c r="D14789" t="s">
        <v>447</v>
      </c>
      <c r="E14789" t="s">
        <v>448</v>
      </c>
      <c r="F14789" t="s">
        <v>410</v>
      </c>
      <c r="G14789">
        <v>102</v>
      </c>
      <c r="H14789">
        <v>102</v>
      </c>
      <c r="I14789">
        <v>102</v>
      </c>
      <c r="J14789">
        <v>102</v>
      </c>
      <c r="K14789">
        <v>0</v>
      </c>
      <c r="L14789">
        <v>0</v>
      </c>
      <c r="M14789">
        <v>90</v>
      </c>
      <c r="N14789">
        <v>12</v>
      </c>
      <c r="O14789">
        <v>0</v>
      </c>
      <c r="P14789">
        <v>0</v>
      </c>
      <c r="Q14789">
        <v>0</v>
      </c>
    </row>
    <row r="14790" spans="1:17" x14ac:dyDescent="0.2">
      <c r="A14790" s="121">
        <v>44255</v>
      </c>
      <c r="B14790" t="s">
        <v>406</v>
      </c>
      <c r="C14790" t="s">
        <v>442</v>
      </c>
      <c r="D14790" t="s">
        <v>449</v>
      </c>
      <c r="E14790" t="s">
        <v>624</v>
      </c>
      <c r="F14790" t="s">
        <v>410</v>
      </c>
      <c r="G14790">
        <v>516</v>
      </c>
      <c r="H14790">
        <v>516</v>
      </c>
      <c r="I14790">
        <v>515</v>
      </c>
      <c r="J14790">
        <v>515</v>
      </c>
      <c r="K14790">
        <v>3</v>
      </c>
      <c r="L14790">
        <v>0</v>
      </c>
      <c r="M14790">
        <v>491</v>
      </c>
      <c r="N14790">
        <v>20</v>
      </c>
      <c r="O14790">
        <v>2</v>
      </c>
      <c r="P14790">
        <v>0</v>
      </c>
      <c r="Q14790">
        <v>0</v>
      </c>
    </row>
    <row r="14791" spans="1:17" x14ac:dyDescent="0.2">
      <c r="A14791" s="121">
        <v>44255</v>
      </c>
      <c r="B14791" t="s">
        <v>406</v>
      </c>
      <c r="C14791" t="s">
        <v>451</v>
      </c>
      <c r="D14791" t="s">
        <v>454</v>
      </c>
      <c r="E14791" t="s">
        <v>621</v>
      </c>
      <c r="F14791" t="s">
        <v>410</v>
      </c>
      <c r="G14791">
        <v>702</v>
      </c>
      <c r="H14791">
        <v>702</v>
      </c>
      <c r="I14791">
        <v>702</v>
      </c>
      <c r="J14791">
        <v>702</v>
      </c>
      <c r="K14791">
        <v>2</v>
      </c>
      <c r="L14791">
        <v>0</v>
      </c>
      <c r="M14791">
        <v>644</v>
      </c>
      <c r="N14791">
        <v>2</v>
      </c>
      <c r="O14791">
        <v>54</v>
      </c>
      <c r="P14791">
        <v>0</v>
      </c>
      <c r="Q14791">
        <v>0</v>
      </c>
    </row>
    <row r="14792" spans="1:17" x14ac:dyDescent="0.2">
      <c r="A14792" s="121">
        <v>44255</v>
      </c>
      <c r="B14792" t="s">
        <v>406</v>
      </c>
      <c r="C14792" t="s">
        <v>451</v>
      </c>
      <c r="D14792" t="s">
        <v>622</v>
      </c>
      <c r="E14792" t="s">
        <v>623</v>
      </c>
      <c r="F14792" t="s">
        <v>413</v>
      </c>
      <c r="G14792">
        <v>3294</v>
      </c>
      <c r="H14792">
        <v>3294</v>
      </c>
      <c r="I14792">
        <v>2668</v>
      </c>
      <c r="J14792">
        <v>2668</v>
      </c>
      <c r="K14792">
        <v>1255</v>
      </c>
      <c r="L14792">
        <v>12</v>
      </c>
      <c r="M14792">
        <v>1744</v>
      </c>
      <c r="N14792">
        <v>27</v>
      </c>
      <c r="O14792">
        <v>256</v>
      </c>
      <c r="P14792">
        <v>41</v>
      </c>
      <c r="Q14792">
        <v>5</v>
      </c>
    </row>
    <row r="14793" spans="1:17" x14ac:dyDescent="0.2">
      <c r="A14793" s="121">
        <v>44255</v>
      </c>
      <c r="B14793" t="s">
        <v>406</v>
      </c>
      <c r="C14793" t="s">
        <v>456</v>
      </c>
      <c r="D14793" t="s">
        <v>457</v>
      </c>
      <c r="E14793" t="s">
        <v>458</v>
      </c>
      <c r="F14793" t="s">
        <v>413</v>
      </c>
      <c r="G14793">
        <v>2894</v>
      </c>
      <c r="H14793">
        <v>2894</v>
      </c>
      <c r="I14793">
        <v>2349</v>
      </c>
      <c r="J14793">
        <v>2349</v>
      </c>
      <c r="K14793">
        <v>1093</v>
      </c>
      <c r="L14793">
        <v>8</v>
      </c>
      <c r="M14793">
        <v>1664</v>
      </c>
      <c r="N14793">
        <v>14</v>
      </c>
      <c r="O14793">
        <v>115</v>
      </c>
      <c r="P14793">
        <v>38</v>
      </c>
      <c r="Q14793">
        <v>4</v>
      </c>
    </row>
    <row r="14794" spans="1:17" x14ac:dyDescent="0.2">
      <c r="A14794" s="121">
        <v>44255</v>
      </c>
      <c r="B14794" t="s">
        <v>406</v>
      </c>
      <c r="C14794" t="s">
        <v>456</v>
      </c>
      <c r="D14794" t="s">
        <v>459</v>
      </c>
      <c r="E14794" t="s">
        <v>460</v>
      </c>
      <c r="F14794" t="s">
        <v>413</v>
      </c>
      <c r="G14794">
        <v>651</v>
      </c>
      <c r="H14794">
        <v>651</v>
      </c>
      <c r="I14794">
        <v>641</v>
      </c>
      <c r="J14794">
        <v>641</v>
      </c>
      <c r="K14794">
        <v>71</v>
      </c>
      <c r="L14794">
        <v>0</v>
      </c>
      <c r="M14794">
        <v>576</v>
      </c>
      <c r="N14794">
        <v>0</v>
      </c>
      <c r="O14794">
        <v>4</v>
      </c>
      <c r="P14794">
        <v>0</v>
      </c>
      <c r="Q14794">
        <v>0</v>
      </c>
    </row>
    <row r="14795" spans="1:17" x14ac:dyDescent="0.2">
      <c r="A14795" s="121">
        <v>44255</v>
      </c>
      <c r="B14795" t="s">
        <v>406</v>
      </c>
      <c r="C14795" t="s">
        <v>456</v>
      </c>
      <c r="D14795" t="s">
        <v>467</v>
      </c>
      <c r="E14795" t="s">
        <v>468</v>
      </c>
      <c r="F14795" t="s">
        <v>410</v>
      </c>
      <c r="G14795">
        <v>188</v>
      </c>
      <c r="I14795">
        <v>188</v>
      </c>
    </row>
    <row r="14796" spans="1:17" x14ac:dyDescent="0.2">
      <c r="A14796" s="121">
        <v>44255</v>
      </c>
      <c r="B14796" t="s">
        <v>406</v>
      </c>
      <c r="C14796" t="s">
        <v>456</v>
      </c>
      <c r="D14796" t="s">
        <v>469</v>
      </c>
      <c r="E14796" t="s">
        <v>470</v>
      </c>
      <c r="F14796" t="s">
        <v>410</v>
      </c>
      <c r="G14796">
        <v>174</v>
      </c>
      <c r="I14796">
        <v>173</v>
      </c>
    </row>
    <row r="14797" spans="1:17" x14ac:dyDescent="0.2">
      <c r="A14797" s="121">
        <v>44255</v>
      </c>
      <c r="B14797" t="s">
        <v>406</v>
      </c>
      <c r="C14797" t="s">
        <v>456</v>
      </c>
      <c r="D14797" t="s">
        <v>471</v>
      </c>
      <c r="E14797" t="s">
        <v>472</v>
      </c>
      <c r="F14797" t="s">
        <v>410</v>
      </c>
      <c r="G14797">
        <v>167</v>
      </c>
      <c r="I14797">
        <v>166</v>
      </c>
    </row>
    <row r="14798" spans="1:17" x14ac:dyDescent="0.2">
      <c r="A14798" s="121">
        <v>44255</v>
      </c>
      <c r="B14798" t="s">
        <v>406</v>
      </c>
      <c r="C14798" t="s">
        <v>456</v>
      </c>
      <c r="D14798" t="s">
        <v>477</v>
      </c>
      <c r="E14798" t="s">
        <v>478</v>
      </c>
      <c r="F14798" t="s">
        <v>413</v>
      </c>
      <c r="G14798">
        <v>1396</v>
      </c>
      <c r="H14798">
        <v>1396</v>
      </c>
      <c r="I14798">
        <v>1271</v>
      </c>
      <c r="J14798">
        <v>1271</v>
      </c>
      <c r="K14798">
        <v>458</v>
      </c>
      <c r="L14798">
        <v>2</v>
      </c>
      <c r="M14798">
        <v>921</v>
      </c>
      <c r="N14798">
        <v>13</v>
      </c>
      <c r="O14798">
        <v>2</v>
      </c>
      <c r="P14798">
        <v>4</v>
      </c>
      <c r="Q14798">
        <v>0</v>
      </c>
    </row>
    <row r="14799" spans="1:17" x14ac:dyDescent="0.2">
      <c r="A14799" s="121">
        <v>44255</v>
      </c>
      <c r="B14799" t="s">
        <v>406</v>
      </c>
      <c r="C14799" t="s">
        <v>491</v>
      </c>
      <c r="D14799" t="s">
        <v>492</v>
      </c>
      <c r="E14799" t="s">
        <v>493</v>
      </c>
      <c r="F14799" t="s">
        <v>410</v>
      </c>
      <c r="G14799">
        <v>753</v>
      </c>
      <c r="H14799">
        <v>753</v>
      </c>
      <c r="I14799">
        <v>715</v>
      </c>
      <c r="J14799">
        <v>715</v>
      </c>
      <c r="K14799">
        <v>140</v>
      </c>
      <c r="L14799">
        <v>0</v>
      </c>
      <c r="M14799">
        <v>580</v>
      </c>
      <c r="N14799">
        <v>29</v>
      </c>
      <c r="O14799">
        <v>4</v>
      </c>
      <c r="P14799">
        <v>0</v>
      </c>
      <c r="Q14799">
        <v>0</v>
      </c>
    </row>
    <row r="14800" spans="1:17" x14ac:dyDescent="0.2">
      <c r="A14800" s="121">
        <v>44255</v>
      </c>
      <c r="B14800" t="s">
        <v>406</v>
      </c>
      <c r="C14800" t="s">
        <v>491</v>
      </c>
      <c r="D14800" t="s">
        <v>494</v>
      </c>
      <c r="E14800" t="s">
        <v>495</v>
      </c>
      <c r="F14800" t="s">
        <v>413</v>
      </c>
      <c r="G14800">
        <v>1572</v>
      </c>
      <c r="H14800">
        <v>1572</v>
      </c>
      <c r="I14800">
        <v>1375</v>
      </c>
      <c r="J14800">
        <v>1375</v>
      </c>
      <c r="K14800">
        <v>458</v>
      </c>
      <c r="L14800">
        <v>4</v>
      </c>
      <c r="M14800">
        <v>1057</v>
      </c>
      <c r="N14800">
        <v>23</v>
      </c>
      <c r="O14800">
        <v>30</v>
      </c>
      <c r="P14800">
        <v>20</v>
      </c>
      <c r="Q14800">
        <v>4</v>
      </c>
    </row>
    <row r="14801" spans="1:17" x14ac:dyDescent="0.2">
      <c r="A14801" s="121">
        <v>44255</v>
      </c>
      <c r="B14801" t="s">
        <v>406</v>
      </c>
      <c r="C14801" t="s">
        <v>491</v>
      </c>
      <c r="D14801" t="s">
        <v>496</v>
      </c>
      <c r="E14801" t="s">
        <v>497</v>
      </c>
      <c r="F14801" t="s">
        <v>413</v>
      </c>
      <c r="G14801">
        <v>3404</v>
      </c>
      <c r="H14801">
        <v>3404</v>
      </c>
      <c r="I14801">
        <v>2879</v>
      </c>
      <c r="J14801">
        <v>2879</v>
      </c>
      <c r="K14801">
        <v>1225</v>
      </c>
      <c r="L14801">
        <v>10</v>
      </c>
      <c r="M14801">
        <v>2064</v>
      </c>
      <c r="N14801">
        <v>56</v>
      </c>
      <c r="O14801">
        <v>49</v>
      </c>
      <c r="P14801">
        <v>59</v>
      </c>
      <c r="Q14801">
        <v>2</v>
      </c>
    </row>
    <row r="14802" spans="1:17" x14ac:dyDescent="0.2">
      <c r="A14802" s="121">
        <v>44255</v>
      </c>
      <c r="B14802" t="s">
        <v>406</v>
      </c>
      <c r="C14802" t="s">
        <v>491</v>
      </c>
      <c r="D14802" t="s">
        <v>498</v>
      </c>
      <c r="E14802" t="s">
        <v>499</v>
      </c>
      <c r="F14802" t="s">
        <v>413</v>
      </c>
      <c r="G14802">
        <v>4789</v>
      </c>
      <c r="H14802">
        <v>4789</v>
      </c>
      <c r="I14802">
        <v>4228</v>
      </c>
      <c r="J14802">
        <v>4228</v>
      </c>
      <c r="K14802">
        <v>1633</v>
      </c>
      <c r="L14802">
        <v>13</v>
      </c>
      <c r="M14802">
        <v>2911</v>
      </c>
      <c r="N14802">
        <v>109</v>
      </c>
      <c r="O14802">
        <v>123</v>
      </c>
      <c r="P14802">
        <v>30</v>
      </c>
      <c r="Q14802">
        <v>2</v>
      </c>
    </row>
    <row r="14803" spans="1:17" x14ac:dyDescent="0.2">
      <c r="A14803" s="121">
        <v>44255</v>
      </c>
      <c r="B14803" t="s">
        <v>406</v>
      </c>
      <c r="C14803" t="s">
        <v>491</v>
      </c>
      <c r="D14803" t="s">
        <v>500</v>
      </c>
      <c r="E14803" t="s">
        <v>620</v>
      </c>
      <c r="F14803" t="s">
        <v>410</v>
      </c>
      <c r="G14803">
        <v>1192</v>
      </c>
      <c r="H14803">
        <v>1192</v>
      </c>
      <c r="I14803">
        <v>1192</v>
      </c>
      <c r="J14803">
        <v>1192</v>
      </c>
      <c r="K14803">
        <v>0</v>
      </c>
      <c r="L14803">
        <v>0</v>
      </c>
      <c r="M14803">
        <v>1073</v>
      </c>
      <c r="N14803">
        <v>85</v>
      </c>
      <c r="O14803">
        <v>34</v>
      </c>
      <c r="P14803">
        <v>0</v>
      </c>
      <c r="Q14803">
        <v>0</v>
      </c>
    </row>
    <row r="14804" spans="1:17" x14ac:dyDescent="0.2">
      <c r="A14804" s="121">
        <v>44255</v>
      </c>
      <c r="B14804" t="s">
        <v>406</v>
      </c>
      <c r="C14804" t="s">
        <v>491</v>
      </c>
      <c r="D14804" t="s">
        <v>502</v>
      </c>
      <c r="E14804" t="s">
        <v>615</v>
      </c>
      <c r="F14804" t="s">
        <v>410</v>
      </c>
      <c r="G14804">
        <v>1187</v>
      </c>
      <c r="H14804">
        <v>1187</v>
      </c>
      <c r="I14804">
        <v>1184</v>
      </c>
      <c r="J14804">
        <v>1184</v>
      </c>
      <c r="K14804">
        <v>1</v>
      </c>
      <c r="L14804">
        <v>0</v>
      </c>
      <c r="M14804">
        <v>1129</v>
      </c>
      <c r="N14804">
        <v>41</v>
      </c>
      <c r="O14804">
        <v>16</v>
      </c>
      <c r="P14804">
        <v>0</v>
      </c>
      <c r="Q14804">
        <v>0</v>
      </c>
    </row>
    <row r="14805" spans="1:17" x14ac:dyDescent="0.2">
      <c r="A14805" s="121">
        <v>44255</v>
      </c>
      <c r="B14805" t="s">
        <v>406</v>
      </c>
      <c r="C14805" t="s">
        <v>491</v>
      </c>
      <c r="D14805" t="s">
        <v>504</v>
      </c>
      <c r="E14805" t="s">
        <v>630</v>
      </c>
      <c r="F14805" t="s">
        <v>413</v>
      </c>
      <c r="G14805">
        <v>5366</v>
      </c>
      <c r="H14805">
        <v>5366</v>
      </c>
      <c r="I14805">
        <v>4002</v>
      </c>
      <c r="J14805">
        <v>4002</v>
      </c>
      <c r="K14805">
        <v>2166</v>
      </c>
      <c r="L14805">
        <v>15</v>
      </c>
      <c r="M14805">
        <v>3059</v>
      </c>
      <c r="N14805">
        <v>46</v>
      </c>
      <c r="O14805">
        <v>80</v>
      </c>
      <c r="P14805">
        <v>202</v>
      </c>
      <c r="Q14805">
        <v>18</v>
      </c>
    </row>
    <row r="14806" spans="1:17" x14ac:dyDescent="0.2">
      <c r="A14806" s="121">
        <v>44255</v>
      </c>
      <c r="B14806" t="s">
        <v>406</v>
      </c>
      <c r="C14806" t="s">
        <v>491</v>
      </c>
      <c r="D14806" t="s">
        <v>506</v>
      </c>
      <c r="E14806" t="s">
        <v>507</v>
      </c>
      <c r="F14806" t="s">
        <v>413</v>
      </c>
      <c r="G14806">
        <v>2742</v>
      </c>
      <c r="H14806">
        <v>2742</v>
      </c>
      <c r="I14806">
        <v>2717</v>
      </c>
      <c r="J14806">
        <v>2717</v>
      </c>
      <c r="K14806">
        <v>657</v>
      </c>
      <c r="L14806">
        <v>1</v>
      </c>
      <c r="M14806">
        <v>2082</v>
      </c>
      <c r="N14806">
        <v>0</v>
      </c>
      <c r="O14806">
        <v>2</v>
      </c>
      <c r="P14806">
        <v>0</v>
      </c>
      <c r="Q14806">
        <v>0</v>
      </c>
    </row>
    <row r="14807" spans="1:17" x14ac:dyDescent="0.2">
      <c r="A14807" s="121">
        <v>44255</v>
      </c>
      <c r="B14807" t="s">
        <v>406</v>
      </c>
      <c r="C14807" t="s">
        <v>491</v>
      </c>
      <c r="D14807" t="s">
        <v>508</v>
      </c>
      <c r="E14807" t="s">
        <v>631</v>
      </c>
      <c r="F14807" t="s">
        <v>410</v>
      </c>
      <c r="G14807">
        <v>13</v>
      </c>
      <c r="H14807">
        <v>13</v>
      </c>
      <c r="I14807">
        <v>13</v>
      </c>
      <c r="J14807">
        <v>13</v>
      </c>
      <c r="K14807">
        <v>0</v>
      </c>
      <c r="L14807">
        <v>0</v>
      </c>
      <c r="M14807">
        <v>13</v>
      </c>
      <c r="N14807">
        <v>0</v>
      </c>
      <c r="O14807">
        <v>0</v>
      </c>
      <c r="P14807">
        <v>0</v>
      </c>
      <c r="Q14807">
        <v>0</v>
      </c>
    </row>
    <row r="14808" spans="1:17" x14ac:dyDescent="0.2">
      <c r="A14808" s="121">
        <v>44255</v>
      </c>
      <c r="B14808" t="s">
        <v>406</v>
      </c>
      <c r="C14808" t="s">
        <v>510</v>
      </c>
      <c r="D14808" t="s">
        <v>513</v>
      </c>
      <c r="E14808" t="s">
        <v>514</v>
      </c>
      <c r="F14808" t="s">
        <v>410</v>
      </c>
      <c r="G14808">
        <v>408</v>
      </c>
      <c r="I14808">
        <v>403</v>
      </c>
    </row>
    <row r="14809" spans="1:17" x14ac:dyDescent="0.2">
      <c r="A14809" s="121">
        <v>44255</v>
      </c>
      <c r="B14809" t="s">
        <v>406</v>
      </c>
      <c r="C14809" t="s">
        <v>510</v>
      </c>
      <c r="D14809" t="s">
        <v>515</v>
      </c>
      <c r="E14809" t="s">
        <v>516</v>
      </c>
      <c r="F14809" t="s">
        <v>410</v>
      </c>
      <c r="G14809">
        <v>56</v>
      </c>
      <c r="I14809">
        <v>55</v>
      </c>
    </row>
    <row r="14810" spans="1:17" x14ac:dyDescent="0.2">
      <c r="A14810" s="121">
        <v>44255</v>
      </c>
      <c r="B14810" t="s">
        <v>406</v>
      </c>
      <c r="C14810" t="s">
        <v>510</v>
      </c>
      <c r="D14810" t="s">
        <v>519</v>
      </c>
      <c r="E14810" t="s">
        <v>520</v>
      </c>
      <c r="F14810" t="s">
        <v>410</v>
      </c>
      <c r="G14810">
        <v>232</v>
      </c>
      <c r="I14810">
        <v>232</v>
      </c>
    </row>
    <row r="14811" spans="1:17" x14ac:dyDescent="0.2">
      <c r="A14811" s="121">
        <v>44255</v>
      </c>
      <c r="B14811" t="s">
        <v>406</v>
      </c>
      <c r="C14811" t="s">
        <v>510</v>
      </c>
      <c r="D14811" t="s">
        <v>523</v>
      </c>
      <c r="E14811" t="s">
        <v>524</v>
      </c>
      <c r="F14811" t="s">
        <v>413</v>
      </c>
      <c r="G14811">
        <v>365</v>
      </c>
      <c r="H14811">
        <v>365</v>
      </c>
      <c r="I14811">
        <v>360</v>
      </c>
      <c r="J14811">
        <v>360</v>
      </c>
      <c r="K14811">
        <v>128</v>
      </c>
      <c r="L14811">
        <v>1</v>
      </c>
      <c r="M14811">
        <v>227</v>
      </c>
      <c r="N14811">
        <v>8</v>
      </c>
      <c r="O14811">
        <v>1</v>
      </c>
      <c r="P14811">
        <v>0</v>
      </c>
      <c r="Q14811">
        <v>0</v>
      </c>
    </row>
    <row r="14812" spans="1:17" x14ac:dyDescent="0.2">
      <c r="A14812" s="121">
        <v>44255</v>
      </c>
      <c r="B14812" t="s">
        <v>406</v>
      </c>
      <c r="C14812" t="s">
        <v>510</v>
      </c>
      <c r="D14812" t="s">
        <v>525</v>
      </c>
      <c r="E14812" t="s">
        <v>526</v>
      </c>
      <c r="F14812" t="s">
        <v>410</v>
      </c>
      <c r="G14812">
        <v>277</v>
      </c>
      <c r="I14812">
        <v>276</v>
      </c>
    </row>
    <row r="14813" spans="1:17" x14ac:dyDescent="0.2">
      <c r="A14813" s="121">
        <v>44255</v>
      </c>
      <c r="B14813" t="s">
        <v>406</v>
      </c>
      <c r="C14813" t="s">
        <v>510</v>
      </c>
      <c r="D14813" t="s">
        <v>529</v>
      </c>
      <c r="E14813" t="s">
        <v>530</v>
      </c>
      <c r="F14813" t="s">
        <v>413</v>
      </c>
      <c r="G14813">
        <v>519</v>
      </c>
      <c r="H14813">
        <v>519</v>
      </c>
      <c r="I14813">
        <v>456</v>
      </c>
      <c r="J14813">
        <v>456</v>
      </c>
      <c r="K14813">
        <v>128</v>
      </c>
      <c r="L14813">
        <v>0</v>
      </c>
      <c r="M14813">
        <v>366</v>
      </c>
      <c r="N14813">
        <v>19</v>
      </c>
      <c r="O14813">
        <v>6</v>
      </c>
      <c r="P14813">
        <v>9</v>
      </c>
      <c r="Q14813">
        <v>4</v>
      </c>
    </row>
    <row r="14814" spans="1:17" x14ac:dyDescent="0.2">
      <c r="A14814" s="121">
        <v>44255</v>
      </c>
      <c r="B14814" t="s">
        <v>406</v>
      </c>
      <c r="C14814" t="s">
        <v>510</v>
      </c>
      <c r="D14814" t="s">
        <v>531</v>
      </c>
      <c r="E14814" t="s">
        <v>532</v>
      </c>
      <c r="F14814" t="s">
        <v>410</v>
      </c>
      <c r="G14814">
        <v>16</v>
      </c>
      <c r="I14814">
        <v>16</v>
      </c>
    </row>
    <row r="14815" spans="1:17" x14ac:dyDescent="0.2">
      <c r="A14815" s="121">
        <v>44255</v>
      </c>
      <c r="B14815" t="s">
        <v>406</v>
      </c>
      <c r="C14815" t="s">
        <v>510</v>
      </c>
      <c r="D14815" t="s">
        <v>533</v>
      </c>
      <c r="E14815" t="s">
        <v>534</v>
      </c>
      <c r="F14815" t="s">
        <v>413</v>
      </c>
      <c r="G14815">
        <v>1837</v>
      </c>
      <c r="H14815">
        <v>1837</v>
      </c>
      <c r="I14815">
        <v>1581</v>
      </c>
      <c r="J14815">
        <v>1581</v>
      </c>
      <c r="K14815">
        <v>567</v>
      </c>
      <c r="L14815">
        <v>6</v>
      </c>
      <c r="M14815">
        <v>1194</v>
      </c>
      <c r="N14815">
        <v>15</v>
      </c>
      <c r="O14815">
        <v>55</v>
      </c>
      <c r="P14815">
        <v>34</v>
      </c>
      <c r="Q14815">
        <v>0</v>
      </c>
    </row>
    <row r="14816" spans="1:17" x14ac:dyDescent="0.2">
      <c r="A14816" s="121">
        <v>44255</v>
      </c>
      <c r="B14816" t="s">
        <v>406</v>
      </c>
      <c r="C14816" t="s">
        <v>510</v>
      </c>
      <c r="D14816" t="s">
        <v>535</v>
      </c>
      <c r="E14816" t="s">
        <v>536</v>
      </c>
      <c r="F14816" t="s">
        <v>410</v>
      </c>
      <c r="G14816">
        <v>330</v>
      </c>
      <c r="I14816">
        <v>330</v>
      </c>
    </row>
    <row r="14817" spans="1:17" x14ac:dyDescent="0.2">
      <c r="A14817" s="121">
        <v>44255</v>
      </c>
      <c r="B14817" t="s">
        <v>406</v>
      </c>
      <c r="C14817" t="s">
        <v>510</v>
      </c>
      <c r="D14817" t="s">
        <v>539</v>
      </c>
      <c r="E14817" t="s">
        <v>540</v>
      </c>
      <c r="F14817" t="s">
        <v>413</v>
      </c>
      <c r="G14817">
        <v>344</v>
      </c>
      <c r="H14817">
        <v>344</v>
      </c>
      <c r="I14817">
        <v>329</v>
      </c>
      <c r="J14817">
        <v>329</v>
      </c>
      <c r="K14817">
        <v>75</v>
      </c>
      <c r="L14817">
        <v>1</v>
      </c>
      <c r="M14817">
        <v>260</v>
      </c>
      <c r="N14817">
        <v>8</v>
      </c>
      <c r="O14817">
        <v>0</v>
      </c>
      <c r="P14817">
        <v>0</v>
      </c>
      <c r="Q14817">
        <v>0</v>
      </c>
    </row>
    <row r="14818" spans="1:17" x14ac:dyDescent="0.2">
      <c r="A14818" s="121">
        <v>44255</v>
      </c>
      <c r="B14818" t="s">
        <v>406</v>
      </c>
      <c r="C14818" t="s">
        <v>510</v>
      </c>
      <c r="D14818" t="s">
        <v>541</v>
      </c>
      <c r="E14818" t="s">
        <v>542</v>
      </c>
      <c r="F14818" t="s">
        <v>410</v>
      </c>
      <c r="G14818">
        <v>243</v>
      </c>
      <c r="I14818">
        <v>242</v>
      </c>
    </row>
    <row r="14819" spans="1:17" x14ac:dyDescent="0.2">
      <c r="A14819" s="121">
        <v>44255</v>
      </c>
      <c r="B14819" t="s">
        <v>406</v>
      </c>
      <c r="C14819" t="s">
        <v>510</v>
      </c>
      <c r="D14819" t="s">
        <v>543</v>
      </c>
      <c r="E14819" t="s">
        <v>544</v>
      </c>
      <c r="F14819" t="s">
        <v>410</v>
      </c>
      <c r="G14819">
        <v>33</v>
      </c>
      <c r="I14819">
        <v>33</v>
      </c>
    </row>
    <row r="14820" spans="1:17" x14ac:dyDescent="0.2">
      <c r="A14820" s="121">
        <v>44255</v>
      </c>
      <c r="B14820" t="s">
        <v>406</v>
      </c>
      <c r="C14820" t="s">
        <v>510</v>
      </c>
      <c r="D14820" t="s">
        <v>616</v>
      </c>
      <c r="E14820" t="s">
        <v>617</v>
      </c>
      <c r="F14820" t="s">
        <v>410</v>
      </c>
      <c r="G14820">
        <v>242</v>
      </c>
      <c r="I14820">
        <v>239</v>
      </c>
    </row>
    <row r="14821" spans="1:17" x14ac:dyDescent="0.2">
      <c r="A14821" s="121">
        <v>44255</v>
      </c>
      <c r="B14821" t="s">
        <v>406</v>
      </c>
      <c r="C14821" t="s">
        <v>510</v>
      </c>
      <c r="D14821" t="s">
        <v>549</v>
      </c>
      <c r="E14821" t="s">
        <v>550</v>
      </c>
      <c r="F14821" t="s">
        <v>410</v>
      </c>
      <c r="G14821">
        <v>29</v>
      </c>
      <c r="I14821">
        <v>29</v>
      </c>
    </row>
    <row r="14822" spans="1:17" x14ac:dyDescent="0.2">
      <c r="A14822" s="121">
        <v>44255</v>
      </c>
      <c r="B14822" t="s">
        <v>406</v>
      </c>
      <c r="C14822" t="s">
        <v>510</v>
      </c>
      <c r="D14822" t="s">
        <v>625</v>
      </c>
      <c r="E14822" t="s">
        <v>626</v>
      </c>
      <c r="F14822" t="s">
        <v>410</v>
      </c>
      <c r="G14822">
        <v>65</v>
      </c>
      <c r="I14822">
        <v>65</v>
      </c>
    </row>
    <row r="14823" spans="1:17" x14ac:dyDescent="0.2">
      <c r="A14823" s="121">
        <v>44255</v>
      </c>
      <c r="B14823" t="s">
        <v>406</v>
      </c>
      <c r="C14823" t="s">
        <v>551</v>
      </c>
      <c r="D14823" t="s">
        <v>552</v>
      </c>
      <c r="E14823" t="s">
        <v>553</v>
      </c>
      <c r="F14823" t="s">
        <v>413</v>
      </c>
      <c r="G14823">
        <v>3889</v>
      </c>
      <c r="H14823">
        <v>3889</v>
      </c>
      <c r="I14823">
        <v>3141</v>
      </c>
      <c r="J14823">
        <v>3141</v>
      </c>
      <c r="K14823">
        <v>1608</v>
      </c>
      <c r="L14823">
        <v>6</v>
      </c>
      <c r="M14823">
        <v>2179</v>
      </c>
      <c r="N14823">
        <v>85</v>
      </c>
      <c r="O14823">
        <v>11</v>
      </c>
      <c r="P14823">
        <v>116</v>
      </c>
      <c r="Q14823">
        <v>29</v>
      </c>
    </row>
    <row r="14824" spans="1:17" x14ac:dyDescent="0.2">
      <c r="A14824" s="121">
        <v>44255</v>
      </c>
      <c r="B14824" t="s">
        <v>406</v>
      </c>
      <c r="C14824" t="s">
        <v>551</v>
      </c>
      <c r="D14824" t="s">
        <v>558</v>
      </c>
      <c r="E14824" t="s">
        <v>559</v>
      </c>
      <c r="F14824" t="s">
        <v>413</v>
      </c>
      <c r="G14824">
        <v>3563</v>
      </c>
      <c r="H14824">
        <v>3563</v>
      </c>
      <c r="I14824">
        <v>3168</v>
      </c>
      <c r="J14824">
        <v>3168</v>
      </c>
      <c r="K14824">
        <v>1245</v>
      </c>
      <c r="L14824">
        <v>4</v>
      </c>
      <c r="M14824">
        <v>2250</v>
      </c>
      <c r="N14824">
        <v>59</v>
      </c>
      <c r="O14824">
        <v>5</v>
      </c>
      <c r="P14824">
        <v>49</v>
      </c>
      <c r="Q14824">
        <v>14</v>
      </c>
    </row>
    <row r="14825" spans="1:17" x14ac:dyDescent="0.2">
      <c r="A14825" s="121">
        <v>44255</v>
      </c>
      <c r="B14825" t="s">
        <v>406</v>
      </c>
      <c r="C14825" t="s">
        <v>551</v>
      </c>
      <c r="D14825" t="s">
        <v>560</v>
      </c>
      <c r="E14825" t="s">
        <v>561</v>
      </c>
      <c r="F14825" t="s">
        <v>413</v>
      </c>
      <c r="G14825">
        <v>4411</v>
      </c>
      <c r="H14825">
        <v>4411</v>
      </c>
      <c r="I14825">
        <v>3598</v>
      </c>
      <c r="J14825">
        <v>3598</v>
      </c>
      <c r="K14825">
        <v>1758</v>
      </c>
      <c r="L14825">
        <v>8</v>
      </c>
      <c r="M14825">
        <v>2593</v>
      </c>
      <c r="N14825">
        <v>39</v>
      </c>
      <c r="O14825">
        <v>13</v>
      </c>
      <c r="P14825">
        <v>150</v>
      </c>
      <c r="Q14825">
        <v>31</v>
      </c>
    </row>
    <row r="14826" spans="1:17" x14ac:dyDescent="0.2">
      <c r="A14826" s="121">
        <v>44255</v>
      </c>
      <c r="B14826" t="s">
        <v>406</v>
      </c>
      <c r="C14826" t="s">
        <v>562</v>
      </c>
      <c r="D14826" t="s">
        <v>605</v>
      </c>
      <c r="E14826" t="s">
        <v>606</v>
      </c>
      <c r="F14826" t="s">
        <v>410</v>
      </c>
      <c r="G14826">
        <v>22</v>
      </c>
      <c r="I14826">
        <v>22</v>
      </c>
    </row>
    <row r="14827" spans="1:17" x14ac:dyDescent="0.2">
      <c r="A14827" s="121">
        <v>44255</v>
      </c>
      <c r="B14827" t="s">
        <v>406</v>
      </c>
      <c r="C14827" t="s">
        <v>562</v>
      </c>
      <c r="D14827" t="s">
        <v>563</v>
      </c>
      <c r="E14827" t="s">
        <v>564</v>
      </c>
      <c r="F14827" t="s">
        <v>410</v>
      </c>
      <c r="G14827">
        <v>2346</v>
      </c>
      <c r="H14827">
        <v>2346</v>
      </c>
      <c r="I14827">
        <v>1868</v>
      </c>
      <c r="J14827">
        <v>1868</v>
      </c>
      <c r="K14827">
        <v>1026</v>
      </c>
      <c r="L14827">
        <v>0</v>
      </c>
      <c r="M14827">
        <v>1314</v>
      </c>
      <c r="N14827">
        <v>2</v>
      </c>
      <c r="O14827">
        <v>4</v>
      </c>
      <c r="P14827">
        <v>36</v>
      </c>
      <c r="Q14827">
        <v>7</v>
      </c>
    </row>
    <row r="14828" spans="1:17" x14ac:dyDescent="0.2">
      <c r="A14828" s="121">
        <v>44255</v>
      </c>
      <c r="B14828" t="s">
        <v>406</v>
      </c>
      <c r="C14828" t="s">
        <v>562</v>
      </c>
      <c r="D14828" t="s">
        <v>565</v>
      </c>
      <c r="E14828" t="s">
        <v>566</v>
      </c>
      <c r="F14828" t="s">
        <v>413</v>
      </c>
      <c r="G14828">
        <v>3202</v>
      </c>
      <c r="H14828">
        <v>3202</v>
      </c>
      <c r="I14828">
        <v>2790</v>
      </c>
      <c r="J14828">
        <v>2790</v>
      </c>
      <c r="K14828">
        <v>745</v>
      </c>
      <c r="L14828">
        <v>4</v>
      </c>
      <c r="M14828">
        <v>2253</v>
      </c>
      <c r="N14828">
        <v>40</v>
      </c>
      <c r="O14828">
        <v>160</v>
      </c>
      <c r="P14828">
        <v>63</v>
      </c>
      <c r="Q14828">
        <v>8</v>
      </c>
    </row>
    <row r="14829" spans="1:17" x14ac:dyDescent="0.2">
      <c r="A14829" s="121">
        <v>44255</v>
      </c>
      <c r="B14829" t="s">
        <v>406</v>
      </c>
      <c r="C14829" t="s">
        <v>562</v>
      </c>
      <c r="D14829" t="s">
        <v>567</v>
      </c>
      <c r="E14829" t="s">
        <v>568</v>
      </c>
      <c r="F14829" t="s">
        <v>413</v>
      </c>
      <c r="G14829">
        <v>7096</v>
      </c>
      <c r="H14829">
        <v>7096</v>
      </c>
      <c r="I14829">
        <v>5317</v>
      </c>
      <c r="J14829">
        <v>5317</v>
      </c>
      <c r="K14829">
        <v>2754</v>
      </c>
      <c r="L14829">
        <v>5</v>
      </c>
      <c r="M14829">
        <v>4222</v>
      </c>
      <c r="N14829">
        <v>98</v>
      </c>
      <c r="O14829">
        <v>17</v>
      </c>
      <c r="P14829">
        <v>373</v>
      </c>
      <c r="Q14829">
        <v>87</v>
      </c>
    </row>
    <row r="14830" spans="1:17" x14ac:dyDescent="0.2">
      <c r="A14830" s="121">
        <v>44255</v>
      </c>
      <c r="B14830" t="s">
        <v>406</v>
      </c>
      <c r="C14830" t="s">
        <v>562</v>
      </c>
      <c r="D14830" t="s">
        <v>569</v>
      </c>
      <c r="E14830" t="s">
        <v>570</v>
      </c>
      <c r="F14830" t="s">
        <v>413</v>
      </c>
      <c r="G14830">
        <v>2137</v>
      </c>
      <c r="H14830">
        <v>2137</v>
      </c>
      <c r="I14830">
        <v>2091</v>
      </c>
      <c r="J14830">
        <v>2091</v>
      </c>
      <c r="K14830">
        <v>299</v>
      </c>
      <c r="L14830">
        <v>0</v>
      </c>
      <c r="M14830">
        <v>1747</v>
      </c>
      <c r="N14830">
        <v>65</v>
      </c>
      <c r="O14830">
        <v>26</v>
      </c>
      <c r="P14830">
        <v>0</v>
      </c>
      <c r="Q14830">
        <v>0</v>
      </c>
    </row>
    <row r="14831" spans="1:17" x14ac:dyDescent="0.2">
      <c r="A14831" s="121">
        <v>44255</v>
      </c>
      <c r="B14831" t="s">
        <v>406</v>
      </c>
      <c r="C14831" t="s">
        <v>571</v>
      </c>
      <c r="D14831" t="s">
        <v>572</v>
      </c>
      <c r="E14831" t="s">
        <v>627</v>
      </c>
      <c r="F14831" t="s">
        <v>413</v>
      </c>
      <c r="G14831">
        <v>315</v>
      </c>
      <c r="H14831">
        <v>315</v>
      </c>
      <c r="I14831">
        <v>293</v>
      </c>
      <c r="J14831">
        <v>293</v>
      </c>
      <c r="K14831">
        <v>108</v>
      </c>
      <c r="L14831">
        <v>0</v>
      </c>
      <c r="M14831">
        <v>204</v>
      </c>
      <c r="N14831">
        <v>1</v>
      </c>
      <c r="O14831">
        <v>2</v>
      </c>
      <c r="P14831">
        <v>2</v>
      </c>
      <c r="Q14831">
        <v>0</v>
      </c>
    </row>
    <row r="14832" spans="1:17" x14ac:dyDescent="0.2">
      <c r="A14832" s="121">
        <v>44255</v>
      </c>
      <c r="B14832" t="s">
        <v>406</v>
      </c>
      <c r="C14832" t="s">
        <v>574</v>
      </c>
      <c r="D14832" t="s">
        <v>575</v>
      </c>
      <c r="E14832" t="s">
        <v>576</v>
      </c>
      <c r="F14832" t="s">
        <v>413</v>
      </c>
      <c r="G14832">
        <v>394</v>
      </c>
      <c r="H14832">
        <v>394</v>
      </c>
      <c r="I14832">
        <v>387</v>
      </c>
      <c r="J14832">
        <v>387</v>
      </c>
      <c r="K14832">
        <v>131</v>
      </c>
      <c r="L14832">
        <v>1</v>
      </c>
      <c r="M14832">
        <v>259</v>
      </c>
      <c r="N14832">
        <v>2</v>
      </c>
      <c r="O14832">
        <v>1</v>
      </c>
      <c r="P14832">
        <v>0</v>
      </c>
      <c r="Q14832">
        <v>0</v>
      </c>
    </row>
    <row r="14833" spans="1:17" x14ac:dyDescent="0.2">
      <c r="A14833" s="121">
        <v>44255</v>
      </c>
      <c r="B14833" t="s">
        <v>406</v>
      </c>
      <c r="C14833" t="s">
        <v>577</v>
      </c>
      <c r="D14833" t="s">
        <v>578</v>
      </c>
      <c r="E14833" t="s">
        <v>579</v>
      </c>
      <c r="F14833" t="s">
        <v>413</v>
      </c>
      <c r="G14833">
        <v>2800</v>
      </c>
      <c r="H14833">
        <v>2800</v>
      </c>
      <c r="I14833">
        <v>2684</v>
      </c>
      <c r="J14833">
        <v>2684</v>
      </c>
      <c r="K14833">
        <v>1153</v>
      </c>
      <c r="L14833">
        <v>8</v>
      </c>
      <c r="M14833">
        <v>1533</v>
      </c>
      <c r="N14833">
        <v>79</v>
      </c>
      <c r="O14833">
        <v>27</v>
      </c>
      <c r="P14833">
        <v>1</v>
      </c>
      <c r="Q14833">
        <v>0</v>
      </c>
    </row>
    <row r="14834" spans="1:17" x14ac:dyDescent="0.2">
      <c r="A14834" s="121">
        <v>44255</v>
      </c>
      <c r="B14834" t="s">
        <v>406</v>
      </c>
      <c r="C14834" t="s">
        <v>577</v>
      </c>
      <c r="D14834" t="s">
        <v>580</v>
      </c>
      <c r="E14834" t="s">
        <v>581</v>
      </c>
      <c r="F14834" t="s">
        <v>413</v>
      </c>
      <c r="G14834">
        <v>1029</v>
      </c>
      <c r="H14834">
        <v>1029</v>
      </c>
      <c r="I14834">
        <v>998</v>
      </c>
      <c r="J14834">
        <v>998</v>
      </c>
      <c r="K14834">
        <v>207</v>
      </c>
      <c r="L14834">
        <v>0</v>
      </c>
      <c r="M14834">
        <v>688</v>
      </c>
      <c r="N14834">
        <v>121</v>
      </c>
      <c r="O14834">
        <v>13</v>
      </c>
      <c r="P14834">
        <v>5</v>
      </c>
      <c r="Q14834">
        <v>0</v>
      </c>
    </row>
    <row r="14835" spans="1:17" x14ac:dyDescent="0.2">
      <c r="A14835" s="121">
        <v>44255</v>
      </c>
      <c r="B14835" t="s">
        <v>406</v>
      </c>
      <c r="C14835" t="s">
        <v>577</v>
      </c>
      <c r="D14835" t="s">
        <v>586</v>
      </c>
      <c r="E14835" t="s">
        <v>587</v>
      </c>
      <c r="F14835" t="s">
        <v>410</v>
      </c>
      <c r="G14835">
        <v>429</v>
      </c>
      <c r="H14835">
        <v>429</v>
      </c>
      <c r="I14835">
        <v>429</v>
      </c>
      <c r="J14835">
        <v>429</v>
      </c>
      <c r="K14835">
        <v>0</v>
      </c>
      <c r="L14835">
        <v>0</v>
      </c>
      <c r="M14835">
        <v>372</v>
      </c>
      <c r="N14835">
        <v>54</v>
      </c>
      <c r="O14835">
        <v>3</v>
      </c>
      <c r="P14835">
        <v>0</v>
      </c>
      <c r="Q14835">
        <v>0</v>
      </c>
    </row>
    <row r="14836" spans="1:17" x14ac:dyDescent="0.2">
      <c r="A14836" s="121">
        <v>44255</v>
      </c>
      <c r="B14836" t="s">
        <v>406</v>
      </c>
      <c r="C14836" t="s">
        <v>577</v>
      </c>
      <c r="D14836" t="s">
        <v>590</v>
      </c>
      <c r="E14836" t="s">
        <v>591</v>
      </c>
      <c r="F14836" t="s">
        <v>410</v>
      </c>
      <c r="G14836">
        <v>197</v>
      </c>
      <c r="H14836">
        <v>197</v>
      </c>
      <c r="I14836">
        <v>197</v>
      </c>
      <c r="J14836">
        <v>197</v>
      </c>
      <c r="K14836">
        <v>0</v>
      </c>
      <c r="L14836">
        <v>0</v>
      </c>
      <c r="M14836">
        <v>188</v>
      </c>
      <c r="N14836">
        <v>9</v>
      </c>
      <c r="O14836">
        <v>0</v>
      </c>
      <c r="P14836">
        <v>0</v>
      </c>
      <c r="Q14836">
        <v>0</v>
      </c>
    </row>
    <row r="14837" spans="1:17" x14ac:dyDescent="0.2">
      <c r="A14837" s="121">
        <v>44255</v>
      </c>
      <c r="B14837" t="s">
        <v>406</v>
      </c>
      <c r="C14837" t="s">
        <v>594</v>
      </c>
      <c r="D14837" t="s">
        <v>595</v>
      </c>
      <c r="E14837" t="s">
        <v>596</v>
      </c>
      <c r="F14837" t="s">
        <v>410</v>
      </c>
      <c r="G14837">
        <v>21</v>
      </c>
      <c r="I14837">
        <v>21</v>
      </c>
    </row>
    <row r="14838" spans="1:17" x14ac:dyDescent="0.2">
      <c r="A14838" s="121">
        <v>44255</v>
      </c>
      <c r="B14838" t="s">
        <v>406</v>
      </c>
      <c r="C14838" t="s">
        <v>594</v>
      </c>
      <c r="D14838" t="s">
        <v>597</v>
      </c>
      <c r="E14838" t="s">
        <v>598</v>
      </c>
      <c r="F14838" t="s">
        <v>413</v>
      </c>
      <c r="G14838">
        <v>195</v>
      </c>
      <c r="H14838">
        <v>195</v>
      </c>
      <c r="I14838">
        <v>186</v>
      </c>
      <c r="J14838">
        <v>186</v>
      </c>
      <c r="K14838">
        <v>74</v>
      </c>
      <c r="L14838">
        <v>0</v>
      </c>
      <c r="M14838">
        <v>114</v>
      </c>
      <c r="N14838">
        <v>4</v>
      </c>
      <c r="O14838">
        <v>3</v>
      </c>
      <c r="P14838">
        <v>2</v>
      </c>
      <c r="Q14838">
        <v>0</v>
      </c>
    </row>
    <row r="14839" spans="1:17" x14ac:dyDescent="0.2">
      <c r="A14839" s="121">
        <v>44255</v>
      </c>
      <c r="B14839" t="s">
        <v>406</v>
      </c>
      <c r="C14839" t="s">
        <v>594</v>
      </c>
      <c r="D14839" t="s">
        <v>599</v>
      </c>
      <c r="E14839" t="s">
        <v>600</v>
      </c>
      <c r="F14839" t="s">
        <v>410</v>
      </c>
      <c r="G14839">
        <v>53</v>
      </c>
      <c r="H14839">
        <v>53</v>
      </c>
      <c r="I14839">
        <v>53</v>
      </c>
      <c r="J14839">
        <v>53</v>
      </c>
      <c r="K14839">
        <v>2</v>
      </c>
      <c r="L14839">
        <v>0</v>
      </c>
      <c r="M14839">
        <v>51</v>
      </c>
      <c r="N14839">
        <v>0</v>
      </c>
      <c r="O14839">
        <v>0</v>
      </c>
      <c r="P14839">
        <v>0</v>
      </c>
      <c r="Q14839">
        <v>0</v>
      </c>
    </row>
    <row r="14840" spans="1:17" x14ac:dyDescent="0.2">
      <c r="A14840" s="121">
        <v>44286</v>
      </c>
      <c r="B14840" t="s">
        <v>406</v>
      </c>
      <c r="C14840" t="s">
        <v>407</v>
      </c>
      <c r="D14840" t="s">
        <v>408</v>
      </c>
      <c r="E14840" t="s">
        <v>409</v>
      </c>
      <c r="F14840" t="s">
        <v>410</v>
      </c>
      <c r="G14840">
        <v>133</v>
      </c>
      <c r="I14840">
        <v>131</v>
      </c>
    </row>
    <row r="14841" spans="1:17" x14ac:dyDescent="0.2">
      <c r="A14841" s="121">
        <v>44286</v>
      </c>
      <c r="B14841" t="s">
        <v>406</v>
      </c>
      <c r="C14841" t="s">
        <v>407</v>
      </c>
      <c r="D14841" t="s">
        <v>601</v>
      </c>
      <c r="E14841" t="s">
        <v>602</v>
      </c>
      <c r="F14841" t="s">
        <v>410</v>
      </c>
      <c r="G14841">
        <v>31</v>
      </c>
      <c r="I14841">
        <v>29</v>
      </c>
    </row>
    <row r="14842" spans="1:17" x14ac:dyDescent="0.2">
      <c r="A14842" s="121">
        <v>44286</v>
      </c>
      <c r="B14842" t="s">
        <v>406</v>
      </c>
      <c r="C14842" t="s">
        <v>407</v>
      </c>
      <c r="D14842" t="s">
        <v>411</v>
      </c>
      <c r="E14842" t="s">
        <v>412</v>
      </c>
      <c r="F14842" t="s">
        <v>413</v>
      </c>
      <c r="G14842">
        <v>4062</v>
      </c>
      <c r="H14842">
        <v>4062</v>
      </c>
      <c r="I14842">
        <v>3354</v>
      </c>
      <c r="J14842">
        <v>3354</v>
      </c>
      <c r="K14842">
        <v>1429</v>
      </c>
      <c r="L14842">
        <v>6</v>
      </c>
      <c r="M14842">
        <v>2381</v>
      </c>
      <c r="N14842">
        <v>41</v>
      </c>
      <c r="O14842">
        <v>205</v>
      </c>
      <c r="P14842">
        <v>296</v>
      </c>
      <c r="Q14842">
        <v>138</v>
      </c>
    </row>
    <row r="14843" spans="1:17" x14ac:dyDescent="0.2">
      <c r="A14843" s="121">
        <v>44286</v>
      </c>
      <c r="B14843" t="s">
        <v>406</v>
      </c>
      <c r="C14843" t="s">
        <v>407</v>
      </c>
      <c r="D14843" t="s">
        <v>416</v>
      </c>
      <c r="E14843" t="s">
        <v>417</v>
      </c>
      <c r="F14843" t="s">
        <v>413</v>
      </c>
      <c r="G14843">
        <v>2077</v>
      </c>
      <c r="H14843">
        <v>2077</v>
      </c>
      <c r="I14843">
        <v>1755</v>
      </c>
      <c r="J14843">
        <v>1755</v>
      </c>
      <c r="K14843">
        <v>740</v>
      </c>
      <c r="L14843">
        <v>7</v>
      </c>
      <c r="M14843">
        <v>1270</v>
      </c>
      <c r="N14843">
        <v>49</v>
      </c>
      <c r="O14843">
        <v>11</v>
      </c>
      <c r="P14843">
        <v>86</v>
      </c>
      <c r="Q14843">
        <v>19</v>
      </c>
    </row>
    <row r="14844" spans="1:17" x14ac:dyDescent="0.2">
      <c r="A14844" s="121">
        <v>44286</v>
      </c>
      <c r="B14844" t="s">
        <v>406</v>
      </c>
      <c r="C14844" t="s">
        <v>407</v>
      </c>
      <c r="D14844" t="s">
        <v>618</v>
      </c>
      <c r="E14844" t="s">
        <v>619</v>
      </c>
      <c r="F14844" t="s">
        <v>410</v>
      </c>
      <c r="G14844">
        <v>29</v>
      </c>
      <c r="I14844">
        <v>29</v>
      </c>
    </row>
    <row r="14845" spans="1:17" x14ac:dyDescent="0.2">
      <c r="A14845" s="121">
        <v>44286</v>
      </c>
      <c r="B14845" t="s">
        <v>406</v>
      </c>
      <c r="C14845" t="s">
        <v>418</v>
      </c>
      <c r="D14845" t="s">
        <v>421</v>
      </c>
      <c r="E14845" t="s">
        <v>422</v>
      </c>
      <c r="F14845" t="s">
        <v>410</v>
      </c>
      <c r="G14845">
        <v>1</v>
      </c>
      <c r="I14845">
        <v>1</v>
      </c>
    </row>
    <row r="14846" spans="1:17" x14ac:dyDescent="0.2">
      <c r="A14846" s="121">
        <v>44286</v>
      </c>
      <c r="B14846" t="s">
        <v>406</v>
      </c>
      <c r="C14846" t="s">
        <v>418</v>
      </c>
      <c r="D14846" t="s">
        <v>425</v>
      </c>
      <c r="E14846" t="s">
        <v>426</v>
      </c>
      <c r="F14846" t="s">
        <v>410</v>
      </c>
      <c r="G14846">
        <v>24</v>
      </c>
      <c r="I14846">
        <v>24</v>
      </c>
    </row>
    <row r="14847" spans="1:17" x14ac:dyDescent="0.2">
      <c r="A14847" s="121">
        <v>44286</v>
      </c>
      <c r="B14847" t="s">
        <v>406</v>
      </c>
      <c r="C14847" t="s">
        <v>418</v>
      </c>
      <c r="D14847" t="s">
        <v>427</v>
      </c>
      <c r="E14847" t="s">
        <v>428</v>
      </c>
      <c r="F14847" t="s">
        <v>413</v>
      </c>
      <c r="G14847">
        <v>2114</v>
      </c>
      <c r="H14847">
        <v>2114</v>
      </c>
      <c r="I14847">
        <v>1830</v>
      </c>
      <c r="J14847">
        <v>1830</v>
      </c>
      <c r="K14847">
        <v>807</v>
      </c>
      <c r="L14847">
        <v>2</v>
      </c>
      <c r="M14847">
        <v>1265</v>
      </c>
      <c r="N14847">
        <v>35</v>
      </c>
      <c r="O14847">
        <v>5</v>
      </c>
      <c r="P14847">
        <v>18</v>
      </c>
      <c r="Q14847">
        <v>3</v>
      </c>
    </row>
    <row r="14848" spans="1:17" x14ac:dyDescent="0.2">
      <c r="A14848" s="121">
        <v>44286</v>
      </c>
      <c r="B14848" t="s">
        <v>406</v>
      </c>
      <c r="C14848" t="s">
        <v>429</v>
      </c>
      <c r="D14848" t="s">
        <v>438</v>
      </c>
      <c r="E14848" t="s">
        <v>439</v>
      </c>
      <c r="F14848" t="s">
        <v>413</v>
      </c>
      <c r="G14848">
        <v>708</v>
      </c>
      <c r="H14848">
        <v>708</v>
      </c>
      <c r="I14848">
        <v>651</v>
      </c>
      <c r="J14848">
        <v>651</v>
      </c>
      <c r="K14848">
        <v>63</v>
      </c>
      <c r="L14848">
        <v>0</v>
      </c>
      <c r="M14848">
        <v>582</v>
      </c>
      <c r="N14848">
        <v>44</v>
      </c>
      <c r="O14848">
        <v>19</v>
      </c>
      <c r="P14848">
        <v>5</v>
      </c>
      <c r="Q14848">
        <v>0</v>
      </c>
    </row>
    <row r="14849" spans="1:17" x14ac:dyDescent="0.2">
      <c r="A14849" s="121">
        <v>44286</v>
      </c>
      <c r="B14849" t="s">
        <v>406</v>
      </c>
      <c r="C14849" t="s">
        <v>429</v>
      </c>
      <c r="D14849" t="s">
        <v>440</v>
      </c>
      <c r="E14849" t="s">
        <v>441</v>
      </c>
      <c r="F14849" t="s">
        <v>413</v>
      </c>
      <c r="G14849">
        <v>1907</v>
      </c>
      <c r="H14849">
        <v>1907</v>
      </c>
      <c r="I14849">
        <v>1689</v>
      </c>
      <c r="J14849">
        <v>1689</v>
      </c>
      <c r="K14849">
        <v>647</v>
      </c>
      <c r="L14849">
        <v>3</v>
      </c>
      <c r="M14849">
        <v>1201</v>
      </c>
      <c r="N14849">
        <v>33</v>
      </c>
      <c r="O14849">
        <v>23</v>
      </c>
      <c r="P14849">
        <v>3</v>
      </c>
      <c r="Q14849">
        <v>1</v>
      </c>
    </row>
    <row r="14850" spans="1:17" x14ac:dyDescent="0.2">
      <c r="A14850" s="121">
        <v>44286</v>
      </c>
      <c r="B14850" t="s">
        <v>406</v>
      </c>
      <c r="C14850" t="s">
        <v>442</v>
      </c>
      <c r="D14850" t="s">
        <v>443</v>
      </c>
      <c r="E14850" t="s">
        <v>444</v>
      </c>
      <c r="F14850" t="s">
        <v>413</v>
      </c>
      <c r="G14850">
        <v>4684</v>
      </c>
      <c r="H14850">
        <v>4684</v>
      </c>
      <c r="I14850">
        <v>4169</v>
      </c>
      <c r="J14850">
        <v>4169</v>
      </c>
      <c r="K14850">
        <v>1580</v>
      </c>
      <c r="L14850">
        <v>8</v>
      </c>
      <c r="M14850">
        <v>2981</v>
      </c>
      <c r="N14850">
        <v>43</v>
      </c>
      <c r="O14850">
        <v>72</v>
      </c>
      <c r="P14850">
        <v>19</v>
      </c>
      <c r="Q14850">
        <v>0</v>
      </c>
    </row>
    <row r="14851" spans="1:17" x14ac:dyDescent="0.2">
      <c r="A14851" s="121">
        <v>44286</v>
      </c>
      <c r="B14851" t="s">
        <v>406</v>
      </c>
      <c r="C14851" t="s">
        <v>442</v>
      </c>
      <c r="D14851" t="s">
        <v>445</v>
      </c>
      <c r="E14851" t="s">
        <v>446</v>
      </c>
      <c r="F14851" t="s">
        <v>410</v>
      </c>
      <c r="G14851">
        <v>82</v>
      </c>
      <c r="H14851">
        <v>82</v>
      </c>
      <c r="I14851">
        <v>82</v>
      </c>
      <c r="J14851">
        <v>82</v>
      </c>
      <c r="K14851">
        <v>0</v>
      </c>
      <c r="L14851">
        <v>0</v>
      </c>
      <c r="M14851">
        <v>76</v>
      </c>
      <c r="N14851">
        <v>4</v>
      </c>
      <c r="O14851">
        <v>2</v>
      </c>
      <c r="P14851">
        <v>0</v>
      </c>
      <c r="Q14851">
        <v>0</v>
      </c>
    </row>
    <row r="14852" spans="1:17" x14ac:dyDescent="0.2">
      <c r="A14852" s="121">
        <v>44286</v>
      </c>
      <c r="B14852" t="s">
        <v>406</v>
      </c>
      <c r="C14852" t="s">
        <v>442</v>
      </c>
      <c r="D14852" t="s">
        <v>447</v>
      </c>
      <c r="E14852" t="s">
        <v>448</v>
      </c>
      <c r="F14852" t="s">
        <v>410</v>
      </c>
      <c r="G14852">
        <v>144</v>
      </c>
      <c r="H14852">
        <v>144</v>
      </c>
      <c r="I14852">
        <v>143</v>
      </c>
      <c r="J14852">
        <v>143</v>
      </c>
      <c r="K14852">
        <v>0</v>
      </c>
      <c r="L14852">
        <v>0</v>
      </c>
      <c r="M14852">
        <v>139</v>
      </c>
      <c r="N14852">
        <v>5</v>
      </c>
      <c r="O14852">
        <v>0</v>
      </c>
      <c r="P14852">
        <v>0</v>
      </c>
      <c r="Q14852">
        <v>0</v>
      </c>
    </row>
    <row r="14853" spans="1:17" x14ac:dyDescent="0.2">
      <c r="A14853" s="121">
        <v>44286</v>
      </c>
      <c r="B14853" t="s">
        <v>406</v>
      </c>
      <c r="C14853" t="s">
        <v>442</v>
      </c>
      <c r="D14853" t="s">
        <v>449</v>
      </c>
      <c r="E14853" t="s">
        <v>624</v>
      </c>
      <c r="F14853" t="s">
        <v>410</v>
      </c>
      <c r="G14853">
        <v>793</v>
      </c>
      <c r="H14853">
        <v>793</v>
      </c>
      <c r="I14853">
        <v>791</v>
      </c>
      <c r="J14853">
        <v>791</v>
      </c>
      <c r="K14853">
        <v>4</v>
      </c>
      <c r="L14853">
        <v>0</v>
      </c>
      <c r="M14853">
        <v>746</v>
      </c>
      <c r="N14853">
        <v>36</v>
      </c>
      <c r="O14853">
        <v>7</v>
      </c>
      <c r="P14853">
        <v>0</v>
      </c>
      <c r="Q14853">
        <v>0</v>
      </c>
    </row>
    <row r="14854" spans="1:17" x14ac:dyDescent="0.2">
      <c r="A14854" s="121">
        <v>44286</v>
      </c>
      <c r="B14854" t="s">
        <v>406</v>
      </c>
      <c r="C14854" t="s">
        <v>451</v>
      </c>
      <c r="D14854" t="s">
        <v>454</v>
      </c>
      <c r="E14854" t="s">
        <v>621</v>
      </c>
      <c r="F14854" t="s">
        <v>410</v>
      </c>
      <c r="G14854">
        <v>1000</v>
      </c>
      <c r="H14854">
        <v>1000</v>
      </c>
      <c r="I14854">
        <v>999</v>
      </c>
      <c r="J14854">
        <v>999</v>
      </c>
      <c r="K14854">
        <v>2</v>
      </c>
      <c r="L14854">
        <v>0</v>
      </c>
      <c r="M14854">
        <v>945</v>
      </c>
      <c r="N14854">
        <v>2</v>
      </c>
      <c r="O14854">
        <v>51</v>
      </c>
      <c r="P14854">
        <v>0</v>
      </c>
      <c r="Q14854">
        <v>0</v>
      </c>
    </row>
    <row r="14855" spans="1:17" x14ac:dyDescent="0.2">
      <c r="A14855" s="121">
        <v>44286</v>
      </c>
      <c r="B14855" t="s">
        <v>406</v>
      </c>
      <c r="C14855" t="s">
        <v>451</v>
      </c>
      <c r="D14855" t="s">
        <v>622</v>
      </c>
      <c r="E14855" t="s">
        <v>623</v>
      </c>
      <c r="F14855" t="s">
        <v>413</v>
      </c>
      <c r="G14855">
        <v>4332</v>
      </c>
      <c r="H14855">
        <v>4332</v>
      </c>
      <c r="I14855">
        <v>3666</v>
      </c>
      <c r="J14855">
        <v>3666</v>
      </c>
      <c r="K14855">
        <v>1443</v>
      </c>
      <c r="L14855">
        <v>6</v>
      </c>
      <c r="M14855">
        <v>2398</v>
      </c>
      <c r="N14855">
        <v>35</v>
      </c>
      <c r="O14855">
        <v>450</v>
      </c>
      <c r="P14855">
        <v>37</v>
      </c>
      <c r="Q14855">
        <v>6</v>
      </c>
    </row>
    <row r="14856" spans="1:17" x14ac:dyDescent="0.2">
      <c r="A14856" s="121">
        <v>44286</v>
      </c>
      <c r="B14856" t="s">
        <v>406</v>
      </c>
      <c r="C14856" t="s">
        <v>456</v>
      </c>
      <c r="D14856" t="s">
        <v>457</v>
      </c>
      <c r="E14856" t="s">
        <v>458</v>
      </c>
      <c r="F14856" t="s">
        <v>413</v>
      </c>
      <c r="G14856">
        <v>3458</v>
      </c>
      <c r="H14856">
        <v>3458</v>
      </c>
      <c r="I14856">
        <v>2818</v>
      </c>
      <c r="J14856">
        <v>2818</v>
      </c>
      <c r="K14856">
        <v>1241</v>
      </c>
      <c r="L14856">
        <v>8</v>
      </c>
      <c r="M14856">
        <v>2080</v>
      </c>
      <c r="N14856">
        <v>11</v>
      </c>
      <c r="O14856">
        <v>118</v>
      </c>
      <c r="P14856">
        <v>22</v>
      </c>
      <c r="Q14856">
        <v>1</v>
      </c>
    </row>
    <row r="14857" spans="1:17" x14ac:dyDescent="0.2">
      <c r="A14857" s="121">
        <v>44286</v>
      </c>
      <c r="B14857" t="s">
        <v>406</v>
      </c>
      <c r="C14857" t="s">
        <v>456</v>
      </c>
      <c r="D14857" t="s">
        <v>459</v>
      </c>
      <c r="E14857" t="s">
        <v>460</v>
      </c>
      <c r="F14857" t="s">
        <v>413</v>
      </c>
      <c r="G14857">
        <v>991</v>
      </c>
      <c r="H14857">
        <v>991</v>
      </c>
      <c r="I14857">
        <v>980</v>
      </c>
      <c r="J14857">
        <v>980</v>
      </c>
      <c r="K14857">
        <v>88</v>
      </c>
      <c r="L14857">
        <v>1</v>
      </c>
      <c r="M14857">
        <v>897</v>
      </c>
      <c r="N14857">
        <v>0</v>
      </c>
      <c r="O14857">
        <v>5</v>
      </c>
      <c r="P14857">
        <v>1</v>
      </c>
      <c r="Q14857">
        <v>0</v>
      </c>
    </row>
    <row r="14858" spans="1:17" x14ac:dyDescent="0.2">
      <c r="A14858" s="121">
        <v>44286</v>
      </c>
      <c r="B14858" t="s">
        <v>406</v>
      </c>
      <c r="C14858" t="s">
        <v>456</v>
      </c>
      <c r="D14858" t="s">
        <v>467</v>
      </c>
      <c r="E14858" t="s">
        <v>468</v>
      </c>
      <c r="F14858" t="s">
        <v>410</v>
      </c>
      <c r="G14858">
        <v>289</v>
      </c>
      <c r="I14858">
        <v>287</v>
      </c>
    </row>
    <row r="14859" spans="1:17" x14ac:dyDescent="0.2">
      <c r="A14859" s="121">
        <v>44286</v>
      </c>
      <c r="B14859" t="s">
        <v>406</v>
      </c>
      <c r="C14859" t="s">
        <v>456</v>
      </c>
      <c r="D14859" t="s">
        <v>469</v>
      </c>
      <c r="E14859" t="s">
        <v>470</v>
      </c>
      <c r="F14859" t="s">
        <v>410</v>
      </c>
      <c r="G14859">
        <v>231</v>
      </c>
      <c r="I14859">
        <v>231</v>
      </c>
    </row>
    <row r="14860" spans="1:17" x14ac:dyDescent="0.2">
      <c r="A14860" s="121">
        <v>44286</v>
      </c>
      <c r="B14860" t="s">
        <v>406</v>
      </c>
      <c r="C14860" t="s">
        <v>456</v>
      </c>
      <c r="D14860" t="s">
        <v>471</v>
      </c>
      <c r="E14860" t="s">
        <v>472</v>
      </c>
      <c r="F14860" t="s">
        <v>410</v>
      </c>
      <c r="G14860">
        <v>216</v>
      </c>
      <c r="I14860">
        <v>215</v>
      </c>
    </row>
    <row r="14861" spans="1:17" x14ac:dyDescent="0.2">
      <c r="A14861" s="121">
        <v>44286</v>
      </c>
      <c r="B14861" t="s">
        <v>406</v>
      </c>
      <c r="C14861" t="s">
        <v>456</v>
      </c>
      <c r="D14861" t="s">
        <v>477</v>
      </c>
      <c r="E14861" t="s">
        <v>478</v>
      </c>
      <c r="F14861" t="s">
        <v>413</v>
      </c>
      <c r="G14861">
        <v>1820</v>
      </c>
      <c r="H14861">
        <v>1820</v>
      </c>
      <c r="I14861">
        <v>1666</v>
      </c>
      <c r="J14861">
        <v>1666</v>
      </c>
      <c r="K14861">
        <v>540</v>
      </c>
      <c r="L14861">
        <v>2</v>
      </c>
      <c r="M14861">
        <v>1265</v>
      </c>
      <c r="N14861">
        <v>12</v>
      </c>
      <c r="O14861">
        <v>1</v>
      </c>
      <c r="P14861">
        <v>21</v>
      </c>
      <c r="Q14861">
        <v>1</v>
      </c>
    </row>
    <row r="14862" spans="1:17" x14ac:dyDescent="0.2">
      <c r="A14862" s="121">
        <v>44286</v>
      </c>
      <c r="B14862" t="s">
        <v>406</v>
      </c>
      <c r="C14862" t="s">
        <v>491</v>
      </c>
      <c r="D14862" t="s">
        <v>492</v>
      </c>
      <c r="E14862" t="s">
        <v>493</v>
      </c>
      <c r="F14862" t="s">
        <v>410</v>
      </c>
      <c r="G14862">
        <v>1025</v>
      </c>
      <c r="H14862">
        <v>1025</v>
      </c>
      <c r="I14862">
        <v>979</v>
      </c>
      <c r="J14862">
        <v>979</v>
      </c>
      <c r="K14862">
        <v>169</v>
      </c>
      <c r="L14862">
        <v>0</v>
      </c>
      <c r="M14862">
        <v>809</v>
      </c>
      <c r="N14862">
        <v>45</v>
      </c>
      <c r="O14862">
        <v>2</v>
      </c>
      <c r="P14862">
        <v>2</v>
      </c>
      <c r="Q14862">
        <v>0</v>
      </c>
    </row>
    <row r="14863" spans="1:17" x14ac:dyDescent="0.2">
      <c r="A14863" s="121">
        <v>44286</v>
      </c>
      <c r="B14863" t="s">
        <v>406</v>
      </c>
      <c r="C14863" t="s">
        <v>491</v>
      </c>
      <c r="D14863" t="s">
        <v>494</v>
      </c>
      <c r="E14863" t="s">
        <v>495</v>
      </c>
      <c r="F14863" t="s">
        <v>413</v>
      </c>
      <c r="G14863">
        <v>2132</v>
      </c>
      <c r="H14863">
        <v>2132</v>
      </c>
      <c r="I14863">
        <v>1898</v>
      </c>
      <c r="J14863">
        <v>1898</v>
      </c>
      <c r="K14863">
        <v>546</v>
      </c>
      <c r="L14863">
        <v>4</v>
      </c>
      <c r="M14863">
        <v>1493</v>
      </c>
      <c r="N14863">
        <v>44</v>
      </c>
      <c r="O14863">
        <v>45</v>
      </c>
      <c r="P14863">
        <v>9</v>
      </c>
      <c r="Q14863">
        <v>1</v>
      </c>
    </row>
    <row r="14864" spans="1:17" x14ac:dyDescent="0.2">
      <c r="A14864" s="121">
        <v>44286</v>
      </c>
      <c r="B14864" t="s">
        <v>406</v>
      </c>
      <c r="C14864" t="s">
        <v>491</v>
      </c>
      <c r="D14864" t="s">
        <v>496</v>
      </c>
      <c r="E14864" t="s">
        <v>497</v>
      </c>
      <c r="F14864" t="s">
        <v>413</v>
      </c>
      <c r="G14864">
        <v>4446</v>
      </c>
      <c r="H14864">
        <v>4446</v>
      </c>
      <c r="I14864">
        <v>3826</v>
      </c>
      <c r="J14864">
        <v>3826</v>
      </c>
      <c r="K14864">
        <v>1508</v>
      </c>
      <c r="L14864">
        <v>9</v>
      </c>
      <c r="M14864">
        <v>2752</v>
      </c>
      <c r="N14864">
        <v>80</v>
      </c>
      <c r="O14864">
        <v>97</v>
      </c>
      <c r="P14864">
        <v>69</v>
      </c>
      <c r="Q14864">
        <v>0</v>
      </c>
    </row>
    <row r="14865" spans="1:17" x14ac:dyDescent="0.2">
      <c r="A14865" s="121">
        <v>44286</v>
      </c>
      <c r="B14865" t="s">
        <v>406</v>
      </c>
      <c r="C14865" t="s">
        <v>491</v>
      </c>
      <c r="D14865" t="s">
        <v>498</v>
      </c>
      <c r="E14865" t="s">
        <v>499</v>
      </c>
      <c r="F14865" t="s">
        <v>413</v>
      </c>
      <c r="G14865">
        <v>5998</v>
      </c>
      <c r="H14865">
        <v>5998</v>
      </c>
      <c r="I14865">
        <v>5506</v>
      </c>
      <c r="J14865">
        <v>5506</v>
      </c>
      <c r="K14865">
        <v>1974</v>
      </c>
      <c r="L14865">
        <v>9</v>
      </c>
      <c r="M14865">
        <v>3741</v>
      </c>
      <c r="N14865">
        <v>141</v>
      </c>
      <c r="O14865">
        <v>133</v>
      </c>
      <c r="P14865">
        <v>31</v>
      </c>
      <c r="Q14865">
        <v>5</v>
      </c>
    </row>
    <row r="14866" spans="1:17" x14ac:dyDescent="0.2">
      <c r="A14866" s="121">
        <v>44286</v>
      </c>
      <c r="B14866" t="s">
        <v>406</v>
      </c>
      <c r="C14866" t="s">
        <v>491</v>
      </c>
      <c r="D14866" t="s">
        <v>500</v>
      </c>
      <c r="E14866" t="s">
        <v>620</v>
      </c>
      <c r="F14866" t="s">
        <v>410</v>
      </c>
      <c r="G14866">
        <v>1543</v>
      </c>
      <c r="H14866">
        <v>1543</v>
      </c>
      <c r="I14866">
        <v>1543</v>
      </c>
      <c r="J14866">
        <v>1543</v>
      </c>
      <c r="K14866">
        <v>0</v>
      </c>
      <c r="L14866">
        <v>1</v>
      </c>
      <c r="M14866">
        <v>1401</v>
      </c>
      <c r="N14866">
        <v>78</v>
      </c>
      <c r="O14866">
        <v>63</v>
      </c>
      <c r="P14866">
        <v>0</v>
      </c>
      <c r="Q14866">
        <v>0</v>
      </c>
    </row>
    <row r="14867" spans="1:17" x14ac:dyDescent="0.2">
      <c r="A14867" s="121">
        <v>44286</v>
      </c>
      <c r="B14867" t="s">
        <v>406</v>
      </c>
      <c r="C14867" t="s">
        <v>491</v>
      </c>
      <c r="D14867" t="s">
        <v>502</v>
      </c>
      <c r="E14867" t="s">
        <v>615</v>
      </c>
      <c r="F14867" t="s">
        <v>410</v>
      </c>
      <c r="G14867">
        <v>1641</v>
      </c>
      <c r="H14867">
        <v>1641</v>
      </c>
      <c r="I14867">
        <v>1640</v>
      </c>
      <c r="J14867">
        <v>1640</v>
      </c>
      <c r="K14867">
        <v>1</v>
      </c>
      <c r="L14867">
        <v>0</v>
      </c>
      <c r="M14867">
        <v>1574</v>
      </c>
      <c r="N14867">
        <v>53</v>
      </c>
      <c r="O14867">
        <v>13</v>
      </c>
      <c r="P14867">
        <v>0</v>
      </c>
      <c r="Q14867">
        <v>0</v>
      </c>
    </row>
    <row r="14868" spans="1:17" x14ac:dyDescent="0.2">
      <c r="A14868" s="121">
        <v>44286</v>
      </c>
      <c r="B14868" t="s">
        <v>406</v>
      </c>
      <c r="C14868" t="s">
        <v>491</v>
      </c>
      <c r="D14868" t="s">
        <v>504</v>
      </c>
      <c r="E14868" t="s">
        <v>630</v>
      </c>
      <c r="F14868" t="s">
        <v>413</v>
      </c>
      <c r="G14868">
        <v>6652</v>
      </c>
      <c r="H14868">
        <v>6652</v>
      </c>
      <c r="I14868">
        <v>5847</v>
      </c>
      <c r="J14868">
        <v>5847</v>
      </c>
      <c r="K14868">
        <v>2641</v>
      </c>
      <c r="L14868">
        <v>26</v>
      </c>
      <c r="M14868">
        <v>3855</v>
      </c>
      <c r="N14868">
        <v>51</v>
      </c>
      <c r="O14868">
        <v>79</v>
      </c>
      <c r="P14868">
        <v>41</v>
      </c>
      <c r="Q14868">
        <v>0</v>
      </c>
    </row>
    <row r="14869" spans="1:17" x14ac:dyDescent="0.2">
      <c r="A14869" s="121">
        <v>44286</v>
      </c>
      <c r="B14869" t="s">
        <v>406</v>
      </c>
      <c r="C14869" t="s">
        <v>491</v>
      </c>
      <c r="D14869" t="s">
        <v>506</v>
      </c>
      <c r="E14869" t="s">
        <v>507</v>
      </c>
      <c r="F14869" t="s">
        <v>413</v>
      </c>
      <c r="G14869">
        <v>4176</v>
      </c>
      <c r="H14869">
        <v>4176</v>
      </c>
      <c r="I14869">
        <v>4139</v>
      </c>
      <c r="J14869">
        <v>4139</v>
      </c>
      <c r="K14869">
        <v>948</v>
      </c>
      <c r="L14869">
        <v>1</v>
      </c>
      <c r="M14869">
        <v>3223</v>
      </c>
      <c r="N14869">
        <v>0</v>
      </c>
      <c r="O14869">
        <v>4</v>
      </c>
      <c r="P14869">
        <v>0</v>
      </c>
      <c r="Q14869">
        <v>0</v>
      </c>
    </row>
    <row r="14870" spans="1:17" x14ac:dyDescent="0.2">
      <c r="A14870" s="121">
        <v>44286</v>
      </c>
      <c r="B14870" t="s">
        <v>406</v>
      </c>
      <c r="C14870" t="s">
        <v>491</v>
      </c>
      <c r="D14870" t="s">
        <v>508</v>
      </c>
      <c r="E14870" t="s">
        <v>631</v>
      </c>
      <c r="F14870" t="s">
        <v>410</v>
      </c>
      <c r="G14870">
        <v>17</v>
      </c>
      <c r="H14870">
        <v>17</v>
      </c>
      <c r="I14870">
        <v>17</v>
      </c>
      <c r="J14870">
        <v>17</v>
      </c>
      <c r="K14870">
        <v>0</v>
      </c>
      <c r="L14870">
        <v>0</v>
      </c>
      <c r="M14870">
        <v>17</v>
      </c>
      <c r="N14870">
        <v>0</v>
      </c>
      <c r="O14870">
        <v>0</v>
      </c>
      <c r="P14870">
        <v>0</v>
      </c>
      <c r="Q14870">
        <v>0</v>
      </c>
    </row>
    <row r="14871" spans="1:17" x14ac:dyDescent="0.2">
      <c r="A14871" s="121">
        <v>44286</v>
      </c>
      <c r="B14871" t="s">
        <v>406</v>
      </c>
      <c r="C14871" t="s">
        <v>510</v>
      </c>
      <c r="D14871" t="s">
        <v>513</v>
      </c>
      <c r="E14871" t="s">
        <v>514</v>
      </c>
      <c r="F14871" t="s">
        <v>410</v>
      </c>
      <c r="G14871">
        <v>490</v>
      </c>
      <c r="I14871">
        <v>482</v>
      </c>
    </row>
    <row r="14872" spans="1:17" x14ac:dyDescent="0.2">
      <c r="A14872" s="121">
        <v>44286</v>
      </c>
      <c r="B14872" t="s">
        <v>406</v>
      </c>
      <c r="C14872" t="s">
        <v>510</v>
      </c>
      <c r="D14872" t="s">
        <v>515</v>
      </c>
      <c r="E14872" t="s">
        <v>516</v>
      </c>
      <c r="F14872" t="s">
        <v>410</v>
      </c>
      <c r="G14872">
        <v>63</v>
      </c>
      <c r="I14872">
        <v>61</v>
      </c>
    </row>
    <row r="14873" spans="1:17" x14ac:dyDescent="0.2">
      <c r="A14873" s="121">
        <v>44286</v>
      </c>
      <c r="B14873" t="s">
        <v>406</v>
      </c>
      <c r="C14873" t="s">
        <v>510</v>
      </c>
      <c r="D14873" t="s">
        <v>519</v>
      </c>
      <c r="E14873" t="s">
        <v>520</v>
      </c>
      <c r="F14873" t="s">
        <v>410</v>
      </c>
      <c r="G14873">
        <v>269</v>
      </c>
      <c r="I14873">
        <v>269</v>
      </c>
    </row>
    <row r="14874" spans="1:17" x14ac:dyDescent="0.2">
      <c r="A14874" s="121">
        <v>44286</v>
      </c>
      <c r="B14874" t="s">
        <v>406</v>
      </c>
      <c r="C14874" t="s">
        <v>510</v>
      </c>
      <c r="D14874" t="s">
        <v>523</v>
      </c>
      <c r="E14874" t="s">
        <v>524</v>
      </c>
      <c r="F14874" t="s">
        <v>413</v>
      </c>
      <c r="G14874">
        <v>503</v>
      </c>
      <c r="H14874">
        <v>503</v>
      </c>
      <c r="I14874">
        <v>487</v>
      </c>
      <c r="J14874">
        <v>487</v>
      </c>
      <c r="K14874">
        <v>142</v>
      </c>
      <c r="L14874">
        <v>0</v>
      </c>
      <c r="M14874">
        <v>337</v>
      </c>
      <c r="N14874">
        <v>14</v>
      </c>
      <c r="O14874">
        <v>10</v>
      </c>
      <c r="P14874">
        <v>1</v>
      </c>
      <c r="Q14874">
        <v>0</v>
      </c>
    </row>
    <row r="14875" spans="1:17" x14ac:dyDescent="0.2">
      <c r="A14875" s="121">
        <v>44286</v>
      </c>
      <c r="B14875" t="s">
        <v>406</v>
      </c>
      <c r="C14875" t="s">
        <v>510</v>
      </c>
      <c r="D14875" t="s">
        <v>525</v>
      </c>
      <c r="E14875" t="s">
        <v>526</v>
      </c>
      <c r="F14875" t="s">
        <v>410</v>
      </c>
      <c r="G14875">
        <v>365</v>
      </c>
      <c r="I14875">
        <v>363</v>
      </c>
    </row>
    <row r="14876" spans="1:17" x14ac:dyDescent="0.2">
      <c r="A14876" s="121">
        <v>44286</v>
      </c>
      <c r="B14876" t="s">
        <v>406</v>
      </c>
      <c r="C14876" t="s">
        <v>510</v>
      </c>
      <c r="D14876" t="s">
        <v>527</v>
      </c>
      <c r="E14876" t="s">
        <v>528</v>
      </c>
      <c r="F14876" t="s">
        <v>410</v>
      </c>
      <c r="G14876">
        <v>11</v>
      </c>
      <c r="I14876">
        <v>11</v>
      </c>
    </row>
    <row r="14877" spans="1:17" x14ac:dyDescent="0.2">
      <c r="A14877" s="121">
        <v>44286</v>
      </c>
      <c r="B14877" t="s">
        <v>406</v>
      </c>
      <c r="C14877" t="s">
        <v>510</v>
      </c>
      <c r="D14877" t="s">
        <v>529</v>
      </c>
      <c r="E14877" t="s">
        <v>530</v>
      </c>
      <c r="F14877" t="s">
        <v>413</v>
      </c>
      <c r="G14877">
        <v>621</v>
      </c>
      <c r="H14877">
        <v>621</v>
      </c>
      <c r="I14877">
        <v>598</v>
      </c>
      <c r="J14877">
        <v>598</v>
      </c>
      <c r="K14877">
        <v>146</v>
      </c>
      <c r="L14877">
        <v>1</v>
      </c>
      <c r="M14877">
        <v>452</v>
      </c>
      <c r="N14877">
        <v>16</v>
      </c>
      <c r="O14877">
        <v>6</v>
      </c>
      <c r="P14877">
        <v>2</v>
      </c>
      <c r="Q14877">
        <v>1</v>
      </c>
    </row>
    <row r="14878" spans="1:17" x14ac:dyDescent="0.2">
      <c r="A14878" s="121">
        <v>44286</v>
      </c>
      <c r="B14878" t="s">
        <v>406</v>
      </c>
      <c r="C14878" t="s">
        <v>510</v>
      </c>
      <c r="D14878" t="s">
        <v>531</v>
      </c>
      <c r="E14878" t="s">
        <v>532</v>
      </c>
      <c r="F14878" t="s">
        <v>410</v>
      </c>
      <c r="G14878">
        <v>13</v>
      </c>
      <c r="I14878">
        <v>13</v>
      </c>
    </row>
    <row r="14879" spans="1:17" x14ac:dyDescent="0.2">
      <c r="A14879" s="121">
        <v>44286</v>
      </c>
      <c r="B14879" t="s">
        <v>406</v>
      </c>
      <c r="C14879" t="s">
        <v>510</v>
      </c>
      <c r="D14879" t="s">
        <v>533</v>
      </c>
      <c r="E14879" t="s">
        <v>534</v>
      </c>
      <c r="F14879" t="s">
        <v>413</v>
      </c>
      <c r="G14879">
        <v>2349</v>
      </c>
      <c r="H14879">
        <v>2349</v>
      </c>
      <c r="I14879">
        <v>2003</v>
      </c>
      <c r="J14879">
        <v>2003</v>
      </c>
      <c r="K14879">
        <v>706</v>
      </c>
      <c r="L14879">
        <v>3</v>
      </c>
      <c r="M14879">
        <v>1548</v>
      </c>
      <c r="N14879">
        <v>19</v>
      </c>
      <c r="O14879">
        <v>73</v>
      </c>
      <c r="P14879">
        <v>46</v>
      </c>
      <c r="Q14879">
        <v>1</v>
      </c>
    </row>
    <row r="14880" spans="1:17" x14ac:dyDescent="0.2">
      <c r="A14880" s="121">
        <v>44286</v>
      </c>
      <c r="B14880" t="s">
        <v>406</v>
      </c>
      <c r="C14880" t="s">
        <v>510</v>
      </c>
      <c r="D14880" t="s">
        <v>535</v>
      </c>
      <c r="E14880" t="s">
        <v>536</v>
      </c>
      <c r="F14880" t="s">
        <v>410</v>
      </c>
      <c r="G14880">
        <v>188</v>
      </c>
      <c r="I14880">
        <v>188</v>
      </c>
    </row>
    <row r="14881" spans="1:17" x14ac:dyDescent="0.2">
      <c r="A14881" s="121">
        <v>44286</v>
      </c>
      <c r="B14881" t="s">
        <v>406</v>
      </c>
      <c r="C14881" t="s">
        <v>510</v>
      </c>
      <c r="D14881" t="s">
        <v>539</v>
      </c>
      <c r="E14881" t="s">
        <v>540</v>
      </c>
      <c r="F14881" t="s">
        <v>413</v>
      </c>
      <c r="G14881">
        <v>423</v>
      </c>
      <c r="H14881">
        <v>423</v>
      </c>
      <c r="I14881">
        <v>400</v>
      </c>
      <c r="J14881">
        <v>400</v>
      </c>
      <c r="K14881">
        <v>88</v>
      </c>
      <c r="L14881">
        <v>1</v>
      </c>
      <c r="M14881">
        <v>320</v>
      </c>
      <c r="N14881">
        <v>12</v>
      </c>
      <c r="O14881">
        <v>2</v>
      </c>
      <c r="P14881">
        <v>2</v>
      </c>
      <c r="Q14881">
        <v>1</v>
      </c>
    </row>
    <row r="14882" spans="1:17" x14ac:dyDescent="0.2">
      <c r="A14882" s="121">
        <v>44286</v>
      </c>
      <c r="B14882" t="s">
        <v>406</v>
      </c>
      <c r="C14882" t="s">
        <v>510</v>
      </c>
      <c r="D14882" t="s">
        <v>541</v>
      </c>
      <c r="E14882" t="s">
        <v>542</v>
      </c>
      <c r="F14882" t="s">
        <v>410</v>
      </c>
      <c r="G14882">
        <v>271</v>
      </c>
      <c r="I14882">
        <v>271</v>
      </c>
    </row>
    <row r="14883" spans="1:17" x14ac:dyDescent="0.2">
      <c r="A14883" s="121">
        <v>44286</v>
      </c>
      <c r="B14883" t="s">
        <v>406</v>
      </c>
      <c r="C14883" t="s">
        <v>510</v>
      </c>
      <c r="D14883" t="s">
        <v>543</v>
      </c>
      <c r="E14883" t="s">
        <v>544</v>
      </c>
      <c r="F14883" t="s">
        <v>410</v>
      </c>
      <c r="G14883">
        <v>17</v>
      </c>
      <c r="I14883">
        <v>17</v>
      </c>
    </row>
    <row r="14884" spans="1:17" x14ac:dyDescent="0.2">
      <c r="A14884" s="121">
        <v>44286</v>
      </c>
      <c r="B14884" t="s">
        <v>406</v>
      </c>
      <c r="C14884" t="s">
        <v>510</v>
      </c>
      <c r="D14884" t="s">
        <v>616</v>
      </c>
      <c r="E14884" t="s">
        <v>617</v>
      </c>
      <c r="F14884" t="s">
        <v>410</v>
      </c>
      <c r="G14884">
        <v>292</v>
      </c>
      <c r="I14884">
        <v>286</v>
      </c>
    </row>
    <row r="14885" spans="1:17" x14ac:dyDescent="0.2">
      <c r="A14885" s="121">
        <v>44286</v>
      </c>
      <c r="B14885" t="s">
        <v>406</v>
      </c>
      <c r="C14885" t="s">
        <v>510</v>
      </c>
      <c r="D14885" t="s">
        <v>549</v>
      </c>
      <c r="E14885" t="s">
        <v>550</v>
      </c>
      <c r="F14885" t="s">
        <v>410</v>
      </c>
      <c r="G14885">
        <v>31</v>
      </c>
      <c r="I14885">
        <v>31</v>
      </c>
    </row>
    <row r="14886" spans="1:17" x14ac:dyDescent="0.2">
      <c r="A14886" s="121">
        <v>44286</v>
      </c>
      <c r="B14886" t="s">
        <v>406</v>
      </c>
      <c r="C14886" t="s">
        <v>510</v>
      </c>
      <c r="D14886" t="s">
        <v>625</v>
      </c>
      <c r="E14886" t="s">
        <v>626</v>
      </c>
      <c r="F14886" t="s">
        <v>410</v>
      </c>
      <c r="G14886">
        <v>98</v>
      </c>
      <c r="I14886">
        <v>98</v>
      </c>
    </row>
    <row r="14887" spans="1:17" x14ac:dyDescent="0.2">
      <c r="A14887" s="121">
        <v>44286</v>
      </c>
      <c r="B14887" t="s">
        <v>406</v>
      </c>
      <c r="C14887" t="s">
        <v>551</v>
      </c>
      <c r="D14887" t="s">
        <v>552</v>
      </c>
      <c r="E14887" t="s">
        <v>553</v>
      </c>
      <c r="F14887" t="s">
        <v>413</v>
      </c>
      <c r="G14887">
        <v>5055</v>
      </c>
      <c r="H14887">
        <v>5055</v>
      </c>
      <c r="I14887">
        <v>4188</v>
      </c>
      <c r="J14887">
        <v>4188</v>
      </c>
      <c r="K14887">
        <v>1941</v>
      </c>
      <c r="L14887">
        <v>4</v>
      </c>
      <c r="M14887">
        <v>3016</v>
      </c>
      <c r="N14887">
        <v>87</v>
      </c>
      <c r="O14887">
        <v>7</v>
      </c>
      <c r="P14887">
        <v>123</v>
      </c>
      <c r="Q14887">
        <v>26</v>
      </c>
    </row>
    <row r="14888" spans="1:17" x14ac:dyDescent="0.2">
      <c r="A14888" s="121">
        <v>44286</v>
      </c>
      <c r="B14888" t="s">
        <v>406</v>
      </c>
      <c r="C14888" t="s">
        <v>551</v>
      </c>
      <c r="D14888" t="s">
        <v>558</v>
      </c>
      <c r="E14888" t="s">
        <v>559</v>
      </c>
      <c r="F14888" t="s">
        <v>413</v>
      </c>
      <c r="G14888">
        <v>4643</v>
      </c>
      <c r="H14888">
        <v>4643</v>
      </c>
      <c r="I14888">
        <v>4030</v>
      </c>
      <c r="J14888">
        <v>4030</v>
      </c>
      <c r="K14888">
        <v>1495</v>
      </c>
      <c r="L14888">
        <v>1</v>
      </c>
      <c r="M14888">
        <v>3074</v>
      </c>
      <c r="N14888">
        <v>63</v>
      </c>
      <c r="O14888">
        <v>10</v>
      </c>
      <c r="P14888">
        <v>50</v>
      </c>
      <c r="Q14888">
        <v>12</v>
      </c>
    </row>
    <row r="14889" spans="1:17" x14ac:dyDescent="0.2">
      <c r="A14889" s="121">
        <v>44286</v>
      </c>
      <c r="B14889" t="s">
        <v>406</v>
      </c>
      <c r="C14889" t="s">
        <v>551</v>
      </c>
      <c r="D14889" t="s">
        <v>560</v>
      </c>
      <c r="E14889" t="s">
        <v>561</v>
      </c>
      <c r="F14889" t="s">
        <v>413</v>
      </c>
      <c r="G14889">
        <v>5806</v>
      </c>
      <c r="H14889">
        <v>5806</v>
      </c>
      <c r="I14889">
        <v>4626</v>
      </c>
      <c r="J14889">
        <v>4626</v>
      </c>
      <c r="K14889">
        <v>2034</v>
      </c>
      <c r="L14889">
        <v>12</v>
      </c>
      <c r="M14889">
        <v>3681</v>
      </c>
      <c r="N14889">
        <v>48</v>
      </c>
      <c r="O14889">
        <v>31</v>
      </c>
      <c r="P14889">
        <v>164</v>
      </c>
      <c r="Q14889">
        <v>26</v>
      </c>
    </row>
    <row r="14890" spans="1:17" x14ac:dyDescent="0.2">
      <c r="A14890" s="121">
        <v>44286</v>
      </c>
      <c r="B14890" t="s">
        <v>406</v>
      </c>
      <c r="C14890" t="s">
        <v>562</v>
      </c>
      <c r="D14890" t="s">
        <v>605</v>
      </c>
      <c r="E14890" t="s">
        <v>606</v>
      </c>
      <c r="F14890" t="s">
        <v>410</v>
      </c>
      <c r="G14890">
        <v>74</v>
      </c>
      <c r="I14890">
        <v>74</v>
      </c>
    </row>
    <row r="14891" spans="1:17" x14ac:dyDescent="0.2">
      <c r="A14891" s="121">
        <v>44286</v>
      </c>
      <c r="B14891" t="s">
        <v>406</v>
      </c>
      <c r="C14891" t="s">
        <v>562</v>
      </c>
      <c r="D14891" t="s">
        <v>563</v>
      </c>
      <c r="E14891" t="s">
        <v>564</v>
      </c>
      <c r="F14891" t="s">
        <v>410</v>
      </c>
      <c r="G14891">
        <v>2803</v>
      </c>
      <c r="H14891">
        <v>2803</v>
      </c>
      <c r="I14891">
        <v>2236</v>
      </c>
      <c r="J14891">
        <v>2236</v>
      </c>
      <c r="K14891">
        <v>1210</v>
      </c>
      <c r="L14891">
        <v>0</v>
      </c>
      <c r="M14891">
        <v>1590</v>
      </c>
      <c r="N14891">
        <v>0</v>
      </c>
      <c r="O14891">
        <v>3</v>
      </c>
      <c r="P14891">
        <v>31</v>
      </c>
      <c r="Q14891">
        <v>9</v>
      </c>
    </row>
    <row r="14892" spans="1:17" x14ac:dyDescent="0.2">
      <c r="A14892" s="121">
        <v>44286</v>
      </c>
      <c r="B14892" t="s">
        <v>406</v>
      </c>
      <c r="C14892" t="s">
        <v>562</v>
      </c>
      <c r="D14892" t="s">
        <v>565</v>
      </c>
      <c r="E14892" t="s">
        <v>566</v>
      </c>
      <c r="F14892" t="s">
        <v>413</v>
      </c>
      <c r="G14892">
        <v>4040</v>
      </c>
      <c r="H14892">
        <v>4040</v>
      </c>
      <c r="I14892">
        <v>3637</v>
      </c>
      <c r="J14892">
        <v>3637</v>
      </c>
      <c r="K14892">
        <v>913</v>
      </c>
      <c r="L14892">
        <v>3</v>
      </c>
      <c r="M14892">
        <v>2795</v>
      </c>
      <c r="N14892">
        <v>43</v>
      </c>
      <c r="O14892">
        <v>286</v>
      </c>
      <c r="P14892">
        <v>40</v>
      </c>
      <c r="Q14892">
        <v>7</v>
      </c>
    </row>
    <row r="14893" spans="1:17" x14ac:dyDescent="0.2">
      <c r="A14893" s="121">
        <v>44286</v>
      </c>
      <c r="B14893" t="s">
        <v>406</v>
      </c>
      <c r="C14893" t="s">
        <v>562</v>
      </c>
      <c r="D14893" t="s">
        <v>567</v>
      </c>
      <c r="E14893" t="s">
        <v>568</v>
      </c>
      <c r="F14893" t="s">
        <v>413</v>
      </c>
      <c r="G14893">
        <v>8746</v>
      </c>
      <c r="H14893">
        <v>8746</v>
      </c>
      <c r="I14893">
        <v>6950</v>
      </c>
      <c r="J14893">
        <v>6950</v>
      </c>
      <c r="K14893">
        <v>3280</v>
      </c>
      <c r="L14893">
        <v>4</v>
      </c>
      <c r="M14893">
        <v>5360</v>
      </c>
      <c r="N14893">
        <v>77</v>
      </c>
      <c r="O14893">
        <v>25</v>
      </c>
      <c r="P14893">
        <v>266</v>
      </c>
      <c r="Q14893">
        <v>63</v>
      </c>
    </row>
    <row r="14894" spans="1:17" x14ac:dyDescent="0.2">
      <c r="A14894" s="121">
        <v>44286</v>
      </c>
      <c r="B14894" t="s">
        <v>406</v>
      </c>
      <c r="C14894" t="s">
        <v>562</v>
      </c>
      <c r="D14894" t="s">
        <v>569</v>
      </c>
      <c r="E14894" t="s">
        <v>570</v>
      </c>
      <c r="F14894" t="s">
        <v>413</v>
      </c>
      <c r="G14894">
        <v>3264</v>
      </c>
      <c r="H14894">
        <v>3264</v>
      </c>
      <c r="I14894">
        <v>3183</v>
      </c>
      <c r="J14894">
        <v>3183</v>
      </c>
      <c r="K14894">
        <v>396</v>
      </c>
      <c r="L14894">
        <v>0</v>
      </c>
      <c r="M14894">
        <v>2765</v>
      </c>
      <c r="N14894">
        <v>69</v>
      </c>
      <c r="O14894">
        <v>34</v>
      </c>
      <c r="P14894">
        <v>1</v>
      </c>
      <c r="Q14894">
        <v>0</v>
      </c>
    </row>
    <row r="14895" spans="1:17" x14ac:dyDescent="0.2">
      <c r="A14895" s="121">
        <v>44286</v>
      </c>
      <c r="B14895" t="s">
        <v>406</v>
      </c>
      <c r="C14895" t="s">
        <v>571</v>
      </c>
      <c r="D14895" t="s">
        <v>572</v>
      </c>
      <c r="E14895" t="s">
        <v>627</v>
      </c>
      <c r="F14895" t="s">
        <v>413</v>
      </c>
      <c r="G14895">
        <v>411</v>
      </c>
      <c r="H14895">
        <v>411</v>
      </c>
      <c r="I14895">
        <v>394</v>
      </c>
      <c r="J14895">
        <v>394</v>
      </c>
      <c r="K14895">
        <v>124</v>
      </c>
      <c r="L14895">
        <v>0</v>
      </c>
      <c r="M14895">
        <v>284</v>
      </c>
      <c r="N14895">
        <v>0</v>
      </c>
      <c r="O14895">
        <v>3</v>
      </c>
      <c r="P14895">
        <v>0</v>
      </c>
      <c r="Q14895">
        <v>0</v>
      </c>
    </row>
    <row r="14896" spans="1:17" x14ac:dyDescent="0.2">
      <c r="A14896" s="121">
        <v>44286</v>
      </c>
      <c r="B14896" t="s">
        <v>406</v>
      </c>
      <c r="C14896" t="s">
        <v>574</v>
      </c>
      <c r="D14896" t="s">
        <v>575</v>
      </c>
      <c r="E14896" t="s">
        <v>576</v>
      </c>
      <c r="F14896" t="s">
        <v>413</v>
      </c>
      <c r="G14896">
        <v>428</v>
      </c>
      <c r="H14896">
        <v>428</v>
      </c>
      <c r="I14896">
        <v>421</v>
      </c>
      <c r="J14896">
        <v>421</v>
      </c>
      <c r="K14896">
        <v>142</v>
      </c>
      <c r="L14896">
        <v>1</v>
      </c>
      <c r="M14896">
        <v>280</v>
      </c>
      <c r="N14896">
        <v>0</v>
      </c>
      <c r="O14896">
        <v>5</v>
      </c>
      <c r="P14896">
        <v>0</v>
      </c>
      <c r="Q14896">
        <v>0</v>
      </c>
    </row>
    <row r="14897" spans="1:17" x14ac:dyDescent="0.2">
      <c r="A14897" s="121">
        <v>44286</v>
      </c>
      <c r="B14897" t="s">
        <v>406</v>
      </c>
      <c r="C14897" t="s">
        <v>577</v>
      </c>
      <c r="D14897" t="s">
        <v>578</v>
      </c>
      <c r="E14897" t="s">
        <v>579</v>
      </c>
      <c r="F14897" t="s">
        <v>413</v>
      </c>
      <c r="G14897">
        <v>3552</v>
      </c>
      <c r="H14897">
        <v>3552</v>
      </c>
      <c r="I14897">
        <v>3433</v>
      </c>
      <c r="J14897">
        <v>3433</v>
      </c>
      <c r="K14897">
        <v>1363</v>
      </c>
      <c r="L14897">
        <v>6</v>
      </c>
      <c r="M14897">
        <v>2041</v>
      </c>
      <c r="N14897">
        <v>107</v>
      </c>
      <c r="O14897">
        <v>35</v>
      </c>
      <c r="P14897">
        <v>1</v>
      </c>
      <c r="Q14897">
        <v>0</v>
      </c>
    </row>
    <row r="14898" spans="1:17" x14ac:dyDescent="0.2">
      <c r="A14898" s="121">
        <v>44286</v>
      </c>
      <c r="B14898" t="s">
        <v>406</v>
      </c>
      <c r="C14898" t="s">
        <v>577</v>
      </c>
      <c r="D14898" t="s">
        <v>580</v>
      </c>
      <c r="E14898" t="s">
        <v>581</v>
      </c>
      <c r="F14898" t="s">
        <v>413</v>
      </c>
      <c r="G14898">
        <v>1333</v>
      </c>
      <c r="H14898">
        <v>1333</v>
      </c>
      <c r="I14898">
        <v>1285</v>
      </c>
      <c r="J14898">
        <v>1285</v>
      </c>
      <c r="K14898">
        <v>245</v>
      </c>
      <c r="L14898">
        <v>0</v>
      </c>
      <c r="M14898">
        <v>956</v>
      </c>
      <c r="N14898">
        <v>127</v>
      </c>
      <c r="O14898">
        <v>5</v>
      </c>
      <c r="P14898">
        <v>2</v>
      </c>
      <c r="Q14898">
        <v>0</v>
      </c>
    </row>
    <row r="14899" spans="1:17" x14ac:dyDescent="0.2">
      <c r="A14899" s="121">
        <v>44286</v>
      </c>
      <c r="B14899" t="s">
        <v>406</v>
      </c>
      <c r="C14899" t="s">
        <v>577</v>
      </c>
      <c r="D14899" t="s">
        <v>586</v>
      </c>
      <c r="E14899" t="s">
        <v>587</v>
      </c>
      <c r="F14899" t="s">
        <v>410</v>
      </c>
      <c r="G14899">
        <v>585</v>
      </c>
      <c r="H14899">
        <v>585</v>
      </c>
      <c r="I14899">
        <v>585</v>
      </c>
      <c r="J14899">
        <v>585</v>
      </c>
      <c r="K14899">
        <v>0</v>
      </c>
      <c r="L14899">
        <v>1</v>
      </c>
      <c r="M14899">
        <v>540</v>
      </c>
      <c r="N14899">
        <v>44</v>
      </c>
      <c r="O14899">
        <v>0</v>
      </c>
      <c r="P14899">
        <v>0</v>
      </c>
      <c r="Q14899">
        <v>0</v>
      </c>
    </row>
    <row r="14900" spans="1:17" x14ac:dyDescent="0.2">
      <c r="A14900" s="121">
        <v>44286</v>
      </c>
      <c r="B14900" t="s">
        <v>406</v>
      </c>
      <c r="C14900" t="s">
        <v>577</v>
      </c>
      <c r="D14900" t="s">
        <v>590</v>
      </c>
      <c r="E14900" t="s">
        <v>591</v>
      </c>
      <c r="F14900" t="s">
        <v>410</v>
      </c>
      <c r="G14900">
        <v>265</v>
      </c>
      <c r="H14900">
        <v>265</v>
      </c>
      <c r="I14900">
        <v>265</v>
      </c>
      <c r="J14900">
        <v>265</v>
      </c>
      <c r="K14900">
        <v>0</v>
      </c>
      <c r="L14900">
        <v>0</v>
      </c>
      <c r="M14900">
        <v>257</v>
      </c>
      <c r="N14900">
        <v>8</v>
      </c>
      <c r="O14900">
        <v>0</v>
      </c>
      <c r="P14900">
        <v>0</v>
      </c>
      <c r="Q14900">
        <v>0</v>
      </c>
    </row>
    <row r="14901" spans="1:17" x14ac:dyDescent="0.2">
      <c r="A14901" s="121">
        <v>44286</v>
      </c>
      <c r="B14901" t="s">
        <v>406</v>
      </c>
      <c r="C14901" t="s">
        <v>594</v>
      </c>
      <c r="D14901" t="s">
        <v>595</v>
      </c>
      <c r="E14901" t="s">
        <v>596</v>
      </c>
      <c r="F14901" t="s">
        <v>410</v>
      </c>
      <c r="G14901">
        <v>33</v>
      </c>
      <c r="I14901">
        <v>33</v>
      </c>
    </row>
    <row r="14902" spans="1:17" x14ac:dyDescent="0.2">
      <c r="A14902" s="121">
        <v>44286</v>
      </c>
      <c r="B14902" t="s">
        <v>406</v>
      </c>
      <c r="C14902" t="s">
        <v>594</v>
      </c>
      <c r="D14902" t="s">
        <v>597</v>
      </c>
      <c r="E14902" t="s">
        <v>598</v>
      </c>
      <c r="F14902" t="s">
        <v>413</v>
      </c>
      <c r="G14902">
        <v>239</v>
      </c>
      <c r="H14902">
        <v>239</v>
      </c>
      <c r="I14902">
        <v>228</v>
      </c>
      <c r="J14902">
        <v>228</v>
      </c>
      <c r="K14902">
        <v>81</v>
      </c>
      <c r="L14902">
        <v>0</v>
      </c>
      <c r="M14902">
        <v>149</v>
      </c>
      <c r="N14902">
        <v>5</v>
      </c>
      <c r="O14902">
        <v>4</v>
      </c>
      <c r="P14902">
        <v>1</v>
      </c>
      <c r="Q14902">
        <v>1</v>
      </c>
    </row>
    <row r="14903" spans="1:17" x14ac:dyDescent="0.2">
      <c r="A14903" s="121">
        <v>44286</v>
      </c>
      <c r="B14903" t="s">
        <v>406</v>
      </c>
      <c r="C14903" t="s">
        <v>594</v>
      </c>
      <c r="D14903" t="s">
        <v>599</v>
      </c>
      <c r="E14903" t="s">
        <v>600</v>
      </c>
      <c r="F14903" t="s">
        <v>410</v>
      </c>
      <c r="G14903">
        <v>71</v>
      </c>
      <c r="H14903">
        <v>71</v>
      </c>
      <c r="I14903">
        <v>70</v>
      </c>
      <c r="J14903">
        <v>70</v>
      </c>
      <c r="K14903">
        <v>3</v>
      </c>
      <c r="L14903">
        <v>0</v>
      </c>
      <c r="M14903">
        <v>68</v>
      </c>
      <c r="N14903">
        <v>0</v>
      </c>
      <c r="O14903">
        <v>0</v>
      </c>
      <c r="P14903">
        <v>0</v>
      </c>
      <c r="Q14903">
        <v>0</v>
      </c>
    </row>
    <row r="14904" spans="1:17" x14ac:dyDescent="0.2">
      <c r="A14904" s="121">
        <v>44316</v>
      </c>
      <c r="B14904" t="s">
        <v>406</v>
      </c>
      <c r="C14904" t="s">
        <v>407</v>
      </c>
      <c r="D14904" t="s">
        <v>408</v>
      </c>
      <c r="E14904" t="s">
        <v>409</v>
      </c>
      <c r="F14904" t="s">
        <v>410</v>
      </c>
      <c r="G14904">
        <v>134</v>
      </c>
      <c r="I14904">
        <v>130</v>
      </c>
    </row>
    <row r="14905" spans="1:17" x14ac:dyDescent="0.2">
      <c r="A14905" s="121">
        <v>44316</v>
      </c>
      <c r="B14905" t="s">
        <v>406</v>
      </c>
      <c r="C14905" t="s">
        <v>407</v>
      </c>
      <c r="D14905" t="s">
        <v>601</v>
      </c>
      <c r="E14905" t="s">
        <v>602</v>
      </c>
      <c r="F14905" t="s">
        <v>410</v>
      </c>
      <c r="G14905">
        <v>53</v>
      </c>
      <c r="I14905">
        <v>53</v>
      </c>
    </row>
    <row r="14906" spans="1:17" x14ac:dyDescent="0.2">
      <c r="A14906" s="121">
        <v>44316</v>
      </c>
      <c r="B14906" t="s">
        <v>406</v>
      </c>
      <c r="C14906" t="s">
        <v>407</v>
      </c>
      <c r="D14906" t="s">
        <v>411</v>
      </c>
      <c r="E14906" t="s">
        <v>412</v>
      </c>
      <c r="F14906" t="s">
        <v>413</v>
      </c>
      <c r="G14906">
        <v>4856</v>
      </c>
      <c r="H14906">
        <v>4856</v>
      </c>
      <c r="I14906">
        <v>4159</v>
      </c>
      <c r="J14906">
        <v>4159</v>
      </c>
      <c r="K14906">
        <v>1357</v>
      </c>
      <c r="L14906">
        <v>6</v>
      </c>
      <c r="M14906">
        <v>3156</v>
      </c>
      <c r="N14906">
        <v>43</v>
      </c>
      <c r="O14906">
        <v>294</v>
      </c>
      <c r="P14906">
        <v>247</v>
      </c>
      <c r="Q14906">
        <v>105</v>
      </c>
    </row>
    <row r="14907" spans="1:17" x14ac:dyDescent="0.2">
      <c r="A14907" s="121">
        <v>44316</v>
      </c>
      <c r="B14907" t="s">
        <v>406</v>
      </c>
      <c r="C14907" t="s">
        <v>407</v>
      </c>
      <c r="D14907" t="s">
        <v>416</v>
      </c>
      <c r="E14907" t="s">
        <v>417</v>
      </c>
      <c r="F14907" t="s">
        <v>413</v>
      </c>
      <c r="G14907">
        <v>2422</v>
      </c>
      <c r="H14907">
        <v>2422</v>
      </c>
      <c r="I14907">
        <v>2158</v>
      </c>
      <c r="J14907">
        <v>2158</v>
      </c>
      <c r="K14907">
        <v>736</v>
      </c>
      <c r="L14907">
        <v>5</v>
      </c>
      <c r="M14907">
        <v>1617</v>
      </c>
      <c r="N14907">
        <v>50</v>
      </c>
      <c r="O14907">
        <v>14</v>
      </c>
      <c r="P14907">
        <v>52</v>
      </c>
      <c r="Q14907">
        <v>13</v>
      </c>
    </row>
    <row r="14908" spans="1:17" x14ac:dyDescent="0.2">
      <c r="A14908" s="121">
        <v>44316</v>
      </c>
      <c r="B14908" t="s">
        <v>406</v>
      </c>
      <c r="C14908" t="s">
        <v>407</v>
      </c>
      <c r="D14908" t="s">
        <v>618</v>
      </c>
      <c r="E14908" t="s">
        <v>619</v>
      </c>
      <c r="F14908" t="s">
        <v>410</v>
      </c>
      <c r="G14908">
        <v>50</v>
      </c>
      <c r="I14908">
        <v>50</v>
      </c>
    </row>
    <row r="14909" spans="1:17" x14ac:dyDescent="0.2">
      <c r="A14909" s="121">
        <v>44316</v>
      </c>
      <c r="B14909" t="s">
        <v>406</v>
      </c>
      <c r="C14909" t="s">
        <v>418</v>
      </c>
      <c r="D14909" t="s">
        <v>425</v>
      </c>
      <c r="E14909" t="s">
        <v>426</v>
      </c>
      <c r="F14909" t="s">
        <v>410</v>
      </c>
      <c r="G14909">
        <v>30</v>
      </c>
      <c r="I14909">
        <v>30</v>
      </c>
    </row>
    <row r="14910" spans="1:17" x14ac:dyDescent="0.2">
      <c r="A14910" s="121">
        <v>44316</v>
      </c>
      <c r="B14910" t="s">
        <v>406</v>
      </c>
      <c r="C14910" t="s">
        <v>418</v>
      </c>
      <c r="D14910" t="s">
        <v>427</v>
      </c>
      <c r="E14910" t="s">
        <v>428</v>
      </c>
      <c r="F14910" t="s">
        <v>413</v>
      </c>
      <c r="G14910">
        <v>2358</v>
      </c>
      <c r="H14910">
        <v>2358</v>
      </c>
      <c r="I14910">
        <v>2039</v>
      </c>
      <c r="J14910">
        <v>2039</v>
      </c>
      <c r="K14910">
        <v>792</v>
      </c>
      <c r="L14910">
        <v>4</v>
      </c>
      <c r="M14910">
        <v>1482</v>
      </c>
      <c r="N14910">
        <v>73</v>
      </c>
      <c r="O14910">
        <v>7</v>
      </c>
      <c r="P14910">
        <v>25</v>
      </c>
      <c r="Q14910">
        <v>3</v>
      </c>
    </row>
    <row r="14911" spans="1:17" x14ac:dyDescent="0.2">
      <c r="A14911" s="121">
        <v>44316</v>
      </c>
      <c r="B14911" t="s">
        <v>406</v>
      </c>
      <c r="C14911" t="s">
        <v>429</v>
      </c>
      <c r="D14911" t="s">
        <v>438</v>
      </c>
      <c r="E14911" t="s">
        <v>439</v>
      </c>
      <c r="F14911" t="s">
        <v>413</v>
      </c>
      <c r="G14911">
        <v>854</v>
      </c>
      <c r="H14911">
        <v>854</v>
      </c>
      <c r="I14911">
        <v>796</v>
      </c>
      <c r="J14911">
        <v>796</v>
      </c>
      <c r="K14911">
        <v>61</v>
      </c>
      <c r="L14911">
        <v>0</v>
      </c>
      <c r="M14911">
        <v>719</v>
      </c>
      <c r="N14911">
        <v>49</v>
      </c>
      <c r="O14911">
        <v>25</v>
      </c>
      <c r="P14911">
        <v>5</v>
      </c>
      <c r="Q14911">
        <v>0</v>
      </c>
    </row>
    <row r="14912" spans="1:17" x14ac:dyDescent="0.2">
      <c r="A14912" s="121">
        <v>44316</v>
      </c>
      <c r="B14912" t="s">
        <v>406</v>
      </c>
      <c r="C14912" t="s">
        <v>429</v>
      </c>
      <c r="D14912" t="s">
        <v>440</v>
      </c>
      <c r="E14912" t="s">
        <v>441</v>
      </c>
      <c r="F14912" t="s">
        <v>413</v>
      </c>
      <c r="G14912">
        <v>2163</v>
      </c>
      <c r="H14912">
        <v>2163</v>
      </c>
      <c r="I14912">
        <v>1855</v>
      </c>
      <c r="J14912">
        <v>1855</v>
      </c>
      <c r="K14912">
        <v>658</v>
      </c>
      <c r="L14912">
        <v>3</v>
      </c>
      <c r="M14912">
        <v>1442</v>
      </c>
      <c r="N14912">
        <v>34</v>
      </c>
      <c r="O14912">
        <v>26</v>
      </c>
      <c r="P14912">
        <v>9</v>
      </c>
      <c r="Q14912">
        <v>0</v>
      </c>
    </row>
    <row r="14913" spans="1:17" x14ac:dyDescent="0.2">
      <c r="A14913" s="121">
        <v>44316</v>
      </c>
      <c r="B14913" t="s">
        <v>406</v>
      </c>
      <c r="C14913" t="s">
        <v>442</v>
      </c>
      <c r="D14913" t="s">
        <v>443</v>
      </c>
      <c r="E14913" t="s">
        <v>444</v>
      </c>
      <c r="F14913" t="s">
        <v>413</v>
      </c>
      <c r="G14913">
        <v>4962</v>
      </c>
      <c r="H14913">
        <v>4962</v>
      </c>
      <c r="I14913">
        <v>4453</v>
      </c>
      <c r="J14913">
        <v>4453</v>
      </c>
      <c r="K14913">
        <v>1598</v>
      </c>
      <c r="L14913">
        <v>6</v>
      </c>
      <c r="M14913">
        <v>3219</v>
      </c>
      <c r="N14913">
        <v>54</v>
      </c>
      <c r="O14913">
        <v>85</v>
      </c>
      <c r="P14913">
        <v>12</v>
      </c>
      <c r="Q14913">
        <v>0</v>
      </c>
    </row>
    <row r="14914" spans="1:17" x14ac:dyDescent="0.2">
      <c r="A14914" s="121">
        <v>44316</v>
      </c>
      <c r="B14914" t="s">
        <v>406</v>
      </c>
      <c r="C14914" t="s">
        <v>442</v>
      </c>
      <c r="D14914" t="s">
        <v>445</v>
      </c>
      <c r="E14914" t="s">
        <v>446</v>
      </c>
      <c r="F14914" t="s">
        <v>410</v>
      </c>
      <c r="G14914">
        <v>109</v>
      </c>
      <c r="H14914">
        <v>109</v>
      </c>
      <c r="I14914">
        <v>107</v>
      </c>
      <c r="J14914">
        <v>107</v>
      </c>
      <c r="K14914">
        <v>0</v>
      </c>
      <c r="L14914">
        <v>0</v>
      </c>
      <c r="M14914">
        <v>107</v>
      </c>
      <c r="N14914">
        <v>2</v>
      </c>
      <c r="O14914">
        <v>0</v>
      </c>
      <c r="P14914">
        <v>0</v>
      </c>
      <c r="Q14914">
        <v>0</v>
      </c>
    </row>
    <row r="14915" spans="1:17" x14ac:dyDescent="0.2">
      <c r="A14915" s="121">
        <v>44316</v>
      </c>
      <c r="B14915" t="s">
        <v>406</v>
      </c>
      <c r="C14915" t="s">
        <v>442</v>
      </c>
      <c r="D14915" t="s">
        <v>447</v>
      </c>
      <c r="E14915" t="s">
        <v>448</v>
      </c>
      <c r="F14915" t="s">
        <v>410</v>
      </c>
      <c r="G14915">
        <v>187</v>
      </c>
      <c r="H14915">
        <v>187</v>
      </c>
      <c r="I14915">
        <v>187</v>
      </c>
      <c r="J14915">
        <v>187</v>
      </c>
      <c r="K14915">
        <v>0</v>
      </c>
      <c r="L14915">
        <v>0</v>
      </c>
      <c r="M14915">
        <v>181</v>
      </c>
      <c r="N14915">
        <v>6</v>
      </c>
      <c r="O14915">
        <v>0</v>
      </c>
      <c r="P14915">
        <v>0</v>
      </c>
      <c r="Q14915">
        <v>0</v>
      </c>
    </row>
    <row r="14916" spans="1:17" x14ac:dyDescent="0.2">
      <c r="A14916" s="121">
        <v>44316</v>
      </c>
      <c r="B14916" t="s">
        <v>406</v>
      </c>
      <c r="C14916" t="s">
        <v>442</v>
      </c>
      <c r="D14916" t="s">
        <v>449</v>
      </c>
      <c r="E14916" t="s">
        <v>624</v>
      </c>
      <c r="F14916" t="s">
        <v>410</v>
      </c>
      <c r="G14916">
        <v>989</v>
      </c>
      <c r="H14916">
        <v>989</v>
      </c>
      <c r="I14916">
        <v>989</v>
      </c>
      <c r="J14916">
        <v>989</v>
      </c>
      <c r="K14916">
        <v>4</v>
      </c>
      <c r="L14916">
        <v>0</v>
      </c>
      <c r="M14916">
        <v>915</v>
      </c>
      <c r="N14916">
        <v>63</v>
      </c>
      <c r="O14916">
        <v>7</v>
      </c>
      <c r="P14916">
        <v>0</v>
      </c>
      <c r="Q14916">
        <v>0</v>
      </c>
    </row>
    <row r="14917" spans="1:17" x14ac:dyDescent="0.2">
      <c r="A14917" s="121">
        <v>44316</v>
      </c>
      <c r="B14917" t="s">
        <v>406</v>
      </c>
      <c r="C14917" t="s">
        <v>451</v>
      </c>
      <c r="D14917" t="s">
        <v>454</v>
      </c>
      <c r="E14917" t="s">
        <v>621</v>
      </c>
      <c r="F14917" t="s">
        <v>410</v>
      </c>
      <c r="G14917">
        <v>1370</v>
      </c>
      <c r="H14917">
        <v>1370</v>
      </c>
      <c r="I14917">
        <v>1367</v>
      </c>
      <c r="J14917">
        <v>1367</v>
      </c>
      <c r="K14917">
        <v>5</v>
      </c>
      <c r="L14917">
        <v>0</v>
      </c>
      <c r="M14917">
        <v>1257</v>
      </c>
      <c r="N14917">
        <v>6</v>
      </c>
      <c r="O14917">
        <v>102</v>
      </c>
      <c r="P14917">
        <v>0</v>
      </c>
      <c r="Q14917">
        <v>0</v>
      </c>
    </row>
    <row r="14918" spans="1:17" x14ac:dyDescent="0.2">
      <c r="A14918" s="121">
        <v>44316</v>
      </c>
      <c r="B14918" t="s">
        <v>406</v>
      </c>
      <c r="C14918" t="s">
        <v>451</v>
      </c>
      <c r="D14918" t="s">
        <v>622</v>
      </c>
      <c r="E14918" t="s">
        <v>623</v>
      </c>
      <c r="F14918" t="s">
        <v>413</v>
      </c>
      <c r="G14918">
        <v>4684</v>
      </c>
      <c r="H14918">
        <v>4684</v>
      </c>
      <c r="I14918">
        <v>3783</v>
      </c>
      <c r="J14918">
        <v>3783</v>
      </c>
      <c r="K14918">
        <v>1475</v>
      </c>
      <c r="L14918">
        <v>8</v>
      </c>
      <c r="M14918">
        <v>2688</v>
      </c>
      <c r="N14918">
        <v>22</v>
      </c>
      <c r="O14918">
        <v>491</v>
      </c>
      <c r="P14918">
        <v>28</v>
      </c>
      <c r="Q14918">
        <v>3</v>
      </c>
    </row>
    <row r="14919" spans="1:17" x14ac:dyDescent="0.2">
      <c r="A14919" s="121">
        <v>44316</v>
      </c>
      <c r="B14919" t="s">
        <v>406</v>
      </c>
      <c r="C14919" t="s">
        <v>456</v>
      </c>
      <c r="D14919" t="s">
        <v>457</v>
      </c>
      <c r="E14919" t="s">
        <v>458</v>
      </c>
      <c r="F14919" t="s">
        <v>413</v>
      </c>
      <c r="G14919">
        <v>3741</v>
      </c>
      <c r="H14919">
        <v>3741</v>
      </c>
      <c r="I14919">
        <v>3035</v>
      </c>
      <c r="J14919">
        <v>3035</v>
      </c>
      <c r="K14919">
        <v>1306</v>
      </c>
      <c r="L14919">
        <v>10</v>
      </c>
      <c r="M14919">
        <v>2293</v>
      </c>
      <c r="N14919">
        <v>14</v>
      </c>
      <c r="O14919">
        <v>118</v>
      </c>
      <c r="P14919">
        <v>56</v>
      </c>
      <c r="Q14919">
        <v>4</v>
      </c>
    </row>
    <row r="14920" spans="1:17" x14ac:dyDescent="0.2">
      <c r="A14920" s="121">
        <v>44316</v>
      </c>
      <c r="B14920" t="s">
        <v>406</v>
      </c>
      <c r="C14920" t="s">
        <v>456</v>
      </c>
      <c r="D14920" t="s">
        <v>459</v>
      </c>
      <c r="E14920" t="s">
        <v>460</v>
      </c>
      <c r="F14920" t="s">
        <v>413</v>
      </c>
      <c r="G14920">
        <v>1154</v>
      </c>
      <c r="H14920">
        <v>1154</v>
      </c>
      <c r="I14920">
        <v>1126</v>
      </c>
      <c r="J14920">
        <v>1126</v>
      </c>
      <c r="K14920">
        <v>113</v>
      </c>
      <c r="L14920">
        <v>0</v>
      </c>
      <c r="M14920">
        <v>1037</v>
      </c>
      <c r="N14920">
        <v>0</v>
      </c>
      <c r="O14920">
        <v>4</v>
      </c>
      <c r="P14920">
        <v>1</v>
      </c>
      <c r="Q14920">
        <v>0</v>
      </c>
    </row>
    <row r="14921" spans="1:17" x14ac:dyDescent="0.2">
      <c r="A14921" s="121">
        <v>44316</v>
      </c>
      <c r="B14921" t="s">
        <v>406</v>
      </c>
      <c r="C14921" t="s">
        <v>456</v>
      </c>
      <c r="D14921" t="s">
        <v>467</v>
      </c>
      <c r="E14921" t="s">
        <v>468</v>
      </c>
      <c r="F14921" t="s">
        <v>410</v>
      </c>
      <c r="G14921">
        <v>304</v>
      </c>
      <c r="I14921">
        <v>304</v>
      </c>
    </row>
    <row r="14922" spans="1:17" x14ac:dyDescent="0.2">
      <c r="A14922" s="121">
        <v>44316</v>
      </c>
      <c r="B14922" t="s">
        <v>406</v>
      </c>
      <c r="C14922" t="s">
        <v>456</v>
      </c>
      <c r="D14922" t="s">
        <v>469</v>
      </c>
      <c r="E14922" t="s">
        <v>470</v>
      </c>
      <c r="F14922" t="s">
        <v>410</v>
      </c>
      <c r="G14922">
        <v>294</v>
      </c>
      <c r="I14922">
        <v>294</v>
      </c>
    </row>
    <row r="14923" spans="1:17" x14ac:dyDescent="0.2">
      <c r="A14923" s="121">
        <v>44316</v>
      </c>
      <c r="B14923" t="s">
        <v>406</v>
      </c>
      <c r="C14923" t="s">
        <v>456</v>
      </c>
      <c r="D14923" t="s">
        <v>471</v>
      </c>
      <c r="E14923" t="s">
        <v>472</v>
      </c>
      <c r="F14923" t="s">
        <v>410</v>
      </c>
      <c r="G14923">
        <v>224</v>
      </c>
      <c r="I14923">
        <v>223</v>
      </c>
    </row>
    <row r="14924" spans="1:17" x14ac:dyDescent="0.2">
      <c r="A14924" s="121">
        <v>44316</v>
      </c>
      <c r="B14924" t="s">
        <v>406</v>
      </c>
      <c r="C14924" t="s">
        <v>456</v>
      </c>
      <c r="D14924" t="s">
        <v>477</v>
      </c>
      <c r="E14924" t="s">
        <v>478</v>
      </c>
      <c r="F14924" t="s">
        <v>413</v>
      </c>
      <c r="G14924">
        <v>1893</v>
      </c>
      <c r="H14924">
        <v>1893</v>
      </c>
      <c r="I14924">
        <v>1743</v>
      </c>
      <c r="J14924">
        <v>1743</v>
      </c>
      <c r="K14924">
        <v>558</v>
      </c>
      <c r="L14924">
        <v>1</v>
      </c>
      <c r="M14924">
        <v>1318</v>
      </c>
      <c r="N14924">
        <v>15</v>
      </c>
      <c r="O14924">
        <v>1</v>
      </c>
      <c r="P14924">
        <v>8</v>
      </c>
      <c r="Q14924">
        <v>0</v>
      </c>
    </row>
    <row r="14925" spans="1:17" x14ac:dyDescent="0.2">
      <c r="A14925" s="121">
        <v>44316</v>
      </c>
      <c r="B14925" t="s">
        <v>406</v>
      </c>
      <c r="C14925" t="s">
        <v>491</v>
      </c>
      <c r="D14925" t="s">
        <v>492</v>
      </c>
      <c r="E14925" t="s">
        <v>493</v>
      </c>
      <c r="F14925" t="s">
        <v>410</v>
      </c>
      <c r="G14925">
        <v>1237</v>
      </c>
      <c r="H14925">
        <v>1237</v>
      </c>
      <c r="I14925">
        <v>1192</v>
      </c>
      <c r="J14925">
        <v>1192</v>
      </c>
      <c r="K14925">
        <v>158</v>
      </c>
      <c r="L14925">
        <v>1</v>
      </c>
      <c r="M14925">
        <v>1022</v>
      </c>
      <c r="N14925">
        <v>49</v>
      </c>
      <c r="O14925">
        <v>7</v>
      </c>
      <c r="P14925">
        <v>3</v>
      </c>
      <c r="Q14925">
        <v>0</v>
      </c>
    </row>
    <row r="14926" spans="1:17" x14ac:dyDescent="0.2">
      <c r="A14926" s="121">
        <v>44316</v>
      </c>
      <c r="B14926" t="s">
        <v>406</v>
      </c>
      <c r="C14926" t="s">
        <v>491</v>
      </c>
      <c r="D14926" t="s">
        <v>494</v>
      </c>
      <c r="E14926" t="s">
        <v>495</v>
      </c>
      <c r="F14926" t="s">
        <v>413</v>
      </c>
      <c r="G14926">
        <v>2405</v>
      </c>
      <c r="H14926">
        <v>2405</v>
      </c>
      <c r="I14926">
        <v>2195</v>
      </c>
      <c r="J14926">
        <v>2195</v>
      </c>
      <c r="K14926">
        <v>635</v>
      </c>
      <c r="L14926">
        <v>4</v>
      </c>
      <c r="M14926">
        <v>1661</v>
      </c>
      <c r="N14926">
        <v>59</v>
      </c>
      <c r="O14926">
        <v>46</v>
      </c>
      <c r="P14926">
        <v>13</v>
      </c>
      <c r="Q14926">
        <v>2</v>
      </c>
    </row>
    <row r="14927" spans="1:17" x14ac:dyDescent="0.2">
      <c r="A14927" s="121">
        <v>44316</v>
      </c>
      <c r="B14927" t="s">
        <v>406</v>
      </c>
      <c r="C14927" t="s">
        <v>491</v>
      </c>
      <c r="D14927" t="s">
        <v>496</v>
      </c>
      <c r="E14927" t="s">
        <v>497</v>
      </c>
      <c r="F14927" t="s">
        <v>413</v>
      </c>
      <c r="G14927">
        <v>5117</v>
      </c>
      <c r="H14927">
        <v>5117</v>
      </c>
      <c r="I14927">
        <v>4584</v>
      </c>
      <c r="J14927">
        <v>4584</v>
      </c>
      <c r="K14927">
        <v>1603</v>
      </c>
      <c r="L14927">
        <v>9</v>
      </c>
      <c r="M14927">
        <v>3315</v>
      </c>
      <c r="N14927">
        <v>117</v>
      </c>
      <c r="O14927">
        <v>73</v>
      </c>
      <c r="P14927">
        <v>38</v>
      </c>
      <c r="Q14927">
        <v>2</v>
      </c>
    </row>
    <row r="14928" spans="1:17" x14ac:dyDescent="0.2">
      <c r="A14928" s="121">
        <v>44316</v>
      </c>
      <c r="B14928" t="s">
        <v>406</v>
      </c>
      <c r="C14928" t="s">
        <v>491</v>
      </c>
      <c r="D14928" t="s">
        <v>498</v>
      </c>
      <c r="E14928" t="s">
        <v>499</v>
      </c>
      <c r="F14928" t="s">
        <v>413</v>
      </c>
      <c r="G14928">
        <v>6461</v>
      </c>
      <c r="H14928">
        <v>6461</v>
      </c>
      <c r="I14928">
        <v>5864</v>
      </c>
      <c r="J14928">
        <v>5864</v>
      </c>
      <c r="K14928">
        <v>1991</v>
      </c>
      <c r="L14928">
        <v>15</v>
      </c>
      <c r="M14928">
        <v>4126</v>
      </c>
      <c r="N14928">
        <v>151</v>
      </c>
      <c r="O14928">
        <v>178</v>
      </c>
      <c r="P14928">
        <v>18</v>
      </c>
      <c r="Q14928">
        <v>2</v>
      </c>
    </row>
    <row r="14929" spans="1:17" x14ac:dyDescent="0.2">
      <c r="A14929" s="121">
        <v>44316</v>
      </c>
      <c r="B14929" t="s">
        <v>406</v>
      </c>
      <c r="C14929" t="s">
        <v>491</v>
      </c>
      <c r="D14929" t="s">
        <v>500</v>
      </c>
      <c r="E14929" t="s">
        <v>620</v>
      </c>
      <c r="F14929" t="s">
        <v>410</v>
      </c>
      <c r="G14929">
        <v>1769</v>
      </c>
      <c r="H14929">
        <v>1769</v>
      </c>
      <c r="I14929">
        <v>1768</v>
      </c>
      <c r="J14929">
        <v>1768</v>
      </c>
      <c r="K14929">
        <v>0</v>
      </c>
      <c r="L14929">
        <v>0</v>
      </c>
      <c r="M14929">
        <v>1566</v>
      </c>
      <c r="N14929">
        <v>116</v>
      </c>
      <c r="O14929">
        <v>87</v>
      </c>
      <c r="P14929">
        <v>0</v>
      </c>
      <c r="Q14929">
        <v>0</v>
      </c>
    </row>
    <row r="14930" spans="1:17" x14ac:dyDescent="0.2">
      <c r="A14930" s="121">
        <v>44316</v>
      </c>
      <c r="B14930" t="s">
        <v>406</v>
      </c>
      <c r="C14930" t="s">
        <v>491</v>
      </c>
      <c r="D14930" t="s">
        <v>502</v>
      </c>
      <c r="E14930" t="s">
        <v>615</v>
      </c>
      <c r="F14930" t="s">
        <v>410</v>
      </c>
      <c r="G14930">
        <v>1774</v>
      </c>
      <c r="H14930">
        <v>1774</v>
      </c>
      <c r="I14930">
        <v>1773</v>
      </c>
      <c r="J14930">
        <v>1773</v>
      </c>
      <c r="K14930">
        <v>3</v>
      </c>
      <c r="L14930">
        <v>0</v>
      </c>
      <c r="M14930">
        <v>1663</v>
      </c>
      <c r="N14930">
        <v>77</v>
      </c>
      <c r="O14930">
        <v>31</v>
      </c>
      <c r="P14930">
        <v>0</v>
      </c>
      <c r="Q14930">
        <v>0</v>
      </c>
    </row>
    <row r="14931" spans="1:17" x14ac:dyDescent="0.2">
      <c r="A14931" s="121">
        <v>44316</v>
      </c>
      <c r="B14931" t="s">
        <v>406</v>
      </c>
      <c r="C14931" t="s">
        <v>491</v>
      </c>
      <c r="D14931" t="s">
        <v>504</v>
      </c>
      <c r="E14931" t="s">
        <v>630</v>
      </c>
      <c r="F14931" t="s">
        <v>413</v>
      </c>
      <c r="G14931">
        <v>7425</v>
      </c>
      <c r="H14931">
        <v>7425</v>
      </c>
      <c r="I14931">
        <v>6457</v>
      </c>
      <c r="J14931">
        <v>6457</v>
      </c>
      <c r="K14931">
        <v>2739</v>
      </c>
      <c r="L14931">
        <v>15</v>
      </c>
      <c r="M14931">
        <v>4470</v>
      </c>
      <c r="N14931">
        <v>82</v>
      </c>
      <c r="O14931">
        <v>119</v>
      </c>
      <c r="P14931">
        <v>31</v>
      </c>
      <c r="Q14931">
        <v>1</v>
      </c>
    </row>
    <row r="14932" spans="1:17" x14ac:dyDescent="0.2">
      <c r="A14932" s="121">
        <v>44316</v>
      </c>
      <c r="B14932" t="s">
        <v>406</v>
      </c>
      <c r="C14932" t="s">
        <v>491</v>
      </c>
      <c r="D14932" t="s">
        <v>506</v>
      </c>
      <c r="E14932" t="s">
        <v>507</v>
      </c>
      <c r="F14932" t="s">
        <v>413</v>
      </c>
      <c r="G14932">
        <v>4652</v>
      </c>
      <c r="H14932">
        <v>4652</v>
      </c>
      <c r="I14932">
        <v>4602</v>
      </c>
      <c r="J14932">
        <v>4602</v>
      </c>
      <c r="K14932">
        <v>956</v>
      </c>
      <c r="L14932">
        <v>6</v>
      </c>
      <c r="M14932">
        <v>3671</v>
      </c>
      <c r="N14932">
        <v>14</v>
      </c>
      <c r="O14932">
        <v>5</v>
      </c>
      <c r="P14932">
        <v>0</v>
      </c>
      <c r="Q14932">
        <v>0</v>
      </c>
    </row>
    <row r="14933" spans="1:17" x14ac:dyDescent="0.2">
      <c r="A14933" s="121">
        <v>44316</v>
      </c>
      <c r="B14933" t="s">
        <v>406</v>
      </c>
      <c r="C14933" t="s">
        <v>491</v>
      </c>
      <c r="D14933" t="s">
        <v>508</v>
      </c>
      <c r="E14933" t="s">
        <v>631</v>
      </c>
      <c r="F14933" t="s">
        <v>410</v>
      </c>
      <c r="G14933">
        <v>8</v>
      </c>
      <c r="H14933">
        <v>8</v>
      </c>
      <c r="I14933">
        <v>8</v>
      </c>
      <c r="J14933">
        <v>8</v>
      </c>
      <c r="K14933">
        <v>0</v>
      </c>
      <c r="L14933">
        <v>0</v>
      </c>
      <c r="M14933">
        <v>8</v>
      </c>
      <c r="N14933">
        <v>0</v>
      </c>
      <c r="O14933">
        <v>0</v>
      </c>
      <c r="P14933">
        <v>0</v>
      </c>
      <c r="Q14933">
        <v>0</v>
      </c>
    </row>
    <row r="14934" spans="1:17" x14ac:dyDescent="0.2">
      <c r="A14934" s="121">
        <v>44316</v>
      </c>
      <c r="B14934" t="s">
        <v>406</v>
      </c>
      <c r="C14934" t="s">
        <v>510</v>
      </c>
      <c r="D14934" t="s">
        <v>513</v>
      </c>
      <c r="E14934" t="s">
        <v>514</v>
      </c>
      <c r="F14934" t="s">
        <v>410</v>
      </c>
      <c r="G14934">
        <v>475</v>
      </c>
      <c r="I14934">
        <v>474</v>
      </c>
    </row>
    <row r="14935" spans="1:17" x14ac:dyDescent="0.2">
      <c r="A14935" s="121">
        <v>44316</v>
      </c>
      <c r="B14935" t="s">
        <v>406</v>
      </c>
      <c r="C14935" t="s">
        <v>510</v>
      </c>
      <c r="D14935" t="s">
        <v>515</v>
      </c>
      <c r="E14935" t="s">
        <v>516</v>
      </c>
      <c r="F14935" t="s">
        <v>410</v>
      </c>
      <c r="G14935">
        <v>59</v>
      </c>
      <c r="I14935">
        <v>59</v>
      </c>
    </row>
    <row r="14936" spans="1:17" x14ac:dyDescent="0.2">
      <c r="A14936" s="121">
        <v>44316</v>
      </c>
      <c r="B14936" t="s">
        <v>406</v>
      </c>
      <c r="C14936" t="s">
        <v>510</v>
      </c>
      <c r="D14936" t="s">
        <v>519</v>
      </c>
      <c r="E14936" t="s">
        <v>520</v>
      </c>
      <c r="F14936" t="s">
        <v>410</v>
      </c>
      <c r="G14936">
        <v>337</v>
      </c>
      <c r="I14936">
        <v>335</v>
      </c>
    </row>
    <row r="14937" spans="1:17" x14ac:dyDescent="0.2">
      <c r="A14937" s="121">
        <v>44316</v>
      </c>
      <c r="B14937" t="s">
        <v>406</v>
      </c>
      <c r="C14937" t="s">
        <v>510</v>
      </c>
      <c r="D14937" t="s">
        <v>523</v>
      </c>
      <c r="E14937" t="s">
        <v>524</v>
      </c>
      <c r="F14937" t="s">
        <v>413</v>
      </c>
      <c r="G14937">
        <v>550</v>
      </c>
      <c r="H14937">
        <v>550</v>
      </c>
      <c r="I14937">
        <v>540</v>
      </c>
      <c r="J14937">
        <v>540</v>
      </c>
      <c r="K14937">
        <v>136</v>
      </c>
      <c r="L14937">
        <v>2</v>
      </c>
      <c r="M14937">
        <v>395</v>
      </c>
      <c r="N14937">
        <v>12</v>
      </c>
      <c r="O14937">
        <v>5</v>
      </c>
      <c r="P14937">
        <v>0</v>
      </c>
      <c r="Q14937">
        <v>0</v>
      </c>
    </row>
    <row r="14938" spans="1:17" x14ac:dyDescent="0.2">
      <c r="A14938" s="121">
        <v>44316</v>
      </c>
      <c r="B14938" t="s">
        <v>406</v>
      </c>
      <c r="C14938" t="s">
        <v>510</v>
      </c>
      <c r="D14938" t="s">
        <v>525</v>
      </c>
      <c r="E14938" t="s">
        <v>526</v>
      </c>
      <c r="F14938" t="s">
        <v>410</v>
      </c>
      <c r="G14938">
        <v>361</v>
      </c>
      <c r="I14938">
        <v>353</v>
      </c>
    </row>
    <row r="14939" spans="1:17" x14ac:dyDescent="0.2">
      <c r="A14939" s="121">
        <v>44316</v>
      </c>
      <c r="B14939" t="s">
        <v>406</v>
      </c>
      <c r="C14939" t="s">
        <v>510</v>
      </c>
      <c r="D14939" t="s">
        <v>527</v>
      </c>
      <c r="E14939" t="s">
        <v>528</v>
      </c>
      <c r="F14939" t="s">
        <v>410</v>
      </c>
      <c r="G14939">
        <v>11</v>
      </c>
      <c r="I14939">
        <v>11</v>
      </c>
    </row>
    <row r="14940" spans="1:17" x14ac:dyDescent="0.2">
      <c r="A14940" s="121">
        <v>44316</v>
      </c>
      <c r="B14940" t="s">
        <v>406</v>
      </c>
      <c r="C14940" t="s">
        <v>510</v>
      </c>
      <c r="D14940" t="s">
        <v>529</v>
      </c>
      <c r="E14940" t="s">
        <v>530</v>
      </c>
      <c r="F14940" t="s">
        <v>413</v>
      </c>
      <c r="G14940">
        <v>717</v>
      </c>
      <c r="H14940">
        <v>717</v>
      </c>
      <c r="I14940">
        <v>687</v>
      </c>
      <c r="J14940">
        <v>687</v>
      </c>
      <c r="K14940">
        <v>139</v>
      </c>
      <c r="L14940">
        <v>1</v>
      </c>
      <c r="M14940">
        <v>541</v>
      </c>
      <c r="N14940">
        <v>28</v>
      </c>
      <c r="O14940">
        <v>8</v>
      </c>
      <c r="P14940">
        <v>1</v>
      </c>
      <c r="Q14940">
        <v>0</v>
      </c>
    </row>
    <row r="14941" spans="1:17" x14ac:dyDescent="0.2">
      <c r="A14941" s="121">
        <v>44316</v>
      </c>
      <c r="B14941" t="s">
        <v>406</v>
      </c>
      <c r="C14941" t="s">
        <v>510</v>
      </c>
      <c r="D14941" t="s">
        <v>531</v>
      </c>
      <c r="E14941" t="s">
        <v>532</v>
      </c>
      <c r="F14941" t="s">
        <v>410</v>
      </c>
      <c r="G14941">
        <v>15</v>
      </c>
      <c r="I14941">
        <v>15</v>
      </c>
    </row>
    <row r="14942" spans="1:17" x14ac:dyDescent="0.2">
      <c r="A14942" s="121">
        <v>44316</v>
      </c>
      <c r="B14942" t="s">
        <v>406</v>
      </c>
      <c r="C14942" t="s">
        <v>510</v>
      </c>
      <c r="D14942" t="s">
        <v>533</v>
      </c>
      <c r="E14942" t="s">
        <v>534</v>
      </c>
      <c r="F14942" t="s">
        <v>413</v>
      </c>
      <c r="G14942">
        <v>2455</v>
      </c>
      <c r="H14942">
        <v>2455</v>
      </c>
      <c r="I14942">
        <v>2217</v>
      </c>
      <c r="J14942">
        <v>2217</v>
      </c>
      <c r="K14942">
        <v>654</v>
      </c>
      <c r="L14942">
        <v>3</v>
      </c>
      <c r="M14942">
        <v>1699</v>
      </c>
      <c r="N14942">
        <v>26</v>
      </c>
      <c r="O14942">
        <v>73</v>
      </c>
      <c r="P14942">
        <v>14</v>
      </c>
      <c r="Q14942">
        <v>0</v>
      </c>
    </row>
    <row r="14943" spans="1:17" x14ac:dyDescent="0.2">
      <c r="A14943" s="121">
        <v>44316</v>
      </c>
      <c r="B14943" t="s">
        <v>406</v>
      </c>
      <c r="C14943" t="s">
        <v>510</v>
      </c>
      <c r="D14943" t="s">
        <v>535</v>
      </c>
      <c r="E14943" t="s">
        <v>536</v>
      </c>
      <c r="F14943" t="s">
        <v>410</v>
      </c>
      <c r="G14943">
        <v>202</v>
      </c>
      <c r="I14943">
        <v>202</v>
      </c>
    </row>
    <row r="14944" spans="1:17" x14ac:dyDescent="0.2">
      <c r="A14944" s="121">
        <v>44316</v>
      </c>
      <c r="B14944" t="s">
        <v>406</v>
      </c>
      <c r="C14944" t="s">
        <v>510</v>
      </c>
      <c r="D14944" t="s">
        <v>539</v>
      </c>
      <c r="E14944" t="s">
        <v>540</v>
      </c>
      <c r="F14944" t="s">
        <v>413</v>
      </c>
      <c r="G14944">
        <v>520</v>
      </c>
      <c r="H14944">
        <v>520</v>
      </c>
      <c r="I14944">
        <v>487</v>
      </c>
      <c r="J14944">
        <v>487</v>
      </c>
      <c r="K14944">
        <v>96</v>
      </c>
      <c r="L14944">
        <v>1</v>
      </c>
      <c r="M14944">
        <v>400</v>
      </c>
      <c r="N14944">
        <v>16</v>
      </c>
      <c r="O14944">
        <v>7</v>
      </c>
      <c r="P14944">
        <v>3</v>
      </c>
      <c r="Q14944">
        <v>1</v>
      </c>
    </row>
    <row r="14945" spans="1:17" x14ac:dyDescent="0.2">
      <c r="A14945" s="121">
        <v>44316</v>
      </c>
      <c r="B14945" t="s">
        <v>406</v>
      </c>
      <c r="C14945" t="s">
        <v>510</v>
      </c>
      <c r="D14945" t="s">
        <v>541</v>
      </c>
      <c r="E14945" t="s">
        <v>542</v>
      </c>
      <c r="F14945" t="s">
        <v>410</v>
      </c>
      <c r="G14945">
        <v>293</v>
      </c>
      <c r="I14945">
        <v>293</v>
      </c>
    </row>
    <row r="14946" spans="1:17" x14ac:dyDescent="0.2">
      <c r="A14946" s="121">
        <v>44316</v>
      </c>
      <c r="B14946" t="s">
        <v>406</v>
      </c>
      <c r="C14946" t="s">
        <v>510</v>
      </c>
      <c r="D14946" t="s">
        <v>543</v>
      </c>
      <c r="E14946" t="s">
        <v>544</v>
      </c>
      <c r="F14946" t="s">
        <v>410</v>
      </c>
      <c r="G14946">
        <v>25</v>
      </c>
      <c r="I14946">
        <v>25</v>
      </c>
    </row>
    <row r="14947" spans="1:17" x14ac:dyDescent="0.2">
      <c r="A14947" s="121">
        <v>44316</v>
      </c>
      <c r="B14947" t="s">
        <v>406</v>
      </c>
      <c r="C14947" t="s">
        <v>510</v>
      </c>
      <c r="D14947" t="s">
        <v>547</v>
      </c>
      <c r="E14947" t="s">
        <v>548</v>
      </c>
      <c r="F14947" t="s">
        <v>410</v>
      </c>
      <c r="G14947">
        <v>2</v>
      </c>
      <c r="I14947">
        <v>2</v>
      </c>
    </row>
    <row r="14948" spans="1:17" x14ac:dyDescent="0.2">
      <c r="A14948" s="121">
        <v>44316</v>
      </c>
      <c r="B14948" t="s">
        <v>406</v>
      </c>
      <c r="C14948" t="s">
        <v>510</v>
      </c>
      <c r="D14948" t="s">
        <v>616</v>
      </c>
      <c r="E14948" t="s">
        <v>617</v>
      </c>
      <c r="F14948" t="s">
        <v>410</v>
      </c>
      <c r="G14948">
        <v>306</v>
      </c>
      <c r="I14948">
        <v>305</v>
      </c>
    </row>
    <row r="14949" spans="1:17" x14ac:dyDescent="0.2">
      <c r="A14949" s="121">
        <v>44316</v>
      </c>
      <c r="B14949" t="s">
        <v>406</v>
      </c>
      <c r="C14949" t="s">
        <v>510</v>
      </c>
      <c r="D14949" t="s">
        <v>549</v>
      </c>
      <c r="E14949" t="s">
        <v>550</v>
      </c>
      <c r="F14949" t="s">
        <v>410</v>
      </c>
      <c r="G14949">
        <v>62</v>
      </c>
      <c r="I14949">
        <v>62</v>
      </c>
    </row>
    <row r="14950" spans="1:17" x14ac:dyDescent="0.2">
      <c r="A14950" s="121">
        <v>44316</v>
      </c>
      <c r="B14950" t="s">
        <v>406</v>
      </c>
      <c r="C14950" t="s">
        <v>510</v>
      </c>
      <c r="D14950" t="s">
        <v>625</v>
      </c>
      <c r="E14950" t="s">
        <v>626</v>
      </c>
      <c r="F14950" t="s">
        <v>410</v>
      </c>
      <c r="G14950">
        <v>106</v>
      </c>
      <c r="I14950">
        <v>106</v>
      </c>
    </row>
    <row r="14951" spans="1:17" x14ac:dyDescent="0.2">
      <c r="A14951" s="121">
        <v>44316</v>
      </c>
      <c r="B14951" t="s">
        <v>406</v>
      </c>
      <c r="C14951" t="s">
        <v>551</v>
      </c>
      <c r="D14951" t="s">
        <v>552</v>
      </c>
      <c r="E14951" t="s">
        <v>553</v>
      </c>
      <c r="F14951" t="s">
        <v>413</v>
      </c>
      <c r="G14951">
        <v>5532</v>
      </c>
      <c r="H14951">
        <v>5532</v>
      </c>
      <c r="I14951">
        <v>4739</v>
      </c>
      <c r="J14951">
        <v>4739</v>
      </c>
      <c r="K14951">
        <v>1899</v>
      </c>
      <c r="L14951">
        <v>3</v>
      </c>
      <c r="M14951">
        <v>3496</v>
      </c>
      <c r="N14951">
        <v>111</v>
      </c>
      <c r="O14951">
        <v>23</v>
      </c>
      <c r="P14951">
        <v>84</v>
      </c>
      <c r="Q14951">
        <v>15</v>
      </c>
    </row>
    <row r="14952" spans="1:17" x14ac:dyDescent="0.2">
      <c r="A14952" s="121">
        <v>44316</v>
      </c>
      <c r="B14952" t="s">
        <v>406</v>
      </c>
      <c r="C14952" t="s">
        <v>551</v>
      </c>
      <c r="D14952" t="s">
        <v>558</v>
      </c>
      <c r="E14952" t="s">
        <v>559</v>
      </c>
      <c r="F14952" t="s">
        <v>413</v>
      </c>
      <c r="G14952">
        <v>5025</v>
      </c>
      <c r="H14952">
        <v>5025</v>
      </c>
      <c r="I14952">
        <v>4198</v>
      </c>
      <c r="J14952">
        <v>4198</v>
      </c>
      <c r="K14952">
        <v>1441</v>
      </c>
      <c r="L14952">
        <v>5</v>
      </c>
      <c r="M14952">
        <v>3494</v>
      </c>
      <c r="N14952">
        <v>80</v>
      </c>
      <c r="O14952">
        <v>5</v>
      </c>
      <c r="P14952">
        <v>44</v>
      </c>
      <c r="Q14952">
        <v>6</v>
      </c>
    </row>
    <row r="14953" spans="1:17" x14ac:dyDescent="0.2">
      <c r="A14953" s="121">
        <v>44316</v>
      </c>
      <c r="B14953" t="s">
        <v>406</v>
      </c>
      <c r="C14953" t="s">
        <v>551</v>
      </c>
      <c r="D14953" t="s">
        <v>560</v>
      </c>
      <c r="E14953" t="s">
        <v>561</v>
      </c>
      <c r="F14953" t="s">
        <v>413</v>
      </c>
      <c r="G14953">
        <v>6221</v>
      </c>
      <c r="H14953">
        <v>6221</v>
      </c>
      <c r="I14953">
        <v>4812</v>
      </c>
      <c r="J14953">
        <v>4812</v>
      </c>
      <c r="K14953">
        <v>1958</v>
      </c>
      <c r="L14953">
        <v>4</v>
      </c>
      <c r="M14953">
        <v>4157</v>
      </c>
      <c r="N14953">
        <v>55</v>
      </c>
      <c r="O14953">
        <v>47</v>
      </c>
      <c r="P14953">
        <v>236</v>
      </c>
      <c r="Q14953">
        <v>25</v>
      </c>
    </row>
    <row r="14954" spans="1:17" x14ac:dyDescent="0.2">
      <c r="A14954" s="121">
        <v>44316</v>
      </c>
      <c r="B14954" t="s">
        <v>406</v>
      </c>
      <c r="C14954" t="s">
        <v>562</v>
      </c>
      <c r="D14954" t="s">
        <v>605</v>
      </c>
      <c r="E14954" t="s">
        <v>606</v>
      </c>
      <c r="F14954" t="s">
        <v>410</v>
      </c>
      <c r="G14954">
        <v>210</v>
      </c>
      <c r="I14954">
        <v>210</v>
      </c>
    </row>
    <row r="14955" spans="1:17" x14ac:dyDescent="0.2">
      <c r="A14955" s="121">
        <v>44316</v>
      </c>
      <c r="B14955" t="s">
        <v>406</v>
      </c>
      <c r="C14955" t="s">
        <v>562</v>
      </c>
      <c r="D14955" t="s">
        <v>563</v>
      </c>
      <c r="E14955" t="s">
        <v>564</v>
      </c>
      <c r="F14955" t="s">
        <v>410</v>
      </c>
      <c r="G14955">
        <v>2962</v>
      </c>
      <c r="H14955">
        <v>2962</v>
      </c>
      <c r="I14955">
        <v>2416</v>
      </c>
      <c r="J14955">
        <v>2416</v>
      </c>
      <c r="K14955">
        <v>1088</v>
      </c>
      <c r="L14955">
        <v>0</v>
      </c>
      <c r="M14955">
        <v>1856</v>
      </c>
      <c r="N14955">
        <v>1</v>
      </c>
      <c r="O14955">
        <v>17</v>
      </c>
      <c r="P14955">
        <v>40</v>
      </c>
      <c r="Q14955">
        <v>6</v>
      </c>
    </row>
    <row r="14956" spans="1:17" x14ac:dyDescent="0.2">
      <c r="A14956" s="121">
        <v>44316</v>
      </c>
      <c r="B14956" t="s">
        <v>406</v>
      </c>
      <c r="C14956" t="s">
        <v>562</v>
      </c>
      <c r="D14956" t="s">
        <v>565</v>
      </c>
      <c r="E14956" t="s">
        <v>566</v>
      </c>
      <c r="F14956" t="s">
        <v>413</v>
      </c>
      <c r="G14956">
        <v>4544</v>
      </c>
      <c r="H14956">
        <v>4544</v>
      </c>
      <c r="I14956">
        <v>4030</v>
      </c>
      <c r="J14956">
        <v>4030</v>
      </c>
      <c r="K14956">
        <v>889</v>
      </c>
      <c r="L14956">
        <v>1</v>
      </c>
      <c r="M14956">
        <v>3225</v>
      </c>
      <c r="N14956">
        <v>48</v>
      </c>
      <c r="O14956">
        <v>381</v>
      </c>
      <c r="P14956">
        <v>29</v>
      </c>
      <c r="Q14956">
        <v>5</v>
      </c>
    </row>
    <row r="14957" spans="1:17" x14ac:dyDescent="0.2">
      <c r="A14957" s="121">
        <v>44316</v>
      </c>
      <c r="B14957" t="s">
        <v>406</v>
      </c>
      <c r="C14957" t="s">
        <v>562</v>
      </c>
      <c r="D14957" t="s">
        <v>567</v>
      </c>
      <c r="E14957" t="s">
        <v>568</v>
      </c>
      <c r="F14957" t="s">
        <v>413</v>
      </c>
      <c r="G14957">
        <v>9293</v>
      </c>
      <c r="H14957">
        <v>9293</v>
      </c>
      <c r="I14957">
        <v>7383</v>
      </c>
      <c r="J14957">
        <v>7383</v>
      </c>
      <c r="K14957">
        <v>3437</v>
      </c>
      <c r="L14957">
        <v>0</v>
      </c>
      <c r="M14957">
        <v>5721</v>
      </c>
      <c r="N14957">
        <v>91</v>
      </c>
      <c r="O14957">
        <v>44</v>
      </c>
      <c r="P14957">
        <v>173</v>
      </c>
      <c r="Q14957">
        <v>11</v>
      </c>
    </row>
    <row r="14958" spans="1:17" x14ac:dyDescent="0.2">
      <c r="A14958" s="121">
        <v>44316</v>
      </c>
      <c r="B14958" t="s">
        <v>406</v>
      </c>
      <c r="C14958" t="s">
        <v>562</v>
      </c>
      <c r="D14958" t="s">
        <v>569</v>
      </c>
      <c r="E14958" t="s">
        <v>570</v>
      </c>
      <c r="F14958" t="s">
        <v>413</v>
      </c>
      <c r="G14958">
        <v>3776</v>
      </c>
      <c r="H14958">
        <v>3776</v>
      </c>
      <c r="I14958">
        <v>3715</v>
      </c>
      <c r="J14958">
        <v>3715</v>
      </c>
      <c r="K14958">
        <v>422</v>
      </c>
      <c r="L14958">
        <v>1</v>
      </c>
      <c r="M14958">
        <v>3221</v>
      </c>
      <c r="N14958">
        <v>77</v>
      </c>
      <c r="O14958">
        <v>55</v>
      </c>
      <c r="P14958">
        <v>0</v>
      </c>
      <c r="Q14958">
        <v>0</v>
      </c>
    </row>
    <row r="14959" spans="1:17" x14ac:dyDescent="0.2">
      <c r="A14959" s="121">
        <v>44316</v>
      </c>
      <c r="B14959" t="s">
        <v>406</v>
      </c>
      <c r="C14959" t="s">
        <v>571</v>
      </c>
      <c r="D14959" t="s">
        <v>572</v>
      </c>
      <c r="E14959" t="s">
        <v>627</v>
      </c>
      <c r="F14959" t="s">
        <v>413</v>
      </c>
      <c r="G14959">
        <v>417</v>
      </c>
      <c r="H14959">
        <v>417</v>
      </c>
      <c r="I14959">
        <v>403</v>
      </c>
      <c r="J14959">
        <v>403</v>
      </c>
      <c r="K14959">
        <v>117</v>
      </c>
      <c r="L14959">
        <v>0</v>
      </c>
      <c r="M14959">
        <v>297</v>
      </c>
      <c r="N14959">
        <v>0</v>
      </c>
      <c r="O14959">
        <v>3</v>
      </c>
      <c r="P14959">
        <v>1</v>
      </c>
      <c r="Q14959">
        <v>1</v>
      </c>
    </row>
    <row r="14960" spans="1:17" x14ac:dyDescent="0.2">
      <c r="A14960" s="121">
        <v>44316</v>
      </c>
      <c r="B14960" t="s">
        <v>406</v>
      </c>
      <c r="C14960" t="s">
        <v>574</v>
      </c>
      <c r="D14960" t="s">
        <v>575</v>
      </c>
      <c r="E14960" t="s">
        <v>576</v>
      </c>
      <c r="F14960" t="s">
        <v>413</v>
      </c>
      <c r="G14960">
        <v>489</v>
      </c>
      <c r="H14960">
        <v>489</v>
      </c>
      <c r="I14960">
        <v>485</v>
      </c>
      <c r="J14960">
        <v>485</v>
      </c>
      <c r="K14960">
        <v>125</v>
      </c>
      <c r="L14960">
        <v>1</v>
      </c>
      <c r="M14960">
        <v>358</v>
      </c>
      <c r="N14960">
        <v>2</v>
      </c>
      <c r="O14960">
        <v>3</v>
      </c>
      <c r="P14960">
        <v>1</v>
      </c>
      <c r="Q14960">
        <v>0</v>
      </c>
    </row>
    <row r="14961" spans="1:17" x14ac:dyDescent="0.2">
      <c r="A14961" s="121">
        <v>44316</v>
      </c>
      <c r="B14961" t="s">
        <v>406</v>
      </c>
      <c r="C14961" t="s">
        <v>577</v>
      </c>
      <c r="D14961" t="s">
        <v>578</v>
      </c>
      <c r="E14961" t="s">
        <v>579</v>
      </c>
      <c r="F14961" t="s">
        <v>413</v>
      </c>
      <c r="G14961">
        <v>3998</v>
      </c>
      <c r="H14961">
        <v>3998</v>
      </c>
      <c r="I14961">
        <v>3784</v>
      </c>
      <c r="J14961">
        <v>3784</v>
      </c>
      <c r="K14961">
        <v>1439</v>
      </c>
      <c r="L14961">
        <v>4</v>
      </c>
      <c r="M14961">
        <v>2402</v>
      </c>
      <c r="N14961">
        <v>111</v>
      </c>
      <c r="O14961">
        <v>42</v>
      </c>
      <c r="P14961">
        <v>3</v>
      </c>
      <c r="Q14961">
        <v>0</v>
      </c>
    </row>
    <row r="14962" spans="1:17" x14ac:dyDescent="0.2">
      <c r="A14962" s="121">
        <v>44316</v>
      </c>
      <c r="B14962" t="s">
        <v>406</v>
      </c>
      <c r="C14962" t="s">
        <v>577</v>
      </c>
      <c r="D14962" t="s">
        <v>580</v>
      </c>
      <c r="E14962" t="s">
        <v>581</v>
      </c>
      <c r="F14962" t="s">
        <v>413</v>
      </c>
      <c r="G14962">
        <v>1540</v>
      </c>
      <c r="H14962">
        <v>1540</v>
      </c>
      <c r="I14962">
        <v>1464</v>
      </c>
      <c r="J14962">
        <v>1464</v>
      </c>
      <c r="K14962">
        <v>254</v>
      </c>
      <c r="L14962">
        <v>1</v>
      </c>
      <c r="M14962">
        <v>1116</v>
      </c>
      <c r="N14962">
        <v>150</v>
      </c>
      <c r="O14962">
        <v>19</v>
      </c>
      <c r="P14962">
        <v>5</v>
      </c>
      <c r="Q14962">
        <v>0</v>
      </c>
    </row>
    <row r="14963" spans="1:17" x14ac:dyDescent="0.2">
      <c r="A14963" s="121">
        <v>44316</v>
      </c>
      <c r="B14963" t="s">
        <v>406</v>
      </c>
      <c r="C14963" t="s">
        <v>577</v>
      </c>
      <c r="D14963" t="s">
        <v>586</v>
      </c>
      <c r="E14963" t="s">
        <v>587</v>
      </c>
      <c r="F14963" t="s">
        <v>410</v>
      </c>
      <c r="G14963">
        <v>696</v>
      </c>
      <c r="H14963">
        <v>696</v>
      </c>
      <c r="I14963">
        <v>695</v>
      </c>
      <c r="J14963">
        <v>695</v>
      </c>
      <c r="K14963">
        <v>0</v>
      </c>
      <c r="L14963">
        <v>0</v>
      </c>
      <c r="M14963">
        <v>626</v>
      </c>
      <c r="N14963">
        <v>69</v>
      </c>
      <c r="O14963">
        <v>1</v>
      </c>
      <c r="P14963">
        <v>0</v>
      </c>
      <c r="Q14963">
        <v>0</v>
      </c>
    </row>
    <row r="14964" spans="1:17" x14ac:dyDescent="0.2">
      <c r="A14964" s="121">
        <v>44316</v>
      </c>
      <c r="B14964" t="s">
        <v>406</v>
      </c>
      <c r="C14964" t="s">
        <v>577</v>
      </c>
      <c r="D14964" t="s">
        <v>590</v>
      </c>
      <c r="E14964" t="s">
        <v>591</v>
      </c>
      <c r="F14964" t="s">
        <v>410</v>
      </c>
      <c r="G14964">
        <v>312</v>
      </c>
      <c r="H14964">
        <v>312</v>
      </c>
      <c r="I14964">
        <v>312</v>
      </c>
      <c r="J14964">
        <v>312</v>
      </c>
      <c r="K14964">
        <v>0</v>
      </c>
      <c r="L14964">
        <v>0</v>
      </c>
      <c r="M14964">
        <v>305</v>
      </c>
      <c r="N14964">
        <v>7</v>
      </c>
      <c r="O14964">
        <v>0</v>
      </c>
      <c r="P14964">
        <v>0</v>
      </c>
      <c r="Q14964">
        <v>0</v>
      </c>
    </row>
    <row r="14965" spans="1:17" x14ac:dyDescent="0.2">
      <c r="A14965" s="121">
        <v>44316</v>
      </c>
      <c r="B14965" t="s">
        <v>406</v>
      </c>
      <c r="C14965" t="s">
        <v>594</v>
      </c>
      <c r="D14965" t="s">
        <v>595</v>
      </c>
      <c r="E14965" t="s">
        <v>596</v>
      </c>
      <c r="F14965" t="s">
        <v>410</v>
      </c>
      <c r="G14965">
        <v>56</v>
      </c>
      <c r="I14965">
        <v>56</v>
      </c>
    </row>
    <row r="14966" spans="1:17" x14ac:dyDescent="0.2">
      <c r="A14966" s="121">
        <v>44316</v>
      </c>
      <c r="B14966" t="s">
        <v>406</v>
      </c>
      <c r="C14966" t="s">
        <v>594</v>
      </c>
      <c r="D14966" t="s">
        <v>597</v>
      </c>
      <c r="E14966" t="s">
        <v>598</v>
      </c>
      <c r="F14966" t="s">
        <v>413</v>
      </c>
      <c r="G14966">
        <v>342</v>
      </c>
      <c r="H14966">
        <v>342</v>
      </c>
      <c r="I14966">
        <v>334</v>
      </c>
      <c r="J14966">
        <v>334</v>
      </c>
      <c r="K14966">
        <v>94</v>
      </c>
      <c r="L14966">
        <v>0</v>
      </c>
      <c r="M14966">
        <v>246</v>
      </c>
      <c r="N14966">
        <v>2</v>
      </c>
      <c r="O14966">
        <v>0</v>
      </c>
      <c r="P14966">
        <v>0</v>
      </c>
      <c r="Q14966">
        <v>0</v>
      </c>
    </row>
    <row r="14967" spans="1:17" x14ac:dyDescent="0.2">
      <c r="A14967" s="121">
        <v>44316</v>
      </c>
      <c r="B14967" t="s">
        <v>406</v>
      </c>
      <c r="C14967" t="s">
        <v>594</v>
      </c>
      <c r="D14967" t="s">
        <v>599</v>
      </c>
      <c r="E14967" t="s">
        <v>600</v>
      </c>
      <c r="F14967" t="s">
        <v>410</v>
      </c>
      <c r="G14967">
        <v>77</v>
      </c>
      <c r="H14967">
        <v>77</v>
      </c>
      <c r="I14967">
        <v>77</v>
      </c>
      <c r="J14967">
        <v>77</v>
      </c>
      <c r="K14967">
        <v>2</v>
      </c>
      <c r="L14967">
        <v>0</v>
      </c>
      <c r="M14967">
        <v>75</v>
      </c>
      <c r="N14967">
        <v>0</v>
      </c>
      <c r="O14967">
        <v>0</v>
      </c>
      <c r="P14967">
        <v>0</v>
      </c>
      <c r="Q14967">
        <v>0</v>
      </c>
    </row>
    <row r="14968" spans="1:17" x14ac:dyDescent="0.2">
      <c r="A14968" s="121">
        <v>44347</v>
      </c>
      <c r="B14968" t="s">
        <v>406</v>
      </c>
      <c r="C14968" t="s">
        <v>407</v>
      </c>
      <c r="D14968" t="s">
        <v>408</v>
      </c>
      <c r="E14968" t="s">
        <v>409</v>
      </c>
      <c r="F14968" t="s">
        <v>410</v>
      </c>
      <c r="G14968">
        <v>246</v>
      </c>
      <c r="I14968">
        <v>238</v>
      </c>
    </row>
    <row r="14969" spans="1:17" x14ac:dyDescent="0.2">
      <c r="A14969" s="121">
        <v>44347</v>
      </c>
      <c r="B14969" t="s">
        <v>406</v>
      </c>
      <c r="C14969" t="s">
        <v>407</v>
      </c>
      <c r="D14969" t="s">
        <v>601</v>
      </c>
      <c r="E14969" t="s">
        <v>602</v>
      </c>
      <c r="F14969" t="s">
        <v>410</v>
      </c>
      <c r="G14969">
        <v>74</v>
      </c>
      <c r="I14969">
        <v>73</v>
      </c>
    </row>
    <row r="14970" spans="1:17" x14ac:dyDescent="0.2">
      <c r="A14970" s="121">
        <v>44347</v>
      </c>
      <c r="B14970" t="s">
        <v>406</v>
      </c>
      <c r="C14970" t="s">
        <v>407</v>
      </c>
      <c r="D14970" t="s">
        <v>411</v>
      </c>
      <c r="E14970" t="s">
        <v>412</v>
      </c>
      <c r="F14970" t="s">
        <v>413</v>
      </c>
      <c r="G14970">
        <v>5524</v>
      </c>
      <c r="H14970">
        <v>5524</v>
      </c>
      <c r="I14970">
        <v>4732</v>
      </c>
      <c r="J14970">
        <v>4732</v>
      </c>
      <c r="K14970">
        <v>1566</v>
      </c>
      <c r="L14970">
        <v>12</v>
      </c>
      <c r="M14970">
        <v>3621</v>
      </c>
      <c r="N14970">
        <v>40</v>
      </c>
      <c r="O14970">
        <v>285</v>
      </c>
      <c r="P14970">
        <v>224</v>
      </c>
      <c r="Q14970">
        <v>100</v>
      </c>
    </row>
    <row r="14971" spans="1:17" x14ac:dyDescent="0.2">
      <c r="A14971" s="121">
        <v>44347</v>
      </c>
      <c r="B14971" t="s">
        <v>406</v>
      </c>
      <c r="C14971" t="s">
        <v>407</v>
      </c>
      <c r="D14971" t="s">
        <v>416</v>
      </c>
      <c r="E14971" t="s">
        <v>417</v>
      </c>
      <c r="F14971" t="s">
        <v>413</v>
      </c>
      <c r="G14971">
        <v>2885</v>
      </c>
      <c r="H14971">
        <v>2885</v>
      </c>
      <c r="I14971">
        <v>2521</v>
      </c>
      <c r="J14971">
        <v>2521</v>
      </c>
      <c r="K14971">
        <v>894</v>
      </c>
      <c r="L14971">
        <v>2</v>
      </c>
      <c r="M14971">
        <v>1884</v>
      </c>
      <c r="N14971">
        <v>65</v>
      </c>
      <c r="O14971">
        <v>40</v>
      </c>
      <c r="P14971">
        <v>76</v>
      </c>
      <c r="Q14971">
        <v>27</v>
      </c>
    </row>
    <row r="14972" spans="1:17" x14ac:dyDescent="0.2">
      <c r="A14972" s="121">
        <v>44347</v>
      </c>
      <c r="B14972" t="s">
        <v>406</v>
      </c>
      <c r="C14972" t="s">
        <v>407</v>
      </c>
      <c r="D14972" t="s">
        <v>618</v>
      </c>
      <c r="E14972" t="s">
        <v>619</v>
      </c>
      <c r="F14972" t="s">
        <v>410</v>
      </c>
      <c r="G14972">
        <v>54</v>
      </c>
      <c r="I14972">
        <v>54</v>
      </c>
    </row>
    <row r="14973" spans="1:17" x14ac:dyDescent="0.2">
      <c r="A14973" s="121">
        <v>44347</v>
      </c>
      <c r="B14973" t="s">
        <v>406</v>
      </c>
      <c r="C14973" t="s">
        <v>418</v>
      </c>
      <c r="D14973" t="s">
        <v>425</v>
      </c>
      <c r="E14973" t="s">
        <v>426</v>
      </c>
      <c r="F14973" t="s">
        <v>410</v>
      </c>
      <c r="G14973">
        <v>29</v>
      </c>
      <c r="I14973">
        <v>29</v>
      </c>
    </row>
    <row r="14974" spans="1:17" x14ac:dyDescent="0.2">
      <c r="A14974" s="121">
        <v>44347</v>
      </c>
      <c r="B14974" t="s">
        <v>406</v>
      </c>
      <c r="C14974" t="s">
        <v>418</v>
      </c>
      <c r="D14974" t="s">
        <v>427</v>
      </c>
      <c r="E14974" t="s">
        <v>428</v>
      </c>
      <c r="F14974" t="s">
        <v>413</v>
      </c>
      <c r="G14974">
        <v>2653</v>
      </c>
      <c r="H14974">
        <v>2653</v>
      </c>
      <c r="I14974">
        <v>2234</v>
      </c>
      <c r="J14974">
        <v>2234</v>
      </c>
      <c r="K14974">
        <v>880</v>
      </c>
      <c r="L14974">
        <v>1</v>
      </c>
      <c r="M14974">
        <v>1698</v>
      </c>
      <c r="N14974">
        <v>64</v>
      </c>
      <c r="O14974">
        <v>10</v>
      </c>
      <c r="P14974">
        <v>64</v>
      </c>
      <c r="Q14974">
        <v>24</v>
      </c>
    </row>
    <row r="14975" spans="1:17" x14ac:dyDescent="0.2">
      <c r="A14975" s="121">
        <v>44347</v>
      </c>
      <c r="B14975" t="s">
        <v>406</v>
      </c>
      <c r="C14975" t="s">
        <v>429</v>
      </c>
      <c r="D14975" t="s">
        <v>438</v>
      </c>
      <c r="E14975" t="s">
        <v>439</v>
      </c>
      <c r="F14975" t="s">
        <v>413</v>
      </c>
      <c r="G14975">
        <v>906</v>
      </c>
      <c r="H14975">
        <v>906</v>
      </c>
      <c r="I14975">
        <v>828</v>
      </c>
      <c r="J14975">
        <v>828</v>
      </c>
      <c r="K14975">
        <v>62</v>
      </c>
      <c r="L14975">
        <v>3</v>
      </c>
      <c r="M14975">
        <v>758</v>
      </c>
      <c r="N14975">
        <v>57</v>
      </c>
      <c r="O14975">
        <v>26</v>
      </c>
      <c r="P14975">
        <v>12</v>
      </c>
      <c r="Q14975">
        <v>2</v>
      </c>
    </row>
    <row r="14976" spans="1:17" x14ac:dyDescent="0.2">
      <c r="A14976" s="121">
        <v>44347</v>
      </c>
      <c r="B14976" t="s">
        <v>406</v>
      </c>
      <c r="C14976" t="s">
        <v>429</v>
      </c>
      <c r="D14976" t="s">
        <v>440</v>
      </c>
      <c r="E14976" t="s">
        <v>441</v>
      </c>
      <c r="F14976" t="s">
        <v>413</v>
      </c>
      <c r="G14976">
        <v>2518</v>
      </c>
      <c r="H14976">
        <v>2518</v>
      </c>
      <c r="I14976">
        <v>2153</v>
      </c>
      <c r="J14976">
        <v>2153</v>
      </c>
      <c r="K14976">
        <v>750</v>
      </c>
      <c r="L14976">
        <v>3</v>
      </c>
      <c r="M14976">
        <v>1701</v>
      </c>
      <c r="N14976">
        <v>24</v>
      </c>
      <c r="O14976">
        <v>40</v>
      </c>
      <c r="P14976">
        <v>24</v>
      </c>
      <c r="Q14976">
        <v>0</v>
      </c>
    </row>
    <row r="14977" spans="1:17" x14ac:dyDescent="0.2">
      <c r="A14977" s="121">
        <v>44347</v>
      </c>
      <c r="B14977" t="s">
        <v>406</v>
      </c>
      <c r="C14977" t="s">
        <v>442</v>
      </c>
      <c r="D14977" t="s">
        <v>443</v>
      </c>
      <c r="E14977" t="s">
        <v>444</v>
      </c>
      <c r="F14977" t="s">
        <v>413</v>
      </c>
      <c r="G14977">
        <v>5695</v>
      </c>
      <c r="H14977">
        <v>5695</v>
      </c>
      <c r="I14977">
        <v>4785</v>
      </c>
      <c r="J14977">
        <v>4785</v>
      </c>
      <c r="K14977">
        <v>1825</v>
      </c>
      <c r="L14977">
        <v>4</v>
      </c>
      <c r="M14977">
        <v>3677</v>
      </c>
      <c r="N14977">
        <v>56</v>
      </c>
      <c r="O14977">
        <v>133</v>
      </c>
      <c r="P14977">
        <v>68</v>
      </c>
      <c r="Q14977">
        <v>8</v>
      </c>
    </row>
    <row r="14978" spans="1:17" x14ac:dyDescent="0.2">
      <c r="A14978" s="121">
        <v>44347</v>
      </c>
      <c r="B14978" t="s">
        <v>406</v>
      </c>
      <c r="C14978" t="s">
        <v>442</v>
      </c>
      <c r="D14978" t="s">
        <v>445</v>
      </c>
      <c r="E14978" t="s">
        <v>446</v>
      </c>
      <c r="F14978" t="s">
        <v>410</v>
      </c>
      <c r="G14978">
        <v>118</v>
      </c>
      <c r="H14978">
        <v>118</v>
      </c>
      <c r="I14978">
        <v>117</v>
      </c>
      <c r="J14978">
        <v>117</v>
      </c>
      <c r="K14978">
        <v>0</v>
      </c>
      <c r="L14978">
        <v>0</v>
      </c>
      <c r="M14978">
        <v>113</v>
      </c>
      <c r="N14978">
        <v>4</v>
      </c>
      <c r="O14978">
        <v>1</v>
      </c>
      <c r="P14978">
        <v>0</v>
      </c>
      <c r="Q14978">
        <v>0</v>
      </c>
    </row>
    <row r="14979" spans="1:17" x14ac:dyDescent="0.2">
      <c r="A14979" s="121">
        <v>44347</v>
      </c>
      <c r="B14979" t="s">
        <v>406</v>
      </c>
      <c r="C14979" t="s">
        <v>442</v>
      </c>
      <c r="D14979" t="s">
        <v>447</v>
      </c>
      <c r="E14979" t="s">
        <v>448</v>
      </c>
      <c r="F14979" t="s">
        <v>410</v>
      </c>
      <c r="G14979">
        <v>173</v>
      </c>
      <c r="H14979">
        <v>173</v>
      </c>
      <c r="I14979">
        <v>173</v>
      </c>
      <c r="J14979">
        <v>173</v>
      </c>
      <c r="K14979">
        <v>3</v>
      </c>
      <c r="L14979">
        <v>0</v>
      </c>
      <c r="M14979">
        <v>161</v>
      </c>
      <c r="N14979">
        <v>9</v>
      </c>
      <c r="O14979">
        <v>0</v>
      </c>
      <c r="P14979">
        <v>0</v>
      </c>
      <c r="Q14979">
        <v>0</v>
      </c>
    </row>
    <row r="14980" spans="1:17" x14ac:dyDescent="0.2">
      <c r="A14980" s="121">
        <v>44347</v>
      </c>
      <c r="B14980" t="s">
        <v>406</v>
      </c>
      <c r="C14980" t="s">
        <v>442</v>
      </c>
      <c r="D14980" t="s">
        <v>449</v>
      </c>
      <c r="E14980" t="s">
        <v>624</v>
      </c>
      <c r="F14980" t="s">
        <v>410</v>
      </c>
      <c r="G14980">
        <v>1122</v>
      </c>
      <c r="H14980">
        <v>1122</v>
      </c>
      <c r="I14980">
        <v>1122</v>
      </c>
      <c r="J14980">
        <v>1122</v>
      </c>
      <c r="K14980">
        <v>3</v>
      </c>
      <c r="L14980">
        <v>0</v>
      </c>
      <c r="M14980">
        <v>1021</v>
      </c>
      <c r="N14980">
        <v>94</v>
      </c>
      <c r="O14980">
        <v>4</v>
      </c>
      <c r="P14980">
        <v>0</v>
      </c>
      <c r="Q14980">
        <v>0</v>
      </c>
    </row>
    <row r="14981" spans="1:17" x14ac:dyDescent="0.2">
      <c r="A14981" s="121">
        <v>44347</v>
      </c>
      <c r="B14981" t="s">
        <v>406</v>
      </c>
      <c r="C14981" t="s">
        <v>451</v>
      </c>
      <c r="D14981" t="s">
        <v>454</v>
      </c>
      <c r="E14981" t="s">
        <v>621</v>
      </c>
      <c r="F14981" t="s">
        <v>410</v>
      </c>
      <c r="G14981">
        <v>1595</v>
      </c>
      <c r="H14981">
        <v>1595</v>
      </c>
      <c r="I14981">
        <v>1593</v>
      </c>
      <c r="J14981">
        <v>1593</v>
      </c>
      <c r="K14981">
        <v>12</v>
      </c>
      <c r="L14981">
        <v>0</v>
      </c>
      <c r="M14981">
        <v>1460</v>
      </c>
      <c r="N14981">
        <v>6</v>
      </c>
      <c r="O14981">
        <v>117</v>
      </c>
      <c r="P14981">
        <v>0</v>
      </c>
      <c r="Q14981">
        <v>0</v>
      </c>
    </row>
    <row r="14982" spans="1:17" x14ac:dyDescent="0.2">
      <c r="A14982" s="121">
        <v>44347</v>
      </c>
      <c r="B14982" t="s">
        <v>406</v>
      </c>
      <c r="C14982" t="s">
        <v>451</v>
      </c>
      <c r="D14982" t="s">
        <v>622</v>
      </c>
      <c r="E14982" t="s">
        <v>623</v>
      </c>
      <c r="F14982" t="s">
        <v>413</v>
      </c>
      <c r="G14982">
        <v>4829</v>
      </c>
      <c r="H14982">
        <v>4829</v>
      </c>
      <c r="I14982">
        <v>3790</v>
      </c>
      <c r="J14982">
        <v>3790</v>
      </c>
      <c r="K14982">
        <v>1559</v>
      </c>
      <c r="L14982">
        <v>4</v>
      </c>
      <c r="M14982">
        <v>3004</v>
      </c>
      <c r="N14982">
        <v>26</v>
      </c>
      <c r="O14982">
        <v>236</v>
      </c>
      <c r="P14982">
        <v>59</v>
      </c>
      <c r="Q14982">
        <v>7</v>
      </c>
    </row>
    <row r="14983" spans="1:17" x14ac:dyDescent="0.2">
      <c r="A14983" s="121">
        <v>44347</v>
      </c>
      <c r="B14983" t="s">
        <v>406</v>
      </c>
      <c r="C14983" t="s">
        <v>456</v>
      </c>
      <c r="D14983" t="s">
        <v>457</v>
      </c>
      <c r="E14983" t="s">
        <v>458</v>
      </c>
      <c r="F14983" t="s">
        <v>413</v>
      </c>
      <c r="G14983">
        <v>4246</v>
      </c>
      <c r="H14983">
        <v>4246</v>
      </c>
      <c r="I14983">
        <v>3437</v>
      </c>
      <c r="J14983">
        <v>3437</v>
      </c>
      <c r="K14983">
        <v>1315</v>
      </c>
      <c r="L14983">
        <v>8</v>
      </c>
      <c r="M14983">
        <v>2776</v>
      </c>
      <c r="N14983">
        <v>12</v>
      </c>
      <c r="O14983">
        <v>135</v>
      </c>
      <c r="P14983">
        <v>52</v>
      </c>
      <c r="Q14983">
        <v>4</v>
      </c>
    </row>
    <row r="14984" spans="1:17" x14ac:dyDescent="0.2">
      <c r="A14984" s="121">
        <v>44347</v>
      </c>
      <c r="B14984" t="s">
        <v>406</v>
      </c>
      <c r="C14984" t="s">
        <v>456</v>
      </c>
      <c r="D14984" t="s">
        <v>459</v>
      </c>
      <c r="E14984" t="s">
        <v>460</v>
      </c>
      <c r="F14984" t="s">
        <v>413</v>
      </c>
      <c r="G14984">
        <v>1396</v>
      </c>
      <c r="H14984">
        <v>1396</v>
      </c>
      <c r="I14984">
        <v>1365</v>
      </c>
      <c r="J14984">
        <v>1365</v>
      </c>
      <c r="K14984">
        <v>102</v>
      </c>
      <c r="L14984">
        <v>0</v>
      </c>
      <c r="M14984">
        <v>1284</v>
      </c>
      <c r="N14984">
        <v>1</v>
      </c>
      <c r="O14984">
        <v>9</v>
      </c>
      <c r="P14984">
        <v>1</v>
      </c>
      <c r="Q14984">
        <v>0</v>
      </c>
    </row>
    <row r="14985" spans="1:17" x14ac:dyDescent="0.2">
      <c r="A14985" s="121">
        <v>44347</v>
      </c>
      <c r="B14985" t="s">
        <v>406</v>
      </c>
      <c r="C14985" t="s">
        <v>456</v>
      </c>
      <c r="D14985" t="s">
        <v>467</v>
      </c>
      <c r="E14985" t="s">
        <v>468</v>
      </c>
      <c r="F14985" t="s">
        <v>410</v>
      </c>
      <c r="G14985">
        <v>376</v>
      </c>
      <c r="I14985">
        <v>374</v>
      </c>
    </row>
    <row r="14986" spans="1:17" x14ac:dyDescent="0.2">
      <c r="A14986" s="121">
        <v>44347</v>
      </c>
      <c r="B14986" t="s">
        <v>406</v>
      </c>
      <c r="C14986" t="s">
        <v>456</v>
      </c>
      <c r="D14986" t="s">
        <v>469</v>
      </c>
      <c r="E14986" t="s">
        <v>470</v>
      </c>
      <c r="F14986" t="s">
        <v>410</v>
      </c>
      <c r="G14986">
        <v>402</v>
      </c>
      <c r="I14986">
        <v>400</v>
      </c>
    </row>
    <row r="14987" spans="1:17" x14ac:dyDescent="0.2">
      <c r="A14987" s="121">
        <v>44347</v>
      </c>
      <c r="B14987" t="s">
        <v>406</v>
      </c>
      <c r="C14987" t="s">
        <v>456</v>
      </c>
      <c r="D14987" t="s">
        <v>471</v>
      </c>
      <c r="E14987" t="s">
        <v>472</v>
      </c>
      <c r="F14987" t="s">
        <v>410</v>
      </c>
      <c r="G14987">
        <v>299</v>
      </c>
      <c r="I14987">
        <v>299</v>
      </c>
    </row>
    <row r="14988" spans="1:17" x14ac:dyDescent="0.2">
      <c r="A14988" s="121">
        <v>44347</v>
      </c>
      <c r="B14988" t="s">
        <v>406</v>
      </c>
      <c r="C14988" t="s">
        <v>456</v>
      </c>
      <c r="D14988" t="s">
        <v>477</v>
      </c>
      <c r="E14988" t="s">
        <v>478</v>
      </c>
      <c r="F14988" t="s">
        <v>413</v>
      </c>
      <c r="G14988">
        <v>2162</v>
      </c>
      <c r="H14988">
        <v>2162</v>
      </c>
      <c r="I14988">
        <v>1910</v>
      </c>
      <c r="J14988">
        <v>1910</v>
      </c>
      <c r="K14988">
        <v>612</v>
      </c>
      <c r="L14988">
        <v>2</v>
      </c>
      <c r="M14988">
        <v>1522</v>
      </c>
      <c r="N14988">
        <v>15</v>
      </c>
      <c r="O14988">
        <v>11</v>
      </c>
      <c r="P14988">
        <v>19</v>
      </c>
      <c r="Q14988">
        <v>2</v>
      </c>
    </row>
    <row r="14989" spans="1:17" x14ac:dyDescent="0.2">
      <c r="A14989" s="121">
        <v>44347</v>
      </c>
      <c r="B14989" t="s">
        <v>406</v>
      </c>
      <c r="C14989" t="s">
        <v>491</v>
      </c>
      <c r="D14989" t="s">
        <v>492</v>
      </c>
      <c r="E14989" t="s">
        <v>493</v>
      </c>
      <c r="F14989" t="s">
        <v>410</v>
      </c>
      <c r="G14989">
        <v>1366</v>
      </c>
      <c r="H14989">
        <v>1366</v>
      </c>
      <c r="I14989">
        <v>1317</v>
      </c>
      <c r="J14989">
        <v>1317</v>
      </c>
      <c r="K14989">
        <v>178</v>
      </c>
      <c r="L14989">
        <v>0</v>
      </c>
      <c r="M14989">
        <v>1099</v>
      </c>
      <c r="N14989">
        <v>72</v>
      </c>
      <c r="O14989">
        <v>17</v>
      </c>
      <c r="P14989">
        <v>4</v>
      </c>
      <c r="Q14989">
        <v>0</v>
      </c>
    </row>
    <row r="14990" spans="1:17" x14ac:dyDescent="0.2">
      <c r="A14990" s="121">
        <v>44347</v>
      </c>
      <c r="B14990" t="s">
        <v>406</v>
      </c>
      <c r="C14990" t="s">
        <v>491</v>
      </c>
      <c r="D14990" t="s">
        <v>494</v>
      </c>
      <c r="E14990" t="s">
        <v>495</v>
      </c>
      <c r="F14990" t="s">
        <v>413</v>
      </c>
      <c r="G14990">
        <v>2714</v>
      </c>
      <c r="H14990">
        <v>2714</v>
      </c>
      <c r="I14990">
        <v>2520</v>
      </c>
      <c r="J14990">
        <v>2520</v>
      </c>
      <c r="K14990">
        <v>652</v>
      </c>
      <c r="L14990">
        <v>0</v>
      </c>
      <c r="M14990">
        <v>1953</v>
      </c>
      <c r="N14990">
        <v>49</v>
      </c>
      <c r="O14990">
        <v>60</v>
      </c>
      <c r="P14990">
        <v>7</v>
      </c>
      <c r="Q14990">
        <v>0</v>
      </c>
    </row>
    <row r="14991" spans="1:17" x14ac:dyDescent="0.2">
      <c r="A14991" s="121">
        <v>44347</v>
      </c>
      <c r="B14991" t="s">
        <v>406</v>
      </c>
      <c r="C14991" t="s">
        <v>491</v>
      </c>
      <c r="D14991" t="s">
        <v>496</v>
      </c>
      <c r="E14991" t="s">
        <v>497</v>
      </c>
      <c r="F14991" t="s">
        <v>413</v>
      </c>
      <c r="G14991">
        <v>5271</v>
      </c>
      <c r="H14991">
        <v>5271</v>
      </c>
      <c r="I14991">
        <v>4587</v>
      </c>
      <c r="J14991">
        <v>4587</v>
      </c>
      <c r="K14991">
        <v>1655</v>
      </c>
      <c r="L14991">
        <v>12</v>
      </c>
      <c r="M14991">
        <v>3428</v>
      </c>
      <c r="N14991">
        <v>65</v>
      </c>
      <c r="O14991">
        <v>111</v>
      </c>
      <c r="P14991">
        <v>47</v>
      </c>
      <c r="Q14991">
        <v>6</v>
      </c>
    </row>
    <row r="14992" spans="1:17" x14ac:dyDescent="0.2">
      <c r="A14992" s="121">
        <v>44347</v>
      </c>
      <c r="B14992" t="s">
        <v>406</v>
      </c>
      <c r="C14992" t="s">
        <v>491</v>
      </c>
      <c r="D14992" t="s">
        <v>498</v>
      </c>
      <c r="E14992" t="s">
        <v>499</v>
      </c>
      <c r="F14992" t="s">
        <v>413</v>
      </c>
      <c r="G14992">
        <v>6865</v>
      </c>
      <c r="H14992">
        <v>6865</v>
      </c>
      <c r="I14992">
        <v>6279</v>
      </c>
      <c r="J14992">
        <v>6279</v>
      </c>
      <c r="K14992">
        <v>2107</v>
      </c>
      <c r="L14992">
        <v>15</v>
      </c>
      <c r="M14992">
        <v>4406</v>
      </c>
      <c r="N14992">
        <v>140</v>
      </c>
      <c r="O14992">
        <v>197</v>
      </c>
      <c r="P14992">
        <v>24</v>
      </c>
      <c r="Q14992">
        <v>0</v>
      </c>
    </row>
    <row r="14993" spans="1:17" x14ac:dyDescent="0.2">
      <c r="A14993" s="121">
        <v>44347</v>
      </c>
      <c r="B14993" t="s">
        <v>406</v>
      </c>
      <c r="C14993" t="s">
        <v>491</v>
      </c>
      <c r="D14993" t="s">
        <v>500</v>
      </c>
      <c r="E14993" t="s">
        <v>620</v>
      </c>
      <c r="F14993" t="s">
        <v>410</v>
      </c>
      <c r="G14993">
        <v>1876</v>
      </c>
      <c r="H14993">
        <v>1876</v>
      </c>
      <c r="I14993">
        <v>1873</v>
      </c>
      <c r="J14993">
        <v>1873</v>
      </c>
      <c r="K14993">
        <v>1</v>
      </c>
      <c r="L14993">
        <v>0</v>
      </c>
      <c r="M14993">
        <v>1658</v>
      </c>
      <c r="N14993">
        <v>128</v>
      </c>
      <c r="O14993">
        <v>89</v>
      </c>
      <c r="P14993">
        <v>0</v>
      </c>
      <c r="Q14993">
        <v>0</v>
      </c>
    </row>
    <row r="14994" spans="1:17" x14ac:dyDescent="0.2">
      <c r="A14994" s="121">
        <v>44347</v>
      </c>
      <c r="B14994" t="s">
        <v>406</v>
      </c>
      <c r="C14994" t="s">
        <v>491</v>
      </c>
      <c r="D14994" t="s">
        <v>502</v>
      </c>
      <c r="E14994" t="s">
        <v>615</v>
      </c>
      <c r="F14994" t="s">
        <v>410</v>
      </c>
      <c r="G14994">
        <v>1896</v>
      </c>
      <c r="H14994">
        <v>1896</v>
      </c>
      <c r="I14994">
        <v>1895</v>
      </c>
      <c r="J14994">
        <v>1895</v>
      </c>
      <c r="K14994">
        <v>0</v>
      </c>
      <c r="L14994">
        <v>0</v>
      </c>
      <c r="M14994">
        <v>1785</v>
      </c>
      <c r="N14994">
        <v>62</v>
      </c>
      <c r="O14994">
        <v>49</v>
      </c>
      <c r="P14994">
        <v>0</v>
      </c>
      <c r="Q14994">
        <v>0</v>
      </c>
    </row>
    <row r="14995" spans="1:17" x14ac:dyDescent="0.2">
      <c r="A14995" s="121">
        <v>44347</v>
      </c>
      <c r="B14995" t="s">
        <v>406</v>
      </c>
      <c r="C14995" t="s">
        <v>491</v>
      </c>
      <c r="D14995" t="s">
        <v>504</v>
      </c>
      <c r="E14995" t="s">
        <v>630</v>
      </c>
      <c r="F14995" t="s">
        <v>413</v>
      </c>
      <c r="G14995">
        <v>7921</v>
      </c>
      <c r="H14995">
        <v>7921</v>
      </c>
      <c r="I14995">
        <v>6737</v>
      </c>
      <c r="J14995">
        <v>6737</v>
      </c>
      <c r="K14995">
        <v>2922</v>
      </c>
      <c r="L14995">
        <v>22</v>
      </c>
      <c r="M14995">
        <v>4758</v>
      </c>
      <c r="N14995">
        <v>60</v>
      </c>
      <c r="O14995">
        <v>159</v>
      </c>
      <c r="P14995">
        <v>35</v>
      </c>
      <c r="Q14995">
        <v>0</v>
      </c>
    </row>
    <row r="14996" spans="1:17" x14ac:dyDescent="0.2">
      <c r="A14996" s="121">
        <v>44347</v>
      </c>
      <c r="B14996" t="s">
        <v>406</v>
      </c>
      <c r="C14996" t="s">
        <v>491</v>
      </c>
      <c r="D14996" t="s">
        <v>506</v>
      </c>
      <c r="E14996" t="s">
        <v>507</v>
      </c>
      <c r="F14996" t="s">
        <v>413</v>
      </c>
      <c r="G14996">
        <v>5722</v>
      </c>
      <c r="H14996">
        <v>5722</v>
      </c>
      <c r="I14996">
        <v>5663</v>
      </c>
      <c r="J14996">
        <v>5663</v>
      </c>
      <c r="K14996">
        <v>1109</v>
      </c>
      <c r="L14996">
        <v>0</v>
      </c>
      <c r="M14996">
        <v>4605</v>
      </c>
      <c r="N14996">
        <v>0</v>
      </c>
      <c r="O14996">
        <v>8</v>
      </c>
      <c r="P14996">
        <v>1</v>
      </c>
      <c r="Q14996">
        <v>0</v>
      </c>
    </row>
    <row r="14997" spans="1:17" x14ac:dyDescent="0.2">
      <c r="A14997" s="121">
        <v>44347</v>
      </c>
      <c r="B14997" t="s">
        <v>406</v>
      </c>
      <c r="C14997" t="s">
        <v>491</v>
      </c>
      <c r="D14997" t="s">
        <v>508</v>
      </c>
      <c r="E14997" t="s">
        <v>631</v>
      </c>
      <c r="F14997" t="s">
        <v>410</v>
      </c>
      <c r="G14997">
        <v>7</v>
      </c>
      <c r="H14997">
        <v>7</v>
      </c>
      <c r="I14997">
        <v>7</v>
      </c>
      <c r="J14997">
        <v>7</v>
      </c>
      <c r="K14997">
        <v>0</v>
      </c>
      <c r="L14997">
        <v>0</v>
      </c>
      <c r="M14997">
        <v>7</v>
      </c>
      <c r="N14997">
        <v>0</v>
      </c>
      <c r="O14997">
        <v>0</v>
      </c>
      <c r="P14997">
        <v>0</v>
      </c>
      <c r="Q14997">
        <v>0</v>
      </c>
    </row>
    <row r="14998" spans="1:17" x14ac:dyDescent="0.2">
      <c r="A14998" s="121">
        <v>44347</v>
      </c>
      <c r="B14998" t="s">
        <v>406</v>
      </c>
      <c r="C14998" t="s">
        <v>510</v>
      </c>
      <c r="D14998" t="s">
        <v>513</v>
      </c>
      <c r="E14998" t="s">
        <v>514</v>
      </c>
      <c r="F14998" t="s">
        <v>410</v>
      </c>
      <c r="G14998">
        <v>606</v>
      </c>
      <c r="I14998">
        <v>603</v>
      </c>
    </row>
    <row r="14999" spans="1:17" x14ac:dyDescent="0.2">
      <c r="A14999" s="121">
        <v>44347</v>
      </c>
      <c r="B14999" t="s">
        <v>406</v>
      </c>
      <c r="C14999" t="s">
        <v>510</v>
      </c>
      <c r="D14999" t="s">
        <v>515</v>
      </c>
      <c r="E14999" t="s">
        <v>516</v>
      </c>
      <c r="F14999" t="s">
        <v>410</v>
      </c>
      <c r="G14999">
        <v>78</v>
      </c>
      <c r="I14999">
        <v>78</v>
      </c>
    </row>
    <row r="15000" spans="1:17" x14ac:dyDescent="0.2">
      <c r="A15000" s="121">
        <v>44347</v>
      </c>
      <c r="B15000" t="s">
        <v>406</v>
      </c>
      <c r="C15000" t="s">
        <v>510</v>
      </c>
      <c r="D15000" t="s">
        <v>519</v>
      </c>
      <c r="E15000" t="s">
        <v>520</v>
      </c>
      <c r="F15000" t="s">
        <v>410</v>
      </c>
      <c r="G15000">
        <v>376</v>
      </c>
      <c r="I15000">
        <v>370</v>
      </c>
    </row>
    <row r="15001" spans="1:17" x14ac:dyDescent="0.2">
      <c r="A15001" s="121">
        <v>44347</v>
      </c>
      <c r="B15001" t="s">
        <v>406</v>
      </c>
      <c r="C15001" t="s">
        <v>510</v>
      </c>
      <c r="D15001" t="s">
        <v>523</v>
      </c>
      <c r="E15001" t="s">
        <v>524</v>
      </c>
      <c r="F15001" t="s">
        <v>413</v>
      </c>
      <c r="G15001">
        <v>724</v>
      </c>
      <c r="H15001">
        <v>724</v>
      </c>
      <c r="I15001">
        <v>696</v>
      </c>
      <c r="J15001">
        <v>696</v>
      </c>
      <c r="K15001">
        <v>161</v>
      </c>
      <c r="L15001">
        <v>1</v>
      </c>
      <c r="M15001">
        <v>528</v>
      </c>
      <c r="N15001">
        <v>15</v>
      </c>
      <c r="O15001">
        <v>19</v>
      </c>
      <c r="P15001">
        <v>1</v>
      </c>
      <c r="Q15001">
        <v>1</v>
      </c>
    </row>
    <row r="15002" spans="1:17" x14ac:dyDescent="0.2">
      <c r="A15002" s="121">
        <v>44347</v>
      </c>
      <c r="B15002" t="s">
        <v>406</v>
      </c>
      <c r="C15002" t="s">
        <v>510</v>
      </c>
      <c r="D15002" t="s">
        <v>525</v>
      </c>
      <c r="E15002" t="s">
        <v>526</v>
      </c>
      <c r="F15002" t="s">
        <v>410</v>
      </c>
      <c r="G15002">
        <v>384</v>
      </c>
      <c r="I15002">
        <v>373</v>
      </c>
    </row>
    <row r="15003" spans="1:17" x14ac:dyDescent="0.2">
      <c r="A15003" s="121">
        <v>44347</v>
      </c>
      <c r="B15003" t="s">
        <v>406</v>
      </c>
      <c r="C15003" t="s">
        <v>510</v>
      </c>
      <c r="D15003" t="s">
        <v>527</v>
      </c>
      <c r="E15003" t="s">
        <v>528</v>
      </c>
      <c r="F15003" t="s">
        <v>410</v>
      </c>
      <c r="G15003">
        <v>18</v>
      </c>
      <c r="I15003">
        <v>18</v>
      </c>
    </row>
    <row r="15004" spans="1:17" x14ac:dyDescent="0.2">
      <c r="A15004" s="121">
        <v>44347</v>
      </c>
      <c r="B15004" t="s">
        <v>406</v>
      </c>
      <c r="C15004" t="s">
        <v>510</v>
      </c>
      <c r="D15004" t="s">
        <v>529</v>
      </c>
      <c r="E15004" t="s">
        <v>530</v>
      </c>
      <c r="F15004" t="s">
        <v>413</v>
      </c>
      <c r="G15004">
        <v>738</v>
      </c>
      <c r="H15004">
        <v>738</v>
      </c>
      <c r="I15004">
        <v>702</v>
      </c>
      <c r="J15004">
        <v>702</v>
      </c>
      <c r="K15004">
        <v>157</v>
      </c>
      <c r="L15004">
        <v>1</v>
      </c>
      <c r="M15004">
        <v>544</v>
      </c>
      <c r="N15004">
        <v>27</v>
      </c>
      <c r="O15004">
        <v>9</v>
      </c>
      <c r="P15004">
        <v>2</v>
      </c>
      <c r="Q15004">
        <v>1</v>
      </c>
    </row>
    <row r="15005" spans="1:17" x14ac:dyDescent="0.2">
      <c r="A15005" s="121">
        <v>44347</v>
      </c>
      <c r="B15005" t="s">
        <v>406</v>
      </c>
      <c r="C15005" t="s">
        <v>510</v>
      </c>
      <c r="D15005" t="s">
        <v>531</v>
      </c>
      <c r="E15005" t="s">
        <v>532</v>
      </c>
      <c r="F15005" t="s">
        <v>410</v>
      </c>
      <c r="G15005">
        <v>30</v>
      </c>
      <c r="I15005">
        <v>30</v>
      </c>
    </row>
    <row r="15006" spans="1:17" x14ac:dyDescent="0.2">
      <c r="A15006" s="121">
        <v>44347</v>
      </c>
      <c r="B15006" t="s">
        <v>406</v>
      </c>
      <c r="C15006" t="s">
        <v>510</v>
      </c>
      <c r="D15006" t="s">
        <v>533</v>
      </c>
      <c r="E15006" t="s">
        <v>534</v>
      </c>
      <c r="F15006" t="s">
        <v>413</v>
      </c>
      <c r="G15006">
        <v>2920</v>
      </c>
      <c r="H15006">
        <v>2920</v>
      </c>
      <c r="I15006">
        <v>2572</v>
      </c>
      <c r="J15006">
        <v>2572</v>
      </c>
      <c r="K15006">
        <v>783</v>
      </c>
      <c r="L15006">
        <v>2</v>
      </c>
      <c r="M15006">
        <v>2003</v>
      </c>
      <c r="N15006">
        <v>29</v>
      </c>
      <c r="O15006">
        <v>103</v>
      </c>
      <c r="P15006">
        <v>22</v>
      </c>
      <c r="Q15006">
        <v>0</v>
      </c>
    </row>
    <row r="15007" spans="1:17" x14ac:dyDescent="0.2">
      <c r="A15007" s="121">
        <v>44347</v>
      </c>
      <c r="B15007" t="s">
        <v>406</v>
      </c>
      <c r="C15007" t="s">
        <v>510</v>
      </c>
      <c r="D15007" t="s">
        <v>535</v>
      </c>
      <c r="E15007" t="s">
        <v>536</v>
      </c>
      <c r="F15007" t="s">
        <v>410</v>
      </c>
      <c r="G15007">
        <v>258</v>
      </c>
      <c r="I15007">
        <v>256</v>
      </c>
    </row>
    <row r="15008" spans="1:17" x14ac:dyDescent="0.2">
      <c r="A15008" s="121">
        <v>44347</v>
      </c>
      <c r="B15008" t="s">
        <v>406</v>
      </c>
      <c r="C15008" t="s">
        <v>510</v>
      </c>
      <c r="D15008" t="s">
        <v>539</v>
      </c>
      <c r="E15008" t="s">
        <v>540</v>
      </c>
      <c r="F15008" t="s">
        <v>413</v>
      </c>
      <c r="G15008">
        <v>696</v>
      </c>
      <c r="H15008">
        <v>696</v>
      </c>
      <c r="I15008">
        <v>645</v>
      </c>
      <c r="J15008">
        <v>645</v>
      </c>
      <c r="K15008">
        <v>141</v>
      </c>
      <c r="L15008">
        <v>2</v>
      </c>
      <c r="M15008">
        <v>535</v>
      </c>
      <c r="N15008">
        <v>14</v>
      </c>
      <c r="O15008">
        <v>4</v>
      </c>
      <c r="P15008">
        <v>0</v>
      </c>
      <c r="Q15008">
        <v>0</v>
      </c>
    </row>
    <row r="15009" spans="1:17" x14ac:dyDescent="0.2">
      <c r="A15009" s="121">
        <v>44347</v>
      </c>
      <c r="B15009" t="s">
        <v>406</v>
      </c>
      <c r="C15009" t="s">
        <v>510</v>
      </c>
      <c r="D15009" t="s">
        <v>541</v>
      </c>
      <c r="E15009" t="s">
        <v>542</v>
      </c>
      <c r="F15009" t="s">
        <v>410</v>
      </c>
      <c r="G15009">
        <v>370</v>
      </c>
      <c r="I15009">
        <v>369</v>
      </c>
    </row>
    <row r="15010" spans="1:17" x14ac:dyDescent="0.2">
      <c r="A15010" s="121">
        <v>44347</v>
      </c>
      <c r="B15010" t="s">
        <v>406</v>
      </c>
      <c r="C15010" t="s">
        <v>510</v>
      </c>
      <c r="D15010" t="s">
        <v>543</v>
      </c>
      <c r="E15010" t="s">
        <v>544</v>
      </c>
      <c r="F15010" t="s">
        <v>410</v>
      </c>
      <c r="G15010">
        <v>46</v>
      </c>
      <c r="I15010">
        <v>46</v>
      </c>
    </row>
    <row r="15011" spans="1:17" x14ac:dyDescent="0.2">
      <c r="A15011" s="121">
        <v>44347</v>
      </c>
      <c r="B15011" t="s">
        <v>406</v>
      </c>
      <c r="C15011" t="s">
        <v>510</v>
      </c>
      <c r="D15011" t="s">
        <v>547</v>
      </c>
      <c r="E15011" t="s">
        <v>548</v>
      </c>
      <c r="F15011" t="s">
        <v>410</v>
      </c>
      <c r="G15011">
        <v>38</v>
      </c>
      <c r="I15011">
        <v>38</v>
      </c>
    </row>
    <row r="15012" spans="1:17" x14ac:dyDescent="0.2">
      <c r="A15012" s="121">
        <v>44347</v>
      </c>
      <c r="B15012" t="s">
        <v>406</v>
      </c>
      <c r="C15012" t="s">
        <v>510</v>
      </c>
      <c r="D15012" t="s">
        <v>616</v>
      </c>
      <c r="E15012" t="s">
        <v>617</v>
      </c>
      <c r="F15012" t="s">
        <v>410</v>
      </c>
      <c r="G15012">
        <v>396</v>
      </c>
      <c r="I15012">
        <v>393</v>
      </c>
    </row>
    <row r="15013" spans="1:17" x14ac:dyDescent="0.2">
      <c r="A15013" s="121">
        <v>44347</v>
      </c>
      <c r="B15013" t="s">
        <v>406</v>
      </c>
      <c r="C15013" t="s">
        <v>510</v>
      </c>
      <c r="D15013" t="s">
        <v>549</v>
      </c>
      <c r="E15013" t="s">
        <v>550</v>
      </c>
      <c r="F15013" t="s">
        <v>410</v>
      </c>
      <c r="G15013">
        <v>77</v>
      </c>
      <c r="I15013">
        <v>77</v>
      </c>
    </row>
    <row r="15014" spans="1:17" x14ac:dyDescent="0.2">
      <c r="A15014" s="121">
        <v>44347</v>
      </c>
      <c r="B15014" t="s">
        <v>406</v>
      </c>
      <c r="C15014" t="s">
        <v>510</v>
      </c>
      <c r="D15014" t="s">
        <v>625</v>
      </c>
      <c r="E15014" t="s">
        <v>626</v>
      </c>
      <c r="F15014" t="s">
        <v>410</v>
      </c>
      <c r="G15014">
        <v>121</v>
      </c>
      <c r="I15014">
        <v>121</v>
      </c>
    </row>
    <row r="15015" spans="1:17" x14ac:dyDescent="0.2">
      <c r="A15015" s="121">
        <v>44347</v>
      </c>
      <c r="B15015" t="s">
        <v>406</v>
      </c>
      <c r="C15015" t="s">
        <v>551</v>
      </c>
      <c r="D15015" t="s">
        <v>552</v>
      </c>
      <c r="E15015" t="s">
        <v>553</v>
      </c>
      <c r="F15015" t="s">
        <v>413</v>
      </c>
      <c r="G15015">
        <v>6093</v>
      </c>
      <c r="H15015">
        <v>6093</v>
      </c>
      <c r="I15015">
        <v>5230</v>
      </c>
      <c r="J15015">
        <v>5230</v>
      </c>
      <c r="K15015">
        <v>1959</v>
      </c>
      <c r="L15015">
        <v>4</v>
      </c>
      <c r="M15015">
        <v>3966</v>
      </c>
      <c r="N15015">
        <v>138</v>
      </c>
      <c r="O15015">
        <v>26</v>
      </c>
      <c r="P15015">
        <v>82</v>
      </c>
      <c r="Q15015">
        <v>22</v>
      </c>
    </row>
    <row r="15016" spans="1:17" x14ac:dyDescent="0.2">
      <c r="A15016" s="121">
        <v>44347</v>
      </c>
      <c r="B15016" t="s">
        <v>406</v>
      </c>
      <c r="C15016" t="s">
        <v>551</v>
      </c>
      <c r="D15016" t="s">
        <v>558</v>
      </c>
      <c r="E15016" t="s">
        <v>559</v>
      </c>
      <c r="F15016" t="s">
        <v>413</v>
      </c>
      <c r="G15016">
        <v>5674</v>
      </c>
      <c r="H15016">
        <v>5674</v>
      </c>
      <c r="I15016">
        <v>4429</v>
      </c>
      <c r="J15016">
        <v>4429</v>
      </c>
      <c r="K15016">
        <v>1514</v>
      </c>
      <c r="L15016">
        <v>1</v>
      </c>
      <c r="M15016">
        <v>4049</v>
      </c>
      <c r="N15016">
        <v>99</v>
      </c>
      <c r="O15016">
        <v>11</v>
      </c>
      <c r="P15016">
        <v>92</v>
      </c>
      <c r="Q15016">
        <v>20</v>
      </c>
    </row>
    <row r="15017" spans="1:17" x14ac:dyDescent="0.2">
      <c r="A15017" s="121">
        <v>44347</v>
      </c>
      <c r="B15017" t="s">
        <v>406</v>
      </c>
      <c r="C15017" t="s">
        <v>551</v>
      </c>
      <c r="D15017" t="s">
        <v>560</v>
      </c>
      <c r="E15017" t="s">
        <v>561</v>
      </c>
      <c r="F15017" t="s">
        <v>413</v>
      </c>
      <c r="G15017">
        <v>6878</v>
      </c>
      <c r="H15017">
        <v>6878</v>
      </c>
      <c r="I15017">
        <v>5182</v>
      </c>
      <c r="J15017">
        <v>5182</v>
      </c>
      <c r="K15017">
        <v>2189</v>
      </c>
      <c r="L15017">
        <v>9</v>
      </c>
      <c r="M15017">
        <v>4563</v>
      </c>
      <c r="N15017">
        <v>60</v>
      </c>
      <c r="O15017">
        <v>57</v>
      </c>
      <c r="P15017">
        <v>308</v>
      </c>
      <c r="Q15017">
        <v>48</v>
      </c>
    </row>
    <row r="15018" spans="1:17" x14ac:dyDescent="0.2">
      <c r="A15018" s="121">
        <v>44347</v>
      </c>
      <c r="B15018" t="s">
        <v>406</v>
      </c>
      <c r="C15018" t="s">
        <v>562</v>
      </c>
      <c r="D15018" t="s">
        <v>605</v>
      </c>
      <c r="E15018" t="s">
        <v>606</v>
      </c>
      <c r="F15018" t="s">
        <v>410</v>
      </c>
      <c r="G15018">
        <v>164</v>
      </c>
      <c r="I15018">
        <v>164</v>
      </c>
    </row>
    <row r="15019" spans="1:17" x14ac:dyDescent="0.2">
      <c r="A15019" s="121">
        <v>44347</v>
      </c>
      <c r="B15019" t="s">
        <v>406</v>
      </c>
      <c r="C15019" t="s">
        <v>562</v>
      </c>
      <c r="D15019" t="s">
        <v>563</v>
      </c>
      <c r="E15019" t="s">
        <v>564</v>
      </c>
      <c r="F15019" t="s">
        <v>410</v>
      </c>
      <c r="G15019">
        <v>3097</v>
      </c>
      <c r="H15019">
        <v>3097</v>
      </c>
      <c r="I15019">
        <v>2255</v>
      </c>
      <c r="J15019">
        <v>2255</v>
      </c>
      <c r="K15019">
        <v>1186</v>
      </c>
      <c r="L15019">
        <v>0</v>
      </c>
      <c r="M15019">
        <v>1893</v>
      </c>
      <c r="N15019">
        <v>2</v>
      </c>
      <c r="O15019">
        <v>16</v>
      </c>
      <c r="P15019">
        <v>99</v>
      </c>
      <c r="Q15019">
        <v>14</v>
      </c>
    </row>
    <row r="15020" spans="1:17" x14ac:dyDescent="0.2">
      <c r="A15020" s="121">
        <v>44347</v>
      </c>
      <c r="B15020" t="s">
        <v>406</v>
      </c>
      <c r="C15020" t="s">
        <v>562</v>
      </c>
      <c r="D15020" t="s">
        <v>565</v>
      </c>
      <c r="E15020" t="s">
        <v>566</v>
      </c>
      <c r="F15020" t="s">
        <v>413</v>
      </c>
      <c r="G15020">
        <v>5003</v>
      </c>
      <c r="H15020">
        <v>5003</v>
      </c>
      <c r="I15020">
        <v>4430</v>
      </c>
      <c r="J15020">
        <v>4430</v>
      </c>
      <c r="K15020">
        <v>970</v>
      </c>
      <c r="L15020">
        <v>0</v>
      </c>
      <c r="M15020">
        <v>3557</v>
      </c>
      <c r="N15020">
        <v>63</v>
      </c>
      <c r="O15020">
        <v>413</v>
      </c>
      <c r="P15020">
        <v>48</v>
      </c>
      <c r="Q15020">
        <v>9</v>
      </c>
    </row>
    <row r="15021" spans="1:17" x14ac:dyDescent="0.2">
      <c r="A15021" s="121">
        <v>44347</v>
      </c>
      <c r="B15021" t="s">
        <v>406</v>
      </c>
      <c r="C15021" t="s">
        <v>562</v>
      </c>
      <c r="D15021" t="s">
        <v>567</v>
      </c>
      <c r="E15021" t="s">
        <v>568</v>
      </c>
      <c r="F15021" t="s">
        <v>413</v>
      </c>
      <c r="G15021">
        <v>10289</v>
      </c>
      <c r="H15021">
        <v>10289</v>
      </c>
      <c r="I15021">
        <v>7765</v>
      </c>
      <c r="J15021">
        <v>7765</v>
      </c>
      <c r="K15021">
        <v>3598</v>
      </c>
      <c r="L15021">
        <v>3</v>
      </c>
      <c r="M15021">
        <v>6551</v>
      </c>
      <c r="N15021">
        <v>99</v>
      </c>
      <c r="O15021">
        <v>38</v>
      </c>
      <c r="P15021">
        <v>419</v>
      </c>
      <c r="Q15021">
        <v>122</v>
      </c>
    </row>
    <row r="15022" spans="1:17" x14ac:dyDescent="0.2">
      <c r="A15022" s="121">
        <v>44347</v>
      </c>
      <c r="B15022" t="s">
        <v>406</v>
      </c>
      <c r="C15022" t="s">
        <v>562</v>
      </c>
      <c r="D15022" t="s">
        <v>569</v>
      </c>
      <c r="E15022" t="s">
        <v>570</v>
      </c>
      <c r="F15022" t="s">
        <v>413</v>
      </c>
      <c r="G15022">
        <v>4529</v>
      </c>
      <c r="H15022">
        <v>4529</v>
      </c>
      <c r="I15022">
        <v>4417</v>
      </c>
      <c r="J15022">
        <v>4417</v>
      </c>
      <c r="K15022">
        <v>523</v>
      </c>
      <c r="L15022">
        <v>1</v>
      </c>
      <c r="M15022">
        <v>3819</v>
      </c>
      <c r="N15022">
        <v>121</v>
      </c>
      <c r="O15022">
        <v>65</v>
      </c>
      <c r="P15022">
        <v>2</v>
      </c>
      <c r="Q15022">
        <v>0</v>
      </c>
    </row>
    <row r="15023" spans="1:17" x14ac:dyDescent="0.2">
      <c r="A15023" s="121">
        <v>44347</v>
      </c>
      <c r="B15023" t="s">
        <v>406</v>
      </c>
      <c r="C15023" t="s">
        <v>571</v>
      </c>
      <c r="D15023" t="s">
        <v>572</v>
      </c>
      <c r="E15023" t="s">
        <v>627</v>
      </c>
      <c r="F15023" t="s">
        <v>413</v>
      </c>
      <c r="G15023">
        <v>498</v>
      </c>
      <c r="H15023">
        <v>498</v>
      </c>
      <c r="I15023">
        <v>486</v>
      </c>
      <c r="J15023">
        <v>486</v>
      </c>
      <c r="K15023">
        <v>132</v>
      </c>
      <c r="L15023">
        <v>1</v>
      </c>
      <c r="M15023">
        <v>362</v>
      </c>
      <c r="N15023">
        <v>0</v>
      </c>
      <c r="O15023">
        <v>3</v>
      </c>
      <c r="P15023">
        <v>0</v>
      </c>
      <c r="Q15023">
        <v>0</v>
      </c>
    </row>
    <row r="15024" spans="1:17" x14ac:dyDescent="0.2">
      <c r="A15024" s="121">
        <v>44347</v>
      </c>
      <c r="B15024" t="s">
        <v>406</v>
      </c>
      <c r="C15024" t="s">
        <v>574</v>
      </c>
      <c r="D15024" t="s">
        <v>575</v>
      </c>
      <c r="E15024" t="s">
        <v>576</v>
      </c>
      <c r="F15024" t="s">
        <v>413</v>
      </c>
      <c r="G15024">
        <v>523</v>
      </c>
      <c r="H15024">
        <v>523</v>
      </c>
      <c r="I15024">
        <v>517</v>
      </c>
      <c r="J15024">
        <v>517</v>
      </c>
      <c r="K15024">
        <v>152</v>
      </c>
      <c r="L15024">
        <v>0</v>
      </c>
      <c r="M15024">
        <v>363</v>
      </c>
      <c r="N15024">
        <v>5</v>
      </c>
      <c r="O15024">
        <v>3</v>
      </c>
      <c r="P15024">
        <v>0</v>
      </c>
      <c r="Q15024">
        <v>0</v>
      </c>
    </row>
    <row r="15025" spans="1:17" x14ac:dyDescent="0.2">
      <c r="A15025" s="121">
        <v>44347</v>
      </c>
      <c r="B15025" t="s">
        <v>406</v>
      </c>
      <c r="C15025" t="s">
        <v>577</v>
      </c>
      <c r="D15025" t="s">
        <v>578</v>
      </c>
      <c r="E15025" t="s">
        <v>579</v>
      </c>
      <c r="F15025" t="s">
        <v>413</v>
      </c>
      <c r="G15025">
        <v>4580</v>
      </c>
      <c r="H15025">
        <v>4580</v>
      </c>
      <c r="I15025">
        <v>4269</v>
      </c>
      <c r="J15025">
        <v>4269</v>
      </c>
      <c r="K15025">
        <v>1612</v>
      </c>
      <c r="L15025">
        <v>4</v>
      </c>
      <c r="M15025">
        <v>2748</v>
      </c>
      <c r="N15025">
        <v>144</v>
      </c>
      <c r="O15025">
        <v>72</v>
      </c>
      <c r="P15025">
        <v>2</v>
      </c>
      <c r="Q15025">
        <v>0</v>
      </c>
    </row>
    <row r="15026" spans="1:17" x14ac:dyDescent="0.2">
      <c r="A15026" s="121">
        <v>44347</v>
      </c>
      <c r="B15026" t="s">
        <v>406</v>
      </c>
      <c r="C15026" t="s">
        <v>577</v>
      </c>
      <c r="D15026" t="s">
        <v>580</v>
      </c>
      <c r="E15026" t="s">
        <v>581</v>
      </c>
      <c r="F15026" t="s">
        <v>413</v>
      </c>
      <c r="G15026">
        <v>1807</v>
      </c>
      <c r="H15026">
        <v>1807</v>
      </c>
      <c r="I15026">
        <v>1696</v>
      </c>
      <c r="J15026">
        <v>1696</v>
      </c>
      <c r="K15026">
        <v>290</v>
      </c>
      <c r="L15026">
        <v>2</v>
      </c>
      <c r="M15026">
        <v>1319</v>
      </c>
      <c r="N15026">
        <v>181</v>
      </c>
      <c r="O15026">
        <v>15</v>
      </c>
      <c r="P15026">
        <v>4</v>
      </c>
      <c r="Q15026">
        <v>0</v>
      </c>
    </row>
    <row r="15027" spans="1:17" x14ac:dyDescent="0.2">
      <c r="A15027" s="121">
        <v>44347</v>
      </c>
      <c r="B15027" t="s">
        <v>406</v>
      </c>
      <c r="C15027" t="s">
        <v>577</v>
      </c>
      <c r="D15027" t="s">
        <v>586</v>
      </c>
      <c r="E15027" t="s">
        <v>587</v>
      </c>
      <c r="F15027" t="s">
        <v>410</v>
      </c>
      <c r="G15027">
        <v>712</v>
      </c>
      <c r="H15027">
        <v>712</v>
      </c>
      <c r="I15027">
        <v>712</v>
      </c>
      <c r="J15027">
        <v>712</v>
      </c>
      <c r="K15027">
        <v>0</v>
      </c>
      <c r="L15027">
        <v>1</v>
      </c>
      <c r="M15027">
        <v>673</v>
      </c>
      <c r="N15027">
        <v>38</v>
      </c>
      <c r="O15027">
        <v>0</v>
      </c>
      <c r="P15027">
        <v>0</v>
      </c>
      <c r="Q15027">
        <v>0</v>
      </c>
    </row>
    <row r="15028" spans="1:17" x14ac:dyDescent="0.2">
      <c r="A15028" s="121">
        <v>44347</v>
      </c>
      <c r="B15028" t="s">
        <v>406</v>
      </c>
      <c r="C15028" t="s">
        <v>577</v>
      </c>
      <c r="D15028" t="s">
        <v>590</v>
      </c>
      <c r="E15028" t="s">
        <v>591</v>
      </c>
      <c r="F15028" t="s">
        <v>410</v>
      </c>
      <c r="G15028">
        <v>354</v>
      </c>
      <c r="H15028">
        <v>354</v>
      </c>
      <c r="I15028">
        <v>354</v>
      </c>
      <c r="J15028">
        <v>354</v>
      </c>
      <c r="K15028">
        <v>0</v>
      </c>
      <c r="L15028">
        <v>0</v>
      </c>
      <c r="M15028">
        <v>344</v>
      </c>
      <c r="N15028">
        <v>10</v>
      </c>
      <c r="O15028">
        <v>0</v>
      </c>
      <c r="P15028">
        <v>0</v>
      </c>
      <c r="Q15028">
        <v>0</v>
      </c>
    </row>
    <row r="15029" spans="1:17" x14ac:dyDescent="0.2">
      <c r="A15029" s="121">
        <v>44347</v>
      </c>
      <c r="B15029" t="s">
        <v>406</v>
      </c>
      <c r="C15029" t="s">
        <v>594</v>
      </c>
      <c r="D15029" t="s">
        <v>595</v>
      </c>
      <c r="E15029" t="s">
        <v>596</v>
      </c>
      <c r="F15029" t="s">
        <v>410</v>
      </c>
      <c r="G15029">
        <v>76</v>
      </c>
      <c r="I15029">
        <v>76</v>
      </c>
    </row>
    <row r="15030" spans="1:17" x14ac:dyDescent="0.2">
      <c r="A15030" s="121">
        <v>44347</v>
      </c>
      <c r="B15030" t="s">
        <v>406</v>
      </c>
      <c r="C15030" t="s">
        <v>594</v>
      </c>
      <c r="D15030" t="s">
        <v>597</v>
      </c>
      <c r="E15030" t="s">
        <v>598</v>
      </c>
      <c r="F15030" t="s">
        <v>413</v>
      </c>
      <c r="G15030">
        <v>374</v>
      </c>
      <c r="H15030">
        <v>374</v>
      </c>
      <c r="I15030">
        <v>346</v>
      </c>
      <c r="J15030">
        <v>346</v>
      </c>
      <c r="K15030">
        <v>124</v>
      </c>
      <c r="L15030">
        <v>0</v>
      </c>
      <c r="M15030">
        <v>243</v>
      </c>
      <c r="N15030">
        <v>5</v>
      </c>
      <c r="O15030">
        <v>2</v>
      </c>
      <c r="P15030">
        <v>0</v>
      </c>
      <c r="Q15030">
        <v>0</v>
      </c>
    </row>
    <row r="15031" spans="1:17" x14ac:dyDescent="0.2">
      <c r="A15031" s="121">
        <v>44347</v>
      </c>
      <c r="B15031" t="s">
        <v>406</v>
      </c>
      <c r="C15031" t="s">
        <v>594</v>
      </c>
      <c r="D15031" t="s">
        <v>599</v>
      </c>
      <c r="E15031" t="s">
        <v>600</v>
      </c>
      <c r="F15031" t="s">
        <v>410</v>
      </c>
      <c r="G15031">
        <v>114</v>
      </c>
      <c r="H15031">
        <v>114</v>
      </c>
      <c r="I15031">
        <v>114</v>
      </c>
      <c r="J15031">
        <v>114</v>
      </c>
      <c r="K15031">
        <v>3</v>
      </c>
      <c r="L15031">
        <v>0</v>
      </c>
      <c r="M15031">
        <v>110</v>
      </c>
      <c r="N15031">
        <v>0</v>
      </c>
      <c r="O15031">
        <v>1</v>
      </c>
      <c r="P15031">
        <v>0</v>
      </c>
      <c r="Q15031">
        <v>0</v>
      </c>
    </row>
    <row r="15032" spans="1:17" x14ac:dyDescent="0.2">
      <c r="A15032" s="121">
        <v>44377</v>
      </c>
      <c r="B15032" t="s">
        <v>406</v>
      </c>
      <c r="C15032" t="s">
        <v>407</v>
      </c>
      <c r="D15032" t="s">
        <v>408</v>
      </c>
      <c r="E15032" t="s">
        <v>409</v>
      </c>
      <c r="F15032" t="s">
        <v>410</v>
      </c>
      <c r="G15032">
        <v>282</v>
      </c>
      <c r="I15032">
        <v>277</v>
      </c>
    </row>
    <row r="15033" spans="1:17" x14ac:dyDescent="0.2">
      <c r="A15033" s="121">
        <v>44377</v>
      </c>
      <c r="B15033" t="s">
        <v>406</v>
      </c>
      <c r="C15033" t="s">
        <v>407</v>
      </c>
      <c r="D15033" t="s">
        <v>601</v>
      </c>
      <c r="E15033" t="s">
        <v>602</v>
      </c>
      <c r="F15033" t="s">
        <v>410</v>
      </c>
      <c r="G15033">
        <v>76</v>
      </c>
      <c r="I15033">
        <v>75</v>
      </c>
    </row>
    <row r="15034" spans="1:17" x14ac:dyDescent="0.2">
      <c r="A15034" s="121">
        <v>44377</v>
      </c>
      <c r="B15034" t="s">
        <v>406</v>
      </c>
      <c r="C15034" t="s">
        <v>407</v>
      </c>
      <c r="D15034" t="s">
        <v>411</v>
      </c>
      <c r="E15034" t="s">
        <v>412</v>
      </c>
      <c r="F15034" t="s">
        <v>413</v>
      </c>
      <c r="G15034">
        <v>5623</v>
      </c>
      <c r="H15034">
        <v>5623</v>
      </c>
      <c r="I15034">
        <v>4564</v>
      </c>
      <c r="J15034">
        <v>4564</v>
      </c>
      <c r="K15034">
        <v>1538</v>
      </c>
      <c r="L15034">
        <v>10</v>
      </c>
      <c r="M15034">
        <v>3594</v>
      </c>
      <c r="N15034">
        <v>40</v>
      </c>
      <c r="O15034">
        <v>441</v>
      </c>
      <c r="P15034">
        <v>427</v>
      </c>
      <c r="Q15034">
        <v>200</v>
      </c>
    </row>
    <row r="15035" spans="1:17" x14ac:dyDescent="0.2">
      <c r="A15035" s="121">
        <v>44377</v>
      </c>
      <c r="B15035" t="s">
        <v>406</v>
      </c>
      <c r="C15035" t="s">
        <v>407</v>
      </c>
      <c r="D15035" t="s">
        <v>416</v>
      </c>
      <c r="E15035" t="s">
        <v>417</v>
      </c>
      <c r="F15035" t="s">
        <v>413</v>
      </c>
      <c r="G15035">
        <v>2958</v>
      </c>
      <c r="H15035">
        <v>2958</v>
      </c>
      <c r="I15035">
        <v>2398</v>
      </c>
      <c r="J15035">
        <v>2398</v>
      </c>
      <c r="K15035">
        <v>827</v>
      </c>
      <c r="L15035">
        <v>1</v>
      </c>
      <c r="M15035">
        <v>2018</v>
      </c>
      <c r="N15035">
        <v>70</v>
      </c>
      <c r="O15035">
        <v>42</v>
      </c>
      <c r="P15035">
        <v>156</v>
      </c>
      <c r="Q15035">
        <v>36</v>
      </c>
    </row>
    <row r="15036" spans="1:17" x14ac:dyDescent="0.2">
      <c r="A15036" s="121">
        <v>44377</v>
      </c>
      <c r="B15036" t="s">
        <v>406</v>
      </c>
      <c r="C15036" t="s">
        <v>407</v>
      </c>
      <c r="D15036" t="s">
        <v>618</v>
      </c>
      <c r="E15036" t="s">
        <v>619</v>
      </c>
      <c r="F15036" t="s">
        <v>410</v>
      </c>
      <c r="G15036">
        <v>81</v>
      </c>
      <c r="I15036">
        <v>81</v>
      </c>
    </row>
    <row r="15037" spans="1:17" x14ac:dyDescent="0.2">
      <c r="A15037" s="121">
        <v>44377</v>
      </c>
      <c r="B15037" t="s">
        <v>406</v>
      </c>
      <c r="C15037" t="s">
        <v>418</v>
      </c>
      <c r="D15037" t="s">
        <v>425</v>
      </c>
      <c r="E15037" t="s">
        <v>426</v>
      </c>
      <c r="F15037" t="s">
        <v>410</v>
      </c>
      <c r="G15037">
        <v>48</v>
      </c>
      <c r="I15037">
        <v>48</v>
      </c>
    </row>
    <row r="15038" spans="1:17" x14ac:dyDescent="0.2">
      <c r="A15038" s="121">
        <v>44377</v>
      </c>
      <c r="B15038" t="s">
        <v>406</v>
      </c>
      <c r="C15038" t="s">
        <v>418</v>
      </c>
      <c r="D15038" t="s">
        <v>427</v>
      </c>
      <c r="E15038" t="s">
        <v>428</v>
      </c>
      <c r="F15038" t="s">
        <v>413</v>
      </c>
      <c r="G15038">
        <v>2645</v>
      </c>
      <c r="H15038">
        <v>2645</v>
      </c>
      <c r="I15038">
        <v>2156</v>
      </c>
      <c r="J15038">
        <v>2156</v>
      </c>
      <c r="K15038">
        <v>844</v>
      </c>
      <c r="L15038">
        <v>1</v>
      </c>
      <c r="M15038">
        <v>1723</v>
      </c>
      <c r="N15038">
        <v>70</v>
      </c>
      <c r="O15038">
        <v>7</v>
      </c>
      <c r="P15038">
        <v>87</v>
      </c>
      <c r="Q15038">
        <v>45</v>
      </c>
    </row>
    <row r="15039" spans="1:17" x14ac:dyDescent="0.2">
      <c r="A15039" s="121">
        <v>44377</v>
      </c>
      <c r="B15039" t="s">
        <v>406</v>
      </c>
      <c r="C15039" t="s">
        <v>429</v>
      </c>
      <c r="D15039" t="s">
        <v>438</v>
      </c>
      <c r="E15039" t="s">
        <v>439</v>
      </c>
      <c r="F15039" t="s">
        <v>413</v>
      </c>
      <c r="G15039">
        <v>1041</v>
      </c>
      <c r="H15039">
        <v>1041</v>
      </c>
      <c r="I15039">
        <v>967</v>
      </c>
      <c r="J15039">
        <v>967</v>
      </c>
      <c r="K15039">
        <v>62</v>
      </c>
      <c r="L15039">
        <v>0</v>
      </c>
      <c r="M15039">
        <v>886</v>
      </c>
      <c r="N15039">
        <v>56</v>
      </c>
      <c r="O15039">
        <v>37</v>
      </c>
      <c r="P15039">
        <v>16</v>
      </c>
      <c r="Q15039">
        <v>1</v>
      </c>
    </row>
    <row r="15040" spans="1:17" x14ac:dyDescent="0.2">
      <c r="A15040" s="121">
        <v>44377</v>
      </c>
      <c r="B15040" t="s">
        <v>406</v>
      </c>
      <c r="C15040" t="s">
        <v>429</v>
      </c>
      <c r="D15040" t="s">
        <v>440</v>
      </c>
      <c r="E15040" t="s">
        <v>441</v>
      </c>
      <c r="F15040" t="s">
        <v>413</v>
      </c>
      <c r="G15040">
        <v>2754</v>
      </c>
      <c r="H15040">
        <v>2754</v>
      </c>
      <c r="I15040">
        <v>2289</v>
      </c>
      <c r="J15040">
        <v>2289</v>
      </c>
      <c r="K15040">
        <v>762</v>
      </c>
      <c r="L15040">
        <v>1</v>
      </c>
      <c r="M15040">
        <v>1891</v>
      </c>
      <c r="N15040">
        <v>20</v>
      </c>
      <c r="O15040">
        <v>80</v>
      </c>
      <c r="P15040">
        <v>51</v>
      </c>
      <c r="Q15040">
        <v>0</v>
      </c>
    </row>
    <row r="15041" spans="1:17" x14ac:dyDescent="0.2">
      <c r="A15041" s="121">
        <v>44377</v>
      </c>
      <c r="B15041" t="s">
        <v>406</v>
      </c>
      <c r="C15041" t="s">
        <v>442</v>
      </c>
      <c r="D15041" t="s">
        <v>443</v>
      </c>
      <c r="E15041" t="s">
        <v>444</v>
      </c>
      <c r="F15041" t="s">
        <v>413</v>
      </c>
      <c r="G15041">
        <v>5696</v>
      </c>
      <c r="H15041">
        <v>5696</v>
      </c>
      <c r="I15041">
        <v>4809</v>
      </c>
      <c r="J15041">
        <v>4809</v>
      </c>
      <c r="K15041">
        <v>1679</v>
      </c>
      <c r="L15041">
        <v>9</v>
      </c>
      <c r="M15041">
        <v>3806</v>
      </c>
      <c r="N15041">
        <v>65</v>
      </c>
      <c r="O15041">
        <v>137</v>
      </c>
      <c r="P15041">
        <v>33</v>
      </c>
      <c r="Q15041">
        <v>1</v>
      </c>
    </row>
    <row r="15042" spans="1:17" x14ac:dyDescent="0.2">
      <c r="A15042" s="121">
        <v>44377</v>
      </c>
      <c r="B15042" t="s">
        <v>406</v>
      </c>
      <c r="C15042" t="s">
        <v>442</v>
      </c>
      <c r="D15042" t="s">
        <v>445</v>
      </c>
      <c r="E15042" t="s">
        <v>446</v>
      </c>
      <c r="F15042" t="s">
        <v>410</v>
      </c>
      <c r="G15042">
        <v>186</v>
      </c>
      <c r="H15042">
        <v>186</v>
      </c>
      <c r="I15042">
        <v>184</v>
      </c>
      <c r="J15042">
        <v>184</v>
      </c>
      <c r="K15042">
        <v>0</v>
      </c>
      <c r="L15042">
        <v>0</v>
      </c>
      <c r="M15042">
        <v>180</v>
      </c>
      <c r="N15042">
        <v>3</v>
      </c>
      <c r="O15042">
        <v>3</v>
      </c>
      <c r="P15042">
        <v>1</v>
      </c>
      <c r="Q15042">
        <v>0</v>
      </c>
    </row>
    <row r="15043" spans="1:17" x14ac:dyDescent="0.2">
      <c r="A15043" s="121">
        <v>44377</v>
      </c>
      <c r="B15043" t="s">
        <v>406</v>
      </c>
      <c r="C15043" t="s">
        <v>442</v>
      </c>
      <c r="D15043" t="s">
        <v>447</v>
      </c>
      <c r="E15043" t="s">
        <v>448</v>
      </c>
      <c r="F15043" t="s">
        <v>410</v>
      </c>
      <c r="G15043">
        <v>289</v>
      </c>
      <c r="H15043">
        <v>289</v>
      </c>
      <c r="I15043">
        <v>288</v>
      </c>
      <c r="J15043">
        <v>288</v>
      </c>
      <c r="K15043">
        <v>1</v>
      </c>
      <c r="L15043">
        <v>0</v>
      </c>
      <c r="M15043">
        <v>279</v>
      </c>
      <c r="N15043">
        <v>9</v>
      </c>
      <c r="O15043">
        <v>0</v>
      </c>
      <c r="P15043">
        <v>0</v>
      </c>
      <c r="Q15043">
        <v>0</v>
      </c>
    </row>
    <row r="15044" spans="1:17" x14ac:dyDescent="0.2">
      <c r="A15044" s="121">
        <v>44377</v>
      </c>
      <c r="B15044" t="s">
        <v>406</v>
      </c>
      <c r="C15044" t="s">
        <v>442</v>
      </c>
      <c r="D15044" t="s">
        <v>449</v>
      </c>
      <c r="E15044" t="s">
        <v>624</v>
      </c>
      <c r="F15044" t="s">
        <v>410</v>
      </c>
      <c r="G15044">
        <v>1365</v>
      </c>
      <c r="H15044">
        <v>1365</v>
      </c>
      <c r="I15044">
        <v>1365</v>
      </c>
      <c r="J15044">
        <v>1365</v>
      </c>
      <c r="K15044">
        <v>7</v>
      </c>
      <c r="L15044">
        <v>0</v>
      </c>
      <c r="M15044">
        <v>1221</v>
      </c>
      <c r="N15044">
        <v>118</v>
      </c>
      <c r="O15044">
        <v>19</v>
      </c>
      <c r="P15044">
        <v>0</v>
      </c>
      <c r="Q15044">
        <v>0</v>
      </c>
    </row>
    <row r="15045" spans="1:17" x14ac:dyDescent="0.2">
      <c r="A15045" s="121">
        <v>44377</v>
      </c>
      <c r="B15045" t="s">
        <v>406</v>
      </c>
      <c r="C15045" t="s">
        <v>451</v>
      </c>
      <c r="D15045" t="s">
        <v>454</v>
      </c>
      <c r="E15045" t="s">
        <v>621</v>
      </c>
      <c r="F15045" t="s">
        <v>410</v>
      </c>
      <c r="G15045">
        <v>1744</v>
      </c>
      <c r="H15045">
        <v>1744</v>
      </c>
      <c r="I15045">
        <v>1741</v>
      </c>
      <c r="J15045">
        <v>1741</v>
      </c>
      <c r="K15045">
        <v>4</v>
      </c>
      <c r="L15045">
        <v>0</v>
      </c>
      <c r="M15045">
        <v>1605</v>
      </c>
      <c r="N15045">
        <v>6</v>
      </c>
      <c r="O15045">
        <v>129</v>
      </c>
      <c r="P15045">
        <v>0</v>
      </c>
      <c r="Q15045">
        <v>0</v>
      </c>
    </row>
    <row r="15046" spans="1:17" x14ac:dyDescent="0.2">
      <c r="A15046" s="121">
        <v>44377</v>
      </c>
      <c r="B15046" t="s">
        <v>406</v>
      </c>
      <c r="C15046" t="s">
        <v>451</v>
      </c>
      <c r="D15046" t="s">
        <v>622</v>
      </c>
      <c r="E15046" t="s">
        <v>623</v>
      </c>
      <c r="F15046" t="s">
        <v>413</v>
      </c>
      <c r="G15046">
        <v>5357</v>
      </c>
      <c r="H15046">
        <v>5357</v>
      </c>
      <c r="I15046">
        <v>4063</v>
      </c>
      <c r="J15046">
        <v>4063</v>
      </c>
      <c r="K15046">
        <v>1447</v>
      </c>
      <c r="L15046">
        <v>5</v>
      </c>
      <c r="M15046">
        <v>3379</v>
      </c>
      <c r="N15046">
        <v>26</v>
      </c>
      <c r="O15046">
        <v>500</v>
      </c>
      <c r="P15046">
        <v>58</v>
      </c>
      <c r="Q15046">
        <v>9</v>
      </c>
    </row>
    <row r="15047" spans="1:17" x14ac:dyDescent="0.2">
      <c r="A15047" s="121">
        <v>44377</v>
      </c>
      <c r="B15047" t="s">
        <v>406</v>
      </c>
      <c r="C15047" t="s">
        <v>456</v>
      </c>
      <c r="D15047" t="s">
        <v>457</v>
      </c>
      <c r="E15047" t="s">
        <v>458</v>
      </c>
      <c r="F15047" t="s">
        <v>413</v>
      </c>
      <c r="G15047">
        <v>4369</v>
      </c>
      <c r="H15047">
        <v>4369</v>
      </c>
      <c r="I15047">
        <v>3631</v>
      </c>
      <c r="J15047">
        <v>3631</v>
      </c>
      <c r="K15047">
        <v>1253</v>
      </c>
      <c r="L15047">
        <v>13</v>
      </c>
      <c r="M15047">
        <v>2930</v>
      </c>
      <c r="N15047">
        <v>15</v>
      </c>
      <c r="O15047">
        <v>158</v>
      </c>
      <c r="P15047">
        <v>43</v>
      </c>
      <c r="Q15047">
        <v>8</v>
      </c>
    </row>
    <row r="15048" spans="1:17" x14ac:dyDescent="0.2">
      <c r="A15048" s="121">
        <v>44377</v>
      </c>
      <c r="B15048" t="s">
        <v>406</v>
      </c>
      <c r="C15048" t="s">
        <v>456</v>
      </c>
      <c r="D15048" t="s">
        <v>459</v>
      </c>
      <c r="E15048" t="s">
        <v>460</v>
      </c>
      <c r="F15048" t="s">
        <v>413</v>
      </c>
      <c r="G15048">
        <v>1377</v>
      </c>
      <c r="H15048">
        <v>1377</v>
      </c>
      <c r="I15048">
        <v>1362</v>
      </c>
      <c r="J15048">
        <v>1362</v>
      </c>
      <c r="K15048">
        <v>99</v>
      </c>
      <c r="L15048">
        <v>1</v>
      </c>
      <c r="M15048">
        <v>1272</v>
      </c>
      <c r="N15048">
        <v>0</v>
      </c>
      <c r="O15048">
        <v>5</v>
      </c>
      <c r="P15048">
        <v>0</v>
      </c>
      <c r="Q15048">
        <v>0</v>
      </c>
    </row>
    <row r="15049" spans="1:17" x14ac:dyDescent="0.2">
      <c r="A15049" s="121">
        <v>44377</v>
      </c>
      <c r="B15049" t="s">
        <v>406</v>
      </c>
      <c r="C15049" t="s">
        <v>456</v>
      </c>
      <c r="D15049" t="s">
        <v>467</v>
      </c>
      <c r="E15049" t="s">
        <v>468</v>
      </c>
      <c r="F15049" t="s">
        <v>410</v>
      </c>
      <c r="G15049">
        <v>448</v>
      </c>
      <c r="I15049">
        <v>447</v>
      </c>
    </row>
    <row r="15050" spans="1:17" x14ac:dyDescent="0.2">
      <c r="A15050" s="121">
        <v>44377</v>
      </c>
      <c r="B15050" t="s">
        <v>406</v>
      </c>
      <c r="C15050" t="s">
        <v>456</v>
      </c>
      <c r="D15050" t="s">
        <v>469</v>
      </c>
      <c r="E15050" t="s">
        <v>470</v>
      </c>
      <c r="F15050" t="s">
        <v>410</v>
      </c>
      <c r="G15050">
        <v>470</v>
      </c>
      <c r="I15050">
        <v>470</v>
      </c>
    </row>
    <row r="15051" spans="1:17" x14ac:dyDescent="0.2">
      <c r="A15051" s="121">
        <v>44377</v>
      </c>
      <c r="B15051" t="s">
        <v>406</v>
      </c>
      <c r="C15051" t="s">
        <v>456</v>
      </c>
      <c r="D15051" t="s">
        <v>471</v>
      </c>
      <c r="E15051" t="s">
        <v>472</v>
      </c>
      <c r="F15051" t="s">
        <v>410</v>
      </c>
      <c r="G15051">
        <v>327</v>
      </c>
      <c r="I15051">
        <v>326</v>
      </c>
    </row>
    <row r="15052" spans="1:17" x14ac:dyDescent="0.2">
      <c r="A15052" s="121">
        <v>44377</v>
      </c>
      <c r="B15052" t="s">
        <v>406</v>
      </c>
      <c r="C15052" t="s">
        <v>456</v>
      </c>
      <c r="D15052" t="s">
        <v>477</v>
      </c>
      <c r="E15052" t="s">
        <v>478</v>
      </c>
      <c r="F15052" t="s">
        <v>413</v>
      </c>
      <c r="G15052">
        <v>2441</v>
      </c>
      <c r="H15052">
        <v>2441</v>
      </c>
      <c r="I15052">
        <v>2188</v>
      </c>
      <c r="J15052">
        <v>2188</v>
      </c>
      <c r="K15052">
        <v>552</v>
      </c>
      <c r="L15052">
        <v>4</v>
      </c>
      <c r="M15052">
        <v>1869</v>
      </c>
      <c r="N15052">
        <v>16</v>
      </c>
      <c r="O15052">
        <v>0</v>
      </c>
      <c r="P15052">
        <v>34</v>
      </c>
      <c r="Q15052">
        <v>2</v>
      </c>
    </row>
    <row r="15053" spans="1:17" x14ac:dyDescent="0.2">
      <c r="A15053" s="121">
        <v>44377</v>
      </c>
      <c r="B15053" t="s">
        <v>406</v>
      </c>
      <c r="C15053" t="s">
        <v>491</v>
      </c>
      <c r="D15053" t="s">
        <v>492</v>
      </c>
      <c r="E15053" t="s">
        <v>493</v>
      </c>
      <c r="F15053" t="s">
        <v>410</v>
      </c>
      <c r="G15053">
        <v>1467</v>
      </c>
      <c r="H15053">
        <v>1467</v>
      </c>
      <c r="I15053">
        <v>1380</v>
      </c>
      <c r="J15053">
        <v>1380</v>
      </c>
      <c r="K15053">
        <v>174</v>
      </c>
      <c r="L15053">
        <v>1</v>
      </c>
      <c r="M15053">
        <v>1206</v>
      </c>
      <c r="N15053">
        <v>77</v>
      </c>
      <c r="O15053">
        <v>9</v>
      </c>
      <c r="P15053">
        <v>7</v>
      </c>
      <c r="Q15053">
        <v>0</v>
      </c>
    </row>
    <row r="15054" spans="1:17" x14ac:dyDescent="0.2">
      <c r="A15054" s="121">
        <v>44377</v>
      </c>
      <c r="B15054" t="s">
        <v>406</v>
      </c>
      <c r="C15054" t="s">
        <v>491</v>
      </c>
      <c r="D15054" t="s">
        <v>494</v>
      </c>
      <c r="E15054" t="s">
        <v>495</v>
      </c>
      <c r="F15054" t="s">
        <v>413</v>
      </c>
      <c r="G15054">
        <v>2829</v>
      </c>
      <c r="H15054">
        <v>2829</v>
      </c>
      <c r="I15054">
        <v>2550</v>
      </c>
      <c r="J15054">
        <v>2550</v>
      </c>
      <c r="K15054">
        <v>653</v>
      </c>
      <c r="L15054">
        <v>4</v>
      </c>
      <c r="M15054">
        <v>2077</v>
      </c>
      <c r="N15054">
        <v>38</v>
      </c>
      <c r="O15054">
        <v>57</v>
      </c>
      <c r="P15054">
        <v>27</v>
      </c>
      <c r="Q15054">
        <v>1</v>
      </c>
    </row>
    <row r="15055" spans="1:17" x14ac:dyDescent="0.2">
      <c r="A15055" s="121">
        <v>44377</v>
      </c>
      <c r="B15055" t="s">
        <v>406</v>
      </c>
      <c r="C15055" t="s">
        <v>491</v>
      </c>
      <c r="D15055" t="s">
        <v>496</v>
      </c>
      <c r="E15055" t="s">
        <v>497</v>
      </c>
      <c r="F15055" t="s">
        <v>413</v>
      </c>
      <c r="G15055">
        <v>5661</v>
      </c>
      <c r="H15055">
        <v>5661</v>
      </c>
      <c r="I15055">
        <v>4778</v>
      </c>
      <c r="J15055">
        <v>4778</v>
      </c>
      <c r="K15055">
        <v>1714</v>
      </c>
      <c r="L15055">
        <v>11</v>
      </c>
      <c r="M15055">
        <v>3705</v>
      </c>
      <c r="N15055">
        <v>79</v>
      </c>
      <c r="O15055">
        <v>152</v>
      </c>
      <c r="P15055">
        <v>51</v>
      </c>
      <c r="Q15055">
        <v>2</v>
      </c>
    </row>
    <row r="15056" spans="1:17" x14ac:dyDescent="0.2">
      <c r="A15056" s="121">
        <v>44377</v>
      </c>
      <c r="B15056" t="s">
        <v>406</v>
      </c>
      <c r="C15056" t="s">
        <v>491</v>
      </c>
      <c r="D15056" t="s">
        <v>498</v>
      </c>
      <c r="E15056" t="s">
        <v>499</v>
      </c>
      <c r="F15056" t="s">
        <v>413</v>
      </c>
      <c r="G15056">
        <v>7360</v>
      </c>
      <c r="H15056">
        <v>7360</v>
      </c>
      <c r="I15056">
        <v>6438</v>
      </c>
      <c r="J15056">
        <v>6438</v>
      </c>
      <c r="K15056">
        <v>2202</v>
      </c>
      <c r="L15056">
        <v>15</v>
      </c>
      <c r="M15056">
        <v>4777</v>
      </c>
      <c r="N15056">
        <v>115</v>
      </c>
      <c r="O15056">
        <v>251</v>
      </c>
      <c r="P15056">
        <v>31</v>
      </c>
      <c r="Q15056">
        <v>2</v>
      </c>
    </row>
    <row r="15057" spans="1:17" x14ac:dyDescent="0.2">
      <c r="A15057" s="121">
        <v>44377</v>
      </c>
      <c r="B15057" t="s">
        <v>406</v>
      </c>
      <c r="C15057" t="s">
        <v>491</v>
      </c>
      <c r="D15057" t="s">
        <v>500</v>
      </c>
      <c r="E15057" t="s">
        <v>620</v>
      </c>
      <c r="F15057" t="s">
        <v>410</v>
      </c>
      <c r="G15057">
        <v>2119</v>
      </c>
      <c r="H15057">
        <v>2119</v>
      </c>
      <c r="I15057">
        <v>2106</v>
      </c>
      <c r="J15057">
        <v>2106</v>
      </c>
      <c r="K15057">
        <v>0</v>
      </c>
      <c r="L15057">
        <v>0</v>
      </c>
      <c r="M15057">
        <v>1833</v>
      </c>
      <c r="N15057">
        <v>173</v>
      </c>
      <c r="O15057">
        <v>113</v>
      </c>
      <c r="P15057">
        <v>0</v>
      </c>
      <c r="Q15057">
        <v>0</v>
      </c>
    </row>
    <row r="15058" spans="1:17" x14ac:dyDescent="0.2">
      <c r="A15058" s="121">
        <v>44377</v>
      </c>
      <c r="B15058" t="s">
        <v>406</v>
      </c>
      <c r="C15058" t="s">
        <v>491</v>
      </c>
      <c r="D15058" t="s">
        <v>502</v>
      </c>
      <c r="E15058" t="s">
        <v>615</v>
      </c>
      <c r="F15058" t="s">
        <v>410</v>
      </c>
      <c r="G15058">
        <v>2189</v>
      </c>
      <c r="H15058">
        <v>2189</v>
      </c>
      <c r="I15058">
        <v>2153</v>
      </c>
      <c r="J15058">
        <v>2153</v>
      </c>
      <c r="K15058">
        <v>0</v>
      </c>
      <c r="L15058">
        <v>0</v>
      </c>
      <c r="M15058">
        <v>2107</v>
      </c>
      <c r="N15058">
        <v>41</v>
      </c>
      <c r="O15058">
        <v>41</v>
      </c>
      <c r="P15058">
        <v>1</v>
      </c>
      <c r="Q15058">
        <v>0</v>
      </c>
    </row>
    <row r="15059" spans="1:17" x14ac:dyDescent="0.2">
      <c r="A15059" s="121">
        <v>44377</v>
      </c>
      <c r="B15059" t="s">
        <v>406</v>
      </c>
      <c r="C15059" t="s">
        <v>491</v>
      </c>
      <c r="D15059" t="s">
        <v>504</v>
      </c>
      <c r="E15059" t="s">
        <v>630</v>
      </c>
      <c r="F15059" t="s">
        <v>413</v>
      </c>
      <c r="G15059">
        <v>8250</v>
      </c>
      <c r="H15059">
        <v>8250</v>
      </c>
      <c r="I15059">
        <v>6647</v>
      </c>
      <c r="J15059">
        <v>6647</v>
      </c>
      <c r="K15059">
        <v>2818</v>
      </c>
      <c r="L15059">
        <v>25</v>
      </c>
      <c r="M15059">
        <v>5185</v>
      </c>
      <c r="N15059">
        <v>60</v>
      </c>
      <c r="O15059">
        <v>162</v>
      </c>
      <c r="P15059">
        <v>94</v>
      </c>
      <c r="Q15059">
        <v>2</v>
      </c>
    </row>
    <row r="15060" spans="1:17" x14ac:dyDescent="0.2">
      <c r="A15060" s="121">
        <v>44377</v>
      </c>
      <c r="B15060" t="s">
        <v>406</v>
      </c>
      <c r="C15060" t="s">
        <v>491</v>
      </c>
      <c r="D15060" t="s">
        <v>506</v>
      </c>
      <c r="E15060" t="s">
        <v>507</v>
      </c>
      <c r="F15060" t="s">
        <v>413</v>
      </c>
      <c r="G15060">
        <v>6227</v>
      </c>
      <c r="H15060">
        <v>6227</v>
      </c>
      <c r="I15060">
        <v>6170</v>
      </c>
      <c r="J15060">
        <v>6170</v>
      </c>
      <c r="K15060">
        <v>1103</v>
      </c>
      <c r="L15060">
        <v>2</v>
      </c>
      <c r="M15060">
        <v>5106</v>
      </c>
      <c r="N15060">
        <v>2</v>
      </c>
      <c r="O15060">
        <v>14</v>
      </c>
      <c r="P15060">
        <v>0</v>
      </c>
      <c r="Q15060">
        <v>0</v>
      </c>
    </row>
    <row r="15061" spans="1:17" x14ac:dyDescent="0.2">
      <c r="A15061" s="121">
        <v>44377</v>
      </c>
      <c r="B15061" t="s">
        <v>406</v>
      </c>
      <c r="C15061" t="s">
        <v>491</v>
      </c>
      <c r="D15061" t="s">
        <v>508</v>
      </c>
      <c r="E15061" t="s">
        <v>631</v>
      </c>
      <c r="F15061" t="s">
        <v>410</v>
      </c>
      <c r="G15061">
        <v>17</v>
      </c>
      <c r="H15061">
        <v>17</v>
      </c>
      <c r="I15061">
        <v>17</v>
      </c>
      <c r="J15061">
        <v>17</v>
      </c>
      <c r="K15061">
        <v>0</v>
      </c>
      <c r="L15061">
        <v>0</v>
      </c>
      <c r="M15061">
        <v>16</v>
      </c>
      <c r="N15061">
        <v>1</v>
      </c>
      <c r="O15061">
        <v>0</v>
      </c>
      <c r="P15061">
        <v>0</v>
      </c>
      <c r="Q15061">
        <v>0</v>
      </c>
    </row>
    <row r="15062" spans="1:17" x14ac:dyDescent="0.2">
      <c r="A15062" s="121">
        <v>44377</v>
      </c>
      <c r="B15062" t="s">
        <v>406</v>
      </c>
      <c r="C15062" t="s">
        <v>510</v>
      </c>
      <c r="D15062" t="s">
        <v>513</v>
      </c>
      <c r="E15062" t="s">
        <v>514</v>
      </c>
      <c r="F15062" t="s">
        <v>410</v>
      </c>
      <c r="G15062">
        <v>685</v>
      </c>
      <c r="I15062">
        <v>668</v>
      </c>
    </row>
    <row r="15063" spans="1:17" x14ac:dyDescent="0.2">
      <c r="A15063" s="121">
        <v>44377</v>
      </c>
      <c r="B15063" t="s">
        <v>406</v>
      </c>
      <c r="C15063" t="s">
        <v>510</v>
      </c>
      <c r="D15063" t="s">
        <v>515</v>
      </c>
      <c r="E15063" t="s">
        <v>516</v>
      </c>
      <c r="F15063" t="s">
        <v>410</v>
      </c>
      <c r="G15063">
        <v>78</v>
      </c>
      <c r="I15063">
        <v>78</v>
      </c>
    </row>
    <row r="15064" spans="1:17" x14ac:dyDescent="0.2">
      <c r="A15064" s="121">
        <v>44377</v>
      </c>
      <c r="B15064" t="s">
        <v>406</v>
      </c>
      <c r="C15064" t="s">
        <v>510</v>
      </c>
      <c r="D15064" t="s">
        <v>519</v>
      </c>
      <c r="E15064" t="s">
        <v>520</v>
      </c>
      <c r="F15064" t="s">
        <v>410</v>
      </c>
      <c r="G15064">
        <v>356</v>
      </c>
      <c r="I15064">
        <v>350</v>
      </c>
    </row>
    <row r="15065" spans="1:17" x14ac:dyDescent="0.2">
      <c r="A15065" s="121">
        <v>44377</v>
      </c>
      <c r="B15065" t="s">
        <v>406</v>
      </c>
      <c r="C15065" t="s">
        <v>510</v>
      </c>
      <c r="D15065" t="s">
        <v>523</v>
      </c>
      <c r="E15065" t="s">
        <v>524</v>
      </c>
      <c r="F15065" t="s">
        <v>413</v>
      </c>
      <c r="G15065">
        <v>812</v>
      </c>
      <c r="H15065">
        <v>812</v>
      </c>
      <c r="I15065">
        <v>777</v>
      </c>
      <c r="J15065">
        <v>777</v>
      </c>
      <c r="K15065">
        <v>183</v>
      </c>
      <c r="L15065">
        <v>2</v>
      </c>
      <c r="M15065">
        <v>591</v>
      </c>
      <c r="N15065">
        <v>19</v>
      </c>
      <c r="O15065">
        <v>17</v>
      </c>
      <c r="P15065">
        <v>4</v>
      </c>
      <c r="Q15065">
        <v>3</v>
      </c>
    </row>
    <row r="15066" spans="1:17" x14ac:dyDescent="0.2">
      <c r="A15066" s="121">
        <v>44377</v>
      </c>
      <c r="B15066" t="s">
        <v>406</v>
      </c>
      <c r="C15066" t="s">
        <v>510</v>
      </c>
      <c r="D15066" t="s">
        <v>525</v>
      </c>
      <c r="E15066" t="s">
        <v>526</v>
      </c>
      <c r="F15066" t="s">
        <v>410</v>
      </c>
      <c r="G15066">
        <v>360</v>
      </c>
      <c r="I15066">
        <v>349</v>
      </c>
    </row>
    <row r="15067" spans="1:17" x14ac:dyDescent="0.2">
      <c r="A15067" s="121">
        <v>44377</v>
      </c>
      <c r="B15067" t="s">
        <v>406</v>
      </c>
      <c r="C15067" t="s">
        <v>510</v>
      </c>
      <c r="D15067" t="s">
        <v>527</v>
      </c>
      <c r="E15067" t="s">
        <v>528</v>
      </c>
      <c r="F15067" t="s">
        <v>410</v>
      </c>
      <c r="G15067">
        <v>23</v>
      </c>
      <c r="I15067">
        <v>23</v>
      </c>
    </row>
    <row r="15068" spans="1:17" x14ac:dyDescent="0.2">
      <c r="A15068" s="121">
        <v>44377</v>
      </c>
      <c r="B15068" t="s">
        <v>406</v>
      </c>
      <c r="C15068" t="s">
        <v>510</v>
      </c>
      <c r="D15068" t="s">
        <v>529</v>
      </c>
      <c r="E15068" t="s">
        <v>530</v>
      </c>
      <c r="F15068" t="s">
        <v>413</v>
      </c>
      <c r="G15068">
        <v>758</v>
      </c>
      <c r="H15068">
        <v>758</v>
      </c>
      <c r="I15068">
        <v>690</v>
      </c>
      <c r="J15068">
        <v>690</v>
      </c>
      <c r="K15068">
        <v>168</v>
      </c>
      <c r="L15068">
        <v>1</v>
      </c>
      <c r="M15068">
        <v>545</v>
      </c>
      <c r="N15068">
        <v>22</v>
      </c>
      <c r="O15068">
        <v>22</v>
      </c>
      <c r="P15068">
        <v>5</v>
      </c>
      <c r="Q15068">
        <v>1</v>
      </c>
    </row>
    <row r="15069" spans="1:17" x14ac:dyDescent="0.2">
      <c r="A15069" s="121">
        <v>44377</v>
      </c>
      <c r="B15069" t="s">
        <v>406</v>
      </c>
      <c r="C15069" t="s">
        <v>510</v>
      </c>
      <c r="D15069" t="s">
        <v>531</v>
      </c>
      <c r="E15069" t="s">
        <v>532</v>
      </c>
      <c r="F15069" t="s">
        <v>410</v>
      </c>
      <c r="G15069">
        <v>19</v>
      </c>
      <c r="I15069">
        <v>19</v>
      </c>
    </row>
    <row r="15070" spans="1:17" x14ac:dyDescent="0.2">
      <c r="A15070" s="121">
        <v>44377</v>
      </c>
      <c r="B15070" t="s">
        <v>406</v>
      </c>
      <c r="C15070" t="s">
        <v>510</v>
      </c>
      <c r="D15070" t="s">
        <v>533</v>
      </c>
      <c r="E15070" t="s">
        <v>534</v>
      </c>
      <c r="F15070" t="s">
        <v>413</v>
      </c>
      <c r="G15070">
        <v>3241</v>
      </c>
      <c r="H15070">
        <v>3241</v>
      </c>
      <c r="I15070">
        <v>2765</v>
      </c>
      <c r="J15070">
        <v>2765</v>
      </c>
      <c r="K15070">
        <v>716</v>
      </c>
      <c r="L15070">
        <v>3</v>
      </c>
      <c r="M15070">
        <v>2318</v>
      </c>
      <c r="N15070">
        <v>36</v>
      </c>
      <c r="O15070">
        <v>168</v>
      </c>
      <c r="P15070">
        <v>50</v>
      </c>
      <c r="Q15070">
        <v>2</v>
      </c>
    </row>
    <row r="15071" spans="1:17" x14ac:dyDescent="0.2">
      <c r="A15071" s="121">
        <v>44377</v>
      </c>
      <c r="B15071" t="s">
        <v>406</v>
      </c>
      <c r="C15071" t="s">
        <v>510</v>
      </c>
      <c r="D15071" t="s">
        <v>535</v>
      </c>
      <c r="E15071" t="s">
        <v>536</v>
      </c>
      <c r="F15071" t="s">
        <v>410</v>
      </c>
      <c r="G15071">
        <v>320</v>
      </c>
      <c r="I15071">
        <v>319</v>
      </c>
    </row>
    <row r="15072" spans="1:17" x14ac:dyDescent="0.2">
      <c r="A15072" s="121">
        <v>44377</v>
      </c>
      <c r="B15072" t="s">
        <v>406</v>
      </c>
      <c r="C15072" t="s">
        <v>510</v>
      </c>
      <c r="D15072" t="s">
        <v>539</v>
      </c>
      <c r="E15072" t="s">
        <v>540</v>
      </c>
      <c r="F15072" t="s">
        <v>413</v>
      </c>
      <c r="G15072">
        <v>862</v>
      </c>
      <c r="H15072">
        <v>862</v>
      </c>
      <c r="I15072">
        <v>800</v>
      </c>
      <c r="J15072">
        <v>800</v>
      </c>
      <c r="K15072">
        <v>121</v>
      </c>
      <c r="L15072">
        <v>1</v>
      </c>
      <c r="M15072">
        <v>691</v>
      </c>
      <c r="N15072">
        <v>21</v>
      </c>
      <c r="O15072">
        <v>28</v>
      </c>
      <c r="P15072">
        <v>1</v>
      </c>
      <c r="Q15072">
        <v>0</v>
      </c>
    </row>
    <row r="15073" spans="1:17" x14ac:dyDescent="0.2">
      <c r="A15073" s="121">
        <v>44377</v>
      </c>
      <c r="B15073" t="s">
        <v>406</v>
      </c>
      <c r="C15073" t="s">
        <v>510</v>
      </c>
      <c r="D15073" t="s">
        <v>541</v>
      </c>
      <c r="E15073" t="s">
        <v>542</v>
      </c>
      <c r="F15073" t="s">
        <v>410</v>
      </c>
      <c r="G15073">
        <v>386</v>
      </c>
      <c r="I15073">
        <v>384</v>
      </c>
    </row>
    <row r="15074" spans="1:17" x14ac:dyDescent="0.2">
      <c r="A15074" s="121">
        <v>44377</v>
      </c>
      <c r="B15074" t="s">
        <v>406</v>
      </c>
      <c r="C15074" t="s">
        <v>510</v>
      </c>
      <c r="D15074" t="s">
        <v>543</v>
      </c>
      <c r="E15074" t="s">
        <v>544</v>
      </c>
      <c r="F15074" t="s">
        <v>410</v>
      </c>
      <c r="G15074">
        <v>43</v>
      </c>
      <c r="I15074">
        <v>42</v>
      </c>
    </row>
    <row r="15075" spans="1:17" x14ac:dyDescent="0.2">
      <c r="A15075" s="121">
        <v>44377</v>
      </c>
      <c r="B15075" t="s">
        <v>406</v>
      </c>
      <c r="C15075" t="s">
        <v>510</v>
      </c>
      <c r="D15075" t="s">
        <v>547</v>
      </c>
      <c r="E15075" t="s">
        <v>548</v>
      </c>
      <c r="F15075" t="s">
        <v>410</v>
      </c>
      <c r="G15075">
        <v>70</v>
      </c>
      <c r="I15075">
        <v>70</v>
      </c>
    </row>
    <row r="15076" spans="1:17" x14ac:dyDescent="0.2">
      <c r="A15076" s="121">
        <v>44377</v>
      </c>
      <c r="B15076" t="s">
        <v>406</v>
      </c>
      <c r="C15076" t="s">
        <v>510</v>
      </c>
      <c r="D15076" t="s">
        <v>616</v>
      </c>
      <c r="E15076" t="s">
        <v>617</v>
      </c>
      <c r="F15076" t="s">
        <v>410</v>
      </c>
      <c r="G15076">
        <v>413</v>
      </c>
      <c r="I15076">
        <v>408</v>
      </c>
    </row>
    <row r="15077" spans="1:17" x14ac:dyDescent="0.2">
      <c r="A15077" s="121">
        <v>44377</v>
      </c>
      <c r="B15077" t="s">
        <v>406</v>
      </c>
      <c r="C15077" t="s">
        <v>510</v>
      </c>
      <c r="D15077" t="s">
        <v>549</v>
      </c>
      <c r="E15077" t="s">
        <v>550</v>
      </c>
      <c r="F15077" t="s">
        <v>410</v>
      </c>
      <c r="G15077">
        <v>87</v>
      </c>
      <c r="I15077">
        <v>87</v>
      </c>
    </row>
    <row r="15078" spans="1:17" x14ac:dyDescent="0.2">
      <c r="A15078" s="121">
        <v>44377</v>
      </c>
      <c r="B15078" t="s">
        <v>406</v>
      </c>
      <c r="C15078" t="s">
        <v>510</v>
      </c>
      <c r="D15078" t="s">
        <v>625</v>
      </c>
      <c r="E15078" t="s">
        <v>626</v>
      </c>
      <c r="F15078" t="s">
        <v>410</v>
      </c>
      <c r="G15078">
        <v>174</v>
      </c>
      <c r="I15078">
        <v>172</v>
      </c>
    </row>
    <row r="15079" spans="1:17" x14ac:dyDescent="0.2">
      <c r="A15079" s="121">
        <v>44377</v>
      </c>
      <c r="B15079" t="s">
        <v>406</v>
      </c>
      <c r="C15079" t="s">
        <v>551</v>
      </c>
      <c r="D15079" t="s">
        <v>552</v>
      </c>
      <c r="E15079" t="s">
        <v>553</v>
      </c>
      <c r="F15079" t="s">
        <v>413</v>
      </c>
      <c r="G15079">
        <v>6192</v>
      </c>
      <c r="H15079">
        <v>6192</v>
      </c>
      <c r="I15079">
        <v>4694</v>
      </c>
      <c r="J15079">
        <v>4694</v>
      </c>
      <c r="K15079">
        <v>2019</v>
      </c>
      <c r="L15079">
        <v>11</v>
      </c>
      <c r="M15079">
        <v>4014</v>
      </c>
      <c r="N15079">
        <v>106</v>
      </c>
      <c r="O15079">
        <v>42</v>
      </c>
      <c r="P15079">
        <v>150</v>
      </c>
      <c r="Q15079">
        <v>31</v>
      </c>
    </row>
    <row r="15080" spans="1:17" x14ac:dyDescent="0.2">
      <c r="A15080" s="121">
        <v>44377</v>
      </c>
      <c r="B15080" t="s">
        <v>406</v>
      </c>
      <c r="C15080" t="s">
        <v>551</v>
      </c>
      <c r="D15080" t="s">
        <v>558</v>
      </c>
      <c r="E15080" t="s">
        <v>559</v>
      </c>
      <c r="F15080" t="s">
        <v>413</v>
      </c>
      <c r="G15080">
        <v>5930</v>
      </c>
      <c r="H15080">
        <v>5930</v>
      </c>
      <c r="I15080">
        <v>4384</v>
      </c>
      <c r="J15080">
        <v>4384</v>
      </c>
      <c r="K15080">
        <v>1485</v>
      </c>
      <c r="L15080">
        <v>2</v>
      </c>
      <c r="M15080">
        <v>4346</v>
      </c>
      <c r="N15080">
        <v>82</v>
      </c>
      <c r="O15080">
        <v>15</v>
      </c>
      <c r="P15080">
        <v>135</v>
      </c>
      <c r="Q15080">
        <v>29</v>
      </c>
    </row>
    <row r="15081" spans="1:17" x14ac:dyDescent="0.2">
      <c r="A15081" s="121">
        <v>44377</v>
      </c>
      <c r="B15081" t="s">
        <v>406</v>
      </c>
      <c r="C15081" t="s">
        <v>551</v>
      </c>
      <c r="D15081" t="s">
        <v>560</v>
      </c>
      <c r="E15081" t="s">
        <v>561</v>
      </c>
      <c r="F15081" t="s">
        <v>413</v>
      </c>
      <c r="G15081">
        <v>7112</v>
      </c>
      <c r="H15081">
        <v>7112</v>
      </c>
      <c r="I15081">
        <v>5078</v>
      </c>
      <c r="J15081">
        <v>5078</v>
      </c>
      <c r="K15081">
        <v>2148</v>
      </c>
      <c r="L15081">
        <v>4</v>
      </c>
      <c r="M15081">
        <v>4837</v>
      </c>
      <c r="N15081">
        <v>52</v>
      </c>
      <c r="O15081">
        <v>71</v>
      </c>
      <c r="P15081">
        <v>367</v>
      </c>
      <c r="Q15081">
        <v>43</v>
      </c>
    </row>
    <row r="15082" spans="1:17" x14ac:dyDescent="0.2">
      <c r="A15082" s="121">
        <v>44377</v>
      </c>
      <c r="B15082" t="s">
        <v>406</v>
      </c>
      <c r="C15082" t="s">
        <v>562</v>
      </c>
      <c r="D15082" t="s">
        <v>605</v>
      </c>
      <c r="E15082" t="s">
        <v>606</v>
      </c>
      <c r="F15082" t="s">
        <v>410</v>
      </c>
      <c r="G15082">
        <v>76</v>
      </c>
      <c r="I15082">
        <v>76</v>
      </c>
    </row>
    <row r="15083" spans="1:17" x14ac:dyDescent="0.2">
      <c r="A15083" s="121">
        <v>44377</v>
      </c>
      <c r="B15083" t="s">
        <v>406</v>
      </c>
      <c r="C15083" t="s">
        <v>562</v>
      </c>
      <c r="D15083" t="s">
        <v>563</v>
      </c>
      <c r="E15083" t="s">
        <v>564</v>
      </c>
      <c r="F15083" t="s">
        <v>410</v>
      </c>
      <c r="G15083">
        <v>3204</v>
      </c>
      <c r="H15083">
        <v>3204</v>
      </c>
      <c r="I15083">
        <v>2441</v>
      </c>
      <c r="J15083">
        <v>2441</v>
      </c>
      <c r="K15083">
        <v>1176</v>
      </c>
      <c r="L15083">
        <v>0</v>
      </c>
      <c r="M15083">
        <v>2015</v>
      </c>
      <c r="N15083">
        <v>0</v>
      </c>
      <c r="O15083">
        <v>13</v>
      </c>
      <c r="P15083">
        <v>75</v>
      </c>
      <c r="Q15083">
        <v>23</v>
      </c>
    </row>
    <row r="15084" spans="1:17" x14ac:dyDescent="0.2">
      <c r="A15084" s="121">
        <v>44377</v>
      </c>
      <c r="B15084" t="s">
        <v>406</v>
      </c>
      <c r="C15084" t="s">
        <v>562</v>
      </c>
      <c r="D15084" t="s">
        <v>565</v>
      </c>
      <c r="E15084" t="s">
        <v>566</v>
      </c>
      <c r="F15084" t="s">
        <v>413</v>
      </c>
      <c r="G15084">
        <v>5118</v>
      </c>
      <c r="H15084">
        <v>5118</v>
      </c>
      <c r="I15084">
        <v>4393</v>
      </c>
      <c r="J15084">
        <v>4393</v>
      </c>
      <c r="K15084">
        <v>986</v>
      </c>
      <c r="L15084">
        <v>3</v>
      </c>
      <c r="M15084">
        <v>3622</v>
      </c>
      <c r="N15084">
        <v>43</v>
      </c>
      <c r="O15084">
        <v>464</v>
      </c>
      <c r="P15084">
        <v>67</v>
      </c>
      <c r="Q15084">
        <v>14</v>
      </c>
    </row>
    <row r="15085" spans="1:17" x14ac:dyDescent="0.2">
      <c r="A15085" s="121">
        <v>44377</v>
      </c>
      <c r="B15085" t="s">
        <v>406</v>
      </c>
      <c r="C15085" t="s">
        <v>562</v>
      </c>
      <c r="D15085" t="s">
        <v>567</v>
      </c>
      <c r="E15085" t="s">
        <v>568</v>
      </c>
      <c r="F15085" t="s">
        <v>413</v>
      </c>
      <c r="G15085">
        <v>10418</v>
      </c>
      <c r="H15085">
        <v>10418</v>
      </c>
      <c r="I15085">
        <v>7583</v>
      </c>
      <c r="J15085">
        <v>7583</v>
      </c>
      <c r="K15085">
        <v>3525</v>
      </c>
      <c r="L15085">
        <v>2</v>
      </c>
      <c r="M15085">
        <v>6748</v>
      </c>
      <c r="N15085">
        <v>91</v>
      </c>
      <c r="O15085">
        <v>52</v>
      </c>
      <c r="P15085">
        <v>406</v>
      </c>
      <c r="Q15085">
        <v>73</v>
      </c>
    </row>
    <row r="15086" spans="1:17" x14ac:dyDescent="0.2">
      <c r="A15086" s="121">
        <v>44377</v>
      </c>
      <c r="B15086" t="s">
        <v>406</v>
      </c>
      <c r="C15086" t="s">
        <v>562</v>
      </c>
      <c r="D15086" t="s">
        <v>569</v>
      </c>
      <c r="E15086" t="s">
        <v>570</v>
      </c>
      <c r="F15086" t="s">
        <v>413</v>
      </c>
      <c r="G15086">
        <v>5139</v>
      </c>
      <c r="H15086">
        <v>5139</v>
      </c>
      <c r="I15086">
        <v>5012</v>
      </c>
      <c r="J15086">
        <v>5012</v>
      </c>
      <c r="K15086">
        <v>521</v>
      </c>
      <c r="L15086">
        <v>0</v>
      </c>
      <c r="M15086">
        <v>4495</v>
      </c>
      <c r="N15086">
        <v>43</v>
      </c>
      <c r="O15086">
        <v>80</v>
      </c>
      <c r="P15086">
        <v>1</v>
      </c>
      <c r="Q15086">
        <v>1</v>
      </c>
    </row>
    <row r="15087" spans="1:17" x14ac:dyDescent="0.2">
      <c r="A15087" s="121">
        <v>44377</v>
      </c>
      <c r="B15087" t="s">
        <v>406</v>
      </c>
      <c r="C15087" t="s">
        <v>571</v>
      </c>
      <c r="D15087" t="s">
        <v>572</v>
      </c>
      <c r="E15087" t="s">
        <v>627</v>
      </c>
      <c r="F15087" t="s">
        <v>413</v>
      </c>
      <c r="G15087">
        <v>520</v>
      </c>
      <c r="H15087">
        <v>520</v>
      </c>
      <c r="I15087">
        <v>510</v>
      </c>
      <c r="J15087">
        <v>510</v>
      </c>
      <c r="K15087">
        <v>140</v>
      </c>
      <c r="L15087">
        <v>0</v>
      </c>
      <c r="M15087">
        <v>365</v>
      </c>
      <c r="N15087">
        <v>3</v>
      </c>
      <c r="O15087">
        <v>12</v>
      </c>
      <c r="P15087">
        <v>1</v>
      </c>
      <c r="Q15087">
        <v>0</v>
      </c>
    </row>
    <row r="15088" spans="1:17" x14ac:dyDescent="0.2">
      <c r="A15088" s="121">
        <v>44377</v>
      </c>
      <c r="B15088" t="s">
        <v>406</v>
      </c>
      <c r="C15088" t="s">
        <v>574</v>
      </c>
      <c r="D15088" t="s">
        <v>575</v>
      </c>
      <c r="E15088" t="s">
        <v>576</v>
      </c>
      <c r="F15088" t="s">
        <v>413</v>
      </c>
      <c r="G15088">
        <v>551</v>
      </c>
      <c r="H15088">
        <v>551</v>
      </c>
      <c r="I15088">
        <v>547</v>
      </c>
      <c r="J15088">
        <v>547</v>
      </c>
      <c r="K15088">
        <v>140</v>
      </c>
      <c r="L15088">
        <v>2</v>
      </c>
      <c r="M15088">
        <v>406</v>
      </c>
      <c r="N15088">
        <v>1</v>
      </c>
      <c r="O15088">
        <v>2</v>
      </c>
      <c r="P15088">
        <v>0</v>
      </c>
      <c r="Q15088">
        <v>0</v>
      </c>
    </row>
    <row r="15089" spans="1:17" x14ac:dyDescent="0.2">
      <c r="A15089" s="121">
        <v>44377</v>
      </c>
      <c r="B15089" t="s">
        <v>406</v>
      </c>
      <c r="C15089" t="s">
        <v>577</v>
      </c>
      <c r="D15089" t="s">
        <v>578</v>
      </c>
      <c r="E15089" t="s">
        <v>579</v>
      </c>
      <c r="F15089" t="s">
        <v>413</v>
      </c>
      <c r="G15089">
        <v>4748</v>
      </c>
      <c r="H15089">
        <v>4748</v>
      </c>
      <c r="I15089">
        <v>4451</v>
      </c>
      <c r="J15089">
        <v>4451</v>
      </c>
      <c r="K15089">
        <v>1524</v>
      </c>
      <c r="L15089">
        <v>8</v>
      </c>
      <c r="M15089">
        <v>2994</v>
      </c>
      <c r="N15089">
        <v>154</v>
      </c>
      <c r="O15089">
        <v>68</v>
      </c>
      <c r="P15089">
        <v>2</v>
      </c>
      <c r="Q15089">
        <v>0</v>
      </c>
    </row>
    <row r="15090" spans="1:17" x14ac:dyDescent="0.2">
      <c r="A15090" s="121">
        <v>44377</v>
      </c>
      <c r="B15090" t="s">
        <v>406</v>
      </c>
      <c r="C15090" t="s">
        <v>577</v>
      </c>
      <c r="D15090" t="s">
        <v>580</v>
      </c>
      <c r="E15090" t="s">
        <v>581</v>
      </c>
      <c r="F15090" t="s">
        <v>413</v>
      </c>
      <c r="G15090">
        <v>1948</v>
      </c>
      <c r="H15090">
        <v>1948</v>
      </c>
      <c r="I15090">
        <v>1764</v>
      </c>
      <c r="J15090">
        <v>1764</v>
      </c>
      <c r="K15090">
        <v>270</v>
      </c>
      <c r="L15090">
        <v>0</v>
      </c>
      <c r="M15090">
        <v>1453</v>
      </c>
      <c r="N15090">
        <v>194</v>
      </c>
      <c r="O15090">
        <v>31</v>
      </c>
      <c r="P15090">
        <v>18</v>
      </c>
      <c r="Q15090">
        <v>5</v>
      </c>
    </row>
    <row r="15091" spans="1:17" x14ac:dyDescent="0.2">
      <c r="A15091" s="121">
        <v>44377</v>
      </c>
      <c r="B15091" t="s">
        <v>406</v>
      </c>
      <c r="C15091" t="s">
        <v>577</v>
      </c>
      <c r="D15091" t="s">
        <v>586</v>
      </c>
      <c r="E15091" t="s">
        <v>587</v>
      </c>
      <c r="F15091" t="s">
        <v>410</v>
      </c>
      <c r="G15091">
        <v>812</v>
      </c>
      <c r="H15091">
        <v>812</v>
      </c>
      <c r="I15091">
        <v>810</v>
      </c>
      <c r="J15091">
        <v>810</v>
      </c>
      <c r="K15091">
        <v>0</v>
      </c>
      <c r="L15091">
        <v>0</v>
      </c>
      <c r="M15091">
        <v>769</v>
      </c>
      <c r="N15091">
        <v>41</v>
      </c>
      <c r="O15091">
        <v>2</v>
      </c>
      <c r="P15091">
        <v>0</v>
      </c>
      <c r="Q15091">
        <v>0</v>
      </c>
    </row>
    <row r="15092" spans="1:17" x14ac:dyDescent="0.2">
      <c r="A15092" s="121">
        <v>44377</v>
      </c>
      <c r="B15092" t="s">
        <v>406</v>
      </c>
      <c r="C15092" t="s">
        <v>577</v>
      </c>
      <c r="D15092" t="s">
        <v>590</v>
      </c>
      <c r="E15092" t="s">
        <v>591</v>
      </c>
      <c r="F15092" t="s">
        <v>410</v>
      </c>
      <c r="G15092">
        <v>388</v>
      </c>
      <c r="H15092">
        <v>388</v>
      </c>
      <c r="I15092">
        <v>388</v>
      </c>
      <c r="J15092">
        <v>388</v>
      </c>
      <c r="K15092">
        <v>0</v>
      </c>
      <c r="L15092">
        <v>0</v>
      </c>
      <c r="M15092">
        <v>373</v>
      </c>
      <c r="N15092">
        <v>15</v>
      </c>
      <c r="O15092">
        <v>0</v>
      </c>
      <c r="P15092">
        <v>0</v>
      </c>
      <c r="Q15092">
        <v>0</v>
      </c>
    </row>
    <row r="15093" spans="1:17" x14ac:dyDescent="0.2">
      <c r="A15093" s="121">
        <v>44377</v>
      </c>
      <c r="B15093" t="s">
        <v>406</v>
      </c>
      <c r="C15093" t="s">
        <v>594</v>
      </c>
      <c r="D15093" t="s">
        <v>595</v>
      </c>
      <c r="E15093" t="s">
        <v>596</v>
      </c>
      <c r="F15093" t="s">
        <v>410</v>
      </c>
      <c r="G15093">
        <v>61</v>
      </c>
      <c r="I15093">
        <v>61</v>
      </c>
    </row>
    <row r="15094" spans="1:17" x14ac:dyDescent="0.2">
      <c r="A15094" s="121">
        <v>44377</v>
      </c>
      <c r="B15094" t="s">
        <v>406</v>
      </c>
      <c r="C15094" t="s">
        <v>594</v>
      </c>
      <c r="D15094" t="s">
        <v>597</v>
      </c>
      <c r="E15094" t="s">
        <v>598</v>
      </c>
      <c r="F15094" t="s">
        <v>413</v>
      </c>
      <c r="G15094">
        <v>394</v>
      </c>
      <c r="H15094">
        <v>394</v>
      </c>
      <c r="I15094">
        <v>378</v>
      </c>
      <c r="J15094">
        <v>378</v>
      </c>
      <c r="K15094">
        <v>114</v>
      </c>
      <c r="L15094">
        <v>0</v>
      </c>
      <c r="M15094">
        <v>269</v>
      </c>
      <c r="N15094">
        <v>3</v>
      </c>
      <c r="O15094">
        <v>8</v>
      </c>
      <c r="P15094">
        <v>0</v>
      </c>
      <c r="Q15094">
        <v>0</v>
      </c>
    </row>
    <row r="15095" spans="1:17" x14ac:dyDescent="0.2">
      <c r="A15095" s="121">
        <v>44377</v>
      </c>
      <c r="B15095" t="s">
        <v>406</v>
      </c>
      <c r="C15095" t="s">
        <v>594</v>
      </c>
      <c r="D15095" t="s">
        <v>599</v>
      </c>
      <c r="E15095" t="s">
        <v>600</v>
      </c>
      <c r="F15095" t="s">
        <v>410</v>
      </c>
      <c r="G15095">
        <v>106</v>
      </c>
      <c r="H15095">
        <v>106</v>
      </c>
      <c r="I15095">
        <v>105</v>
      </c>
      <c r="J15095">
        <v>105</v>
      </c>
      <c r="K15095">
        <v>4</v>
      </c>
      <c r="L15095">
        <v>0</v>
      </c>
      <c r="M15095">
        <v>102</v>
      </c>
      <c r="N15095">
        <v>0</v>
      </c>
      <c r="O15095">
        <v>0</v>
      </c>
      <c r="P15095">
        <v>0</v>
      </c>
      <c r="Q15095">
        <v>0</v>
      </c>
    </row>
    <row r="15096" spans="1:17" x14ac:dyDescent="0.2">
      <c r="A15096" s="121">
        <v>44408</v>
      </c>
      <c r="B15096" t="s">
        <v>406</v>
      </c>
      <c r="C15096" t="s">
        <v>407</v>
      </c>
      <c r="D15096" t="s">
        <v>408</v>
      </c>
      <c r="E15096" t="s">
        <v>409</v>
      </c>
      <c r="F15096" t="s">
        <v>410</v>
      </c>
      <c r="G15096">
        <v>294</v>
      </c>
      <c r="I15096">
        <v>282</v>
      </c>
    </row>
    <row r="15097" spans="1:17" x14ac:dyDescent="0.2">
      <c r="A15097" s="121">
        <v>44408</v>
      </c>
      <c r="B15097" t="s">
        <v>406</v>
      </c>
      <c r="C15097" t="s">
        <v>407</v>
      </c>
      <c r="D15097" t="s">
        <v>601</v>
      </c>
      <c r="E15097" t="s">
        <v>602</v>
      </c>
      <c r="F15097" t="s">
        <v>410</v>
      </c>
      <c r="G15097">
        <v>85</v>
      </c>
      <c r="I15097">
        <v>84</v>
      </c>
    </row>
    <row r="15098" spans="1:17" x14ac:dyDescent="0.2">
      <c r="A15098" s="121">
        <v>44408</v>
      </c>
      <c r="B15098" t="s">
        <v>406</v>
      </c>
      <c r="C15098" t="s">
        <v>407</v>
      </c>
      <c r="D15098" t="s">
        <v>411</v>
      </c>
      <c r="E15098" t="s">
        <v>412</v>
      </c>
      <c r="F15098" t="s">
        <v>413</v>
      </c>
      <c r="G15098">
        <v>5493</v>
      </c>
      <c r="H15098">
        <v>5493</v>
      </c>
      <c r="I15098">
        <v>4424</v>
      </c>
      <c r="J15098">
        <v>4424</v>
      </c>
      <c r="K15098">
        <v>1597</v>
      </c>
      <c r="L15098">
        <v>10</v>
      </c>
      <c r="M15098">
        <v>3404</v>
      </c>
      <c r="N15098">
        <v>36</v>
      </c>
      <c r="O15098">
        <v>446</v>
      </c>
      <c r="P15098">
        <v>476</v>
      </c>
      <c r="Q15098">
        <v>212</v>
      </c>
    </row>
    <row r="15099" spans="1:17" x14ac:dyDescent="0.2">
      <c r="A15099" s="121">
        <v>44408</v>
      </c>
      <c r="B15099" t="s">
        <v>406</v>
      </c>
      <c r="C15099" t="s">
        <v>407</v>
      </c>
      <c r="D15099" t="s">
        <v>416</v>
      </c>
      <c r="E15099" t="s">
        <v>417</v>
      </c>
      <c r="F15099" t="s">
        <v>413</v>
      </c>
      <c r="G15099">
        <v>2993</v>
      </c>
      <c r="H15099">
        <v>2993</v>
      </c>
      <c r="I15099">
        <v>2511</v>
      </c>
      <c r="J15099">
        <v>2511</v>
      </c>
      <c r="K15099">
        <v>797</v>
      </c>
      <c r="L15099">
        <v>8</v>
      </c>
      <c r="M15099">
        <v>2054</v>
      </c>
      <c r="N15099">
        <v>72</v>
      </c>
      <c r="O15099">
        <v>62</v>
      </c>
      <c r="P15099">
        <v>154</v>
      </c>
      <c r="Q15099">
        <v>67</v>
      </c>
    </row>
    <row r="15100" spans="1:17" x14ac:dyDescent="0.2">
      <c r="A15100" s="121">
        <v>44408</v>
      </c>
      <c r="B15100" t="s">
        <v>406</v>
      </c>
      <c r="C15100" t="s">
        <v>407</v>
      </c>
      <c r="D15100" t="s">
        <v>618</v>
      </c>
      <c r="E15100" t="s">
        <v>619</v>
      </c>
      <c r="F15100" t="s">
        <v>410</v>
      </c>
      <c r="G15100">
        <v>70</v>
      </c>
      <c r="I15100">
        <v>70</v>
      </c>
    </row>
    <row r="15101" spans="1:17" x14ac:dyDescent="0.2">
      <c r="A15101" s="121">
        <v>44408</v>
      </c>
      <c r="B15101" t="s">
        <v>406</v>
      </c>
      <c r="C15101" t="s">
        <v>418</v>
      </c>
      <c r="D15101" t="s">
        <v>425</v>
      </c>
      <c r="E15101" t="s">
        <v>426</v>
      </c>
      <c r="F15101" t="s">
        <v>410</v>
      </c>
      <c r="G15101">
        <v>41</v>
      </c>
      <c r="I15101">
        <v>41</v>
      </c>
    </row>
    <row r="15102" spans="1:17" x14ac:dyDescent="0.2">
      <c r="A15102" s="121">
        <v>44408</v>
      </c>
      <c r="B15102" t="s">
        <v>406</v>
      </c>
      <c r="C15102" t="s">
        <v>418</v>
      </c>
      <c r="D15102" t="s">
        <v>427</v>
      </c>
      <c r="E15102" t="s">
        <v>428</v>
      </c>
      <c r="F15102" t="s">
        <v>413</v>
      </c>
      <c r="G15102">
        <v>2667</v>
      </c>
      <c r="H15102">
        <v>2667</v>
      </c>
      <c r="I15102">
        <v>2166</v>
      </c>
      <c r="J15102">
        <v>2166</v>
      </c>
      <c r="K15102">
        <v>783</v>
      </c>
      <c r="L15102">
        <v>4</v>
      </c>
      <c r="M15102">
        <v>1811</v>
      </c>
      <c r="N15102">
        <v>61</v>
      </c>
      <c r="O15102">
        <v>8</v>
      </c>
      <c r="P15102">
        <v>105</v>
      </c>
      <c r="Q15102">
        <v>42</v>
      </c>
    </row>
    <row r="15103" spans="1:17" x14ac:dyDescent="0.2">
      <c r="A15103" s="121">
        <v>44408</v>
      </c>
      <c r="B15103" t="s">
        <v>406</v>
      </c>
      <c r="C15103" t="s">
        <v>429</v>
      </c>
      <c r="D15103" t="s">
        <v>438</v>
      </c>
      <c r="E15103" t="s">
        <v>439</v>
      </c>
      <c r="F15103" t="s">
        <v>413</v>
      </c>
      <c r="G15103">
        <v>1122</v>
      </c>
      <c r="H15103">
        <v>1122</v>
      </c>
      <c r="I15103">
        <v>1027</v>
      </c>
      <c r="J15103">
        <v>1027</v>
      </c>
      <c r="K15103">
        <v>64</v>
      </c>
      <c r="L15103">
        <v>1</v>
      </c>
      <c r="M15103">
        <v>958</v>
      </c>
      <c r="N15103">
        <v>71</v>
      </c>
      <c r="O15103">
        <v>28</v>
      </c>
      <c r="P15103">
        <v>9</v>
      </c>
      <c r="Q15103">
        <v>0</v>
      </c>
    </row>
    <row r="15104" spans="1:17" x14ac:dyDescent="0.2">
      <c r="A15104" s="121">
        <v>44408</v>
      </c>
      <c r="B15104" t="s">
        <v>406</v>
      </c>
      <c r="C15104" t="s">
        <v>429</v>
      </c>
      <c r="D15104" t="s">
        <v>440</v>
      </c>
      <c r="E15104" t="s">
        <v>441</v>
      </c>
      <c r="F15104" t="s">
        <v>413</v>
      </c>
      <c r="G15104">
        <v>2875</v>
      </c>
      <c r="H15104">
        <v>2875</v>
      </c>
      <c r="I15104">
        <v>2362</v>
      </c>
      <c r="J15104">
        <v>2362</v>
      </c>
      <c r="K15104">
        <v>800</v>
      </c>
      <c r="L15104">
        <v>7</v>
      </c>
      <c r="M15104">
        <v>1963</v>
      </c>
      <c r="N15104">
        <v>38</v>
      </c>
      <c r="O15104">
        <v>67</v>
      </c>
      <c r="P15104">
        <v>46</v>
      </c>
      <c r="Q15104">
        <v>3</v>
      </c>
    </row>
    <row r="15105" spans="1:17" x14ac:dyDescent="0.2">
      <c r="A15105" s="121">
        <v>44408</v>
      </c>
      <c r="B15105" t="s">
        <v>406</v>
      </c>
      <c r="C15105" t="s">
        <v>442</v>
      </c>
      <c r="D15105" t="s">
        <v>443</v>
      </c>
      <c r="E15105" t="s">
        <v>444</v>
      </c>
      <c r="F15105" t="s">
        <v>413</v>
      </c>
      <c r="G15105">
        <v>5464</v>
      </c>
      <c r="H15105">
        <v>5464</v>
      </c>
      <c r="I15105">
        <v>4380</v>
      </c>
      <c r="J15105">
        <v>4380</v>
      </c>
      <c r="K15105">
        <v>1641</v>
      </c>
      <c r="L15105">
        <v>1</v>
      </c>
      <c r="M15105">
        <v>3575</v>
      </c>
      <c r="N15105">
        <v>54</v>
      </c>
      <c r="O15105">
        <v>193</v>
      </c>
      <c r="P15105">
        <v>67</v>
      </c>
      <c r="Q15105">
        <v>5</v>
      </c>
    </row>
    <row r="15106" spans="1:17" x14ac:dyDescent="0.2">
      <c r="A15106" s="121">
        <v>44408</v>
      </c>
      <c r="B15106" t="s">
        <v>406</v>
      </c>
      <c r="C15106" t="s">
        <v>442</v>
      </c>
      <c r="D15106" t="s">
        <v>445</v>
      </c>
      <c r="E15106" t="s">
        <v>446</v>
      </c>
      <c r="F15106" t="s">
        <v>410</v>
      </c>
      <c r="G15106">
        <v>213</v>
      </c>
      <c r="H15106">
        <v>213</v>
      </c>
      <c r="I15106">
        <v>212</v>
      </c>
      <c r="J15106">
        <v>212</v>
      </c>
      <c r="K15106">
        <v>2</v>
      </c>
      <c r="L15106">
        <v>0</v>
      </c>
      <c r="M15106">
        <v>210</v>
      </c>
      <c r="N15106">
        <v>1</v>
      </c>
      <c r="O15106">
        <v>0</v>
      </c>
      <c r="P15106">
        <v>0</v>
      </c>
      <c r="Q15106">
        <v>0</v>
      </c>
    </row>
    <row r="15107" spans="1:17" x14ac:dyDescent="0.2">
      <c r="A15107" s="121">
        <v>44408</v>
      </c>
      <c r="B15107" t="s">
        <v>406</v>
      </c>
      <c r="C15107" t="s">
        <v>442</v>
      </c>
      <c r="D15107" t="s">
        <v>447</v>
      </c>
      <c r="E15107" t="s">
        <v>448</v>
      </c>
      <c r="F15107" t="s">
        <v>410</v>
      </c>
      <c r="G15107">
        <v>246</v>
      </c>
      <c r="H15107">
        <v>246</v>
      </c>
      <c r="I15107">
        <v>244</v>
      </c>
      <c r="J15107">
        <v>244</v>
      </c>
      <c r="K15107">
        <v>0</v>
      </c>
      <c r="L15107">
        <v>0</v>
      </c>
      <c r="M15107">
        <v>231</v>
      </c>
      <c r="N15107">
        <v>13</v>
      </c>
      <c r="O15107">
        <v>2</v>
      </c>
      <c r="P15107">
        <v>0</v>
      </c>
      <c r="Q15107">
        <v>0</v>
      </c>
    </row>
    <row r="15108" spans="1:17" x14ac:dyDescent="0.2">
      <c r="A15108" s="121">
        <v>44408</v>
      </c>
      <c r="B15108" t="s">
        <v>406</v>
      </c>
      <c r="C15108" t="s">
        <v>442</v>
      </c>
      <c r="D15108" t="s">
        <v>449</v>
      </c>
      <c r="E15108" t="s">
        <v>624</v>
      </c>
      <c r="F15108" t="s">
        <v>410</v>
      </c>
      <c r="G15108">
        <v>1254</v>
      </c>
      <c r="H15108">
        <v>1254</v>
      </c>
      <c r="I15108">
        <v>1252</v>
      </c>
      <c r="J15108">
        <v>1252</v>
      </c>
      <c r="K15108">
        <v>6</v>
      </c>
      <c r="L15108">
        <v>0</v>
      </c>
      <c r="M15108">
        <v>1119</v>
      </c>
      <c r="N15108">
        <v>120</v>
      </c>
      <c r="O15108">
        <v>9</v>
      </c>
      <c r="P15108">
        <v>0</v>
      </c>
      <c r="Q15108">
        <v>0</v>
      </c>
    </row>
    <row r="15109" spans="1:17" x14ac:dyDescent="0.2">
      <c r="A15109" s="121">
        <v>44408</v>
      </c>
      <c r="B15109" t="s">
        <v>406</v>
      </c>
      <c r="C15109" t="s">
        <v>451</v>
      </c>
      <c r="D15109" t="s">
        <v>454</v>
      </c>
      <c r="E15109" t="s">
        <v>621</v>
      </c>
      <c r="F15109" t="s">
        <v>410</v>
      </c>
      <c r="G15109">
        <v>1808</v>
      </c>
      <c r="H15109">
        <v>1808</v>
      </c>
      <c r="I15109">
        <v>1804</v>
      </c>
      <c r="J15109">
        <v>1804</v>
      </c>
      <c r="K15109">
        <v>6</v>
      </c>
      <c r="L15109">
        <v>0</v>
      </c>
      <c r="M15109">
        <v>1664</v>
      </c>
      <c r="N15109">
        <v>2</v>
      </c>
      <c r="O15109">
        <v>136</v>
      </c>
      <c r="P15109">
        <v>0</v>
      </c>
      <c r="Q15109">
        <v>0</v>
      </c>
    </row>
    <row r="15110" spans="1:17" x14ac:dyDescent="0.2">
      <c r="A15110" s="121">
        <v>44408</v>
      </c>
      <c r="B15110" t="s">
        <v>406</v>
      </c>
      <c r="C15110" t="s">
        <v>451</v>
      </c>
      <c r="D15110" t="s">
        <v>622</v>
      </c>
      <c r="E15110" t="s">
        <v>623</v>
      </c>
      <c r="F15110" t="s">
        <v>413</v>
      </c>
      <c r="G15110">
        <v>5258</v>
      </c>
      <c r="H15110">
        <v>5258</v>
      </c>
      <c r="I15110">
        <v>3620</v>
      </c>
      <c r="J15110">
        <v>3620</v>
      </c>
      <c r="K15110">
        <v>1494</v>
      </c>
      <c r="L15110">
        <v>8</v>
      </c>
      <c r="M15110">
        <v>3194</v>
      </c>
      <c r="N15110">
        <v>22</v>
      </c>
      <c r="O15110">
        <v>540</v>
      </c>
      <c r="P15110">
        <v>136</v>
      </c>
      <c r="Q15110">
        <v>34</v>
      </c>
    </row>
    <row r="15111" spans="1:17" x14ac:dyDescent="0.2">
      <c r="A15111" s="121">
        <v>44408</v>
      </c>
      <c r="B15111" t="s">
        <v>406</v>
      </c>
      <c r="C15111" t="s">
        <v>456</v>
      </c>
      <c r="D15111" t="s">
        <v>457</v>
      </c>
      <c r="E15111" t="s">
        <v>458</v>
      </c>
      <c r="F15111" t="s">
        <v>413</v>
      </c>
      <c r="G15111">
        <v>4289</v>
      </c>
      <c r="H15111">
        <v>4289</v>
      </c>
      <c r="I15111">
        <v>3251</v>
      </c>
      <c r="J15111">
        <v>3251</v>
      </c>
      <c r="K15111">
        <v>1342</v>
      </c>
      <c r="L15111">
        <v>8</v>
      </c>
      <c r="M15111">
        <v>2741</v>
      </c>
      <c r="N15111">
        <v>5</v>
      </c>
      <c r="O15111">
        <v>193</v>
      </c>
      <c r="P15111">
        <v>62</v>
      </c>
      <c r="Q15111">
        <v>8</v>
      </c>
    </row>
    <row r="15112" spans="1:17" x14ac:dyDescent="0.2">
      <c r="A15112" s="121">
        <v>44408</v>
      </c>
      <c r="B15112" t="s">
        <v>406</v>
      </c>
      <c r="C15112" t="s">
        <v>456</v>
      </c>
      <c r="D15112" t="s">
        <v>459</v>
      </c>
      <c r="E15112" t="s">
        <v>460</v>
      </c>
      <c r="F15112" t="s">
        <v>413</v>
      </c>
      <c r="G15112">
        <v>1133</v>
      </c>
      <c r="H15112">
        <v>1133</v>
      </c>
      <c r="I15112">
        <v>1110</v>
      </c>
      <c r="J15112">
        <v>1110</v>
      </c>
      <c r="K15112">
        <v>120</v>
      </c>
      <c r="L15112">
        <v>0</v>
      </c>
      <c r="M15112">
        <v>999</v>
      </c>
      <c r="N15112">
        <v>0</v>
      </c>
      <c r="O15112">
        <v>14</v>
      </c>
      <c r="P15112">
        <v>2</v>
      </c>
      <c r="Q15112">
        <v>0</v>
      </c>
    </row>
    <row r="15113" spans="1:17" x14ac:dyDescent="0.2">
      <c r="A15113" s="121">
        <v>44408</v>
      </c>
      <c r="B15113" t="s">
        <v>406</v>
      </c>
      <c r="C15113" t="s">
        <v>456</v>
      </c>
      <c r="D15113" t="s">
        <v>467</v>
      </c>
      <c r="E15113" t="s">
        <v>468</v>
      </c>
      <c r="F15113" t="s">
        <v>410</v>
      </c>
      <c r="G15113">
        <v>291</v>
      </c>
      <c r="I15113">
        <v>287</v>
      </c>
    </row>
    <row r="15114" spans="1:17" x14ac:dyDescent="0.2">
      <c r="A15114" s="121">
        <v>44408</v>
      </c>
      <c r="B15114" t="s">
        <v>406</v>
      </c>
      <c r="C15114" t="s">
        <v>456</v>
      </c>
      <c r="D15114" t="s">
        <v>469</v>
      </c>
      <c r="E15114" t="s">
        <v>470</v>
      </c>
      <c r="F15114" t="s">
        <v>410</v>
      </c>
      <c r="G15114">
        <v>408</v>
      </c>
      <c r="I15114">
        <v>408</v>
      </c>
    </row>
    <row r="15115" spans="1:17" x14ac:dyDescent="0.2">
      <c r="A15115" s="121">
        <v>44408</v>
      </c>
      <c r="B15115" t="s">
        <v>406</v>
      </c>
      <c r="C15115" t="s">
        <v>456</v>
      </c>
      <c r="D15115" t="s">
        <v>471</v>
      </c>
      <c r="E15115" t="s">
        <v>472</v>
      </c>
      <c r="F15115" t="s">
        <v>410</v>
      </c>
      <c r="G15115">
        <v>290</v>
      </c>
      <c r="I15115">
        <v>290</v>
      </c>
    </row>
    <row r="15116" spans="1:17" x14ac:dyDescent="0.2">
      <c r="A15116" s="121">
        <v>44408</v>
      </c>
      <c r="B15116" t="s">
        <v>406</v>
      </c>
      <c r="C15116" t="s">
        <v>456</v>
      </c>
      <c r="D15116" t="s">
        <v>477</v>
      </c>
      <c r="E15116" t="s">
        <v>478</v>
      </c>
      <c r="F15116" t="s">
        <v>413</v>
      </c>
      <c r="G15116">
        <v>2329</v>
      </c>
      <c r="H15116">
        <v>2329</v>
      </c>
      <c r="I15116">
        <v>1862</v>
      </c>
      <c r="J15116">
        <v>1862</v>
      </c>
      <c r="K15116">
        <v>539</v>
      </c>
      <c r="L15116">
        <v>5</v>
      </c>
      <c r="M15116">
        <v>1743</v>
      </c>
      <c r="N15116">
        <v>31</v>
      </c>
      <c r="O15116">
        <v>11</v>
      </c>
      <c r="P15116">
        <v>125</v>
      </c>
      <c r="Q15116">
        <v>48</v>
      </c>
    </row>
    <row r="15117" spans="1:17" x14ac:dyDescent="0.2">
      <c r="A15117" s="121">
        <v>44408</v>
      </c>
      <c r="B15117" t="s">
        <v>406</v>
      </c>
      <c r="C15117" t="s">
        <v>491</v>
      </c>
      <c r="D15117" t="s">
        <v>492</v>
      </c>
      <c r="E15117" t="s">
        <v>493</v>
      </c>
      <c r="F15117" t="s">
        <v>410</v>
      </c>
      <c r="G15117">
        <v>1418</v>
      </c>
      <c r="H15117">
        <v>1418</v>
      </c>
      <c r="I15117">
        <v>1327</v>
      </c>
      <c r="J15117">
        <v>1327</v>
      </c>
      <c r="K15117">
        <v>173</v>
      </c>
      <c r="L15117">
        <v>0</v>
      </c>
      <c r="M15117">
        <v>1158</v>
      </c>
      <c r="N15117">
        <v>70</v>
      </c>
      <c r="O15117">
        <v>17</v>
      </c>
      <c r="P15117">
        <v>5</v>
      </c>
      <c r="Q15117">
        <v>0</v>
      </c>
    </row>
    <row r="15118" spans="1:17" x14ac:dyDescent="0.2">
      <c r="A15118" s="121">
        <v>44408</v>
      </c>
      <c r="B15118" t="s">
        <v>406</v>
      </c>
      <c r="C15118" t="s">
        <v>491</v>
      </c>
      <c r="D15118" t="s">
        <v>494</v>
      </c>
      <c r="E15118" t="s">
        <v>495</v>
      </c>
      <c r="F15118" t="s">
        <v>413</v>
      </c>
      <c r="G15118">
        <v>2730</v>
      </c>
      <c r="H15118">
        <v>2730</v>
      </c>
      <c r="I15118">
        <v>2401</v>
      </c>
      <c r="J15118">
        <v>2401</v>
      </c>
      <c r="K15118">
        <v>608</v>
      </c>
      <c r="L15118">
        <v>2</v>
      </c>
      <c r="M15118">
        <v>2036</v>
      </c>
      <c r="N15118">
        <v>30</v>
      </c>
      <c r="O15118">
        <v>54</v>
      </c>
      <c r="P15118">
        <v>35</v>
      </c>
      <c r="Q15118">
        <v>2</v>
      </c>
    </row>
    <row r="15119" spans="1:17" x14ac:dyDescent="0.2">
      <c r="A15119" s="121">
        <v>44408</v>
      </c>
      <c r="B15119" t="s">
        <v>406</v>
      </c>
      <c r="C15119" t="s">
        <v>491</v>
      </c>
      <c r="D15119" t="s">
        <v>496</v>
      </c>
      <c r="E15119" t="s">
        <v>497</v>
      </c>
      <c r="F15119" t="s">
        <v>413</v>
      </c>
      <c r="G15119">
        <v>5634</v>
      </c>
      <c r="H15119">
        <v>5634</v>
      </c>
      <c r="I15119">
        <v>4400</v>
      </c>
      <c r="J15119">
        <v>4400</v>
      </c>
      <c r="K15119">
        <v>1689</v>
      </c>
      <c r="L15119">
        <v>13</v>
      </c>
      <c r="M15119">
        <v>3717</v>
      </c>
      <c r="N15119">
        <v>73</v>
      </c>
      <c r="O15119">
        <v>142</v>
      </c>
      <c r="P15119">
        <v>167</v>
      </c>
      <c r="Q15119">
        <v>4</v>
      </c>
    </row>
    <row r="15120" spans="1:17" x14ac:dyDescent="0.2">
      <c r="A15120" s="121">
        <v>44408</v>
      </c>
      <c r="B15120" t="s">
        <v>406</v>
      </c>
      <c r="C15120" t="s">
        <v>491</v>
      </c>
      <c r="D15120" t="s">
        <v>498</v>
      </c>
      <c r="E15120" t="s">
        <v>499</v>
      </c>
      <c r="F15120" t="s">
        <v>413</v>
      </c>
      <c r="G15120">
        <v>7674</v>
      </c>
      <c r="H15120">
        <v>7674</v>
      </c>
      <c r="I15120">
        <v>6325</v>
      </c>
      <c r="J15120">
        <v>6325</v>
      </c>
      <c r="K15120">
        <v>2154</v>
      </c>
      <c r="L15120">
        <v>17</v>
      </c>
      <c r="M15120">
        <v>5053</v>
      </c>
      <c r="N15120">
        <v>137</v>
      </c>
      <c r="O15120">
        <v>313</v>
      </c>
      <c r="P15120">
        <v>73</v>
      </c>
      <c r="Q15120">
        <v>13</v>
      </c>
    </row>
    <row r="15121" spans="1:17" x14ac:dyDescent="0.2">
      <c r="A15121" s="121">
        <v>44408</v>
      </c>
      <c r="B15121" t="s">
        <v>406</v>
      </c>
      <c r="C15121" t="s">
        <v>491</v>
      </c>
      <c r="D15121" t="s">
        <v>500</v>
      </c>
      <c r="E15121" t="s">
        <v>620</v>
      </c>
      <c r="F15121" t="s">
        <v>410</v>
      </c>
      <c r="G15121">
        <v>1982</v>
      </c>
      <c r="H15121">
        <v>1982</v>
      </c>
      <c r="I15121">
        <v>1974</v>
      </c>
      <c r="J15121">
        <v>1974</v>
      </c>
      <c r="K15121">
        <v>1</v>
      </c>
      <c r="L15121">
        <v>0</v>
      </c>
      <c r="M15121">
        <v>1748</v>
      </c>
      <c r="N15121">
        <v>101</v>
      </c>
      <c r="O15121">
        <v>132</v>
      </c>
      <c r="P15121">
        <v>0</v>
      </c>
      <c r="Q15121">
        <v>0</v>
      </c>
    </row>
    <row r="15122" spans="1:17" x14ac:dyDescent="0.2">
      <c r="A15122" s="121">
        <v>44408</v>
      </c>
      <c r="B15122" t="s">
        <v>406</v>
      </c>
      <c r="C15122" t="s">
        <v>491</v>
      </c>
      <c r="D15122" t="s">
        <v>502</v>
      </c>
      <c r="E15122" t="s">
        <v>615</v>
      </c>
      <c r="F15122" t="s">
        <v>410</v>
      </c>
      <c r="G15122">
        <v>2219</v>
      </c>
      <c r="H15122">
        <v>2219</v>
      </c>
      <c r="I15122">
        <v>2219</v>
      </c>
      <c r="J15122">
        <v>2219</v>
      </c>
      <c r="K15122">
        <v>0</v>
      </c>
      <c r="L15122">
        <v>0</v>
      </c>
      <c r="M15122">
        <v>2109</v>
      </c>
      <c r="N15122">
        <v>66</v>
      </c>
      <c r="O15122">
        <v>44</v>
      </c>
      <c r="P15122">
        <v>0</v>
      </c>
      <c r="Q15122">
        <v>0</v>
      </c>
    </row>
    <row r="15123" spans="1:17" x14ac:dyDescent="0.2">
      <c r="A15123" s="121">
        <v>44408</v>
      </c>
      <c r="B15123" t="s">
        <v>406</v>
      </c>
      <c r="C15123" t="s">
        <v>491</v>
      </c>
      <c r="D15123" t="s">
        <v>504</v>
      </c>
      <c r="E15123" t="s">
        <v>630</v>
      </c>
      <c r="F15123" t="s">
        <v>413</v>
      </c>
      <c r="G15123">
        <v>8348</v>
      </c>
      <c r="H15123">
        <v>8348</v>
      </c>
      <c r="I15123">
        <v>5826</v>
      </c>
      <c r="J15123">
        <v>5826</v>
      </c>
      <c r="K15123">
        <v>2730</v>
      </c>
      <c r="L15123">
        <v>21</v>
      </c>
      <c r="M15123">
        <v>5345</v>
      </c>
      <c r="N15123">
        <v>57</v>
      </c>
      <c r="O15123">
        <v>195</v>
      </c>
      <c r="P15123">
        <v>237</v>
      </c>
      <c r="Q15123">
        <v>14</v>
      </c>
    </row>
    <row r="15124" spans="1:17" x14ac:dyDescent="0.2">
      <c r="A15124" s="121">
        <v>44408</v>
      </c>
      <c r="B15124" t="s">
        <v>406</v>
      </c>
      <c r="C15124" t="s">
        <v>491</v>
      </c>
      <c r="D15124" t="s">
        <v>506</v>
      </c>
      <c r="E15124" t="s">
        <v>507</v>
      </c>
      <c r="F15124" t="s">
        <v>413</v>
      </c>
      <c r="G15124">
        <v>5027</v>
      </c>
      <c r="H15124">
        <v>5027</v>
      </c>
      <c r="I15124">
        <v>4980</v>
      </c>
      <c r="J15124">
        <v>4980</v>
      </c>
      <c r="K15124">
        <v>1006</v>
      </c>
      <c r="L15124">
        <v>3</v>
      </c>
      <c r="M15124">
        <v>4013</v>
      </c>
      <c r="N15124">
        <v>0</v>
      </c>
      <c r="O15124">
        <v>5</v>
      </c>
      <c r="P15124">
        <v>0</v>
      </c>
      <c r="Q15124">
        <v>0</v>
      </c>
    </row>
    <row r="15125" spans="1:17" x14ac:dyDescent="0.2">
      <c r="A15125" s="121">
        <v>44408</v>
      </c>
      <c r="B15125" t="s">
        <v>406</v>
      </c>
      <c r="C15125" t="s">
        <v>491</v>
      </c>
      <c r="D15125" t="s">
        <v>508</v>
      </c>
      <c r="E15125" t="s">
        <v>631</v>
      </c>
      <c r="F15125" t="s">
        <v>410</v>
      </c>
      <c r="G15125">
        <v>10</v>
      </c>
      <c r="H15125">
        <v>10</v>
      </c>
      <c r="I15125">
        <v>10</v>
      </c>
      <c r="J15125">
        <v>10</v>
      </c>
      <c r="K15125">
        <v>0</v>
      </c>
      <c r="L15125">
        <v>0</v>
      </c>
      <c r="M15125">
        <v>9</v>
      </c>
      <c r="N15125">
        <v>1</v>
      </c>
      <c r="O15125">
        <v>0</v>
      </c>
      <c r="P15125">
        <v>0</v>
      </c>
      <c r="Q15125">
        <v>0</v>
      </c>
    </row>
    <row r="15126" spans="1:17" x14ac:dyDescent="0.2">
      <c r="A15126" s="121">
        <v>44408</v>
      </c>
      <c r="B15126" t="s">
        <v>406</v>
      </c>
      <c r="C15126" t="s">
        <v>510</v>
      </c>
      <c r="D15126" t="s">
        <v>513</v>
      </c>
      <c r="E15126" t="s">
        <v>514</v>
      </c>
      <c r="F15126" t="s">
        <v>410</v>
      </c>
      <c r="G15126">
        <v>669</v>
      </c>
      <c r="I15126">
        <v>658</v>
      </c>
    </row>
    <row r="15127" spans="1:17" x14ac:dyDescent="0.2">
      <c r="A15127" s="121">
        <v>44408</v>
      </c>
      <c r="B15127" t="s">
        <v>406</v>
      </c>
      <c r="C15127" t="s">
        <v>510</v>
      </c>
      <c r="D15127" t="s">
        <v>515</v>
      </c>
      <c r="E15127" t="s">
        <v>516</v>
      </c>
      <c r="F15127" t="s">
        <v>410</v>
      </c>
      <c r="G15127">
        <v>105</v>
      </c>
      <c r="I15127">
        <v>105</v>
      </c>
    </row>
    <row r="15128" spans="1:17" x14ac:dyDescent="0.2">
      <c r="A15128" s="121">
        <v>44408</v>
      </c>
      <c r="B15128" t="s">
        <v>406</v>
      </c>
      <c r="C15128" t="s">
        <v>510</v>
      </c>
      <c r="D15128" t="s">
        <v>519</v>
      </c>
      <c r="E15128" t="s">
        <v>520</v>
      </c>
      <c r="F15128" t="s">
        <v>410</v>
      </c>
      <c r="G15128">
        <v>376</v>
      </c>
      <c r="I15128">
        <v>373</v>
      </c>
    </row>
    <row r="15129" spans="1:17" x14ac:dyDescent="0.2">
      <c r="A15129" s="121">
        <v>44408</v>
      </c>
      <c r="B15129" t="s">
        <v>406</v>
      </c>
      <c r="C15129" t="s">
        <v>510</v>
      </c>
      <c r="D15129" t="s">
        <v>523</v>
      </c>
      <c r="E15129" t="s">
        <v>524</v>
      </c>
      <c r="F15129" t="s">
        <v>413</v>
      </c>
      <c r="G15129">
        <v>784</v>
      </c>
      <c r="H15129">
        <v>784</v>
      </c>
      <c r="I15129">
        <v>745</v>
      </c>
      <c r="J15129">
        <v>745</v>
      </c>
      <c r="K15129">
        <v>169</v>
      </c>
      <c r="L15129">
        <v>0</v>
      </c>
      <c r="M15129">
        <v>573</v>
      </c>
      <c r="N15129">
        <v>22</v>
      </c>
      <c r="O15129">
        <v>20</v>
      </c>
      <c r="P15129">
        <v>7</v>
      </c>
      <c r="Q15129">
        <v>3</v>
      </c>
    </row>
    <row r="15130" spans="1:17" x14ac:dyDescent="0.2">
      <c r="A15130" s="121">
        <v>44408</v>
      </c>
      <c r="B15130" t="s">
        <v>406</v>
      </c>
      <c r="C15130" t="s">
        <v>510</v>
      </c>
      <c r="D15130" t="s">
        <v>525</v>
      </c>
      <c r="E15130" t="s">
        <v>526</v>
      </c>
      <c r="F15130" t="s">
        <v>410</v>
      </c>
      <c r="G15130">
        <v>361</v>
      </c>
      <c r="H15130">
        <v>361</v>
      </c>
      <c r="I15130">
        <v>339</v>
      </c>
      <c r="J15130">
        <v>339</v>
      </c>
      <c r="K15130">
        <v>40</v>
      </c>
      <c r="L15130">
        <v>1</v>
      </c>
      <c r="M15130">
        <v>293</v>
      </c>
      <c r="N15130">
        <v>23</v>
      </c>
      <c r="O15130">
        <v>4</v>
      </c>
      <c r="P15130">
        <v>4</v>
      </c>
      <c r="Q15130">
        <v>0</v>
      </c>
    </row>
    <row r="15131" spans="1:17" x14ac:dyDescent="0.2">
      <c r="A15131" s="121">
        <v>44408</v>
      </c>
      <c r="B15131" t="s">
        <v>406</v>
      </c>
      <c r="C15131" t="s">
        <v>510</v>
      </c>
      <c r="D15131" t="s">
        <v>527</v>
      </c>
      <c r="E15131" t="s">
        <v>528</v>
      </c>
      <c r="F15131" t="s">
        <v>410</v>
      </c>
      <c r="G15131">
        <v>19</v>
      </c>
      <c r="I15131">
        <v>19</v>
      </c>
    </row>
    <row r="15132" spans="1:17" x14ac:dyDescent="0.2">
      <c r="A15132" s="121">
        <v>44408</v>
      </c>
      <c r="B15132" t="s">
        <v>406</v>
      </c>
      <c r="C15132" t="s">
        <v>510</v>
      </c>
      <c r="D15132" t="s">
        <v>529</v>
      </c>
      <c r="E15132" t="s">
        <v>530</v>
      </c>
      <c r="F15132" t="s">
        <v>413</v>
      </c>
      <c r="G15132">
        <v>848</v>
      </c>
      <c r="H15132">
        <v>848</v>
      </c>
      <c r="I15132">
        <v>799</v>
      </c>
      <c r="J15132">
        <v>799</v>
      </c>
      <c r="K15132">
        <v>148</v>
      </c>
      <c r="L15132">
        <v>1</v>
      </c>
      <c r="M15132">
        <v>653</v>
      </c>
      <c r="N15132">
        <v>28</v>
      </c>
      <c r="O15132">
        <v>18</v>
      </c>
      <c r="P15132">
        <v>5</v>
      </c>
      <c r="Q15132">
        <v>0</v>
      </c>
    </row>
    <row r="15133" spans="1:17" x14ac:dyDescent="0.2">
      <c r="A15133" s="121">
        <v>44408</v>
      </c>
      <c r="B15133" t="s">
        <v>406</v>
      </c>
      <c r="C15133" t="s">
        <v>510</v>
      </c>
      <c r="D15133" t="s">
        <v>531</v>
      </c>
      <c r="E15133" t="s">
        <v>532</v>
      </c>
      <c r="F15133" t="s">
        <v>410</v>
      </c>
      <c r="G15133">
        <v>27</v>
      </c>
      <c r="I15133">
        <v>27</v>
      </c>
    </row>
    <row r="15134" spans="1:17" x14ac:dyDescent="0.2">
      <c r="A15134" s="121">
        <v>44408</v>
      </c>
      <c r="B15134" t="s">
        <v>406</v>
      </c>
      <c r="C15134" t="s">
        <v>510</v>
      </c>
      <c r="D15134" t="s">
        <v>533</v>
      </c>
      <c r="E15134" t="s">
        <v>534</v>
      </c>
      <c r="F15134" t="s">
        <v>413</v>
      </c>
      <c r="G15134">
        <v>3206</v>
      </c>
      <c r="H15134">
        <v>3206</v>
      </c>
      <c r="I15134">
        <v>2688</v>
      </c>
      <c r="J15134">
        <v>2688</v>
      </c>
      <c r="K15134">
        <v>786</v>
      </c>
      <c r="L15134">
        <v>3</v>
      </c>
      <c r="M15134">
        <v>2204</v>
      </c>
      <c r="N15134">
        <v>27</v>
      </c>
      <c r="O15134">
        <v>186</v>
      </c>
      <c r="P15134">
        <v>50</v>
      </c>
      <c r="Q15134">
        <v>6</v>
      </c>
    </row>
    <row r="15135" spans="1:17" x14ac:dyDescent="0.2">
      <c r="A15135" s="121">
        <v>44408</v>
      </c>
      <c r="B15135" t="s">
        <v>406</v>
      </c>
      <c r="C15135" t="s">
        <v>510</v>
      </c>
      <c r="D15135" t="s">
        <v>535</v>
      </c>
      <c r="E15135" t="s">
        <v>536</v>
      </c>
      <c r="F15135" t="s">
        <v>410</v>
      </c>
      <c r="G15135">
        <v>266</v>
      </c>
      <c r="I15135">
        <v>265</v>
      </c>
    </row>
    <row r="15136" spans="1:17" x14ac:dyDescent="0.2">
      <c r="A15136" s="121">
        <v>44408</v>
      </c>
      <c r="B15136" t="s">
        <v>406</v>
      </c>
      <c r="C15136" t="s">
        <v>510</v>
      </c>
      <c r="D15136" t="s">
        <v>539</v>
      </c>
      <c r="E15136" t="s">
        <v>540</v>
      </c>
      <c r="F15136" t="s">
        <v>413</v>
      </c>
      <c r="G15136">
        <v>1079</v>
      </c>
      <c r="H15136">
        <v>1079</v>
      </c>
      <c r="I15136">
        <v>976</v>
      </c>
      <c r="J15136">
        <v>976</v>
      </c>
      <c r="K15136">
        <v>131</v>
      </c>
      <c r="L15136">
        <v>1</v>
      </c>
      <c r="M15136">
        <v>889</v>
      </c>
      <c r="N15136">
        <v>22</v>
      </c>
      <c r="O15136">
        <v>36</v>
      </c>
      <c r="P15136">
        <v>6</v>
      </c>
      <c r="Q15136">
        <v>1</v>
      </c>
    </row>
    <row r="15137" spans="1:17" x14ac:dyDescent="0.2">
      <c r="A15137" s="121">
        <v>44408</v>
      </c>
      <c r="B15137" t="s">
        <v>406</v>
      </c>
      <c r="C15137" t="s">
        <v>510</v>
      </c>
      <c r="D15137" t="s">
        <v>541</v>
      </c>
      <c r="E15137" t="s">
        <v>542</v>
      </c>
      <c r="F15137" t="s">
        <v>410</v>
      </c>
      <c r="G15137">
        <v>428</v>
      </c>
      <c r="I15137">
        <v>428</v>
      </c>
    </row>
    <row r="15138" spans="1:17" x14ac:dyDescent="0.2">
      <c r="A15138" s="121">
        <v>44408</v>
      </c>
      <c r="B15138" t="s">
        <v>406</v>
      </c>
      <c r="C15138" t="s">
        <v>510</v>
      </c>
      <c r="D15138" t="s">
        <v>543</v>
      </c>
      <c r="E15138" t="s">
        <v>544</v>
      </c>
      <c r="F15138" t="s">
        <v>410</v>
      </c>
      <c r="G15138">
        <v>47</v>
      </c>
      <c r="I15138">
        <v>47</v>
      </c>
    </row>
    <row r="15139" spans="1:17" x14ac:dyDescent="0.2">
      <c r="A15139" s="121">
        <v>44408</v>
      </c>
      <c r="B15139" t="s">
        <v>406</v>
      </c>
      <c r="C15139" t="s">
        <v>510</v>
      </c>
      <c r="D15139" t="s">
        <v>547</v>
      </c>
      <c r="E15139" t="s">
        <v>548</v>
      </c>
      <c r="F15139" t="s">
        <v>410</v>
      </c>
      <c r="G15139">
        <v>75</v>
      </c>
      <c r="I15139">
        <v>75</v>
      </c>
    </row>
    <row r="15140" spans="1:17" x14ac:dyDescent="0.2">
      <c r="A15140" s="121">
        <v>44408</v>
      </c>
      <c r="B15140" t="s">
        <v>406</v>
      </c>
      <c r="C15140" t="s">
        <v>510</v>
      </c>
      <c r="D15140" t="s">
        <v>616</v>
      </c>
      <c r="E15140" t="s">
        <v>617</v>
      </c>
      <c r="F15140" t="s">
        <v>410</v>
      </c>
      <c r="G15140">
        <v>480</v>
      </c>
      <c r="I15140">
        <v>466</v>
      </c>
    </row>
    <row r="15141" spans="1:17" x14ac:dyDescent="0.2">
      <c r="A15141" s="121">
        <v>44408</v>
      </c>
      <c r="B15141" t="s">
        <v>406</v>
      </c>
      <c r="C15141" t="s">
        <v>510</v>
      </c>
      <c r="D15141" t="s">
        <v>549</v>
      </c>
      <c r="E15141" t="s">
        <v>550</v>
      </c>
      <c r="F15141" t="s">
        <v>410</v>
      </c>
      <c r="G15141">
        <v>80</v>
      </c>
      <c r="I15141">
        <v>80</v>
      </c>
    </row>
    <row r="15142" spans="1:17" x14ac:dyDescent="0.2">
      <c r="A15142" s="121">
        <v>44408</v>
      </c>
      <c r="B15142" t="s">
        <v>406</v>
      </c>
      <c r="C15142" t="s">
        <v>510</v>
      </c>
      <c r="D15142" t="s">
        <v>625</v>
      </c>
      <c r="E15142" t="s">
        <v>626</v>
      </c>
      <c r="F15142" t="s">
        <v>410</v>
      </c>
      <c r="G15142">
        <v>177</v>
      </c>
      <c r="I15142">
        <v>177</v>
      </c>
    </row>
    <row r="15143" spans="1:17" x14ac:dyDescent="0.2">
      <c r="A15143" s="121">
        <v>44408</v>
      </c>
      <c r="B15143" t="s">
        <v>406</v>
      </c>
      <c r="C15143" t="s">
        <v>551</v>
      </c>
      <c r="D15143" t="s">
        <v>552</v>
      </c>
      <c r="E15143" t="s">
        <v>553</v>
      </c>
      <c r="F15143" t="s">
        <v>413</v>
      </c>
      <c r="G15143">
        <v>6006</v>
      </c>
      <c r="H15143">
        <v>6006</v>
      </c>
      <c r="I15143">
        <v>4380</v>
      </c>
      <c r="J15143">
        <v>4380</v>
      </c>
      <c r="K15143">
        <v>1999</v>
      </c>
      <c r="L15143">
        <v>6</v>
      </c>
      <c r="M15143">
        <v>3856</v>
      </c>
      <c r="N15143">
        <v>108</v>
      </c>
      <c r="O15143">
        <v>37</v>
      </c>
      <c r="P15143">
        <v>240</v>
      </c>
      <c r="Q15143">
        <v>42</v>
      </c>
    </row>
    <row r="15144" spans="1:17" x14ac:dyDescent="0.2">
      <c r="A15144" s="121">
        <v>44408</v>
      </c>
      <c r="B15144" t="s">
        <v>406</v>
      </c>
      <c r="C15144" t="s">
        <v>551</v>
      </c>
      <c r="D15144" t="s">
        <v>558</v>
      </c>
      <c r="E15144" t="s">
        <v>559</v>
      </c>
      <c r="F15144" t="s">
        <v>413</v>
      </c>
      <c r="G15144">
        <v>5672</v>
      </c>
      <c r="H15144">
        <v>5672</v>
      </c>
      <c r="I15144">
        <v>3896</v>
      </c>
      <c r="J15144">
        <v>3896</v>
      </c>
      <c r="K15144">
        <v>1440</v>
      </c>
      <c r="L15144">
        <v>5</v>
      </c>
      <c r="M15144">
        <v>4121</v>
      </c>
      <c r="N15144">
        <v>83</v>
      </c>
      <c r="O15144">
        <v>23</v>
      </c>
      <c r="P15144">
        <v>225</v>
      </c>
      <c r="Q15144">
        <v>35</v>
      </c>
    </row>
    <row r="15145" spans="1:17" x14ac:dyDescent="0.2">
      <c r="A15145" s="121">
        <v>44408</v>
      </c>
      <c r="B15145" t="s">
        <v>406</v>
      </c>
      <c r="C15145" t="s">
        <v>551</v>
      </c>
      <c r="D15145" t="s">
        <v>560</v>
      </c>
      <c r="E15145" t="s">
        <v>561</v>
      </c>
      <c r="F15145" t="s">
        <v>413</v>
      </c>
      <c r="G15145">
        <v>6538</v>
      </c>
      <c r="H15145">
        <v>6538</v>
      </c>
      <c r="I15145">
        <v>4118</v>
      </c>
      <c r="J15145">
        <v>4118</v>
      </c>
      <c r="K15145">
        <v>2007</v>
      </c>
      <c r="L15145">
        <v>8</v>
      </c>
      <c r="M15145">
        <v>4394</v>
      </c>
      <c r="N15145">
        <v>54</v>
      </c>
      <c r="O15145">
        <v>75</v>
      </c>
      <c r="P15145">
        <v>611</v>
      </c>
      <c r="Q15145">
        <v>92</v>
      </c>
    </row>
    <row r="15146" spans="1:17" x14ac:dyDescent="0.2">
      <c r="A15146" s="121">
        <v>44408</v>
      </c>
      <c r="B15146" t="s">
        <v>406</v>
      </c>
      <c r="C15146" t="s">
        <v>562</v>
      </c>
      <c r="D15146" t="s">
        <v>605</v>
      </c>
      <c r="E15146" t="s">
        <v>606</v>
      </c>
      <c r="F15146" t="s">
        <v>410</v>
      </c>
      <c r="G15146">
        <v>127</v>
      </c>
      <c r="I15146">
        <v>127</v>
      </c>
    </row>
    <row r="15147" spans="1:17" x14ac:dyDescent="0.2">
      <c r="A15147" s="121">
        <v>44408</v>
      </c>
      <c r="B15147" t="s">
        <v>406</v>
      </c>
      <c r="C15147" t="s">
        <v>562</v>
      </c>
      <c r="D15147" t="s">
        <v>563</v>
      </c>
      <c r="E15147" t="s">
        <v>564</v>
      </c>
      <c r="F15147" t="s">
        <v>410</v>
      </c>
      <c r="G15147">
        <v>3230</v>
      </c>
      <c r="H15147">
        <v>3230</v>
      </c>
      <c r="I15147">
        <v>2383</v>
      </c>
      <c r="J15147">
        <v>2383</v>
      </c>
      <c r="K15147">
        <v>1174</v>
      </c>
      <c r="L15147">
        <v>0</v>
      </c>
      <c r="M15147">
        <v>2053</v>
      </c>
      <c r="N15147">
        <v>2</v>
      </c>
      <c r="O15147">
        <v>1</v>
      </c>
      <c r="P15147">
        <v>91</v>
      </c>
      <c r="Q15147">
        <v>24</v>
      </c>
    </row>
    <row r="15148" spans="1:17" x14ac:dyDescent="0.2">
      <c r="A15148" s="121">
        <v>44408</v>
      </c>
      <c r="B15148" t="s">
        <v>406</v>
      </c>
      <c r="C15148" t="s">
        <v>562</v>
      </c>
      <c r="D15148" t="s">
        <v>565</v>
      </c>
      <c r="E15148" t="s">
        <v>566</v>
      </c>
      <c r="F15148" t="s">
        <v>413</v>
      </c>
      <c r="G15148">
        <v>4960</v>
      </c>
      <c r="H15148">
        <v>4960</v>
      </c>
      <c r="I15148">
        <v>4081</v>
      </c>
      <c r="J15148">
        <v>4081</v>
      </c>
      <c r="K15148">
        <v>934</v>
      </c>
      <c r="L15148">
        <v>0</v>
      </c>
      <c r="M15148">
        <v>3599</v>
      </c>
      <c r="N15148">
        <v>54</v>
      </c>
      <c r="O15148">
        <v>373</v>
      </c>
      <c r="P15148">
        <v>114</v>
      </c>
      <c r="Q15148">
        <v>17</v>
      </c>
    </row>
    <row r="15149" spans="1:17" x14ac:dyDescent="0.2">
      <c r="A15149" s="121">
        <v>44408</v>
      </c>
      <c r="B15149" t="s">
        <v>406</v>
      </c>
      <c r="C15149" t="s">
        <v>562</v>
      </c>
      <c r="D15149" t="s">
        <v>567</v>
      </c>
      <c r="E15149" t="s">
        <v>568</v>
      </c>
      <c r="F15149" t="s">
        <v>413</v>
      </c>
      <c r="G15149">
        <v>10368</v>
      </c>
      <c r="H15149">
        <v>10368</v>
      </c>
      <c r="I15149">
        <v>7373</v>
      </c>
      <c r="J15149">
        <v>7373</v>
      </c>
      <c r="K15149">
        <v>3426</v>
      </c>
      <c r="L15149">
        <v>4</v>
      </c>
      <c r="M15149">
        <v>6786</v>
      </c>
      <c r="N15149">
        <v>93</v>
      </c>
      <c r="O15149">
        <v>59</v>
      </c>
      <c r="P15149">
        <v>511</v>
      </c>
      <c r="Q15149">
        <v>102</v>
      </c>
    </row>
    <row r="15150" spans="1:17" x14ac:dyDescent="0.2">
      <c r="A15150" s="121">
        <v>44408</v>
      </c>
      <c r="B15150" t="s">
        <v>406</v>
      </c>
      <c r="C15150" t="s">
        <v>562</v>
      </c>
      <c r="D15150" t="s">
        <v>569</v>
      </c>
      <c r="E15150" t="s">
        <v>570</v>
      </c>
      <c r="F15150" t="s">
        <v>413</v>
      </c>
      <c r="G15150">
        <v>3857</v>
      </c>
      <c r="H15150">
        <v>3857</v>
      </c>
      <c r="I15150">
        <v>3772</v>
      </c>
      <c r="J15150">
        <v>3772</v>
      </c>
      <c r="K15150">
        <v>480</v>
      </c>
      <c r="L15150">
        <v>1</v>
      </c>
      <c r="M15150">
        <v>3336</v>
      </c>
      <c r="N15150">
        <v>2</v>
      </c>
      <c r="O15150">
        <v>38</v>
      </c>
      <c r="P15150">
        <v>4</v>
      </c>
      <c r="Q15150">
        <v>1</v>
      </c>
    </row>
    <row r="15151" spans="1:17" x14ac:dyDescent="0.2">
      <c r="A15151" s="121">
        <v>44408</v>
      </c>
      <c r="B15151" t="s">
        <v>406</v>
      </c>
      <c r="C15151" t="s">
        <v>571</v>
      </c>
      <c r="D15151" t="s">
        <v>572</v>
      </c>
      <c r="E15151" t="s">
        <v>627</v>
      </c>
      <c r="F15151" t="s">
        <v>413</v>
      </c>
      <c r="G15151">
        <v>555</v>
      </c>
      <c r="H15151">
        <v>555</v>
      </c>
      <c r="I15151">
        <v>541</v>
      </c>
      <c r="J15151">
        <v>541</v>
      </c>
      <c r="K15151">
        <v>148</v>
      </c>
      <c r="L15151">
        <v>2</v>
      </c>
      <c r="M15151">
        <v>392</v>
      </c>
      <c r="N15151">
        <v>3</v>
      </c>
      <c r="O15151">
        <v>10</v>
      </c>
      <c r="P15151">
        <v>0</v>
      </c>
      <c r="Q15151">
        <v>0</v>
      </c>
    </row>
    <row r="15152" spans="1:17" x14ac:dyDescent="0.2">
      <c r="A15152" s="121">
        <v>44408</v>
      </c>
      <c r="B15152" t="s">
        <v>406</v>
      </c>
      <c r="C15152" t="s">
        <v>574</v>
      </c>
      <c r="D15152" t="s">
        <v>575</v>
      </c>
      <c r="E15152" t="s">
        <v>576</v>
      </c>
      <c r="F15152" t="s">
        <v>413</v>
      </c>
      <c r="G15152">
        <v>626</v>
      </c>
      <c r="H15152">
        <v>626</v>
      </c>
      <c r="I15152">
        <v>608</v>
      </c>
      <c r="J15152">
        <v>608</v>
      </c>
      <c r="K15152">
        <v>170</v>
      </c>
      <c r="L15152">
        <v>1</v>
      </c>
      <c r="M15152">
        <v>451</v>
      </c>
      <c r="N15152">
        <v>1</v>
      </c>
      <c r="O15152">
        <v>3</v>
      </c>
      <c r="P15152">
        <v>0</v>
      </c>
      <c r="Q15152">
        <v>0</v>
      </c>
    </row>
    <row r="15153" spans="1:17" x14ac:dyDescent="0.2">
      <c r="A15153" s="121">
        <v>44408</v>
      </c>
      <c r="B15153" t="s">
        <v>406</v>
      </c>
      <c r="C15153" t="s">
        <v>577</v>
      </c>
      <c r="D15153" t="s">
        <v>578</v>
      </c>
      <c r="E15153" t="s">
        <v>579</v>
      </c>
      <c r="F15153" t="s">
        <v>413</v>
      </c>
      <c r="G15153">
        <v>4624</v>
      </c>
      <c r="H15153">
        <v>4624</v>
      </c>
      <c r="I15153">
        <v>4212</v>
      </c>
      <c r="J15153">
        <v>4212</v>
      </c>
      <c r="K15153">
        <v>1518</v>
      </c>
      <c r="L15153">
        <v>9</v>
      </c>
      <c r="M15153">
        <v>2843</v>
      </c>
      <c r="N15153">
        <v>173</v>
      </c>
      <c r="O15153">
        <v>81</v>
      </c>
      <c r="P15153">
        <v>3</v>
      </c>
      <c r="Q15153">
        <v>0</v>
      </c>
    </row>
    <row r="15154" spans="1:17" x14ac:dyDescent="0.2">
      <c r="A15154" s="121">
        <v>44408</v>
      </c>
      <c r="B15154" t="s">
        <v>406</v>
      </c>
      <c r="C15154" t="s">
        <v>577</v>
      </c>
      <c r="D15154" t="s">
        <v>580</v>
      </c>
      <c r="E15154" t="s">
        <v>581</v>
      </c>
      <c r="F15154" t="s">
        <v>413</v>
      </c>
      <c r="G15154">
        <v>1971</v>
      </c>
      <c r="H15154">
        <v>1971</v>
      </c>
      <c r="I15154">
        <v>1825</v>
      </c>
      <c r="J15154">
        <v>1825</v>
      </c>
      <c r="K15154">
        <v>261</v>
      </c>
      <c r="L15154">
        <v>0</v>
      </c>
      <c r="M15154">
        <v>1483</v>
      </c>
      <c r="N15154">
        <v>201</v>
      </c>
      <c r="O15154">
        <v>26</v>
      </c>
      <c r="P15154">
        <v>21</v>
      </c>
      <c r="Q15154">
        <v>9</v>
      </c>
    </row>
    <row r="15155" spans="1:17" x14ac:dyDescent="0.2">
      <c r="A15155" s="121">
        <v>44408</v>
      </c>
      <c r="B15155" t="s">
        <v>406</v>
      </c>
      <c r="C15155" t="s">
        <v>577</v>
      </c>
      <c r="D15155" t="s">
        <v>586</v>
      </c>
      <c r="E15155" t="s">
        <v>587</v>
      </c>
      <c r="F15155" t="s">
        <v>410</v>
      </c>
      <c r="G15155">
        <v>642</v>
      </c>
      <c r="H15155">
        <v>642</v>
      </c>
      <c r="I15155">
        <v>642</v>
      </c>
      <c r="J15155">
        <v>642</v>
      </c>
      <c r="K15155">
        <v>0</v>
      </c>
      <c r="L15155">
        <v>0</v>
      </c>
      <c r="M15155">
        <v>619</v>
      </c>
      <c r="N15155">
        <v>22</v>
      </c>
      <c r="O15155">
        <v>1</v>
      </c>
      <c r="P15155">
        <v>0</v>
      </c>
      <c r="Q15155">
        <v>0</v>
      </c>
    </row>
    <row r="15156" spans="1:17" x14ac:dyDescent="0.2">
      <c r="A15156" s="121">
        <v>44408</v>
      </c>
      <c r="B15156" t="s">
        <v>406</v>
      </c>
      <c r="C15156" t="s">
        <v>577</v>
      </c>
      <c r="D15156" t="s">
        <v>590</v>
      </c>
      <c r="E15156" t="s">
        <v>591</v>
      </c>
      <c r="F15156" t="s">
        <v>410</v>
      </c>
      <c r="G15156">
        <v>321</v>
      </c>
      <c r="H15156">
        <v>321</v>
      </c>
      <c r="I15156">
        <v>321</v>
      </c>
      <c r="J15156">
        <v>321</v>
      </c>
      <c r="K15156">
        <v>0</v>
      </c>
      <c r="L15156">
        <v>0</v>
      </c>
      <c r="M15156">
        <v>312</v>
      </c>
      <c r="N15156">
        <v>9</v>
      </c>
      <c r="O15156">
        <v>0</v>
      </c>
      <c r="P15156">
        <v>0</v>
      </c>
      <c r="Q15156">
        <v>0</v>
      </c>
    </row>
    <row r="15157" spans="1:17" x14ac:dyDescent="0.2">
      <c r="A15157" s="121">
        <v>44408</v>
      </c>
      <c r="B15157" t="s">
        <v>406</v>
      </c>
      <c r="C15157" t="s">
        <v>594</v>
      </c>
      <c r="D15157" t="s">
        <v>595</v>
      </c>
      <c r="E15157" t="s">
        <v>596</v>
      </c>
      <c r="F15157" t="s">
        <v>410</v>
      </c>
      <c r="G15157">
        <v>66</v>
      </c>
      <c r="I15157">
        <v>66</v>
      </c>
    </row>
    <row r="15158" spans="1:17" x14ac:dyDescent="0.2">
      <c r="A15158" s="121">
        <v>44408</v>
      </c>
      <c r="B15158" t="s">
        <v>406</v>
      </c>
      <c r="C15158" t="s">
        <v>594</v>
      </c>
      <c r="D15158" t="s">
        <v>597</v>
      </c>
      <c r="E15158" t="s">
        <v>598</v>
      </c>
      <c r="F15158" t="s">
        <v>413</v>
      </c>
      <c r="G15158">
        <v>437</v>
      </c>
      <c r="H15158">
        <v>437</v>
      </c>
      <c r="I15158">
        <v>409</v>
      </c>
      <c r="J15158">
        <v>409</v>
      </c>
      <c r="K15158">
        <v>106</v>
      </c>
      <c r="L15158">
        <v>0</v>
      </c>
      <c r="M15158">
        <v>310</v>
      </c>
      <c r="N15158">
        <v>10</v>
      </c>
      <c r="O15158">
        <v>11</v>
      </c>
      <c r="P15158">
        <v>1</v>
      </c>
      <c r="Q15158">
        <v>0</v>
      </c>
    </row>
    <row r="15159" spans="1:17" x14ac:dyDescent="0.2">
      <c r="A15159" s="121">
        <v>44408</v>
      </c>
      <c r="B15159" t="s">
        <v>406</v>
      </c>
      <c r="C15159" t="s">
        <v>594</v>
      </c>
      <c r="D15159" t="s">
        <v>599</v>
      </c>
      <c r="E15159" t="s">
        <v>600</v>
      </c>
      <c r="F15159" t="s">
        <v>410</v>
      </c>
      <c r="G15159">
        <v>137</v>
      </c>
      <c r="H15159">
        <v>137</v>
      </c>
      <c r="I15159">
        <v>137</v>
      </c>
      <c r="J15159">
        <v>137</v>
      </c>
      <c r="K15159">
        <v>9</v>
      </c>
      <c r="L15159">
        <v>0</v>
      </c>
      <c r="M15159">
        <v>128</v>
      </c>
      <c r="N15159">
        <v>0</v>
      </c>
      <c r="O15159">
        <v>0</v>
      </c>
      <c r="P15159">
        <v>0</v>
      </c>
      <c r="Q15159">
        <v>0</v>
      </c>
    </row>
    <row r="15160" spans="1:17" x14ac:dyDescent="0.2">
      <c r="A15160" s="121">
        <v>44439</v>
      </c>
      <c r="B15160" t="s">
        <v>406</v>
      </c>
      <c r="C15160" t="s">
        <v>407</v>
      </c>
      <c r="D15160" t="s">
        <v>408</v>
      </c>
      <c r="E15160" t="s">
        <v>409</v>
      </c>
      <c r="F15160" t="s">
        <v>410</v>
      </c>
      <c r="G15160">
        <v>328</v>
      </c>
      <c r="I15160">
        <v>319</v>
      </c>
    </row>
    <row r="15161" spans="1:17" x14ac:dyDescent="0.2">
      <c r="A15161" s="121">
        <v>44439</v>
      </c>
      <c r="B15161" t="s">
        <v>406</v>
      </c>
      <c r="C15161" t="s">
        <v>407</v>
      </c>
      <c r="D15161" t="s">
        <v>601</v>
      </c>
      <c r="E15161" t="s">
        <v>602</v>
      </c>
      <c r="F15161" t="s">
        <v>410</v>
      </c>
      <c r="G15161">
        <v>143</v>
      </c>
      <c r="I15161">
        <v>139</v>
      </c>
    </row>
    <row r="15162" spans="1:17" x14ac:dyDescent="0.2">
      <c r="A15162" s="121">
        <v>44439</v>
      </c>
      <c r="B15162" t="s">
        <v>406</v>
      </c>
      <c r="C15162" t="s">
        <v>407</v>
      </c>
      <c r="D15162" t="s">
        <v>411</v>
      </c>
      <c r="E15162" t="s">
        <v>412</v>
      </c>
      <c r="F15162" t="s">
        <v>413</v>
      </c>
      <c r="G15162">
        <v>5743</v>
      </c>
      <c r="H15162">
        <v>5743</v>
      </c>
      <c r="I15162">
        <v>4523</v>
      </c>
      <c r="J15162">
        <v>4523</v>
      </c>
      <c r="K15162">
        <v>1559</v>
      </c>
      <c r="L15162">
        <v>9</v>
      </c>
      <c r="M15162">
        <v>3768</v>
      </c>
      <c r="N15162">
        <v>40</v>
      </c>
      <c r="O15162">
        <v>367</v>
      </c>
      <c r="P15162">
        <v>524</v>
      </c>
      <c r="Q15162">
        <v>266</v>
      </c>
    </row>
    <row r="15163" spans="1:17" x14ac:dyDescent="0.2">
      <c r="A15163" s="121">
        <v>44439</v>
      </c>
      <c r="B15163" t="s">
        <v>406</v>
      </c>
      <c r="C15163" t="s">
        <v>407</v>
      </c>
      <c r="D15163" t="s">
        <v>416</v>
      </c>
      <c r="E15163" t="s">
        <v>417</v>
      </c>
      <c r="F15163" t="s">
        <v>413</v>
      </c>
      <c r="G15163">
        <v>2944</v>
      </c>
      <c r="H15163">
        <v>2944</v>
      </c>
      <c r="I15163">
        <v>2277</v>
      </c>
      <c r="J15163">
        <v>2277</v>
      </c>
      <c r="K15163">
        <v>821</v>
      </c>
      <c r="L15163">
        <v>3</v>
      </c>
      <c r="M15163">
        <v>1992</v>
      </c>
      <c r="N15163">
        <v>68</v>
      </c>
      <c r="O15163">
        <v>60</v>
      </c>
      <c r="P15163">
        <v>186</v>
      </c>
      <c r="Q15163">
        <v>58</v>
      </c>
    </row>
    <row r="15164" spans="1:17" x14ac:dyDescent="0.2">
      <c r="A15164" s="121">
        <v>44439</v>
      </c>
      <c r="B15164" t="s">
        <v>406</v>
      </c>
      <c r="C15164" t="s">
        <v>407</v>
      </c>
      <c r="D15164" t="s">
        <v>618</v>
      </c>
      <c r="E15164" t="s">
        <v>619</v>
      </c>
      <c r="F15164" t="s">
        <v>410</v>
      </c>
      <c r="G15164">
        <v>84</v>
      </c>
      <c r="I15164">
        <v>84</v>
      </c>
    </row>
    <row r="15165" spans="1:17" x14ac:dyDescent="0.2">
      <c r="A15165" s="121">
        <v>44439</v>
      </c>
      <c r="B15165" t="s">
        <v>406</v>
      </c>
      <c r="C15165" t="s">
        <v>418</v>
      </c>
      <c r="D15165" t="s">
        <v>425</v>
      </c>
      <c r="E15165" t="s">
        <v>426</v>
      </c>
      <c r="F15165" t="s">
        <v>410</v>
      </c>
      <c r="G15165">
        <v>43</v>
      </c>
      <c r="I15165">
        <v>43</v>
      </c>
    </row>
    <row r="15166" spans="1:17" x14ac:dyDescent="0.2">
      <c r="A15166" s="121">
        <v>44439</v>
      </c>
      <c r="B15166" t="s">
        <v>406</v>
      </c>
      <c r="C15166" t="s">
        <v>418</v>
      </c>
      <c r="D15166" t="s">
        <v>427</v>
      </c>
      <c r="E15166" t="s">
        <v>428</v>
      </c>
      <c r="F15166" t="s">
        <v>413</v>
      </c>
      <c r="G15166">
        <v>2668</v>
      </c>
      <c r="H15166">
        <v>2668</v>
      </c>
      <c r="I15166">
        <v>1888</v>
      </c>
      <c r="J15166">
        <v>1888</v>
      </c>
      <c r="K15166">
        <v>737</v>
      </c>
      <c r="L15166">
        <v>3</v>
      </c>
      <c r="M15166">
        <v>1838</v>
      </c>
      <c r="N15166">
        <v>81</v>
      </c>
      <c r="O15166">
        <v>9</v>
      </c>
      <c r="P15166">
        <v>286</v>
      </c>
      <c r="Q15166">
        <v>157</v>
      </c>
    </row>
    <row r="15167" spans="1:17" x14ac:dyDescent="0.2">
      <c r="A15167" s="121">
        <v>44439</v>
      </c>
      <c r="B15167" t="s">
        <v>406</v>
      </c>
      <c r="C15167" t="s">
        <v>429</v>
      </c>
      <c r="D15167" t="s">
        <v>438</v>
      </c>
      <c r="E15167" t="s">
        <v>439</v>
      </c>
      <c r="F15167" t="s">
        <v>413</v>
      </c>
      <c r="G15167">
        <v>1170</v>
      </c>
      <c r="H15167">
        <v>1170</v>
      </c>
      <c r="I15167">
        <v>1041</v>
      </c>
      <c r="J15167">
        <v>1041</v>
      </c>
      <c r="K15167">
        <v>65</v>
      </c>
      <c r="L15167">
        <v>1</v>
      </c>
      <c r="M15167">
        <v>995</v>
      </c>
      <c r="N15167">
        <v>75</v>
      </c>
      <c r="O15167">
        <v>34</v>
      </c>
      <c r="P15167">
        <v>28</v>
      </c>
      <c r="Q15167">
        <v>5</v>
      </c>
    </row>
    <row r="15168" spans="1:17" x14ac:dyDescent="0.2">
      <c r="A15168" s="121">
        <v>44439</v>
      </c>
      <c r="B15168" t="s">
        <v>406</v>
      </c>
      <c r="C15168" t="s">
        <v>429</v>
      </c>
      <c r="D15168" t="s">
        <v>440</v>
      </c>
      <c r="E15168" t="s">
        <v>441</v>
      </c>
      <c r="F15168" t="s">
        <v>413</v>
      </c>
      <c r="G15168">
        <v>2833</v>
      </c>
      <c r="H15168">
        <v>2833</v>
      </c>
      <c r="I15168">
        <v>2259</v>
      </c>
      <c r="J15168">
        <v>2259</v>
      </c>
      <c r="K15168">
        <v>757</v>
      </c>
      <c r="L15168">
        <v>4</v>
      </c>
      <c r="M15168">
        <v>1962</v>
      </c>
      <c r="N15168">
        <v>39</v>
      </c>
      <c r="O15168">
        <v>71</v>
      </c>
      <c r="P15168">
        <v>99</v>
      </c>
      <c r="Q15168">
        <v>22</v>
      </c>
    </row>
    <row r="15169" spans="1:17" x14ac:dyDescent="0.2">
      <c r="A15169" s="121">
        <v>44439</v>
      </c>
      <c r="B15169" t="s">
        <v>406</v>
      </c>
      <c r="C15169" t="s">
        <v>442</v>
      </c>
      <c r="D15169" t="s">
        <v>443</v>
      </c>
      <c r="E15169" t="s">
        <v>444</v>
      </c>
      <c r="F15169" t="s">
        <v>413</v>
      </c>
      <c r="G15169">
        <v>5581</v>
      </c>
      <c r="H15169">
        <v>5581</v>
      </c>
      <c r="I15169">
        <v>4414</v>
      </c>
      <c r="J15169">
        <v>4414</v>
      </c>
      <c r="K15169">
        <v>1709</v>
      </c>
      <c r="L15169">
        <v>9</v>
      </c>
      <c r="M15169">
        <v>3663</v>
      </c>
      <c r="N15169">
        <v>53</v>
      </c>
      <c r="O15169">
        <v>147</v>
      </c>
      <c r="P15169">
        <v>106</v>
      </c>
      <c r="Q15169">
        <v>8</v>
      </c>
    </row>
    <row r="15170" spans="1:17" x14ac:dyDescent="0.2">
      <c r="A15170" s="121">
        <v>44439</v>
      </c>
      <c r="B15170" t="s">
        <v>406</v>
      </c>
      <c r="C15170" t="s">
        <v>442</v>
      </c>
      <c r="D15170" t="s">
        <v>445</v>
      </c>
      <c r="E15170" t="s">
        <v>446</v>
      </c>
      <c r="F15170" t="s">
        <v>410</v>
      </c>
      <c r="G15170">
        <v>194</v>
      </c>
      <c r="H15170">
        <v>194</v>
      </c>
      <c r="I15170">
        <v>193</v>
      </c>
      <c r="J15170">
        <v>193</v>
      </c>
      <c r="K15170">
        <v>1</v>
      </c>
      <c r="L15170">
        <v>0</v>
      </c>
      <c r="M15170">
        <v>184</v>
      </c>
      <c r="N15170">
        <v>6</v>
      </c>
      <c r="O15170">
        <v>3</v>
      </c>
      <c r="P15170">
        <v>0</v>
      </c>
      <c r="Q15170">
        <v>0</v>
      </c>
    </row>
    <row r="15171" spans="1:17" x14ac:dyDescent="0.2">
      <c r="A15171" s="121">
        <v>44439</v>
      </c>
      <c r="B15171" t="s">
        <v>406</v>
      </c>
      <c r="C15171" t="s">
        <v>442</v>
      </c>
      <c r="D15171" t="s">
        <v>447</v>
      </c>
      <c r="E15171" t="s">
        <v>448</v>
      </c>
      <c r="F15171" t="s">
        <v>410</v>
      </c>
      <c r="G15171">
        <v>252</v>
      </c>
      <c r="H15171">
        <v>252</v>
      </c>
      <c r="I15171">
        <v>252</v>
      </c>
      <c r="J15171">
        <v>252</v>
      </c>
      <c r="K15171">
        <v>0</v>
      </c>
      <c r="L15171">
        <v>0</v>
      </c>
      <c r="M15171">
        <v>246</v>
      </c>
      <c r="N15171">
        <v>6</v>
      </c>
      <c r="O15171">
        <v>0</v>
      </c>
      <c r="P15171">
        <v>0</v>
      </c>
      <c r="Q15171">
        <v>0</v>
      </c>
    </row>
    <row r="15172" spans="1:17" x14ac:dyDescent="0.2">
      <c r="A15172" s="121">
        <v>44439</v>
      </c>
      <c r="B15172" t="s">
        <v>406</v>
      </c>
      <c r="C15172" t="s">
        <v>442</v>
      </c>
      <c r="D15172" t="s">
        <v>449</v>
      </c>
      <c r="E15172" t="s">
        <v>624</v>
      </c>
      <c r="F15172" t="s">
        <v>410</v>
      </c>
      <c r="G15172">
        <v>1165</v>
      </c>
      <c r="H15172">
        <v>1165</v>
      </c>
      <c r="I15172">
        <v>1163</v>
      </c>
      <c r="J15172">
        <v>1163</v>
      </c>
      <c r="K15172">
        <v>5</v>
      </c>
      <c r="L15172">
        <v>0</v>
      </c>
      <c r="M15172">
        <v>1038</v>
      </c>
      <c r="N15172">
        <v>110</v>
      </c>
      <c r="O15172">
        <v>12</v>
      </c>
      <c r="P15172">
        <v>1</v>
      </c>
      <c r="Q15172">
        <v>0</v>
      </c>
    </row>
    <row r="15173" spans="1:17" x14ac:dyDescent="0.2">
      <c r="A15173" s="121">
        <v>44439</v>
      </c>
      <c r="B15173" t="s">
        <v>406</v>
      </c>
      <c r="C15173" t="s">
        <v>451</v>
      </c>
      <c r="D15173" t="s">
        <v>454</v>
      </c>
      <c r="E15173" t="s">
        <v>621</v>
      </c>
      <c r="F15173" t="s">
        <v>410</v>
      </c>
      <c r="G15173">
        <v>2183</v>
      </c>
      <c r="H15173">
        <v>2183</v>
      </c>
      <c r="I15173">
        <v>2177</v>
      </c>
      <c r="J15173">
        <v>2177</v>
      </c>
      <c r="K15173">
        <v>13</v>
      </c>
      <c r="L15173">
        <v>0</v>
      </c>
      <c r="M15173">
        <v>1993</v>
      </c>
      <c r="N15173">
        <v>1</v>
      </c>
      <c r="O15173">
        <v>176</v>
      </c>
      <c r="P15173">
        <v>0</v>
      </c>
      <c r="Q15173">
        <v>0</v>
      </c>
    </row>
    <row r="15174" spans="1:17" x14ac:dyDescent="0.2">
      <c r="A15174" s="121">
        <v>44439</v>
      </c>
      <c r="B15174" t="s">
        <v>406</v>
      </c>
      <c r="C15174" t="s">
        <v>451</v>
      </c>
      <c r="D15174" t="s">
        <v>622</v>
      </c>
      <c r="E15174" t="s">
        <v>623</v>
      </c>
      <c r="F15174" t="s">
        <v>413</v>
      </c>
      <c r="G15174">
        <v>5339</v>
      </c>
      <c r="H15174">
        <v>5339</v>
      </c>
      <c r="I15174">
        <v>3431</v>
      </c>
      <c r="J15174">
        <v>3431</v>
      </c>
      <c r="K15174">
        <v>1487</v>
      </c>
      <c r="L15174">
        <v>7</v>
      </c>
      <c r="M15174">
        <v>3322</v>
      </c>
      <c r="N15174">
        <v>24</v>
      </c>
      <c r="O15174">
        <v>499</v>
      </c>
      <c r="P15174">
        <v>278</v>
      </c>
      <c r="Q15174">
        <v>41</v>
      </c>
    </row>
    <row r="15175" spans="1:17" x14ac:dyDescent="0.2">
      <c r="A15175" s="121">
        <v>44439</v>
      </c>
      <c r="B15175" t="s">
        <v>406</v>
      </c>
      <c r="C15175" t="s">
        <v>456</v>
      </c>
      <c r="D15175" t="s">
        <v>457</v>
      </c>
      <c r="E15175" t="s">
        <v>458</v>
      </c>
      <c r="F15175" t="s">
        <v>413</v>
      </c>
      <c r="G15175">
        <v>4469</v>
      </c>
      <c r="H15175">
        <v>4469</v>
      </c>
      <c r="I15175">
        <v>3268</v>
      </c>
      <c r="J15175">
        <v>3268</v>
      </c>
      <c r="K15175">
        <v>1321</v>
      </c>
      <c r="L15175">
        <v>12</v>
      </c>
      <c r="M15175">
        <v>2970</v>
      </c>
      <c r="N15175">
        <v>10</v>
      </c>
      <c r="O15175">
        <v>156</v>
      </c>
      <c r="P15175">
        <v>92</v>
      </c>
      <c r="Q15175">
        <v>9</v>
      </c>
    </row>
    <row r="15176" spans="1:17" x14ac:dyDescent="0.2">
      <c r="A15176" s="121">
        <v>44439</v>
      </c>
      <c r="B15176" t="s">
        <v>406</v>
      </c>
      <c r="C15176" t="s">
        <v>456</v>
      </c>
      <c r="D15176" t="s">
        <v>459</v>
      </c>
      <c r="E15176" t="s">
        <v>460</v>
      </c>
      <c r="F15176" t="s">
        <v>413</v>
      </c>
      <c r="G15176">
        <v>1335</v>
      </c>
      <c r="H15176">
        <v>1335</v>
      </c>
      <c r="I15176">
        <v>1283</v>
      </c>
      <c r="J15176">
        <v>1283</v>
      </c>
      <c r="K15176">
        <v>151</v>
      </c>
      <c r="L15176">
        <v>1</v>
      </c>
      <c r="M15176">
        <v>1143</v>
      </c>
      <c r="N15176">
        <v>1</v>
      </c>
      <c r="O15176">
        <v>39</v>
      </c>
      <c r="P15176">
        <v>3</v>
      </c>
      <c r="Q15176">
        <v>2</v>
      </c>
    </row>
    <row r="15177" spans="1:17" x14ac:dyDescent="0.2">
      <c r="A15177" s="121">
        <v>44439</v>
      </c>
      <c r="B15177" t="s">
        <v>406</v>
      </c>
      <c r="C15177" t="s">
        <v>456</v>
      </c>
      <c r="D15177" t="s">
        <v>467</v>
      </c>
      <c r="E15177" t="s">
        <v>468</v>
      </c>
      <c r="F15177" t="s">
        <v>410</v>
      </c>
      <c r="G15177">
        <v>373</v>
      </c>
      <c r="I15177">
        <v>371</v>
      </c>
    </row>
    <row r="15178" spans="1:17" x14ac:dyDescent="0.2">
      <c r="A15178" s="121">
        <v>44439</v>
      </c>
      <c r="B15178" t="s">
        <v>406</v>
      </c>
      <c r="C15178" t="s">
        <v>456</v>
      </c>
      <c r="D15178" t="s">
        <v>469</v>
      </c>
      <c r="E15178" t="s">
        <v>470</v>
      </c>
      <c r="F15178" t="s">
        <v>410</v>
      </c>
      <c r="G15178">
        <v>433</v>
      </c>
      <c r="I15178">
        <v>428</v>
      </c>
    </row>
    <row r="15179" spans="1:17" x14ac:dyDescent="0.2">
      <c r="A15179" s="121">
        <v>44439</v>
      </c>
      <c r="B15179" t="s">
        <v>406</v>
      </c>
      <c r="C15179" t="s">
        <v>456</v>
      </c>
      <c r="D15179" t="s">
        <v>471</v>
      </c>
      <c r="E15179" t="s">
        <v>472</v>
      </c>
      <c r="F15179" t="s">
        <v>410</v>
      </c>
      <c r="G15179">
        <v>312</v>
      </c>
      <c r="I15179">
        <v>310</v>
      </c>
    </row>
    <row r="15180" spans="1:17" x14ac:dyDescent="0.2">
      <c r="A15180" s="121">
        <v>44439</v>
      </c>
      <c r="B15180" t="s">
        <v>406</v>
      </c>
      <c r="C15180" t="s">
        <v>456</v>
      </c>
      <c r="D15180" t="s">
        <v>477</v>
      </c>
      <c r="E15180" t="s">
        <v>478</v>
      </c>
      <c r="F15180" t="s">
        <v>413</v>
      </c>
      <c r="G15180">
        <v>2331</v>
      </c>
      <c r="H15180">
        <v>2331</v>
      </c>
      <c r="I15180">
        <v>1928</v>
      </c>
      <c r="J15180">
        <v>1928</v>
      </c>
      <c r="K15180">
        <v>571</v>
      </c>
      <c r="L15180">
        <v>2</v>
      </c>
      <c r="M15180">
        <v>1739</v>
      </c>
      <c r="N15180">
        <v>18</v>
      </c>
      <c r="O15180">
        <v>1</v>
      </c>
      <c r="P15180">
        <v>51</v>
      </c>
      <c r="Q15180">
        <v>11</v>
      </c>
    </row>
    <row r="15181" spans="1:17" x14ac:dyDescent="0.2">
      <c r="A15181" s="121">
        <v>44439</v>
      </c>
      <c r="B15181" t="s">
        <v>406</v>
      </c>
      <c r="C15181" t="s">
        <v>491</v>
      </c>
      <c r="D15181" t="s">
        <v>492</v>
      </c>
      <c r="E15181" t="s">
        <v>493</v>
      </c>
      <c r="F15181" t="s">
        <v>410</v>
      </c>
      <c r="G15181">
        <v>1346</v>
      </c>
      <c r="H15181">
        <v>1346</v>
      </c>
      <c r="I15181">
        <v>1275</v>
      </c>
      <c r="J15181">
        <v>1275</v>
      </c>
      <c r="K15181">
        <v>155</v>
      </c>
      <c r="L15181">
        <v>0</v>
      </c>
      <c r="M15181">
        <v>1110</v>
      </c>
      <c r="N15181">
        <v>70</v>
      </c>
      <c r="O15181">
        <v>11</v>
      </c>
      <c r="P15181">
        <v>5</v>
      </c>
      <c r="Q15181">
        <v>1</v>
      </c>
    </row>
    <row r="15182" spans="1:17" x14ac:dyDescent="0.2">
      <c r="A15182" s="121">
        <v>44439</v>
      </c>
      <c r="B15182" t="s">
        <v>406</v>
      </c>
      <c r="C15182" t="s">
        <v>491</v>
      </c>
      <c r="D15182" t="s">
        <v>494</v>
      </c>
      <c r="E15182" t="s">
        <v>495</v>
      </c>
      <c r="F15182" t="s">
        <v>413</v>
      </c>
      <c r="G15182">
        <v>2710</v>
      </c>
      <c r="H15182">
        <v>2710</v>
      </c>
      <c r="I15182">
        <v>2129</v>
      </c>
      <c r="J15182">
        <v>2129</v>
      </c>
      <c r="K15182">
        <v>589</v>
      </c>
      <c r="L15182">
        <v>4</v>
      </c>
      <c r="M15182">
        <v>2001</v>
      </c>
      <c r="N15182">
        <v>42</v>
      </c>
      <c r="O15182">
        <v>74</v>
      </c>
      <c r="P15182">
        <v>83</v>
      </c>
      <c r="Q15182">
        <v>10</v>
      </c>
    </row>
    <row r="15183" spans="1:17" x14ac:dyDescent="0.2">
      <c r="A15183" s="121">
        <v>44439</v>
      </c>
      <c r="B15183" t="s">
        <v>406</v>
      </c>
      <c r="C15183" t="s">
        <v>491</v>
      </c>
      <c r="D15183" t="s">
        <v>496</v>
      </c>
      <c r="E15183" t="s">
        <v>497</v>
      </c>
      <c r="F15183" t="s">
        <v>413</v>
      </c>
      <c r="G15183">
        <v>5613</v>
      </c>
      <c r="H15183">
        <v>5613</v>
      </c>
      <c r="I15183">
        <v>4007</v>
      </c>
      <c r="J15183">
        <v>4007</v>
      </c>
      <c r="K15183">
        <v>1632</v>
      </c>
      <c r="L15183">
        <v>17</v>
      </c>
      <c r="M15183">
        <v>3651</v>
      </c>
      <c r="N15183">
        <v>99</v>
      </c>
      <c r="O15183">
        <v>214</v>
      </c>
      <c r="P15183">
        <v>298</v>
      </c>
      <c r="Q15183">
        <v>27</v>
      </c>
    </row>
    <row r="15184" spans="1:17" x14ac:dyDescent="0.2">
      <c r="A15184" s="121">
        <v>44439</v>
      </c>
      <c r="B15184" t="s">
        <v>406</v>
      </c>
      <c r="C15184" t="s">
        <v>491</v>
      </c>
      <c r="D15184" t="s">
        <v>498</v>
      </c>
      <c r="E15184" t="s">
        <v>499</v>
      </c>
      <c r="F15184" t="s">
        <v>413</v>
      </c>
      <c r="G15184">
        <v>7579</v>
      </c>
      <c r="H15184">
        <v>7579</v>
      </c>
      <c r="I15184">
        <v>5773</v>
      </c>
      <c r="J15184">
        <v>5773</v>
      </c>
      <c r="K15184">
        <v>2033</v>
      </c>
      <c r="L15184">
        <v>21</v>
      </c>
      <c r="M15184">
        <v>5027</v>
      </c>
      <c r="N15184">
        <v>125</v>
      </c>
      <c r="O15184">
        <v>373</v>
      </c>
      <c r="P15184">
        <v>139</v>
      </c>
      <c r="Q15184">
        <v>11</v>
      </c>
    </row>
    <row r="15185" spans="1:17" x14ac:dyDescent="0.2">
      <c r="A15185" s="121">
        <v>44439</v>
      </c>
      <c r="B15185" t="s">
        <v>406</v>
      </c>
      <c r="C15185" t="s">
        <v>491</v>
      </c>
      <c r="D15185" t="s">
        <v>500</v>
      </c>
      <c r="E15185" t="s">
        <v>620</v>
      </c>
      <c r="F15185" t="s">
        <v>410</v>
      </c>
      <c r="G15185">
        <v>1975</v>
      </c>
      <c r="H15185">
        <v>1975</v>
      </c>
      <c r="I15185">
        <v>1945</v>
      </c>
      <c r="J15185">
        <v>1945</v>
      </c>
      <c r="K15185">
        <v>1</v>
      </c>
      <c r="L15185">
        <v>0</v>
      </c>
      <c r="M15185">
        <v>1674</v>
      </c>
      <c r="N15185">
        <v>106</v>
      </c>
      <c r="O15185">
        <v>194</v>
      </c>
      <c r="P15185">
        <v>2</v>
      </c>
      <c r="Q15185">
        <v>0</v>
      </c>
    </row>
    <row r="15186" spans="1:17" x14ac:dyDescent="0.2">
      <c r="A15186" s="121">
        <v>44439</v>
      </c>
      <c r="B15186" t="s">
        <v>406</v>
      </c>
      <c r="C15186" t="s">
        <v>491</v>
      </c>
      <c r="D15186" t="s">
        <v>502</v>
      </c>
      <c r="E15186" t="s">
        <v>615</v>
      </c>
      <c r="F15186" t="s">
        <v>410</v>
      </c>
      <c r="G15186">
        <v>2209</v>
      </c>
      <c r="H15186">
        <v>2209</v>
      </c>
      <c r="I15186">
        <v>2208</v>
      </c>
      <c r="J15186">
        <v>2208</v>
      </c>
      <c r="K15186">
        <v>0</v>
      </c>
      <c r="L15186">
        <v>2</v>
      </c>
      <c r="M15186">
        <v>2093</v>
      </c>
      <c r="N15186">
        <v>60</v>
      </c>
      <c r="O15186">
        <v>54</v>
      </c>
      <c r="P15186">
        <v>0</v>
      </c>
      <c r="Q15186">
        <v>0</v>
      </c>
    </row>
    <row r="15187" spans="1:17" x14ac:dyDescent="0.2">
      <c r="A15187" s="121">
        <v>44439</v>
      </c>
      <c r="B15187" t="s">
        <v>406</v>
      </c>
      <c r="C15187" t="s">
        <v>491</v>
      </c>
      <c r="D15187" t="s">
        <v>504</v>
      </c>
      <c r="E15187" t="s">
        <v>630</v>
      </c>
      <c r="F15187" t="s">
        <v>413</v>
      </c>
      <c r="G15187">
        <v>8025</v>
      </c>
      <c r="H15187">
        <v>8025</v>
      </c>
      <c r="I15187">
        <v>4658</v>
      </c>
      <c r="J15187">
        <v>4658</v>
      </c>
      <c r="K15187">
        <v>2602</v>
      </c>
      <c r="L15187">
        <v>19</v>
      </c>
      <c r="M15187">
        <v>5064</v>
      </c>
      <c r="N15187">
        <v>62</v>
      </c>
      <c r="O15187">
        <v>278</v>
      </c>
      <c r="P15187">
        <v>655</v>
      </c>
      <c r="Q15187">
        <v>148</v>
      </c>
    </row>
    <row r="15188" spans="1:17" x14ac:dyDescent="0.2">
      <c r="A15188" s="121">
        <v>44439</v>
      </c>
      <c r="B15188" t="s">
        <v>406</v>
      </c>
      <c r="C15188" t="s">
        <v>491</v>
      </c>
      <c r="D15188" t="s">
        <v>506</v>
      </c>
      <c r="E15188" t="s">
        <v>507</v>
      </c>
      <c r="F15188" t="s">
        <v>413</v>
      </c>
      <c r="G15188">
        <v>5847</v>
      </c>
      <c r="H15188">
        <v>5847</v>
      </c>
      <c r="I15188">
        <v>5500</v>
      </c>
      <c r="J15188">
        <v>5500</v>
      </c>
      <c r="K15188">
        <v>1339</v>
      </c>
      <c r="L15188">
        <v>1</v>
      </c>
      <c r="M15188">
        <v>4455</v>
      </c>
      <c r="N15188">
        <v>1</v>
      </c>
      <c r="O15188">
        <v>51</v>
      </c>
      <c r="P15188">
        <v>4</v>
      </c>
      <c r="Q15188">
        <v>0</v>
      </c>
    </row>
    <row r="15189" spans="1:17" x14ac:dyDescent="0.2">
      <c r="A15189" s="121">
        <v>44439</v>
      </c>
      <c r="B15189" t="s">
        <v>406</v>
      </c>
      <c r="C15189" t="s">
        <v>491</v>
      </c>
      <c r="D15189" t="s">
        <v>508</v>
      </c>
      <c r="E15189" t="s">
        <v>631</v>
      </c>
      <c r="F15189" t="s">
        <v>410</v>
      </c>
      <c r="G15189">
        <v>5</v>
      </c>
      <c r="H15189">
        <v>5</v>
      </c>
      <c r="I15189">
        <v>5</v>
      </c>
      <c r="J15189">
        <v>5</v>
      </c>
      <c r="K15189">
        <v>0</v>
      </c>
      <c r="L15189">
        <v>0</v>
      </c>
      <c r="M15189">
        <v>5</v>
      </c>
      <c r="N15189">
        <v>0</v>
      </c>
      <c r="O15189">
        <v>0</v>
      </c>
      <c r="P15189">
        <v>0</v>
      </c>
      <c r="Q15189">
        <v>0</v>
      </c>
    </row>
    <row r="15190" spans="1:17" x14ac:dyDescent="0.2">
      <c r="A15190" s="121">
        <v>44439</v>
      </c>
      <c r="B15190" t="s">
        <v>406</v>
      </c>
      <c r="C15190" t="s">
        <v>510</v>
      </c>
      <c r="D15190" t="s">
        <v>513</v>
      </c>
      <c r="E15190" t="s">
        <v>514</v>
      </c>
      <c r="F15190" t="s">
        <v>410</v>
      </c>
      <c r="G15190">
        <v>687</v>
      </c>
      <c r="I15190">
        <v>665</v>
      </c>
    </row>
    <row r="15191" spans="1:17" x14ac:dyDescent="0.2">
      <c r="A15191" s="121">
        <v>44439</v>
      </c>
      <c r="B15191" t="s">
        <v>406</v>
      </c>
      <c r="C15191" t="s">
        <v>510</v>
      </c>
      <c r="D15191" t="s">
        <v>515</v>
      </c>
      <c r="E15191" t="s">
        <v>516</v>
      </c>
      <c r="F15191" t="s">
        <v>410</v>
      </c>
      <c r="G15191">
        <v>103</v>
      </c>
      <c r="I15191">
        <v>98</v>
      </c>
    </row>
    <row r="15192" spans="1:17" x14ac:dyDescent="0.2">
      <c r="A15192" s="121">
        <v>44439</v>
      </c>
      <c r="B15192" t="s">
        <v>406</v>
      </c>
      <c r="C15192" t="s">
        <v>510</v>
      </c>
      <c r="D15192" t="s">
        <v>519</v>
      </c>
      <c r="E15192" t="s">
        <v>520</v>
      </c>
      <c r="F15192" t="s">
        <v>410</v>
      </c>
      <c r="G15192">
        <v>419</v>
      </c>
      <c r="I15192">
        <v>408</v>
      </c>
    </row>
    <row r="15193" spans="1:17" x14ac:dyDescent="0.2">
      <c r="A15193" s="121">
        <v>44439</v>
      </c>
      <c r="B15193" t="s">
        <v>406</v>
      </c>
      <c r="C15193" t="s">
        <v>510</v>
      </c>
      <c r="D15193" t="s">
        <v>523</v>
      </c>
      <c r="E15193" t="s">
        <v>524</v>
      </c>
      <c r="F15193" t="s">
        <v>413</v>
      </c>
      <c r="G15193">
        <v>815</v>
      </c>
      <c r="H15193">
        <v>815</v>
      </c>
      <c r="I15193">
        <v>743</v>
      </c>
      <c r="J15193">
        <v>743</v>
      </c>
      <c r="K15193">
        <v>186</v>
      </c>
      <c r="L15193">
        <v>0</v>
      </c>
      <c r="M15193">
        <v>585</v>
      </c>
      <c r="N15193">
        <v>22</v>
      </c>
      <c r="O15193">
        <v>22</v>
      </c>
      <c r="P15193">
        <v>7</v>
      </c>
      <c r="Q15193">
        <v>2</v>
      </c>
    </row>
    <row r="15194" spans="1:17" x14ac:dyDescent="0.2">
      <c r="A15194" s="121">
        <v>44439</v>
      </c>
      <c r="B15194" t="s">
        <v>406</v>
      </c>
      <c r="C15194" t="s">
        <v>510</v>
      </c>
      <c r="D15194" t="s">
        <v>525</v>
      </c>
      <c r="E15194" t="s">
        <v>526</v>
      </c>
      <c r="F15194" t="s">
        <v>410</v>
      </c>
      <c r="G15194">
        <v>327</v>
      </c>
      <c r="H15194">
        <v>327</v>
      </c>
      <c r="I15194">
        <v>298</v>
      </c>
      <c r="J15194">
        <v>298</v>
      </c>
      <c r="K15194">
        <v>37</v>
      </c>
      <c r="L15194">
        <v>0</v>
      </c>
      <c r="M15194">
        <v>268</v>
      </c>
      <c r="N15194">
        <v>14</v>
      </c>
      <c r="O15194">
        <v>8</v>
      </c>
      <c r="P15194">
        <v>6</v>
      </c>
      <c r="Q15194">
        <v>2</v>
      </c>
    </row>
    <row r="15195" spans="1:17" x14ac:dyDescent="0.2">
      <c r="A15195" s="121">
        <v>44439</v>
      </c>
      <c r="B15195" t="s">
        <v>406</v>
      </c>
      <c r="C15195" t="s">
        <v>510</v>
      </c>
      <c r="D15195" t="s">
        <v>527</v>
      </c>
      <c r="E15195" t="s">
        <v>528</v>
      </c>
      <c r="F15195" t="s">
        <v>410</v>
      </c>
      <c r="G15195">
        <v>12</v>
      </c>
      <c r="I15195">
        <v>12</v>
      </c>
    </row>
    <row r="15196" spans="1:17" x14ac:dyDescent="0.2">
      <c r="A15196" s="121">
        <v>44439</v>
      </c>
      <c r="B15196" t="s">
        <v>406</v>
      </c>
      <c r="C15196" t="s">
        <v>510</v>
      </c>
      <c r="D15196" t="s">
        <v>529</v>
      </c>
      <c r="E15196" t="s">
        <v>530</v>
      </c>
      <c r="F15196" t="s">
        <v>413</v>
      </c>
      <c r="G15196">
        <v>817</v>
      </c>
      <c r="H15196">
        <v>817</v>
      </c>
      <c r="I15196">
        <v>752</v>
      </c>
      <c r="J15196">
        <v>752</v>
      </c>
      <c r="K15196">
        <v>173</v>
      </c>
      <c r="L15196">
        <v>2</v>
      </c>
      <c r="M15196">
        <v>605</v>
      </c>
      <c r="N15196">
        <v>21</v>
      </c>
      <c r="O15196">
        <v>16</v>
      </c>
      <c r="P15196">
        <v>9</v>
      </c>
      <c r="Q15196">
        <v>1</v>
      </c>
    </row>
    <row r="15197" spans="1:17" x14ac:dyDescent="0.2">
      <c r="A15197" s="121">
        <v>44439</v>
      </c>
      <c r="B15197" t="s">
        <v>406</v>
      </c>
      <c r="C15197" t="s">
        <v>510</v>
      </c>
      <c r="D15197" t="s">
        <v>531</v>
      </c>
      <c r="E15197" t="s">
        <v>532</v>
      </c>
      <c r="F15197" t="s">
        <v>410</v>
      </c>
      <c r="G15197">
        <v>27</v>
      </c>
      <c r="I15197">
        <v>27</v>
      </c>
    </row>
    <row r="15198" spans="1:17" x14ac:dyDescent="0.2">
      <c r="A15198" s="121">
        <v>44439</v>
      </c>
      <c r="B15198" t="s">
        <v>406</v>
      </c>
      <c r="C15198" t="s">
        <v>510</v>
      </c>
      <c r="D15198" t="s">
        <v>533</v>
      </c>
      <c r="E15198" t="s">
        <v>534</v>
      </c>
      <c r="F15198" t="s">
        <v>413</v>
      </c>
      <c r="G15198">
        <v>3187</v>
      </c>
      <c r="H15198">
        <v>3187</v>
      </c>
      <c r="I15198">
        <v>2523</v>
      </c>
      <c r="J15198">
        <v>2523</v>
      </c>
      <c r="K15198">
        <v>781</v>
      </c>
      <c r="L15198">
        <v>2</v>
      </c>
      <c r="M15198">
        <v>2200</v>
      </c>
      <c r="N15198">
        <v>15</v>
      </c>
      <c r="O15198">
        <v>189</v>
      </c>
      <c r="P15198">
        <v>91</v>
      </c>
      <c r="Q15198">
        <v>10</v>
      </c>
    </row>
    <row r="15199" spans="1:17" x14ac:dyDescent="0.2">
      <c r="A15199" s="121">
        <v>44439</v>
      </c>
      <c r="B15199" t="s">
        <v>406</v>
      </c>
      <c r="C15199" t="s">
        <v>510</v>
      </c>
      <c r="D15199" t="s">
        <v>535</v>
      </c>
      <c r="E15199" t="s">
        <v>536</v>
      </c>
      <c r="F15199" t="s">
        <v>410</v>
      </c>
      <c r="G15199">
        <v>287</v>
      </c>
      <c r="I15199">
        <v>287</v>
      </c>
    </row>
    <row r="15200" spans="1:17" x14ac:dyDescent="0.2">
      <c r="A15200" s="121">
        <v>44439</v>
      </c>
      <c r="B15200" t="s">
        <v>406</v>
      </c>
      <c r="C15200" t="s">
        <v>510</v>
      </c>
      <c r="D15200" t="s">
        <v>539</v>
      </c>
      <c r="E15200" t="s">
        <v>540</v>
      </c>
      <c r="F15200" t="s">
        <v>413</v>
      </c>
      <c r="G15200">
        <v>982</v>
      </c>
      <c r="H15200">
        <v>982</v>
      </c>
      <c r="I15200">
        <v>876</v>
      </c>
      <c r="J15200">
        <v>876</v>
      </c>
      <c r="K15200">
        <v>105</v>
      </c>
      <c r="L15200">
        <v>2</v>
      </c>
      <c r="M15200">
        <v>801</v>
      </c>
      <c r="N15200">
        <v>44</v>
      </c>
      <c r="O15200">
        <v>30</v>
      </c>
      <c r="P15200">
        <v>16</v>
      </c>
      <c r="Q15200">
        <v>4</v>
      </c>
    </row>
    <row r="15201" spans="1:17" x14ac:dyDescent="0.2">
      <c r="A15201" s="121">
        <v>44439</v>
      </c>
      <c r="B15201" t="s">
        <v>406</v>
      </c>
      <c r="C15201" t="s">
        <v>510</v>
      </c>
      <c r="D15201" t="s">
        <v>541</v>
      </c>
      <c r="E15201" t="s">
        <v>542</v>
      </c>
      <c r="F15201" t="s">
        <v>410</v>
      </c>
      <c r="G15201">
        <v>456</v>
      </c>
      <c r="I15201">
        <v>456</v>
      </c>
    </row>
    <row r="15202" spans="1:17" x14ac:dyDescent="0.2">
      <c r="A15202" s="121">
        <v>44439</v>
      </c>
      <c r="B15202" t="s">
        <v>406</v>
      </c>
      <c r="C15202" t="s">
        <v>510</v>
      </c>
      <c r="D15202" t="s">
        <v>543</v>
      </c>
      <c r="E15202" t="s">
        <v>544</v>
      </c>
      <c r="F15202" t="s">
        <v>410</v>
      </c>
      <c r="G15202">
        <v>57</v>
      </c>
      <c r="I15202">
        <v>57</v>
      </c>
    </row>
    <row r="15203" spans="1:17" x14ac:dyDescent="0.2">
      <c r="A15203" s="121">
        <v>44439</v>
      </c>
      <c r="B15203" t="s">
        <v>406</v>
      </c>
      <c r="C15203" t="s">
        <v>510</v>
      </c>
      <c r="D15203" t="s">
        <v>547</v>
      </c>
      <c r="E15203" t="s">
        <v>548</v>
      </c>
      <c r="F15203" t="s">
        <v>410</v>
      </c>
      <c r="G15203">
        <v>89</v>
      </c>
      <c r="I15203">
        <v>89</v>
      </c>
    </row>
    <row r="15204" spans="1:17" x14ac:dyDescent="0.2">
      <c r="A15204" s="121">
        <v>44439</v>
      </c>
      <c r="B15204" t="s">
        <v>406</v>
      </c>
      <c r="C15204" t="s">
        <v>510</v>
      </c>
      <c r="D15204" t="s">
        <v>616</v>
      </c>
      <c r="E15204" t="s">
        <v>617</v>
      </c>
      <c r="F15204" t="s">
        <v>410</v>
      </c>
      <c r="G15204">
        <v>396</v>
      </c>
      <c r="I15204">
        <v>388</v>
      </c>
    </row>
    <row r="15205" spans="1:17" x14ac:dyDescent="0.2">
      <c r="A15205" s="121">
        <v>44439</v>
      </c>
      <c r="B15205" t="s">
        <v>406</v>
      </c>
      <c r="C15205" t="s">
        <v>510</v>
      </c>
      <c r="D15205" t="s">
        <v>549</v>
      </c>
      <c r="E15205" t="s">
        <v>550</v>
      </c>
      <c r="F15205" t="s">
        <v>410</v>
      </c>
      <c r="G15205">
        <v>74</v>
      </c>
      <c r="I15205">
        <v>74</v>
      </c>
    </row>
    <row r="15206" spans="1:17" x14ac:dyDescent="0.2">
      <c r="A15206" s="121">
        <v>44439</v>
      </c>
      <c r="B15206" t="s">
        <v>406</v>
      </c>
      <c r="C15206" t="s">
        <v>510</v>
      </c>
      <c r="D15206" t="s">
        <v>625</v>
      </c>
      <c r="E15206" t="s">
        <v>626</v>
      </c>
      <c r="F15206" t="s">
        <v>410</v>
      </c>
      <c r="G15206">
        <v>168</v>
      </c>
      <c r="I15206">
        <v>168</v>
      </c>
    </row>
    <row r="15207" spans="1:17" x14ac:dyDescent="0.2">
      <c r="A15207" s="121">
        <v>44439</v>
      </c>
      <c r="B15207" t="s">
        <v>406</v>
      </c>
      <c r="C15207" t="s">
        <v>551</v>
      </c>
      <c r="D15207" t="s">
        <v>552</v>
      </c>
      <c r="E15207" t="s">
        <v>553</v>
      </c>
      <c r="F15207" t="s">
        <v>413</v>
      </c>
      <c r="G15207">
        <v>6121</v>
      </c>
      <c r="H15207">
        <v>6121</v>
      </c>
      <c r="I15207">
        <v>4372</v>
      </c>
      <c r="J15207">
        <v>4372</v>
      </c>
      <c r="K15207">
        <v>1941</v>
      </c>
      <c r="L15207">
        <v>1</v>
      </c>
      <c r="M15207">
        <v>4039</v>
      </c>
      <c r="N15207">
        <v>92</v>
      </c>
      <c r="O15207">
        <v>48</v>
      </c>
      <c r="P15207">
        <v>244</v>
      </c>
      <c r="Q15207">
        <v>43</v>
      </c>
    </row>
    <row r="15208" spans="1:17" x14ac:dyDescent="0.2">
      <c r="A15208" s="121">
        <v>44439</v>
      </c>
      <c r="B15208" t="s">
        <v>406</v>
      </c>
      <c r="C15208" t="s">
        <v>551</v>
      </c>
      <c r="D15208" t="s">
        <v>558</v>
      </c>
      <c r="E15208" t="s">
        <v>559</v>
      </c>
      <c r="F15208" t="s">
        <v>413</v>
      </c>
      <c r="G15208">
        <v>5632</v>
      </c>
      <c r="H15208">
        <v>5632</v>
      </c>
      <c r="I15208">
        <v>3868</v>
      </c>
      <c r="J15208">
        <v>3868</v>
      </c>
      <c r="K15208">
        <v>1444</v>
      </c>
      <c r="L15208">
        <v>4</v>
      </c>
      <c r="M15208">
        <v>4071</v>
      </c>
      <c r="N15208">
        <v>100</v>
      </c>
      <c r="O15208">
        <v>13</v>
      </c>
      <c r="P15208">
        <v>229</v>
      </c>
      <c r="Q15208">
        <v>46</v>
      </c>
    </row>
    <row r="15209" spans="1:17" x14ac:dyDescent="0.2">
      <c r="A15209" s="121">
        <v>44439</v>
      </c>
      <c r="B15209" t="s">
        <v>406</v>
      </c>
      <c r="C15209" t="s">
        <v>551</v>
      </c>
      <c r="D15209" t="s">
        <v>560</v>
      </c>
      <c r="E15209" t="s">
        <v>561</v>
      </c>
      <c r="F15209" t="s">
        <v>413</v>
      </c>
      <c r="G15209">
        <v>6712</v>
      </c>
      <c r="H15209">
        <v>6712</v>
      </c>
      <c r="I15209">
        <v>4233</v>
      </c>
      <c r="J15209">
        <v>4233</v>
      </c>
      <c r="K15209">
        <v>2208</v>
      </c>
      <c r="L15209">
        <v>5</v>
      </c>
      <c r="M15209">
        <v>4386</v>
      </c>
      <c r="N15209">
        <v>49</v>
      </c>
      <c r="O15209">
        <v>64</v>
      </c>
      <c r="P15209">
        <v>591</v>
      </c>
      <c r="Q15209">
        <v>84</v>
      </c>
    </row>
    <row r="15210" spans="1:17" x14ac:dyDescent="0.2">
      <c r="A15210" s="121">
        <v>44439</v>
      </c>
      <c r="B15210" t="s">
        <v>406</v>
      </c>
      <c r="C15210" t="s">
        <v>562</v>
      </c>
      <c r="D15210" t="s">
        <v>605</v>
      </c>
      <c r="E15210" t="s">
        <v>606</v>
      </c>
      <c r="F15210" t="s">
        <v>410</v>
      </c>
      <c r="G15210">
        <v>104</v>
      </c>
      <c r="H15210">
        <v>1</v>
      </c>
      <c r="I15210">
        <v>104</v>
      </c>
      <c r="J15210">
        <v>1</v>
      </c>
      <c r="K15210">
        <v>0</v>
      </c>
      <c r="L15210">
        <v>0</v>
      </c>
      <c r="M15210">
        <v>1</v>
      </c>
      <c r="N15210">
        <v>0</v>
      </c>
      <c r="O15210">
        <v>0</v>
      </c>
      <c r="P15210">
        <v>0</v>
      </c>
      <c r="Q15210">
        <v>0</v>
      </c>
    </row>
    <row r="15211" spans="1:17" x14ac:dyDescent="0.2">
      <c r="A15211" s="121">
        <v>44439</v>
      </c>
      <c r="B15211" t="s">
        <v>406</v>
      </c>
      <c r="C15211" t="s">
        <v>562</v>
      </c>
      <c r="D15211" t="s">
        <v>563</v>
      </c>
      <c r="E15211" t="s">
        <v>564</v>
      </c>
      <c r="F15211" t="s">
        <v>410</v>
      </c>
      <c r="G15211">
        <v>3312</v>
      </c>
      <c r="H15211">
        <v>3312</v>
      </c>
      <c r="I15211">
        <v>2325</v>
      </c>
      <c r="J15211">
        <v>2325</v>
      </c>
      <c r="K15211">
        <v>1177</v>
      </c>
      <c r="L15211">
        <v>0</v>
      </c>
      <c r="M15211">
        <v>2112</v>
      </c>
      <c r="N15211">
        <v>7</v>
      </c>
      <c r="O15211">
        <v>16</v>
      </c>
      <c r="P15211">
        <v>166</v>
      </c>
      <c r="Q15211">
        <v>61</v>
      </c>
    </row>
    <row r="15212" spans="1:17" x14ac:dyDescent="0.2">
      <c r="A15212" s="121">
        <v>44439</v>
      </c>
      <c r="B15212" t="s">
        <v>406</v>
      </c>
      <c r="C15212" t="s">
        <v>562</v>
      </c>
      <c r="D15212" t="s">
        <v>565</v>
      </c>
      <c r="E15212" t="s">
        <v>566</v>
      </c>
      <c r="F15212" t="s">
        <v>413</v>
      </c>
      <c r="G15212">
        <v>5194</v>
      </c>
      <c r="H15212">
        <v>5194</v>
      </c>
      <c r="I15212">
        <v>3997</v>
      </c>
      <c r="J15212">
        <v>3997</v>
      </c>
      <c r="K15212">
        <v>929</v>
      </c>
      <c r="L15212">
        <v>4</v>
      </c>
      <c r="M15212">
        <v>3701</v>
      </c>
      <c r="N15212">
        <v>90</v>
      </c>
      <c r="O15212">
        <v>470</v>
      </c>
      <c r="P15212">
        <v>228</v>
      </c>
      <c r="Q15212">
        <v>78</v>
      </c>
    </row>
    <row r="15213" spans="1:17" x14ac:dyDescent="0.2">
      <c r="A15213" s="121">
        <v>44439</v>
      </c>
      <c r="B15213" t="s">
        <v>406</v>
      </c>
      <c r="C15213" t="s">
        <v>562</v>
      </c>
      <c r="D15213" t="s">
        <v>567</v>
      </c>
      <c r="E15213" t="s">
        <v>568</v>
      </c>
      <c r="F15213" t="s">
        <v>413</v>
      </c>
      <c r="G15213">
        <v>10786</v>
      </c>
      <c r="H15213">
        <v>10786</v>
      </c>
      <c r="I15213">
        <v>6557</v>
      </c>
      <c r="J15213">
        <v>6557</v>
      </c>
      <c r="K15213">
        <v>3307</v>
      </c>
      <c r="L15213">
        <v>3</v>
      </c>
      <c r="M15213">
        <v>7269</v>
      </c>
      <c r="N15213">
        <v>130</v>
      </c>
      <c r="O15213">
        <v>77</v>
      </c>
      <c r="P15213">
        <v>1073</v>
      </c>
      <c r="Q15213">
        <v>351</v>
      </c>
    </row>
    <row r="15214" spans="1:17" x14ac:dyDescent="0.2">
      <c r="A15214" s="121">
        <v>44439</v>
      </c>
      <c r="B15214" t="s">
        <v>406</v>
      </c>
      <c r="C15214" t="s">
        <v>562</v>
      </c>
      <c r="D15214" t="s">
        <v>569</v>
      </c>
      <c r="E15214" t="s">
        <v>570</v>
      </c>
      <c r="F15214" t="s">
        <v>413</v>
      </c>
      <c r="G15214">
        <v>4850</v>
      </c>
      <c r="H15214">
        <v>4850</v>
      </c>
      <c r="I15214">
        <v>4636</v>
      </c>
      <c r="J15214">
        <v>4636</v>
      </c>
      <c r="K15214">
        <v>587</v>
      </c>
      <c r="L15214">
        <v>0</v>
      </c>
      <c r="M15214">
        <v>4207</v>
      </c>
      <c r="N15214">
        <v>1</v>
      </c>
      <c r="O15214">
        <v>55</v>
      </c>
      <c r="P15214">
        <v>4</v>
      </c>
      <c r="Q15214">
        <v>2</v>
      </c>
    </row>
    <row r="15215" spans="1:17" x14ac:dyDescent="0.2">
      <c r="A15215" s="121">
        <v>44439</v>
      </c>
      <c r="B15215" t="s">
        <v>406</v>
      </c>
      <c r="C15215" t="s">
        <v>571</v>
      </c>
      <c r="D15215" t="s">
        <v>572</v>
      </c>
      <c r="E15215" t="s">
        <v>627</v>
      </c>
      <c r="F15215" t="s">
        <v>413</v>
      </c>
      <c r="G15215">
        <v>562</v>
      </c>
      <c r="H15215">
        <v>562</v>
      </c>
      <c r="I15215">
        <v>544</v>
      </c>
      <c r="J15215">
        <v>544</v>
      </c>
      <c r="K15215">
        <v>126</v>
      </c>
      <c r="L15215">
        <v>3</v>
      </c>
      <c r="M15215">
        <v>425</v>
      </c>
      <c r="N15215">
        <v>1</v>
      </c>
      <c r="O15215">
        <v>7</v>
      </c>
      <c r="P15215">
        <v>0</v>
      </c>
      <c r="Q15215">
        <v>0</v>
      </c>
    </row>
    <row r="15216" spans="1:17" x14ac:dyDescent="0.2">
      <c r="A15216" s="121">
        <v>44439</v>
      </c>
      <c r="B15216" t="s">
        <v>406</v>
      </c>
      <c r="C15216" t="s">
        <v>574</v>
      </c>
      <c r="D15216" t="s">
        <v>575</v>
      </c>
      <c r="E15216" t="s">
        <v>576</v>
      </c>
      <c r="F15216" t="s">
        <v>413</v>
      </c>
      <c r="G15216">
        <v>602</v>
      </c>
      <c r="H15216">
        <v>602</v>
      </c>
      <c r="I15216">
        <v>587</v>
      </c>
      <c r="J15216">
        <v>587</v>
      </c>
      <c r="K15216">
        <v>161</v>
      </c>
      <c r="L15216">
        <v>0</v>
      </c>
      <c r="M15216">
        <v>435</v>
      </c>
      <c r="N15216">
        <v>4</v>
      </c>
      <c r="O15216">
        <v>2</v>
      </c>
      <c r="P15216">
        <v>0</v>
      </c>
      <c r="Q15216">
        <v>0</v>
      </c>
    </row>
    <row r="15217" spans="1:17" x14ac:dyDescent="0.2">
      <c r="A15217" s="121">
        <v>44439</v>
      </c>
      <c r="B15217" t="s">
        <v>406</v>
      </c>
      <c r="C15217" t="s">
        <v>577</v>
      </c>
      <c r="D15217" t="s">
        <v>578</v>
      </c>
      <c r="E15217" t="s">
        <v>579</v>
      </c>
      <c r="F15217" t="s">
        <v>413</v>
      </c>
      <c r="G15217">
        <v>4864</v>
      </c>
      <c r="H15217">
        <v>4864</v>
      </c>
      <c r="I15217">
        <v>4408</v>
      </c>
      <c r="J15217">
        <v>4408</v>
      </c>
      <c r="K15217">
        <v>1576</v>
      </c>
      <c r="L15217">
        <v>5</v>
      </c>
      <c r="M15217">
        <v>3024</v>
      </c>
      <c r="N15217">
        <v>181</v>
      </c>
      <c r="O15217">
        <v>78</v>
      </c>
      <c r="P15217">
        <v>5</v>
      </c>
      <c r="Q15217">
        <v>1</v>
      </c>
    </row>
    <row r="15218" spans="1:17" x14ac:dyDescent="0.2">
      <c r="A15218" s="121">
        <v>44439</v>
      </c>
      <c r="B15218" t="s">
        <v>406</v>
      </c>
      <c r="C15218" t="s">
        <v>577</v>
      </c>
      <c r="D15218" t="s">
        <v>580</v>
      </c>
      <c r="E15218" t="s">
        <v>581</v>
      </c>
      <c r="F15218" t="s">
        <v>413</v>
      </c>
      <c r="G15218">
        <v>1954</v>
      </c>
      <c r="H15218">
        <v>1954</v>
      </c>
      <c r="I15218">
        <v>1785</v>
      </c>
      <c r="J15218">
        <v>1785</v>
      </c>
      <c r="K15218">
        <v>234</v>
      </c>
      <c r="L15218">
        <v>2</v>
      </c>
      <c r="M15218">
        <v>1506</v>
      </c>
      <c r="N15218">
        <v>192</v>
      </c>
      <c r="O15218">
        <v>20</v>
      </c>
      <c r="P15218">
        <v>10</v>
      </c>
      <c r="Q15218">
        <v>2</v>
      </c>
    </row>
    <row r="15219" spans="1:17" x14ac:dyDescent="0.2">
      <c r="A15219" s="121">
        <v>44439</v>
      </c>
      <c r="B15219" t="s">
        <v>406</v>
      </c>
      <c r="C15219" t="s">
        <v>577</v>
      </c>
      <c r="D15219" t="s">
        <v>586</v>
      </c>
      <c r="E15219" t="s">
        <v>587</v>
      </c>
      <c r="F15219" t="s">
        <v>410</v>
      </c>
      <c r="G15219">
        <v>723</v>
      </c>
      <c r="H15219">
        <v>723</v>
      </c>
      <c r="I15219">
        <v>723</v>
      </c>
      <c r="J15219">
        <v>723</v>
      </c>
      <c r="K15219">
        <v>0</v>
      </c>
      <c r="L15219">
        <v>1</v>
      </c>
      <c r="M15219">
        <v>687</v>
      </c>
      <c r="N15219">
        <v>34</v>
      </c>
      <c r="O15219">
        <v>1</v>
      </c>
      <c r="P15219">
        <v>0</v>
      </c>
      <c r="Q15219">
        <v>0</v>
      </c>
    </row>
    <row r="15220" spans="1:17" x14ac:dyDescent="0.2">
      <c r="A15220" s="121">
        <v>44439</v>
      </c>
      <c r="B15220" t="s">
        <v>406</v>
      </c>
      <c r="C15220" t="s">
        <v>577</v>
      </c>
      <c r="D15220" t="s">
        <v>590</v>
      </c>
      <c r="E15220" t="s">
        <v>591</v>
      </c>
      <c r="F15220" t="s">
        <v>410</v>
      </c>
      <c r="G15220">
        <v>342</v>
      </c>
      <c r="H15220">
        <v>342</v>
      </c>
      <c r="I15220">
        <v>342</v>
      </c>
      <c r="J15220">
        <v>342</v>
      </c>
      <c r="K15220">
        <v>0</v>
      </c>
      <c r="L15220">
        <v>0</v>
      </c>
      <c r="M15220">
        <v>324</v>
      </c>
      <c r="N15220">
        <v>18</v>
      </c>
      <c r="O15220">
        <v>0</v>
      </c>
      <c r="P15220">
        <v>0</v>
      </c>
      <c r="Q15220">
        <v>0</v>
      </c>
    </row>
    <row r="15221" spans="1:17" x14ac:dyDescent="0.2">
      <c r="A15221" s="121">
        <v>44439</v>
      </c>
      <c r="B15221" t="s">
        <v>406</v>
      </c>
      <c r="C15221" t="s">
        <v>594</v>
      </c>
      <c r="D15221" t="s">
        <v>595</v>
      </c>
      <c r="E15221" t="s">
        <v>596</v>
      </c>
      <c r="F15221" t="s">
        <v>410</v>
      </c>
      <c r="G15221">
        <v>48</v>
      </c>
      <c r="I15221">
        <v>48</v>
      </c>
    </row>
    <row r="15222" spans="1:17" x14ac:dyDescent="0.2">
      <c r="A15222" s="121">
        <v>44439</v>
      </c>
      <c r="B15222" t="s">
        <v>406</v>
      </c>
      <c r="C15222" t="s">
        <v>594</v>
      </c>
      <c r="D15222" t="s">
        <v>597</v>
      </c>
      <c r="E15222" t="s">
        <v>598</v>
      </c>
      <c r="F15222" t="s">
        <v>413</v>
      </c>
      <c r="G15222">
        <v>479</v>
      </c>
      <c r="H15222">
        <v>479</v>
      </c>
      <c r="I15222">
        <v>465</v>
      </c>
      <c r="J15222">
        <v>465</v>
      </c>
      <c r="K15222">
        <v>150</v>
      </c>
      <c r="L15222">
        <v>0</v>
      </c>
      <c r="M15222">
        <v>315</v>
      </c>
      <c r="N15222">
        <v>5</v>
      </c>
      <c r="O15222">
        <v>9</v>
      </c>
      <c r="P15222">
        <v>1</v>
      </c>
      <c r="Q15222">
        <v>0</v>
      </c>
    </row>
    <row r="15223" spans="1:17" x14ac:dyDescent="0.2">
      <c r="A15223" s="121">
        <v>44439</v>
      </c>
      <c r="B15223" t="s">
        <v>406</v>
      </c>
      <c r="C15223" t="s">
        <v>594</v>
      </c>
      <c r="D15223" t="s">
        <v>599</v>
      </c>
      <c r="E15223" t="s">
        <v>600</v>
      </c>
      <c r="F15223" t="s">
        <v>410</v>
      </c>
      <c r="G15223">
        <v>118</v>
      </c>
      <c r="H15223">
        <v>118</v>
      </c>
      <c r="I15223">
        <v>116</v>
      </c>
      <c r="J15223">
        <v>116</v>
      </c>
      <c r="K15223">
        <v>11</v>
      </c>
      <c r="L15223">
        <v>0</v>
      </c>
      <c r="M15223">
        <v>107</v>
      </c>
      <c r="N15223">
        <v>0</v>
      </c>
      <c r="O15223">
        <v>0</v>
      </c>
      <c r="P15223">
        <v>1</v>
      </c>
      <c r="Q15223">
        <v>0</v>
      </c>
    </row>
    <row r="15224" spans="1:17" x14ac:dyDescent="0.2">
      <c r="A15224" s="121">
        <v>44469</v>
      </c>
      <c r="B15224" t="s">
        <v>406</v>
      </c>
      <c r="C15224" t="s">
        <v>407</v>
      </c>
      <c r="D15224" t="s">
        <v>408</v>
      </c>
      <c r="E15224" t="s">
        <v>409</v>
      </c>
      <c r="F15224" t="s">
        <v>410</v>
      </c>
      <c r="G15224">
        <v>243</v>
      </c>
      <c r="I15224">
        <v>238</v>
      </c>
    </row>
    <row r="15225" spans="1:17" x14ac:dyDescent="0.2">
      <c r="A15225" s="121">
        <v>44469</v>
      </c>
      <c r="B15225" t="s">
        <v>406</v>
      </c>
      <c r="C15225" t="s">
        <v>407</v>
      </c>
      <c r="D15225" t="s">
        <v>601</v>
      </c>
      <c r="E15225" t="s">
        <v>602</v>
      </c>
      <c r="F15225" t="s">
        <v>410</v>
      </c>
      <c r="G15225">
        <v>81</v>
      </c>
      <c r="I15225">
        <v>80</v>
      </c>
    </row>
    <row r="15226" spans="1:17" x14ac:dyDescent="0.2">
      <c r="A15226" s="121">
        <v>44469</v>
      </c>
      <c r="B15226" t="s">
        <v>406</v>
      </c>
      <c r="C15226" t="s">
        <v>407</v>
      </c>
      <c r="D15226" t="s">
        <v>411</v>
      </c>
      <c r="E15226" t="s">
        <v>412</v>
      </c>
      <c r="F15226" t="s">
        <v>413</v>
      </c>
      <c r="G15226">
        <v>5269</v>
      </c>
      <c r="H15226">
        <v>5269</v>
      </c>
      <c r="I15226">
        <v>3998</v>
      </c>
      <c r="J15226">
        <v>3998</v>
      </c>
      <c r="K15226">
        <v>1677</v>
      </c>
      <c r="L15226">
        <v>3</v>
      </c>
      <c r="M15226">
        <v>3208</v>
      </c>
      <c r="N15226">
        <v>44</v>
      </c>
      <c r="O15226">
        <v>337</v>
      </c>
      <c r="P15226">
        <v>604</v>
      </c>
      <c r="Q15226">
        <v>351</v>
      </c>
    </row>
    <row r="15227" spans="1:17" x14ac:dyDescent="0.2">
      <c r="A15227" s="121">
        <v>44469</v>
      </c>
      <c r="B15227" t="s">
        <v>406</v>
      </c>
      <c r="C15227" t="s">
        <v>407</v>
      </c>
      <c r="D15227" t="s">
        <v>416</v>
      </c>
      <c r="E15227" t="s">
        <v>417</v>
      </c>
      <c r="F15227" t="s">
        <v>413</v>
      </c>
      <c r="G15227">
        <v>2493</v>
      </c>
      <c r="H15227">
        <v>2493</v>
      </c>
      <c r="I15227">
        <v>1864</v>
      </c>
      <c r="J15227">
        <v>1864</v>
      </c>
      <c r="K15227">
        <v>734</v>
      </c>
      <c r="L15227">
        <v>3</v>
      </c>
      <c r="M15227">
        <v>1622</v>
      </c>
      <c r="N15227">
        <v>94</v>
      </c>
      <c r="O15227">
        <v>40</v>
      </c>
      <c r="P15227">
        <v>265</v>
      </c>
      <c r="Q15227">
        <v>119</v>
      </c>
    </row>
    <row r="15228" spans="1:17" x14ac:dyDescent="0.2">
      <c r="A15228" s="121">
        <v>44469</v>
      </c>
      <c r="B15228" t="s">
        <v>406</v>
      </c>
      <c r="C15228" t="s">
        <v>407</v>
      </c>
      <c r="D15228" t="s">
        <v>618</v>
      </c>
      <c r="E15228" t="s">
        <v>619</v>
      </c>
      <c r="F15228" t="s">
        <v>410</v>
      </c>
      <c r="G15228">
        <v>47</v>
      </c>
      <c r="I15228">
        <v>47</v>
      </c>
    </row>
    <row r="15229" spans="1:17" x14ac:dyDescent="0.2">
      <c r="A15229" s="121">
        <v>44469</v>
      </c>
      <c r="B15229" t="s">
        <v>406</v>
      </c>
      <c r="C15229" t="s">
        <v>418</v>
      </c>
      <c r="D15229" t="s">
        <v>421</v>
      </c>
      <c r="E15229" t="s">
        <v>422</v>
      </c>
      <c r="F15229" t="s">
        <v>410</v>
      </c>
      <c r="G15229">
        <v>2</v>
      </c>
      <c r="I15229">
        <v>2</v>
      </c>
    </row>
    <row r="15230" spans="1:17" x14ac:dyDescent="0.2">
      <c r="A15230" s="121">
        <v>44469</v>
      </c>
      <c r="B15230" t="s">
        <v>406</v>
      </c>
      <c r="C15230" t="s">
        <v>418</v>
      </c>
      <c r="D15230" t="s">
        <v>425</v>
      </c>
      <c r="E15230" t="s">
        <v>426</v>
      </c>
      <c r="F15230" t="s">
        <v>410</v>
      </c>
      <c r="G15230">
        <v>28</v>
      </c>
      <c r="I15230">
        <v>28</v>
      </c>
    </row>
    <row r="15231" spans="1:17" x14ac:dyDescent="0.2">
      <c r="A15231" s="121">
        <v>44469</v>
      </c>
      <c r="B15231" t="s">
        <v>406</v>
      </c>
      <c r="C15231" t="s">
        <v>418</v>
      </c>
      <c r="D15231" t="s">
        <v>427</v>
      </c>
      <c r="E15231" t="s">
        <v>428</v>
      </c>
      <c r="F15231" t="s">
        <v>413</v>
      </c>
      <c r="G15231">
        <v>2383</v>
      </c>
      <c r="H15231">
        <v>2383</v>
      </c>
      <c r="I15231">
        <v>1801</v>
      </c>
      <c r="J15231">
        <v>1801</v>
      </c>
      <c r="K15231">
        <v>679</v>
      </c>
      <c r="L15231">
        <v>4</v>
      </c>
      <c r="M15231">
        <v>1605</v>
      </c>
      <c r="N15231">
        <v>84</v>
      </c>
      <c r="O15231">
        <v>11</v>
      </c>
      <c r="P15231">
        <v>191</v>
      </c>
      <c r="Q15231">
        <v>105</v>
      </c>
    </row>
    <row r="15232" spans="1:17" x14ac:dyDescent="0.2">
      <c r="A15232" s="121">
        <v>44469</v>
      </c>
      <c r="B15232" t="s">
        <v>406</v>
      </c>
      <c r="C15232" t="s">
        <v>429</v>
      </c>
      <c r="D15232" t="s">
        <v>438</v>
      </c>
      <c r="E15232" t="s">
        <v>439</v>
      </c>
      <c r="F15232" t="s">
        <v>413</v>
      </c>
      <c r="G15232">
        <v>1064</v>
      </c>
      <c r="H15232">
        <v>1064</v>
      </c>
      <c r="I15232">
        <v>951</v>
      </c>
      <c r="J15232">
        <v>951</v>
      </c>
      <c r="K15232">
        <v>65</v>
      </c>
      <c r="L15232">
        <v>1</v>
      </c>
      <c r="M15232">
        <v>885</v>
      </c>
      <c r="N15232">
        <v>63</v>
      </c>
      <c r="O15232">
        <v>50</v>
      </c>
      <c r="P15232">
        <v>25</v>
      </c>
      <c r="Q15232">
        <v>3</v>
      </c>
    </row>
    <row r="15233" spans="1:17" x14ac:dyDescent="0.2">
      <c r="A15233" s="121">
        <v>44469</v>
      </c>
      <c r="B15233" t="s">
        <v>406</v>
      </c>
      <c r="C15233" t="s">
        <v>429</v>
      </c>
      <c r="D15233" t="s">
        <v>440</v>
      </c>
      <c r="E15233" t="s">
        <v>441</v>
      </c>
      <c r="F15233" t="s">
        <v>413</v>
      </c>
      <c r="G15233">
        <v>2727</v>
      </c>
      <c r="H15233">
        <v>2727</v>
      </c>
      <c r="I15233">
        <v>2200</v>
      </c>
      <c r="J15233">
        <v>2200</v>
      </c>
      <c r="K15233">
        <v>781</v>
      </c>
      <c r="L15233">
        <v>3</v>
      </c>
      <c r="M15233">
        <v>1876</v>
      </c>
      <c r="N15233">
        <v>24</v>
      </c>
      <c r="O15233">
        <v>43</v>
      </c>
      <c r="P15233">
        <v>48</v>
      </c>
      <c r="Q15233">
        <v>2</v>
      </c>
    </row>
    <row r="15234" spans="1:17" x14ac:dyDescent="0.2">
      <c r="A15234" s="121">
        <v>44469</v>
      </c>
      <c r="B15234" t="s">
        <v>406</v>
      </c>
      <c r="C15234" t="s">
        <v>442</v>
      </c>
      <c r="D15234" t="s">
        <v>443</v>
      </c>
      <c r="E15234" t="s">
        <v>444</v>
      </c>
      <c r="F15234" t="s">
        <v>413</v>
      </c>
      <c r="G15234">
        <v>5217</v>
      </c>
      <c r="H15234">
        <v>5217</v>
      </c>
      <c r="I15234">
        <v>3856</v>
      </c>
      <c r="J15234">
        <v>3856</v>
      </c>
      <c r="K15234">
        <v>1522</v>
      </c>
      <c r="L15234">
        <v>11</v>
      </c>
      <c r="M15234">
        <v>3449</v>
      </c>
      <c r="N15234">
        <v>65</v>
      </c>
      <c r="O15234">
        <v>170</v>
      </c>
      <c r="P15234">
        <v>250</v>
      </c>
      <c r="Q15234">
        <v>50</v>
      </c>
    </row>
    <row r="15235" spans="1:17" x14ac:dyDescent="0.2">
      <c r="A15235" s="121">
        <v>44469</v>
      </c>
      <c r="B15235" t="s">
        <v>406</v>
      </c>
      <c r="C15235" t="s">
        <v>442</v>
      </c>
      <c r="D15235" t="s">
        <v>445</v>
      </c>
      <c r="E15235" t="s">
        <v>446</v>
      </c>
      <c r="F15235" t="s">
        <v>410</v>
      </c>
      <c r="G15235">
        <v>198</v>
      </c>
      <c r="H15235">
        <v>198</v>
      </c>
      <c r="I15235">
        <v>196</v>
      </c>
      <c r="J15235">
        <v>196</v>
      </c>
      <c r="K15235">
        <v>4</v>
      </c>
      <c r="L15235">
        <v>0</v>
      </c>
      <c r="M15235">
        <v>188</v>
      </c>
      <c r="N15235">
        <v>1</v>
      </c>
      <c r="O15235">
        <v>5</v>
      </c>
      <c r="P15235">
        <v>0</v>
      </c>
      <c r="Q15235">
        <v>0</v>
      </c>
    </row>
    <row r="15236" spans="1:17" x14ac:dyDescent="0.2">
      <c r="A15236" s="121">
        <v>44469</v>
      </c>
      <c r="B15236" t="s">
        <v>406</v>
      </c>
      <c r="C15236" t="s">
        <v>442</v>
      </c>
      <c r="D15236" t="s">
        <v>447</v>
      </c>
      <c r="E15236" t="s">
        <v>448</v>
      </c>
      <c r="F15236" t="s">
        <v>410</v>
      </c>
      <c r="G15236">
        <v>274</v>
      </c>
      <c r="H15236">
        <v>274</v>
      </c>
      <c r="I15236">
        <v>274</v>
      </c>
      <c r="J15236">
        <v>274</v>
      </c>
      <c r="K15236">
        <v>1</v>
      </c>
      <c r="L15236">
        <v>0</v>
      </c>
      <c r="M15236">
        <v>268</v>
      </c>
      <c r="N15236">
        <v>4</v>
      </c>
      <c r="O15236">
        <v>1</v>
      </c>
      <c r="P15236">
        <v>0</v>
      </c>
      <c r="Q15236">
        <v>0</v>
      </c>
    </row>
    <row r="15237" spans="1:17" x14ac:dyDescent="0.2">
      <c r="A15237" s="121">
        <v>44469</v>
      </c>
      <c r="B15237" t="s">
        <v>406</v>
      </c>
      <c r="C15237" t="s">
        <v>442</v>
      </c>
      <c r="D15237" t="s">
        <v>449</v>
      </c>
      <c r="E15237" t="s">
        <v>624</v>
      </c>
      <c r="F15237" t="s">
        <v>410</v>
      </c>
      <c r="G15237">
        <v>1177</v>
      </c>
      <c r="H15237">
        <v>1177</v>
      </c>
      <c r="I15237">
        <v>1176</v>
      </c>
      <c r="J15237">
        <v>1176</v>
      </c>
      <c r="K15237">
        <v>4</v>
      </c>
      <c r="L15237">
        <v>0</v>
      </c>
      <c r="M15237">
        <v>1080</v>
      </c>
      <c r="N15237">
        <v>86</v>
      </c>
      <c r="O15237">
        <v>7</v>
      </c>
      <c r="P15237">
        <v>0</v>
      </c>
      <c r="Q15237">
        <v>0</v>
      </c>
    </row>
    <row r="15238" spans="1:17" x14ac:dyDescent="0.2">
      <c r="A15238" s="121">
        <v>44469</v>
      </c>
      <c r="B15238" t="s">
        <v>406</v>
      </c>
      <c r="C15238" t="s">
        <v>451</v>
      </c>
      <c r="D15238" t="s">
        <v>454</v>
      </c>
      <c r="E15238" t="s">
        <v>621</v>
      </c>
      <c r="F15238" t="s">
        <v>410</v>
      </c>
      <c r="G15238">
        <v>2237</v>
      </c>
      <c r="H15238">
        <v>2237</v>
      </c>
      <c r="I15238">
        <v>2229</v>
      </c>
      <c r="J15238">
        <v>2229</v>
      </c>
      <c r="K15238">
        <v>3</v>
      </c>
      <c r="L15238">
        <v>0</v>
      </c>
      <c r="M15238">
        <v>2060</v>
      </c>
      <c r="N15238">
        <v>0</v>
      </c>
      <c r="O15238">
        <v>174</v>
      </c>
      <c r="P15238">
        <v>0</v>
      </c>
      <c r="Q15238">
        <v>0</v>
      </c>
    </row>
    <row r="15239" spans="1:17" x14ac:dyDescent="0.2">
      <c r="A15239" s="121">
        <v>44469</v>
      </c>
      <c r="B15239" t="s">
        <v>406</v>
      </c>
      <c r="C15239" t="s">
        <v>451</v>
      </c>
      <c r="D15239" t="s">
        <v>622</v>
      </c>
      <c r="E15239" t="s">
        <v>623</v>
      </c>
      <c r="F15239" t="s">
        <v>413</v>
      </c>
      <c r="G15239">
        <v>5363</v>
      </c>
      <c r="H15239">
        <v>5363</v>
      </c>
      <c r="I15239">
        <v>3040</v>
      </c>
      <c r="J15239">
        <v>3040</v>
      </c>
      <c r="K15239">
        <v>1547</v>
      </c>
      <c r="L15239">
        <v>6</v>
      </c>
      <c r="M15239">
        <v>3223</v>
      </c>
      <c r="N15239">
        <v>32</v>
      </c>
      <c r="O15239">
        <v>555</v>
      </c>
      <c r="P15239">
        <v>380</v>
      </c>
      <c r="Q15239">
        <v>50</v>
      </c>
    </row>
    <row r="15240" spans="1:17" x14ac:dyDescent="0.2">
      <c r="A15240" s="121">
        <v>44469</v>
      </c>
      <c r="B15240" t="s">
        <v>406</v>
      </c>
      <c r="C15240" t="s">
        <v>456</v>
      </c>
      <c r="D15240" t="s">
        <v>457</v>
      </c>
      <c r="E15240" t="s">
        <v>458</v>
      </c>
      <c r="F15240" t="s">
        <v>413</v>
      </c>
      <c r="G15240">
        <v>4286</v>
      </c>
      <c r="H15240">
        <v>4286</v>
      </c>
      <c r="I15240">
        <v>2991</v>
      </c>
      <c r="J15240">
        <v>2991</v>
      </c>
      <c r="K15240">
        <v>1285</v>
      </c>
      <c r="L15240">
        <v>4</v>
      </c>
      <c r="M15240">
        <v>2769</v>
      </c>
      <c r="N15240">
        <v>15</v>
      </c>
      <c r="O15240">
        <v>213</v>
      </c>
      <c r="P15240">
        <v>101</v>
      </c>
      <c r="Q15240">
        <v>9</v>
      </c>
    </row>
    <row r="15241" spans="1:17" x14ac:dyDescent="0.2">
      <c r="A15241" s="121">
        <v>44469</v>
      </c>
      <c r="B15241" t="s">
        <v>406</v>
      </c>
      <c r="C15241" t="s">
        <v>456</v>
      </c>
      <c r="D15241" t="s">
        <v>459</v>
      </c>
      <c r="E15241" t="s">
        <v>460</v>
      </c>
      <c r="F15241" t="s">
        <v>413</v>
      </c>
      <c r="G15241">
        <v>1548</v>
      </c>
      <c r="H15241">
        <v>1548</v>
      </c>
      <c r="I15241">
        <v>1440</v>
      </c>
      <c r="J15241">
        <v>1440</v>
      </c>
      <c r="K15241">
        <v>177</v>
      </c>
      <c r="L15241">
        <v>1</v>
      </c>
      <c r="M15241">
        <v>1344</v>
      </c>
      <c r="N15241">
        <v>0</v>
      </c>
      <c r="O15241">
        <v>26</v>
      </c>
      <c r="P15241">
        <v>8</v>
      </c>
      <c r="Q15241">
        <v>0</v>
      </c>
    </row>
    <row r="15242" spans="1:17" x14ac:dyDescent="0.2">
      <c r="A15242" s="121">
        <v>44469</v>
      </c>
      <c r="B15242" t="s">
        <v>406</v>
      </c>
      <c r="C15242" t="s">
        <v>456</v>
      </c>
      <c r="D15242" t="s">
        <v>467</v>
      </c>
      <c r="E15242" t="s">
        <v>468</v>
      </c>
      <c r="F15242" t="s">
        <v>410</v>
      </c>
      <c r="G15242">
        <v>306</v>
      </c>
      <c r="I15242">
        <v>304</v>
      </c>
    </row>
    <row r="15243" spans="1:17" x14ac:dyDescent="0.2">
      <c r="A15243" s="121">
        <v>44469</v>
      </c>
      <c r="B15243" t="s">
        <v>406</v>
      </c>
      <c r="C15243" t="s">
        <v>456</v>
      </c>
      <c r="D15243" t="s">
        <v>469</v>
      </c>
      <c r="E15243" t="s">
        <v>470</v>
      </c>
      <c r="F15243" t="s">
        <v>410</v>
      </c>
      <c r="G15243">
        <v>431</v>
      </c>
      <c r="I15243">
        <v>429</v>
      </c>
    </row>
    <row r="15244" spans="1:17" x14ac:dyDescent="0.2">
      <c r="A15244" s="121">
        <v>44469</v>
      </c>
      <c r="B15244" t="s">
        <v>406</v>
      </c>
      <c r="C15244" t="s">
        <v>456</v>
      </c>
      <c r="D15244" t="s">
        <v>471</v>
      </c>
      <c r="E15244" t="s">
        <v>472</v>
      </c>
      <c r="F15244" t="s">
        <v>410</v>
      </c>
      <c r="G15244">
        <v>289</v>
      </c>
      <c r="I15244">
        <v>288</v>
      </c>
    </row>
    <row r="15245" spans="1:17" x14ac:dyDescent="0.2">
      <c r="A15245" s="121">
        <v>44469</v>
      </c>
      <c r="B15245" t="s">
        <v>406</v>
      </c>
      <c r="C15245" t="s">
        <v>456</v>
      </c>
      <c r="D15245" t="s">
        <v>477</v>
      </c>
      <c r="E15245" t="s">
        <v>478</v>
      </c>
      <c r="F15245" t="s">
        <v>413</v>
      </c>
      <c r="G15245">
        <v>2276</v>
      </c>
      <c r="H15245">
        <v>2276</v>
      </c>
      <c r="I15245">
        <v>1900</v>
      </c>
      <c r="J15245">
        <v>1900</v>
      </c>
      <c r="K15245">
        <v>535</v>
      </c>
      <c r="L15245">
        <v>2</v>
      </c>
      <c r="M15245">
        <v>1708</v>
      </c>
      <c r="N15245">
        <v>18</v>
      </c>
      <c r="O15245">
        <v>13</v>
      </c>
      <c r="P15245">
        <v>69</v>
      </c>
      <c r="Q15245">
        <v>20</v>
      </c>
    </row>
    <row r="15246" spans="1:17" x14ac:dyDescent="0.2">
      <c r="A15246" s="121">
        <v>44469</v>
      </c>
      <c r="B15246" t="s">
        <v>406</v>
      </c>
      <c r="C15246" t="s">
        <v>491</v>
      </c>
      <c r="D15246" t="s">
        <v>492</v>
      </c>
      <c r="E15246" t="s">
        <v>493</v>
      </c>
      <c r="F15246" t="s">
        <v>410</v>
      </c>
      <c r="G15246">
        <v>1256</v>
      </c>
      <c r="H15246">
        <v>1256</v>
      </c>
      <c r="I15246">
        <v>1170</v>
      </c>
      <c r="J15246">
        <v>1170</v>
      </c>
      <c r="K15246">
        <v>150</v>
      </c>
      <c r="L15246">
        <v>0</v>
      </c>
      <c r="M15246">
        <v>1039</v>
      </c>
      <c r="N15246">
        <v>57</v>
      </c>
      <c r="O15246">
        <v>10</v>
      </c>
      <c r="P15246">
        <v>8</v>
      </c>
      <c r="Q15246">
        <v>1</v>
      </c>
    </row>
    <row r="15247" spans="1:17" x14ac:dyDescent="0.2">
      <c r="A15247" s="121">
        <v>44469</v>
      </c>
      <c r="B15247" t="s">
        <v>406</v>
      </c>
      <c r="C15247" t="s">
        <v>491</v>
      </c>
      <c r="D15247" t="s">
        <v>494</v>
      </c>
      <c r="E15247" t="s">
        <v>495</v>
      </c>
      <c r="F15247" t="s">
        <v>413</v>
      </c>
      <c r="G15247">
        <v>2536</v>
      </c>
      <c r="H15247">
        <v>2536</v>
      </c>
      <c r="I15247">
        <v>1881</v>
      </c>
      <c r="J15247">
        <v>1881</v>
      </c>
      <c r="K15247">
        <v>564</v>
      </c>
      <c r="L15247">
        <v>6</v>
      </c>
      <c r="M15247">
        <v>1838</v>
      </c>
      <c r="N15247">
        <v>67</v>
      </c>
      <c r="O15247">
        <v>61</v>
      </c>
      <c r="P15247">
        <v>96</v>
      </c>
      <c r="Q15247">
        <v>9</v>
      </c>
    </row>
    <row r="15248" spans="1:17" x14ac:dyDescent="0.2">
      <c r="A15248" s="121">
        <v>44469</v>
      </c>
      <c r="B15248" t="s">
        <v>406</v>
      </c>
      <c r="C15248" t="s">
        <v>491</v>
      </c>
      <c r="D15248" t="s">
        <v>496</v>
      </c>
      <c r="E15248" t="s">
        <v>497</v>
      </c>
      <c r="F15248" t="s">
        <v>413</v>
      </c>
      <c r="G15248">
        <v>4988</v>
      </c>
      <c r="H15248">
        <v>4988</v>
      </c>
      <c r="I15248">
        <v>3554</v>
      </c>
      <c r="J15248">
        <v>3554</v>
      </c>
      <c r="K15248">
        <v>1511</v>
      </c>
      <c r="L15248">
        <v>10</v>
      </c>
      <c r="M15248">
        <v>3273</v>
      </c>
      <c r="N15248">
        <v>64</v>
      </c>
      <c r="O15248">
        <v>130</v>
      </c>
      <c r="P15248">
        <v>347</v>
      </c>
      <c r="Q15248">
        <v>46</v>
      </c>
    </row>
    <row r="15249" spans="1:17" x14ac:dyDescent="0.2">
      <c r="A15249" s="121">
        <v>44469</v>
      </c>
      <c r="B15249" t="s">
        <v>406</v>
      </c>
      <c r="C15249" t="s">
        <v>491</v>
      </c>
      <c r="D15249" t="s">
        <v>498</v>
      </c>
      <c r="E15249" t="s">
        <v>499</v>
      </c>
      <c r="F15249" t="s">
        <v>413</v>
      </c>
      <c r="G15249">
        <v>7304</v>
      </c>
      <c r="H15249">
        <v>7304</v>
      </c>
      <c r="I15249">
        <v>4992</v>
      </c>
      <c r="J15249">
        <v>4992</v>
      </c>
      <c r="K15249">
        <v>1973</v>
      </c>
      <c r="L15249">
        <v>18</v>
      </c>
      <c r="M15249">
        <v>4774</v>
      </c>
      <c r="N15249">
        <v>117</v>
      </c>
      <c r="O15249">
        <v>422</v>
      </c>
      <c r="P15249">
        <v>450</v>
      </c>
      <c r="Q15249">
        <v>58</v>
      </c>
    </row>
    <row r="15250" spans="1:17" x14ac:dyDescent="0.2">
      <c r="A15250" s="121">
        <v>44469</v>
      </c>
      <c r="B15250" t="s">
        <v>406</v>
      </c>
      <c r="C15250" t="s">
        <v>491</v>
      </c>
      <c r="D15250" t="s">
        <v>500</v>
      </c>
      <c r="E15250" t="s">
        <v>620</v>
      </c>
      <c r="F15250" t="s">
        <v>410</v>
      </c>
      <c r="G15250">
        <v>1940</v>
      </c>
      <c r="H15250">
        <v>1940</v>
      </c>
      <c r="I15250">
        <v>1904</v>
      </c>
      <c r="J15250">
        <v>1904</v>
      </c>
      <c r="K15250">
        <v>0</v>
      </c>
      <c r="L15250">
        <v>0</v>
      </c>
      <c r="M15250">
        <v>1647</v>
      </c>
      <c r="N15250">
        <v>127</v>
      </c>
      <c r="O15250">
        <v>166</v>
      </c>
      <c r="P15250">
        <v>0</v>
      </c>
      <c r="Q15250">
        <v>0</v>
      </c>
    </row>
    <row r="15251" spans="1:17" x14ac:dyDescent="0.2">
      <c r="A15251" s="121">
        <v>44469</v>
      </c>
      <c r="B15251" t="s">
        <v>406</v>
      </c>
      <c r="C15251" t="s">
        <v>491</v>
      </c>
      <c r="D15251" t="s">
        <v>502</v>
      </c>
      <c r="E15251" t="s">
        <v>615</v>
      </c>
      <c r="F15251" t="s">
        <v>410</v>
      </c>
      <c r="G15251">
        <v>2113</v>
      </c>
      <c r="H15251">
        <v>2113</v>
      </c>
      <c r="I15251">
        <v>2112</v>
      </c>
      <c r="J15251">
        <v>2112</v>
      </c>
      <c r="K15251">
        <v>0</v>
      </c>
      <c r="L15251">
        <v>0</v>
      </c>
      <c r="M15251">
        <v>1996</v>
      </c>
      <c r="N15251">
        <v>76</v>
      </c>
      <c r="O15251">
        <v>41</v>
      </c>
      <c r="P15251">
        <v>0</v>
      </c>
      <c r="Q15251">
        <v>0</v>
      </c>
    </row>
    <row r="15252" spans="1:17" x14ac:dyDescent="0.2">
      <c r="A15252" s="121">
        <v>44469</v>
      </c>
      <c r="B15252" t="s">
        <v>406</v>
      </c>
      <c r="C15252" t="s">
        <v>491</v>
      </c>
      <c r="D15252" t="s">
        <v>504</v>
      </c>
      <c r="E15252" t="s">
        <v>630</v>
      </c>
      <c r="F15252" t="s">
        <v>413</v>
      </c>
      <c r="G15252">
        <v>7214</v>
      </c>
      <c r="H15252">
        <v>7214</v>
      </c>
      <c r="I15252">
        <v>4039</v>
      </c>
      <c r="J15252">
        <v>4039</v>
      </c>
      <c r="K15252">
        <v>2417</v>
      </c>
      <c r="L15252">
        <v>19</v>
      </c>
      <c r="M15252">
        <v>4530</v>
      </c>
      <c r="N15252">
        <v>54</v>
      </c>
      <c r="O15252">
        <v>194</v>
      </c>
      <c r="P15252">
        <v>720</v>
      </c>
      <c r="Q15252">
        <v>144</v>
      </c>
    </row>
    <row r="15253" spans="1:17" x14ac:dyDescent="0.2">
      <c r="A15253" s="121">
        <v>44469</v>
      </c>
      <c r="B15253" t="s">
        <v>406</v>
      </c>
      <c r="C15253" t="s">
        <v>491</v>
      </c>
      <c r="D15253" t="s">
        <v>506</v>
      </c>
      <c r="E15253" t="s">
        <v>507</v>
      </c>
      <c r="F15253" t="s">
        <v>413</v>
      </c>
      <c r="G15253">
        <v>6941</v>
      </c>
      <c r="H15253">
        <v>6941</v>
      </c>
      <c r="I15253">
        <v>6357</v>
      </c>
      <c r="J15253">
        <v>6357</v>
      </c>
      <c r="K15253">
        <v>1473</v>
      </c>
      <c r="L15253">
        <v>1</v>
      </c>
      <c r="M15253">
        <v>5417</v>
      </c>
      <c r="N15253">
        <v>0</v>
      </c>
      <c r="O15253">
        <v>50</v>
      </c>
      <c r="P15253">
        <v>3</v>
      </c>
      <c r="Q15253">
        <v>0</v>
      </c>
    </row>
    <row r="15254" spans="1:17" x14ac:dyDescent="0.2">
      <c r="A15254" s="121">
        <v>44469</v>
      </c>
      <c r="B15254" t="s">
        <v>406</v>
      </c>
      <c r="C15254" t="s">
        <v>491</v>
      </c>
      <c r="D15254" t="s">
        <v>508</v>
      </c>
      <c r="E15254" t="s">
        <v>631</v>
      </c>
      <c r="F15254" t="s">
        <v>410</v>
      </c>
      <c r="G15254">
        <v>14</v>
      </c>
      <c r="H15254">
        <v>14</v>
      </c>
      <c r="I15254">
        <v>14</v>
      </c>
      <c r="J15254">
        <v>14</v>
      </c>
      <c r="K15254">
        <v>0</v>
      </c>
      <c r="L15254">
        <v>0</v>
      </c>
      <c r="M15254">
        <v>14</v>
      </c>
      <c r="N15254">
        <v>0</v>
      </c>
      <c r="O15254">
        <v>0</v>
      </c>
      <c r="P15254">
        <v>0</v>
      </c>
      <c r="Q15254">
        <v>0</v>
      </c>
    </row>
    <row r="15255" spans="1:17" x14ac:dyDescent="0.2">
      <c r="A15255" s="121">
        <v>44469</v>
      </c>
      <c r="B15255" t="s">
        <v>406</v>
      </c>
      <c r="C15255" t="s">
        <v>510</v>
      </c>
      <c r="D15255" t="s">
        <v>513</v>
      </c>
      <c r="E15255" t="s">
        <v>514</v>
      </c>
      <c r="F15255" t="s">
        <v>410</v>
      </c>
      <c r="G15255">
        <v>593</v>
      </c>
      <c r="I15255">
        <v>516</v>
      </c>
    </row>
    <row r="15256" spans="1:17" x14ac:dyDescent="0.2">
      <c r="A15256" s="121">
        <v>44469</v>
      </c>
      <c r="B15256" t="s">
        <v>406</v>
      </c>
      <c r="C15256" t="s">
        <v>510</v>
      </c>
      <c r="D15256" t="s">
        <v>515</v>
      </c>
      <c r="E15256" t="s">
        <v>516</v>
      </c>
      <c r="F15256" t="s">
        <v>410</v>
      </c>
      <c r="G15256">
        <v>96</v>
      </c>
      <c r="I15256">
        <v>90</v>
      </c>
    </row>
    <row r="15257" spans="1:17" x14ac:dyDescent="0.2">
      <c r="A15257" s="121">
        <v>44469</v>
      </c>
      <c r="B15257" t="s">
        <v>406</v>
      </c>
      <c r="C15257" t="s">
        <v>510</v>
      </c>
      <c r="D15257" t="s">
        <v>519</v>
      </c>
      <c r="E15257" t="s">
        <v>520</v>
      </c>
      <c r="F15257" t="s">
        <v>410</v>
      </c>
      <c r="G15257">
        <v>290</v>
      </c>
      <c r="I15257">
        <v>282</v>
      </c>
    </row>
    <row r="15258" spans="1:17" x14ac:dyDescent="0.2">
      <c r="A15258" s="121">
        <v>44469</v>
      </c>
      <c r="B15258" t="s">
        <v>406</v>
      </c>
      <c r="C15258" t="s">
        <v>510</v>
      </c>
      <c r="D15258" t="s">
        <v>523</v>
      </c>
      <c r="E15258" t="s">
        <v>524</v>
      </c>
      <c r="F15258" t="s">
        <v>413</v>
      </c>
      <c r="G15258">
        <v>743</v>
      </c>
      <c r="H15258">
        <v>743</v>
      </c>
      <c r="I15258">
        <v>690</v>
      </c>
      <c r="J15258">
        <v>690</v>
      </c>
      <c r="K15258">
        <v>162</v>
      </c>
      <c r="L15258">
        <v>1</v>
      </c>
      <c r="M15258">
        <v>542</v>
      </c>
      <c r="N15258">
        <v>20</v>
      </c>
      <c r="O15258">
        <v>18</v>
      </c>
      <c r="P15258">
        <v>2</v>
      </c>
      <c r="Q15258">
        <v>0</v>
      </c>
    </row>
    <row r="15259" spans="1:17" x14ac:dyDescent="0.2">
      <c r="A15259" s="121">
        <v>44469</v>
      </c>
      <c r="B15259" t="s">
        <v>406</v>
      </c>
      <c r="C15259" t="s">
        <v>510</v>
      </c>
      <c r="D15259" t="s">
        <v>525</v>
      </c>
      <c r="E15259" t="s">
        <v>526</v>
      </c>
      <c r="F15259" t="s">
        <v>410</v>
      </c>
      <c r="G15259">
        <v>316</v>
      </c>
      <c r="H15259">
        <v>316</v>
      </c>
      <c r="I15259">
        <v>301</v>
      </c>
      <c r="J15259">
        <v>301</v>
      </c>
      <c r="K15259">
        <v>34</v>
      </c>
      <c r="L15259">
        <v>1</v>
      </c>
      <c r="M15259">
        <v>258</v>
      </c>
      <c r="N15259">
        <v>11</v>
      </c>
      <c r="O15259">
        <v>12</v>
      </c>
      <c r="P15259">
        <v>4</v>
      </c>
      <c r="Q15259">
        <v>1</v>
      </c>
    </row>
    <row r="15260" spans="1:17" x14ac:dyDescent="0.2">
      <c r="A15260" s="121">
        <v>44469</v>
      </c>
      <c r="B15260" t="s">
        <v>406</v>
      </c>
      <c r="C15260" t="s">
        <v>510</v>
      </c>
      <c r="D15260" t="s">
        <v>527</v>
      </c>
      <c r="E15260" t="s">
        <v>528</v>
      </c>
      <c r="F15260" t="s">
        <v>410</v>
      </c>
      <c r="G15260">
        <v>12</v>
      </c>
      <c r="I15260">
        <v>12</v>
      </c>
    </row>
    <row r="15261" spans="1:17" x14ac:dyDescent="0.2">
      <c r="A15261" s="121">
        <v>44469</v>
      </c>
      <c r="B15261" t="s">
        <v>406</v>
      </c>
      <c r="C15261" t="s">
        <v>510</v>
      </c>
      <c r="D15261" t="s">
        <v>529</v>
      </c>
      <c r="E15261" t="s">
        <v>530</v>
      </c>
      <c r="F15261" t="s">
        <v>413</v>
      </c>
      <c r="G15261">
        <v>749</v>
      </c>
      <c r="H15261">
        <v>749</v>
      </c>
      <c r="I15261">
        <v>681</v>
      </c>
      <c r="J15261">
        <v>681</v>
      </c>
      <c r="K15261">
        <v>145</v>
      </c>
      <c r="L15261">
        <v>1</v>
      </c>
      <c r="M15261">
        <v>557</v>
      </c>
      <c r="N15261">
        <v>26</v>
      </c>
      <c r="O15261">
        <v>20</v>
      </c>
      <c r="P15261">
        <v>5</v>
      </c>
      <c r="Q15261">
        <v>1</v>
      </c>
    </row>
    <row r="15262" spans="1:17" x14ac:dyDescent="0.2">
      <c r="A15262" s="121">
        <v>44469</v>
      </c>
      <c r="B15262" t="s">
        <v>406</v>
      </c>
      <c r="C15262" t="s">
        <v>510</v>
      </c>
      <c r="D15262" t="s">
        <v>531</v>
      </c>
      <c r="E15262" t="s">
        <v>532</v>
      </c>
      <c r="F15262" t="s">
        <v>410</v>
      </c>
      <c r="G15262">
        <v>24</v>
      </c>
      <c r="I15262">
        <v>24</v>
      </c>
    </row>
    <row r="15263" spans="1:17" x14ac:dyDescent="0.2">
      <c r="A15263" s="121">
        <v>44469</v>
      </c>
      <c r="B15263" t="s">
        <v>406</v>
      </c>
      <c r="C15263" t="s">
        <v>510</v>
      </c>
      <c r="D15263" t="s">
        <v>533</v>
      </c>
      <c r="E15263" t="s">
        <v>534</v>
      </c>
      <c r="F15263" t="s">
        <v>413</v>
      </c>
      <c r="G15263">
        <v>2989</v>
      </c>
      <c r="H15263">
        <v>2989</v>
      </c>
      <c r="I15263">
        <v>2271</v>
      </c>
      <c r="J15263">
        <v>2271</v>
      </c>
      <c r="K15263">
        <v>778</v>
      </c>
      <c r="L15263">
        <v>1</v>
      </c>
      <c r="M15263">
        <v>1980</v>
      </c>
      <c r="N15263">
        <v>31</v>
      </c>
      <c r="O15263">
        <v>199</v>
      </c>
      <c r="P15263">
        <v>84</v>
      </c>
      <c r="Q15263">
        <v>13</v>
      </c>
    </row>
    <row r="15264" spans="1:17" x14ac:dyDescent="0.2">
      <c r="A15264" s="121">
        <v>44469</v>
      </c>
      <c r="B15264" t="s">
        <v>406</v>
      </c>
      <c r="C15264" t="s">
        <v>510</v>
      </c>
      <c r="D15264" t="s">
        <v>535</v>
      </c>
      <c r="E15264" t="s">
        <v>536</v>
      </c>
      <c r="F15264" t="s">
        <v>410</v>
      </c>
      <c r="G15264">
        <v>281</v>
      </c>
      <c r="I15264">
        <v>280</v>
      </c>
    </row>
    <row r="15265" spans="1:17" x14ac:dyDescent="0.2">
      <c r="A15265" s="121">
        <v>44469</v>
      </c>
      <c r="B15265" t="s">
        <v>406</v>
      </c>
      <c r="C15265" t="s">
        <v>510</v>
      </c>
      <c r="D15265" t="s">
        <v>539</v>
      </c>
      <c r="E15265" t="s">
        <v>540</v>
      </c>
      <c r="F15265" t="s">
        <v>413</v>
      </c>
      <c r="G15265">
        <v>809</v>
      </c>
      <c r="H15265">
        <v>809</v>
      </c>
      <c r="I15265">
        <v>725</v>
      </c>
      <c r="J15265">
        <v>725</v>
      </c>
      <c r="K15265">
        <v>108</v>
      </c>
      <c r="L15265">
        <v>2</v>
      </c>
      <c r="M15265">
        <v>655</v>
      </c>
      <c r="N15265">
        <v>22</v>
      </c>
      <c r="O15265">
        <v>22</v>
      </c>
      <c r="P15265">
        <v>6</v>
      </c>
      <c r="Q15265">
        <v>0</v>
      </c>
    </row>
    <row r="15266" spans="1:17" x14ac:dyDescent="0.2">
      <c r="A15266" s="121">
        <v>44469</v>
      </c>
      <c r="B15266" t="s">
        <v>406</v>
      </c>
      <c r="C15266" t="s">
        <v>510</v>
      </c>
      <c r="D15266" t="s">
        <v>541</v>
      </c>
      <c r="E15266" t="s">
        <v>542</v>
      </c>
      <c r="F15266" t="s">
        <v>410</v>
      </c>
      <c r="G15266">
        <v>381</v>
      </c>
      <c r="I15266">
        <v>378</v>
      </c>
    </row>
    <row r="15267" spans="1:17" x14ac:dyDescent="0.2">
      <c r="A15267" s="121">
        <v>44469</v>
      </c>
      <c r="B15267" t="s">
        <v>406</v>
      </c>
      <c r="C15267" t="s">
        <v>510</v>
      </c>
      <c r="D15267" t="s">
        <v>543</v>
      </c>
      <c r="E15267" t="s">
        <v>544</v>
      </c>
      <c r="F15267" t="s">
        <v>410</v>
      </c>
      <c r="G15267">
        <v>61</v>
      </c>
      <c r="I15267">
        <v>59</v>
      </c>
    </row>
    <row r="15268" spans="1:17" x14ac:dyDescent="0.2">
      <c r="A15268" s="121">
        <v>44469</v>
      </c>
      <c r="B15268" t="s">
        <v>406</v>
      </c>
      <c r="C15268" t="s">
        <v>510</v>
      </c>
      <c r="D15268" t="s">
        <v>547</v>
      </c>
      <c r="E15268" t="s">
        <v>548</v>
      </c>
      <c r="F15268" t="s">
        <v>410</v>
      </c>
      <c r="G15268">
        <v>10</v>
      </c>
      <c r="I15268">
        <v>10</v>
      </c>
    </row>
    <row r="15269" spans="1:17" x14ac:dyDescent="0.2">
      <c r="A15269" s="121">
        <v>44469</v>
      </c>
      <c r="B15269" t="s">
        <v>406</v>
      </c>
      <c r="C15269" t="s">
        <v>510</v>
      </c>
      <c r="D15269" t="s">
        <v>616</v>
      </c>
      <c r="E15269" t="s">
        <v>617</v>
      </c>
      <c r="F15269" t="s">
        <v>410</v>
      </c>
      <c r="G15269">
        <v>282</v>
      </c>
      <c r="I15269">
        <v>277</v>
      </c>
    </row>
    <row r="15270" spans="1:17" x14ac:dyDescent="0.2">
      <c r="A15270" s="121">
        <v>44469</v>
      </c>
      <c r="B15270" t="s">
        <v>406</v>
      </c>
      <c r="C15270" t="s">
        <v>510</v>
      </c>
      <c r="D15270" t="s">
        <v>549</v>
      </c>
      <c r="E15270" t="s">
        <v>550</v>
      </c>
      <c r="F15270" t="s">
        <v>410</v>
      </c>
      <c r="G15270">
        <v>72</v>
      </c>
      <c r="I15270">
        <v>72</v>
      </c>
    </row>
    <row r="15271" spans="1:17" x14ac:dyDescent="0.2">
      <c r="A15271" s="121">
        <v>44469</v>
      </c>
      <c r="B15271" t="s">
        <v>406</v>
      </c>
      <c r="C15271" t="s">
        <v>510</v>
      </c>
      <c r="D15271" t="s">
        <v>625</v>
      </c>
      <c r="E15271" t="s">
        <v>626</v>
      </c>
      <c r="F15271" t="s">
        <v>410</v>
      </c>
      <c r="G15271">
        <v>125</v>
      </c>
      <c r="I15271">
        <v>121</v>
      </c>
    </row>
    <row r="15272" spans="1:17" x14ac:dyDescent="0.2">
      <c r="A15272" s="121">
        <v>44469</v>
      </c>
      <c r="B15272" t="s">
        <v>406</v>
      </c>
      <c r="C15272" t="s">
        <v>551</v>
      </c>
      <c r="D15272" t="s">
        <v>552</v>
      </c>
      <c r="E15272" t="s">
        <v>553</v>
      </c>
      <c r="F15272" t="s">
        <v>413</v>
      </c>
      <c r="G15272">
        <v>5870</v>
      </c>
      <c r="H15272">
        <v>5870</v>
      </c>
      <c r="I15272">
        <v>4502</v>
      </c>
      <c r="J15272">
        <v>4502</v>
      </c>
      <c r="K15272">
        <v>1740</v>
      </c>
      <c r="L15272">
        <v>7</v>
      </c>
      <c r="M15272">
        <v>4024</v>
      </c>
      <c r="N15272">
        <v>84</v>
      </c>
      <c r="O15272">
        <v>15</v>
      </c>
      <c r="P15272">
        <v>153</v>
      </c>
      <c r="Q15272">
        <v>19</v>
      </c>
    </row>
    <row r="15273" spans="1:17" x14ac:dyDescent="0.2">
      <c r="A15273" s="121">
        <v>44469</v>
      </c>
      <c r="B15273" t="s">
        <v>406</v>
      </c>
      <c r="C15273" t="s">
        <v>551</v>
      </c>
      <c r="D15273" t="s">
        <v>558</v>
      </c>
      <c r="E15273" t="s">
        <v>559</v>
      </c>
      <c r="F15273" t="s">
        <v>413</v>
      </c>
      <c r="G15273">
        <v>5281</v>
      </c>
      <c r="H15273">
        <v>5281</v>
      </c>
      <c r="I15273">
        <v>3735</v>
      </c>
      <c r="J15273">
        <v>3735</v>
      </c>
      <c r="K15273">
        <v>1379</v>
      </c>
      <c r="L15273">
        <v>6</v>
      </c>
      <c r="M15273">
        <v>3779</v>
      </c>
      <c r="N15273">
        <v>111</v>
      </c>
      <c r="O15273">
        <v>6</v>
      </c>
      <c r="P15273">
        <v>204</v>
      </c>
      <c r="Q15273">
        <v>43</v>
      </c>
    </row>
    <row r="15274" spans="1:17" x14ac:dyDescent="0.2">
      <c r="A15274" s="121">
        <v>44469</v>
      </c>
      <c r="B15274" t="s">
        <v>406</v>
      </c>
      <c r="C15274" t="s">
        <v>551</v>
      </c>
      <c r="D15274" t="s">
        <v>560</v>
      </c>
      <c r="E15274" t="s">
        <v>561</v>
      </c>
      <c r="F15274" t="s">
        <v>413</v>
      </c>
      <c r="G15274">
        <v>6298</v>
      </c>
      <c r="H15274">
        <v>6298</v>
      </c>
      <c r="I15274">
        <v>3836</v>
      </c>
      <c r="J15274">
        <v>3836</v>
      </c>
      <c r="K15274">
        <v>2138</v>
      </c>
      <c r="L15274">
        <v>7</v>
      </c>
      <c r="M15274">
        <v>4014</v>
      </c>
      <c r="N15274">
        <v>56</v>
      </c>
      <c r="O15274">
        <v>83</v>
      </c>
      <c r="P15274">
        <v>702</v>
      </c>
      <c r="Q15274">
        <v>149</v>
      </c>
    </row>
    <row r="15275" spans="1:17" x14ac:dyDescent="0.2">
      <c r="A15275" s="121">
        <v>44469</v>
      </c>
      <c r="B15275" t="s">
        <v>406</v>
      </c>
      <c r="C15275" t="s">
        <v>562</v>
      </c>
      <c r="D15275" t="s">
        <v>563</v>
      </c>
      <c r="E15275" t="s">
        <v>564</v>
      </c>
      <c r="F15275" t="s">
        <v>410</v>
      </c>
      <c r="G15275">
        <v>3392</v>
      </c>
      <c r="H15275">
        <v>3392</v>
      </c>
      <c r="I15275">
        <v>2158</v>
      </c>
      <c r="J15275">
        <v>2158</v>
      </c>
      <c r="K15275">
        <v>1154</v>
      </c>
      <c r="L15275">
        <v>0</v>
      </c>
      <c r="M15275">
        <v>2211</v>
      </c>
      <c r="N15275">
        <v>4</v>
      </c>
      <c r="O15275">
        <v>23</v>
      </c>
      <c r="P15275">
        <v>361</v>
      </c>
      <c r="Q15275">
        <v>109</v>
      </c>
    </row>
    <row r="15276" spans="1:17" x14ac:dyDescent="0.2">
      <c r="A15276" s="121">
        <v>44469</v>
      </c>
      <c r="B15276" t="s">
        <v>406</v>
      </c>
      <c r="C15276" t="s">
        <v>562</v>
      </c>
      <c r="D15276" t="s">
        <v>565</v>
      </c>
      <c r="E15276" t="s">
        <v>566</v>
      </c>
      <c r="F15276" t="s">
        <v>413</v>
      </c>
      <c r="G15276">
        <v>5155</v>
      </c>
      <c r="H15276">
        <v>5155</v>
      </c>
      <c r="I15276">
        <v>3716</v>
      </c>
      <c r="J15276">
        <v>3716</v>
      </c>
      <c r="K15276">
        <v>902</v>
      </c>
      <c r="L15276">
        <v>4</v>
      </c>
      <c r="M15276">
        <v>3707</v>
      </c>
      <c r="N15276">
        <v>56</v>
      </c>
      <c r="O15276">
        <v>486</v>
      </c>
      <c r="P15276">
        <v>364</v>
      </c>
      <c r="Q15276">
        <v>110</v>
      </c>
    </row>
    <row r="15277" spans="1:17" x14ac:dyDescent="0.2">
      <c r="A15277" s="121">
        <v>44469</v>
      </c>
      <c r="B15277" t="s">
        <v>406</v>
      </c>
      <c r="C15277" t="s">
        <v>562</v>
      </c>
      <c r="D15277" t="s">
        <v>567</v>
      </c>
      <c r="E15277" t="s">
        <v>568</v>
      </c>
      <c r="F15277" t="s">
        <v>413</v>
      </c>
      <c r="G15277">
        <v>10382</v>
      </c>
      <c r="H15277">
        <v>10382</v>
      </c>
      <c r="I15277">
        <v>5870</v>
      </c>
      <c r="J15277">
        <v>5870</v>
      </c>
      <c r="K15277">
        <v>3014</v>
      </c>
      <c r="L15277">
        <v>7</v>
      </c>
      <c r="M15277">
        <v>7182</v>
      </c>
      <c r="N15277">
        <v>119</v>
      </c>
      <c r="O15277">
        <v>60</v>
      </c>
      <c r="P15277">
        <v>1358</v>
      </c>
      <c r="Q15277">
        <v>581</v>
      </c>
    </row>
    <row r="15278" spans="1:17" x14ac:dyDescent="0.2">
      <c r="A15278" s="121">
        <v>44469</v>
      </c>
      <c r="B15278" t="s">
        <v>406</v>
      </c>
      <c r="C15278" t="s">
        <v>562</v>
      </c>
      <c r="D15278" t="s">
        <v>569</v>
      </c>
      <c r="E15278" t="s">
        <v>570</v>
      </c>
      <c r="F15278" t="s">
        <v>413</v>
      </c>
      <c r="G15278">
        <v>6042</v>
      </c>
      <c r="H15278">
        <v>6042</v>
      </c>
      <c r="I15278">
        <v>5672</v>
      </c>
      <c r="J15278">
        <v>5672</v>
      </c>
      <c r="K15278">
        <v>756</v>
      </c>
      <c r="L15278">
        <v>0</v>
      </c>
      <c r="M15278">
        <v>5238</v>
      </c>
      <c r="N15278">
        <v>3</v>
      </c>
      <c r="O15278">
        <v>45</v>
      </c>
      <c r="P15278">
        <v>12</v>
      </c>
      <c r="Q15278">
        <v>0</v>
      </c>
    </row>
    <row r="15279" spans="1:17" x14ac:dyDescent="0.2">
      <c r="A15279" s="121">
        <v>44469</v>
      </c>
      <c r="B15279" t="s">
        <v>406</v>
      </c>
      <c r="C15279" t="s">
        <v>571</v>
      </c>
      <c r="D15279" t="s">
        <v>572</v>
      </c>
      <c r="E15279" t="s">
        <v>627</v>
      </c>
      <c r="F15279" t="s">
        <v>413</v>
      </c>
      <c r="G15279">
        <v>532</v>
      </c>
      <c r="H15279">
        <v>532</v>
      </c>
      <c r="I15279">
        <v>510</v>
      </c>
      <c r="J15279">
        <v>510</v>
      </c>
      <c r="K15279">
        <v>116</v>
      </c>
      <c r="L15279">
        <v>1</v>
      </c>
      <c r="M15279">
        <v>402</v>
      </c>
      <c r="N15279">
        <v>5</v>
      </c>
      <c r="O15279">
        <v>8</v>
      </c>
      <c r="P15279">
        <v>1</v>
      </c>
      <c r="Q15279">
        <v>1</v>
      </c>
    </row>
    <row r="15280" spans="1:17" x14ac:dyDescent="0.2">
      <c r="A15280" s="121">
        <v>44469</v>
      </c>
      <c r="B15280" t="s">
        <v>406</v>
      </c>
      <c r="C15280" t="s">
        <v>574</v>
      </c>
      <c r="D15280" t="s">
        <v>575</v>
      </c>
      <c r="E15280" t="s">
        <v>576</v>
      </c>
      <c r="F15280" t="s">
        <v>413</v>
      </c>
      <c r="G15280">
        <v>531</v>
      </c>
      <c r="H15280">
        <v>531</v>
      </c>
      <c r="I15280">
        <v>519</v>
      </c>
      <c r="J15280">
        <v>519</v>
      </c>
      <c r="K15280">
        <v>118</v>
      </c>
      <c r="L15280">
        <v>3</v>
      </c>
      <c r="M15280">
        <v>404</v>
      </c>
      <c r="N15280">
        <v>3</v>
      </c>
      <c r="O15280">
        <v>3</v>
      </c>
      <c r="P15280">
        <v>1</v>
      </c>
      <c r="Q15280">
        <v>0</v>
      </c>
    </row>
    <row r="15281" spans="1:17" x14ac:dyDescent="0.2">
      <c r="A15281" s="121">
        <v>44469</v>
      </c>
      <c r="B15281" t="s">
        <v>406</v>
      </c>
      <c r="C15281" t="s">
        <v>577</v>
      </c>
      <c r="D15281" t="s">
        <v>578</v>
      </c>
      <c r="E15281" t="s">
        <v>579</v>
      </c>
      <c r="F15281" t="s">
        <v>413</v>
      </c>
      <c r="G15281">
        <v>4895</v>
      </c>
      <c r="H15281">
        <v>4895</v>
      </c>
      <c r="I15281">
        <v>4481</v>
      </c>
      <c r="J15281">
        <v>4481</v>
      </c>
      <c r="K15281">
        <v>1586</v>
      </c>
      <c r="L15281">
        <v>5</v>
      </c>
      <c r="M15281">
        <v>3003</v>
      </c>
      <c r="N15281">
        <v>200</v>
      </c>
      <c r="O15281">
        <v>101</v>
      </c>
      <c r="P15281">
        <v>3</v>
      </c>
      <c r="Q15281">
        <v>0</v>
      </c>
    </row>
    <row r="15282" spans="1:17" x14ac:dyDescent="0.2">
      <c r="A15282" s="121">
        <v>44469</v>
      </c>
      <c r="B15282" t="s">
        <v>406</v>
      </c>
      <c r="C15282" t="s">
        <v>577</v>
      </c>
      <c r="D15282" t="s">
        <v>580</v>
      </c>
      <c r="E15282" t="s">
        <v>581</v>
      </c>
      <c r="F15282" t="s">
        <v>413</v>
      </c>
      <c r="G15282">
        <v>1929</v>
      </c>
      <c r="H15282">
        <v>1929</v>
      </c>
      <c r="I15282">
        <v>1816</v>
      </c>
      <c r="J15282">
        <v>1816</v>
      </c>
      <c r="K15282">
        <v>235</v>
      </c>
      <c r="L15282">
        <v>2</v>
      </c>
      <c r="M15282">
        <v>1467</v>
      </c>
      <c r="N15282">
        <v>202</v>
      </c>
      <c r="O15282">
        <v>23</v>
      </c>
      <c r="P15282">
        <v>12</v>
      </c>
      <c r="Q15282">
        <v>3</v>
      </c>
    </row>
    <row r="15283" spans="1:17" x14ac:dyDescent="0.2">
      <c r="A15283" s="121">
        <v>44469</v>
      </c>
      <c r="B15283" t="s">
        <v>406</v>
      </c>
      <c r="C15283" t="s">
        <v>577</v>
      </c>
      <c r="D15283" t="s">
        <v>586</v>
      </c>
      <c r="E15283" t="s">
        <v>587</v>
      </c>
      <c r="F15283" t="s">
        <v>410</v>
      </c>
      <c r="G15283">
        <v>650</v>
      </c>
      <c r="H15283">
        <v>650</v>
      </c>
      <c r="I15283">
        <v>650</v>
      </c>
      <c r="J15283">
        <v>650</v>
      </c>
      <c r="K15283">
        <v>0</v>
      </c>
      <c r="L15283">
        <v>0</v>
      </c>
      <c r="M15283">
        <v>609</v>
      </c>
      <c r="N15283">
        <v>40</v>
      </c>
      <c r="O15283">
        <v>1</v>
      </c>
      <c r="P15283">
        <v>0</v>
      </c>
      <c r="Q15283">
        <v>0</v>
      </c>
    </row>
    <row r="15284" spans="1:17" x14ac:dyDescent="0.2">
      <c r="A15284" s="121">
        <v>44469</v>
      </c>
      <c r="B15284" t="s">
        <v>406</v>
      </c>
      <c r="C15284" t="s">
        <v>577</v>
      </c>
      <c r="D15284" t="s">
        <v>590</v>
      </c>
      <c r="E15284" t="s">
        <v>591</v>
      </c>
      <c r="F15284" t="s">
        <v>410</v>
      </c>
      <c r="G15284">
        <v>305</v>
      </c>
      <c r="H15284">
        <v>305</v>
      </c>
      <c r="I15284">
        <v>305</v>
      </c>
      <c r="J15284">
        <v>305</v>
      </c>
      <c r="K15284">
        <v>0</v>
      </c>
      <c r="L15284">
        <v>1</v>
      </c>
      <c r="M15284">
        <v>296</v>
      </c>
      <c r="N15284">
        <v>7</v>
      </c>
      <c r="O15284">
        <v>1</v>
      </c>
      <c r="P15284">
        <v>0</v>
      </c>
      <c r="Q15284">
        <v>0</v>
      </c>
    </row>
    <row r="15285" spans="1:17" x14ac:dyDescent="0.2">
      <c r="A15285" s="121">
        <v>44469</v>
      </c>
      <c r="B15285" t="s">
        <v>406</v>
      </c>
      <c r="C15285" t="s">
        <v>594</v>
      </c>
      <c r="D15285" t="s">
        <v>595</v>
      </c>
      <c r="E15285" t="s">
        <v>596</v>
      </c>
      <c r="F15285" t="s">
        <v>410</v>
      </c>
      <c r="G15285">
        <v>23</v>
      </c>
      <c r="I15285">
        <v>23</v>
      </c>
    </row>
    <row r="15286" spans="1:17" x14ac:dyDescent="0.2">
      <c r="A15286" s="121">
        <v>44469</v>
      </c>
      <c r="B15286" t="s">
        <v>406</v>
      </c>
      <c r="C15286" t="s">
        <v>594</v>
      </c>
      <c r="D15286" t="s">
        <v>597</v>
      </c>
      <c r="E15286" t="s">
        <v>598</v>
      </c>
      <c r="F15286" t="s">
        <v>413</v>
      </c>
      <c r="G15286">
        <v>340</v>
      </c>
      <c r="H15286">
        <v>340</v>
      </c>
      <c r="I15286">
        <v>333</v>
      </c>
      <c r="J15286">
        <v>333</v>
      </c>
      <c r="K15286">
        <v>80</v>
      </c>
      <c r="L15286">
        <v>0</v>
      </c>
      <c r="M15286">
        <v>250</v>
      </c>
      <c r="N15286">
        <v>6</v>
      </c>
      <c r="O15286">
        <v>4</v>
      </c>
      <c r="P15286">
        <v>0</v>
      </c>
      <c r="Q15286">
        <v>0</v>
      </c>
    </row>
    <row r="15287" spans="1:17" x14ac:dyDescent="0.2">
      <c r="A15287" s="121">
        <v>44469</v>
      </c>
      <c r="B15287" t="s">
        <v>406</v>
      </c>
      <c r="C15287" t="s">
        <v>594</v>
      </c>
      <c r="D15287" t="s">
        <v>599</v>
      </c>
      <c r="E15287" t="s">
        <v>600</v>
      </c>
      <c r="F15287" t="s">
        <v>410</v>
      </c>
      <c r="G15287">
        <v>79</v>
      </c>
      <c r="H15287">
        <v>79</v>
      </c>
      <c r="I15287">
        <v>78</v>
      </c>
      <c r="J15287">
        <v>78</v>
      </c>
      <c r="K15287">
        <v>3</v>
      </c>
      <c r="L15287">
        <v>0</v>
      </c>
      <c r="M15287">
        <v>73</v>
      </c>
      <c r="N15287">
        <v>2</v>
      </c>
      <c r="O15287">
        <v>1</v>
      </c>
      <c r="P15287">
        <v>0</v>
      </c>
      <c r="Q15287">
        <v>0</v>
      </c>
    </row>
    <row r="15288" spans="1:17" x14ac:dyDescent="0.2">
      <c r="A15288" s="121">
        <v>44500</v>
      </c>
      <c r="B15288" t="s">
        <v>406</v>
      </c>
      <c r="C15288" t="s">
        <v>407</v>
      </c>
      <c r="D15288" t="s">
        <v>408</v>
      </c>
      <c r="E15288" t="s">
        <v>409</v>
      </c>
      <c r="F15288" t="s">
        <v>410</v>
      </c>
      <c r="G15288">
        <v>226</v>
      </c>
      <c r="I15288">
        <v>217</v>
      </c>
    </row>
    <row r="15289" spans="1:17" x14ac:dyDescent="0.2">
      <c r="A15289" s="121">
        <v>44500</v>
      </c>
      <c r="B15289" t="s">
        <v>406</v>
      </c>
      <c r="C15289" t="s">
        <v>407</v>
      </c>
      <c r="D15289" t="s">
        <v>601</v>
      </c>
      <c r="E15289" t="s">
        <v>602</v>
      </c>
      <c r="F15289" t="s">
        <v>410</v>
      </c>
      <c r="G15289">
        <v>81</v>
      </c>
      <c r="I15289">
        <v>81</v>
      </c>
    </row>
    <row r="15290" spans="1:17" x14ac:dyDescent="0.2">
      <c r="A15290" s="121">
        <v>44500</v>
      </c>
      <c r="B15290" t="s">
        <v>406</v>
      </c>
      <c r="C15290" t="s">
        <v>407</v>
      </c>
      <c r="D15290" t="s">
        <v>411</v>
      </c>
      <c r="E15290" t="s">
        <v>412</v>
      </c>
      <c r="F15290" t="s">
        <v>413</v>
      </c>
      <c r="G15290">
        <v>5147</v>
      </c>
      <c r="H15290">
        <v>5147</v>
      </c>
      <c r="I15290">
        <v>3844</v>
      </c>
      <c r="J15290">
        <v>3844</v>
      </c>
      <c r="K15290">
        <v>1596</v>
      </c>
      <c r="L15290">
        <v>9</v>
      </c>
      <c r="M15290">
        <v>3146</v>
      </c>
      <c r="N15290">
        <v>55</v>
      </c>
      <c r="O15290">
        <v>341</v>
      </c>
      <c r="P15290">
        <v>604</v>
      </c>
      <c r="Q15290">
        <v>361</v>
      </c>
    </row>
    <row r="15291" spans="1:17" x14ac:dyDescent="0.2">
      <c r="A15291" s="121">
        <v>44500</v>
      </c>
      <c r="B15291" t="s">
        <v>406</v>
      </c>
      <c r="C15291" t="s">
        <v>407</v>
      </c>
      <c r="D15291" t="s">
        <v>416</v>
      </c>
      <c r="E15291" t="s">
        <v>417</v>
      </c>
      <c r="F15291" t="s">
        <v>413</v>
      </c>
      <c r="G15291">
        <v>2538</v>
      </c>
      <c r="H15291">
        <v>2538</v>
      </c>
      <c r="I15291">
        <v>1834</v>
      </c>
      <c r="J15291">
        <v>1834</v>
      </c>
      <c r="K15291">
        <v>708</v>
      </c>
      <c r="L15291">
        <v>5</v>
      </c>
      <c r="M15291">
        <v>1657</v>
      </c>
      <c r="N15291">
        <v>111</v>
      </c>
      <c r="O15291">
        <v>57</v>
      </c>
      <c r="P15291">
        <v>285</v>
      </c>
      <c r="Q15291">
        <v>136</v>
      </c>
    </row>
    <row r="15292" spans="1:17" x14ac:dyDescent="0.2">
      <c r="A15292" s="121">
        <v>44500</v>
      </c>
      <c r="B15292" t="s">
        <v>406</v>
      </c>
      <c r="C15292" t="s">
        <v>407</v>
      </c>
      <c r="D15292" t="s">
        <v>618</v>
      </c>
      <c r="E15292" t="s">
        <v>619</v>
      </c>
      <c r="F15292" t="s">
        <v>410</v>
      </c>
      <c r="G15292">
        <v>55</v>
      </c>
      <c r="I15292">
        <v>55</v>
      </c>
    </row>
    <row r="15293" spans="1:17" x14ac:dyDescent="0.2">
      <c r="A15293" s="121">
        <v>44500</v>
      </c>
      <c r="B15293" t="s">
        <v>406</v>
      </c>
      <c r="C15293" t="s">
        <v>418</v>
      </c>
      <c r="D15293" t="s">
        <v>425</v>
      </c>
      <c r="E15293" t="s">
        <v>426</v>
      </c>
      <c r="F15293" t="s">
        <v>410</v>
      </c>
      <c r="G15293">
        <v>23</v>
      </c>
      <c r="I15293">
        <v>23</v>
      </c>
    </row>
    <row r="15294" spans="1:17" x14ac:dyDescent="0.2">
      <c r="A15294" s="121">
        <v>44500</v>
      </c>
      <c r="B15294" t="s">
        <v>406</v>
      </c>
      <c r="C15294" t="s">
        <v>418</v>
      </c>
      <c r="D15294" t="s">
        <v>427</v>
      </c>
      <c r="E15294" t="s">
        <v>428</v>
      </c>
      <c r="F15294" t="s">
        <v>413</v>
      </c>
      <c r="G15294">
        <v>2353</v>
      </c>
      <c r="H15294">
        <v>2353</v>
      </c>
      <c r="I15294">
        <v>1786</v>
      </c>
      <c r="J15294">
        <v>1786</v>
      </c>
      <c r="K15294">
        <v>710</v>
      </c>
      <c r="L15294">
        <v>2</v>
      </c>
      <c r="M15294">
        <v>1572</v>
      </c>
      <c r="N15294">
        <v>63</v>
      </c>
      <c r="O15294">
        <v>6</v>
      </c>
      <c r="P15294">
        <v>182</v>
      </c>
      <c r="Q15294">
        <v>98</v>
      </c>
    </row>
    <row r="15295" spans="1:17" x14ac:dyDescent="0.2">
      <c r="A15295" s="121">
        <v>44500</v>
      </c>
      <c r="B15295" t="s">
        <v>406</v>
      </c>
      <c r="C15295" t="s">
        <v>429</v>
      </c>
      <c r="D15295" t="s">
        <v>438</v>
      </c>
      <c r="E15295" t="s">
        <v>439</v>
      </c>
      <c r="F15295" t="s">
        <v>413</v>
      </c>
      <c r="G15295">
        <v>955</v>
      </c>
      <c r="H15295">
        <v>955</v>
      </c>
      <c r="I15295">
        <v>861</v>
      </c>
      <c r="J15295">
        <v>861</v>
      </c>
      <c r="K15295">
        <v>62</v>
      </c>
      <c r="L15295">
        <v>1</v>
      </c>
      <c r="M15295">
        <v>799</v>
      </c>
      <c r="N15295">
        <v>49</v>
      </c>
      <c r="O15295">
        <v>44</v>
      </c>
      <c r="P15295">
        <v>20</v>
      </c>
      <c r="Q15295">
        <v>5</v>
      </c>
    </row>
    <row r="15296" spans="1:17" x14ac:dyDescent="0.2">
      <c r="A15296" s="121">
        <v>44500</v>
      </c>
      <c r="B15296" t="s">
        <v>406</v>
      </c>
      <c r="C15296" t="s">
        <v>429</v>
      </c>
      <c r="D15296" t="s">
        <v>440</v>
      </c>
      <c r="E15296" t="s">
        <v>441</v>
      </c>
      <c r="F15296" t="s">
        <v>413</v>
      </c>
      <c r="G15296">
        <v>2555</v>
      </c>
      <c r="H15296">
        <v>2555</v>
      </c>
      <c r="I15296">
        <v>1937</v>
      </c>
      <c r="J15296">
        <v>1937</v>
      </c>
      <c r="K15296">
        <v>790</v>
      </c>
      <c r="L15296">
        <v>3</v>
      </c>
      <c r="M15296">
        <v>1699</v>
      </c>
      <c r="N15296">
        <v>19</v>
      </c>
      <c r="O15296">
        <v>44</v>
      </c>
      <c r="P15296">
        <v>72</v>
      </c>
      <c r="Q15296">
        <v>11</v>
      </c>
    </row>
    <row r="15297" spans="1:17" x14ac:dyDescent="0.2">
      <c r="A15297" s="121">
        <v>44500</v>
      </c>
      <c r="B15297" t="s">
        <v>406</v>
      </c>
      <c r="C15297" t="s">
        <v>442</v>
      </c>
      <c r="D15297" t="s">
        <v>443</v>
      </c>
      <c r="E15297" t="s">
        <v>444</v>
      </c>
      <c r="F15297" t="s">
        <v>413</v>
      </c>
      <c r="G15297">
        <v>5097</v>
      </c>
      <c r="H15297">
        <v>5097</v>
      </c>
      <c r="I15297">
        <v>3584</v>
      </c>
      <c r="J15297">
        <v>3584</v>
      </c>
      <c r="K15297">
        <v>1668</v>
      </c>
      <c r="L15297">
        <v>8</v>
      </c>
      <c r="M15297">
        <v>3232</v>
      </c>
      <c r="N15297">
        <v>78</v>
      </c>
      <c r="O15297">
        <v>111</v>
      </c>
      <c r="P15297">
        <v>374</v>
      </c>
      <c r="Q15297">
        <v>62</v>
      </c>
    </row>
    <row r="15298" spans="1:17" x14ac:dyDescent="0.2">
      <c r="A15298" s="121">
        <v>44500</v>
      </c>
      <c r="B15298" t="s">
        <v>406</v>
      </c>
      <c r="C15298" t="s">
        <v>442</v>
      </c>
      <c r="D15298" t="s">
        <v>445</v>
      </c>
      <c r="E15298" t="s">
        <v>446</v>
      </c>
      <c r="F15298" t="s">
        <v>410</v>
      </c>
      <c r="G15298">
        <v>138</v>
      </c>
      <c r="H15298">
        <v>138</v>
      </c>
      <c r="I15298">
        <v>134</v>
      </c>
      <c r="J15298">
        <v>134</v>
      </c>
      <c r="K15298">
        <v>2</v>
      </c>
      <c r="L15298">
        <v>0</v>
      </c>
      <c r="M15298">
        <v>133</v>
      </c>
      <c r="N15298">
        <v>2</v>
      </c>
      <c r="O15298">
        <v>1</v>
      </c>
      <c r="P15298">
        <v>1</v>
      </c>
      <c r="Q15298">
        <v>0</v>
      </c>
    </row>
    <row r="15299" spans="1:17" x14ac:dyDescent="0.2">
      <c r="A15299" s="121">
        <v>44500</v>
      </c>
      <c r="B15299" t="s">
        <v>406</v>
      </c>
      <c r="C15299" t="s">
        <v>442</v>
      </c>
      <c r="D15299" t="s">
        <v>447</v>
      </c>
      <c r="E15299" t="s">
        <v>448</v>
      </c>
      <c r="F15299" t="s">
        <v>410</v>
      </c>
      <c r="G15299">
        <v>224</v>
      </c>
      <c r="H15299">
        <v>224</v>
      </c>
      <c r="I15299">
        <v>223</v>
      </c>
      <c r="J15299">
        <v>223</v>
      </c>
      <c r="K15299">
        <v>0</v>
      </c>
      <c r="L15299">
        <v>0</v>
      </c>
      <c r="M15299">
        <v>218</v>
      </c>
      <c r="N15299">
        <v>6</v>
      </c>
      <c r="O15299">
        <v>0</v>
      </c>
      <c r="P15299">
        <v>0</v>
      </c>
      <c r="Q15299">
        <v>0</v>
      </c>
    </row>
    <row r="15300" spans="1:17" x14ac:dyDescent="0.2">
      <c r="A15300" s="121">
        <v>44500</v>
      </c>
      <c r="B15300" t="s">
        <v>406</v>
      </c>
      <c r="C15300" t="s">
        <v>442</v>
      </c>
      <c r="D15300" t="s">
        <v>449</v>
      </c>
      <c r="E15300" t="s">
        <v>624</v>
      </c>
      <c r="F15300" t="s">
        <v>410</v>
      </c>
      <c r="G15300">
        <v>972</v>
      </c>
      <c r="H15300">
        <v>972</v>
      </c>
      <c r="I15300">
        <v>970</v>
      </c>
      <c r="J15300">
        <v>970</v>
      </c>
      <c r="K15300">
        <v>3</v>
      </c>
      <c r="L15300">
        <v>0</v>
      </c>
      <c r="M15300">
        <v>895</v>
      </c>
      <c r="N15300">
        <v>70</v>
      </c>
      <c r="O15300">
        <v>4</v>
      </c>
      <c r="P15300">
        <v>0</v>
      </c>
      <c r="Q15300">
        <v>0</v>
      </c>
    </row>
    <row r="15301" spans="1:17" x14ac:dyDescent="0.2">
      <c r="A15301" s="121">
        <v>44500</v>
      </c>
      <c r="B15301" t="s">
        <v>406</v>
      </c>
      <c r="C15301" t="s">
        <v>451</v>
      </c>
      <c r="D15301" t="s">
        <v>454</v>
      </c>
      <c r="E15301" t="s">
        <v>621</v>
      </c>
      <c r="F15301" t="s">
        <v>410</v>
      </c>
      <c r="G15301">
        <v>1877</v>
      </c>
      <c r="H15301">
        <v>1877</v>
      </c>
      <c r="I15301">
        <v>1874</v>
      </c>
      <c r="J15301">
        <v>1874</v>
      </c>
      <c r="K15301">
        <v>6</v>
      </c>
      <c r="L15301">
        <v>0</v>
      </c>
      <c r="M15301">
        <v>1737</v>
      </c>
      <c r="N15301">
        <v>1</v>
      </c>
      <c r="O15301">
        <v>133</v>
      </c>
      <c r="P15301">
        <v>0</v>
      </c>
      <c r="Q15301">
        <v>0</v>
      </c>
    </row>
    <row r="15302" spans="1:17" x14ac:dyDescent="0.2">
      <c r="A15302" s="121">
        <v>44500</v>
      </c>
      <c r="B15302" t="s">
        <v>406</v>
      </c>
      <c r="C15302" t="s">
        <v>451</v>
      </c>
      <c r="D15302" t="s">
        <v>622</v>
      </c>
      <c r="E15302" t="s">
        <v>623</v>
      </c>
      <c r="F15302" t="s">
        <v>413</v>
      </c>
      <c r="G15302">
        <v>5034</v>
      </c>
      <c r="H15302">
        <v>5034</v>
      </c>
      <c r="I15302">
        <v>2380</v>
      </c>
      <c r="J15302">
        <v>2380</v>
      </c>
      <c r="K15302">
        <v>1500</v>
      </c>
      <c r="L15302">
        <v>10</v>
      </c>
      <c r="M15302">
        <v>3027</v>
      </c>
      <c r="N15302">
        <v>31</v>
      </c>
      <c r="O15302">
        <v>466</v>
      </c>
      <c r="P15302">
        <v>730</v>
      </c>
      <c r="Q15302">
        <v>161</v>
      </c>
    </row>
    <row r="15303" spans="1:17" x14ac:dyDescent="0.2">
      <c r="A15303" s="121">
        <v>44500</v>
      </c>
      <c r="B15303" t="s">
        <v>406</v>
      </c>
      <c r="C15303" t="s">
        <v>456</v>
      </c>
      <c r="D15303" t="s">
        <v>457</v>
      </c>
      <c r="E15303" t="s">
        <v>458</v>
      </c>
      <c r="F15303" t="s">
        <v>413</v>
      </c>
      <c r="G15303">
        <v>4223</v>
      </c>
      <c r="H15303">
        <v>4223</v>
      </c>
      <c r="I15303">
        <v>2785</v>
      </c>
      <c r="J15303">
        <v>2785</v>
      </c>
      <c r="K15303">
        <v>1324</v>
      </c>
      <c r="L15303">
        <v>7</v>
      </c>
      <c r="M15303">
        <v>2736</v>
      </c>
      <c r="N15303">
        <v>16</v>
      </c>
      <c r="O15303">
        <v>140</v>
      </c>
      <c r="P15303">
        <v>194</v>
      </c>
      <c r="Q15303">
        <v>24</v>
      </c>
    </row>
    <row r="15304" spans="1:17" x14ac:dyDescent="0.2">
      <c r="A15304" s="121">
        <v>44500</v>
      </c>
      <c r="B15304" t="s">
        <v>406</v>
      </c>
      <c r="C15304" t="s">
        <v>456</v>
      </c>
      <c r="D15304" t="s">
        <v>459</v>
      </c>
      <c r="E15304" t="s">
        <v>460</v>
      </c>
      <c r="F15304" t="s">
        <v>413</v>
      </c>
      <c r="G15304">
        <v>1177</v>
      </c>
      <c r="H15304">
        <v>1177</v>
      </c>
      <c r="I15304">
        <v>1113</v>
      </c>
      <c r="J15304">
        <v>1113</v>
      </c>
      <c r="K15304">
        <v>144</v>
      </c>
      <c r="L15304">
        <v>0</v>
      </c>
      <c r="M15304">
        <v>1003</v>
      </c>
      <c r="N15304">
        <v>3</v>
      </c>
      <c r="O15304">
        <v>27</v>
      </c>
      <c r="P15304">
        <v>8</v>
      </c>
      <c r="Q15304">
        <v>0</v>
      </c>
    </row>
    <row r="15305" spans="1:17" x14ac:dyDescent="0.2">
      <c r="A15305" s="121">
        <v>44500</v>
      </c>
      <c r="B15305" t="s">
        <v>406</v>
      </c>
      <c r="C15305" t="s">
        <v>456</v>
      </c>
      <c r="D15305" t="s">
        <v>467</v>
      </c>
      <c r="E15305" t="s">
        <v>468</v>
      </c>
      <c r="F15305" t="s">
        <v>410</v>
      </c>
      <c r="G15305">
        <v>337</v>
      </c>
      <c r="I15305">
        <v>335</v>
      </c>
    </row>
    <row r="15306" spans="1:17" x14ac:dyDescent="0.2">
      <c r="A15306" s="121">
        <v>44500</v>
      </c>
      <c r="B15306" t="s">
        <v>406</v>
      </c>
      <c r="C15306" t="s">
        <v>456</v>
      </c>
      <c r="D15306" t="s">
        <v>469</v>
      </c>
      <c r="E15306" t="s">
        <v>470</v>
      </c>
      <c r="F15306" t="s">
        <v>410</v>
      </c>
      <c r="G15306">
        <v>475</v>
      </c>
      <c r="I15306">
        <v>473</v>
      </c>
    </row>
    <row r="15307" spans="1:17" x14ac:dyDescent="0.2">
      <c r="A15307" s="121">
        <v>44500</v>
      </c>
      <c r="B15307" t="s">
        <v>406</v>
      </c>
      <c r="C15307" t="s">
        <v>456</v>
      </c>
      <c r="D15307" t="s">
        <v>471</v>
      </c>
      <c r="E15307" t="s">
        <v>472</v>
      </c>
      <c r="F15307" t="s">
        <v>410</v>
      </c>
      <c r="G15307">
        <v>222</v>
      </c>
      <c r="I15307">
        <v>221</v>
      </c>
    </row>
    <row r="15308" spans="1:17" x14ac:dyDescent="0.2">
      <c r="A15308" s="121">
        <v>44500</v>
      </c>
      <c r="B15308" t="s">
        <v>406</v>
      </c>
      <c r="C15308" t="s">
        <v>456</v>
      </c>
      <c r="D15308" t="s">
        <v>475</v>
      </c>
      <c r="E15308" t="s">
        <v>476</v>
      </c>
      <c r="F15308" t="s">
        <v>410</v>
      </c>
      <c r="G15308">
        <v>20</v>
      </c>
      <c r="I15308">
        <v>20</v>
      </c>
    </row>
    <row r="15309" spans="1:17" x14ac:dyDescent="0.2">
      <c r="A15309" s="121">
        <v>44500</v>
      </c>
      <c r="B15309" t="s">
        <v>406</v>
      </c>
      <c r="C15309" t="s">
        <v>456</v>
      </c>
      <c r="D15309" t="s">
        <v>477</v>
      </c>
      <c r="E15309" t="s">
        <v>478</v>
      </c>
      <c r="F15309" t="s">
        <v>413</v>
      </c>
      <c r="G15309">
        <v>2066</v>
      </c>
      <c r="H15309">
        <v>2066</v>
      </c>
      <c r="I15309">
        <v>1680</v>
      </c>
      <c r="J15309">
        <v>1680</v>
      </c>
      <c r="K15309">
        <v>550</v>
      </c>
      <c r="L15309">
        <v>5</v>
      </c>
      <c r="M15309">
        <v>1475</v>
      </c>
      <c r="N15309">
        <v>30</v>
      </c>
      <c r="O15309">
        <v>6</v>
      </c>
      <c r="P15309">
        <v>93</v>
      </c>
      <c r="Q15309">
        <v>13</v>
      </c>
    </row>
    <row r="15310" spans="1:17" x14ac:dyDescent="0.2">
      <c r="A15310" s="121">
        <v>44500</v>
      </c>
      <c r="B15310" t="s">
        <v>406</v>
      </c>
      <c r="C15310" t="s">
        <v>491</v>
      </c>
      <c r="D15310" t="s">
        <v>492</v>
      </c>
      <c r="E15310" t="s">
        <v>493</v>
      </c>
      <c r="F15310" t="s">
        <v>410</v>
      </c>
      <c r="G15310">
        <v>1166</v>
      </c>
      <c r="H15310">
        <v>1166</v>
      </c>
      <c r="I15310">
        <v>1067</v>
      </c>
      <c r="J15310">
        <v>1067</v>
      </c>
      <c r="K15310">
        <v>156</v>
      </c>
      <c r="L15310">
        <v>0</v>
      </c>
      <c r="M15310">
        <v>925</v>
      </c>
      <c r="N15310">
        <v>75</v>
      </c>
      <c r="O15310">
        <v>10</v>
      </c>
      <c r="P15310">
        <v>14</v>
      </c>
      <c r="Q15310">
        <v>2</v>
      </c>
    </row>
    <row r="15311" spans="1:17" x14ac:dyDescent="0.2">
      <c r="A15311" s="121">
        <v>44500</v>
      </c>
      <c r="B15311" t="s">
        <v>406</v>
      </c>
      <c r="C15311" t="s">
        <v>491</v>
      </c>
      <c r="D15311" t="s">
        <v>494</v>
      </c>
      <c r="E15311" t="s">
        <v>495</v>
      </c>
      <c r="F15311" t="s">
        <v>413</v>
      </c>
      <c r="G15311">
        <v>2325</v>
      </c>
      <c r="H15311">
        <v>2325</v>
      </c>
      <c r="I15311">
        <v>1767</v>
      </c>
      <c r="J15311">
        <v>1767</v>
      </c>
      <c r="K15311">
        <v>568</v>
      </c>
      <c r="L15311">
        <v>5</v>
      </c>
      <c r="M15311">
        <v>1637</v>
      </c>
      <c r="N15311">
        <v>58</v>
      </c>
      <c r="O15311">
        <v>57</v>
      </c>
      <c r="P15311">
        <v>69</v>
      </c>
      <c r="Q15311">
        <v>14</v>
      </c>
    </row>
    <row r="15312" spans="1:17" x14ac:dyDescent="0.2">
      <c r="A15312" s="121">
        <v>44500</v>
      </c>
      <c r="B15312" t="s">
        <v>406</v>
      </c>
      <c r="C15312" t="s">
        <v>491</v>
      </c>
      <c r="D15312" t="s">
        <v>496</v>
      </c>
      <c r="E15312" t="s">
        <v>497</v>
      </c>
      <c r="F15312" t="s">
        <v>413</v>
      </c>
      <c r="G15312">
        <v>4751</v>
      </c>
      <c r="H15312">
        <v>4751</v>
      </c>
      <c r="I15312">
        <v>3027</v>
      </c>
      <c r="J15312">
        <v>3027</v>
      </c>
      <c r="K15312">
        <v>1381</v>
      </c>
      <c r="L15312">
        <v>8</v>
      </c>
      <c r="M15312">
        <v>3184</v>
      </c>
      <c r="N15312">
        <v>87</v>
      </c>
      <c r="O15312">
        <v>91</v>
      </c>
      <c r="P15312">
        <v>556</v>
      </c>
      <c r="Q15312">
        <v>139</v>
      </c>
    </row>
    <row r="15313" spans="1:17" x14ac:dyDescent="0.2">
      <c r="A15313" s="121">
        <v>44500</v>
      </c>
      <c r="B15313" t="s">
        <v>406</v>
      </c>
      <c r="C15313" t="s">
        <v>491</v>
      </c>
      <c r="D15313" t="s">
        <v>498</v>
      </c>
      <c r="E15313" t="s">
        <v>499</v>
      </c>
      <c r="F15313" t="s">
        <v>413</v>
      </c>
      <c r="G15313">
        <v>7204</v>
      </c>
      <c r="H15313">
        <v>7204</v>
      </c>
      <c r="I15313">
        <v>4741</v>
      </c>
      <c r="J15313">
        <v>4741</v>
      </c>
      <c r="K15313">
        <v>1999</v>
      </c>
      <c r="L15313">
        <v>18</v>
      </c>
      <c r="M15313">
        <v>4678</v>
      </c>
      <c r="N15313">
        <v>139</v>
      </c>
      <c r="O15313">
        <v>370</v>
      </c>
      <c r="P15313">
        <v>440</v>
      </c>
      <c r="Q15313">
        <v>57</v>
      </c>
    </row>
    <row r="15314" spans="1:17" x14ac:dyDescent="0.2">
      <c r="A15314" s="121">
        <v>44500</v>
      </c>
      <c r="B15314" t="s">
        <v>406</v>
      </c>
      <c r="C15314" t="s">
        <v>491</v>
      </c>
      <c r="D15314" t="s">
        <v>500</v>
      </c>
      <c r="E15314" t="s">
        <v>620</v>
      </c>
      <c r="F15314" t="s">
        <v>410</v>
      </c>
      <c r="G15314">
        <v>1731</v>
      </c>
      <c r="H15314">
        <v>1731</v>
      </c>
      <c r="I15314">
        <v>1728</v>
      </c>
      <c r="J15314">
        <v>1728</v>
      </c>
      <c r="K15314">
        <v>0</v>
      </c>
      <c r="L15314">
        <v>0</v>
      </c>
      <c r="M15314">
        <v>1560</v>
      </c>
      <c r="N15314">
        <v>93</v>
      </c>
      <c r="O15314">
        <v>78</v>
      </c>
      <c r="P15314">
        <v>0</v>
      </c>
      <c r="Q15314">
        <v>0</v>
      </c>
    </row>
    <row r="15315" spans="1:17" x14ac:dyDescent="0.2">
      <c r="A15315" s="121">
        <v>44500</v>
      </c>
      <c r="B15315" t="s">
        <v>406</v>
      </c>
      <c r="C15315" t="s">
        <v>491</v>
      </c>
      <c r="D15315" t="s">
        <v>502</v>
      </c>
      <c r="E15315" t="s">
        <v>615</v>
      </c>
      <c r="F15315" t="s">
        <v>410</v>
      </c>
      <c r="G15315">
        <v>1917</v>
      </c>
      <c r="H15315">
        <v>1917</v>
      </c>
      <c r="I15315">
        <v>1914</v>
      </c>
      <c r="J15315">
        <v>1914</v>
      </c>
      <c r="K15315">
        <v>0</v>
      </c>
      <c r="L15315">
        <v>0</v>
      </c>
      <c r="M15315">
        <v>1838</v>
      </c>
      <c r="N15315">
        <v>68</v>
      </c>
      <c r="O15315">
        <v>11</v>
      </c>
      <c r="P15315">
        <v>1</v>
      </c>
      <c r="Q15315">
        <v>0</v>
      </c>
    </row>
    <row r="15316" spans="1:17" x14ac:dyDescent="0.2">
      <c r="A15316" s="121">
        <v>44500</v>
      </c>
      <c r="B15316" t="s">
        <v>406</v>
      </c>
      <c r="C15316" t="s">
        <v>491</v>
      </c>
      <c r="D15316" t="s">
        <v>504</v>
      </c>
      <c r="E15316" t="s">
        <v>630</v>
      </c>
      <c r="F15316" t="s">
        <v>413</v>
      </c>
      <c r="G15316">
        <v>7331</v>
      </c>
      <c r="H15316">
        <v>7331</v>
      </c>
      <c r="I15316">
        <v>3845</v>
      </c>
      <c r="J15316">
        <v>3845</v>
      </c>
      <c r="K15316">
        <v>2497</v>
      </c>
      <c r="L15316">
        <v>17</v>
      </c>
      <c r="M15316">
        <v>4553</v>
      </c>
      <c r="N15316">
        <v>60</v>
      </c>
      <c r="O15316">
        <v>204</v>
      </c>
      <c r="P15316">
        <v>894</v>
      </c>
      <c r="Q15316">
        <v>268</v>
      </c>
    </row>
    <row r="15317" spans="1:17" x14ac:dyDescent="0.2">
      <c r="A15317" s="121">
        <v>44500</v>
      </c>
      <c r="B15317" t="s">
        <v>406</v>
      </c>
      <c r="C15317" t="s">
        <v>491</v>
      </c>
      <c r="D15317" t="s">
        <v>506</v>
      </c>
      <c r="E15317" t="s">
        <v>507</v>
      </c>
      <c r="F15317" t="s">
        <v>413</v>
      </c>
      <c r="G15317">
        <v>6234</v>
      </c>
      <c r="H15317">
        <v>6234</v>
      </c>
      <c r="I15317">
        <v>5744</v>
      </c>
      <c r="J15317">
        <v>5744</v>
      </c>
      <c r="K15317">
        <v>1516</v>
      </c>
      <c r="L15317">
        <v>1</v>
      </c>
      <c r="M15317">
        <v>4674</v>
      </c>
      <c r="N15317">
        <v>2</v>
      </c>
      <c r="O15317">
        <v>41</v>
      </c>
      <c r="P15317">
        <v>3</v>
      </c>
      <c r="Q15317">
        <v>0</v>
      </c>
    </row>
    <row r="15318" spans="1:17" x14ac:dyDescent="0.2">
      <c r="A15318" s="121">
        <v>44500</v>
      </c>
      <c r="B15318" t="s">
        <v>406</v>
      </c>
      <c r="C15318" t="s">
        <v>510</v>
      </c>
      <c r="D15318" t="s">
        <v>513</v>
      </c>
      <c r="E15318" t="s">
        <v>514</v>
      </c>
      <c r="F15318" t="s">
        <v>410</v>
      </c>
      <c r="G15318">
        <v>557</v>
      </c>
      <c r="I15318">
        <v>552</v>
      </c>
    </row>
    <row r="15319" spans="1:17" x14ac:dyDescent="0.2">
      <c r="A15319" s="121">
        <v>44500</v>
      </c>
      <c r="B15319" t="s">
        <v>406</v>
      </c>
      <c r="C15319" t="s">
        <v>510</v>
      </c>
      <c r="D15319" t="s">
        <v>515</v>
      </c>
      <c r="E15319" t="s">
        <v>516</v>
      </c>
      <c r="F15319" t="s">
        <v>410</v>
      </c>
      <c r="G15319">
        <v>60</v>
      </c>
      <c r="I15319">
        <v>57</v>
      </c>
    </row>
    <row r="15320" spans="1:17" x14ac:dyDescent="0.2">
      <c r="A15320" s="121">
        <v>44500</v>
      </c>
      <c r="B15320" t="s">
        <v>406</v>
      </c>
      <c r="C15320" t="s">
        <v>510</v>
      </c>
      <c r="D15320" t="s">
        <v>519</v>
      </c>
      <c r="E15320" t="s">
        <v>520</v>
      </c>
      <c r="F15320" t="s">
        <v>410</v>
      </c>
      <c r="G15320">
        <v>234</v>
      </c>
      <c r="I15320">
        <v>229</v>
      </c>
    </row>
    <row r="15321" spans="1:17" x14ac:dyDescent="0.2">
      <c r="A15321" s="121">
        <v>44500</v>
      </c>
      <c r="B15321" t="s">
        <v>406</v>
      </c>
      <c r="C15321" t="s">
        <v>510</v>
      </c>
      <c r="D15321" t="s">
        <v>523</v>
      </c>
      <c r="E15321" t="s">
        <v>524</v>
      </c>
      <c r="F15321" t="s">
        <v>413</v>
      </c>
      <c r="G15321">
        <v>662</v>
      </c>
      <c r="H15321">
        <v>662</v>
      </c>
      <c r="I15321">
        <v>611</v>
      </c>
      <c r="J15321">
        <v>611</v>
      </c>
      <c r="K15321">
        <v>166</v>
      </c>
      <c r="L15321">
        <v>0</v>
      </c>
      <c r="M15321">
        <v>460</v>
      </c>
      <c r="N15321">
        <v>19</v>
      </c>
      <c r="O15321">
        <v>17</v>
      </c>
      <c r="P15321">
        <v>7</v>
      </c>
      <c r="Q15321">
        <v>0</v>
      </c>
    </row>
    <row r="15322" spans="1:17" x14ac:dyDescent="0.2">
      <c r="A15322" s="121">
        <v>44500</v>
      </c>
      <c r="B15322" t="s">
        <v>406</v>
      </c>
      <c r="C15322" t="s">
        <v>510</v>
      </c>
      <c r="D15322" t="s">
        <v>525</v>
      </c>
      <c r="E15322" t="s">
        <v>526</v>
      </c>
      <c r="F15322" t="s">
        <v>410</v>
      </c>
      <c r="G15322">
        <v>300</v>
      </c>
      <c r="H15322">
        <v>300</v>
      </c>
      <c r="I15322">
        <v>271</v>
      </c>
      <c r="J15322">
        <v>271</v>
      </c>
      <c r="K15322">
        <v>42</v>
      </c>
      <c r="L15322">
        <v>1</v>
      </c>
      <c r="M15322">
        <v>229</v>
      </c>
      <c r="N15322">
        <v>22</v>
      </c>
      <c r="O15322">
        <v>6</v>
      </c>
      <c r="P15322">
        <v>4</v>
      </c>
      <c r="Q15322">
        <v>1</v>
      </c>
    </row>
    <row r="15323" spans="1:17" x14ac:dyDescent="0.2">
      <c r="A15323" s="121">
        <v>44500</v>
      </c>
      <c r="B15323" t="s">
        <v>406</v>
      </c>
      <c r="C15323" t="s">
        <v>510</v>
      </c>
      <c r="D15323" t="s">
        <v>527</v>
      </c>
      <c r="E15323" t="s">
        <v>528</v>
      </c>
      <c r="F15323" t="s">
        <v>410</v>
      </c>
      <c r="G15323">
        <v>4</v>
      </c>
      <c r="I15323">
        <v>4</v>
      </c>
    </row>
    <row r="15324" spans="1:17" x14ac:dyDescent="0.2">
      <c r="A15324" s="121">
        <v>44500</v>
      </c>
      <c r="B15324" t="s">
        <v>406</v>
      </c>
      <c r="C15324" t="s">
        <v>510</v>
      </c>
      <c r="D15324" t="s">
        <v>529</v>
      </c>
      <c r="E15324" t="s">
        <v>530</v>
      </c>
      <c r="F15324" t="s">
        <v>413</v>
      </c>
      <c r="G15324">
        <v>752</v>
      </c>
      <c r="H15324">
        <v>752</v>
      </c>
      <c r="I15324">
        <v>666</v>
      </c>
      <c r="J15324">
        <v>666</v>
      </c>
      <c r="K15324">
        <v>153</v>
      </c>
      <c r="L15324">
        <v>3</v>
      </c>
      <c r="M15324">
        <v>556</v>
      </c>
      <c r="N15324">
        <v>22</v>
      </c>
      <c r="O15324">
        <v>18</v>
      </c>
      <c r="P15324">
        <v>10</v>
      </c>
      <c r="Q15324">
        <v>2</v>
      </c>
    </row>
    <row r="15325" spans="1:17" x14ac:dyDescent="0.2">
      <c r="A15325" s="121">
        <v>44500</v>
      </c>
      <c r="B15325" t="s">
        <v>406</v>
      </c>
      <c r="C15325" t="s">
        <v>510</v>
      </c>
      <c r="D15325" t="s">
        <v>531</v>
      </c>
      <c r="E15325" t="s">
        <v>532</v>
      </c>
      <c r="F15325" t="s">
        <v>410</v>
      </c>
      <c r="G15325">
        <v>24</v>
      </c>
      <c r="I15325">
        <v>24</v>
      </c>
    </row>
    <row r="15326" spans="1:17" x14ac:dyDescent="0.2">
      <c r="A15326" s="121">
        <v>44500</v>
      </c>
      <c r="B15326" t="s">
        <v>406</v>
      </c>
      <c r="C15326" t="s">
        <v>510</v>
      </c>
      <c r="D15326" t="s">
        <v>533</v>
      </c>
      <c r="E15326" t="s">
        <v>534</v>
      </c>
      <c r="F15326" t="s">
        <v>413</v>
      </c>
      <c r="G15326">
        <v>2861</v>
      </c>
      <c r="H15326">
        <v>2861</v>
      </c>
      <c r="I15326">
        <v>2213</v>
      </c>
      <c r="J15326">
        <v>2213</v>
      </c>
      <c r="K15326">
        <v>753</v>
      </c>
      <c r="L15326">
        <v>2</v>
      </c>
      <c r="M15326">
        <v>1902</v>
      </c>
      <c r="N15326">
        <v>40</v>
      </c>
      <c r="O15326">
        <v>164</v>
      </c>
      <c r="P15326">
        <v>128</v>
      </c>
      <c r="Q15326">
        <v>20</v>
      </c>
    </row>
    <row r="15327" spans="1:17" x14ac:dyDescent="0.2">
      <c r="A15327" s="121">
        <v>44500</v>
      </c>
      <c r="B15327" t="s">
        <v>406</v>
      </c>
      <c r="C15327" t="s">
        <v>510</v>
      </c>
      <c r="D15327" t="s">
        <v>535</v>
      </c>
      <c r="E15327" t="s">
        <v>536</v>
      </c>
      <c r="F15327" t="s">
        <v>410</v>
      </c>
      <c r="G15327">
        <v>229</v>
      </c>
      <c r="I15327">
        <v>228</v>
      </c>
    </row>
    <row r="15328" spans="1:17" x14ac:dyDescent="0.2">
      <c r="A15328" s="121">
        <v>44500</v>
      </c>
      <c r="B15328" t="s">
        <v>406</v>
      </c>
      <c r="C15328" t="s">
        <v>510</v>
      </c>
      <c r="D15328" t="s">
        <v>539</v>
      </c>
      <c r="E15328" t="s">
        <v>540</v>
      </c>
      <c r="F15328" t="s">
        <v>413</v>
      </c>
      <c r="G15328">
        <v>738</v>
      </c>
      <c r="H15328">
        <v>738</v>
      </c>
      <c r="I15328">
        <v>675</v>
      </c>
      <c r="J15328">
        <v>675</v>
      </c>
      <c r="K15328">
        <v>95</v>
      </c>
      <c r="L15328">
        <v>1</v>
      </c>
      <c r="M15328">
        <v>598</v>
      </c>
      <c r="N15328">
        <v>27</v>
      </c>
      <c r="O15328">
        <v>17</v>
      </c>
      <c r="P15328">
        <v>4</v>
      </c>
      <c r="Q15328">
        <v>0</v>
      </c>
    </row>
    <row r="15329" spans="1:17" x14ac:dyDescent="0.2">
      <c r="A15329" s="121">
        <v>44500</v>
      </c>
      <c r="B15329" t="s">
        <v>406</v>
      </c>
      <c r="C15329" t="s">
        <v>510</v>
      </c>
      <c r="D15329" t="s">
        <v>541</v>
      </c>
      <c r="E15329" t="s">
        <v>542</v>
      </c>
      <c r="F15329" t="s">
        <v>410</v>
      </c>
      <c r="G15329">
        <v>318</v>
      </c>
      <c r="I15329">
        <v>318</v>
      </c>
    </row>
    <row r="15330" spans="1:17" x14ac:dyDescent="0.2">
      <c r="A15330" s="121">
        <v>44500</v>
      </c>
      <c r="B15330" t="s">
        <v>406</v>
      </c>
      <c r="C15330" t="s">
        <v>510</v>
      </c>
      <c r="D15330" t="s">
        <v>543</v>
      </c>
      <c r="E15330" t="s">
        <v>544</v>
      </c>
      <c r="F15330" t="s">
        <v>410</v>
      </c>
      <c r="G15330">
        <v>66</v>
      </c>
      <c r="I15330">
        <v>66</v>
      </c>
    </row>
    <row r="15331" spans="1:17" x14ac:dyDescent="0.2">
      <c r="A15331" s="121">
        <v>44500</v>
      </c>
      <c r="B15331" t="s">
        <v>406</v>
      </c>
      <c r="C15331" t="s">
        <v>510</v>
      </c>
      <c r="D15331" t="s">
        <v>547</v>
      </c>
      <c r="E15331" t="s">
        <v>548</v>
      </c>
      <c r="F15331" t="s">
        <v>410</v>
      </c>
      <c r="G15331">
        <v>3</v>
      </c>
      <c r="I15331">
        <v>3</v>
      </c>
    </row>
    <row r="15332" spans="1:17" x14ac:dyDescent="0.2">
      <c r="A15332" s="121">
        <v>44500</v>
      </c>
      <c r="B15332" t="s">
        <v>406</v>
      </c>
      <c r="C15332" t="s">
        <v>510</v>
      </c>
      <c r="D15332" t="s">
        <v>616</v>
      </c>
      <c r="E15332" t="s">
        <v>617</v>
      </c>
      <c r="F15332" t="s">
        <v>410</v>
      </c>
      <c r="G15332">
        <v>284</v>
      </c>
      <c r="I15332">
        <v>282</v>
      </c>
    </row>
    <row r="15333" spans="1:17" x14ac:dyDescent="0.2">
      <c r="A15333" s="121">
        <v>44500</v>
      </c>
      <c r="B15333" t="s">
        <v>406</v>
      </c>
      <c r="C15333" t="s">
        <v>510</v>
      </c>
      <c r="D15333" t="s">
        <v>549</v>
      </c>
      <c r="E15333" t="s">
        <v>550</v>
      </c>
      <c r="F15333" t="s">
        <v>410</v>
      </c>
      <c r="G15333">
        <v>70</v>
      </c>
      <c r="I15333">
        <v>70</v>
      </c>
    </row>
    <row r="15334" spans="1:17" x14ac:dyDescent="0.2">
      <c r="A15334" s="121">
        <v>44500</v>
      </c>
      <c r="B15334" t="s">
        <v>406</v>
      </c>
      <c r="C15334" t="s">
        <v>510</v>
      </c>
      <c r="D15334" t="s">
        <v>625</v>
      </c>
      <c r="E15334" t="s">
        <v>626</v>
      </c>
      <c r="F15334" t="s">
        <v>410</v>
      </c>
      <c r="G15334">
        <v>101</v>
      </c>
      <c r="I15334">
        <v>99</v>
      </c>
    </row>
    <row r="15335" spans="1:17" x14ac:dyDescent="0.2">
      <c r="A15335" s="121">
        <v>44500</v>
      </c>
      <c r="B15335" t="s">
        <v>406</v>
      </c>
      <c r="C15335" t="s">
        <v>551</v>
      </c>
      <c r="D15335" t="s">
        <v>552</v>
      </c>
      <c r="E15335" t="s">
        <v>553</v>
      </c>
      <c r="F15335" t="s">
        <v>413</v>
      </c>
      <c r="G15335">
        <v>5507</v>
      </c>
      <c r="H15335">
        <v>5507</v>
      </c>
      <c r="I15335">
        <v>3875</v>
      </c>
      <c r="J15335">
        <v>3875</v>
      </c>
      <c r="K15335">
        <v>1790</v>
      </c>
      <c r="L15335">
        <v>8</v>
      </c>
      <c r="M15335">
        <v>3618</v>
      </c>
      <c r="N15335">
        <v>75</v>
      </c>
      <c r="O15335">
        <v>16</v>
      </c>
      <c r="P15335">
        <v>334</v>
      </c>
      <c r="Q15335">
        <v>89</v>
      </c>
    </row>
    <row r="15336" spans="1:17" x14ac:dyDescent="0.2">
      <c r="A15336" s="121">
        <v>44500</v>
      </c>
      <c r="B15336" t="s">
        <v>406</v>
      </c>
      <c r="C15336" t="s">
        <v>551</v>
      </c>
      <c r="D15336" t="s">
        <v>558</v>
      </c>
      <c r="E15336" t="s">
        <v>559</v>
      </c>
      <c r="F15336" t="s">
        <v>413</v>
      </c>
      <c r="G15336">
        <v>5099</v>
      </c>
      <c r="H15336">
        <v>5099</v>
      </c>
      <c r="I15336">
        <v>3414</v>
      </c>
      <c r="J15336">
        <v>3414</v>
      </c>
      <c r="K15336">
        <v>1427</v>
      </c>
      <c r="L15336">
        <v>15</v>
      </c>
      <c r="M15336">
        <v>3527</v>
      </c>
      <c r="N15336">
        <v>122</v>
      </c>
      <c r="O15336">
        <v>8</v>
      </c>
      <c r="P15336">
        <v>207</v>
      </c>
      <c r="Q15336">
        <v>42</v>
      </c>
    </row>
    <row r="15337" spans="1:17" x14ac:dyDescent="0.2">
      <c r="A15337" s="121">
        <v>44500</v>
      </c>
      <c r="B15337" t="s">
        <v>406</v>
      </c>
      <c r="C15337" t="s">
        <v>551</v>
      </c>
      <c r="D15337" t="s">
        <v>560</v>
      </c>
      <c r="E15337" t="s">
        <v>561</v>
      </c>
      <c r="F15337" t="s">
        <v>413</v>
      </c>
      <c r="G15337">
        <v>5950</v>
      </c>
      <c r="H15337">
        <v>5950</v>
      </c>
      <c r="I15337">
        <v>3471</v>
      </c>
      <c r="J15337">
        <v>3471</v>
      </c>
      <c r="K15337">
        <v>2090</v>
      </c>
      <c r="L15337">
        <v>9</v>
      </c>
      <c r="M15337">
        <v>3733</v>
      </c>
      <c r="N15337">
        <v>53</v>
      </c>
      <c r="O15337">
        <v>65</v>
      </c>
      <c r="P15337">
        <v>857</v>
      </c>
      <c r="Q15337">
        <v>148</v>
      </c>
    </row>
    <row r="15338" spans="1:17" x14ac:dyDescent="0.2">
      <c r="A15338" s="121">
        <v>44500</v>
      </c>
      <c r="B15338" t="s">
        <v>406</v>
      </c>
      <c r="C15338" t="s">
        <v>562</v>
      </c>
      <c r="D15338" t="s">
        <v>563</v>
      </c>
      <c r="E15338" t="s">
        <v>564</v>
      </c>
      <c r="F15338" t="s">
        <v>410</v>
      </c>
      <c r="G15338">
        <v>3343</v>
      </c>
      <c r="H15338">
        <v>3343</v>
      </c>
      <c r="I15338">
        <v>2163</v>
      </c>
      <c r="J15338">
        <v>2163</v>
      </c>
      <c r="K15338">
        <v>1193</v>
      </c>
      <c r="L15338">
        <v>0</v>
      </c>
      <c r="M15338">
        <v>2144</v>
      </c>
      <c r="N15338">
        <v>0</v>
      </c>
      <c r="O15338">
        <v>6</v>
      </c>
      <c r="P15338">
        <v>269</v>
      </c>
      <c r="Q15338">
        <v>102</v>
      </c>
    </row>
    <row r="15339" spans="1:17" x14ac:dyDescent="0.2">
      <c r="A15339" s="121">
        <v>44500</v>
      </c>
      <c r="B15339" t="s">
        <v>406</v>
      </c>
      <c r="C15339" t="s">
        <v>562</v>
      </c>
      <c r="D15339" t="s">
        <v>565</v>
      </c>
      <c r="E15339" t="s">
        <v>566</v>
      </c>
      <c r="F15339" t="s">
        <v>413</v>
      </c>
      <c r="G15339">
        <v>4694</v>
      </c>
      <c r="H15339">
        <v>4694</v>
      </c>
      <c r="I15339">
        <v>3110</v>
      </c>
      <c r="J15339">
        <v>3110</v>
      </c>
      <c r="K15339">
        <v>885</v>
      </c>
      <c r="L15339">
        <v>3</v>
      </c>
      <c r="M15339">
        <v>3393</v>
      </c>
      <c r="N15339">
        <v>100</v>
      </c>
      <c r="O15339">
        <v>313</v>
      </c>
      <c r="P15339">
        <v>466</v>
      </c>
      <c r="Q15339">
        <v>219</v>
      </c>
    </row>
    <row r="15340" spans="1:17" x14ac:dyDescent="0.2">
      <c r="A15340" s="121">
        <v>44500</v>
      </c>
      <c r="B15340" t="s">
        <v>406</v>
      </c>
      <c r="C15340" t="s">
        <v>562</v>
      </c>
      <c r="D15340" t="s">
        <v>567</v>
      </c>
      <c r="E15340" t="s">
        <v>568</v>
      </c>
      <c r="F15340" t="s">
        <v>413</v>
      </c>
      <c r="G15340">
        <v>10212</v>
      </c>
      <c r="H15340">
        <v>10212</v>
      </c>
      <c r="I15340">
        <v>5733</v>
      </c>
      <c r="J15340">
        <v>5733</v>
      </c>
      <c r="K15340">
        <v>3102</v>
      </c>
      <c r="L15340">
        <v>9</v>
      </c>
      <c r="M15340">
        <v>6900</v>
      </c>
      <c r="N15340">
        <v>127</v>
      </c>
      <c r="O15340">
        <v>74</v>
      </c>
      <c r="P15340">
        <v>1451</v>
      </c>
      <c r="Q15340">
        <v>661</v>
      </c>
    </row>
    <row r="15341" spans="1:17" x14ac:dyDescent="0.2">
      <c r="A15341" s="121">
        <v>44500</v>
      </c>
      <c r="B15341" t="s">
        <v>406</v>
      </c>
      <c r="C15341" t="s">
        <v>562</v>
      </c>
      <c r="D15341" t="s">
        <v>569</v>
      </c>
      <c r="E15341" t="s">
        <v>570</v>
      </c>
      <c r="F15341" t="s">
        <v>413</v>
      </c>
      <c r="G15341">
        <v>5068</v>
      </c>
      <c r="H15341">
        <v>5068</v>
      </c>
      <c r="I15341">
        <v>4806</v>
      </c>
      <c r="J15341">
        <v>4806</v>
      </c>
      <c r="K15341">
        <v>682</v>
      </c>
      <c r="L15341">
        <v>0</v>
      </c>
      <c r="M15341">
        <v>4351</v>
      </c>
      <c r="N15341">
        <v>1</v>
      </c>
      <c r="O15341">
        <v>34</v>
      </c>
      <c r="P15341">
        <v>6</v>
      </c>
      <c r="Q15341">
        <v>0</v>
      </c>
    </row>
    <row r="15342" spans="1:17" x14ac:dyDescent="0.2">
      <c r="A15342" s="121">
        <v>44500</v>
      </c>
      <c r="B15342" t="s">
        <v>406</v>
      </c>
      <c r="C15342" t="s">
        <v>571</v>
      </c>
      <c r="D15342" t="s">
        <v>572</v>
      </c>
      <c r="E15342" t="s">
        <v>627</v>
      </c>
      <c r="F15342" t="s">
        <v>413</v>
      </c>
      <c r="G15342">
        <v>457</v>
      </c>
      <c r="H15342">
        <v>457</v>
      </c>
      <c r="I15342">
        <v>436</v>
      </c>
      <c r="J15342">
        <v>436</v>
      </c>
      <c r="K15342">
        <v>123</v>
      </c>
      <c r="L15342">
        <v>0</v>
      </c>
      <c r="M15342">
        <v>326</v>
      </c>
      <c r="N15342">
        <v>5</v>
      </c>
      <c r="O15342">
        <v>3</v>
      </c>
      <c r="P15342">
        <v>1</v>
      </c>
      <c r="Q15342">
        <v>0</v>
      </c>
    </row>
    <row r="15343" spans="1:17" x14ac:dyDescent="0.2">
      <c r="A15343" s="121">
        <v>44500</v>
      </c>
      <c r="B15343" t="s">
        <v>406</v>
      </c>
      <c r="C15343" t="s">
        <v>574</v>
      </c>
      <c r="D15343" t="s">
        <v>575</v>
      </c>
      <c r="E15343" t="s">
        <v>576</v>
      </c>
      <c r="F15343" t="s">
        <v>413</v>
      </c>
      <c r="G15343">
        <v>544</v>
      </c>
      <c r="H15343">
        <v>544</v>
      </c>
      <c r="I15343">
        <v>521</v>
      </c>
      <c r="J15343">
        <v>521</v>
      </c>
      <c r="K15343">
        <v>134</v>
      </c>
      <c r="L15343">
        <v>1</v>
      </c>
      <c r="M15343">
        <v>403</v>
      </c>
      <c r="N15343">
        <v>1</v>
      </c>
      <c r="O15343">
        <v>5</v>
      </c>
      <c r="P15343">
        <v>1</v>
      </c>
      <c r="Q15343">
        <v>0</v>
      </c>
    </row>
    <row r="15344" spans="1:17" x14ac:dyDescent="0.2">
      <c r="A15344" s="121">
        <v>44500</v>
      </c>
      <c r="B15344" t="s">
        <v>406</v>
      </c>
      <c r="C15344" t="s">
        <v>577</v>
      </c>
      <c r="D15344" t="s">
        <v>578</v>
      </c>
      <c r="E15344" t="s">
        <v>579</v>
      </c>
      <c r="F15344" t="s">
        <v>413</v>
      </c>
      <c r="G15344">
        <v>4874</v>
      </c>
      <c r="H15344">
        <v>4874</v>
      </c>
      <c r="I15344">
        <v>4430</v>
      </c>
      <c r="J15344">
        <v>4430</v>
      </c>
      <c r="K15344">
        <v>1773</v>
      </c>
      <c r="L15344">
        <v>9</v>
      </c>
      <c r="M15344">
        <v>2852</v>
      </c>
      <c r="N15344">
        <v>164</v>
      </c>
      <c r="O15344">
        <v>76</v>
      </c>
      <c r="P15344">
        <v>3</v>
      </c>
      <c r="Q15344">
        <v>0</v>
      </c>
    </row>
    <row r="15345" spans="1:17" x14ac:dyDescent="0.2">
      <c r="A15345" s="121">
        <v>44500</v>
      </c>
      <c r="B15345" t="s">
        <v>406</v>
      </c>
      <c r="C15345" t="s">
        <v>577</v>
      </c>
      <c r="D15345" t="s">
        <v>580</v>
      </c>
      <c r="E15345" t="s">
        <v>581</v>
      </c>
      <c r="F15345" t="s">
        <v>413</v>
      </c>
      <c r="G15345">
        <v>1717</v>
      </c>
      <c r="H15345">
        <v>1717</v>
      </c>
      <c r="I15345">
        <v>1611</v>
      </c>
      <c r="J15345">
        <v>1611</v>
      </c>
      <c r="K15345">
        <v>260</v>
      </c>
      <c r="L15345">
        <v>1</v>
      </c>
      <c r="M15345">
        <v>1275</v>
      </c>
      <c r="N15345">
        <v>161</v>
      </c>
      <c r="O15345">
        <v>20</v>
      </c>
      <c r="P15345">
        <v>10</v>
      </c>
      <c r="Q15345">
        <v>3</v>
      </c>
    </row>
    <row r="15346" spans="1:17" x14ac:dyDescent="0.2">
      <c r="A15346" s="121">
        <v>44500</v>
      </c>
      <c r="B15346" t="s">
        <v>406</v>
      </c>
      <c r="C15346" t="s">
        <v>577</v>
      </c>
      <c r="D15346" t="s">
        <v>586</v>
      </c>
      <c r="E15346" t="s">
        <v>587</v>
      </c>
      <c r="F15346" t="s">
        <v>410</v>
      </c>
      <c r="G15346">
        <v>560</v>
      </c>
      <c r="H15346">
        <v>560</v>
      </c>
      <c r="I15346">
        <v>560</v>
      </c>
      <c r="J15346">
        <v>560</v>
      </c>
      <c r="K15346">
        <v>0</v>
      </c>
      <c r="L15346">
        <v>2</v>
      </c>
      <c r="M15346">
        <v>492</v>
      </c>
      <c r="N15346">
        <v>62</v>
      </c>
      <c r="O15346">
        <v>4</v>
      </c>
      <c r="P15346">
        <v>0</v>
      </c>
      <c r="Q15346">
        <v>0</v>
      </c>
    </row>
    <row r="15347" spans="1:17" x14ac:dyDescent="0.2">
      <c r="A15347" s="121">
        <v>44500</v>
      </c>
      <c r="B15347" t="s">
        <v>406</v>
      </c>
      <c r="C15347" t="s">
        <v>577</v>
      </c>
      <c r="D15347" t="s">
        <v>590</v>
      </c>
      <c r="E15347" t="s">
        <v>591</v>
      </c>
      <c r="F15347" t="s">
        <v>410</v>
      </c>
      <c r="G15347">
        <v>276</v>
      </c>
      <c r="H15347">
        <v>276</v>
      </c>
      <c r="I15347">
        <v>276</v>
      </c>
      <c r="J15347">
        <v>276</v>
      </c>
      <c r="K15347">
        <v>0</v>
      </c>
      <c r="L15347">
        <v>0</v>
      </c>
      <c r="M15347">
        <v>271</v>
      </c>
      <c r="N15347">
        <v>5</v>
      </c>
      <c r="O15347">
        <v>0</v>
      </c>
      <c r="P15347">
        <v>0</v>
      </c>
      <c r="Q15347">
        <v>0</v>
      </c>
    </row>
    <row r="15348" spans="1:17" x14ac:dyDescent="0.2">
      <c r="A15348" s="121">
        <v>44500</v>
      </c>
      <c r="B15348" t="s">
        <v>406</v>
      </c>
      <c r="C15348" t="s">
        <v>594</v>
      </c>
      <c r="D15348" t="s">
        <v>595</v>
      </c>
      <c r="E15348" t="s">
        <v>596</v>
      </c>
      <c r="F15348" t="s">
        <v>410</v>
      </c>
      <c r="G15348">
        <v>38</v>
      </c>
      <c r="I15348">
        <v>38</v>
      </c>
    </row>
    <row r="15349" spans="1:17" x14ac:dyDescent="0.2">
      <c r="A15349" s="121">
        <v>44500</v>
      </c>
      <c r="B15349" t="s">
        <v>406</v>
      </c>
      <c r="C15349" t="s">
        <v>594</v>
      </c>
      <c r="D15349" t="s">
        <v>597</v>
      </c>
      <c r="E15349" t="s">
        <v>598</v>
      </c>
      <c r="F15349" t="s">
        <v>413</v>
      </c>
      <c r="G15349">
        <v>334</v>
      </c>
      <c r="H15349">
        <v>334</v>
      </c>
      <c r="I15349">
        <v>326</v>
      </c>
      <c r="J15349">
        <v>326</v>
      </c>
      <c r="K15349">
        <v>117</v>
      </c>
      <c r="L15349">
        <v>1</v>
      </c>
      <c r="M15349">
        <v>209</v>
      </c>
      <c r="N15349">
        <v>3</v>
      </c>
      <c r="O15349">
        <v>4</v>
      </c>
      <c r="P15349">
        <v>0</v>
      </c>
      <c r="Q15349">
        <v>0</v>
      </c>
    </row>
    <row r="15350" spans="1:17" x14ac:dyDescent="0.2">
      <c r="A15350" s="121">
        <v>44500</v>
      </c>
      <c r="B15350" t="s">
        <v>406</v>
      </c>
      <c r="C15350" t="s">
        <v>594</v>
      </c>
      <c r="D15350" t="s">
        <v>599</v>
      </c>
      <c r="E15350" t="s">
        <v>600</v>
      </c>
      <c r="F15350" t="s">
        <v>410</v>
      </c>
      <c r="G15350">
        <v>66</v>
      </c>
      <c r="H15350">
        <v>66</v>
      </c>
      <c r="I15350">
        <v>65</v>
      </c>
      <c r="J15350">
        <v>65</v>
      </c>
      <c r="K15350">
        <v>3</v>
      </c>
      <c r="L15350">
        <v>0</v>
      </c>
      <c r="M15350">
        <v>63</v>
      </c>
      <c r="N15350">
        <v>0</v>
      </c>
      <c r="O15350">
        <v>0</v>
      </c>
      <c r="P15350">
        <v>0</v>
      </c>
      <c r="Q15350">
        <v>0</v>
      </c>
    </row>
    <row r="15351" spans="1:17" x14ac:dyDescent="0.2">
      <c r="A15351" s="121">
        <v>44530</v>
      </c>
      <c r="B15351" t="s">
        <v>406</v>
      </c>
      <c r="C15351" t="s">
        <v>407</v>
      </c>
      <c r="D15351" t="s">
        <v>408</v>
      </c>
      <c r="E15351" t="s">
        <v>409</v>
      </c>
      <c r="F15351" t="s">
        <v>410</v>
      </c>
      <c r="G15351">
        <v>166</v>
      </c>
      <c r="I15351">
        <v>162</v>
      </c>
    </row>
    <row r="15352" spans="1:17" x14ac:dyDescent="0.2">
      <c r="A15352" s="121">
        <v>44530</v>
      </c>
      <c r="B15352" t="s">
        <v>406</v>
      </c>
      <c r="C15352" t="s">
        <v>407</v>
      </c>
      <c r="D15352" t="s">
        <v>601</v>
      </c>
      <c r="E15352" t="s">
        <v>602</v>
      </c>
      <c r="F15352" t="s">
        <v>410</v>
      </c>
      <c r="G15352">
        <v>44</v>
      </c>
      <c r="I15352">
        <v>42</v>
      </c>
    </row>
    <row r="15353" spans="1:17" x14ac:dyDescent="0.2">
      <c r="A15353" s="121">
        <v>44530</v>
      </c>
      <c r="B15353" t="s">
        <v>406</v>
      </c>
      <c r="C15353" t="s">
        <v>407</v>
      </c>
      <c r="D15353" t="s">
        <v>411</v>
      </c>
      <c r="E15353" t="s">
        <v>412</v>
      </c>
      <c r="F15353" t="s">
        <v>413</v>
      </c>
      <c r="G15353">
        <v>4861</v>
      </c>
      <c r="H15353">
        <v>4861</v>
      </c>
      <c r="I15353">
        <v>3567</v>
      </c>
      <c r="J15353">
        <v>3567</v>
      </c>
      <c r="K15353">
        <v>1606</v>
      </c>
      <c r="L15353">
        <v>11</v>
      </c>
      <c r="M15353">
        <v>2927</v>
      </c>
      <c r="N15353">
        <v>45</v>
      </c>
      <c r="O15353">
        <v>272</v>
      </c>
      <c r="P15353">
        <v>578</v>
      </c>
      <c r="Q15353">
        <v>322</v>
      </c>
    </row>
    <row r="15354" spans="1:17" x14ac:dyDescent="0.2">
      <c r="A15354" s="121">
        <v>44530</v>
      </c>
      <c r="B15354" t="s">
        <v>406</v>
      </c>
      <c r="C15354" t="s">
        <v>407</v>
      </c>
      <c r="D15354" t="s">
        <v>416</v>
      </c>
      <c r="E15354" t="s">
        <v>417</v>
      </c>
      <c r="F15354" t="s">
        <v>413</v>
      </c>
      <c r="G15354">
        <v>2165</v>
      </c>
      <c r="H15354">
        <v>2165</v>
      </c>
      <c r="I15354">
        <v>1592</v>
      </c>
      <c r="J15354">
        <v>1592</v>
      </c>
      <c r="K15354">
        <v>620</v>
      </c>
      <c r="L15354">
        <v>3</v>
      </c>
      <c r="M15354">
        <v>1438</v>
      </c>
      <c r="N15354">
        <v>83</v>
      </c>
      <c r="O15354">
        <v>21</v>
      </c>
      <c r="P15354">
        <v>236</v>
      </c>
      <c r="Q15354">
        <v>107</v>
      </c>
    </row>
    <row r="15355" spans="1:17" x14ac:dyDescent="0.2">
      <c r="A15355" s="121">
        <v>44530</v>
      </c>
      <c r="B15355" t="s">
        <v>406</v>
      </c>
      <c r="C15355" t="s">
        <v>407</v>
      </c>
      <c r="D15355" t="s">
        <v>618</v>
      </c>
      <c r="E15355" t="s">
        <v>619</v>
      </c>
      <c r="F15355" t="s">
        <v>410</v>
      </c>
      <c r="G15355">
        <v>61</v>
      </c>
      <c r="I15355">
        <v>61</v>
      </c>
    </row>
    <row r="15356" spans="1:17" x14ac:dyDescent="0.2">
      <c r="A15356" s="121">
        <v>44530</v>
      </c>
      <c r="B15356" t="s">
        <v>406</v>
      </c>
      <c r="C15356" t="s">
        <v>418</v>
      </c>
      <c r="D15356" t="s">
        <v>427</v>
      </c>
      <c r="E15356" t="s">
        <v>428</v>
      </c>
      <c r="F15356" t="s">
        <v>413</v>
      </c>
      <c r="G15356">
        <v>2217</v>
      </c>
      <c r="H15356">
        <v>2217</v>
      </c>
      <c r="I15356">
        <v>1543</v>
      </c>
      <c r="J15356">
        <v>1543</v>
      </c>
      <c r="K15356">
        <v>724</v>
      </c>
      <c r="L15356">
        <v>2</v>
      </c>
      <c r="M15356">
        <v>1433</v>
      </c>
      <c r="N15356">
        <v>51</v>
      </c>
      <c r="O15356">
        <v>7</v>
      </c>
      <c r="P15356">
        <v>260</v>
      </c>
      <c r="Q15356">
        <v>135</v>
      </c>
    </row>
    <row r="15357" spans="1:17" x14ac:dyDescent="0.2">
      <c r="A15357" s="121">
        <v>44530</v>
      </c>
      <c r="B15357" t="s">
        <v>406</v>
      </c>
      <c r="C15357" t="s">
        <v>429</v>
      </c>
      <c r="D15357" t="s">
        <v>438</v>
      </c>
      <c r="E15357" t="s">
        <v>439</v>
      </c>
      <c r="F15357" t="s">
        <v>413</v>
      </c>
      <c r="G15357">
        <v>852</v>
      </c>
      <c r="H15357">
        <v>852</v>
      </c>
      <c r="I15357">
        <v>773</v>
      </c>
      <c r="J15357">
        <v>773</v>
      </c>
      <c r="K15357">
        <v>54</v>
      </c>
      <c r="L15357">
        <v>0</v>
      </c>
      <c r="M15357">
        <v>705</v>
      </c>
      <c r="N15357">
        <v>56</v>
      </c>
      <c r="O15357">
        <v>37</v>
      </c>
      <c r="P15357">
        <v>18</v>
      </c>
      <c r="Q15357">
        <v>3</v>
      </c>
    </row>
    <row r="15358" spans="1:17" x14ac:dyDescent="0.2">
      <c r="A15358" s="121">
        <v>44530</v>
      </c>
      <c r="B15358" t="s">
        <v>406</v>
      </c>
      <c r="C15358" t="s">
        <v>429</v>
      </c>
      <c r="D15358" t="s">
        <v>440</v>
      </c>
      <c r="E15358" t="s">
        <v>441</v>
      </c>
      <c r="F15358" t="s">
        <v>413</v>
      </c>
      <c r="G15358">
        <v>2407</v>
      </c>
      <c r="H15358">
        <v>2407</v>
      </c>
      <c r="I15358">
        <v>1868</v>
      </c>
      <c r="J15358">
        <v>1868</v>
      </c>
      <c r="K15358">
        <v>758</v>
      </c>
      <c r="L15358">
        <v>3</v>
      </c>
      <c r="M15358">
        <v>1557</v>
      </c>
      <c r="N15358">
        <v>30</v>
      </c>
      <c r="O15358">
        <v>59</v>
      </c>
      <c r="P15358">
        <v>96</v>
      </c>
      <c r="Q15358">
        <v>11</v>
      </c>
    </row>
    <row r="15359" spans="1:17" x14ac:dyDescent="0.2">
      <c r="A15359" s="121">
        <v>44530</v>
      </c>
      <c r="B15359" t="s">
        <v>406</v>
      </c>
      <c r="C15359" t="s">
        <v>442</v>
      </c>
      <c r="D15359" t="s">
        <v>443</v>
      </c>
      <c r="E15359" t="s">
        <v>444</v>
      </c>
      <c r="F15359" t="s">
        <v>413</v>
      </c>
      <c r="G15359">
        <v>5101</v>
      </c>
      <c r="H15359">
        <v>5101</v>
      </c>
      <c r="I15359">
        <v>3808</v>
      </c>
      <c r="J15359">
        <v>3808</v>
      </c>
      <c r="K15359">
        <v>1606</v>
      </c>
      <c r="L15359">
        <v>7</v>
      </c>
      <c r="M15359">
        <v>3314</v>
      </c>
      <c r="N15359">
        <v>76</v>
      </c>
      <c r="O15359">
        <v>98</v>
      </c>
      <c r="P15359">
        <v>190</v>
      </c>
      <c r="Q15359">
        <v>21</v>
      </c>
    </row>
    <row r="15360" spans="1:17" x14ac:dyDescent="0.2">
      <c r="A15360" s="121">
        <v>44530</v>
      </c>
      <c r="B15360" t="s">
        <v>406</v>
      </c>
      <c r="C15360" t="s">
        <v>442</v>
      </c>
      <c r="D15360" t="s">
        <v>445</v>
      </c>
      <c r="E15360" t="s">
        <v>446</v>
      </c>
      <c r="F15360" t="s">
        <v>410</v>
      </c>
      <c r="G15360">
        <v>143</v>
      </c>
      <c r="H15360">
        <v>143</v>
      </c>
      <c r="I15360">
        <v>137</v>
      </c>
      <c r="J15360">
        <v>137</v>
      </c>
      <c r="K15360">
        <v>1</v>
      </c>
      <c r="L15360">
        <v>0</v>
      </c>
      <c r="M15360">
        <v>140</v>
      </c>
      <c r="N15360">
        <v>2</v>
      </c>
      <c r="O15360">
        <v>0</v>
      </c>
      <c r="P15360">
        <v>0</v>
      </c>
      <c r="Q15360">
        <v>0</v>
      </c>
    </row>
    <row r="15361" spans="1:17" x14ac:dyDescent="0.2">
      <c r="A15361" s="121">
        <v>44530</v>
      </c>
      <c r="B15361" t="s">
        <v>406</v>
      </c>
      <c r="C15361" t="s">
        <v>442</v>
      </c>
      <c r="D15361" t="s">
        <v>447</v>
      </c>
      <c r="E15361" t="s">
        <v>448</v>
      </c>
      <c r="F15361" t="s">
        <v>410</v>
      </c>
      <c r="G15361">
        <v>221</v>
      </c>
      <c r="H15361">
        <v>221</v>
      </c>
      <c r="I15361">
        <v>221</v>
      </c>
      <c r="J15361">
        <v>221</v>
      </c>
      <c r="K15361">
        <v>0</v>
      </c>
      <c r="L15361">
        <v>0</v>
      </c>
      <c r="M15361">
        <v>218</v>
      </c>
      <c r="N15361">
        <v>3</v>
      </c>
      <c r="O15361">
        <v>0</v>
      </c>
      <c r="P15361">
        <v>0</v>
      </c>
      <c r="Q15361">
        <v>0</v>
      </c>
    </row>
    <row r="15362" spans="1:17" x14ac:dyDescent="0.2">
      <c r="A15362" s="121">
        <v>44530</v>
      </c>
      <c r="B15362" t="s">
        <v>406</v>
      </c>
      <c r="C15362" t="s">
        <v>442</v>
      </c>
      <c r="D15362" t="s">
        <v>449</v>
      </c>
      <c r="E15362" t="s">
        <v>624</v>
      </c>
      <c r="F15362" t="s">
        <v>410</v>
      </c>
      <c r="G15362">
        <v>940</v>
      </c>
      <c r="H15362">
        <v>940</v>
      </c>
      <c r="I15362">
        <v>940</v>
      </c>
      <c r="J15362">
        <v>940</v>
      </c>
      <c r="K15362">
        <v>7</v>
      </c>
      <c r="L15362">
        <v>0</v>
      </c>
      <c r="M15362">
        <v>855</v>
      </c>
      <c r="N15362">
        <v>73</v>
      </c>
      <c r="O15362">
        <v>5</v>
      </c>
      <c r="P15362">
        <v>0</v>
      </c>
      <c r="Q15362">
        <v>0</v>
      </c>
    </row>
    <row r="15363" spans="1:17" x14ac:dyDescent="0.2">
      <c r="A15363" s="121">
        <v>44530</v>
      </c>
      <c r="B15363" t="s">
        <v>406</v>
      </c>
      <c r="C15363" t="s">
        <v>451</v>
      </c>
      <c r="D15363" t="s">
        <v>454</v>
      </c>
      <c r="E15363" t="s">
        <v>621</v>
      </c>
      <c r="F15363" t="s">
        <v>410</v>
      </c>
      <c r="G15363">
        <v>1690</v>
      </c>
      <c r="H15363">
        <v>1690</v>
      </c>
      <c r="I15363">
        <v>1689</v>
      </c>
      <c r="J15363">
        <v>1689</v>
      </c>
      <c r="K15363">
        <v>5</v>
      </c>
      <c r="L15363">
        <v>0</v>
      </c>
      <c r="M15363">
        <v>1559</v>
      </c>
      <c r="N15363">
        <v>1</v>
      </c>
      <c r="O15363">
        <v>125</v>
      </c>
      <c r="P15363">
        <v>0</v>
      </c>
      <c r="Q15363">
        <v>0</v>
      </c>
    </row>
    <row r="15364" spans="1:17" x14ac:dyDescent="0.2">
      <c r="A15364" s="121">
        <v>44530</v>
      </c>
      <c r="B15364" t="s">
        <v>406</v>
      </c>
      <c r="C15364" t="s">
        <v>451</v>
      </c>
      <c r="D15364" t="s">
        <v>622</v>
      </c>
      <c r="E15364" t="s">
        <v>623</v>
      </c>
      <c r="F15364" t="s">
        <v>413</v>
      </c>
      <c r="G15364">
        <v>4750</v>
      </c>
      <c r="H15364">
        <v>4750</v>
      </c>
      <c r="I15364">
        <v>2582</v>
      </c>
      <c r="J15364">
        <v>2582</v>
      </c>
      <c r="K15364">
        <v>1520</v>
      </c>
      <c r="L15364">
        <v>12</v>
      </c>
      <c r="M15364">
        <v>2718</v>
      </c>
      <c r="N15364">
        <v>32</v>
      </c>
      <c r="O15364">
        <v>468</v>
      </c>
      <c r="P15364">
        <v>482</v>
      </c>
      <c r="Q15364">
        <v>92</v>
      </c>
    </row>
    <row r="15365" spans="1:17" x14ac:dyDescent="0.2">
      <c r="A15365" s="121">
        <v>44530</v>
      </c>
      <c r="B15365" t="s">
        <v>406</v>
      </c>
      <c r="C15365" t="s">
        <v>456</v>
      </c>
      <c r="D15365" t="s">
        <v>457</v>
      </c>
      <c r="E15365" t="s">
        <v>458</v>
      </c>
      <c r="F15365" t="s">
        <v>413</v>
      </c>
      <c r="G15365">
        <v>3972</v>
      </c>
      <c r="H15365">
        <v>3972</v>
      </c>
      <c r="I15365">
        <v>2327</v>
      </c>
      <c r="J15365">
        <v>2327</v>
      </c>
      <c r="K15365">
        <v>1295</v>
      </c>
      <c r="L15365">
        <v>17</v>
      </c>
      <c r="M15365">
        <v>2419</v>
      </c>
      <c r="N15365">
        <v>10</v>
      </c>
      <c r="O15365">
        <v>231</v>
      </c>
      <c r="P15365">
        <v>286</v>
      </c>
      <c r="Q15365">
        <v>29</v>
      </c>
    </row>
    <row r="15366" spans="1:17" x14ac:dyDescent="0.2">
      <c r="A15366" s="121">
        <v>44530</v>
      </c>
      <c r="B15366" t="s">
        <v>406</v>
      </c>
      <c r="C15366" t="s">
        <v>456</v>
      </c>
      <c r="D15366" t="s">
        <v>459</v>
      </c>
      <c r="E15366" t="s">
        <v>460</v>
      </c>
      <c r="F15366" t="s">
        <v>413</v>
      </c>
      <c r="G15366">
        <v>1306</v>
      </c>
      <c r="H15366">
        <v>1306</v>
      </c>
      <c r="I15366">
        <v>1199</v>
      </c>
      <c r="J15366">
        <v>1199</v>
      </c>
      <c r="K15366">
        <v>179</v>
      </c>
      <c r="L15366">
        <v>1</v>
      </c>
      <c r="M15366">
        <v>1094</v>
      </c>
      <c r="N15366">
        <v>3</v>
      </c>
      <c r="O15366">
        <v>29</v>
      </c>
      <c r="P15366">
        <v>4</v>
      </c>
      <c r="Q15366">
        <v>1</v>
      </c>
    </row>
    <row r="15367" spans="1:17" x14ac:dyDescent="0.2">
      <c r="A15367" s="121">
        <v>44530</v>
      </c>
      <c r="B15367" t="s">
        <v>406</v>
      </c>
      <c r="C15367" t="s">
        <v>456</v>
      </c>
      <c r="D15367" t="s">
        <v>467</v>
      </c>
      <c r="E15367" t="s">
        <v>468</v>
      </c>
      <c r="F15367" t="s">
        <v>410</v>
      </c>
      <c r="G15367">
        <v>360</v>
      </c>
      <c r="I15367">
        <v>359</v>
      </c>
    </row>
    <row r="15368" spans="1:17" x14ac:dyDescent="0.2">
      <c r="A15368" s="121">
        <v>44530</v>
      </c>
      <c r="B15368" t="s">
        <v>406</v>
      </c>
      <c r="C15368" t="s">
        <v>456</v>
      </c>
      <c r="D15368" t="s">
        <v>469</v>
      </c>
      <c r="E15368" t="s">
        <v>470</v>
      </c>
      <c r="F15368" t="s">
        <v>410</v>
      </c>
      <c r="G15368">
        <v>407</v>
      </c>
      <c r="I15368">
        <v>406</v>
      </c>
    </row>
    <row r="15369" spans="1:17" x14ac:dyDescent="0.2">
      <c r="A15369" s="121">
        <v>44530</v>
      </c>
      <c r="B15369" t="s">
        <v>406</v>
      </c>
      <c r="C15369" t="s">
        <v>456</v>
      </c>
      <c r="D15369" t="s">
        <v>471</v>
      </c>
      <c r="E15369" t="s">
        <v>472</v>
      </c>
      <c r="F15369" t="s">
        <v>410</v>
      </c>
      <c r="G15369">
        <v>218</v>
      </c>
      <c r="I15369">
        <v>213</v>
      </c>
    </row>
    <row r="15370" spans="1:17" x14ac:dyDescent="0.2">
      <c r="A15370" s="121">
        <v>44530</v>
      </c>
      <c r="B15370" t="s">
        <v>406</v>
      </c>
      <c r="C15370" t="s">
        <v>456</v>
      </c>
      <c r="D15370" t="s">
        <v>477</v>
      </c>
      <c r="E15370" t="s">
        <v>478</v>
      </c>
      <c r="F15370" t="s">
        <v>413</v>
      </c>
      <c r="G15370">
        <v>2023</v>
      </c>
      <c r="H15370">
        <v>2023</v>
      </c>
      <c r="I15370">
        <v>1673</v>
      </c>
      <c r="J15370">
        <v>1673</v>
      </c>
      <c r="K15370">
        <v>577</v>
      </c>
      <c r="L15370">
        <v>1</v>
      </c>
      <c r="M15370">
        <v>1427</v>
      </c>
      <c r="N15370">
        <v>18</v>
      </c>
      <c r="O15370">
        <v>0</v>
      </c>
      <c r="P15370">
        <v>63</v>
      </c>
      <c r="Q15370">
        <v>18</v>
      </c>
    </row>
    <row r="15371" spans="1:17" x14ac:dyDescent="0.2">
      <c r="A15371" s="121">
        <v>44530</v>
      </c>
      <c r="B15371" t="s">
        <v>406</v>
      </c>
      <c r="C15371" t="s">
        <v>491</v>
      </c>
      <c r="D15371" t="s">
        <v>492</v>
      </c>
      <c r="E15371" t="s">
        <v>493</v>
      </c>
      <c r="F15371" t="s">
        <v>410</v>
      </c>
      <c r="G15371">
        <v>1135</v>
      </c>
      <c r="H15371">
        <v>1135</v>
      </c>
      <c r="I15371">
        <v>1067</v>
      </c>
      <c r="J15371">
        <v>1067</v>
      </c>
      <c r="K15371">
        <v>152</v>
      </c>
      <c r="L15371">
        <v>0</v>
      </c>
      <c r="M15371">
        <v>930</v>
      </c>
      <c r="N15371">
        <v>48</v>
      </c>
      <c r="O15371">
        <v>5</v>
      </c>
      <c r="P15371">
        <v>4</v>
      </c>
      <c r="Q15371">
        <v>0</v>
      </c>
    </row>
    <row r="15372" spans="1:17" x14ac:dyDescent="0.2">
      <c r="A15372" s="121">
        <v>44530</v>
      </c>
      <c r="B15372" t="s">
        <v>406</v>
      </c>
      <c r="C15372" t="s">
        <v>491</v>
      </c>
      <c r="D15372" t="s">
        <v>494</v>
      </c>
      <c r="E15372" t="s">
        <v>495</v>
      </c>
      <c r="F15372" t="s">
        <v>413</v>
      </c>
      <c r="G15372">
        <v>2286</v>
      </c>
      <c r="H15372">
        <v>2286</v>
      </c>
      <c r="I15372">
        <v>1762</v>
      </c>
      <c r="J15372">
        <v>1762</v>
      </c>
      <c r="K15372">
        <v>516</v>
      </c>
      <c r="L15372">
        <v>9</v>
      </c>
      <c r="M15372">
        <v>1630</v>
      </c>
      <c r="N15372">
        <v>84</v>
      </c>
      <c r="O15372">
        <v>47</v>
      </c>
      <c r="P15372">
        <v>56</v>
      </c>
      <c r="Q15372">
        <v>4</v>
      </c>
    </row>
    <row r="15373" spans="1:17" x14ac:dyDescent="0.2">
      <c r="A15373" s="121">
        <v>44530</v>
      </c>
      <c r="B15373" t="s">
        <v>406</v>
      </c>
      <c r="C15373" t="s">
        <v>491</v>
      </c>
      <c r="D15373" t="s">
        <v>496</v>
      </c>
      <c r="E15373" t="s">
        <v>497</v>
      </c>
      <c r="F15373" t="s">
        <v>413</v>
      </c>
      <c r="G15373">
        <v>4406</v>
      </c>
      <c r="H15373">
        <v>4406</v>
      </c>
      <c r="I15373">
        <v>2916</v>
      </c>
      <c r="J15373">
        <v>2916</v>
      </c>
      <c r="K15373">
        <v>1377</v>
      </c>
      <c r="L15373">
        <v>15</v>
      </c>
      <c r="M15373">
        <v>2881</v>
      </c>
      <c r="N15373">
        <v>70</v>
      </c>
      <c r="O15373">
        <v>63</v>
      </c>
      <c r="P15373">
        <v>345</v>
      </c>
      <c r="Q15373">
        <v>59</v>
      </c>
    </row>
    <row r="15374" spans="1:17" x14ac:dyDescent="0.2">
      <c r="A15374" s="121">
        <v>44530</v>
      </c>
      <c r="B15374" t="s">
        <v>406</v>
      </c>
      <c r="C15374" t="s">
        <v>491</v>
      </c>
      <c r="D15374" t="s">
        <v>498</v>
      </c>
      <c r="E15374" t="s">
        <v>499</v>
      </c>
      <c r="F15374" t="s">
        <v>413</v>
      </c>
      <c r="G15374">
        <v>6720</v>
      </c>
      <c r="H15374">
        <v>6720</v>
      </c>
      <c r="I15374">
        <v>5103</v>
      </c>
      <c r="J15374">
        <v>5103</v>
      </c>
      <c r="K15374">
        <v>1990</v>
      </c>
      <c r="L15374">
        <v>13</v>
      </c>
      <c r="M15374">
        <v>4332</v>
      </c>
      <c r="N15374">
        <v>121</v>
      </c>
      <c r="O15374">
        <v>264</v>
      </c>
      <c r="P15374">
        <v>163</v>
      </c>
      <c r="Q15374">
        <v>10</v>
      </c>
    </row>
    <row r="15375" spans="1:17" x14ac:dyDescent="0.2">
      <c r="A15375" s="121">
        <v>44530</v>
      </c>
      <c r="B15375" t="s">
        <v>406</v>
      </c>
      <c r="C15375" t="s">
        <v>491</v>
      </c>
      <c r="D15375" t="s">
        <v>500</v>
      </c>
      <c r="E15375" t="s">
        <v>620</v>
      </c>
      <c r="F15375" t="s">
        <v>410</v>
      </c>
      <c r="G15375">
        <v>1687</v>
      </c>
      <c r="H15375">
        <v>1687</v>
      </c>
      <c r="I15375">
        <v>1684</v>
      </c>
      <c r="J15375">
        <v>1684</v>
      </c>
      <c r="K15375">
        <v>0</v>
      </c>
      <c r="L15375">
        <v>2</v>
      </c>
      <c r="M15375">
        <v>1508</v>
      </c>
      <c r="N15375">
        <v>105</v>
      </c>
      <c r="O15375">
        <v>72</v>
      </c>
      <c r="P15375">
        <v>0</v>
      </c>
      <c r="Q15375">
        <v>0</v>
      </c>
    </row>
    <row r="15376" spans="1:17" x14ac:dyDescent="0.2">
      <c r="A15376" s="121">
        <v>44530</v>
      </c>
      <c r="B15376" t="s">
        <v>406</v>
      </c>
      <c r="C15376" t="s">
        <v>491</v>
      </c>
      <c r="D15376" t="s">
        <v>502</v>
      </c>
      <c r="E15376" t="s">
        <v>615</v>
      </c>
      <c r="F15376" t="s">
        <v>410</v>
      </c>
      <c r="G15376">
        <v>1872</v>
      </c>
      <c r="H15376">
        <v>1872</v>
      </c>
      <c r="I15376">
        <v>1872</v>
      </c>
      <c r="J15376">
        <v>1872</v>
      </c>
      <c r="K15376">
        <v>0</v>
      </c>
      <c r="L15376">
        <v>2</v>
      </c>
      <c r="M15376">
        <v>1785</v>
      </c>
      <c r="N15376">
        <v>62</v>
      </c>
      <c r="O15376">
        <v>23</v>
      </c>
      <c r="P15376">
        <v>0</v>
      </c>
      <c r="Q15376">
        <v>0</v>
      </c>
    </row>
    <row r="15377" spans="1:17" x14ac:dyDescent="0.2">
      <c r="A15377" s="121">
        <v>44530</v>
      </c>
      <c r="B15377" t="s">
        <v>406</v>
      </c>
      <c r="C15377" t="s">
        <v>491</v>
      </c>
      <c r="D15377" t="s">
        <v>504</v>
      </c>
      <c r="E15377" t="s">
        <v>630</v>
      </c>
      <c r="F15377" t="s">
        <v>413</v>
      </c>
      <c r="G15377">
        <v>7037</v>
      </c>
      <c r="H15377">
        <v>7037</v>
      </c>
      <c r="I15377">
        <v>4245</v>
      </c>
      <c r="J15377">
        <v>4245</v>
      </c>
      <c r="K15377">
        <v>2518</v>
      </c>
      <c r="L15377">
        <v>23</v>
      </c>
      <c r="M15377">
        <v>4296</v>
      </c>
      <c r="N15377">
        <v>37</v>
      </c>
      <c r="O15377">
        <v>163</v>
      </c>
      <c r="P15377">
        <v>356</v>
      </c>
      <c r="Q15377">
        <v>55</v>
      </c>
    </row>
    <row r="15378" spans="1:17" x14ac:dyDescent="0.2">
      <c r="A15378" s="121">
        <v>44530</v>
      </c>
      <c r="B15378" t="s">
        <v>406</v>
      </c>
      <c r="C15378" t="s">
        <v>491</v>
      </c>
      <c r="D15378" t="s">
        <v>506</v>
      </c>
      <c r="E15378" t="s">
        <v>507</v>
      </c>
      <c r="F15378" t="s">
        <v>413</v>
      </c>
      <c r="G15378">
        <v>6486</v>
      </c>
      <c r="H15378">
        <v>6486</v>
      </c>
      <c r="I15378">
        <v>5606</v>
      </c>
      <c r="J15378">
        <v>5606</v>
      </c>
      <c r="K15378">
        <v>1504</v>
      </c>
      <c r="L15378">
        <v>3</v>
      </c>
      <c r="M15378">
        <v>4940</v>
      </c>
      <c r="N15378">
        <v>2</v>
      </c>
      <c r="O15378">
        <v>37</v>
      </c>
      <c r="P15378">
        <v>17</v>
      </c>
      <c r="Q15378">
        <v>1</v>
      </c>
    </row>
    <row r="15379" spans="1:17" x14ac:dyDescent="0.2">
      <c r="A15379" s="121">
        <v>44530</v>
      </c>
      <c r="B15379" t="s">
        <v>406</v>
      </c>
      <c r="C15379" t="s">
        <v>510</v>
      </c>
      <c r="D15379" t="s">
        <v>513</v>
      </c>
      <c r="E15379" t="s">
        <v>514</v>
      </c>
      <c r="F15379" t="s">
        <v>410</v>
      </c>
      <c r="G15379">
        <v>538</v>
      </c>
      <c r="I15379">
        <v>530</v>
      </c>
    </row>
    <row r="15380" spans="1:17" x14ac:dyDescent="0.2">
      <c r="A15380" s="121">
        <v>44530</v>
      </c>
      <c r="B15380" t="s">
        <v>406</v>
      </c>
      <c r="C15380" t="s">
        <v>510</v>
      </c>
      <c r="D15380" t="s">
        <v>515</v>
      </c>
      <c r="E15380" t="s">
        <v>516</v>
      </c>
      <c r="F15380" t="s">
        <v>410</v>
      </c>
      <c r="G15380">
        <v>46</v>
      </c>
      <c r="I15380">
        <v>43</v>
      </c>
    </row>
    <row r="15381" spans="1:17" x14ac:dyDescent="0.2">
      <c r="A15381" s="121">
        <v>44530</v>
      </c>
      <c r="B15381" t="s">
        <v>406</v>
      </c>
      <c r="C15381" t="s">
        <v>510</v>
      </c>
      <c r="D15381" t="s">
        <v>519</v>
      </c>
      <c r="E15381" t="s">
        <v>520</v>
      </c>
      <c r="F15381" t="s">
        <v>410</v>
      </c>
      <c r="G15381">
        <v>255</v>
      </c>
      <c r="I15381">
        <v>249</v>
      </c>
    </row>
    <row r="15382" spans="1:17" x14ac:dyDescent="0.2">
      <c r="A15382" s="121">
        <v>44530</v>
      </c>
      <c r="B15382" t="s">
        <v>406</v>
      </c>
      <c r="C15382" t="s">
        <v>510</v>
      </c>
      <c r="D15382" t="s">
        <v>523</v>
      </c>
      <c r="E15382" t="s">
        <v>524</v>
      </c>
      <c r="F15382" t="s">
        <v>413</v>
      </c>
      <c r="G15382">
        <v>595</v>
      </c>
      <c r="H15382">
        <v>595</v>
      </c>
      <c r="I15382">
        <v>570</v>
      </c>
      <c r="J15382">
        <v>570</v>
      </c>
      <c r="K15382">
        <v>157</v>
      </c>
      <c r="L15382">
        <v>1</v>
      </c>
      <c r="M15382">
        <v>416</v>
      </c>
      <c r="N15382">
        <v>10</v>
      </c>
      <c r="O15382">
        <v>11</v>
      </c>
      <c r="P15382">
        <v>3</v>
      </c>
      <c r="Q15382">
        <v>0</v>
      </c>
    </row>
    <row r="15383" spans="1:17" x14ac:dyDescent="0.2">
      <c r="A15383" s="121">
        <v>44530</v>
      </c>
      <c r="B15383" t="s">
        <v>406</v>
      </c>
      <c r="C15383" t="s">
        <v>510</v>
      </c>
      <c r="D15383" t="s">
        <v>525</v>
      </c>
      <c r="E15383" t="s">
        <v>526</v>
      </c>
      <c r="F15383" t="s">
        <v>410</v>
      </c>
      <c r="G15383">
        <v>273</v>
      </c>
      <c r="H15383">
        <v>273</v>
      </c>
      <c r="I15383">
        <v>253</v>
      </c>
      <c r="J15383">
        <v>253</v>
      </c>
      <c r="K15383">
        <v>40</v>
      </c>
      <c r="L15383">
        <v>0</v>
      </c>
      <c r="M15383">
        <v>211</v>
      </c>
      <c r="N15383">
        <v>18</v>
      </c>
      <c r="O15383">
        <v>4</v>
      </c>
      <c r="P15383">
        <v>4</v>
      </c>
      <c r="Q15383">
        <v>1</v>
      </c>
    </row>
    <row r="15384" spans="1:17" x14ac:dyDescent="0.2">
      <c r="A15384" s="121">
        <v>44530</v>
      </c>
      <c r="B15384" t="s">
        <v>406</v>
      </c>
      <c r="C15384" t="s">
        <v>510</v>
      </c>
      <c r="D15384" t="s">
        <v>527</v>
      </c>
      <c r="E15384" t="s">
        <v>528</v>
      </c>
      <c r="F15384" t="s">
        <v>410</v>
      </c>
      <c r="G15384">
        <v>2</v>
      </c>
      <c r="I15384">
        <v>2</v>
      </c>
    </row>
    <row r="15385" spans="1:17" x14ac:dyDescent="0.2">
      <c r="A15385" s="121">
        <v>44530</v>
      </c>
      <c r="B15385" t="s">
        <v>406</v>
      </c>
      <c r="C15385" t="s">
        <v>510</v>
      </c>
      <c r="D15385" t="s">
        <v>529</v>
      </c>
      <c r="E15385" t="s">
        <v>530</v>
      </c>
      <c r="F15385" t="s">
        <v>413</v>
      </c>
      <c r="G15385">
        <v>773</v>
      </c>
      <c r="H15385">
        <v>773</v>
      </c>
      <c r="I15385">
        <v>680</v>
      </c>
      <c r="J15385">
        <v>680</v>
      </c>
      <c r="K15385">
        <v>144</v>
      </c>
      <c r="L15385">
        <v>3</v>
      </c>
      <c r="M15385">
        <v>573</v>
      </c>
      <c r="N15385">
        <v>33</v>
      </c>
      <c r="O15385">
        <v>20</v>
      </c>
      <c r="P15385">
        <v>19</v>
      </c>
      <c r="Q15385">
        <v>5</v>
      </c>
    </row>
    <row r="15386" spans="1:17" x14ac:dyDescent="0.2">
      <c r="A15386" s="121">
        <v>44530</v>
      </c>
      <c r="B15386" t="s">
        <v>406</v>
      </c>
      <c r="C15386" t="s">
        <v>510</v>
      </c>
      <c r="D15386" t="s">
        <v>531</v>
      </c>
      <c r="E15386" t="s">
        <v>532</v>
      </c>
      <c r="F15386" t="s">
        <v>410</v>
      </c>
      <c r="G15386">
        <v>9</v>
      </c>
      <c r="I15386">
        <v>9</v>
      </c>
    </row>
    <row r="15387" spans="1:17" x14ac:dyDescent="0.2">
      <c r="A15387" s="121">
        <v>44530</v>
      </c>
      <c r="B15387" t="s">
        <v>406</v>
      </c>
      <c r="C15387" t="s">
        <v>510</v>
      </c>
      <c r="D15387" t="s">
        <v>533</v>
      </c>
      <c r="E15387" t="s">
        <v>534</v>
      </c>
      <c r="F15387" t="s">
        <v>413</v>
      </c>
      <c r="G15387">
        <v>2621</v>
      </c>
      <c r="H15387">
        <v>2621</v>
      </c>
      <c r="I15387">
        <v>2074</v>
      </c>
      <c r="J15387">
        <v>2074</v>
      </c>
      <c r="K15387">
        <v>729</v>
      </c>
      <c r="L15387">
        <v>4</v>
      </c>
      <c r="M15387">
        <v>1757</v>
      </c>
      <c r="N15387">
        <v>21</v>
      </c>
      <c r="O15387">
        <v>110</v>
      </c>
      <c r="P15387">
        <v>88</v>
      </c>
      <c r="Q15387">
        <v>21</v>
      </c>
    </row>
    <row r="15388" spans="1:17" x14ac:dyDescent="0.2">
      <c r="A15388" s="121">
        <v>44530</v>
      </c>
      <c r="B15388" t="s">
        <v>406</v>
      </c>
      <c r="C15388" t="s">
        <v>510</v>
      </c>
      <c r="D15388" t="s">
        <v>535</v>
      </c>
      <c r="E15388" t="s">
        <v>536</v>
      </c>
      <c r="F15388" t="s">
        <v>410</v>
      </c>
      <c r="G15388">
        <v>232</v>
      </c>
      <c r="I15388">
        <v>231</v>
      </c>
    </row>
    <row r="15389" spans="1:17" x14ac:dyDescent="0.2">
      <c r="A15389" s="121">
        <v>44530</v>
      </c>
      <c r="B15389" t="s">
        <v>406</v>
      </c>
      <c r="C15389" t="s">
        <v>510</v>
      </c>
      <c r="D15389" t="s">
        <v>539</v>
      </c>
      <c r="E15389" t="s">
        <v>540</v>
      </c>
      <c r="F15389" t="s">
        <v>413</v>
      </c>
      <c r="G15389">
        <v>630</v>
      </c>
      <c r="H15389">
        <v>630</v>
      </c>
      <c r="I15389">
        <v>562</v>
      </c>
      <c r="J15389">
        <v>562</v>
      </c>
      <c r="K15389">
        <v>109</v>
      </c>
      <c r="L15389">
        <v>0</v>
      </c>
      <c r="M15389">
        <v>473</v>
      </c>
      <c r="N15389">
        <v>35</v>
      </c>
      <c r="O15389">
        <v>13</v>
      </c>
      <c r="P15389">
        <v>8</v>
      </c>
      <c r="Q15389">
        <v>2</v>
      </c>
    </row>
    <row r="15390" spans="1:17" x14ac:dyDescent="0.2">
      <c r="A15390" s="121">
        <v>44530</v>
      </c>
      <c r="B15390" t="s">
        <v>406</v>
      </c>
      <c r="C15390" t="s">
        <v>510</v>
      </c>
      <c r="D15390" t="s">
        <v>541</v>
      </c>
      <c r="E15390" t="s">
        <v>542</v>
      </c>
      <c r="F15390" t="s">
        <v>410</v>
      </c>
      <c r="G15390">
        <v>256</v>
      </c>
      <c r="I15390">
        <v>256</v>
      </c>
    </row>
    <row r="15391" spans="1:17" x14ac:dyDescent="0.2">
      <c r="A15391" s="121">
        <v>44530</v>
      </c>
      <c r="B15391" t="s">
        <v>406</v>
      </c>
      <c r="C15391" t="s">
        <v>510</v>
      </c>
      <c r="D15391" t="s">
        <v>543</v>
      </c>
      <c r="E15391" t="s">
        <v>544</v>
      </c>
      <c r="F15391" t="s">
        <v>410</v>
      </c>
      <c r="G15391">
        <v>40</v>
      </c>
      <c r="I15391">
        <v>40</v>
      </c>
    </row>
    <row r="15392" spans="1:17" x14ac:dyDescent="0.2">
      <c r="A15392" s="121">
        <v>44530</v>
      </c>
      <c r="B15392" t="s">
        <v>406</v>
      </c>
      <c r="C15392" t="s">
        <v>510</v>
      </c>
      <c r="D15392" t="s">
        <v>547</v>
      </c>
      <c r="E15392" t="s">
        <v>548</v>
      </c>
      <c r="F15392" t="s">
        <v>410</v>
      </c>
      <c r="G15392">
        <v>32</v>
      </c>
      <c r="I15392">
        <v>32</v>
      </c>
    </row>
    <row r="15393" spans="1:17" x14ac:dyDescent="0.2">
      <c r="A15393" s="121">
        <v>44530</v>
      </c>
      <c r="B15393" t="s">
        <v>406</v>
      </c>
      <c r="C15393" t="s">
        <v>510</v>
      </c>
      <c r="D15393" t="s">
        <v>616</v>
      </c>
      <c r="E15393" t="s">
        <v>617</v>
      </c>
      <c r="F15393" t="s">
        <v>410</v>
      </c>
      <c r="G15393">
        <v>231</v>
      </c>
      <c r="I15393">
        <v>231</v>
      </c>
    </row>
    <row r="15394" spans="1:17" x14ac:dyDescent="0.2">
      <c r="A15394" s="121">
        <v>44530</v>
      </c>
      <c r="B15394" t="s">
        <v>406</v>
      </c>
      <c r="C15394" t="s">
        <v>510</v>
      </c>
      <c r="D15394" t="s">
        <v>549</v>
      </c>
      <c r="E15394" t="s">
        <v>550</v>
      </c>
      <c r="F15394" t="s">
        <v>410</v>
      </c>
      <c r="G15394">
        <v>67</v>
      </c>
      <c r="I15394">
        <v>67</v>
      </c>
    </row>
    <row r="15395" spans="1:17" x14ac:dyDescent="0.2">
      <c r="A15395" s="121">
        <v>44530</v>
      </c>
      <c r="B15395" t="s">
        <v>406</v>
      </c>
      <c r="C15395" t="s">
        <v>510</v>
      </c>
      <c r="D15395" t="s">
        <v>625</v>
      </c>
      <c r="E15395" t="s">
        <v>626</v>
      </c>
      <c r="F15395" t="s">
        <v>410</v>
      </c>
      <c r="G15395">
        <v>76</v>
      </c>
      <c r="I15395">
        <v>76</v>
      </c>
    </row>
    <row r="15396" spans="1:17" x14ac:dyDescent="0.2">
      <c r="A15396" s="121">
        <v>44530</v>
      </c>
      <c r="B15396" t="s">
        <v>406</v>
      </c>
      <c r="C15396" t="s">
        <v>551</v>
      </c>
      <c r="D15396" t="s">
        <v>552</v>
      </c>
      <c r="E15396" t="s">
        <v>553</v>
      </c>
      <c r="F15396" t="s">
        <v>413</v>
      </c>
      <c r="G15396">
        <v>5380</v>
      </c>
      <c r="H15396">
        <v>5380</v>
      </c>
      <c r="I15396">
        <v>4174</v>
      </c>
      <c r="J15396">
        <v>4174</v>
      </c>
      <c r="K15396">
        <v>1784</v>
      </c>
      <c r="L15396">
        <v>3</v>
      </c>
      <c r="M15396">
        <v>3482</v>
      </c>
      <c r="N15396">
        <v>93</v>
      </c>
      <c r="O15396">
        <v>18</v>
      </c>
      <c r="P15396">
        <v>157</v>
      </c>
      <c r="Q15396">
        <v>23</v>
      </c>
    </row>
    <row r="15397" spans="1:17" x14ac:dyDescent="0.2">
      <c r="A15397" s="121">
        <v>44530</v>
      </c>
      <c r="B15397" t="s">
        <v>406</v>
      </c>
      <c r="C15397" t="s">
        <v>551</v>
      </c>
      <c r="D15397" t="s">
        <v>558</v>
      </c>
      <c r="E15397" t="s">
        <v>559</v>
      </c>
      <c r="F15397" t="s">
        <v>413</v>
      </c>
      <c r="G15397">
        <v>4810</v>
      </c>
      <c r="H15397">
        <v>4810</v>
      </c>
      <c r="I15397">
        <v>3592</v>
      </c>
      <c r="J15397">
        <v>3592</v>
      </c>
      <c r="K15397">
        <v>1410</v>
      </c>
      <c r="L15397">
        <v>8</v>
      </c>
      <c r="M15397">
        <v>3272</v>
      </c>
      <c r="N15397">
        <v>113</v>
      </c>
      <c r="O15397">
        <v>7</v>
      </c>
      <c r="P15397">
        <v>143</v>
      </c>
      <c r="Q15397">
        <v>25</v>
      </c>
    </row>
    <row r="15398" spans="1:17" x14ac:dyDescent="0.2">
      <c r="A15398" s="121">
        <v>44530</v>
      </c>
      <c r="B15398" t="s">
        <v>406</v>
      </c>
      <c r="C15398" t="s">
        <v>551</v>
      </c>
      <c r="D15398" t="s">
        <v>560</v>
      </c>
      <c r="E15398" t="s">
        <v>561</v>
      </c>
      <c r="F15398" t="s">
        <v>413</v>
      </c>
      <c r="G15398">
        <v>5696</v>
      </c>
      <c r="H15398">
        <v>5696</v>
      </c>
      <c r="I15398">
        <v>3750</v>
      </c>
      <c r="J15398">
        <v>3750</v>
      </c>
      <c r="K15398">
        <v>1903</v>
      </c>
      <c r="L15398">
        <v>3</v>
      </c>
      <c r="M15398">
        <v>3684</v>
      </c>
      <c r="N15398">
        <v>47</v>
      </c>
      <c r="O15398">
        <v>59</v>
      </c>
      <c r="P15398">
        <v>569</v>
      </c>
      <c r="Q15398">
        <v>111</v>
      </c>
    </row>
    <row r="15399" spans="1:17" x14ac:dyDescent="0.2">
      <c r="A15399" s="121">
        <v>44530</v>
      </c>
      <c r="B15399" t="s">
        <v>406</v>
      </c>
      <c r="C15399" t="s">
        <v>562</v>
      </c>
      <c r="D15399" t="s">
        <v>563</v>
      </c>
      <c r="E15399" t="s">
        <v>564</v>
      </c>
      <c r="F15399" t="s">
        <v>410</v>
      </c>
      <c r="G15399">
        <v>3206</v>
      </c>
      <c r="H15399">
        <v>3206</v>
      </c>
      <c r="I15399">
        <v>1972</v>
      </c>
      <c r="J15399">
        <v>1972</v>
      </c>
      <c r="K15399">
        <v>1120</v>
      </c>
      <c r="L15399">
        <v>1</v>
      </c>
      <c r="M15399">
        <v>2076</v>
      </c>
      <c r="N15399">
        <v>1</v>
      </c>
      <c r="O15399">
        <v>8</v>
      </c>
      <c r="P15399">
        <v>349</v>
      </c>
      <c r="Q15399">
        <v>168</v>
      </c>
    </row>
    <row r="15400" spans="1:17" x14ac:dyDescent="0.2">
      <c r="A15400" s="121">
        <v>44530</v>
      </c>
      <c r="B15400" t="s">
        <v>406</v>
      </c>
      <c r="C15400" t="s">
        <v>562</v>
      </c>
      <c r="D15400" t="s">
        <v>565</v>
      </c>
      <c r="E15400" t="s">
        <v>566</v>
      </c>
      <c r="F15400" t="s">
        <v>413</v>
      </c>
      <c r="G15400">
        <v>4335</v>
      </c>
      <c r="H15400">
        <v>4335</v>
      </c>
      <c r="I15400">
        <v>3232</v>
      </c>
      <c r="J15400">
        <v>3232</v>
      </c>
      <c r="K15400">
        <v>888</v>
      </c>
      <c r="L15400">
        <v>2</v>
      </c>
      <c r="M15400">
        <v>2978</v>
      </c>
      <c r="N15400">
        <v>36</v>
      </c>
      <c r="O15400">
        <v>431</v>
      </c>
      <c r="P15400">
        <v>239</v>
      </c>
      <c r="Q15400">
        <v>61</v>
      </c>
    </row>
    <row r="15401" spans="1:17" x14ac:dyDescent="0.2">
      <c r="A15401" s="121">
        <v>44530</v>
      </c>
      <c r="B15401" t="s">
        <v>406</v>
      </c>
      <c r="C15401" t="s">
        <v>562</v>
      </c>
      <c r="D15401" t="s">
        <v>567</v>
      </c>
      <c r="E15401" t="s">
        <v>568</v>
      </c>
      <c r="F15401" t="s">
        <v>413</v>
      </c>
      <c r="G15401">
        <v>9853</v>
      </c>
      <c r="H15401">
        <v>9853</v>
      </c>
      <c r="I15401">
        <v>5541</v>
      </c>
      <c r="J15401">
        <v>5541</v>
      </c>
      <c r="K15401">
        <v>3150</v>
      </c>
      <c r="L15401">
        <v>6</v>
      </c>
      <c r="M15401">
        <v>6501</v>
      </c>
      <c r="N15401">
        <v>144</v>
      </c>
      <c r="O15401">
        <v>52</v>
      </c>
      <c r="P15401">
        <v>1369</v>
      </c>
      <c r="Q15401">
        <v>666</v>
      </c>
    </row>
    <row r="15402" spans="1:17" x14ac:dyDescent="0.2">
      <c r="A15402" s="121">
        <v>44530</v>
      </c>
      <c r="B15402" t="s">
        <v>406</v>
      </c>
      <c r="C15402" t="s">
        <v>562</v>
      </c>
      <c r="D15402" t="s">
        <v>569</v>
      </c>
      <c r="E15402" t="s">
        <v>570</v>
      </c>
      <c r="F15402" t="s">
        <v>413</v>
      </c>
      <c r="G15402">
        <v>5059</v>
      </c>
      <c r="H15402">
        <v>5059</v>
      </c>
      <c r="I15402">
        <v>4765</v>
      </c>
      <c r="J15402">
        <v>4765</v>
      </c>
      <c r="K15402">
        <v>771</v>
      </c>
      <c r="L15402">
        <v>0</v>
      </c>
      <c r="M15402">
        <v>4243</v>
      </c>
      <c r="N15402">
        <v>15</v>
      </c>
      <c r="O15402">
        <v>30</v>
      </c>
      <c r="P15402">
        <v>5</v>
      </c>
      <c r="Q15402">
        <v>0</v>
      </c>
    </row>
    <row r="15403" spans="1:17" x14ac:dyDescent="0.2">
      <c r="A15403" s="121">
        <v>44530</v>
      </c>
      <c r="B15403" t="s">
        <v>406</v>
      </c>
      <c r="C15403" t="s">
        <v>571</v>
      </c>
      <c r="D15403" t="s">
        <v>572</v>
      </c>
      <c r="E15403" t="s">
        <v>627</v>
      </c>
      <c r="F15403" t="s">
        <v>413</v>
      </c>
      <c r="G15403">
        <v>456</v>
      </c>
      <c r="H15403">
        <v>456</v>
      </c>
      <c r="I15403">
        <v>441</v>
      </c>
      <c r="J15403">
        <v>441</v>
      </c>
      <c r="K15403">
        <v>123</v>
      </c>
      <c r="L15403">
        <v>0</v>
      </c>
      <c r="M15403">
        <v>327</v>
      </c>
      <c r="N15403">
        <v>2</v>
      </c>
      <c r="O15403">
        <v>4</v>
      </c>
      <c r="P15403">
        <v>0</v>
      </c>
      <c r="Q15403">
        <v>0</v>
      </c>
    </row>
    <row r="15404" spans="1:17" x14ac:dyDescent="0.2">
      <c r="A15404" s="121">
        <v>44530</v>
      </c>
      <c r="B15404" t="s">
        <v>406</v>
      </c>
      <c r="C15404" t="s">
        <v>574</v>
      </c>
      <c r="D15404" t="s">
        <v>575</v>
      </c>
      <c r="E15404" t="s">
        <v>576</v>
      </c>
      <c r="F15404" t="s">
        <v>413</v>
      </c>
      <c r="G15404">
        <v>566</v>
      </c>
      <c r="H15404">
        <v>566</v>
      </c>
      <c r="I15404">
        <v>547</v>
      </c>
      <c r="J15404">
        <v>547</v>
      </c>
      <c r="K15404">
        <v>135</v>
      </c>
      <c r="L15404">
        <v>1</v>
      </c>
      <c r="M15404">
        <v>422</v>
      </c>
      <c r="N15404">
        <v>1</v>
      </c>
      <c r="O15404">
        <v>7</v>
      </c>
      <c r="P15404">
        <v>0</v>
      </c>
      <c r="Q15404">
        <v>0</v>
      </c>
    </row>
    <row r="15405" spans="1:17" x14ac:dyDescent="0.2">
      <c r="A15405" s="121">
        <v>44530</v>
      </c>
      <c r="B15405" t="s">
        <v>406</v>
      </c>
      <c r="C15405" t="s">
        <v>577</v>
      </c>
      <c r="D15405" t="s">
        <v>578</v>
      </c>
      <c r="E15405" t="s">
        <v>579</v>
      </c>
      <c r="F15405" t="s">
        <v>413</v>
      </c>
      <c r="G15405">
        <v>4516</v>
      </c>
      <c r="H15405">
        <v>4516</v>
      </c>
      <c r="I15405">
        <v>4186</v>
      </c>
      <c r="J15405">
        <v>4186</v>
      </c>
      <c r="K15405">
        <v>1610</v>
      </c>
      <c r="L15405">
        <v>11</v>
      </c>
      <c r="M15405">
        <v>2691</v>
      </c>
      <c r="N15405">
        <v>150</v>
      </c>
      <c r="O15405">
        <v>54</v>
      </c>
      <c r="P15405">
        <v>4</v>
      </c>
      <c r="Q15405">
        <v>0</v>
      </c>
    </row>
    <row r="15406" spans="1:17" x14ac:dyDescent="0.2">
      <c r="A15406" s="121">
        <v>44530</v>
      </c>
      <c r="B15406" t="s">
        <v>406</v>
      </c>
      <c r="C15406" t="s">
        <v>577</v>
      </c>
      <c r="D15406" t="s">
        <v>580</v>
      </c>
      <c r="E15406" t="s">
        <v>581</v>
      </c>
      <c r="F15406" t="s">
        <v>413</v>
      </c>
      <c r="G15406">
        <v>1650</v>
      </c>
      <c r="H15406">
        <v>1650</v>
      </c>
      <c r="I15406">
        <v>1594</v>
      </c>
      <c r="J15406">
        <v>1594</v>
      </c>
      <c r="K15406">
        <v>256</v>
      </c>
      <c r="L15406">
        <v>0</v>
      </c>
      <c r="M15406">
        <v>1233</v>
      </c>
      <c r="N15406">
        <v>140</v>
      </c>
      <c r="O15406">
        <v>21</v>
      </c>
      <c r="P15406">
        <v>6</v>
      </c>
      <c r="Q15406">
        <v>3</v>
      </c>
    </row>
    <row r="15407" spans="1:17" x14ac:dyDescent="0.2">
      <c r="A15407" s="121">
        <v>44530</v>
      </c>
      <c r="B15407" t="s">
        <v>406</v>
      </c>
      <c r="C15407" t="s">
        <v>577</v>
      </c>
      <c r="D15407" t="s">
        <v>586</v>
      </c>
      <c r="E15407" t="s">
        <v>587</v>
      </c>
      <c r="F15407" t="s">
        <v>410</v>
      </c>
      <c r="G15407">
        <v>532</v>
      </c>
      <c r="H15407">
        <v>532</v>
      </c>
      <c r="I15407">
        <v>532</v>
      </c>
      <c r="J15407">
        <v>532</v>
      </c>
      <c r="K15407">
        <v>0</v>
      </c>
      <c r="L15407">
        <v>0</v>
      </c>
      <c r="M15407">
        <v>483</v>
      </c>
      <c r="N15407">
        <v>48</v>
      </c>
      <c r="O15407">
        <v>1</v>
      </c>
      <c r="P15407">
        <v>0</v>
      </c>
      <c r="Q15407">
        <v>0</v>
      </c>
    </row>
    <row r="15408" spans="1:17" x14ac:dyDescent="0.2">
      <c r="A15408" s="121">
        <v>44530</v>
      </c>
      <c r="B15408" t="s">
        <v>406</v>
      </c>
      <c r="C15408" t="s">
        <v>577</v>
      </c>
      <c r="D15408" t="s">
        <v>590</v>
      </c>
      <c r="E15408" t="s">
        <v>591</v>
      </c>
      <c r="F15408" t="s">
        <v>410</v>
      </c>
      <c r="G15408">
        <v>239</v>
      </c>
      <c r="H15408">
        <v>239</v>
      </c>
      <c r="I15408">
        <v>239</v>
      </c>
      <c r="J15408">
        <v>239</v>
      </c>
      <c r="K15408">
        <v>0</v>
      </c>
      <c r="L15408">
        <v>0</v>
      </c>
      <c r="M15408">
        <v>234</v>
      </c>
      <c r="N15408">
        <v>5</v>
      </c>
      <c r="O15408">
        <v>0</v>
      </c>
      <c r="P15408">
        <v>0</v>
      </c>
      <c r="Q15408">
        <v>0</v>
      </c>
    </row>
    <row r="15409" spans="1:17" x14ac:dyDescent="0.2">
      <c r="A15409" s="121">
        <v>44530</v>
      </c>
      <c r="B15409" t="s">
        <v>406</v>
      </c>
      <c r="C15409" t="s">
        <v>594</v>
      </c>
      <c r="D15409" t="s">
        <v>595</v>
      </c>
      <c r="E15409" t="s">
        <v>596</v>
      </c>
      <c r="F15409" t="s">
        <v>410</v>
      </c>
      <c r="G15409">
        <v>54</v>
      </c>
      <c r="I15409">
        <v>54</v>
      </c>
    </row>
    <row r="15410" spans="1:17" x14ac:dyDescent="0.2">
      <c r="A15410" s="121">
        <v>44530</v>
      </c>
      <c r="B15410" t="s">
        <v>406</v>
      </c>
      <c r="C15410" t="s">
        <v>594</v>
      </c>
      <c r="D15410" t="s">
        <v>597</v>
      </c>
      <c r="E15410" t="s">
        <v>598</v>
      </c>
      <c r="F15410" t="s">
        <v>413</v>
      </c>
      <c r="G15410">
        <v>324</v>
      </c>
      <c r="H15410">
        <v>324</v>
      </c>
      <c r="I15410">
        <v>315</v>
      </c>
      <c r="J15410">
        <v>315</v>
      </c>
      <c r="K15410">
        <v>112</v>
      </c>
      <c r="L15410">
        <v>0</v>
      </c>
      <c r="M15410">
        <v>208</v>
      </c>
      <c r="N15410">
        <v>2</v>
      </c>
      <c r="O15410">
        <v>2</v>
      </c>
      <c r="P15410">
        <v>0</v>
      </c>
      <c r="Q15410">
        <v>0</v>
      </c>
    </row>
    <row r="15411" spans="1:17" x14ac:dyDescent="0.2">
      <c r="A15411" s="121">
        <v>44530</v>
      </c>
      <c r="B15411" t="s">
        <v>406</v>
      </c>
      <c r="C15411" t="s">
        <v>594</v>
      </c>
      <c r="D15411" t="s">
        <v>599</v>
      </c>
      <c r="E15411" t="s">
        <v>600</v>
      </c>
      <c r="F15411" t="s">
        <v>410</v>
      </c>
      <c r="G15411">
        <v>81</v>
      </c>
      <c r="H15411">
        <v>81</v>
      </c>
      <c r="I15411">
        <v>80</v>
      </c>
      <c r="J15411">
        <v>80</v>
      </c>
      <c r="K15411">
        <v>9</v>
      </c>
      <c r="L15411">
        <v>0</v>
      </c>
      <c r="M15411">
        <v>72</v>
      </c>
      <c r="N15411">
        <v>0</v>
      </c>
      <c r="O15411">
        <v>0</v>
      </c>
      <c r="P15411">
        <v>0</v>
      </c>
      <c r="Q15411">
        <v>0</v>
      </c>
    </row>
    <row r="15412" spans="1:17" x14ac:dyDescent="0.2">
      <c r="A15412" s="121">
        <v>44561</v>
      </c>
      <c r="B15412" t="s">
        <v>406</v>
      </c>
      <c r="C15412" t="s">
        <v>407</v>
      </c>
      <c r="D15412" t="s">
        <v>408</v>
      </c>
      <c r="E15412" t="s">
        <v>409</v>
      </c>
      <c r="F15412" t="s">
        <v>410</v>
      </c>
      <c r="G15412">
        <v>131</v>
      </c>
      <c r="I15412">
        <v>125</v>
      </c>
    </row>
    <row r="15413" spans="1:17" x14ac:dyDescent="0.2">
      <c r="A15413" s="121">
        <v>44561</v>
      </c>
      <c r="B15413" t="s">
        <v>406</v>
      </c>
      <c r="C15413" t="s">
        <v>407</v>
      </c>
      <c r="D15413" t="s">
        <v>601</v>
      </c>
      <c r="E15413" t="s">
        <v>602</v>
      </c>
      <c r="F15413" t="s">
        <v>410</v>
      </c>
      <c r="G15413">
        <v>58</v>
      </c>
      <c r="I15413">
        <v>58</v>
      </c>
    </row>
    <row r="15414" spans="1:17" x14ac:dyDescent="0.2">
      <c r="A15414" s="121">
        <v>44561</v>
      </c>
      <c r="B15414" t="s">
        <v>406</v>
      </c>
      <c r="C15414" t="s">
        <v>407</v>
      </c>
      <c r="D15414" t="s">
        <v>411</v>
      </c>
      <c r="E15414" t="s">
        <v>412</v>
      </c>
      <c r="F15414" t="s">
        <v>413</v>
      </c>
      <c r="G15414">
        <v>4493</v>
      </c>
      <c r="H15414">
        <v>4493</v>
      </c>
      <c r="I15414">
        <v>3363</v>
      </c>
      <c r="J15414">
        <v>3363</v>
      </c>
      <c r="K15414">
        <v>1439</v>
      </c>
      <c r="L15414">
        <v>6</v>
      </c>
      <c r="M15414">
        <v>2715</v>
      </c>
      <c r="N15414">
        <v>39</v>
      </c>
      <c r="O15414">
        <v>294</v>
      </c>
      <c r="P15414">
        <v>512</v>
      </c>
      <c r="Q15414">
        <v>294</v>
      </c>
    </row>
    <row r="15415" spans="1:17" x14ac:dyDescent="0.2">
      <c r="A15415" s="121">
        <v>44561</v>
      </c>
      <c r="B15415" t="s">
        <v>406</v>
      </c>
      <c r="C15415" t="s">
        <v>407</v>
      </c>
      <c r="D15415" t="s">
        <v>416</v>
      </c>
      <c r="E15415" t="s">
        <v>417</v>
      </c>
      <c r="F15415" t="s">
        <v>413</v>
      </c>
      <c r="G15415">
        <v>2124</v>
      </c>
      <c r="H15415">
        <v>2124</v>
      </c>
      <c r="I15415">
        <v>1557</v>
      </c>
      <c r="J15415">
        <v>1557</v>
      </c>
      <c r="K15415">
        <v>651</v>
      </c>
      <c r="L15415">
        <v>5</v>
      </c>
      <c r="M15415">
        <v>1358</v>
      </c>
      <c r="N15415">
        <v>86</v>
      </c>
      <c r="O15415">
        <v>24</v>
      </c>
      <c r="P15415">
        <v>228</v>
      </c>
      <c r="Q15415">
        <v>110</v>
      </c>
    </row>
    <row r="15416" spans="1:17" x14ac:dyDescent="0.2">
      <c r="A15416" s="121">
        <v>44561</v>
      </c>
      <c r="B15416" t="s">
        <v>406</v>
      </c>
      <c r="C15416" t="s">
        <v>407</v>
      </c>
      <c r="D15416" t="s">
        <v>618</v>
      </c>
      <c r="E15416" t="s">
        <v>619</v>
      </c>
      <c r="F15416" t="s">
        <v>410</v>
      </c>
      <c r="G15416">
        <v>37</v>
      </c>
      <c r="I15416">
        <v>37</v>
      </c>
    </row>
    <row r="15417" spans="1:17" x14ac:dyDescent="0.2">
      <c r="A15417" s="121">
        <v>44561</v>
      </c>
      <c r="B15417" t="s">
        <v>406</v>
      </c>
      <c r="C15417" t="s">
        <v>418</v>
      </c>
      <c r="D15417" t="s">
        <v>427</v>
      </c>
      <c r="E15417" t="s">
        <v>428</v>
      </c>
      <c r="F15417" t="s">
        <v>413</v>
      </c>
      <c r="G15417">
        <v>2264</v>
      </c>
      <c r="H15417">
        <v>2264</v>
      </c>
      <c r="I15417">
        <v>1509</v>
      </c>
      <c r="J15417">
        <v>1509</v>
      </c>
      <c r="K15417">
        <v>704</v>
      </c>
      <c r="L15417">
        <v>4</v>
      </c>
      <c r="M15417">
        <v>1495</v>
      </c>
      <c r="N15417">
        <v>58</v>
      </c>
      <c r="O15417">
        <v>3</v>
      </c>
      <c r="P15417">
        <v>341</v>
      </c>
      <c r="Q15417">
        <v>201</v>
      </c>
    </row>
    <row r="15418" spans="1:17" x14ac:dyDescent="0.2">
      <c r="A15418" s="121">
        <v>44561</v>
      </c>
      <c r="B15418" t="s">
        <v>406</v>
      </c>
      <c r="C15418" t="s">
        <v>429</v>
      </c>
      <c r="D15418" t="s">
        <v>438</v>
      </c>
      <c r="E15418" t="s">
        <v>439</v>
      </c>
      <c r="F15418" t="s">
        <v>413</v>
      </c>
      <c r="G15418">
        <v>878</v>
      </c>
      <c r="H15418">
        <v>878</v>
      </c>
      <c r="I15418">
        <v>783</v>
      </c>
      <c r="J15418">
        <v>783</v>
      </c>
      <c r="K15418">
        <v>62</v>
      </c>
      <c r="L15418">
        <v>1</v>
      </c>
      <c r="M15418">
        <v>724</v>
      </c>
      <c r="N15418">
        <v>56</v>
      </c>
      <c r="O15418">
        <v>35</v>
      </c>
      <c r="P15418">
        <v>17</v>
      </c>
      <c r="Q15418">
        <v>4</v>
      </c>
    </row>
    <row r="15419" spans="1:17" x14ac:dyDescent="0.2">
      <c r="A15419" s="121">
        <v>44561</v>
      </c>
      <c r="B15419" t="s">
        <v>406</v>
      </c>
      <c r="C15419" t="s">
        <v>429</v>
      </c>
      <c r="D15419" t="s">
        <v>440</v>
      </c>
      <c r="E15419" t="s">
        <v>441</v>
      </c>
      <c r="F15419" t="s">
        <v>413</v>
      </c>
      <c r="G15419">
        <v>2232</v>
      </c>
      <c r="H15419">
        <v>2232</v>
      </c>
      <c r="I15419">
        <v>1783</v>
      </c>
      <c r="J15419">
        <v>1783</v>
      </c>
      <c r="K15419">
        <v>747</v>
      </c>
      <c r="L15419">
        <v>0</v>
      </c>
      <c r="M15419">
        <v>1430</v>
      </c>
      <c r="N15419">
        <v>20</v>
      </c>
      <c r="O15419">
        <v>35</v>
      </c>
      <c r="P15419">
        <v>56</v>
      </c>
      <c r="Q15419">
        <v>9</v>
      </c>
    </row>
    <row r="15420" spans="1:17" x14ac:dyDescent="0.2">
      <c r="A15420" s="121">
        <v>44561</v>
      </c>
      <c r="B15420" t="s">
        <v>406</v>
      </c>
      <c r="C15420" t="s">
        <v>442</v>
      </c>
      <c r="D15420" t="s">
        <v>443</v>
      </c>
      <c r="E15420" t="s">
        <v>444</v>
      </c>
      <c r="F15420" t="s">
        <v>413</v>
      </c>
      <c r="G15420">
        <v>4883</v>
      </c>
      <c r="H15420">
        <v>4883</v>
      </c>
      <c r="I15420">
        <v>3487</v>
      </c>
      <c r="J15420">
        <v>3487</v>
      </c>
      <c r="K15420">
        <v>1777</v>
      </c>
      <c r="L15420">
        <v>3</v>
      </c>
      <c r="M15420">
        <v>2941</v>
      </c>
      <c r="N15420">
        <v>55</v>
      </c>
      <c r="O15420">
        <v>107</v>
      </c>
      <c r="P15420">
        <v>241</v>
      </c>
      <c r="Q15420">
        <v>24</v>
      </c>
    </row>
    <row r="15421" spans="1:17" x14ac:dyDescent="0.2">
      <c r="A15421" s="121">
        <v>44561</v>
      </c>
      <c r="B15421" t="s">
        <v>406</v>
      </c>
      <c r="C15421" t="s">
        <v>442</v>
      </c>
      <c r="D15421" t="s">
        <v>445</v>
      </c>
      <c r="E15421" t="s">
        <v>446</v>
      </c>
      <c r="F15421" t="s">
        <v>410</v>
      </c>
      <c r="G15421">
        <v>121</v>
      </c>
      <c r="H15421">
        <v>121</v>
      </c>
      <c r="I15421">
        <v>118</v>
      </c>
      <c r="J15421">
        <v>118</v>
      </c>
      <c r="K15421">
        <v>5</v>
      </c>
      <c r="L15421">
        <v>0</v>
      </c>
      <c r="M15421">
        <v>111</v>
      </c>
      <c r="N15421">
        <v>3</v>
      </c>
      <c r="O15421">
        <v>2</v>
      </c>
      <c r="P15421">
        <v>0</v>
      </c>
      <c r="Q15421">
        <v>0</v>
      </c>
    </row>
    <row r="15422" spans="1:17" x14ac:dyDescent="0.2">
      <c r="A15422" s="121">
        <v>44561</v>
      </c>
      <c r="B15422" t="s">
        <v>406</v>
      </c>
      <c r="C15422" t="s">
        <v>442</v>
      </c>
      <c r="D15422" t="s">
        <v>447</v>
      </c>
      <c r="E15422" t="s">
        <v>448</v>
      </c>
      <c r="F15422" t="s">
        <v>410</v>
      </c>
      <c r="G15422">
        <v>140</v>
      </c>
      <c r="H15422">
        <v>140</v>
      </c>
      <c r="I15422">
        <v>139</v>
      </c>
      <c r="J15422">
        <v>139</v>
      </c>
      <c r="K15422">
        <v>0</v>
      </c>
      <c r="L15422">
        <v>0</v>
      </c>
      <c r="M15422">
        <v>137</v>
      </c>
      <c r="N15422">
        <v>3</v>
      </c>
      <c r="O15422">
        <v>0</v>
      </c>
      <c r="P15422">
        <v>1</v>
      </c>
      <c r="Q15422">
        <v>0</v>
      </c>
    </row>
    <row r="15423" spans="1:17" x14ac:dyDescent="0.2">
      <c r="A15423" s="121">
        <v>44561</v>
      </c>
      <c r="B15423" t="s">
        <v>406</v>
      </c>
      <c r="C15423" t="s">
        <v>442</v>
      </c>
      <c r="D15423" t="s">
        <v>449</v>
      </c>
      <c r="E15423" t="s">
        <v>624</v>
      </c>
      <c r="F15423" t="s">
        <v>410</v>
      </c>
      <c r="G15423">
        <v>725</v>
      </c>
      <c r="H15423">
        <v>725</v>
      </c>
      <c r="I15423">
        <v>725</v>
      </c>
      <c r="J15423">
        <v>725</v>
      </c>
      <c r="K15423">
        <v>5</v>
      </c>
      <c r="L15423">
        <v>0</v>
      </c>
      <c r="M15423">
        <v>670</v>
      </c>
      <c r="N15423">
        <v>47</v>
      </c>
      <c r="O15423">
        <v>3</v>
      </c>
      <c r="P15423">
        <v>0</v>
      </c>
      <c r="Q15423">
        <v>0</v>
      </c>
    </row>
    <row r="15424" spans="1:17" x14ac:dyDescent="0.2">
      <c r="A15424" s="121">
        <v>44561</v>
      </c>
      <c r="B15424" t="s">
        <v>406</v>
      </c>
      <c r="C15424" t="s">
        <v>451</v>
      </c>
      <c r="D15424" t="s">
        <v>454</v>
      </c>
      <c r="E15424" t="s">
        <v>621</v>
      </c>
      <c r="F15424" t="s">
        <v>410</v>
      </c>
      <c r="G15424">
        <v>1476</v>
      </c>
      <c r="H15424">
        <v>1476</v>
      </c>
      <c r="I15424">
        <v>1466</v>
      </c>
      <c r="J15424">
        <v>1466</v>
      </c>
      <c r="K15424">
        <v>8</v>
      </c>
      <c r="L15424">
        <v>0</v>
      </c>
      <c r="M15424">
        <v>1363</v>
      </c>
      <c r="N15424">
        <v>1</v>
      </c>
      <c r="O15424">
        <v>104</v>
      </c>
      <c r="P15424">
        <v>0</v>
      </c>
      <c r="Q15424">
        <v>0</v>
      </c>
    </row>
    <row r="15425" spans="1:17" x14ac:dyDescent="0.2">
      <c r="A15425" s="121">
        <v>44561</v>
      </c>
      <c r="B15425" t="s">
        <v>406</v>
      </c>
      <c r="C15425" t="s">
        <v>451</v>
      </c>
      <c r="D15425" t="s">
        <v>622</v>
      </c>
      <c r="E15425" t="s">
        <v>623</v>
      </c>
      <c r="F15425" t="s">
        <v>413</v>
      </c>
      <c r="G15425">
        <v>4530</v>
      </c>
      <c r="H15425">
        <v>4530</v>
      </c>
      <c r="I15425">
        <v>2640</v>
      </c>
      <c r="J15425">
        <v>2640</v>
      </c>
      <c r="K15425">
        <v>1538</v>
      </c>
      <c r="L15425">
        <v>11</v>
      </c>
      <c r="M15425">
        <v>2579</v>
      </c>
      <c r="N15425">
        <v>37</v>
      </c>
      <c r="O15425">
        <v>365</v>
      </c>
      <c r="P15425">
        <v>293</v>
      </c>
      <c r="Q15425">
        <v>43</v>
      </c>
    </row>
    <row r="15426" spans="1:17" x14ac:dyDescent="0.2">
      <c r="A15426" s="121">
        <v>44561</v>
      </c>
      <c r="B15426" t="s">
        <v>406</v>
      </c>
      <c r="C15426" t="s">
        <v>456</v>
      </c>
      <c r="D15426" t="s">
        <v>457</v>
      </c>
      <c r="E15426" t="s">
        <v>458</v>
      </c>
      <c r="F15426" t="s">
        <v>413</v>
      </c>
      <c r="G15426">
        <v>4183</v>
      </c>
      <c r="H15426">
        <v>4183</v>
      </c>
      <c r="I15426">
        <v>2518</v>
      </c>
      <c r="J15426">
        <v>2518</v>
      </c>
      <c r="K15426">
        <v>1470</v>
      </c>
      <c r="L15426">
        <v>11</v>
      </c>
      <c r="M15426">
        <v>2501</v>
      </c>
      <c r="N15426">
        <v>16</v>
      </c>
      <c r="O15426">
        <v>185</v>
      </c>
      <c r="P15426">
        <v>308</v>
      </c>
      <c r="Q15426">
        <v>58</v>
      </c>
    </row>
    <row r="15427" spans="1:17" x14ac:dyDescent="0.2">
      <c r="A15427" s="121">
        <v>44561</v>
      </c>
      <c r="B15427" t="s">
        <v>406</v>
      </c>
      <c r="C15427" t="s">
        <v>456</v>
      </c>
      <c r="D15427" t="s">
        <v>459</v>
      </c>
      <c r="E15427" t="s">
        <v>460</v>
      </c>
      <c r="F15427" t="s">
        <v>413</v>
      </c>
      <c r="G15427">
        <v>1124</v>
      </c>
      <c r="H15427">
        <v>1124</v>
      </c>
      <c r="I15427">
        <v>1086</v>
      </c>
      <c r="J15427">
        <v>1086</v>
      </c>
      <c r="K15427">
        <v>129</v>
      </c>
      <c r="L15427">
        <v>0</v>
      </c>
      <c r="M15427">
        <v>962</v>
      </c>
      <c r="N15427">
        <v>3</v>
      </c>
      <c r="O15427">
        <v>30</v>
      </c>
      <c r="P15427">
        <v>1</v>
      </c>
      <c r="Q15427">
        <v>1</v>
      </c>
    </row>
    <row r="15428" spans="1:17" x14ac:dyDescent="0.2">
      <c r="A15428" s="121">
        <v>44561</v>
      </c>
      <c r="B15428" t="s">
        <v>406</v>
      </c>
      <c r="C15428" t="s">
        <v>456</v>
      </c>
      <c r="D15428" t="s">
        <v>467</v>
      </c>
      <c r="E15428" t="s">
        <v>468</v>
      </c>
      <c r="F15428" t="s">
        <v>410</v>
      </c>
      <c r="G15428">
        <v>359</v>
      </c>
      <c r="I15428">
        <v>359</v>
      </c>
    </row>
    <row r="15429" spans="1:17" x14ac:dyDescent="0.2">
      <c r="A15429" s="121">
        <v>44561</v>
      </c>
      <c r="B15429" t="s">
        <v>406</v>
      </c>
      <c r="C15429" t="s">
        <v>456</v>
      </c>
      <c r="D15429" t="s">
        <v>469</v>
      </c>
      <c r="E15429" t="s">
        <v>470</v>
      </c>
      <c r="F15429" t="s">
        <v>410</v>
      </c>
      <c r="G15429">
        <v>424</v>
      </c>
      <c r="I15429">
        <v>421</v>
      </c>
    </row>
    <row r="15430" spans="1:17" x14ac:dyDescent="0.2">
      <c r="A15430" s="121">
        <v>44561</v>
      </c>
      <c r="B15430" t="s">
        <v>406</v>
      </c>
      <c r="C15430" t="s">
        <v>456</v>
      </c>
      <c r="D15430" t="s">
        <v>471</v>
      </c>
      <c r="E15430" t="s">
        <v>472</v>
      </c>
      <c r="F15430" t="s">
        <v>410</v>
      </c>
      <c r="G15430">
        <v>213</v>
      </c>
      <c r="I15430">
        <v>209</v>
      </c>
    </row>
    <row r="15431" spans="1:17" x14ac:dyDescent="0.2">
      <c r="A15431" s="121">
        <v>44561</v>
      </c>
      <c r="B15431" t="s">
        <v>406</v>
      </c>
      <c r="C15431" t="s">
        <v>456</v>
      </c>
      <c r="D15431" t="s">
        <v>477</v>
      </c>
      <c r="E15431" t="s">
        <v>478</v>
      </c>
      <c r="F15431" t="s">
        <v>413</v>
      </c>
      <c r="G15431">
        <v>2056</v>
      </c>
      <c r="H15431">
        <v>2056</v>
      </c>
      <c r="I15431">
        <v>1648</v>
      </c>
      <c r="J15431">
        <v>1648</v>
      </c>
      <c r="K15431">
        <v>512</v>
      </c>
      <c r="L15431">
        <v>5</v>
      </c>
      <c r="M15431">
        <v>1493</v>
      </c>
      <c r="N15431">
        <v>37</v>
      </c>
      <c r="O15431">
        <v>9</v>
      </c>
      <c r="P15431">
        <v>94</v>
      </c>
      <c r="Q15431">
        <v>23</v>
      </c>
    </row>
    <row r="15432" spans="1:17" x14ac:dyDescent="0.2">
      <c r="A15432" s="121">
        <v>44561</v>
      </c>
      <c r="B15432" t="s">
        <v>406</v>
      </c>
      <c r="C15432" t="s">
        <v>491</v>
      </c>
      <c r="D15432" t="s">
        <v>492</v>
      </c>
      <c r="E15432" t="s">
        <v>493</v>
      </c>
      <c r="F15432" t="s">
        <v>410</v>
      </c>
      <c r="G15432">
        <v>1024</v>
      </c>
      <c r="H15432">
        <v>1024</v>
      </c>
      <c r="I15432">
        <v>949</v>
      </c>
      <c r="J15432">
        <v>949</v>
      </c>
      <c r="K15432">
        <v>132</v>
      </c>
      <c r="L15432">
        <v>1</v>
      </c>
      <c r="M15432">
        <v>819</v>
      </c>
      <c r="N15432">
        <v>65</v>
      </c>
      <c r="O15432">
        <v>7</v>
      </c>
      <c r="P15432">
        <v>5</v>
      </c>
      <c r="Q15432">
        <v>0</v>
      </c>
    </row>
    <row r="15433" spans="1:17" x14ac:dyDescent="0.2">
      <c r="A15433" s="121">
        <v>44561</v>
      </c>
      <c r="B15433" t="s">
        <v>406</v>
      </c>
      <c r="C15433" t="s">
        <v>491</v>
      </c>
      <c r="D15433" t="s">
        <v>494</v>
      </c>
      <c r="E15433" t="s">
        <v>495</v>
      </c>
      <c r="F15433" t="s">
        <v>413</v>
      </c>
      <c r="G15433">
        <v>2152</v>
      </c>
      <c r="H15433">
        <v>2152</v>
      </c>
      <c r="I15433">
        <v>1761</v>
      </c>
      <c r="J15433">
        <v>1761</v>
      </c>
      <c r="K15433">
        <v>581</v>
      </c>
      <c r="L15433">
        <v>3</v>
      </c>
      <c r="M15433">
        <v>1467</v>
      </c>
      <c r="N15433">
        <v>70</v>
      </c>
      <c r="O15433">
        <v>31</v>
      </c>
      <c r="P15433">
        <v>50</v>
      </c>
      <c r="Q15433">
        <v>3</v>
      </c>
    </row>
    <row r="15434" spans="1:17" x14ac:dyDescent="0.2">
      <c r="A15434" s="121">
        <v>44561</v>
      </c>
      <c r="B15434" t="s">
        <v>406</v>
      </c>
      <c r="C15434" t="s">
        <v>491</v>
      </c>
      <c r="D15434" t="s">
        <v>496</v>
      </c>
      <c r="E15434" t="s">
        <v>497</v>
      </c>
      <c r="F15434" t="s">
        <v>413</v>
      </c>
      <c r="G15434">
        <v>4169</v>
      </c>
      <c r="H15434">
        <v>4169</v>
      </c>
      <c r="I15434">
        <v>2745</v>
      </c>
      <c r="J15434">
        <v>2745</v>
      </c>
      <c r="K15434">
        <v>1223</v>
      </c>
      <c r="L15434">
        <v>14</v>
      </c>
      <c r="M15434">
        <v>2785</v>
      </c>
      <c r="N15434">
        <v>70</v>
      </c>
      <c r="O15434">
        <v>77</v>
      </c>
      <c r="P15434">
        <v>387</v>
      </c>
      <c r="Q15434">
        <v>39</v>
      </c>
    </row>
    <row r="15435" spans="1:17" x14ac:dyDescent="0.2">
      <c r="A15435" s="121">
        <v>44561</v>
      </c>
      <c r="B15435" t="s">
        <v>406</v>
      </c>
      <c r="C15435" t="s">
        <v>491</v>
      </c>
      <c r="D15435" t="s">
        <v>498</v>
      </c>
      <c r="E15435" t="s">
        <v>499</v>
      </c>
      <c r="F15435" t="s">
        <v>413</v>
      </c>
      <c r="G15435">
        <v>6175</v>
      </c>
      <c r="H15435">
        <v>6175</v>
      </c>
      <c r="I15435">
        <v>4402</v>
      </c>
      <c r="J15435">
        <v>4402</v>
      </c>
      <c r="K15435">
        <v>1966</v>
      </c>
      <c r="L15435">
        <v>14</v>
      </c>
      <c r="M15435">
        <v>3820</v>
      </c>
      <c r="N15435">
        <v>131</v>
      </c>
      <c r="O15435">
        <v>244</v>
      </c>
      <c r="P15435">
        <v>194</v>
      </c>
      <c r="Q15435">
        <v>11</v>
      </c>
    </row>
    <row r="15436" spans="1:17" x14ac:dyDescent="0.2">
      <c r="A15436" s="121">
        <v>44561</v>
      </c>
      <c r="B15436" t="s">
        <v>406</v>
      </c>
      <c r="C15436" t="s">
        <v>491</v>
      </c>
      <c r="D15436" t="s">
        <v>500</v>
      </c>
      <c r="E15436" t="s">
        <v>620</v>
      </c>
      <c r="F15436" t="s">
        <v>410</v>
      </c>
      <c r="G15436">
        <v>1347</v>
      </c>
      <c r="H15436">
        <v>1347</v>
      </c>
      <c r="I15436">
        <v>1344</v>
      </c>
      <c r="J15436">
        <v>1344</v>
      </c>
      <c r="K15436">
        <v>1</v>
      </c>
      <c r="L15436">
        <v>0</v>
      </c>
      <c r="M15436">
        <v>1206</v>
      </c>
      <c r="N15436">
        <v>65</v>
      </c>
      <c r="O15436">
        <v>75</v>
      </c>
      <c r="P15436">
        <v>0</v>
      </c>
      <c r="Q15436">
        <v>0</v>
      </c>
    </row>
    <row r="15437" spans="1:17" x14ac:dyDescent="0.2">
      <c r="A15437" s="121">
        <v>44561</v>
      </c>
      <c r="B15437" t="s">
        <v>406</v>
      </c>
      <c r="C15437" t="s">
        <v>491</v>
      </c>
      <c r="D15437" t="s">
        <v>502</v>
      </c>
      <c r="E15437" t="s">
        <v>615</v>
      </c>
      <c r="F15437" t="s">
        <v>410</v>
      </c>
      <c r="G15437">
        <v>1516</v>
      </c>
      <c r="H15437">
        <v>1516</v>
      </c>
      <c r="I15437">
        <v>1506</v>
      </c>
      <c r="J15437">
        <v>1506</v>
      </c>
      <c r="K15437">
        <v>0</v>
      </c>
      <c r="L15437">
        <v>2</v>
      </c>
      <c r="M15437">
        <v>1419</v>
      </c>
      <c r="N15437">
        <v>69</v>
      </c>
      <c r="O15437">
        <v>26</v>
      </c>
      <c r="P15437">
        <v>0</v>
      </c>
      <c r="Q15437">
        <v>0</v>
      </c>
    </row>
    <row r="15438" spans="1:17" x14ac:dyDescent="0.2">
      <c r="A15438" s="121">
        <v>44561</v>
      </c>
      <c r="B15438" t="s">
        <v>406</v>
      </c>
      <c r="C15438" t="s">
        <v>491</v>
      </c>
      <c r="D15438" t="s">
        <v>504</v>
      </c>
      <c r="E15438" t="s">
        <v>630</v>
      </c>
      <c r="F15438" t="s">
        <v>413</v>
      </c>
      <c r="G15438">
        <v>6792</v>
      </c>
      <c r="H15438">
        <v>6792</v>
      </c>
      <c r="I15438">
        <v>4549</v>
      </c>
      <c r="J15438">
        <v>4549</v>
      </c>
      <c r="K15438">
        <v>2611</v>
      </c>
      <c r="L15438">
        <v>28</v>
      </c>
      <c r="M15438">
        <v>3958</v>
      </c>
      <c r="N15438">
        <v>68</v>
      </c>
      <c r="O15438">
        <v>127</v>
      </c>
      <c r="P15438">
        <v>260</v>
      </c>
      <c r="Q15438">
        <v>34</v>
      </c>
    </row>
    <row r="15439" spans="1:17" x14ac:dyDescent="0.2">
      <c r="A15439" s="121">
        <v>44561</v>
      </c>
      <c r="B15439" t="s">
        <v>406</v>
      </c>
      <c r="C15439" t="s">
        <v>491</v>
      </c>
      <c r="D15439" t="s">
        <v>506</v>
      </c>
      <c r="E15439" t="s">
        <v>507</v>
      </c>
      <c r="F15439" t="s">
        <v>413</v>
      </c>
      <c r="G15439">
        <v>5602</v>
      </c>
      <c r="H15439">
        <v>5602</v>
      </c>
      <c r="I15439">
        <v>5108</v>
      </c>
      <c r="J15439">
        <v>5108</v>
      </c>
      <c r="K15439">
        <v>1270</v>
      </c>
      <c r="L15439">
        <v>1</v>
      </c>
      <c r="M15439">
        <v>4292</v>
      </c>
      <c r="N15439">
        <v>5</v>
      </c>
      <c r="O15439">
        <v>34</v>
      </c>
      <c r="P15439">
        <v>7</v>
      </c>
      <c r="Q15439">
        <v>0</v>
      </c>
    </row>
    <row r="15440" spans="1:17" x14ac:dyDescent="0.2">
      <c r="A15440" s="121">
        <v>44561</v>
      </c>
      <c r="B15440" t="s">
        <v>406</v>
      </c>
      <c r="C15440" t="s">
        <v>510</v>
      </c>
      <c r="D15440" t="s">
        <v>513</v>
      </c>
      <c r="E15440" t="s">
        <v>514</v>
      </c>
      <c r="F15440" t="s">
        <v>410</v>
      </c>
      <c r="G15440">
        <v>537</v>
      </c>
      <c r="I15440">
        <v>534</v>
      </c>
    </row>
    <row r="15441" spans="1:17" x14ac:dyDescent="0.2">
      <c r="A15441" s="121">
        <v>44561</v>
      </c>
      <c r="B15441" t="s">
        <v>406</v>
      </c>
      <c r="C15441" t="s">
        <v>510</v>
      </c>
      <c r="D15441" t="s">
        <v>515</v>
      </c>
      <c r="E15441" t="s">
        <v>516</v>
      </c>
      <c r="F15441" t="s">
        <v>410</v>
      </c>
      <c r="G15441">
        <v>50</v>
      </c>
      <c r="I15441">
        <v>46</v>
      </c>
    </row>
    <row r="15442" spans="1:17" x14ac:dyDescent="0.2">
      <c r="A15442" s="121">
        <v>44561</v>
      </c>
      <c r="B15442" t="s">
        <v>406</v>
      </c>
      <c r="C15442" t="s">
        <v>510</v>
      </c>
      <c r="D15442" t="s">
        <v>519</v>
      </c>
      <c r="E15442" t="s">
        <v>520</v>
      </c>
      <c r="F15442" t="s">
        <v>410</v>
      </c>
      <c r="G15442">
        <v>173</v>
      </c>
      <c r="I15442">
        <v>170</v>
      </c>
    </row>
    <row r="15443" spans="1:17" x14ac:dyDescent="0.2">
      <c r="A15443" s="121">
        <v>44561</v>
      </c>
      <c r="B15443" t="s">
        <v>406</v>
      </c>
      <c r="C15443" t="s">
        <v>510</v>
      </c>
      <c r="D15443" t="s">
        <v>523</v>
      </c>
      <c r="E15443" t="s">
        <v>524</v>
      </c>
      <c r="F15443" t="s">
        <v>413</v>
      </c>
      <c r="G15443">
        <v>590</v>
      </c>
      <c r="H15443">
        <v>590</v>
      </c>
      <c r="I15443">
        <v>566</v>
      </c>
      <c r="J15443">
        <v>566</v>
      </c>
      <c r="K15443">
        <v>144</v>
      </c>
      <c r="L15443">
        <v>0</v>
      </c>
      <c r="M15443">
        <v>423</v>
      </c>
      <c r="N15443">
        <v>13</v>
      </c>
      <c r="O15443">
        <v>10</v>
      </c>
      <c r="P15443">
        <v>1</v>
      </c>
      <c r="Q15443">
        <v>0</v>
      </c>
    </row>
    <row r="15444" spans="1:17" x14ac:dyDescent="0.2">
      <c r="A15444" s="121">
        <v>44561</v>
      </c>
      <c r="B15444" t="s">
        <v>406</v>
      </c>
      <c r="C15444" t="s">
        <v>510</v>
      </c>
      <c r="D15444" t="s">
        <v>525</v>
      </c>
      <c r="E15444" t="s">
        <v>526</v>
      </c>
      <c r="F15444" t="s">
        <v>410</v>
      </c>
      <c r="G15444">
        <v>275</v>
      </c>
      <c r="H15444">
        <v>275</v>
      </c>
      <c r="I15444">
        <v>255</v>
      </c>
      <c r="J15444">
        <v>255</v>
      </c>
      <c r="K15444">
        <v>39</v>
      </c>
      <c r="L15444">
        <v>1</v>
      </c>
      <c r="M15444">
        <v>206</v>
      </c>
      <c r="N15444">
        <v>25</v>
      </c>
      <c r="O15444">
        <v>4</v>
      </c>
      <c r="P15444">
        <v>2</v>
      </c>
      <c r="Q15444">
        <v>0</v>
      </c>
    </row>
    <row r="15445" spans="1:17" x14ac:dyDescent="0.2">
      <c r="A15445" s="121">
        <v>44561</v>
      </c>
      <c r="B15445" t="s">
        <v>406</v>
      </c>
      <c r="C15445" t="s">
        <v>510</v>
      </c>
      <c r="D15445" t="s">
        <v>527</v>
      </c>
      <c r="E15445" t="s">
        <v>528</v>
      </c>
      <c r="F15445" t="s">
        <v>410</v>
      </c>
      <c r="G15445">
        <v>3</v>
      </c>
      <c r="I15445">
        <v>3</v>
      </c>
    </row>
    <row r="15446" spans="1:17" x14ac:dyDescent="0.2">
      <c r="A15446" s="121">
        <v>44561</v>
      </c>
      <c r="B15446" t="s">
        <v>406</v>
      </c>
      <c r="C15446" t="s">
        <v>510</v>
      </c>
      <c r="D15446" t="s">
        <v>529</v>
      </c>
      <c r="E15446" t="s">
        <v>530</v>
      </c>
      <c r="F15446" t="s">
        <v>413</v>
      </c>
      <c r="G15446">
        <v>662</v>
      </c>
      <c r="H15446">
        <v>662</v>
      </c>
      <c r="I15446">
        <v>583</v>
      </c>
      <c r="J15446">
        <v>583</v>
      </c>
      <c r="K15446">
        <v>136</v>
      </c>
      <c r="L15446">
        <v>1</v>
      </c>
      <c r="M15446">
        <v>484</v>
      </c>
      <c r="N15446">
        <v>33</v>
      </c>
      <c r="O15446">
        <v>8</v>
      </c>
      <c r="P15446">
        <v>9</v>
      </c>
      <c r="Q15446">
        <v>4</v>
      </c>
    </row>
    <row r="15447" spans="1:17" x14ac:dyDescent="0.2">
      <c r="A15447" s="121">
        <v>44561</v>
      </c>
      <c r="B15447" t="s">
        <v>406</v>
      </c>
      <c r="C15447" t="s">
        <v>510</v>
      </c>
      <c r="D15447" t="s">
        <v>531</v>
      </c>
      <c r="E15447" t="s">
        <v>532</v>
      </c>
      <c r="F15447" t="s">
        <v>410</v>
      </c>
      <c r="G15447">
        <v>18</v>
      </c>
      <c r="I15447">
        <v>18</v>
      </c>
    </row>
    <row r="15448" spans="1:17" x14ac:dyDescent="0.2">
      <c r="A15448" s="121">
        <v>44561</v>
      </c>
      <c r="B15448" t="s">
        <v>406</v>
      </c>
      <c r="C15448" t="s">
        <v>510</v>
      </c>
      <c r="D15448" t="s">
        <v>533</v>
      </c>
      <c r="E15448" t="s">
        <v>534</v>
      </c>
      <c r="F15448" t="s">
        <v>413</v>
      </c>
      <c r="G15448">
        <v>2618</v>
      </c>
      <c r="H15448">
        <v>2618</v>
      </c>
      <c r="I15448">
        <v>1964</v>
      </c>
      <c r="J15448">
        <v>1964</v>
      </c>
      <c r="K15448">
        <v>744</v>
      </c>
      <c r="L15448">
        <v>1</v>
      </c>
      <c r="M15448">
        <v>1718</v>
      </c>
      <c r="N15448">
        <v>23</v>
      </c>
      <c r="O15448">
        <v>132</v>
      </c>
      <c r="P15448">
        <v>113</v>
      </c>
      <c r="Q15448">
        <v>25</v>
      </c>
    </row>
    <row r="15449" spans="1:17" x14ac:dyDescent="0.2">
      <c r="A15449" s="121">
        <v>44561</v>
      </c>
      <c r="B15449" t="s">
        <v>406</v>
      </c>
      <c r="C15449" t="s">
        <v>510</v>
      </c>
      <c r="D15449" t="s">
        <v>535</v>
      </c>
      <c r="E15449" t="s">
        <v>536</v>
      </c>
      <c r="F15449" t="s">
        <v>410</v>
      </c>
      <c r="G15449">
        <v>220</v>
      </c>
      <c r="I15449">
        <v>218</v>
      </c>
    </row>
    <row r="15450" spans="1:17" x14ac:dyDescent="0.2">
      <c r="A15450" s="121">
        <v>44561</v>
      </c>
      <c r="B15450" t="s">
        <v>406</v>
      </c>
      <c r="C15450" t="s">
        <v>510</v>
      </c>
      <c r="D15450" t="s">
        <v>539</v>
      </c>
      <c r="E15450" t="s">
        <v>540</v>
      </c>
      <c r="F15450" t="s">
        <v>413</v>
      </c>
      <c r="G15450">
        <v>645</v>
      </c>
      <c r="H15450">
        <v>645</v>
      </c>
      <c r="I15450">
        <v>577</v>
      </c>
      <c r="J15450">
        <v>577</v>
      </c>
      <c r="K15450">
        <v>100</v>
      </c>
      <c r="L15450">
        <v>0</v>
      </c>
      <c r="M15450">
        <v>519</v>
      </c>
      <c r="N15450">
        <v>18</v>
      </c>
      <c r="O15450">
        <v>8</v>
      </c>
      <c r="P15450">
        <v>6</v>
      </c>
      <c r="Q15450">
        <v>1</v>
      </c>
    </row>
    <row r="15451" spans="1:17" x14ac:dyDescent="0.2">
      <c r="A15451" s="121">
        <v>44561</v>
      </c>
      <c r="B15451" t="s">
        <v>406</v>
      </c>
      <c r="C15451" t="s">
        <v>510</v>
      </c>
      <c r="D15451" t="s">
        <v>541</v>
      </c>
      <c r="E15451" t="s">
        <v>542</v>
      </c>
      <c r="F15451" t="s">
        <v>410</v>
      </c>
      <c r="G15451">
        <v>286</v>
      </c>
      <c r="I15451">
        <v>286</v>
      </c>
    </row>
    <row r="15452" spans="1:17" x14ac:dyDescent="0.2">
      <c r="A15452" s="121">
        <v>44561</v>
      </c>
      <c r="B15452" t="s">
        <v>406</v>
      </c>
      <c r="C15452" t="s">
        <v>510</v>
      </c>
      <c r="D15452" t="s">
        <v>543</v>
      </c>
      <c r="E15452" t="s">
        <v>544</v>
      </c>
      <c r="F15452" t="s">
        <v>410</v>
      </c>
      <c r="G15452">
        <v>36</v>
      </c>
      <c r="I15452">
        <v>36</v>
      </c>
    </row>
    <row r="15453" spans="1:17" x14ac:dyDescent="0.2">
      <c r="A15453" s="121">
        <v>44561</v>
      </c>
      <c r="B15453" t="s">
        <v>406</v>
      </c>
      <c r="C15453" t="s">
        <v>510</v>
      </c>
      <c r="D15453" t="s">
        <v>547</v>
      </c>
      <c r="E15453" t="s">
        <v>548</v>
      </c>
      <c r="F15453" t="s">
        <v>410</v>
      </c>
      <c r="G15453">
        <v>23</v>
      </c>
      <c r="I15453">
        <v>23</v>
      </c>
    </row>
    <row r="15454" spans="1:17" x14ac:dyDescent="0.2">
      <c r="A15454" s="121">
        <v>44561</v>
      </c>
      <c r="B15454" t="s">
        <v>406</v>
      </c>
      <c r="C15454" t="s">
        <v>510</v>
      </c>
      <c r="D15454" t="s">
        <v>616</v>
      </c>
      <c r="E15454" t="s">
        <v>617</v>
      </c>
      <c r="F15454" t="s">
        <v>410</v>
      </c>
      <c r="G15454">
        <v>200</v>
      </c>
      <c r="I15454">
        <v>198</v>
      </c>
    </row>
    <row r="15455" spans="1:17" x14ac:dyDescent="0.2">
      <c r="A15455" s="121">
        <v>44561</v>
      </c>
      <c r="B15455" t="s">
        <v>406</v>
      </c>
      <c r="C15455" t="s">
        <v>510</v>
      </c>
      <c r="D15455" t="s">
        <v>549</v>
      </c>
      <c r="E15455" t="s">
        <v>550</v>
      </c>
      <c r="F15455" t="s">
        <v>410</v>
      </c>
      <c r="G15455">
        <v>55</v>
      </c>
      <c r="I15455">
        <v>55</v>
      </c>
    </row>
    <row r="15456" spans="1:17" x14ac:dyDescent="0.2">
      <c r="A15456" s="121">
        <v>44561</v>
      </c>
      <c r="B15456" t="s">
        <v>406</v>
      </c>
      <c r="C15456" t="s">
        <v>510</v>
      </c>
      <c r="D15456" t="s">
        <v>625</v>
      </c>
      <c r="E15456" t="s">
        <v>626</v>
      </c>
      <c r="F15456" t="s">
        <v>410</v>
      </c>
      <c r="G15456">
        <v>99</v>
      </c>
      <c r="I15456">
        <v>98</v>
      </c>
    </row>
    <row r="15457" spans="1:17" x14ac:dyDescent="0.2">
      <c r="A15457" s="121">
        <v>44561</v>
      </c>
      <c r="B15457" t="s">
        <v>406</v>
      </c>
      <c r="C15457" t="s">
        <v>551</v>
      </c>
      <c r="D15457" t="s">
        <v>552</v>
      </c>
      <c r="E15457" t="s">
        <v>553</v>
      </c>
      <c r="F15457" t="s">
        <v>413</v>
      </c>
      <c r="G15457">
        <v>4963</v>
      </c>
      <c r="H15457">
        <v>4963</v>
      </c>
      <c r="I15457">
        <v>3837</v>
      </c>
      <c r="J15457">
        <v>3837</v>
      </c>
      <c r="K15457">
        <v>1669</v>
      </c>
      <c r="L15457">
        <v>2</v>
      </c>
      <c r="M15457">
        <v>3177</v>
      </c>
      <c r="N15457">
        <v>103</v>
      </c>
      <c r="O15457">
        <v>12</v>
      </c>
      <c r="P15457">
        <v>178</v>
      </c>
      <c r="Q15457">
        <v>22</v>
      </c>
    </row>
    <row r="15458" spans="1:17" x14ac:dyDescent="0.2">
      <c r="A15458" s="121">
        <v>44561</v>
      </c>
      <c r="B15458" t="s">
        <v>406</v>
      </c>
      <c r="C15458" t="s">
        <v>551</v>
      </c>
      <c r="D15458" t="s">
        <v>558</v>
      </c>
      <c r="E15458" t="s">
        <v>559</v>
      </c>
      <c r="F15458" t="s">
        <v>413</v>
      </c>
      <c r="G15458">
        <v>4602</v>
      </c>
      <c r="H15458">
        <v>4602</v>
      </c>
      <c r="I15458">
        <v>3284</v>
      </c>
      <c r="J15458">
        <v>3284</v>
      </c>
      <c r="K15458">
        <v>1359</v>
      </c>
      <c r="L15458">
        <v>9</v>
      </c>
      <c r="M15458">
        <v>3123</v>
      </c>
      <c r="N15458">
        <v>100</v>
      </c>
      <c r="O15458">
        <v>11</v>
      </c>
      <c r="P15458">
        <v>156</v>
      </c>
      <c r="Q15458">
        <v>41</v>
      </c>
    </row>
    <row r="15459" spans="1:17" x14ac:dyDescent="0.2">
      <c r="A15459" s="121">
        <v>44561</v>
      </c>
      <c r="B15459" t="s">
        <v>406</v>
      </c>
      <c r="C15459" t="s">
        <v>551</v>
      </c>
      <c r="D15459" t="s">
        <v>560</v>
      </c>
      <c r="E15459" t="s">
        <v>561</v>
      </c>
      <c r="F15459" t="s">
        <v>413</v>
      </c>
      <c r="G15459">
        <v>5444</v>
      </c>
      <c r="H15459">
        <v>5444</v>
      </c>
      <c r="I15459">
        <v>3277</v>
      </c>
      <c r="J15459">
        <v>3277</v>
      </c>
      <c r="K15459">
        <v>1946</v>
      </c>
      <c r="L15459">
        <v>8</v>
      </c>
      <c r="M15459">
        <v>3387</v>
      </c>
      <c r="N15459">
        <v>57</v>
      </c>
      <c r="O15459">
        <v>46</v>
      </c>
      <c r="P15459">
        <v>539</v>
      </c>
      <c r="Q15459">
        <v>85</v>
      </c>
    </row>
    <row r="15460" spans="1:17" x14ac:dyDescent="0.2">
      <c r="A15460" s="121">
        <v>44561</v>
      </c>
      <c r="B15460" t="s">
        <v>406</v>
      </c>
      <c r="C15460" t="s">
        <v>562</v>
      </c>
      <c r="D15460" t="s">
        <v>563</v>
      </c>
      <c r="E15460" t="s">
        <v>564</v>
      </c>
      <c r="F15460" t="s">
        <v>410</v>
      </c>
      <c r="G15460">
        <v>2951</v>
      </c>
      <c r="H15460">
        <v>2951</v>
      </c>
      <c r="I15460">
        <v>1785</v>
      </c>
      <c r="J15460">
        <v>1785</v>
      </c>
      <c r="K15460">
        <v>1107</v>
      </c>
      <c r="L15460">
        <v>1</v>
      </c>
      <c r="M15460">
        <v>1835</v>
      </c>
      <c r="N15460">
        <v>0</v>
      </c>
      <c r="O15460">
        <v>8</v>
      </c>
      <c r="P15460">
        <v>330</v>
      </c>
      <c r="Q15460">
        <v>172</v>
      </c>
    </row>
    <row r="15461" spans="1:17" x14ac:dyDescent="0.2">
      <c r="A15461" s="121">
        <v>44561</v>
      </c>
      <c r="B15461" t="s">
        <v>406</v>
      </c>
      <c r="C15461" t="s">
        <v>562</v>
      </c>
      <c r="D15461" t="s">
        <v>565</v>
      </c>
      <c r="E15461" t="s">
        <v>566</v>
      </c>
      <c r="F15461" t="s">
        <v>413</v>
      </c>
      <c r="G15461">
        <v>4351</v>
      </c>
      <c r="H15461">
        <v>4351</v>
      </c>
      <c r="I15461">
        <v>3154</v>
      </c>
      <c r="J15461">
        <v>3154</v>
      </c>
      <c r="K15461">
        <v>941</v>
      </c>
      <c r="L15461">
        <v>4</v>
      </c>
      <c r="M15461">
        <v>2988</v>
      </c>
      <c r="N15461">
        <v>39</v>
      </c>
      <c r="O15461">
        <v>379</v>
      </c>
      <c r="P15461">
        <v>266</v>
      </c>
      <c r="Q15461">
        <v>83</v>
      </c>
    </row>
    <row r="15462" spans="1:17" x14ac:dyDescent="0.2">
      <c r="A15462" s="121">
        <v>44561</v>
      </c>
      <c r="B15462" t="s">
        <v>406</v>
      </c>
      <c r="C15462" t="s">
        <v>562</v>
      </c>
      <c r="D15462" t="s">
        <v>567</v>
      </c>
      <c r="E15462" t="s">
        <v>568</v>
      </c>
      <c r="F15462" t="s">
        <v>413</v>
      </c>
      <c r="G15462">
        <v>9093</v>
      </c>
      <c r="H15462">
        <v>9093</v>
      </c>
      <c r="I15462">
        <v>5359</v>
      </c>
      <c r="J15462">
        <v>5359</v>
      </c>
      <c r="K15462">
        <v>3004</v>
      </c>
      <c r="L15462">
        <v>8</v>
      </c>
      <c r="M15462">
        <v>5937</v>
      </c>
      <c r="N15462">
        <v>93</v>
      </c>
      <c r="O15462">
        <v>51</v>
      </c>
      <c r="P15462">
        <v>1133</v>
      </c>
      <c r="Q15462">
        <v>551</v>
      </c>
    </row>
    <row r="15463" spans="1:17" x14ac:dyDescent="0.2">
      <c r="A15463" s="121">
        <v>44561</v>
      </c>
      <c r="B15463" t="s">
        <v>406</v>
      </c>
      <c r="C15463" t="s">
        <v>562</v>
      </c>
      <c r="D15463" t="s">
        <v>569</v>
      </c>
      <c r="E15463" t="s">
        <v>570</v>
      </c>
      <c r="F15463" t="s">
        <v>413</v>
      </c>
      <c r="G15463">
        <v>4062</v>
      </c>
      <c r="H15463">
        <v>4062</v>
      </c>
      <c r="I15463">
        <v>3863</v>
      </c>
      <c r="J15463">
        <v>3863</v>
      </c>
      <c r="K15463">
        <v>616</v>
      </c>
      <c r="L15463">
        <v>0</v>
      </c>
      <c r="M15463">
        <v>3347</v>
      </c>
      <c r="N15463">
        <v>89</v>
      </c>
      <c r="O15463">
        <v>10</v>
      </c>
      <c r="P15463">
        <v>7</v>
      </c>
      <c r="Q15463">
        <v>2</v>
      </c>
    </row>
    <row r="15464" spans="1:17" x14ac:dyDescent="0.2">
      <c r="A15464" s="121">
        <v>44561</v>
      </c>
      <c r="B15464" t="s">
        <v>406</v>
      </c>
      <c r="C15464" t="s">
        <v>571</v>
      </c>
      <c r="D15464" t="s">
        <v>572</v>
      </c>
      <c r="E15464" t="s">
        <v>627</v>
      </c>
      <c r="F15464" t="s">
        <v>413</v>
      </c>
      <c r="G15464">
        <v>458</v>
      </c>
      <c r="H15464">
        <v>458</v>
      </c>
      <c r="I15464">
        <v>436</v>
      </c>
      <c r="J15464">
        <v>436</v>
      </c>
      <c r="K15464">
        <v>130</v>
      </c>
      <c r="L15464">
        <v>0</v>
      </c>
      <c r="M15464">
        <v>325</v>
      </c>
      <c r="N15464">
        <v>1</v>
      </c>
      <c r="O15464">
        <v>2</v>
      </c>
      <c r="P15464">
        <v>1</v>
      </c>
      <c r="Q15464">
        <v>0</v>
      </c>
    </row>
    <row r="15465" spans="1:17" x14ac:dyDescent="0.2">
      <c r="A15465" s="121">
        <v>44561</v>
      </c>
      <c r="B15465" t="s">
        <v>406</v>
      </c>
      <c r="C15465" t="s">
        <v>574</v>
      </c>
      <c r="D15465" t="s">
        <v>575</v>
      </c>
      <c r="E15465" t="s">
        <v>576</v>
      </c>
      <c r="F15465" t="s">
        <v>413</v>
      </c>
      <c r="G15465">
        <v>603</v>
      </c>
      <c r="H15465">
        <v>603</v>
      </c>
      <c r="I15465">
        <v>585</v>
      </c>
      <c r="J15465">
        <v>585</v>
      </c>
      <c r="K15465">
        <v>165</v>
      </c>
      <c r="L15465">
        <v>1</v>
      </c>
      <c r="M15465">
        <v>433</v>
      </c>
      <c r="N15465">
        <v>1</v>
      </c>
      <c r="O15465">
        <v>3</v>
      </c>
      <c r="P15465">
        <v>0</v>
      </c>
      <c r="Q15465">
        <v>0</v>
      </c>
    </row>
    <row r="15466" spans="1:17" x14ac:dyDescent="0.2">
      <c r="A15466" s="121">
        <v>44561</v>
      </c>
      <c r="B15466" t="s">
        <v>406</v>
      </c>
      <c r="C15466" t="s">
        <v>577</v>
      </c>
      <c r="D15466" t="s">
        <v>578</v>
      </c>
      <c r="E15466" t="s">
        <v>579</v>
      </c>
      <c r="F15466" t="s">
        <v>413</v>
      </c>
      <c r="G15466">
        <v>4128</v>
      </c>
      <c r="H15466">
        <v>4128</v>
      </c>
      <c r="I15466">
        <v>3883</v>
      </c>
      <c r="J15466">
        <v>3883</v>
      </c>
      <c r="K15466">
        <v>1505</v>
      </c>
      <c r="L15466">
        <v>5</v>
      </c>
      <c r="M15466">
        <v>2434</v>
      </c>
      <c r="N15466">
        <v>128</v>
      </c>
      <c r="O15466">
        <v>56</v>
      </c>
      <c r="P15466">
        <v>3</v>
      </c>
      <c r="Q15466">
        <v>0</v>
      </c>
    </row>
    <row r="15467" spans="1:17" x14ac:dyDescent="0.2">
      <c r="A15467" s="121">
        <v>44561</v>
      </c>
      <c r="B15467" t="s">
        <v>406</v>
      </c>
      <c r="C15467" t="s">
        <v>577</v>
      </c>
      <c r="D15467" t="s">
        <v>580</v>
      </c>
      <c r="E15467" t="s">
        <v>581</v>
      </c>
      <c r="F15467" t="s">
        <v>413</v>
      </c>
      <c r="G15467">
        <v>1536</v>
      </c>
      <c r="H15467">
        <v>1536</v>
      </c>
      <c r="I15467">
        <v>1410</v>
      </c>
      <c r="J15467">
        <v>1410</v>
      </c>
      <c r="K15467">
        <v>269</v>
      </c>
      <c r="L15467">
        <v>0</v>
      </c>
      <c r="M15467">
        <v>1123</v>
      </c>
      <c r="N15467">
        <v>126</v>
      </c>
      <c r="O15467">
        <v>18</v>
      </c>
      <c r="P15467">
        <v>11</v>
      </c>
      <c r="Q15467">
        <v>1</v>
      </c>
    </row>
    <row r="15468" spans="1:17" x14ac:dyDescent="0.2">
      <c r="A15468" s="121">
        <v>44561</v>
      </c>
      <c r="B15468" t="s">
        <v>406</v>
      </c>
      <c r="C15468" t="s">
        <v>577</v>
      </c>
      <c r="D15468" t="s">
        <v>586</v>
      </c>
      <c r="E15468" t="s">
        <v>587</v>
      </c>
      <c r="F15468" t="s">
        <v>410</v>
      </c>
      <c r="G15468">
        <v>473</v>
      </c>
      <c r="H15468">
        <v>473</v>
      </c>
      <c r="I15468">
        <v>473</v>
      </c>
      <c r="J15468">
        <v>473</v>
      </c>
      <c r="K15468">
        <v>0</v>
      </c>
      <c r="L15468">
        <v>0</v>
      </c>
      <c r="M15468">
        <v>422</v>
      </c>
      <c r="N15468">
        <v>48</v>
      </c>
      <c r="O15468">
        <v>3</v>
      </c>
      <c r="P15468">
        <v>0</v>
      </c>
      <c r="Q15468">
        <v>0</v>
      </c>
    </row>
    <row r="15469" spans="1:17" x14ac:dyDescent="0.2">
      <c r="A15469" s="121">
        <v>44561</v>
      </c>
      <c r="B15469" t="s">
        <v>406</v>
      </c>
      <c r="C15469" t="s">
        <v>577</v>
      </c>
      <c r="D15469" t="s">
        <v>590</v>
      </c>
      <c r="E15469" t="s">
        <v>591</v>
      </c>
      <c r="F15469" t="s">
        <v>410</v>
      </c>
      <c r="G15469">
        <v>227</v>
      </c>
      <c r="H15469">
        <v>227</v>
      </c>
      <c r="I15469">
        <v>227</v>
      </c>
      <c r="J15469">
        <v>227</v>
      </c>
      <c r="K15469">
        <v>0</v>
      </c>
      <c r="L15469">
        <v>0</v>
      </c>
      <c r="M15469">
        <v>209</v>
      </c>
      <c r="N15469">
        <v>18</v>
      </c>
      <c r="O15469">
        <v>0</v>
      </c>
      <c r="P15469">
        <v>0</v>
      </c>
      <c r="Q15469">
        <v>0</v>
      </c>
    </row>
    <row r="15470" spans="1:17" x14ac:dyDescent="0.2">
      <c r="A15470" s="121">
        <v>44561</v>
      </c>
      <c r="B15470" t="s">
        <v>406</v>
      </c>
      <c r="C15470" t="s">
        <v>594</v>
      </c>
      <c r="D15470" t="s">
        <v>595</v>
      </c>
      <c r="E15470" t="s">
        <v>596</v>
      </c>
      <c r="F15470" t="s">
        <v>410</v>
      </c>
      <c r="G15470">
        <v>41</v>
      </c>
      <c r="I15470">
        <v>41</v>
      </c>
    </row>
    <row r="15471" spans="1:17" x14ac:dyDescent="0.2">
      <c r="A15471" s="121">
        <v>44561</v>
      </c>
      <c r="B15471" t="s">
        <v>406</v>
      </c>
      <c r="C15471" t="s">
        <v>594</v>
      </c>
      <c r="D15471" t="s">
        <v>597</v>
      </c>
      <c r="E15471" t="s">
        <v>598</v>
      </c>
      <c r="F15471" t="s">
        <v>413</v>
      </c>
      <c r="G15471">
        <v>325</v>
      </c>
      <c r="H15471">
        <v>325</v>
      </c>
      <c r="I15471">
        <v>313</v>
      </c>
      <c r="J15471">
        <v>313</v>
      </c>
      <c r="K15471">
        <v>94</v>
      </c>
      <c r="L15471">
        <v>1</v>
      </c>
      <c r="M15471">
        <v>227</v>
      </c>
      <c r="N15471">
        <v>2</v>
      </c>
      <c r="O15471">
        <v>1</v>
      </c>
      <c r="P15471">
        <v>1</v>
      </c>
      <c r="Q15471">
        <v>0</v>
      </c>
    </row>
    <row r="15472" spans="1:17" x14ac:dyDescent="0.2">
      <c r="A15472" s="121">
        <v>44561</v>
      </c>
      <c r="B15472" t="s">
        <v>406</v>
      </c>
      <c r="C15472" t="s">
        <v>594</v>
      </c>
      <c r="D15472" t="s">
        <v>599</v>
      </c>
      <c r="E15472" t="s">
        <v>600</v>
      </c>
      <c r="F15472" t="s">
        <v>410</v>
      </c>
      <c r="G15472">
        <v>69</v>
      </c>
      <c r="H15472">
        <v>69</v>
      </c>
      <c r="I15472">
        <v>69</v>
      </c>
      <c r="J15472">
        <v>69</v>
      </c>
      <c r="K15472">
        <v>6</v>
      </c>
      <c r="L15472">
        <v>0</v>
      </c>
      <c r="M15472">
        <v>63</v>
      </c>
      <c r="N15472">
        <v>0</v>
      </c>
      <c r="O15472">
        <v>0</v>
      </c>
      <c r="P15472">
        <v>0</v>
      </c>
      <c r="Q15472">
        <v>0</v>
      </c>
    </row>
    <row r="15473" spans="1:17" x14ac:dyDescent="0.2">
      <c r="A15473" s="121">
        <v>44592</v>
      </c>
      <c r="B15473" t="s">
        <v>406</v>
      </c>
      <c r="C15473" t="s">
        <v>407</v>
      </c>
      <c r="D15473" t="s">
        <v>408</v>
      </c>
      <c r="E15473" t="s">
        <v>409</v>
      </c>
      <c r="F15473" t="s">
        <v>410</v>
      </c>
      <c r="G15473">
        <v>184</v>
      </c>
      <c r="I15473">
        <v>178</v>
      </c>
    </row>
    <row r="15474" spans="1:17" x14ac:dyDescent="0.2">
      <c r="A15474" s="121">
        <v>44592</v>
      </c>
      <c r="B15474" t="s">
        <v>406</v>
      </c>
      <c r="C15474" t="s">
        <v>407</v>
      </c>
      <c r="D15474" t="s">
        <v>601</v>
      </c>
      <c r="E15474" t="s">
        <v>602</v>
      </c>
      <c r="F15474" t="s">
        <v>410</v>
      </c>
      <c r="G15474">
        <v>91</v>
      </c>
      <c r="I15474">
        <v>90</v>
      </c>
    </row>
    <row r="15475" spans="1:17" x14ac:dyDescent="0.2">
      <c r="A15475" s="121">
        <v>44592</v>
      </c>
      <c r="B15475" t="s">
        <v>406</v>
      </c>
      <c r="C15475" t="s">
        <v>407</v>
      </c>
      <c r="D15475" t="s">
        <v>411</v>
      </c>
      <c r="E15475" t="s">
        <v>412</v>
      </c>
      <c r="F15475" t="s">
        <v>413</v>
      </c>
      <c r="G15475">
        <v>4351</v>
      </c>
      <c r="H15475">
        <v>4351</v>
      </c>
      <c r="I15475">
        <v>3263</v>
      </c>
      <c r="J15475">
        <v>3263</v>
      </c>
      <c r="K15475">
        <v>1354</v>
      </c>
      <c r="L15475">
        <v>12</v>
      </c>
      <c r="M15475">
        <v>2683</v>
      </c>
      <c r="N15475">
        <v>62</v>
      </c>
      <c r="O15475">
        <v>240</v>
      </c>
      <c r="P15475">
        <v>594</v>
      </c>
      <c r="Q15475">
        <v>432</v>
      </c>
    </row>
    <row r="15476" spans="1:17" x14ac:dyDescent="0.2">
      <c r="A15476" s="121">
        <v>44592</v>
      </c>
      <c r="B15476" t="s">
        <v>406</v>
      </c>
      <c r="C15476" t="s">
        <v>407</v>
      </c>
      <c r="D15476" t="s">
        <v>416</v>
      </c>
      <c r="E15476" t="s">
        <v>417</v>
      </c>
      <c r="F15476" t="s">
        <v>413</v>
      </c>
      <c r="G15476">
        <v>2138</v>
      </c>
      <c r="H15476">
        <v>2138</v>
      </c>
      <c r="I15476">
        <v>1490</v>
      </c>
      <c r="J15476">
        <v>1490</v>
      </c>
      <c r="K15476">
        <v>633</v>
      </c>
      <c r="L15476">
        <v>7</v>
      </c>
      <c r="M15476">
        <v>1389</v>
      </c>
      <c r="N15476">
        <v>81</v>
      </c>
      <c r="O15476">
        <v>28</v>
      </c>
      <c r="P15476">
        <v>287</v>
      </c>
      <c r="Q15476">
        <v>131</v>
      </c>
    </row>
    <row r="15477" spans="1:17" x14ac:dyDescent="0.2">
      <c r="A15477" s="121">
        <v>44592</v>
      </c>
      <c r="B15477" t="s">
        <v>406</v>
      </c>
      <c r="C15477" t="s">
        <v>407</v>
      </c>
      <c r="D15477" t="s">
        <v>618</v>
      </c>
      <c r="E15477" t="s">
        <v>619</v>
      </c>
      <c r="F15477" t="s">
        <v>410</v>
      </c>
      <c r="G15477">
        <v>56</v>
      </c>
      <c r="I15477">
        <v>56</v>
      </c>
    </row>
    <row r="15478" spans="1:17" x14ac:dyDescent="0.2">
      <c r="A15478" s="121">
        <v>44592</v>
      </c>
      <c r="B15478" t="s">
        <v>406</v>
      </c>
      <c r="C15478" t="s">
        <v>418</v>
      </c>
      <c r="D15478" t="s">
        <v>427</v>
      </c>
      <c r="E15478" t="s">
        <v>428</v>
      </c>
      <c r="F15478" t="s">
        <v>413</v>
      </c>
      <c r="G15478">
        <v>2142</v>
      </c>
      <c r="H15478">
        <v>2142</v>
      </c>
      <c r="I15478">
        <v>1487</v>
      </c>
      <c r="J15478">
        <v>1487</v>
      </c>
      <c r="K15478">
        <v>679</v>
      </c>
      <c r="L15478">
        <v>6</v>
      </c>
      <c r="M15478">
        <v>1395</v>
      </c>
      <c r="N15478">
        <v>55</v>
      </c>
      <c r="O15478">
        <v>7</v>
      </c>
      <c r="P15478">
        <v>213</v>
      </c>
      <c r="Q15478">
        <v>113</v>
      </c>
    </row>
    <row r="15479" spans="1:17" x14ac:dyDescent="0.2">
      <c r="A15479" s="121">
        <v>44592</v>
      </c>
      <c r="B15479" t="s">
        <v>406</v>
      </c>
      <c r="C15479" t="s">
        <v>429</v>
      </c>
      <c r="D15479" t="s">
        <v>438</v>
      </c>
      <c r="E15479" t="s">
        <v>439</v>
      </c>
      <c r="F15479" t="s">
        <v>413</v>
      </c>
      <c r="G15479">
        <v>801</v>
      </c>
      <c r="H15479">
        <v>801</v>
      </c>
      <c r="I15479">
        <v>721</v>
      </c>
      <c r="J15479">
        <v>721</v>
      </c>
      <c r="K15479">
        <v>57</v>
      </c>
      <c r="L15479">
        <v>1</v>
      </c>
      <c r="M15479">
        <v>671</v>
      </c>
      <c r="N15479">
        <v>52</v>
      </c>
      <c r="O15479">
        <v>20</v>
      </c>
      <c r="P15479">
        <v>17</v>
      </c>
      <c r="Q15479">
        <v>4</v>
      </c>
    </row>
    <row r="15480" spans="1:17" x14ac:dyDescent="0.2">
      <c r="A15480" s="121">
        <v>44592</v>
      </c>
      <c r="B15480" t="s">
        <v>406</v>
      </c>
      <c r="C15480" t="s">
        <v>429</v>
      </c>
      <c r="D15480" t="s">
        <v>440</v>
      </c>
      <c r="E15480" t="s">
        <v>441</v>
      </c>
      <c r="F15480" t="s">
        <v>413</v>
      </c>
      <c r="G15480">
        <v>2163</v>
      </c>
      <c r="H15480">
        <v>2163</v>
      </c>
      <c r="I15480">
        <v>1721</v>
      </c>
      <c r="J15480">
        <v>1721</v>
      </c>
      <c r="K15480">
        <v>658</v>
      </c>
      <c r="L15480">
        <v>1</v>
      </c>
      <c r="M15480">
        <v>1441</v>
      </c>
      <c r="N15480">
        <v>26</v>
      </c>
      <c r="O15480">
        <v>37</v>
      </c>
      <c r="P15480">
        <v>101</v>
      </c>
      <c r="Q15480">
        <v>16</v>
      </c>
    </row>
    <row r="15481" spans="1:17" x14ac:dyDescent="0.2">
      <c r="A15481" s="121">
        <v>44592</v>
      </c>
      <c r="B15481" t="s">
        <v>406</v>
      </c>
      <c r="C15481" t="s">
        <v>442</v>
      </c>
      <c r="D15481" t="s">
        <v>443</v>
      </c>
      <c r="E15481" t="s">
        <v>444</v>
      </c>
      <c r="F15481" t="s">
        <v>413</v>
      </c>
      <c r="G15481">
        <v>4828</v>
      </c>
      <c r="H15481">
        <v>4828</v>
      </c>
      <c r="I15481">
        <v>3475</v>
      </c>
      <c r="J15481">
        <v>3475</v>
      </c>
      <c r="K15481">
        <v>1689</v>
      </c>
      <c r="L15481">
        <v>6</v>
      </c>
      <c r="M15481">
        <v>2965</v>
      </c>
      <c r="N15481">
        <v>57</v>
      </c>
      <c r="O15481">
        <v>111</v>
      </c>
      <c r="P15481">
        <v>256</v>
      </c>
      <c r="Q15481">
        <v>34</v>
      </c>
    </row>
    <row r="15482" spans="1:17" x14ac:dyDescent="0.2">
      <c r="A15482" s="121">
        <v>44592</v>
      </c>
      <c r="B15482" t="s">
        <v>406</v>
      </c>
      <c r="C15482" t="s">
        <v>442</v>
      </c>
      <c r="D15482" t="s">
        <v>445</v>
      </c>
      <c r="E15482" t="s">
        <v>446</v>
      </c>
      <c r="F15482" t="s">
        <v>410</v>
      </c>
      <c r="G15482">
        <v>108</v>
      </c>
      <c r="H15482">
        <v>108</v>
      </c>
      <c r="I15482">
        <v>106</v>
      </c>
      <c r="J15482">
        <v>106</v>
      </c>
      <c r="K15482">
        <v>1</v>
      </c>
      <c r="L15482">
        <v>0</v>
      </c>
      <c r="M15482">
        <v>104</v>
      </c>
      <c r="N15482">
        <v>3</v>
      </c>
      <c r="O15482">
        <v>0</v>
      </c>
      <c r="P15482">
        <v>0</v>
      </c>
      <c r="Q15482">
        <v>0</v>
      </c>
    </row>
    <row r="15483" spans="1:17" x14ac:dyDescent="0.2">
      <c r="A15483" s="121">
        <v>44592</v>
      </c>
      <c r="B15483" t="s">
        <v>406</v>
      </c>
      <c r="C15483" t="s">
        <v>442</v>
      </c>
      <c r="D15483" t="s">
        <v>447</v>
      </c>
      <c r="E15483" t="s">
        <v>448</v>
      </c>
      <c r="F15483" t="s">
        <v>410</v>
      </c>
      <c r="G15483">
        <v>163</v>
      </c>
      <c r="H15483">
        <v>163</v>
      </c>
      <c r="I15483">
        <v>163</v>
      </c>
      <c r="J15483">
        <v>163</v>
      </c>
      <c r="K15483">
        <v>0</v>
      </c>
      <c r="L15483">
        <v>0</v>
      </c>
      <c r="M15483">
        <v>158</v>
      </c>
      <c r="N15483">
        <v>5</v>
      </c>
      <c r="O15483">
        <v>0</v>
      </c>
      <c r="P15483">
        <v>0</v>
      </c>
      <c r="Q15483">
        <v>0</v>
      </c>
    </row>
    <row r="15484" spans="1:17" x14ac:dyDescent="0.2">
      <c r="A15484" s="121">
        <v>44592</v>
      </c>
      <c r="B15484" t="s">
        <v>406</v>
      </c>
      <c r="C15484" t="s">
        <v>442</v>
      </c>
      <c r="D15484" t="s">
        <v>449</v>
      </c>
      <c r="E15484" t="s">
        <v>624</v>
      </c>
      <c r="F15484" t="s">
        <v>410</v>
      </c>
      <c r="G15484">
        <v>822</v>
      </c>
      <c r="H15484">
        <v>822</v>
      </c>
      <c r="I15484">
        <v>822</v>
      </c>
      <c r="J15484">
        <v>822</v>
      </c>
      <c r="K15484">
        <v>4</v>
      </c>
      <c r="L15484">
        <v>0</v>
      </c>
      <c r="M15484">
        <v>768</v>
      </c>
      <c r="N15484">
        <v>47</v>
      </c>
      <c r="O15484">
        <v>3</v>
      </c>
      <c r="P15484">
        <v>0</v>
      </c>
      <c r="Q15484">
        <v>0</v>
      </c>
    </row>
    <row r="15485" spans="1:17" x14ac:dyDescent="0.2">
      <c r="A15485" s="121">
        <v>44592</v>
      </c>
      <c r="B15485" t="s">
        <v>406</v>
      </c>
      <c r="C15485" t="s">
        <v>451</v>
      </c>
      <c r="D15485" t="s">
        <v>454</v>
      </c>
      <c r="E15485" t="s">
        <v>621</v>
      </c>
      <c r="F15485" t="s">
        <v>410</v>
      </c>
      <c r="G15485">
        <v>1616</v>
      </c>
      <c r="H15485">
        <v>1616</v>
      </c>
      <c r="I15485">
        <v>1612</v>
      </c>
      <c r="J15485">
        <v>1612</v>
      </c>
      <c r="K15485">
        <v>4</v>
      </c>
      <c r="L15485">
        <v>0</v>
      </c>
      <c r="M15485">
        <v>1515</v>
      </c>
      <c r="N15485">
        <v>6</v>
      </c>
      <c r="O15485">
        <v>91</v>
      </c>
      <c r="P15485">
        <v>0</v>
      </c>
      <c r="Q15485">
        <v>0</v>
      </c>
    </row>
    <row r="15486" spans="1:17" x14ac:dyDescent="0.2">
      <c r="A15486" s="121">
        <v>44592</v>
      </c>
      <c r="B15486" t="s">
        <v>406</v>
      </c>
      <c r="C15486" t="s">
        <v>451</v>
      </c>
      <c r="D15486" t="s">
        <v>622</v>
      </c>
      <c r="E15486" t="s">
        <v>623</v>
      </c>
      <c r="F15486" t="s">
        <v>413</v>
      </c>
      <c r="G15486">
        <v>4416</v>
      </c>
      <c r="H15486">
        <v>4416</v>
      </c>
      <c r="I15486">
        <v>3069</v>
      </c>
      <c r="J15486">
        <v>3069</v>
      </c>
      <c r="K15486">
        <v>1518</v>
      </c>
      <c r="L15486">
        <v>6</v>
      </c>
      <c r="M15486">
        <v>2429</v>
      </c>
      <c r="N15486">
        <v>46</v>
      </c>
      <c r="O15486">
        <v>417</v>
      </c>
      <c r="P15486">
        <v>145</v>
      </c>
      <c r="Q15486">
        <v>33</v>
      </c>
    </row>
    <row r="15487" spans="1:17" x14ac:dyDescent="0.2">
      <c r="A15487" s="121">
        <v>44592</v>
      </c>
      <c r="B15487" t="s">
        <v>406</v>
      </c>
      <c r="C15487" t="s">
        <v>456</v>
      </c>
      <c r="D15487" t="s">
        <v>457</v>
      </c>
      <c r="E15487" t="s">
        <v>458</v>
      </c>
      <c r="F15487" t="s">
        <v>413</v>
      </c>
      <c r="G15487">
        <v>4194</v>
      </c>
      <c r="H15487">
        <v>4194</v>
      </c>
      <c r="I15487">
        <v>2524</v>
      </c>
      <c r="J15487">
        <v>2524</v>
      </c>
      <c r="K15487">
        <v>1438</v>
      </c>
      <c r="L15487">
        <v>11</v>
      </c>
      <c r="M15487">
        <v>2537</v>
      </c>
      <c r="N15487">
        <v>8</v>
      </c>
      <c r="O15487">
        <v>200</v>
      </c>
      <c r="P15487">
        <v>265</v>
      </c>
      <c r="Q15487">
        <v>34</v>
      </c>
    </row>
    <row r="15488" spans="1:17" x14ac:dyDescent="0.2">
      <c r="A15488" s="121">
        <v>44592</v>
      </c>
      <c r="B15488" t="s">
        <v>406</v>
      </c>
      <c r="C15488" t="s">
        <v>456</v>
      </c>
      <c r="D15488" t="s">
        <v>459</v>
      </c>
      <c r="E15488" t="s">
        <v>460</v>
      </c>
      <c r="F15488" t="s">
        <v>413</v>
      </c>
      <c r="G15488">
        <v>1083</v>
      </c>
      <c r="H15488">
        <v>1083</v>
      </c>
      <c r="I15488">
        <v>1041</v>
      </c>
      <c r="J15488">
        <v>1041</v>
      </c>
      <c r="K15488">
        <v>126</v>
      </c>
      <c r="L15488">
        <v>1</v>
      </c>
      <c r="M15488">
        <v>934</v>
      </c>
      <c r="N15488">
        <v>3</v>
      </c>
      <c r="O15488">
        <v>19</v>
      </c>
      <c r="P15488">
        <v>1</v>
      </c>
      <c r="Q15488">
        <v>0</v>
      </c>
    </row>
    <row r="15489" spans="1:17" x14ac:dyDescent="0.2">
      <c r="A15489" s="121">
        <v>44592</v>
      </c>
      <c r="B15489" t="s">
        <v>406</v>
      </c>
      <c r="C15489" t="s">
        <v>456</v>
      </c>
      <c r="D15489" t="s">
        <v>467</v>
      </c>
      <c r="E15489" t="s">
        <v>468</v>
      </c>
      <c r="F15489" t="s">
        <v>410</v>
      </c>
      <c r="G15489">
        <v>444</v>
      </c>
      <c r="I15489">
        <v>442</v>
      </c>
    </row>
    <row r="15490" spans="1:17" x14ac:dyDescent="0.2">
      <c r="A15490" s="121">
        <v>44592</v>
      </c>
      <c r="B15490" t="s">
        <v>406</v>
      </c>
      <c r="C15490" t="s">
        <v>456</v>
      </c>
      <c r="D15490" t="s">
        <v>469</v>
      </c>
      <c r="E15490" t="s">
        <v>470</v>
      </c>
      <c r="F15490" t="s">
        <v>410</v>
      </c>
      <c r="G15490">
        <v>460</v>
      </c>
      <c r="I15490">
        <v>460</v>
      </c>
    </row>
    <row r="15491" spans="1:17" x14ac:dyDescent="0.2">
      <c r="A15491" s="121">
        <v>44592</v>
      </c>
      <c r="B15491" t="s">
        <v>406</v>
      </c>
      <c r="C15491" t="s">
        <v>456</v>
      </c>
      <c r="D15491" t="s">
        <v>471</v>
      </c>
      <c r="E15491" t="s">
        <v>472</v>
      </c>
      <c r="F15491" t="s">
        <v>410</v>
      </c>
      <c r="G15491">
        <v>178</v>
      </c>
      <c r="I15491">
        <v>175</v>
      </c>
    </row>
    <row r="15492" spans="1:17" x14ac:dyDescent="0.2">
      <c r="A15492" s="121">
        <v>44592</v>
      </c>
      <c r="B15492" t="s">
        <v>406</v>
      </c>
      <c r="C15492" t="s">
        <v>456</v>
      </c>
      <c r="D15492" t="s">
        <v>477</v>
      </c>
      <c r="E15492" t="s">
        <v>478</v>
      </c>
      <c r="F15492" t="s">
        <v>413</v>
      </c>
      <c r="G15492">
        <v>1994</v>
      </c>
      <c r="H15492">
        <v>1994</v>
      </c>
      <c r="I15492">
        <v>1610</v>
      </c>
      <c r="J15492">
        <v>1610</v>
      </c>
      <c r="K15492">
        <v>525</v>
      </c>
      <c r="L15492">
        <v>6</v>
      </c>
      <c r="M15492">
        <v>1448</v>
      </c>
      <c r="N15492">
        <v>13</v>
      </c>
      <c r="O15492">
        <v>2</v>
      </c>
      <c r="P15492">
        <v>69</v>
      </c>
      <c r="Q15492">
        <v>12</v>
      </c>
    </row>
    <row r="15493" spans="1:17" x14ac:dyDescent="0.2">
      <c r="A15493" s="121">
        <v>44592</v>
      </c>
      <c r="B15493" t="s">
        <v>406</v>
      </c>
      <c r="C15493" t="s">
        <v>491</v>
      </c>
      <c r="D15493" t="s">
        <v>492</v>
      </c>
      <c r="E15493" t="s">
        <v>493</v>
      </c>
      <c r="F15493" t="s">
        <v>410</v>
      </c>
      <c r="G15493">
        <v>1053</v>
      </c>
      <c r="H15493">
        <v>1053</v>
      </c>
      <c r="I15493">
        <v>986</v>
      </c>
      <c r="J15493">
        <v>986</v>
      </c>
      <c r="K15493">
        <v>122</v>
      </c>
      <c r="L15493">
        <v>0</v>
      </c>
      <c r="M15493">
        <v>876</v>
      </c>
      <c r="N15493">
        <v>48</v>
      </c>
      <c r="O15493">
        <v>7</v>
      </c>
      <c r="P15493">
        <v>8</v>
      </c>
      <c r="Q15493">
        <v>4</v>
      </c>
    </row>
    <row r="15494" spans="1:17" x14ac:dyDescent="0.2">
      <c r="A15494" s="121">
        <v>44592</v>
      </c>
      <c r="B15494" t="s">
        <v>406</v>
      </c>
      <c r="C15494" t="s">
        <v>491</v>
      </c>
      <c r="D15494" t="s">
        <v>494</v>
      </c>
      <c r="E15494" t="s">
        <v>495</v>
      </c>
      <c r="F15494" t="s">
        <v>413</v>
      </c>
      <c r="G15494">
        <v>2111</v>
      </c>
      <c r="H15494">
        <v>2111</v>
      </c>
      <c r="I15494">
        <v>1657</v>
      </c>
      <c r="J15494">
        <v>1657</v>
      </c>
      <c r="K15494">
        <v>574</v>
      </c>
      <c r="L15494">
        <v>11</v>
      </c>
      <c r="M15494">
        <v>1438</v>
      </c>
      <c r="N15494">
        <v>47</v>
      </c>
      <c r="O15494">
        <v>41</v>
      </c>
      <c r="P15494">
        <v>68</v>
      </c>
      <c r="Q15494">
        <v>19</v>
      </c>
    </row>
    <row r="15495" spans="1:17" x14ac:dyDescent="0.2">
      <c r="A15495" s="121">
        <v>44592</v>
      </c>
      <c r="B15495" t="s">
        <v>406</v>
      </c>
      <c r="C15495" t="s">
        <v>491</v>
      </c>
      <c r="D15495" t="s">
        <v>496</v>
      </c>
      <c r="E15495" t="s">
        <v>497</v>
      </c>
      <c r="F15495" t="s">
        <v>413</v>
      </c>
      <c r="G15495">
        <v>4204</v>
      </c>
      <c r="H15495">
        <v>4204</v>
      </c>
      <c r="I15495">
        <v>2783</v>
      </c>
      <c r="J15495">
        <v>2783</v>
      </c>
      <c r="K15495">
        <v>1171</v>
      </c>
      <c r="L15495">
        <v>12</v>
      </c>
      <c r="M15495">
        <v>2886</v>
      </c>
      <c r="N15495">
        <v>72</v>
      </c>
      <c r="O15495">
        <v>63</v>
      </c>
      <c r="P15495">
        <v>524</v>
      </c>
      <c r="Q15495">
        <v>149</v>
      </c>
    </row>
    <row r="15496" spans="1:17" x14ac:dyDescent="0.2">
      <c r="A15496" s="121">
        <v>44592</v>
      </c>
      <c r="B15496" t="s">
        <v>406</v>
      </c>
      <c r="C15496" t="s">
        <v>491</v>
      </c>
      <c r="D15496" t="s">
        <v>498</v>
      </c>
      <c r="E15496" t="s">
        <v>499</v>
      </c>
      <c r="F15496" t="s">
        <v>413</v>
      </c>
      <c r="G15496">
        <v>6282</v>
      </c>
      <c r="H15496">
        <v>6282</v>
      </c>
      <c r="I15496">
        <v>4553</v>
      </c>
      <c r="J15496">
        <v>4553</v>
      </c>
      <c r="K15496">
        <v>1824</v>
      </c>
      <c r="L15496">
        <v>11</v>
      </c>
      <c r="M15496">
        <v>4048</v>
      </c>
      <c r="N15496">
        <v>136</v>
      </c>
      <c r="O15496">
        <v>263</v>
      </c>
      <c r="P15496">
        <v>317</v>
      </c>
      <c r="Q15496">
        <v>32</v>
      </c>
    </row>
    <row r="15497" spans="1:17" x14ac:dyDescent="0.2">
      <c r="A15497" s="121">
        <v>44592</v>
      </c>
      <c r="B15497" t="s">
        <v>406</v>
      </c>
      <c r="C15497" t="s">
        <v>491</v>
      </c>
      <c r="D15497" t="s">
        <v>500</v>
      </c>
      <c r="E15497" t="s">
        <v>620</v>
      </c>
      <c r="F15497" t="s">
        <v>410</v>
      </c>
      <c r="G15497">
        <v>1619</v>
      </c>
      <c r="H15497">
        <v>1619</v>
      </c>
      <c r="I15497">
        <v>1616</v>
      </c>
      <c r="J15497">
        <v>1616</v>
      </c>
      <c r="K15497">
        <v>0</v>
      </c>
      <c r="L15497">
        <v>0</v>
      </c>
      <c r="M15497">
        <v>1407</v>
      </c>
      <c r="N15497">
        <v>76</v>
      </c>
      <c r="O15497">
        <v>136</v>
      </c>
      <c r="P15497">
        <v>0</v>
      </c>
      <c r="Q15497">
        <v>0</v>
      </c>
    </row>
    <row r="15498" spans="1:17" x14ac:dyDescent="0.2">
      <c r="A15498" s="121">
        <v>44592</v>
      </c>
      <c r="B15498" t="s">
        <v>406</v>
      </c>
      <c r="C15498" t="s">
        <v>491</v>
      </c>
      <c r="D15498" t="s">
        <v>502</v>
      </c>
      <c r="E15498" t="s">
        <v>615</v>
      </c>
      <c r="F15498" t="s">
        <v>410</v>
      </c>
      <c r="G15498">
        <v>1743</v>
      </c>
      <c r="H15498">
        <v>1743</v>
      </c>
      <c r="I15498">
        <v>1742</v>
      </c>
      <c r="J15498">
        <v>1742</v>
      </c>
      <c r="K15498">
        <v>0</v>
      </c>
      <c r="L15498">
        <v>0</v>
      </c>
      <c r="M15498">
        <v>1651</v>
      </c>
      <c r="N15498">
        <v>58</v>
      </c>
      <c r="O15498">
        <v>34</v>
      </c>
      <c r="P15498">
        <v>0</v>
      </c>
      <c r="Q15498">
        <v>0</v>
      </c>
    </row>
    <row r="15499" spans="1:17" x14ac:dyDescent="0.2">
      <c r="A15499" s="121">
        <v>44592</v>
      </c>
      <c r="B15499" t="s">
        <v>406</v>
      </c>
      <c r="C15499" t="s">
        <v>491</v>
      </c>
      <c r="D15499" t="s">
        <v>504</v>
      </c>
      <c r="E15499" t="s">
        <v>630</v>
      </c>
      <c r="F15499" t="s">
        <v>413</v>
      </c>
      <c r="G15499">
        <v>6735</v>
      </c>
      <c r="H15499">
        <v>6735</v>
      </c>
      <c r="I15499">
        <v>3851</v>
      </c>
      <c r="J15499">
        <v>3851</v>
      </c>
      <c r="K15499">
        <v>2474</v>
      </c>
      <c r="L15499">
        <v>20</v>
      </c>
      <c r="M15499">
        <v>4007</v>
      </c>
      <c r="N15499">
        <v>67</v>
      </c>
      <c r="O15499">
        <v>167</v>
      </c>
      <c r="P15499">
        <v>686</v>
      </c>
      <c r="Q15499">
        <v>205</v>
      </c>
    </row>
    <row r="15500" spans="1:17" x14ac:dyDescent="0.2">
      <c r="A15500" s="121">
        <v>44592</v>
      </c>
      <c r="B15500" t="s">
        <v>406</v>
      </c>
      <c r="C15500" t="s">
        <v>491</v>
      </c>
      <c r="D15500" t="s">
        <v>506</v>
      </c>
      <c r="E15500" t="s">
        <v>507</v>
      </c>
      <c r="F15500" t="s">
        <v>413</v>
      </c>
      <c r="G15500">
        <v>5003</v>
      </c>
      <c r="H15500">
        <v>5003</v>
      </c>
      <c r="I15500">
        <v>4923</v>
      </c>
      <c r="J15500">
        <v>4923</v>
      </c>
      <c r="K15500">
        <v>1127</v>
      </c>
      <c r="L15500">
        <v>0</v>
      </c>
      <c r="M15500">
        <v>3866</v>
      </c>
      <c r="N15500">
        <v>2</v>
      </c>
      <c r="O15500">
        <v>8</v>
      </c>
      <c r="P15500">
        <v>0</v>
      </c>
      <c r="Q15500">
        <v>0</v>
      </c>
    </row>
    <row r="15501" spans="1:17" x14ac:dyDescent="0.2">
      <c r="A15501" s="121">
        <v>44592</v>
      </c>
      <c r="B15501" t="s">
        <v>406</v>
      </c>
      <c r="C15501" t="s">
        <v>510</v>
      </c>
      <c r="D15501" t="s">
        <v>513</v>
      </c>
      <c r="E15501" t="s">
        <v>514</v>
      </c>
      <c r="F15501" t="s">
        <v>410</v>
      </c>
      <c r="G15501">
        <v>547</v>
      </c>
      <c r="I15501">
        <v>544</v>
      </c>
    </row>
    <row r="15502" spans="1:17" x14ac:dyDescent="0.2">
      <c r="A15502" s="121">
        <v>44592</v>
      </c>
      <c r="B15502" t="s">
        <v>406</v>
      </c>
      <c r="C15502" t="s">
        <v>510</v>
      </c>
      <c r="D15502" t="s">
        <v>515</v>
      </c>
      <c r="E15502" t="s">
        <v>516</v>
      </c>
      <c r="F15502" t="s">
        <v>410</v>
      </c>
      <c r="G15502">
        <v>59</v>
      </c>
      <c r="I15502">
        <v>57</v>
      </c>
    </row>
    <row r="15503" spans="1:17" x14ac:dyDescent="0.2">
      <c r="A15503" s="121">
        <v>44592</v>
      </c>
      <c r="B15503" t="s">
        <v>406</v>
      </c>
      <c r="C15503" t="s">
        <v>510</v>
      </c>
      <c r="D15503" t="s">
        <v>519</v>
      </c>
      <c r="E15503" t="s">
        <v>520</v>
      </c>
      <c r="F15503" t="s">
        <v>410</v>
      </c>
      <c r="G15503">
        <v>210</v>
      </c>
      <c r="I15503">
        <v>204</v>
      </c>
    </row>
    <row r="15504" spans="1:17" x14ac:dyDescent="0.2">
      <c r="A15504" s="121">
        <v>44592</v>
      </c>
      <c r="B15504" t="s">
        <v>406</v>
      </c>
      <c r="C15504" t="s">
        <v>510</v>
      </c>
      <c r="D15504" t="s">
        <v>523</v>
      </c>
      <c r="E15504" t="s">
        <v>524</v>
      </c>
      <c r="F15504" t="s">
        <v>413</v>
      </c>
      <c r="G15504">
        <v>624</v>
      </c>
      <c r="H15504">
        <v>624</v>
      </c>
      <c r="I15504">
        <v>604</v>
      </c>
      <c r="J15504">
        <v>604</v>
      </c>
      <c r="K15504">
        <v>147</v>
      </c>
      <c r="L15504">
        <v>1</v>
      </c>
      <c r="M15504">
        <v>447</v>
      </c>
      <c r="N15504">
        <v>17</v>
      </c>
      <c r="O15504">
        <v>12</v>
      </c>
      <c r="P15504">
        <v>5</v>
      </c>
      <c r="Q15504">
        <v>1</v>
      </c>
    </row>
    <row r="15505" spans="1:17" x14ac:dyDescent="0.2">
      <c r="A15505" s="121">
        <v>44592</v>
      </c>
      <c r="B15505" t="s">
        <v>406</v>
      </c>
      <c r="C15505" t="s">
        <v>510</v>
      </c>
      <c r="D15505" t="s">
        <v>525</v>
      </c>
      <c r="E15505" t="s">
        <v>526</v>
      </c>
      <c r="F15505" t="s">
        <v>410</v>
      </c>
      <c r="G15505">
        <v>235</v>
      </c>
      <c r="H15505">
        <v>235</v>
      </c>
      <c r="I15505">
        <v>221</v>
      </c>
      <c r="J15505">
        <v>221</v>
      </c>
      <c r="K15505">
        <v>35</v>
      </c>
      <c r="L15505">
        <v>1</v>
      </c>
      <c r="M15505">
        <v>176</v>
      </c>
      <c r="N15505">
        <v>20</v>
      </c>
      <c r="O15505">
        <v>3</v>
      </c>
      <c r="P15505">
        <v>5</v>
      </c>
      <c r="Q15505">
        <v>1</v>
      </c>
    </row>
    <row r="15506" spans="1:17" x14ac:dyDescent="0.2">
      <c r="A15506" s="121">
        <v>44592</v>
      </c>
      <c r="B15506" t="s">
        <v>406</v>
      </c>
      <c r="C15506" t="s">
        <v>510</v>
      </c>
      <c r="D15506" t="s">
        <v>527</v>
      </c>
      <c r="E15506" t="s">
        <v>528</v>
      </c>
      <c r="F15506" t="s">
        <v>410</v>
      </c>
      <c r="G15506">
        <v>4</v>
      </c>
      <c r="I15506">
        <v>4</v>
      </c>
    </row>
    <row r="15507" spans="1:17" x14ac:dyDescent="0.2">
      <c r="A15507" s="121">
        <v>44592</v>
      </c>
      <c r="B15507" t="s">
        <v>406</v>
      </c>
      <c r="C15507" t="s">
        <v>510</v>
      </c>
      <c r="D15507" t="s">
        <v>529</v>
      </c>
      <c r="E15507" t="s">
        <v>530</v>
      </c>
      <c r="F15507" t="s">
        <v>413</v>
      </c>
      <c r="G15507">
        <v>587</v>
      </c>
      <c r="H15507">
        <v>587</v>
      </c>
      <c r="I15507">
        <v>525</v>
      </c>
      <c r="J15507">
        <v>525</v>
      </c>
      <c r="K15507">
        <v>119</v>
      </c>
      <c r="L15507">
        <v>1</v>
      </c>
      <c r="M15507">
        <v>441</v>
      </c>
      <c r="N15507">
        <v>23</v>
      </c>
      <c r="O15507">
        <v>3</v>
      </c>
      <c r="P15507">
        <v>6</v>
      </c>
      <c r="Q15507">
        <v>1</v>
      </c>
    </row>
    <row r="15508" spans="1:17" x14ac:dyDescent="0.2">
      <c r="A15508" s="121">
        <v>44592</v>
      </c>
      <c r="B15508" t="s">
        <v>406</v>
      </c>
      <c r="C15508" t="s">
        <v>510</v>
      </c>
      <c r="D15508" t="s">
        <v>531</v>
      </c>
      <c r="E15508" t="s">
        <v>532</v>
      </c>
      <c r="F15508" t="s">
        <v>410</v>
      </c>
      <c r="G15508">
        <v>17</v>
      </c>
      <c r="I15508">
        <v>17</v>
      </c>
    </row>
    <row r="15509" spans="1:17" x14ac:dyDescent="0.2">
      <c r="A15509" s="121">
        <v>44592</v>
      </c>
      <c r="B15509" t="s">
        <v>406</v>
      </c>
      <c r="C15509" t="s">
        <v>510</v>
      </c>
      <c r="D15509" t="s">
        <v>533</v>
      </c>
      <c r="E15509" t="s">
        <v>534</v>
      </c>
      <c r="F15509" t="s">
        <v>413</v>
      </c>
      <c r="G15509">
        <v>2543</v>
      </c>
      <c r="H15509">
        <v>2543</v>
      </c>
      <c r="I15509">
        <v>1980</v>
      </c>
      <c r="J15509">
        <v>1980</v>
      </c>
      <c r="K15509">
        <v>687</v>
      </c>
      <c r="L15509">
        <v>3</v>
      </c>
      <c r="M15509">
        <v>1728</v>
      </c>
      <c r="N15509">
        <v>17</v>
      </c>
      <c r="O15509">
        <v>108</v>
      </c>
      <c r="P15509">
        <v>93</v>
      </c>
      <c r="Q15509">
        <v>24</v>
      </c>
    </row>
    <row r="15510" spans="1:17" x14ac:dyDescent="0.2">
      <c r="A15510" s="121">
        <v>44592</v>
      </c>
      <c r="B15510" t="s">
        <v>406</v>
      </c>
      <c r="C15510" t="s">
        <v>510</v>
      </c>
      <c r="D15510" t="s">
        <v>535</v>
      </c>
      <c r="E15510" t="s">
        <v>536</v>
      </c>
      <c r="F15510" t="s">
        <v>410</v>
      </c>
      <c r="G15510">
        <v>197</v>
      </c>
      <c r="I15510">
        <v>196</v>
      </c>
    </row>
    <row r="15511" spans="1:17" x14ac:dyDescent="0.2">
      <c r="A15511" s="121">
        <v>44592</v>
      </c>
      <c r="B15511" t="s">
        <v>406</v>
      </c>
      <c r="C15511" t="s">
        <v>510</v>
      </c>
      <c r="D15511" t="s">
        <v>539</v>
      </c>
      <c r="E15511" t="s">
        <v>540</v>
      </c>
      <c r="F15511" t="s">
        <v>413</v>
      </c>
      <c r="G15511">
        <v>652</v>
      </c>
      <c r="H15511">
        <v>652</v>
      </c>
      <c r="I15511">
        <v>595</v>
      </c>
      <c r="J15511">
        <v>595</v>
      </c>
      <c r="K15511">
        <v>88</v>
      </c>
      <c r="L15511">
        <v>2</v>
      </c>
      <c r="M15511">
        <v>526</v>
      </c>
      <c r="N15511">
        <v>26</v>
      </c>
      <c r="O15511">
        <v>10</v>
      </c>
      <c r="P15511">
        <v>2</v>
      </c>
      <c r="Q15511">
        <v>0</v>
      </c>
    </row>
    <row r="15512" spans="1:17" x14ac:dyDescent="0.2">
      <c r="A15512" s="121">
        <v>44592</v>
      </c>
      <c r="B15512" t="s">
        <v>406</v>
      </c>
      <c r="C15512" t="s">
        <v>510</v>
      </c>
      <c r="D15512" t="s">
        <v>541</v>
      </c>
      <c r="E15512" t="s">
        <v>542</v>
      </c>
      <c r="F15512" t="s">
        <v>410</v>
      </c>
      <c r="G15512">
        <v>244</v>
      </c>
      <c r="I15512">
        <v>237</v>
      </c>
    </row>
    <row r="15513" spans="1:17" x14ac:dyDescent="0.2">
      <c r="A15513" s="121">
        <v>44592</v>
      </c>
      <c r="B15513" t="s">
        <v>406</v>
      </c>
      <c r="C15513" t="s">
        <v>510</v>
      </c>
      <c r="D15513" t="s">
        <v>543</v>
      </c>
      <c r="E15513" t="s">
        <v>544</v>
      </c>
      <c r="F15513" t="s">
        <v>410</v>
      </c>
      <c r="G15513">
        <v>53</v>
      </c>
      <c r="I15513">
        <v>53</v>
      </c>
    </row>
    <row r="15514" spans="1:17" x14ac:dyDescent="0.2">
      <c r="A15514" s="121">
        <v>44592</v>
      </c>
      <c r="B15514" t="s">
        <v>406</v>
      </c>
      <c r="C15514" t="s">
        <v>510</v>
      </c>
      <c r="D15514" t="s">
        <v>547</v>
      </c>
      <c r="E15514" t="s">
        <v>548</v>
      </c>
      <c r="F15514" t="s">
        <v>410</v>
      </c>
      <c r="G15514">
        <v>22</v>
      </c>
      <c r="I15514">
        <v>22</v>
      </c>
    </row>
    <row r="15515" spans="1:17" x14ac:dyDescent="0.2">
      <c r="A15515" s="121">
        <v>44592</v>
      </c>
      <c r="B15515" t="s">
        <v>406</v>
      </c>
      <c r="C15515" t="s">
        <v>510</v>
      </c>
      <c r="D15515" t="s">
        <v>616</v>
      </c>
      <c r="E15515" t="s">
        <v>617</v>
      </c>
      <c r="F15515" t="s">
        <v>410</v>
      </c>
      <c r="G15515">
        <v>226</v>
      </c>
      <c r="I15515">
        <v>221</v>
      </c>
    </row>
    <row r="15516" spans="1:17" x14ac:dyDescent="0.2">
      <c r="A15516" s="121">
        <v>44592</v>
      </c>
      <c r="B15516" t="s">
        <v>406</v>
      </c>
      <c r="C15516" t="s">
        <v>510</v>
      </c>
      <c r="D15516" t="s">
        <v>549</v>
      </c>
      <c r="E15516" t="s">
        <v>550</v>
      </c>
      <c r="F15516" t="s">
        <v>410</v>
      </c>
      <c r="G15516">
        <v>50</v>
      </c>
      <c r="I15516">
        <v>50</v>
      </c>
    </row>
    <row r="15517" spans="1:17" x14ac:dyDescent="0.2">
      <c r="A15517" s="121">
        <v>44592</v>
      </c>
      <c r="B15517" t="s">
        <v>406</v>
      </c>
      <c r="C15517" t="s">
        <v>510</v>
      </c>
      <c r="D15517" t="s">
        <v>625</v>
      </c>
      <c r="E15517" t="s">
        <v>626</v>
      </c>
      <c r="F15517" t="s">
        <v>410</v>
      </c>
      <c r="G15517">
        <v>79</v>
      </c>
      <c r="I15517">
        <v>77</v>
      </c>
    </row>
    <row r="15518" spans="1:17" x14ac:dyDescent="0.2">
      <c r="A15518" s="121">
        <v>44592</v>
      </c>
      <c r="B15518" t="s">
        <v>406</v>
      </c>
      <c r="C15518" t="s">
        <v>551</v>
      </c>
      <c r="D15518" t="s">
        <v>552</v>
      </c>
      <c r="E15518" t="s">
        <v>553</v>
      </c>
      <c r="F15518" t="s">
        <v>413</v>
      </c>
      <c r="G15518">
        <v>5092</v>
      </c>
      <c r="H15518">
        <v>5092</v>
      </c>
      <c r="I15518">
        <v>3638</v>
      </c>
      <c r="J15518">
        <v>3638</v>
      </c>
      <c r="K15518">
        <v>1782</v>
      </c>
      <c r="L15518">
        <v>4</v>
      </c>
      <c r="M15518">
        <v>3201</v>
      </c>
      <c r="N15518">
        <v>84</v>
      </c>
      <c r="O15518">
        <v>21</v>
      </c>
      <c r="P15518">
        <v>376</v>
      </c>
      <c r="Q15518">
        <v>72</v>
      </c>
    </row>
    <row r="15519" spans="1:17" x14ac:dyDescent="0.2">
      <c r="A15519" s="121">
        <v>44592</v>
      </c>
      <c r="B15519" t="s">
        <v>406</v>
      </c>
      <c r="C15519" t="s">
        <v>551</v>
      </c>
      <c r="D15519" t="s">
        <v>558</v>
      </c>
      <c r="E15519" t="s">
        <v>559</v>
      </c>
      <c r="F15519" t="s">
        <v>413</v>
      </c>
      <c r="G15519">
        <v>4741</v>
      </c>
      <c r="H15519">
        <v>4741</v>
      </c>
      <c r="I15519">
        <v>3396</v>
      </c>
      <c r="J15519">
        <v>3396</v>
      </c>
      <c r="K15519">
        <v>1400</v>
      </c>
      <c r="L15519">
        <v>7</v>
      </c>
      <c r="M15519">
        <v>3235</v>
      </c>
      <c r="N15519">
        <v>98</v>
      </c>
      <c r="O15519">
        <v>1</v>
      </c>
      <c r="P15519">
        <v>168</v>
      </c>
      <c r="Q15519">
        <v>29</v>
      </c>
    </row>
    <row r="15520" spans="1:17" x14ac:dyDescent="0.2">
      <c r="A15520" s="121">
        <v>44592</v>
      </c>
      <c r="B15520" t="s">
        <v>406</v>
      </c>
      <c r="C15520" t="s">
        <v>551</v>
      </c>
      <c r="D15520" t="s">
        <v>560</v>
      </c>
      <c r="E15520" t="s">
        <v>561</v>
      </c>
      <c r="F15520" t="s">
        <v>413</v>
      </c>
      <c r="G15520">
        <v>5448</v>
      </c>
      <c r="H15520">
        <v>5448</v>
      </c>
      <c r="I15520">
        <v>3338</v>
      </c>
      <c r="J15520">
        <v>3338</v>
      </c>
      <c r="K15520">
        <v>1922</v>
      </c>
      <c r="L15520">
        <v>5</v>
      </c>
      <c r="M15520">
        <v>3418</v>
      </c>
      <c r="N15520">
        <v>57</v>
      </c>
      <c r="O15520">
        <v>46</v>
      </c>
      <c r="P15520">
        <v>681</v>
      </c>
      <c r="Q15520">
        <v>137</v>
      </c>
    </row>
    <row r="15521" spans="1:17" x14ac:dyDescent="0.2">
      <c r="A15521" s="121">
        <v>44592</v>
      </c>
      <c r="B15521" t="s">
        <v>406</v>
      </c>
      <c r="C15521" t="s">
        <v>562</v>
      </c>
      <c r="D15521" t="s">
        <v>563</v>
      </c>
      <c r="E15521" t="s">
        <v>564</v>
      </c>
      <c r="F15521" t="s">
        <v>410</v>
      </c>
      <c r="G15521">
        <v>2924</v>
      </c>
      <c r="H15521">
        <v>2924</v>
      </c>
      <c r="I15521">
        <v>1901</v>
      </c>
      <c r="J15521">
        <v>1901</v>
      </c>
      <c r="K15521">
        <v>1052</v>
      </c>
      <c r="L15521">
        <v>0</v>
      </c>
      <c r="M15521">
        <v>1858</v>
      </c>
      <c r="N15521">
        <v>3</v>
      </c>
      <c r="O15521">
        <v>11</v>
      </c>
      <c r="P15521">
        <v>260</v>
      </c>
      <c r="Q15521">
        <v>106</v>
      </c>
    </row>
    <row r="15522" spans="1:17" x14ac:dyDescent="0.2">
      <c r="A15522" s="121">
        <v>44592</v>
      </c>
      <c r="B15522" t="s">
        <v>406</v>
      </c>
      <c r="C15522" t="s">
        <v>562</v>
      </c>
      <c r="D15522" t="s">
        <v>565</v>
      </c>
      <c r="E15522" t="s">
        <v>566</v>
      </c>
      <c r="F15522" t="s">
        <v>413</v>
      </c>
      <c r="G15522">
        <v>4321</v>
      </c>
      <c r="H15522">
        <v>4321</v>
      </c>
      <c r="I15522">
        <v>3155</v>
      </c>
      <c r="J15522">
        <v>3155</v>
      </c>
      <c r="K15522">
        <v>837</v>
      </c>
      <c r="L15522">
        <v>2</v>
      </c>
      <c r="M15522">
        <v>3043</v>
      </c>
      <c r="N15522">
        <v>34</v>
      </c>
      <c r="O15522">
        <v>405</v>
      </c>
      <c r="P15522">
        <v>328</v>
      </c>
      <c r="Q15522">
        <v>125</v>
      </c>
    </row>
    <row r="15523" spans="1:17" x14ac:dyDescent="0.2">
      <c r="A15523" s="121">
        <v>44592</v>
      </c>
      <c r="B15523" t="s">
        <v>406</v>
      </c>
      <c r="C15523" t="s">
        <v>562</v>
      </c>
      <c r="D15523" t="s">
        <v>567</v>
      </c>
      <c r="E15523" t="s">
        <v>568</v>
      </c>
      <c r="F15523" t="s">
        <v>413</v>
      </c>
      <c r="G15523">
        <v>9087</v>
      </c>
      <c r="H15523">
        <v>9087</v>
      </c>
      <c r="I15523">
        <v>5299</v>
      </c>
      <c r="J15523">
        <v>5299</v>
      </c>
      <c r="K15523">
        <v>2891</v>
      </c>
      <c r="L15523">
        <v>3</v>
      </c>
      <c r="M15523">
        <v>6008</v>
      </c>
      <c r="N15523">
        <v>137</v>
      </c>
      <c r="O15523">
        <v>48</v>
      </c>
      <c r="P15523">
        <v>1261</v>
      </c>
      <c r="Q15523">
        <v>614</v>
      </c>
    </row>
    <row r="15524" spans="1:17" x14ac:dyDescent="0.2">
      <c r="A15524" s="121">
        <v>44592</v>
      </c>
      <c r="B15524" t="s">
        <v>406</v>
      </c>
      <c r="C15524" t="s">
        <v>562</v>
      </c>
      <c r="D15524" t="s">
        <v>569</v>
      </c>
      <c r="E15524" t="s">
        <v>570</v>
      </c>
      <c r="F15524" t="s">
        <v>413</v>
      </c>
      <c r="G15524">
        <v>3831</v>
      </c>
      <c r="H15524">
        <v>3831</v>
      </c>
      <c r="I15524">
        <v>3641</v>
      </c>
      <c r="J15524">
        <v>3641</v>
      </c>
      <c r="K15524">
        <v>542</v>
      </c>
      <c r="L15524">
        <v>1</v>
      </c>
      <c r="M15524">
        <v>3157</v>
      </c>
      <c r="N15524">
        <v>103</v>
      </c>
      <c r="O15524">
        <v>28</v>
      </c>
      <c r="P15524">
        <v>2</v>
      </c>
      <c r="Q15524">
        <v>0</v>
      </c>
    </row>
    <row r="15525" spans="1:17" x14ac:dyDescent="0.2">
      <c r="A15525" s="121">
        <v>44592</v>
      </c>
      <c r="B15525" t="s">
        <v>406</v>
      </c>
      <c r="C15525" t="s">
        <v>571</v>
      </c>
      <c r="D15525" t="s">
        <v>572</v>
      </c>
      <c r="E15525" t="s">
        <v>627</v>
      </c>
      <c r="F15525" t="s">
        <v>413</v>
      </c>
      <c r="G15525">
        <v>478</v>
      </c>
      <c r="H15525">
        <v>478</v>
      </c>
      <c r="I15525">
        <v>444</v>
      </c>
      <c r="J15525">
        <v>444</v>
      </c>
      <c r="K15525">
        <v>133</v>
      </c>
      <c r="L15525">
        <v>0</v>
      </c>
      <c r="M15525">
        <v>340</v>
      </c>
      <c r="N15525">
        <v>0</v>
      </c>
      <c r="O15525">
        <v>5</v>
      </c>
      <c r="P15525">
        <v>4</v>
      </c>
      <c r="Q15525">
        <v>1</v>
      </c>
    </row>
    <row r="15526" spans="1:17" x14ac:dyDescent="0.2">
      <c r="A15526" s="121">
        <v>44592</v>
      </c>
      <c r="B15526" t="s">
        <v>406</v>
      </c>
      <c r="C15526" t="s">
        <v>574</v>
      </c>
      <c r="D15526" t="s">
        <v>575</v>
      </c>
      <c r="E15526" t="s">
        <v>576</v>
      </c>
      <c r="F15526" t="s">
        <v>413</v>
      </c>
      <c r="G15526">
        <v>541</v>
      </c>
      <c r="H15526">
        <v>541</v>
      </c>
      <c r="I15526">
        <v>531</v>
      </c>
      <c r="J15526">
        <v>531</v>
      </c>
      <c r="K15526">
        <v>128</v>
      </c>
      <c r="L15526">
        <v>1</v>
      </c>
      <c r="M15526">
        <v>401</v>
      </c>
      <c r="N15526">
        <v>2</v>
      </c>
      <c r="O15526">
        <v>9</v>
      </c>
      <c r="P15526">
        <v>0</v>
      </c>
      <c r="Q15526">
        <v>0</v>
      </c>
    </row>
    <row r="15527" spans="1:17" x14ac:dyDescent="0.2">
      <c r="A15527" s="121">
        <v>44592</v>
      </c>
      <c r="B15527" t="s">
        <v>406</v>
      </c>
      <c r="C15527" t="s">
        <v>577</v>
      </c>
      <c r="D15527" t="s">
        <v>578</v>
      </c>
      <c r="E15527" t="s">
        <v>579</v>
      </c>
      <c r="F15527" t="s">
        <v>413</v>
      </c>
      <c r="G15527">
        <v>4240</v>
      </c>
      <c r="H15527">
        <v>4240</v>
      </c>
      <c r="I15527">
        <v>3982</v>
      </c>
      <c r="J15527">
        <v>3982</v>
      </c>
      <c r="K15527">
        <v>1580</v>
      </c>
      <c r="L15527">
        <v>7</v>
      </c>
      <c r="M15527">
        <v>2478</v>
      </c>
      <c r="N15527">
        <v>131</v>
      </c>
      <c r="O15527">
        <v>44</v>
      </c>
      <c r="P15527">
        <v>4</v>
      </c>
      <c r="Q15527">
        <v>0</v>
      </c>
    </row>
    <row r="15528" spans="1:17" x14ac:dyDescent="0.2">
      <c r="A15528" s="121">
        <v>44592</v>
      </c>
      <c r="B15528" t="s">
        <v>406</v>
      </c>
      <c r="C15528" t="s">
        <v>577</v>
      </c>
      <c r="D15528" t="s">
        <v>580</v>
      </c>
      <c r="E15528" t="s">
        <v>581</v>
      </c>
      <c r="F15528" t="s">
        <v>413</v>
      </c>
      <c r="G15528">
        <v>1496</v>
      </c>
      <c r="H15528">
        <v>1496</v>
      </c>
      <c r="I15528">
        <v>1413</v>
      </c>
      <c r="J15528">
        <v>1413</v>
      </c>
      <c r="K15528">
        <v>232</v>
      </c>
      <c r="L15528">
        <v>0</v>
      </c>
      <c r="M15528">
        <v>1115</v>
      </c>
      <c r="N15528">
        <v>137</v>
      </c>
      <c r="O15528">
        <v>12</v>
      </c>
      <c r="P15528">
        <v>4</v>
      </c>
      <c r="Q15528">
        <v>1</v>
      </c>
    </row>
    <row r="15529" spans="1:17" x14ac:dyDescent="0.2">
      <c r="A15529" s="121">
        <v>44592</v>
      </c>
      <c r="B15529" t="s">
        <v>406</v>
      </c>
      <c r="C15529" t="s">
        <v>577</v>
      </c>
      <c r="D15529" t="s">
        <v>586</v>
      </c>
      <c r="E15529" t="s">
        <v>587</v>
      </c>
      <c r="F15529" t="s">
        <v>410</v>
      </c>
      <c r="G15529">
        <v>536</v>
      </c>
      <c r="H15529">
        <v>536</v>
      </c>
      <c r="I15529">
        <v>535</v>
      </c>
      <c r="J15529">
        <v>535</v>
      </c>
      <c r="K15529">
        <v>0</v>
      </c>
      <c r="L15529">
        <v>0</v>
      </c>
      <c r="M15529">
        <v>477</v>
      </c>
      <c r="N15529">
        <v>58</v>
      </c>
      <c r="O15529">
        <v>1</v>
      </c>
      <c r="P15529">
        <v>0</v>
      </c>
      <c r="Q15529">
        <v>0</v>
      </c>
    </row>
    <row r="15530" spans="1:17" x14ac:dyDescent="0.2">
      <c r="A15530" s="121">
        <v>44592</v>
      </c>
      <c r="B15530" t="s">
        <v>406</v>
      </c>
      <c r="C15530" t="s">
        <v>577</v>
      </c>
      <c r="D15530" t="s">
        <v>590</v>
      </c>
      <c r="E15530" t="s">
        <v>591</v>
      </c>
      <c r="F15530" t="s">
        <v>410</v>
      </c>
      <c r="G15530">
        <v>239</v>
      </c>
      <c r="H15530">
        <v>239</v>
      </c>
      <c r="I15530">
        <v>239</v>
      </c>
      <c r="J15530">
        <v>239</v>
      </c>
      <c r="K15530">
        <v>0</v>
      </c>
      <c r="L15530">
        <v>0</v>
      </c>
      <c r="M15530">
        <v>234</v>
      </c>
      <c r="N15530">
        <v>5</v>
      </c>
      <c r="O15530">
        <v>0</v>
      </c>
      <c r="P15530">
        <v>0</v>
      </c>
      <c r="Q15530">
        <v>0</v>
      </c>
    </row>
    <row r="15531" spans="1:17" x14ac:dyDescent="0.2">
      <c r="A15531" s="121">
        <v>44592</v>
      </c>
      <c r="B15531" t="s">
        <v>406</v>
      </c>
      <c r="C15531" t="s">
        <v>594</v>
      </c>
      <c r="D15531" t="s">
        <v>595</v>
      </c>
      <c r="E15531" t="s">
        <v>596</v>
      </c>
      <c r="F15531" t="s">
        <v>410</v>
      </c>
      <c r="G15531">
        <v>38</v>
      </c>
      <c r="I15531">
        <v>38</v>
      </c>
    </row>
    <row r="15532" spans="1:17" x14ac:dyDescent="0.2">
      <c r="A15532" s="121">
        <v>44592</v>
      </c>
      <c r="B15532" t="s">
        <v>406</v>
      </c>
      <c r="C15532" t="s">
        <v>594</v>
      </c>
      <c r="D15532" t="s">
        <v>597</v>
      </c>
      <c r="E15532" t="s">
        <v>598</v>
      </c>
      <c r="F15532" t="s">
        <v>413</v>
      </c>
      <c r="G15532">
        <v>322</v>
      </c>
      <c r="H15532">
        <v>322</v>
      </c>
      <c r="I15532">
        <v>316</v>
      </c>
      <c r="J15532">
        <v>316</v>
      </c>
      <c r="K15532">
        <v>97</v>
      </c>
      <c r="L15532">
        <v>2</v>
      </c>
      <c r="M15532">
        <v>213</v>
      </c>
      <c r="N15532">
        <v>4</v>
      </c>
      <c r="O15532">
        <v>6</v>
      </c>
      <c r="P15532">
        <v>0</v>
      </c>
      <c r="Q15532">
        <v>0</v>
      </c>
    </row>
    <row r="15533" spans="1:17" x14ac:dyDescent="0.2">
      <c r="A15533" s="121">
        <v>44592</v>
      </c>
      <c r="B15533" t="s">
        <v>406</v>
      </c>
      <c r="C15533" t="s">
        <v>594</v>
      </c>
      <c r="D15533" t="s">
        <v>599</v>
      </c>
      <c r="E15533" t="s">
        <v>600</v>
      </c>
      <c r="F15533" t="s">
        <v>410</v>
      </c>
      <c r="G15533">
        <v>77</v>
      </c>
      <c r="H15533">
        <v>77</v>
      </c>
      <c r="I15533">
        <v>77</v>
      </c>
      <c r="J15533">
        <v>77</v>
      </c>
      <c r="K15533">
        <v>6</v>
      </c>
      <c r="L15533">
        <v>0</v>
      </c>
      <c r="M15533">
        <v>70</v>
      </c>
      <c r="N15533">
        <v>1</v>
      </c>
      <c r="O15533">
        <v>0</v>
      </c>
      <c r="P15533">
        <v>0</v>
      </c>
      <c r="Q15533">
        <v>0</v>
      </c>
    </row>
    <row r="15534" spans="1:17" x14ac:dyDescent="0.2">
      <c r="A15534" s="121">
        <v>44620</v>
      </c>
      <c r="B15534" t="s">
        <v>406</v>
      </c>
      <c r="C15534" t="s">
        <v>407</v>
      </c>
      <c r="D15534" t="s">
        <v>408</v>
      </c>
      <c r="E15534" t="s">
        <v>409</v>
      </c>
      <c r="F15534" t="s">
        <v>410</v>
      </c>
      <c r="G15534">
        <v>159</v>
      </c>
      <c r="I15534">
        <v>159</v>
      </c>
    </row>
    <row r="15535" spans="1:17" x14ac:dyDescent="0.2">
      <c r="A15535" s="121">
        <v>44620</v>
      </c>
      <c r="B15535" t="s">
        <v>406</v>
      </c>
      <c r="C15535" t="s">
        <v>407</v>
      </c>
      <c r="D15535" t="s">
        <v>601</v>
      </c>
      <c r="E15535" t="s">
        <v>602</v>
      </c>
      <c r="F15535" t="s">
        <v>410</v>
      </c>
      <c r="G15535">
        <v>73</v>
      </c>
      <c r="I15535">
        <v>72</v>
      </c>
    </row>
    <row r="15536" spans="1:17" x14ac:dyDescent="0.2">
      <c r="A15536" s="121">
        <v>44620</v>
      </c>
      <c r="B15536" t="s">
        <v>406</v>
      </c>
      <c r="C15536" t="s">
        <v>407</v>
      </c>
      <c r="D15536" t="s">
        <v>411</v>
      </c>
      <c r="E15536" t="s">
        <v>412</v>
      </c>
      <c r="F15536" t="s">
        <v>413</v>
      </c>
      <c r="G15536">
        <v>4327</v>
      </c>
      <c r="H15536">
        <v>4327</v>
      </c>
      <c r="I15536">
        <v>3120</v>
      </c>
      <c r="J15536">
        <v>3120</v>
      </c>
      <c r="K15536">
        <v>1254</v>
      </c>
      <c r="L15536">
        <v>10</v>
      </c>
      <c r="M15536">
        <v>2668</v>
      </c>
      <c r="N15536">
        <v>33</v>
      </c>
      <c r="O15536">
        <v>362</v>
      </c>
      <c r="P15536">
        <v>566</v>
      </c>
      <c r="Q15536">
        <v>359</v>
      </c>
    </row>
    <row r="15537" spans="1:17" x14ac:dyDescent="0.2">
      <c r="A15537" s="121">
        <v>44620</v>
      </c>
      <c r="B15537" t="s">
        <v>406</v>
      </c>
      <c r="C15537" t="s">
        <v>407</v>
      </c>
      <c r="D15537" t="s">
        <v>416</v>
      </c>
      <c r="E15537" t="s">
        <v>417</v>
      </c>
      <c r="F15537" t="s">
        <v>413</v>
      </c>
      <c r="G15537">
        <v>2128</v>
      </c>
      <c r="H15537">
        <v>2128</v>
      </c>
      <c r="I15537">
        <v>1457</v>
      </c>
      <c r="J15537">
        <v>1457</v>
      </c>
      <c r="K15537">
        <v>530</v>
      </c>
      <c r="L15537">
        <v>3</v>
      </c>
      <c r="M15537">
        <v>1479</v>
      </c>
      <c r="N15537">
        <v>84</v>
      </c>
      <c r="O15537">
        <v>32</v>
      </c>
      <c r="P15537">
        <v>302</v>
      </c>
      <c r="Q15537">
        <v>183</v>
      </c>
    </row>
    <row r="15538" spans="1:17" x14ac:dyDescent="0.2">
      <c r="A15538" s="121">
        <v>44620</v>
      </c>
      <c r="B15538" t="s">
        <v>406</v>
      </c>
      <c r="C15538" t="s">
        <v>407</v>
      </c>
      <c r="D15538" t="s">
        <v>618</v>
      </c>
      <c r="E15538" t="s">
        <v>619</v>
      </c>
      <c r="F15538" t="s">
        <v>410</v>
      </c>
      <c r="G15538">
        <v>52</v>
      </c>
      <c r="I15538">
        <v>52</v>
      </c>
    </row>
    <row r="15539" spans="1:17" x14ac:dyDescent="0.2">
      <c r="A15539" s="121">
        <v>44620</v>
      </c>
      <c r="B15539" t="s">
        <v>406</v>
      </c>
      <c r="C15539" t="s">
        <v>418</v>
      </c>
      <c r="D15539" t="s">
        <v>427</v>
      </c>
      <c r="E15539" t="s">
        <v>428</v>
      </c>
      <c r="F15539" t="s">
        <v>413</v>
      </c>
      <c r="G15539">
        <v>2203</v>
      </c>
      <c r="H15539">
        <v>2203</v>
      </c>
      <c r="I15539">
        <v>1451</v>
      </c>
      <c r="J15539">
        <v>1451</v>
      </c>
      <c r="K15539">
        <v>630</v>
      </c>
      <c r="L15539">
        <v>5</v>
      </c>
      <c r="M15539">
        <v>1500</v>
      </c>
      <c r="N15539">
        <v>59</v>
      </c>
      <c r="O15539">
        <v>9</v>
      </c>
      <c r="P15539">
        <v>310</v>
      </c>
      <c r="Q15539">
        <v>200</v>
      </c>
    </row>
    <row r="15540" spans="1:17" x14ac:dyDescent="0.2">
      <c r="A15540" s="121">
        <v>44620</v>
      </c>
      <c r="B15540" t="s">
        <v>406</v>
      </c>
      <c r="C15540" t="s">
        <v>429</v>
      </c>
      <c r="D15540" t="s">
        <v>438</v>
      </c>
      <c r="E15540" t="s">
        <v>439</v>
      </c>
      <c r="F15540" t="s">
        <v>413</v>
      </c>
      <c r="G15540">
        <v>843</v>
      </c>
      <c r="H15540">
        <v>843</v>
      </c>
      <c r="I15540">
        <v>734</v>
      </c>
      <c r="J15540">
        <v>734</v>
      </c>
      <c r="K15540">
        <v>52</v>
      </c>
      <c r="L15540">
        <v>1</v>
      </c>
      <c r="M15540">
        <v>723</v>
      </c>
      <c r="N15540">
        <v>48</v>
      </c>
      <c r="O15540">
        <v>19</v>
      </c>
      <c r="P15540">
        <v>12</v>
      </c>
      <c r="Q15540">
        <v>2</v>
      </c>
    </row>
    <row r="15541" spans="1:17" x14ac:dyDescent="0.2">
      <c r="A15541" s="121">
        <v>44620</v>
      </c>
      <c r="B15541" t="s">
        <v>406</v>
      </c>
      <c r="C15541" t="s">
        <v>429</v>
      </c>
      <c r="D15541" t="s">
        <v>440</v>
      </c>
      <c r="E15541" t="s">
        <v>441</v>
      </c>
      <c r="F15541" t="s">
        <v>413</v>
      </c>
      <c r="G15541">
        <v>2340</v>
      </c>
      <c r="H15541">
        <v>2340</v>
      </c>
      <c r="I15541">
        <v>1852</v>
      </c>
      <c r="J15541">
        <v>1852</v>
      </c>
      <c r="K15541">
        <v>715</v>
      </c>
      <c r="L15541">
        <v>2</v>
      </c>
      <c r="M15541">
        <v>1562</v>
      </c>
      <c r="N15541">
        <v>20</v>
      </c>
      <c r="O15541">
        <v>41</v>
      </c>
      <c r="P15541">
        <v>71</v>
      </c>
      <c r="Q15541">
        <v>8</v>
      </c>
    </row>
    <row r="15542" spans="1:17" x14ac:dyDescent="0.2">
      <c r="A15542" s="121">
        <v>44620</v>
      </c>
      <c r="B15542" t="s">
        <v>406</v>
      </c>
      <c r="C15542" t="s">
        <v>442</v>
      </c>
      <c r="D15542" t="s">
        <v>443</v>
      </c>
      <c r="E15542" t="s">
        <v>444</v>
      </c>
      <c r="F15542" t="s">
        <v>413</v>
      </c>
      <c r="G15542">
        <v>4802</v>
      </c>
      <c r="H15542">
        <v>4802</v>
      </c>
      <c r="I15542">
        <v>3783</v>
      </c>
      <c r="J15542">
        <v>3783</v>
      </c>
      <c r="K15542">
        <v>1512</v>
      </c>
      <c r="L15542">
        <v>9</v>
      </c>
      <c r="M15542">
        <v>3127</v>
      </c>
      <c r="N15542">
        <v>43</v>
      </c>
      <c r="O15542">
        <v>111</v>
      </c>
      <c r="P15542">
        <v>85</v>
      </c>
      <c r="Q15542">
        <v>6</v>
      </c>
    </row>
    <row r="15543" spans="1:17" x14ac:dyDescent="0.2">
      <c r="A15543" s="121">
        <v>44620</v>
      </c>
      <c r="B15543" t="s">
        <v>406</v>
      </c>
      <c r="C15543" t="s">
        <v>442</v>
      </c>
      <c r="D15543" t="s">
        <v>445</v>
      </c>
      <c r="E15543" t="s">
        <v>446</v>
      </c>
      <c r="F15543" t="s">
        <v>410</v>
      </c>
      <c r="G15543">
        <v>146</v>
      </c>
      <c r="H15543">
        <v>146</v>
      </c>
      <c r="I15543">
        <v>145</v>
      </c>
      <c r="J15543">
        <v>145</v>
      </c>
      <c r="K15543">
        <v>0</v>
      </c>
      <c r="L15543">
        <v>0</v>
      </c>
      <c r="M15543">
        <v>140</v>
      </c>
      <c r="N15543">
        <v>2</v>
      </c>
      <c r="O15543">
        <v>4</v>
      </c>
      <c r="P15543">
        <v>0</v>
      </c>
      <c r="Q15543">
        <v>0</v>
      </c>
    </row>
    <row r="15544" spans="1:17" x14ac:dyDescent="0.2">
      <c r="A15544" s="121">
        <v>44620</v>
      </c>
      <c r="B15544" t="s">
        <v>406</v>
      </c>
      <c r="C15544" t="s">
        <v>442</v>
      </c>
      <c r="D15544" t="s">
        <v>447</v>
      </c>
      <c r="E15544" t="s">
        <v>448</v>
      </c>
      <c r="F15544" t="s">
        <v>410</v>
      </c>
      <c r="G15544">
        <v>202</v>
      </c>
      <c r="H15544">
        <v>202</v>
      </c>
      <c r="I15544">
        <v>202</v>
      </c>
      <c r="J15544">
        <v>202</v>
      </c>
      <c r="K15544">
        <v>0</v>
      </c>
      <c r="L15544">
        <v>0</v>
      </c>
      <c r="M15544">
        <v>199</v>
      </c>
      <c r="N15544">
        <v>3</v>
      </c>
      <c r="O15544">
        <v>0</v>
      </c>
      <c r="P15544">
        <v>0</v>
      </c>
      <c r="Q15544">
        <v>0</v>
      </c>
    </row>
    <row r="15545" spans="1:17" x14ac:dyDescent="0.2">
      <c r="A15545" s="121">
        <v>44620</v>
      </c>
      <c r="B15545" t="s">
        <v>406</v>
      </c>
      <c r="C15545" t="s">
        <v>442</v>
      </c>
      <c r="D15545" t="s">
        <v>449</v>
      </c>
      <c r="E15545" t="s">
        <v>624</v>
      </c>
      <c r="F15545" t="s">
        <v>410</v>
      </c>
      <c r="G15545">
        <v>857</v>
      </c>
      <c r="H15545">
        <v>857</v>
      </c>
      <c r="I15545">
        <v>856</v>
      </c>
      <c r="J15545">
        <v>856</v>
      </c>
      <c r="K15545">
        <v>5</v>
      </c>
      <c r="L15545">
        <v>0</v>
      </c>
      <c r="M15545">
        <v>804</v>
      </c>
      <c r="N15545">
        <v>44</v>
      </c>
      <c r="O15545">
        <v>4</v>
      </c>
      <c r="P15545">
        <v>0</v>
      </c>
      <c r="Q15545">
        <v>0</v>
      </c>
    </row>
    <row r="15546" spans="1:17" x14ac:dyDescent="0.2">
      <c r="A15546" s="121">
        <v>44620</v>
      </c>
      <c r="B15546" t="s">
        <v>406</v>
      </c>
      <c r="C15546" t="s">
        <v>451</v>
      </c>
      <c r="D15546" t="s">
        <v>454</v>
      </c>
      <c r="E15546" t="s">
        <v>621</v>
      </c>
      <c r="F15546" t="s">
        <v>410</v>
      </c>
      <c r="G15546">
        <v>1664</v>
      </c>
      <c r="H15546">
        <v>1664</v>
      </c>
      <c r="I15546">
        <v>1662</v>
      </c>
      <c r="J15546">
        <v>1662</v>
      </c>
      <c r="K15546">
        <v>5</v>
      </c>
      <c r="L15546">
        <v>0</v>
      </c>
      <c r="M15546">
        <v>1543</v>
      </c>
      <c r="N15546">
        <v>7</v>
      </c>
      <c r="O15546">
        <v>109</v>
      </c>
      <c r="P15546">
        <v>0</v>
      </c>
      <c r="Q15546">
        <v>0</v>
      </c>
    </row>
    <row r="15547" spans="1:17" x14ac:dyDescent="0.2">
      <c r="A15547" s="121">
        <v>44620</v>
      </c>
      <c r="B15547" t="s">
        <v>406</v>
      </c>
      <c r="C15547" t="s">
        <v>451</v>
      </c>
      <c r="D15547" t="s">
        <v>622</v>
      </c>
      <c r="E15547" t="s">
        <v>623</v>
      </c>
      <c r="F15547" t="s">
        <v>413</v>
      </c>
      <c r="G15547">
        <v>4430</v>
      </c>
      <c r="H15547">
        <v>4430</v>
      </c>
      <c r="I15547">
        <v>2974</v>
      </c>
      <c r="J15547">
        <v>2974</v>
      </c>
      <c r="K15547">
        <v>1491</v>
      </c>
      <c r="L15547">
        <v>6</v>
      </c>
      <c r="M15547">
        <v>2590</v>
      </c>
      <c r="N15547">
        <v>32</v>
      </c>
      <c r="O15547">
        <v>311</v>
      </c>
      <c r="P15547">
        <v>133</v>
      </c>
      <c r="Q15547">
        <v>15</v>
      </c>
    </row>
    <row r="15548" spans="1:17" x14ac:dyDescent="0.2">
      <c r="A15548" s="121">
        <v>44620</v>
      </c>
      <c r="B15548" t="s">
        <v>406</v>
      </c>
      <c r="C15548" t="s">
        <v>456</v>
      </c>
      <c r="D15548" t="s">
        <v>457</v>
      </c>
      <c r="E15548" t="s">
        <v>458</v>
      </c>
      <c r="F15548" t="s">
        <v>413</v>
      </c>
      <c r="G15548">
        <v>3955</v>
      </c>
      <c r="H15548">
        <v>3955</v>
      </c>
      <c r="I15548">
        <v>2258</v>
      </c>
      <c r="J15548">
        <v>2258</v>
      </c>
      <c r="K15548">
        <v>1251</v>
      </c>
      <c r="L15548">
        <v>8</v>
      </c>
      <c r="M15548">
        <v>2522</v>
      </c>
      <c r="N15548">
        <v>13</v>
      </c>
      <c r="O15548">
        <v>161</v>
      </c>
      <c r="P15548">
        <v>302</v>
      </c>
      <c r="Q15548">
        <v>36</v>
      </c>
    </row>
    <row r="15549" spans="1:17" x14ac:dyDescent="0.2">
      <c r="A15549" s="121">
        <v>44620</v>
      </c>
      <c r="B15549" t="s">
        <v>406</v>
      </c>
      <c r="C15549" t="s">
        <v>456</v>
      </c>
      <c r="D15549" t="s">
        <v>459</v>
      </c>
      <c r="E15549" t="s">
        <v>460</v>
      </c>
      <c r="F15549" t="s">
        <v>413</v>
      </c>
      <c r="G15549">
        <v>1181</v>
      </c>
      <c r="H15549">
        <v>1181</v>
      </c>
      <c r="I15549">
        <v>1095</v>
      </c>
      <c r="J15549">
        <v>1095</v>
      </c>
      <c r="K15549">
        <v>148</v>
      </c>
      <c r="L15549">
        <v>1</v>
      </c>
      <c r="M15549">
        <v>1010</v>
      </c>
      <c r="N15549">
        <v>0</v>
      </c>
      <c r="O15549">
        <v>22</v>
      </c>
      <c r="P15549">
        <v>6</v>
      </c>
      <c r="Q15549">
        <v>0</v>
      </c>
    </row>
    <row r="15550" spans="1:17" x14ac:dyDescent="0.2">
      <c r="A15550" s="121">
        <v>44620</v>
      </c>
      <c r="B15550" t="s">
        <v>406</v>
      </c>
      <c r="C15550" t="s">
        <v>456</v>
      </c>
      <c r="D15550" t="s">
        <v>467</v>
      </c>
      <c r="E15550" t="s">
        <v>468</v>
      </c>
      <c r="F15550" t="s">
        <v>410</v>
      </c>
      <c r="G15550">
        <v>487</v>
      </c>
      <c r="I15550">
        <v>486</v>
      </c>
    </row>
    <row r="15551" spans="1:17" x14ac:dyDescent="0.2">
      <c r="A15551" s="121">
        <v>44620</v>
      </c>
      <c r="B15551" t="s">
        <v>406</v>
      </c>
      <c r="C15551" t="s">
        <v>456</v>
      </c>
      <c r="D15551" t="s">
        <v>469</v>
      </c>
      <c r="E15551" t="s">
        <v>470</v>
      </c>
      <c r="F15551" t="s">
        <v>410</v>
      </c>
      <c r="G15551">
        <v>456</v>
      </c>
      <c r="I15551">
        <v>453</v>
      </c>
    </row>
    <row r="15552" spans="1:17" x14ac:dyDescent="0.2">
      <c r="A15552" s="121">
        <v>44620</v>
      </c>
      <c r="B15552" t="s">
        <v>406</v>
      </c>
      <c r="C15552" t="s">
        <v>456</v>
      </c>
      <c r="D15552" t="s">
        <v>471</v>
      </c>
      <c r="E15552" t="s">
        <v>472</v>
      </c>
      <c r="F15552" t="s">
        <v>410</v>
      </c>
      <c r="G15552">
        <v>233</v>
      </c>
      <c r="I15552">
        <v>232</v>
      </c>
    </row>
    <row r="15553" spans="1:17" x14ac:dyDescent="0.2">
      <c r="A15553" s="121">
        <v>44620</v>
      </c>
      <c r="B15553" t="s">
        <v>406</v>
      </c>
      <c r="C15553" t="s">
        <v>456</v>
      </c>
      <c r="D15553" t="s">
        <v>477</v>
      </c>
      <c r="E15553" t="s">
        <v>478</v>
      </c>
      <c r="F15553" t="s">
        <v>413</v>
      </c>
      <c r="G15553">
        <v>1886</v>
      </c>
      <c r="H15553">
        <v>1886</v>
      </c>
      <c r="I15553">
        <v>1467</v>
      </c>
      <c r="J15553">
        <v>1467</v>
      </c>
      <c r="K15553">
        <v>489</v>
      </c>
      <c r="L15553">
        <v>5</v>
      </c>
      <c r="M15553">
        <v>1361</v>
      </c>
      <c r="N15553">
        <v>24</v>
      </c>
      <c r="O15553">
        <v>7</v>
      </c>
      <c r="P15553">
        <v>93</v>
      </c>
      <c r="Q15553">
        <v>18</v>
      </c>
    </row>
    <row r="15554" spans="1:17" x14ac:dyDescent="0.2">
      <c r="A15554" s="121">
        <v>44620</v>
      </c>
      <c r="B15554" t="s">
        <v>406</v>
      </c>
      <c r="C15554" t="s">
        <v>491</v>
      </c>
      <c r="D15554" t="s">
        <v>492</v>
      </c>
      <c r="E15554" t="s">
        <v>493</v>
      </c>
      <c r="F15554" t="s">
        <v>410</v>
      </c>
      <c r="G15554">
        <v>1086</v>
      </c>
      <c r="H15554">
        <v>1086</v>
      </c>
      <c r="I15554">
        <v>1003</v>
      </c>
      <c r="J15554">
        <v>1003</v>
      </c>
      <c r="K15554">
        <v>121</v>
      </c>
      <c r="L15554">
        <v>0</v>
      </c>
      <c r="M15554">
        <v>890</v>
      </c>
      <c r="N15554">
        <v>64</v>
      </c>
      <c r="O15554">
        <v>11</v>
      </c>
      <c r="P15554">
        <v>11</v>
      </c>
      <c r="Q15554">
        <v>6</v>
      </c>
    </row>
    <row r="15555" spans="1:17" x14ac:dyDescent="0.2">
      <c r="A15555" s="121">
        <v>44620</v>
      </c>
      <c r="B15555" t="s">
        <v>406</v>
      </c>
      <c r="C15555" t="s">
        <v>491</v>
      </c>
      <c r="D15555" t="s">
        <v>494</v>
      </c>
      <c r="E15555" t="s">
        <v>495</v>
      </c>
      <c r="F15555" t="s">
        <v>413</v>
      </c>
      <c r="G15555">
        <v>2248</v>
      </c>
      <c r="H15555">
        <v>2248</v>
      </c>
      <c r="I15555">
        <v>1830</v>
      </c>
      <c r="J15555">
        <v>1830</v>
      </c>
      <c r="K15555">
        <v>595</v>
      </c>
      <c r="L15555">
        <v>4</v>
      </c>
      <c r="M15555">
        <v>1559</v>
      </c>
      <c r="N15555">
        <v>53</v>
      </c>
      <c r="O15555">
        <v>37</v>
      </c>
      <c r="P15555">
        <v>40</v>
      </c>
      <c r="Q15555">
        <v>6</v>
      </c>
    </row>
    <row r="15556" spans="1:17" x14ac:dyDescent="0.2">
      <c r="A15556" s="121">
        <v>44620</v>
      </c>
      <c r="B15556" t="s">
        <v>406</v>
      </c>
      <c r="C15556" t="s">
        <v>491</v>
      </c>
      <c r="D15556" t="s">
        <v>496</v>
      </c>
      <c r="E15556" t="s">
        <v>497</v>
      </c>
      <c r="F15556" t="s">
        <v>413</v>
      </c>
      <c r="G15556">
        <v>4146</v>
      </c>
      <c r="H15556">
        <v>4146</v>
      </c>
      <c r="I15556">
        <v>2809</v>
      </c>
      <c r="J15556">
        <v>2809</v>
      </c>
      <c r="K15556">
        <v>1119</v>
      </c>
      <c r="L15556">
        <v>10</v>
      </c>
      <c r="M15556">
        <v>2869</v>
      </c>
      <c r="N15556">
        <v>65</v>
      </c>
      <c r="O15556">
        <v>83</v>
      </c>
      <c r="P15556">
        <v>375</v>
      </c>
      <c r="Q15556">
        <v>144</v>
      </c>
    </row>
    <row r="15557" spans="1:17" x14ac:dyDescent="0.2">
      <c r="A15557" s="121">
        <v>44620</v>
      </c>
      <c r="B15557" t="s">
        <v>406</v>
      </c>
      <c r="C15557" t="s">
        <v>491</v>
      </c>
      <c r="D15557" t="s">
        <v>498</v>
      </c>
      <c r="E15557" t="s">
        <v>499</v>
      </c>
      <c r="F15557" t="s">
        <v>413</v>
      </c>
      <c r="G15557">
        <v>6270</v>
      </c>
      <c r="H15557">
        <v>6270</v>
      </c>
      <c r="I15557">
        <v>4418</v>
      </c>
      <c r="J15557">
        <v>4418</v>
      </c>
      <c r="K15557">
        <v>1767</v>
      </c>
      <c r="L15557">
        <v>12</v>
      </c>
      <c r="M15557">
        <v>4069</v>
      </c>
      <c r="N15557">
        <v>119</v>
      </c>
      <c r="O15557">
        <v>303</v>
      </c>
      <c r="P15557">
        <v>294</v>
      </c>
      <c r="Q15557">
        <v>29</v>
      </c>
    </row>
    <row r="15558" spans="1:17" x14ac:dyDescent="0.2">
      <c r="A15558" s="121">
        <v>44620</v>
      </c>
      <c r="B15558" t="s">
        <v>406</v>
      </c>
      <c r="C15558" t="s">
        <v>491</v>
      </c>
      <c r="D15558" t="s">
        <v>500</v>
      </c>
      <c r="E15558" t="s">
        <v>620</v>
      </c>
      <c r="F15558" t="s">
        <v>410</v>
      </c>
      <c r="G15558">
        <v>1692</v>
      </c>
      <c r="H15558">
        <v>1692</v>
      </c>
      <c r="I15558">
        <v>1678</v>
      </c>
      <c r="J15558">
        <v>1678</v>
      </c>
      <c r="K15558">
        <v>0</v>
      </c>
      <c r="L15558">
        <v>0</v>
      </c>
      <c r="M15558">
        <v>1453</v>
      </c>
      <c r="N15558">
        <v>86</v>
      </c>
      <c r="O15558">
        <v>153</v>
      </c>
      <c r="P15558">
        <v>0</v>
      </c>
      <c r="Q15558">
        <v>0</v>
      </c>
    </row>
    <row r="15559" spans="1:17" x14ac:dyDescent="0.2">
      <c r="A15559" s="121">
        <v>44620</v>
      </c>
      <c r="B15559" t="s">
        <v>406</v>
      </c>
      <c r="C15559" t="s">
        <v>491</v>
      </c>
      <c r="D15559" t="s">
        <v>502</v>
      </c>
      <c r="E15559" t="s">
        <v>615</v>
      </c>
      <c r="F15559" t="s">
        <v>410</v>
      </c>
      <c r="G15559">
        <v>1708</v>
      </c>
      <c r="H15559">
        <v>1708</v>
      </c>
      <c r="I15559">
        <v>1699</v>
      </c>
      <c r="J15559">
        <v>1699</v>
      </c>
      <c r="K15559">
        <v>0</v>
      </c>
      <c r="L15559">
        <v>0</v>
      </c>
      <c r="M15559">
        <v>1623</v>
      </c>
      <c r="N15559">
        <v>62</v>
      </c>
      <c r="O15559">
        <v>23</v>
      </c>
      <c r="P15559">
        <v>0</v>
      </c>
      <c r="Q15559">
        <v>0</v>
      </c>
    </row>
    <row r="15560" spans="1:17" x14ac:dyDescent="0.2">
      <c r="A15560" s="121">
        <v>44620</v>
      </c>
      <c r="B15560" t="s">
        <v>406</v>
      </c>
      <c r="C15560" t="s">
        <v>491</v>
      </c>
      <c r="D15560" t="s">
        <v>504</v>
      </c>
      <c r="E15560" t="s">
        <v>630</v>
      </c>
      <c r="F15560" t="s">
        <v>413</v>
      </c>
      <c r="G15560">
        <v>6763</v>
      </c>
      <c r="H15560">
        <v>6763</v>
      </c>
      <c r="I15560">
        <v>3813</v>
      </c>
      <c r="J15560">
        <v>3813</v>
      </c>
      <c r="K15560">
        <v>2373</v>
      </c>
      <c r="L15560">
        <v>18</v>
      </c>
      <c r="M15560">
        <v>4146</v>
      </c>
      <c r="N15560">
        <v>55</v>
      </c>
      <c r="O15560">
        <v>171</v>
      </c>
      <c r="P15560">
        <v>463</v>
      </c>
      <c r="Q15560">
        <v>123</v>
      </c>
    </row>
    <row r="15561" spans="1:17" x14ac:dyDescent="0.2">
      <c r="A15561" s="121">
        <v>44620</v>
      </c>
      <c r="B15561" t="s">
        <v>406</v>
      </c>
      <c r="C15561" t="s">
        <v>491</v>
      </c>
      <c r="D15561" t="s">
        <v>506</v>
      </c>
      <c r="E15561" t="s">
        <v>507</v>
      </c>
      <c r="F15561" t="s">
        <v>413</v>
      </c>
      <c r="G15561">
        <v>4908</v>
      </c>
      <c r="H15561">
        <v>4908</v>
      </c>
      <c r="I15561">
        <v>4785</v>
      </c>
      <c r="J15561">
        <v>4785</v>
      </c>
      <c r="K15561">
        <v>1023</v>
      </c>
      <c r="L15561">
        <v>0</v>
      </c>
      <c r="M15561">
        <v>3875</v>
      </c>
      <c r="N15561">
        <v>1</v>
      </c>
      <c r="O15561">
        <v>9</v>
      </c>
      <c r="P15561">
        <v>2</v>
      </c>
      <c r="Q15561">
        <v>0</v>
      </c>
    </row>
    <row r="15562" spans="1:17" x14ac:dyDescent="0.2">
      <c r="A15562" s="121">
        <v>44620</v>
      </c>
      <c r="B15562" t="s">
        <v>406</v>
      </c>
      <c r="C15562" t="s">
        <v>510</v>
      </c>
      <c r="D15562" t="s">
        <v>513</v>
      </c>
      <c r="E15562" t="s">
        <v>514</v>
      </c>
      <c r="F15562" t="s">
        <v>410</v>
      </c>
      <c r="G15562">
        <v>516</v>
      </c>
      <c r="I15562">
        <v>513</v>
      </c>
    </row>
    <row r="15563" spans="1:17" x14ac:dyDescent="0.2">
      <c r="A15563" s="121">
        <v>44620</v>
      </c>
      <c r="B15563" t="s">
        <v>406</v>
      </c>
      <c r="C15563" t="s">
        <v>510</v>
      </c>
      <c r="D15563" t="s">
        <v>515</v>
      </c>
      <c r="E15563" t="s">
        <v>516</v>
      </c>
      <c r="F15563" t="s">
        <v>410</v>
      </c>
      <c r="G15563">
        <v>51</v>
      </c>
      <c r="I15563">
        <v>47</v>
      </c>
    </row>
    <row r="15564" spans="1:17" x14ac:dyDescent="0.2">
      <c r="A15564" s="121">
        <v>44620</v>
      </c>
      <c r="B15564" t="s">
        <v>406</v>
      </c>
      <c r="C15564" t="s">
        <v>510</v>
      </c>
      <c r="D15564" t="s">
        <v>519</v>
      </c>
      <c r="E15564" t="s">
        <v>520</v>
      </c>
      <c r="F15564" t="s">
        <v>410</v>
      </c>
      <c r="G15564">
        <v>213</v>
      </c>
      <c r="I15564">
        <v>206</v>
      </c>
    </row>
    <row r="15565" spans="1:17" x14ac:dyDescent="0.2">
      <c r="A15565" s="121">
        <v>44620</v>
      </c>
      <c r="B15565" t="s">
        <v>406</v>
      </c>
      <c r="C15565" t="s">
        <v>510</v>
      </c>
      <c r="D15565" t="s">
        <v>523</v>
      </c>
      <c r="E15565" t="s">
        <v>524</v>
      </c>
      <c r="F15565" t="s">
        <v>413</v>
      </c>
      <c r="G15565">
        <v>606</v>
      </c>
      <c r="H15565">
        <v>606</v>
      </c>
      <c r="I15565">
        <v>558</v>
      </c>
      <c r="J15565">
        <v>558</v>
      </c>
      <c r="K15565">
        <v>144</v>
      </c>
      <c r="L15565">
        <v>1</v>
      </c>
      <c r="M15565">
        <v>440</v>
      </c>
      <c r="N15565">
        <v>16</v>
      </c>
      <c r="O15565">
        <v>5</v>
      </c>
      <c r="P15565">
        <v>2</v>
      </c>
      <c r="Q15565">
        <v>0</v>
      </c>
    </row>
    <row r="15566" spans="1:17" x14ac:dyDescent="0.2">
      <c r="A15566" s="121">
        <v>44620</v>
      </c>
      <c r="B15566" t="s">
        <v>406</v>
      </c>
      <c r="C15566" t="s">
        <v>510</v>
      </c>
      <c r="D15566" t="s">
        <v>525</v>
      </c>
      <c r="E15566" t="s">
        <v>526</v>
      </c>
      <c r="F15566" t="s">
        <v>410</v>
      </c>
      <c r="G15566">
        <v>228</v>
      </c>
      <c r="H15566">
        <v>228</v>
      </c>
      <c r="I15566">
        <v>219</v>
      </c>
      <c r="J15566">
        <v>219</v>
      </c>
      <c r="K15566">
        <v>38</v>
      </c>
      <c r="L15566">
        <v>1</v>
      </c>
      <c r="M15566">
        <v>176</v>
      </c>
      <c r="N15566">
        <v>9</v>
      </c>
      <c r="O15566">
        <v>4</v>
      </c>
      <c r="P15566">
        <v>3</v>
      </c>
      <c r="Q15566">
        <v>2</v>
      </c>
    </row>
    <row r="15567" spans="1:17" x14ac:dyDescent="0.2">
      <c r="A15567" s="121">
        <v>44620</v>
      </c>
      <c r="B15567" t="s">
        <v>406</v>
      </c>
      <c r="C15567" t="s">
        <v>510</v>
      </c>
      <c r="D15567" t="s">
        <v>527</v>
      </c>
      <c r="E15567" t="s">
        <v>528</v>
      </c>
      <c r="F15567" t="s">
        <v>410</v>
      </c>
      <c r="G15567">
        <v>3</v>
      </c>
      <c r="I15567">
        <v>3</v>
      </c>
    </row>
    <row r="15568" spans="1:17" x14ac:dyDescent="0.2">
      <c r="A15568" s="121">
        <v>44620</v>
      </c>
      <c r="B15568" t="s">
        <v>406</v>
      </c>
      <c r="C15568" t="s">
        <v>510</v>
      </c>
      <c r="D15568" t="s">
        <v>529</v>
      </c>
      <c r="E15568" t="s">
        <v>530</v>
      </c>
      <c r="F15568" t="s">
        <v>413</v>
      </c>
      <c r="G15568">
        <v>665</v>
      </c>
      <c r="H15568">
        <v>665</v>
      </c>
      <c r="I15568">
        <v>596</v>
      </c>
      <c r="J15568">
        <v>596</v>
      </c>
      <c r="K15568">
        <v>121</v>
      </c>
      <c r="L15568">
        <v>2</v>
      </c>
      <c r="M15568">
        <v>506</v>
      </c>
      <c r="N15568">
        <v>20</v>
      </c>
      <c r="O15568">
        <v>16</v>
      </c>
      <c r="P15568">
        <v>12</v>
      </c>
      <c r="Q15568">
        <v>6</v>
      </c>
    </row>
    <row r="15569" spans="1:17" x14ac:dyDescent="0.2">
      <c r="A15569" s="121">
        <v>44620</v>
      </c>
      <c r="B15569" t="s">
        <v>406</v>
      </c>
      <c r="C15569" t="s">
        <v>510</v>
      </c>
      <c r="D15569" t="s">
        <v>531</v>
      </c>
      <c r="E15569" t="s">
        <v>532</v>
      </c>
      <c r="F15569" t="s">
        <v>410</v>
      </c>
      <c r="G15569">
        <v>21</v>
      </c>
      <c r="I15569">
        <v>21</v>
      </c>
    </row>
    <row r="15570" spans="1:17" x14ac:dyDescent="0.2">
      <c r="A15570" s="121">
        <v>44620</v>
      </c>
      <c r="B15570" t="s">
        <v>406</v>
      </c>
      <c r="C15570" t="s">
        <v>510</v>
      </c>
      <c r="D15570" t="s">
        <v>533</v>
      </c>
      <c r="E15570" t="s">
        <v>534</v>
      </c>
      <c r="F15570" t="s">
        <v>413</v>
      </c>
      <c r="G15570">
        <v>2424</v>
      </c>
      <c r="H15570">
        <v>2424</v>
      </c>
      <c r="I15570">
        <v>1864</v>
      </c>
      <c r="J15570">
        <v>1864</v>
      </c>
      <c r="K15570">
        <v>626</v>
      </c>
      <c r="L15570">
        <v>2</v>
      </c>
      <c r="M15570">
        <v>1649</v>
      </c>
      <c r="N15570">
        <v>16</v>
      </c>
      <c r="O15570">
        <v>131</v>
      </c>
      <c r="P15570">
        <v>87</v>
      </c>
      <c r="Q15570">
        <v>19</v>
      </c>
    </row>
    <row r="15571" spans="1:17" x14ac:dyDescent="0.2">
      <c r="A15571" s="121">
        <v>44620</v>
      </c>
      <c r="B15571" t="s">
        <v>406</v>
      </c>
      <c r="C15571" t="s">
        <v>510</v>
      </c>
      <c r="D15571" t="s">
        <v>535</v>
      </c>
      <c r="E15571" t="s">
        <v>536</v>
      </c>
      <c r="F15571" t="s">
        <v>410</v>
      </c>
      <c r="G15571">
        <v>181</v>
      </c>
      <c r="I15571">
        <v>181</v>
      </c>
    </row>
    <row r="15572" spans="1:17" x14ac:dyDescent="0.2">
      <c r="A15572" s="121">
        <v>44620</v>
      </c>
      <c r="B15572" t="s">
        <v>406</v>
      </c>
      <c r="C15572" t="s">
        <v>510</v>
      </c>
      <c r="D15572" t="s">
        <v>539</v>
      </c>
      <c r="E15572" t="s">
        <v>540</v>
      </c>
      <c r="F15572" t="s">
        <v>413</v>
      </c>
      <c r="G15572">
        <v>635</v>
      </c>
      <c r="H15572">
        <v>635</v>
      </c>
      <c r="I15572">
        <v>575</v>
      </c>
      <c r="J15572">
        <v>575</v>
      </c>
      <c r="K15572">
        <v>95</v>
      </c>
      <c r="L15572">
        <v>0</v>
      </c>
      <c r="M15572">
        <v>503</v>
      </c>
      <c r="N15572">
        <v>14</v>
      </c>
      <c r="O15572">
        <v>23</v>
      </c>
      <c r="P15572">
        <v>4</v>
      </c>
      <c r="Q15572">
        <v>2</v>
      </c>
    </row>
    <row r="15573" spans="1:17" x14ac:dyDescent="0.2">
      <c r="A15573" s="121">
        <v>44620</v>
      </c>
      <c r="B15573" t="s">
        <v>406</v>
      </c>
      <c r="C15573" t="s">
        <v>510</v>
      </c>
      <c r="D15573" t="s">
        <v>541</v>
      </c>
      <c r="E15573" t="s">
        <v>542</v>
      </c>
      <c r="F15573" t="s">
        <v>410</v>
      </c>
      <c r="G15573">
        <v>304</v>
      </c>
      <c r="I15573">
        <v>303</v>
      </c>
    </row>
    <row r="15574" spans="1:17" x14ac:dyDescent="0.2">
      <c r="A15574" s="121">
        <v>44620</v>
      </c>
      <c r="B15574" t="s">
        <v>406</v>
      </c>
      <c r="C15574" t="s">
        <v>510</v>
      </c>
      <c r="D15574" t="s">
        <v>543</v>
      </c>
      <c r="E15574" t="s">
        <v>544</v>
      </c>
      <c r="F15574" t="s">
        <v>410</v>
      </c>
      <c r="G15574">
        <v>44</v>
      </c>
      <c r="I15574">
        <v>44</v>
      </c>
    </row>
    <row r="15575" spans="1:17" x14ac:dyDescent="0.2">
      <c r="A15575" s="121">
        <v>44620</v>
      </c>
      <c r="B15575" t="s">
        <v>406</v>
      </c>
      <c r="C15575" t="s">
        <v>510</v>
      </c>
      <c r="D15575" t="s">
        <v>547</v>
      </c>
      <c r="E15575" t="s">
        <v>548</v>
      </c>
      <c r="F15575" t="s">
        <v>410</v>
      </c>
      <c r="G15575">
        <v>38</v>
      </c>
      <c r="I15575">
        <v>38</v>
      </c>
    </row>
    <row r="15576" spans="1:17" x14ac:dyDescent="0.2">
      <c r="A15576" s="121">
        <v>44620</v>
      </c>
      <c r="B15576" t="s">
        <v>406</v>
      </c>
      <c r="C15576" t="s">
        <v>510</v>
      </c>
      <c r="D15576" t="s">
        <v>616</v>
      </c>
      <c r="E15576" t="s">
        <v>617</v>
      </c>
      <c r="F15576" t="s">
        <v>410</v>
      </c>
      <c r="G15576">
        <v>215</v>
      </c>
      <c r="I15576">
        <v>209</v>
      </c>
    </row>
    <row r="15577" spans="1:17" x14ac:dyDescent="0.2">
      <c r="A15577" s="121">
        <v>44620</v>
      </c>
      <c r="B15577" t="s">
        <v>406</v>
      </c>
      <c r="C15577" t="s">
        <v>510</v>
      </c>
      <c r="D15577" t="s">
        <v>549</v>
      </c>
      <c r="E15577" t="s">
        <v>550</v>
      </c>
      <c r="F15577" t="s">
        <v>410</v>
      </c>
      <c r="G15577">
        <v>51</v>
      </c>
      <c r="I15577">
        <v>51</v>
      </c>
    </row>
    <row r="15578" spans="1:17" x14ac:dyDescent="0.2">
      <c r="A15578" s="121">
        <v>44620</v>
      </c>
      <c r="B15578" t="s">
        <v>406</v>
      </c>
      <c r="C15578" t="s">
        <v>510</v>
      </c>
      <c r="D15578" t="s">
        <v>625</v>
      </c>
      <c r="E15578" t="s">
        <v>626</v>
      </c>
      <c r="F15578" t="s">
        <v>410</v>
      </c>
      <c r="G15578">
        <v>64</v>
      </c>
      <c r="I15578">
        <v>62</v>
      </c>
    </row>
    <row r="15579" spans="1:17" x14ac:dyDescent="0.2">
      <c r="A15579" s="121">
        <v>44620</v>
      </c>
      <c r="B15579" t="s">
        <v>406</v>
      </c>
      <c r="C15579" t="s">
        <v>551</v>
      </c>
      <c r="D15579" t="s">
        <v>552</v>
      </c>
      <c r="E15579" t="s">
        <v>553</v>
      </c>
      <c r="F15579" t="s">
        <v>413</v>
      </c>
      <c r="G15579">
        <v>4982</v>
      </c>
      <c r="H15579">
        <v>4982</v>
      </c>
      <c r="I15579">
        <v>3333</v>
      </c>
      <c r="J15579">
        <v>3333</v>
      </c>
      <c r="K15579">
        <v>1646</v>
      </c>
      <c r="L15579">
        <v>8</v>
      </c>
      <c r="M15579">
        <v>3209</v>
      </c>
      <c r="N15579">
        <v>90</v>
      </c>
      <c r="O15579">
        <v>29</v>
      </c>
      <c r="P15579">
        <v>273</v>
      </c>
      <c r="Q15579">
        <v>68</v>
      </c>
    </row>
    <row r="15580" spans="1:17" x14ac:dyDescent="0.2">
      <c r="A15580" s="121">
        <v>44620</v>
      </c>
      <c r="B15580" t="s">
        <v>406</v>
      </c>
      <c r="C15580" t="s">
        <v>551</v>
      </c>
      <c r="D15580" t="s">
        <v>558</v>
      </c>
      <c r="E15580" t="s">
        <v>559</v>
      </c>
      <c r="F15580" t="s">
        <v>413</v>
      </c>
      <c r="G15580">
        <v>4787</v>
      </c>
      <c r="H15580">
        <v>4787</v>
      </c>
      <c r="I15580">
        <v>3173</v>
      </c>
      <c r="J15580">
        <v>3173</v>
      </c>
      <c r="K15580">
        <v>1293</v>
      </c>
      <c r="L15580">
        <v>5</v>
      </c>
      <c r="M15580">
        <v>3379</v>
      </c>
      <c r="N15580">
        <v>95</v>
      </c>
      <c r="O15580">
        <v>15</v>
      </c>
      <c r="P15580">
        <v>242</v>
      </c>
      <c r="Q15580">
        <v>54</v>
      </c>
    </row>
    <row r="15581" spans="1:17" x14ac:dyDescent="0.2">
      <c r="A15581" s="121">
        <v>44620</v>
      </c>
      <c r="B15581" t="s">
        <v>406</v>
      </c>
      <c r="C15581" t="s">
        <v>551</v>
      </c>
      <c r="D15581" t="s">
        <v>560</v>
      </c>
      <c r="E15581" t="s">
        <v>561</v>
      </c>
      <c r="F15581" t="s">
        <v>413</v>
      </c>
      <c r="G15581">
        <v>5340</v>
      </c>
      <c r="H15581">
        <v>5340</v>
      </c>
      <c r="I15581">
        <v>3084</v>
      </c>
      <c r="J15581">
        <v>3084</v>
      </c>
      <c r="K15581">
        <v>1856</v>
      </c>
      <c r="L15581">
        <v>3</v>
      </c>
      <c r="M15581">
        <v>3394</v>
      </c>
      <c r="N15581">
        <v>47</v>
      </c>
      <c r="O15581">
        <v>40</v>
      </c>
      <c r="P15581">
        <v>740</v>
      </c>
      <c r="Q15581">
        <v>131</v>
      </c>
    </row>
    <row r="15582" spans="1:17" x14ac:dyDescent="0.2">
      <c r="A15582" s="121">
        <v>44620</v>
      </c>
      <c r="B15582" t="s">
        <v>406</v>
      </c>
      <c r="C15582" t="s">
        <v>562</v>
      </c>
      <c r="D15582" t="s">
        <v>563</v>
      </c>
      <c r="E15582" t="s">
        <v>564</v>
      </c>
      <c r="F15582" t="s">
        <v>410</v>
      </c>
      <c r="G15582">
        <v>2910</v>
      </c>
      <c r="H15582">
        <v>2910</v>
      </c>
      <c r="I15582">
        <v>1748</v>
      </c>
      <c r="J15582">
        <v>1748</v>
      </c>
      <c r="K15582">
        <v>1005</v>
      </c>
      <c r="L15582">
        <v>0</v>
      </c>
      <c r="M15582">
        <v>1887</v>
      </c>
      <c r="N15582">
        <v>1</v>
      </c>
      <c r="O15582">
        <v>17</v>
      </c>
      <c r="P15582">
        <v>343</v>
      </c>
      <c r="Q15582">
        <v>168</v>
      </c>
    </row>
    <row r="15583" spans="1:17" x14ac:dyDescent="0.2">
      <c r="A15583" s="121">
        <v>44620</v>
      </c>
      <c r="B15583" t="s">
        <v>406</v>
      </c>
      <c r="C15583" t="s">
        <v>562</v>
      </c>
      <c r="D15583" t="s">
        <v>565</v>
      </c>
      <c r="E15583" t="s">
        <v>566</v>
      </c>
      <c r="F15583" t="s">
        <v>413</v>
      </c>
      <c r="G15583">
        <v>4179</v>
      </c>
      <c r="H15583">
        <v>4179</v>
      </c>
      <c r="I15583">
        <v>3038</v>
      </c>
      <c r="J15583">
        <v>3038</v>
      </c>
      <c r="K15583">
        <v>824</v>
      </c>
      <c r="L15583">
        <v>1</v>
      </c>
      <c r="M15583">
        <v>2930</v>
      </c>
      <c r="N15583">
        <v>23</v>
      </c>
      <c r="O15583">
        <v>401</v>
      </c>
      <c r="P15583">
        <v>328</v>
      </c>
      <c r="Q15583">
        <v>146</v>
      </c>
    </row>
    <row r="15584" spans="1:17" x14ac:dyDescent="0.2">
      <c r="A15584" s="121">
        <v>44620</v>
      </c>
      <c r="B15584" t="s">
        <v>406</v>
      </c>
      <c r="C15584" t="s">
        <v>562</v>
      </c>
      <c r="D15584" t="s">
        <v>567</v>
      </c>
      <c r="E15584" t="s">
        <v>568</v>
      </c>
      <c r="F15584" t="s">
        <v>413</v>
      </c>
      <c r="G15584">
        <v>8997</v>
      </c>
      <c r="H15584">
        <v>8997</v>
      </c>
      <c r="I15584">
        <v>4533</v>
      </c>
      <c r="J15584">
        <v>4533</v>
      </c>
      <c r="K15584">
        <v>2447</v>
      </c>
      <c r="L15584">
        <v>11</v>
      </c>
      <c r="M15584">
        <v>6353</v>
      </c>
      <c r="N15584">
        <v>143</v>
      </c>
      <c r="O15584">
        <v>43</v>
      </c>
      <c r="P15584">
        <v>1564</v>
      </c>
      <c r="Q15584">
        <v>751</v>
      </c>
    </row>
    <row r="15585" spans="1:17" x14ac:dyDescent="0.2">
      <c r="A15585" s="121">
        <v>44620</v>
      </c>
      <c r="B15585" t="s">
        <v>406</v>
      </c>
      <c r="C15585" t="s">
        <v>562</v>
      </c>
      <c r="D15585" t="s">
        <v>569</v>
      </c>
      <c r="E15585" t="s">
        <v>570</v>
      </c>
      <c r="F15585" t="s">
        <v>413</v>
      </c>
      <c r="G15585">
        <v>3750</v>
      </c>
      <c r="H15585">
        <v>3750</v>
      </c>
      <c r="I15585">
        <v>3528</v>
      </c>
      <c r="J15585">
        <v>3528</v>
      </c>
      <c r="K15585">
        <v>519</v>
      </c>
      <c r="L15585">
        <v>0</v>
      </c>
      <c r="M15585">
        <v>3118</v>
      </c>
      <c r="N15585">
        <v>90</v>
      </c>
      <c r="O15585">
        <v>23</v>
      </c>
      <c r="P15585">
        <v>4</v>
      </c>
      <c r="Q15585">
        <v>0</v>
      </c>
    </row>
    <row r="15586" spans="1:17" x14ac:dyDescent="0.2">
      <c r="A15586" s="121">
        <v>44620</v>
      </c>
      <c r="B15586" t="s">
        <v>406</v>
      </c>
      <c r="C15586" t="s">
        <v>571</v>
      </c>
      <c r="D15586" t="s">
        <v>572</v>
      </c>
      <c r="E15586" t="s">
        <v>627</v>
      </c>
      <c r="F15586" t="s">
        <v>413</v>
      </c>
      <c r="G15586">
        <v>426</v>
      </c>
      <c r="H15586">
        <v>426</v>
      </c>
      <c r="I15586">
        <v>405</v>
      </c>
      <c r="J15586">
        <v>405</v>
      </c>
      <c r="K15586">
        <v>114</v>
      </c>
      <c r="L15586">
        <v>0</v>
      </c>
      <c r="M15586">
        <v>311</v>
      </c>
      <c r="N15586">
        <v>0</v>
      </c>
      <c r="O15586">
        <v>1</v>
      </c>
      <c r="P15586">
        <v>0</v>
      </c>
      <c r="Q15586">
        <v>0</v>
      </c>
    </row>
    <row r="15587" spans="1:17" x14ac:dyDescent="0.2">
      <c r="A15587" s="121">
        <v>44620</v>
      </c>
      <c r="B15587" t="s">
        <v>406</v>
      </c>
      <c r="C15587" t="s">
        <v>574</v>
      </c>
      <c r="D15587" t="s">
        <v>575</v>
      </c>
      <c r="E15587" t="s">
        <v>576</v>
      </c>
      <c r="F15587" t="s">
        <v>413</v>
      </c>
      <c r="G15587">
        <v>515</v>
      </c>
      <c r="H15587">
        <v>515</v>
      </c>
      <c r="I15587">
        <v>505</v>
      </c>
      <c r="J15587">
        <v>505</v>
      </c>
      <c r="K15587">
        <v>116</v>
      </c>
      <c r="L15587">
        <v>0</v>
      </c>
      <c r="M15587">
        <v>391</v>
      </c>
      <c r="N15587">
        <v>1</v>
      </c>
      <c r="O15587">
        <v>7</v>
      </c>
      <c r="P15587">
        <v>1</v>
      </c>
      <c r="Q15587">
        <v>0</v>
      </c>
    </row>
    <row r="15588" spans="1:17" x14ac:dyDescent="0.2">
      <c r="A15588" s="121">
        <v>44620</v>
      </c>
      <c r="B15588" t="s">
        <v>406</v>
      </c>
      <c r="C15588" t="s">
        <v>577</v>
      </c>
      <c r="D15588" t="s">
        <v>578</v>
      </c>
      <c r="E15588" t="s">
        <v>579</v>
      </c>
      <c r="F15588" t="s">
        <v>413</v>
      </c>
      <c r="G15588">
        <v>4182</v>
      </c>
      <c r="H15588">
        <v>4182</v>
      </c>
      <c r="I15588">
        <v>3820</v>
      </c>
      <c r="J15588">
        <v>3820</v>
      </c>
      <c r="K15588">
        <v>1543</v>
      </c>
      <c r="L15588">
        <v>5</v>
      </c>
      <c r="M15588">
        <v>2433</v>
      </c>
      <c r="N15588">
        <v>153</v>
      </c>
      <c r="O15588">
        <v>48</v>
      </c>
      <c r="P15588">
        <v>12</v>
      </c>
      <c r="Q15588">
        <v>0</v>
      </c>
    </row>
    <row r="15589" spans="1:17" x14ac:dyDescent="0.2">
      <c r="A15589" s="121">
        <v>44620</v>
      </c>
      <c r="B15589" t="s">
        <v>406</v>
      </c>
      <c r="C15589" t="s">
        <v>577</v>
      </c>
      <c r="D15589" t="s">
        <v>580</v>
      </c>
      <c r="E15589" t="s">
        <v>581</v>
      </c>
      <c r="F15589" t="s">
        <v>413</v>
      </c>
      <c r="G15589">
        <v>1489</v>
      </c>
      <c r="H15589">
        <v>1489</v>
      </c>
      <c r="I15589">
        <v>1405</v>
      </c>
      <c r="J15589">
        <v>1405</v>
      </c>
      <c r="K15589">
        <v>248</v>
      </c>
      <c r="L15589">
        <v>0</v>
      </c>
      <c r="M15589">
        <v>1114</v>
      </c>
      <c r="N15589">
        <v>109</v>
      </c>
      <c r="O15589">
        <v>18</v>
      </c>
      <c r="P15589">
        <v>11</v>
      </c>
      <c r="Q15589">
        <v>0</v>
      </c>
    </row>
    <row r="15590" spans="1:17" x14ac:dyDescent="0.2">
      <c r="A15590" s="121">
        <v>44620</v>
      </c>
      <c r="B15590" t="s">
        <v>406</v>
      </c>
      <c r="C15590" t="s">
        <v>577</v>
      </c>
      <c r="D15590" t="s">
        <v>586</v>
      </c>
      <c r="E15590" t="s">
        <v>587</v>
      </c>
      <c r="F15590" t="s">
        <v>410</v>
      </c>
      <c r="G15590">
        <v>513</v>
      </c>
      <c r="H15590">
        <v>513</v>
      </c>
      <c r="I15590">
        <v>512</v>
      </c>
      <c r="J15590">
        <v>512</v>
      </c>
      <c r="K15590">
        <v>0</v>
      </c>
      <c r="L15590">
        <v>1</v>
      </c>
      <c r="M15590">
        <v>466</v>
      </c>
      <c r="N15590">
        <v>46</v>
      </c>
      <c r="O15590">
        <v>0</v>
      </c>
      <c r="P15590">
        <v>0</v>
      </c>
      <c r="Q15590">
        <v>0</v>
      </c>
    </row>
    <row r="15591" spans="1:17" x14ac:dyDescent="0.2">
      <c r="A15591" s="121">
        <v>44620</v>
      </c>
      <c r="B15591" t="s">
        <v>406</v>
      </c>
      <c r="C15591" t="s">
        <v>577</v>
      </c>
      <c r="D15591" t="s">
        <v>590</v>
      </c>
      <c r="E15591" t="s">
        <v>591</v>
      </c>
      <c r="F15591" t="s">
        <v>410</v>
      </c>
      <c r="G15591">
        <v>245</v>
      </c>
      <c r="H15591">
        <v>245</v>
      </c>
      <c r="I15591">
        <v>245</v>
      </c>
      <c r="J15591">
        <v>245</v>
      </c>
      <c r="K15591">
        <v>0</v>
      </c>
      <c r="L15591">
        <v>0</v>
      </c>
      <c r="M15591">
        <v>233</v>
      </c>
      <c r="N15591">
        <v>12</v>
      </c>
      <c r="O15591">
        <v>0</v>
      </c>
      <c r="P15591">
        <v>0</v>
      </c>
      <c r="Q15591">
        <v>0</v>
      </c>
    </row>
    <row r="15592" spans="1:17" x14ac:dyDescent="0.2">
      <c r="A15592" s="121">
        <v>44620</v>
      </c>
      <c r="B15592" t="s">
        <v>406</v>
      </c>
      <c r="C15592" t="s">
        <v>594</v>
      </c>
      <c r="D15592" t="s">
        <v>595</v>
      </c>
      <c r="E15592" t="s">
        <v>596</v>
      </c>
      <c r="F15592" t="s">
        <v>410</v>
      </c>
      <c r="G15592">
        <v>33</v>
      </c>
      <c r="I15592">
        <v>33</v>
      </c>
    </row>
    <row r="15593" spans="1:17" x14ac:dyDescent="0.2">
      <c r="A15593" s="121">
        <v>44620</v>
      </c>
      <c r="B15593" t="s">
        <v>406</v>
      </c>
      <c r="C15593" t="s">
        <v>594</v>
      </c>
      <c r="D15593" t="s">
        <v>597</v>
      </c>
      <c r="E15593" t="s">
        <v>598</v>
      </c>
      <c r="F15593" t="s">
        <v>413</v>
      </c>
      <c r="G15593">
        <v>375</v>
      </c>
      <c r="H15593">
        <v>375</v>
      </c>
      <c r="I15593">
        <v>363</v>
      </c>
      <c r="J15593">
        <v>363</v>
      </c>
      <c r="K15593">
        <v>128</v>
      </c>
      <c r="L15593">
        <v>1</v>
      </c>
      <c r="M15593">
        <v>225</v>
      </c>
      <c r="N15593">
        <v>6</v>
      </c>
      <c r="O15593">
        <v>15</v>
      </c>
      <c r="P15593">
        <v>0</v>
      </c>
      <c r="Q15593">
        <v>0</v>
      </c>
    </row>
    <row r="15594" spans="1:17" x14ac:dyDescent="0.2">
      <c r="A15594" s="121">
        <v>44620</v>
      </c>
      <c r="B15594" t="s">
        <v>406</v>
      </c>
      <c r="C15594" t="s">
        <v>594</v>
      </c>
      <c r="D15594" t="s">
        <v>599</v>
      </c>
      <c r="E15594" t="s">
        <v>600</v>
      </c>
      <c r="F15594" t="s">
        <v>410</v>
      </c>
      <c r="G15594">
        <v>67</v>
      </c>
      <c r="H15594">
        <v>67</v>
      </c>
      <c r="I15594">
        <v>67</v>
      </c>
      <c r="J15594">
        <v>67</v>
      </c>
      <c r="K15594">
        <v>5</v>
      </c>
      <c r="L15594">
        <v>0</v>
      </c>
      <c r="M15594">
        <v>62</v>
      </c>
      <c r="N15594">
        <v>0</v>
      </c>
      <c r="O15594">
        <v>0</v>
      </c>
      <c r="P15594">
        <v>0</v>
      </c>
      <c r="Q15594">
        <v>0</v>
      </c>
    </row>
    <row r="15595" spans="1:17" x14ac:dyDescent="0.2">
      <c r="A15595" s="121">
        <v>44651</v>
      </c>
      <c r="B15595" t="s">
        <v>406</v>
      </c>
      <c r="C15595" t="s">
        <v>407</v>
      </c>
      <c r="D15595" t="s">
        <v>408</v>
      </c>
      <c r="E15595" t="s">
        <v>409</v>
      </c>
      <c r="F15595" t="s">
        <v>410</v>
      </c>
      <c r="G15595">
        <v>180</v>
      </c>
      <c r="I15595">
        <v>178</v>
      </c>
    </row>
    <row r="15596" spans="1:17" x14ac:dyDescent="0.2">
      <c r="A15596" s="121">
        <v>44651</v>
      </c>
      <c r="B15596" t="s">
        <v>406</v>
      </c>
      <c r="C15596" t="s">
        <v>407</v>
      </c>
      <c r="D15596" t="s">
        <v>601</v>
      </c>
      <c r="E15596" t="s">
        <v>602</v>
      </c>
      <c r="F15596" t="s">
        <v>410</v>
      </c>
      <c r="G15596">
        <v>89</v>
      </c>
      <c r="I15596">
        <v>88</v>
      </c>
    </row>
    <row r="15597" spans="1:17" x14ac:dyDescent="0.2">
      <c r="A15597" s="121">
        <v>44651</v>
      </c>
      <c r="B15597" t="s">
        <v>406</v>
      </c>
      <c r="C15597" t="s">
        <v>407</v>
      </c>
      <c r="D15597" t="s">
        <v>411</v>
      </c>
      <c r="E15597" t="s">
        <v>412</v>
      </c>
      <c r="F15597" t="s">
        <v>413</v>
      </c>
      <c r="G15597">
        <v>5240</v>
      </c>
      <c r="H15597">
        <v>5240</v>
      </c>
      <c r="I15597">
        <v>3661</v>
      </c>
      <c r="J15597">
        <v>3661</v>
      </c>
      <c r="K15597">
        <v>1472</v>
      </c>
      <c r="L15597">
        <v>12</v>
      </c>
      <c r="M15597">
        <v>3275</v>
      </c>
      <c r="N15597">
        <v>40</v>
      </c>
      <c r="O15597">
        <v>441</v>
      </c>
      <c r="P15597">
        <v>754</v>
      </c>
      <c r="Q15597">
        <v>466</v>
      </c>
    </row>
    <row r="15598" spans="1:17" x14ac:dyDescent="0.2">
      <c r="A15598" s="121">
        <v>44651</v>
      </c>
      <c r="B15598" t="s">
        <v>406</v>
      </c>
      <c r="C15598" t="s">
        <v>407</v>
      </c>
      <c r="D15598" t="s">
        <v>416</v>
      </c>
      <c r="E15598" t="s">
        <v>417</v>
      </c>
      <c r="F15598" t="s">
        <v>413</v>
      </c>
      <c r="G15598">
        <v>2709</v>
      </c>
      <c r="H15598">
        <v>2709</v>
      </c>
      <c r="I15598">
        <v>1720</v>
      </c>
      <c r="J15598">
        <v>1720</v>
      </c>
      <c r="K15598">
        <v>595</v>
      </c>
      <c r="L15598">
        <v>3</v>
      </c>
      <c r="M15598">
        <v>1946</v>
      </c>
      <c r="N15598">
        <v>92</v>
      </c>
      <c r="O15598">
        <v>73</v>
      </c>
      <c r="P15598">
        <v>514</v>
      </c>
      <c r="Q15598">
        <v>315</v>
      </c>
    </row>
    <row r="15599" spans="1:17" x14ac:dyDescent="0.2">
      <c r="A15599" s="121">
        <v>44651</v>
      </c>
      <c r="B15599" t="s">
        <v>406</v>
      </c>
      <c r="C15599" t="s">
        <v>407</v>
      </c>
      <c r="D15599" t="s">
        <v>618</v>
      </c>
      <c r="E15599" t="s">
        <v>619</v>
      </c>
      <c r="F15599" t="s">
        <v>410</v>
      </c>
      <c r="G15599">
        <v>61</v>
      </c>
      <c r="I15599">
        <v>61</v>
      </c>
    </row>
    <row r="15600" spans="1:17" x14ac:dyDescent="0.2">
      <c r="A15600" s="121">
        <v>44651</v>
      </c>
      <c r="B15600" t="s">
        <v>406</v>
      </c>
      <c r="C15600" t="s">
        <v>418</v>
      </c>
      <c r="D15600" t="s">
        <v>427</v>
      </c>
      <c r="E15600" t="s">
        <v>428</v>
      </c>
      <c r="F15600" t="s">
        <v>413</v>
      </c>
      <c r="G15600">
        <v>2540</v>
      </c>
      <c r="H15600">
        <v>2540</v>
      </c>
      <c r="I15600">
        <v>1574</v>
      </c>
      <c r="J15600">
        <v>1574</v>
      </c>
      <c r="K15600">
        <v>701</v>
      </c>
      <c r="L15600">
        <v>4</v>
      </c>
      <c r="M15600">
        <v>1774</v>
      </c>
      <c r="N15600">
        <v>49</v>
      </c>
      <c r="O15600">
        <v>12</v>
      </c>
      <c r="P15600">
        <v>486</v>
      </c>
      <c r="Q15600">
        <v>332</v>
      </c>
    </row>
    <row r="15601" spans="1:17" x14ac:dyDescent="0.2">
      <c r="A15601" s="121">
        <v>44651</v>
      </c>
      <c r="B15601" t="s">
        <v>406</v>
      </c>
      <c r="C15601" t="s">
        <v>429</v>
      </c>
      <c r="D15601" t="s">
        <v>438</v>
      </c>
      <c r="E15601" t="s">
        <v>439</v>
      </c>
      <c r="F15601" t="s">
        <v>413</v>
      </c>
      <c r="G15601">
        <v>928</v>
      </c>
      <c r="H15601">
        <v>928</v>
      </c>
      <c r="I15601">
        <v>811</v>
      </c>
      <c r="J15601">
        <v>811</v>
      </c>
      <c r="K15601">
        <v>51</v>
      </c>
      <c r="L15601">
        <v>0</v>
      </c>
      <c r="M15601">
        <v>780</v>
      </c>
      <c r="N15601">
        <v>66</v>
      </c>
      <c r="O15601">
        <v>31</v>
      </c>
      <c r="P15601">
        <v>20</v>
      </c>
      <c r="Q15601">
        <v>4</v>
      </c>
    </row>
    <row r="15602" spans="1:17" x14ac:dyDescent="0.2">
      <c r="A15602" s="121">
        <v>44651</v>
      </c>
      <c r="B15602" t="s">
        <v>406</v>
      </c>
      <c r="C15602" t="s">
        <v>429</v>
      </c>
      <c r="D15602" t="s">
        <v>440</v>
      </c>
      <c r="E15602" t="s">
        <v>441</v>
      </c>
      <c r="F15602" t="s">
        <v>413</v>
      </c>
      <c r="G15602">
        <v>2805</v>
      </c>
      <c r="H15602">
        <v>2805</v>
      </c>
      <c r="I15602">
        <v>2162</v>
      </c>
      <c r="J15602">
        <v>2162</v>
      </c>
      <c r="K15602">
        <v>811</v>
      </c>
      <c r="L15602">
        <v>3</v>
      </c>
      <c r="M15602">
        <v>1894</v>
      </c>
      <c r="N15602">
        <v>26</v>
      </c>
      <c r="O15602">
        <v>71</v>
      </c>
      <c r="P15602">
        <v>132</v>
      </c>
      <c r="Q15602">
        <v>16</v>
      </c>
    </row>
    <row r="15603" spans="1:17" x14ac:dyDescent="0.2">
      <c r="A15603" s="121">
        <v>44651</v>
      </c>
      <c r="B15603" t="s">
        <v>406</v>
      </c>
      <c r="C15603" t="s">
        <v>442</v>
      </c>
      <c r="D15603" t="s">
        <v>443</v>
      </c>
      <c r="E15603" t="s">
        <v>444</v>
      </c>
      <c r="F15603" t="s">
        <v>413</v>
      </c>
      <c r="G15603">
        <v>5749</v>
      </c>
      <c r="H15603">
        <v>5749</v>
      </c>
      <c r="I15603">
        <v>4256</v>
      </c>
      <c r="J15603">
        <v>4256</v>
      </c>
      <c r="K15603">
        <v>1683</v>
      </c>
      <c r="L15603">
        <v>6</v>
      </c>
      <c r="M15603">
        <v>3854</v>
      </c>
      <c r="N15603">
        <v>75</v>
      </c>
      <c r="O15603">
        <v>131</v>
      </c>
      <c r="P15603">
        <v>290</v>
      </c>
      <c r="Q15603">
        <v>62</v>
      </c>
    </row>
    <row r="15604" spans="1:17" x14ac:dyDescent="0.2">
      <c r="A15604" s="121">
        <v>44651</v>
      </c>
      <c r="B15604" t="s">
        <v>406</v>
      </c>
      <c r="C15604" t="s">
        <v>442</v>
      </c>
      <c r="D15604" t="s">
        <v>445</v>
      </c>
      <c r="E15604" t="s">
        <v>446</v>
      </c>
      <c r="F15604" t="s">
        <v>410</v>
      </c>
      <c r="G15604">
        <v>172</v>
      </c>
      <c r="H15604">
        <v>172</v>
      </c>
      <c r="I15604">
        <v>170</v>
      </c>
      <c r="J15604">
        <v>170</v>
      </c>
      <c r="K15604">
        <v>4</v>
      </c>
      <c r="L15604">
        <v>0</v>
      </c>
      <c r="M15604">
        <v>166</v>
      </c>
      <c r="N15604">
        <v>2</v>
      </c>
      <c r="O15604">
        <v>0</v>
      </c>
      <c r="P15604">
        <v>0</v>
      </c>
      <c r="Q15604">
        <v>0</v>
      </c>
    </row>
    <row r="15605" spans="1:17" x14ac:dyDescent="0.2">
      <c r="A15605" s="121">
        <v>44651</v>
      </c>
      <c r="B15605" t="s">
        <v>406</v>
      </c>
      <c r="C15605" t="s">
        <v>442</v>
      </c>
      <c r="D15605" t="s">
        <v>447</v>
      </c>
      <c r="E15605" t="s">
        <v>448</v>
      </c>
      <c r="F15605" t="s">
        <v>410</v>
      </c>
      <c r="G15605">
        <v>264</v>
      </c>
      <c r="H15605">
        <v>264</v>
      </c>
      <c r="I15605">
        <v>264</v>
      </c>
      <c r="J15605">
        <v>264</v>
      </c>
      <c r="K15605">
        <v>2</v>
      </c>
      <c r="L15605">
        <v>0</v>
      </c>
      <c r="M15605">
        <v>256</v>
      </c>
      <c r="N15605">
        <v>5</v>
      </c>
      <c r="O15605">
        <v>1</v>
      </c>
      <c r="P15605">
        <v>0</v>
      </c>
      <c r="Q15605">
        <v>0</v>
      </c>
    </row>
    <row r="15606" spans="1:17" x14ac:dyDescent="0.2">
      <c r="A15606" s="121">
        <v>44651</v>
      </c>
      <c r="B15606" t="s">
        <v>406</v>
      </c>
      <c r="C15606" t="s">
        <v>442</v>
      </c>
      <c r="D15606" t="s">
        <v>449</v>
      </c>
      <c r="E15606" t="s">
        <v>624</v>
      </c>
      <c r="F15606" t="s">
        <v>410</v>
      </c>
      <c r="G15606">
        <v>1141</v>
      </c>
      <c r="H15606">
        <v>1141</v>
      </c>
      <c r="I15606">
        <v>1140</v>
      </c>
      <c r="J15606">
        <v>1140</v>
      </c>
      <c r="K15606">
        <v>6</v>
      </c>
      <c r="L15606">
        <v>0</v>
      </c>
      <c r="M15606">
        <v>1064</v>
      </c>
      <c r="N15606">
        <v>63</v>
      </c>
      <c r="O15606">
        <v>8</v>
      </c>
      <c r="P15606">
        <v>0</v>
      </c>
      <c r="Q15606">
        <v>0</v>
      </c>
    </row>
    <row r="15607" spans="1:17" x14ac:dyDescent="0.2">
      <c r="A15607" s="121">
        <v>44651</v>
      </c>
      <c r="B15607" t="s">
        <v>406</v>
      </c>
      <c r="C15607" t="s">
        <v>451</v>
      </c>
      <c r="D15607" t="s">
        <v>454</v>
      </c>
      <c r="E15607" t="s">
        <v>621</v>
      </c>
      <c r="F15607" t="s">
        <v>410</v>
      </c>
      <c r="G15607">
        <v>2131</v>
      </c>
      <c r="H15607">
        <v>2131</v>
      </c>
      <c r="I15607">
        <v>2119</v>
      </c>
      <c r="J15607">
        <v>2119</v>
      </c>
      <c r="K15607">
        <v>8</v>
      </c>
      <c r="L15607">
        <v>0</v>
      </c>
      <c r="M15607">
        <v>1933</v>
      </c>
      <c r="N15607">
        <v>7</v>
      </c>
      <c r="O15607">
        <v>183</v>
      </c>
      <c r="P15607">
        <v>1</v>
      </c>
      <c r="Q15607">
        <v>0</v>
      </c>
    </row>
    <row r="15608" spans="1:17" x14ac:dyDescent="0.2">
      <c r="A15608" s="121">
        <v>44651</v>
      </c>
      <c r="B15608" t="s">
        <v>406</v>
      </c>
      <c r="C15608" t="s">
        <v>451</v>
      </c>
      <c r="D15608" t="s">
        <v>622</v>
      </c>
      <c r="E15608" t="s">
        <v>623</v>
      </c>
      <c r="F15608" t="s">
        <v>413</v>
      </c>
      <c r="G15608">
        <v>5122</v>
      </c>
      <c r="H15608">
        <v>5122</v>
      </c>
      <c r="I15608">
        <v>2839</v>
      </c>
      <c r="J15608">
        <v>2839</v>
      </c>
      <c r="K15608">
        <v>1540</v>
      </c>
      <c r="L15608">
        <v>10</v>
      </c>
      <c r="M15608">
        <v>2965</v>
      </c>
      <c r="N15608">
        <v>41</v>
      </c>
      <c r="O15608">
        <v>566</v>
      </c>
      <c r="P15608">
        <v>653</v>
      </c>
      <c r="Q15608">
        <v>203</v>
      </c>
    </row>
    <row r="15609" spans="1:17" x14ac:dyDescent="0.2">
      <c r="A15609" s="121">
        <v>44651</v>
      </c>
      <c r="B15609" t="s">
        <v>406</v>
      </c>
      <c r="C15609" t="s">
        <v>456</v>
      </c>
      <c r="D15609" t="s">
        <v>457</v>
      </c>
      <c r="E15609" t="s">
        <v>458</v>
      </c>
      <c r="F15609" t="s">
        <v>413</v>
      </c>
      <c r="G15609">
        <v>4395</v>
      </c>
      <c r="H15609">
        <v>4395</v>
      </c>
      <c r="I15609">
        <v>2345</v>
      </c>
      <c r="J15609">
        <v>2345</v>
      </c>
      <c r="K15609">
        <v>1366</v>
      </c>
      <c r="L15609">
        <v>11</v>
      </c>
      <c r="M15609">
        <v>2835</v>
      </c>
      <c r="N15609">
        <v>27</v>
      </c>
      <c r="O15609">
        <v>156</v>
      </c>
      <c r="P15609">
        <v>482</v>
      </c>
      <c r="Q15609">
        <v>112</v>
      </c>
    </row>
    <row r="15610" spans="1:17" x14ac:dyDescent="0.2">
      <c r="A15610" s="121">
        <v>44651</v>
      </c>
      <c r="B15610" t="s">
        <v>406</v>
      </c>
      <c r="C15610" t="s">
        <v>456</v>
      </c>
      <c r="D15610" t="s">
        <v>459</v>
      </c>
      <c r="E15610" t="s">
        <v>460</v>
      </c>
      <c r="F15610" t="s">
        <v>413</v>
      </c>
      <c r="G15610">
        <v>1425</v>
      </c>
      <c r="H15610">
        <v>1425</v>
      </c>
      <c r="I15610">
        <v>1349</v>
      </c>
      <c r="J15610">
        <v>1349</v>
      </c>
      <c r="K15610">
        <v>151</v>
      </c>
      <c r="L15610">
        <v>0</v>
      </c>
      <c r="M15610">
        <v>1238</v>
      </c>
      <c r="N15610">
        <v>0</v>
      </c>
      <c r="O15610">
        <v>36</v>
      </c>
      <c r="P15610">
        <v>1</v>
      </c>
      <c r="Q15610">
        <v>1</v>
      </c>
    </row>
    <row r="15611" spans="1:17" x14ac:dyDescent="0.2">
      <c r="A15611" s="121">
        <v>44651</v>
      </c>
      <c r="B15611" t="s">
        <v>406</v>
      </c>
      <c r="C15611" t="s">
        <v>456</v>
      </c>
      <c r="D15611" t="s">
        <v>467</v>
      </c>
      <c r="E15611" t="s">
        <v>468</v>
      </c>
      <c r="F15611" t="s">
        <v>410</v>
      </c>
      <c r="G15611">
        <v>659</v>
      </c>
      <c r="I15611">
        <v>656</v>
      </c>
    </row>
    <row r="15612" spans="1:17" x14ac:dyDescent="0.2">
      <c r="A15612" s="121">
        <v>44651</v>
      </c>
      <c r="B15612" t="s">
        <v>406</v>
      </c>
      <c r="C15612" t="s">
        <v>456</v>
      </c>
      <c r="D15612" t="s">
        <v>469</v>
      </c>
      <c r="E15612" t="s">
        <v>470</v>
      </c>
      <c r="F15612" t="s">
        <v>410</v>
      </c>
      <c r="G15612">
        <v>560</v>
      </c>
      <c r="I15612">
        <v>556</v>
      </c>
    </row>
    <row r="15613" spans="1:17" x14ac:dyDescent="0.2">
      <c r="A15613" s="121">
        <v>44651</v>
      </c>
      <c r="B15613" t="s">
        <v>406</v>
      </c>
      <c r="C15613" t="s">
        <v>456</v>
      </c>
      <c r="D15613" t="s">
        <v>471</v>
      </c>
      <c r="E15613" t="s">
        <v>472</v>
      </c>
      <c r="F15613" t="s">
        <v>410</v>
      </c>
      <c r="G15613">
        <v>466</v>
      </c>
      <c r="I15613">
        <v>462</v>
      </c>
    </row>
    <row r="15614" spans="1:17" x14ac:dyDescent="0.2">
      <c r="A15614" s="121">
        <v>44651</v>
      </c>
      <c r="B15614" t="s">
        <v>406</v>
      </c>
      <c r="C15614" t="s">
        <v>456</v>
      </c>
      <c r="D15614" t="s">
        <v>477</v>
      </c>
      <c r="E15614" t="s">
        <v>478</v>
      </c>
      <c r="F15614" t="s">
        <v>413</v>
      </c>
      <c r="G15614">
        <v>2076</v>
      </c>
      <c r="H15614">
        <v>2076</v>
      </c>
      <c r="I15614">
        <v>1515</v>
      </c>
      <c r="J15614">
        <v>1515</v>
      </c>
      <c r="K15614">
        <v>456</v>
      </c>
      <c r="L15614">
        <v>3</v>
      </c>
      <c r="M15614">
        <v>1582</v>
      </c>
      <c r="N15614">
        <v>29</v>
      </c>
      <c r="O15614">
        <v>6</v>
      </c>
      <c r="P15614">
        <v>165</v>
      </c>
      <c r="Q15614">
        <v>65</v>
      </c>
    </row>
    <row r="15615" spans="1:17" x14ac:dyDescent="0.2">
      <c r="A15615" s="121">
        <v>44651</v>
      </c>
      <c r="B15615" t="s">
        <v>406</v>
      </c>
      <c r="C15615" t="s">
        <v>491</v>
      </c>
      <c r="D15615" t="s">
        <v>492</v>
      </c>
      <c r="E15615" t="s">
        <v>493</v>
      </c>
      <c r="F15615" t="s">
        <v>410</v>
      </c>
      <c r="G15615">
        <v>1385</v>
      </c>
      <c r="H15615">
        <v>1385</v>
      </c>
      <c r="I15615">
        <v>1290</v>
      </c>
      <c r="J15615">
        <v>1290</v>
      </c>
      <c r="K15615">
        <v>123</v>
      </c>
      <c r="L15615">
        <v>2</v>
      </c>
      <c r="M15615">
        <v>1170</v>
      </c>
      <c r="N15615">
        <v>69</v>
      </c>
      <c r="O15615">
        <v>21</v>
      </c>
      <c r="P15615">
        <v>14</v>
      </c>
      <c r="Q15615">
        <v>2</v>
      </c>
    </row>
    <row r="15616" spans="1:17" x14ac:dyDescent="0.2">
      <c r="A15616" s="121">
        <v>44651</v>
      </c>
      <c r="B15616" t="s">
        <v>406</v>
      </c>
      <c r="C15616" t="s">
        <v>491</v>
      </c>
      <c r="D15616" t="s">
        <v>494</v>
      </c>
      <c r="E15616" t="s">
        <v>495</v>
      </c>
      <c r="F15616" t="s">
        <v>413</v>
      </c>
      <c r="G15616">
        <v>2573</v>
      </c>
      <c r="H15616">
        <v>2573</v>
      </c>
      <c r="I15616">
        <v>1932</v>
      </c>
      <c r="J15616">
        <v>1932</v>
      </c>
      <c r="K15616">
        <v>596</v>
      </c>
      <c r="L15616">
        <v>5</v>
      </c>
      <c r="M15616">
        <v>1855</v>
      </c>
      <c r="N15616">
        <v>59</v>
      </c>
      <c r="O15616">
        <v>58</v>
      </c>
      <c r="P15616">
        <v>106</v>
      </c>
      <c r="Q15616">
        <v>31</v>
      </c>
    </row>
    <row r="15617" spans="1:17" x14ac:dyDescent="0.2">
      <c r="A15617" s="121">
        <v>44651</v>
      </c>
      <c r="B15617" t="s">
        <v>406</v>
      </c>
      <c r="C15617" t="s">
        <v>491</v>
      </c>
      <c r="D15617" t="s">
        <v>496</v>
      </c>
      <c r="E15617" t="s">
        <v>497</v>
      </c>
      <c r="F15617" t="s">
        <v>413</v>
      </c>
      <c r="G15617">
        <v>4826</v>
      </c>
      <c r="H15617">
        <v>4826</v>
      </c>
      <c r="I15617">
        <v>2798</v>
      </c>
      <c r="J15617">
        <v>2798</v>
      </c>
      <c r="K15617">
        <v>1103</v>
      </c>
      <c r="L15617">
        <v>11</v>
      </c>
      <c r="M15617">
        <v>3479</v>
      </c>
      <c r="N15617">
        <v>100</v>
      </c>
      <c r="O15617">
        <v>133</v>
      </c>
      <c r="P15617">
        <v>805</v>
      </c>
      <c r="Q15617">
        <v>257</v>
      </c>
    </row>
    <row r="15618" spans="1:17" x14ac:dyDescent="0.2">
      <c r="A15618" s="121">
        <v>44651</v>
      </c>
      <c r="B15618" t="s">
        <v>406</v>
      </c>
      <c r="C15618" t="s">
        <v>491</v>
      </c>
      <c r="D15618" t="s">
        <v>498</v>
      </c>
      <c r="E15618" t="s">
        <v>499</v>
      </c>
      <c r="F15618" t="s">
        <v>413</v>
      </c>
      <c r="G15618">
        <v>7186</v>
      </c>
      <c r="H15618">
        <v>7186</v>
      </c>
      <c r="I15618">
        <v>4431</v>
      </c>
      <c r="J15618">
        <v>4431</v>
      </c>
      <c r="K15618">
        <v>1963</v>
      </c>
      <c r="L15618">
        <v>16</v>
      </c>
      <c r="M15618">
        <v>4645</v>
      </c>
      <c r="N15618">
        <v>127</v>
      </c>
      <c r="O15618">
        <v>435</v>
      </c>
      <c r="P15618">
        <v>493</v>
      </c>
      <c r="Q15618">
        <v>59</v>
      </c>
    </row>
    <row r="15619" spans="1:17" x14ac:dyDescent="0.2">
      <c r="A15619" s="121">
        <v>44651</v>
      </c>
      <c r="B15619" t="s">
        <v>406</v>
      </c>
      <c r="C15619" t="s">
        <v>491</v>
      </c>
      <c r="D15619" t="s">
        <v>500</v>
      </c>
      <c r="E15619" t="s">
        <v>620</v>
      </c>
      <c r="F15619" t="s">
        <v>410</v>
      </c>
      <c r="G15619">
        <v>2151</v>
      </c>
      <c r="H15619">
        <v>2151</v>
      </c>
      <c r="I15619">
        <v>2109</v>
      </c>
      <c r="J15619">
        <v>2109</v>
      </c>
      <c r="K15619">
        <v>0</v>
      </c>
      <c r="L15619">
        <v>0</v>
      </c>
      <c r="M15619">
        <v>1770</v>
      </c>
      <c r="N15619">
        <v>134</v>
      </c>
      <c r="O15619">
        <v>247</v>
      </c>
      <c r="P15619">
        <v>0</v>
      </c>
      <c r="Q15619">
        <v>0</v>
      </c>
    </row>
    <row r="15620" spans="1:17" x14ac:dyDescent="0.2">
      <c r="A15620" s="121">
        <v>44651</v>
      </c>
      <c r="B15620" t="s">
        <v>406</v>
      </c>
      <c r="C15620" t="s">
        <v>491</v>
      </c>
      <c r="D15620" t="s">
        <v>502</v>
      </c>
      <c r="E15620" t="s">
        <v>615</v>
      </c>
      <c r="F15620" t="s">
        <v>410</v>
      </c>
      <c r="G15620">
        <v>2175</v>
      </c>
      <c r="H15620">
        <v>2175</v>
      </c>
      <c r="I15620">
        <v>2160</v>
      </c>
      <c r="J15620">
        <v>2160</v>
      </c>
      <c r="K15620">
        <v>0</v>
      </c>
      <c r="L15620">
        <v>0</v>
      </c>
      <c r="M15620">
        <v>2058</v>
      </c>
      <c r="N15620">
        <v>74</v>
      </c>
      <c r="O15620">
        <v>43</v>
      </c>
      <c r="P15620">
        <v>0</v>
      </c>
      <c r="Q15620">
        <v>0</v>
      </c>
    </row>
    <row r="15621" spans="1:17" x14ac:dyDescent="0.2">
      <c r="A15621" s="121">
        <v>44651</v>
      </c>
      <c r="B15621" t="s">
        <v>406</v>
      </c>
      <c r="C15621" t="s">
        <v>491</v>
      </c>
      <c r="D15621" t="s">
        <v>504</v>
      </c>
      <c r="E15621" t="s">
        <v>630</v>
      </c>
      <c r="F15621" t="s">
        <v>413</v>
      </c>
      <c r="G15621">
        <v>7490</v>
      </c>
      <c r="H15621">
        <v>7490</v>
      </c>
      <c r="I15621">
        <v>3570</v>
      </c>
      <c r="J15621">
        <v>3570</v>
      </c>
      <c r="K15621">
        <v>2509</v>
      </c>
      <c r="L15621">
        <v>21</v>
      </c>
      <c r="M15621">
        <v>4670</v>
      </c>
      <c r="N15621">
        <v>79</v>
      </c>
      <c r="O15621">
        <v>211</v>
      </c>
      <c r="P15621">
        <v>983</v>
      </c>
      <c r="Q15621">
        <v>274</v>
      </c>
    </row>
    <row r="15622" spans="1:17" x14ac:dyDescent="0.2">
      <c r="A15622" s="121">
        <v>44651</v>
      </c>
      <c r="B15622" t="s">
        <v>406</v>
      </c>
      <c r="C15622" t="s">
        <v>491</v>
      </c>
      <c r="D15622" t="s">
        <v>506</v>
      </c>
      <c r="E15622" t="s">
        <v>507</v>
      </c>
      <c r="F15622" t="s">
        <v>413</v>
      </c>
      <c r="G15622">
        <v>6367</v>
      </c>
      <c r="H15622">
        <v>6367</v>
      </c>
      <c r="I15622">
        <v>6208</v>
      </c>
      <c r="J15622">
        <v>6208</v>
      </c>
      <c r="K15622">
        <v>1177</v>
      </c>
      <c r="L15622">
        <v>0</v>
      </c>
      <c r="M15622">
        <v>5169</v>
      </c>
      <c r="N15622">
        <v>3</v>
      </c>
      <c r="O15622">
        <v>18</v>
      </c>
      <c r="P15622">
        <v>0</v>
      </c>
      <c r="Q15622">
        <v>0</v>
      </c>
    </row>
    <row r="15623" spans="1:17" x14ac:dyDescent="0.2">
      <c r="A15623" s="121">
        <v>44651</v>
      </c>
      <c r="B15623" t="s">
        <v>406</v>
      </c>
      <c r="C15623" t="s">
        <v>510</v>
      </c>
      <c r="D15623" t="s">
        <v>513</v>
      </c>
      <c r="E15623" t="s">
        <v>514</v>
      </c>
      <c r="F15623" t="s">
        <v>410</v>
      </c>
      <c r="G15623">
        <v>629</v>
      </c>
      <c r="I15623">
        <v>628</v>
      </c>
    </row>
    <row r="15624" spans="1:17" x14ac:dyDescent="0.2">
      <c r="A15624" s="121">
        <v>44651</v>
      </c>
      <c r="B15624" t="s">
        <v>406</v>
      </c>
      <c r="C15624" t="s">
        <v>510</v>
      </c>
      <c r="D15624" t="s">
        <v>515</v>
      </c>
      <c r="E15624" t="s">
        <v>516</v>
      </c>
      <c r="F15624" t="s">
        <v>410</v>
      </c>
      <c r="G15624">
        <v>45</v>
      </c>
      <c r="I15624">
        <v>45</v>
      </c>
    </row>
    <row r="15625" spans="1:17" x14ac:dyDescent="0.2">
      <c r="A15625" s="121">
        <v>44651</v>
      </c>
      <c r="B15625" t="s">
        <v>406</v>
      </c>
      <c r="C15625" t="s">
        <v>510</v>
      </c>
      <c r="D15625" t="s">
        <v>519</v>
      </c>
      <c r="E15625" t="s">
        <v>520</v>
      </c>
      <c r="F15625" t="s">
        <v>410</v>
      </c>
      <c r="G15625">
        <v>291</v>
      </c>
      <c r="I15625">
        <v>285</v>
      </c>
    </row>
    <row r="15626" spans="1:17" x14ac:dyDescent="0.2">
      <c r="A15626" s="121">
        <v>44651</v>
      </c>
      <c r="B15626" t="s">
        <v>406</v>
      </c>
      <c r="C15626" t="s">
        <v>510</v>
      </c>
      <c r="D15626" t="s">
        <v>523</v>
      </c>
      <c r="E15626" t="s">
        <v>524</v>
      </c>
      <c r="F15626" t="s">
        <v>413</v>
      </c>
      <c r="G15626">
        <v>761</v>
      </c>
      <c r="H15626">
        <v>761</v>
      </c>
      <c r="I15626">
        <v>682</v>
      </c>
      <c r="J15626">
        <v>682</v>
      </c>
      <c r="K15626">
        <v>182</v>
      </c>
      <c r="L15626">
        <v>0</v>
      </c>
      <c r="M15626">
        <v>531</v>
      </c>
      <c r="N15626">
        <v>23</v>
      </c>
      <c r="O15626">
        <v>25</v>
      </c>
      <c r="P15626">
        <v>5</v>
      </c>
      <c r="Q15626">
        <v>3</v>
      </c>
    </row>
    <row r="15627" spans="1:17" x14ac:dyDescent="0.2">
      <c r="A15627" s="121">
        <v>44651</v>
      </c>
      <c r="B15627" t="s">
        <v>406</v>
      </c>
      <c r="C15627" t="s">
        <v>510</v>
      </c>
      <c r="D15627" t="s">
        <v>525</v>
      </c>
      <c r="E15627" t="s">
        <v>526</v>
      </c>
      <c r="F15627" t="s">
        <v>410</v>
      </c>
      <c r="G15627">
        <v>285</v>
      </c>
      <c r="H15627">
        <v>285</v>
      </c>
      <c r="I15627">
        <v>270</v>
      </c>
      <c r="J15627">
        <v>270</v>
      </c>
      <c r="K15627">
        <v>33</v>
      </c>
      <c r="L15627">
        <v>0</v>
      </c>
      <c r="M15627">
        <v>228</v>
      </c>
      <c r="N15627">
        <v>20</v>
      </c>
      <c r="O15627">
        <v>4</v>
      </c>
      <c r="P15627">
        <v>3</v>
      </c>
      <c r="Q15627">
        <v>0</v>
      </c>
    </row>
    <row r="15628" spans="1:17" x14ac:dyDescent="0.2">
      <c r="A15628" s="121">
        <v>44651</v>
      </c>
      <c r="B15628" t="s">
        <v>406</v>
      </c>
      <c r="C15628" t="s">
        <v>510</v>
      </c>
      <c r="D15628" t="s">
        <v>527</v>
      </c>
      <c r="E15628" t="s">
        <v>528</v>
      </c>
      <c r="F15628" t="s">
        <v>410</v>
      </c>
      <c r="G15628">
        <v>2</v>
      </c>
      <c r="I15628">
        <v>2</v>
      </c>
    </row>
    <row r="15629" spans="1:17" x14ac:dyDescent="0.2">
      <c r="A15629" s="121">
        <v>44651</v>
      </c>
      <c r="B15629" t="s">
        <v>406</v>
      </c>
      <c r="C15629" t="s">
        <v>510</v>
      </c>
      <c r="D15629" t="s">
        <v>529</v>
      </c>
      <c r="E15629" t="s">
        <v>530</v>
      </c>
      <c r="F15629" t="s">
        <v>413</v>
      </c>
      <c r="G15629">
        <v>734</v>
      </c>
      <c r="H15629">
        <v>734</v>
      </c>
      <c r="I15629">
        <v>626</v>
      </c>
      <c r="J15629">
        <v>626</v>
      </c>
      <c r="K15629">
        <v>93</v>
      </c>
      <c r="L15629">
        <v>2</v>
      </c>
      <c r="M15629">
        <v>588</v>
      </c>
      <c r="N15629">
        <v>30</v>
      </c>
      <c r="O15629">
        <v>21</v>
      </c>
      <c r="P15629">
        <v>24</v>
      </c>
      <c r="Q15629">
        <v>10</v>
      </c>
    </row>
    <row r="15630" spans="1:17" x14ac:dyDescent="0.2">
      <c r="A15630" s="121">
        <v>44651</v>
      </c>
      <c r="B15630" t="s">
        <v>406</v>
      </c>
      <c r="C15630" t="s">
        <v>510</v>
      </c>
      <c r="D15630" t="s">
        <v>531</v>
      </c>
      <c r="E15630" t="s">
        <v>532</v>
      </c>
      <c r="F15630" t="s">
        <v>410</v>
      </c>
      <c r="G15630">
        <v>12</v>
      </c>
      <c r="I15630">
        <v>12</v>
      </c>
    </row>
    <row r="15631" spans="1:17" x14ac:dyDescent="0.2">
      <c r="A15631" s="121">
        <v>44651</v>
      </c>
      <c r="B15631" t="s">
        <v>406</v>
      </c>
      <c r="C15631" t="s">
        <v>510</v>
      </c>
      <c r="D15631" t="s">
        <v>533</v>
      </c>
      <c r="E15631" t="s">
        <v>534</v>
      </c>
      <c r="F15631" t="s">
        <v>413</v>
      </c>
      <c r="G15631">
        <v>2924</v>
      </c>
      <c r="H15631">
        <v>2924</v>
      </c>
      <c r="I15631">
        <v>2162</v>
      </c>
      <c r="J15631">
        <v>2162</v>
      </c>
      <c r="K15631">
        <v>725</v>
      </c>
      <c r="L15631">
        <v>3</v>
      </c>
      <c r="M15631">
        <v>1990</v>
      </c>
      <c r="N15631">
        <v>27</v>
      </c>
      <c r="O15631">
        <v>179</v>
      </c>
      <c r="P15631">
        <v>170</v>
      </c>
      <c r="Q15631">
        <v>34</v>
      </c>
    </row>
    <row r="15632" spans="1:17" x14ac:dyDescent="0.2">
      <c r="A15632" s="121">
        <v>44651</v>
      </c>
      <c r="B15632" t="s">
        <v>406</v>
      </c>
      <c r="C15632" t="s">
        <v>510</v>
      </c>
      <c r="D15632" t="s">
        <v>535</v>
      </c>
      <c r="E15632" t="s">
        <v>536</v>
      </c>
      <c r="F15632" t="s">
        <v>410</v>
      </c>
      <c r="G15632">
        <v>284</v>
      </c>
      <c r="I15632">
        <v>284</v>
      </c>
    </row>
    <row r="15633" spans="1:17" x14ac:dyDescent="0.2">
      <c r="A15633" s="121">
        <v>44651</v>
      </c>
      <c r="B15633" t="s">
        <v>406</v>
      </c>
      <c r="C15633" t="s">
        <v>510</v>
      </c>
      <c r="D15633" t="s">
        <v>539</v>
      </c>
      <c r="E15633" t="s">
        <v>540</v>
      </c>
      <c r="F15633" t="s">
        <v>413</v>
      </c>
      <c r="G15633">
        <v>725</v>
      </c>
      <c r="H15633">
        <v>725</v>
      </c>
      <c r="I15633">
        <v>630</v>
      </c>
      <c r="J15633">
        <v>630</v>
      </c>
      <c r="K15633">
        <v>107</v>
      </c>
      <c r="L15633">
        <v>0</v>
      </c>
      <c r="M15633">
        <v>578</v>
      </c>
      <c r="N15633">
        <v>19</v>
      </c>
      <c r="O15633">
        <v>21</v>
      </c>
      <c r="P15633">
        <v>9</v>
      </c>
      <c r="Q15633">
        <v>1</v>
      </c>
    </row>
    <row r="15634" spans="1:17" x14ac:dyDescent="0.2">
      <c r="A15634" s="121">
        <v>44651</v>
      </c>
      <c r="B15634" t="s">
        <v>406</v>
      </c>
      <c r="C15634" t="s">
        <v>510</v>
      </c>
      <c r="D15634" t="s">
        <v>541</v>
      </c>
      <c r="E15634" t="s">
        <v>542</v>
      </c>
      <c r="F15634" t="s">
        <v>410</v>
      </c>
      <c r="G15634">
        <v>340</v>
      </c>
      <c r="I15634">
        <v>333</v>
      </c>
    </row>
    <row r="15635" spans="1:17" x14ac:dyDescent="0.2">
      <c r="A15635" s="121">
        <v>44651</v>
      </c>
      <c r="B15635" t="s">
        <v>406</v>
      </c>
      <c r="C15635" t="s">
        <v>510</v>
      </c>
      <c r="D15635" t="s">
        <v>543</v>
      </c>
      <c r="E15635" t="s">
        <v>544</v>
      </c>
      <c r="F15635" t="s">
        <v>410</v>
      </c>
      <c r="G15635">
        <v>30</v>
      </c>
      <c r="I15635">
        <v>30</v>
      </c>
    </row>
    <row r="15636" spans="1:17" x14ac:dyDescent="0.2">
      <c r="A15636" s="121">
        <v>44651</v>
      </c>
      <c r="B15636" t="s">
        <v>406</v>
      </c>
      <c r="C15636" t="s">
        <v>510</v>
      </c>
      <c r="D15636" t="s">
        <v>547</v>
      </c>
      <c r="E15636" t="s">
        <v>548</v>
      </c>
      <c r="F15636" t="s">
        <v>410</v>
      </c>
      <c r="G15636">
        <v>52</v>
      </c>
      <c r="I15636">
        <v>52</v>
      </c>
    </row>
    <row r="15637" spans="1:17" x14ac:dyDescent="0.2">
      <c r="A15637" s="121">
        <v>44651</v>
      </c>
      <c r="B15637" t="s">
        <v>406</v>
      </c>
      <c r="C15637" t="s">
        <v>510</v>
      </c>
      <c r="D15637" t="s">
        <v>616</v>
      </c>
      <c r="E15637" t="s">
        <v>617</v>
      </c>
      <c r="F15637" t="s">
        <v>410</v>
      </c>
      <c r="G15637">
        <v>198</v>
      </c>
      <c r="I15637">
        <v>197</v>
      </c>
    </row>
    <row r="15638" spans="1:17" x14ac:dyDescent="0.2">
      <c r="A15638" s="121">
        <v>44651</v>
      </c>
      <c r="B15638" t="s">
        <v>406</v>
      </c>
      <c r="C15638" t="s">
        <v>510</v>
      </c>
      <c r="D15638" t="s">
        <v>549</v>
      </c>
      <c r="E15638" t="s">
        <v>550</v>
      </c>
      <c r="F15638" t="s">
        <v>410</v>
      </c>
      <c r="G15638">
        <v>59</v>
      </c>
      <c r="I15638">
        <v>59</v>
      </c>
    </row>
    <row r="15639" spans="1:17" x14ac:dyDescent="0.2">
      <c r="A15639" s="121">
        <v>44651</v>
      </c>
      <c r="B15639" t="s">
        <v>406</v>
      </c>
      <c r="C15639" t="s">
        <v>510</v>
      </c>
      <c r="D15639" t="s">
        <v>625</v>
      </c>
      <c r="E15639" t="s">
        <v>626</v>
      </c>
      <c r="F15639" t="s">
        <v>410</v>
      </c>
      <c r="G15639">
        <v>73</v>
      </c>
      <c r="I15639">
        <v>71</v>
      </c>
    </row>
    <row r="15640" spans="1:17" x14ac:dyDescent="0.2">
      <c r="A15640" s="121">
        <v>44651</v>
      </c>
      <c r="B15640" t="s">
        <v>406</v>
      </c>
      <c r="C15640" t="s">
        <v>551</v>
      </c>
      <c r="D15640" t="s">
        <v>552</v>
      </c>
      <c r="E15640" t="s">
        <v>553</v>
      </c>
      <c r="F15640" t="s">
        <v>413</v>
      </c>
      <c r="G15640">
        <v>5759</v>
      </c>
      <c r="H15640">
        <v>5759</v>
      </c>
      <c r="I15640">
        <v>3816</v>
      </c>
      <c r="J15640">
        <v>3816</v>
      </c>
      <c r="K15640">
        <v>1834</v>
      </c>
      <c r="L15640">
        <v>5</v>
      </c>
      <c r="M15640">
        <v>3807</v>
      </c>
      <c r="N15640">
        <v>85</v>
      </c>
      <c r="O15640">
        <v>28</v>
      </c>
      <c r="P15640">
        <v>485</v>
      </c>
      <c r="Q15640">
        <v>94</v>
      </c>
    </row>
    <row r="15641" spans="1:17" x14ac:dyDescent="0.2">
      <c r="A15641" s="121">
        <v>44651</v>
      </c>
      <c r="B15641" t="s">
        <v>406</v>
      </c>
      <c r="C15641" t="s">
        <v>551</v>
      </c>
      <c r="D15641" t="s">
        <v>558</v>
      </c>
      <c r="E15641" t="s">
        <v>559</v>
      </c>
      <c r="F15641" t="s">
        <v>413</v>
      </c>
      <c r="G15641">
        <v>5314</v>
      </c>
      <c r="H15641">
        <v>5314</v>
      </c>
      <c r="I15641">
        <v>3052</v>
      </c>
      <c r="J15641">
        <v>3052</v>
      </c>
      <c r="K15641">
        <v>1358</v>
      </c>
      <c r="L15641">
        <v>4</v>
      </c>
      <c r="M15641">
        <v>3825</v>
      </c>
      <c r="N15641">
        <v>110</v>
      </c>
      <c r="O15641">
        <v>17</v>
      </c>
      <c r="P15641">
        <v>622</v>
      </c>
      <c r="Q15641">
        <v>182</v>
      </c>
    </row>
    <row r="15642" spans="1:17" x14ac:dyDescent="0.2">
      <c r="A15642" s="121">
        <v>44651</v>
      </c>
      <c r="B15642" t="s">
        <v>406</v>
      </c>
      <c r="C15642" t="s">
        <v>551</v>
      </c>
      <c r="D15642" t="s">
        <v>560</v>
      </c>
      <c r="E15642" t="s">
        <v>561</v>
      </c>
      <c r="F15642" t="s">
        <v>413</v>
      </c>
      <c r="G15642">
        <v>5877</v>
      </c>
      <c r="H15642">
        <v>5877</v>
      </c>
      <c r="I15642">
        <v>3336</v>
      </c>
      <c r="J15642">
        <v>3336</v>
      </c>
      <c r="K15642">
        <v>1911</v>
      </c>
      <c r="L15642">
        <v>8</v>
      </c>
      <c r="M15642">
        <v>3821</v>
      </c>
      <c r="N15642">
        <v>61</v>
      </c>
      <c r="O15642">
        <v>76</v>
      </c>
      <c r="P15642">
        <v>1084</v>
      </c>
      <c r="Q15642">
        <v>333</v>
      </c>
    </row>
    <row r="15643" spans="1:17" x14ac:dyDescent="0.2">
      <c r="A15643" s="121">
        <v>44651</v>
      </c>
      <c r="B15643" t="s">
        <v>406</v>
      </c>
      <c r="C15643" t="s">
        <v>562</v>
      </c>
      <c r="D15643" t="s">
        <v>563</v>
      </c>
      <c r="E15643" t="s">
        <v>564</v>
      </c>
      <c r="F15643" t="s">
        <v>410</v>
      </c>
      <c r="G15643">
        <v>3429</v>
      </c>
      <c r="H15643">
        <v>3429</v>
      </c>
      <c r="I15643">
        <v>2086</v>
      </c>
      <c r="J15643">
        <v>2086</v>
      </c>
      <c r="K15643">
        <v>1103</v>
      </c>
      <c r="L15643">
        <v>0</v>
      </c>
      <c r="M15643">
        <v>2305</v>
      </c>
      <c r="N15643">
        <v>2</v>
      </c>
      <c r="O15643">
        <v>19</v>
      </c>
      <c r="P15643">
        <v>529</v>
      </c>
      <c r="Q15643">
        <v>243</v>
      </c>
    </row>
    <row r="15644" spans="1:17" x14ac:dyDescent="0.2">
      <c r="A15644" s="121">
        <v>44651</v>
      </c>
      <c r="B15644" t="s">
        <v>406</v>
      </c>
      <c r="C15644" t="s">
        <v>562</v>
      </c>
      <c r="D15644" t="s">
        <v>565</v>
      </c>
      <c r="E15644" t="s">
        <v>566</v>
      </c>
      <c r="F15644" t="s">
        <v>413</v>
      </c>
      <c r="G15644">
        <v>5012</v>
      </c>
      <c r="H15644">
        <v>5012</v>
      </c>
      <c r="I15644">
        <v>3668</v>
      </c>
      <c r="J15644">
        <v>3668</v>
      </c>
      <c r="K15644">
        <v>926</v>
      </c>
      <c r="L15644">
        <v>3</v>
      </c>
      <c r="M15644">
        <v>3526</v>
      </c>
      <c r="N15644">
        <v>27</v>
      </c>
      <c r="O15644">
        <v>530</v>
      </c>
      <c r="P15644">
        <v>421</v>
      </c>
      <c r="Q15644">
        <v>177</v>
      </c>
    </row>
    <row r="15645" spans="1:17" x14ac:dyDescent="0.2">
      <c r="A15645" s="121">
        <v>44651</v>
      </c>
      <c r="B15645" t="s">
        <v>406</v>
      </c>
      <c r="C15645" t="s">
        <v>562</v>
      </c>
      <c r="D15645" t="s">
        <v>567</v>
      </c>
      <c r="E15645" t="s">
        <v>568</v>
      </c>
      <c r="F15645" t="s">
        <v>413</v>
      </c>
      <c r="G15645">
        <v>10261</v>
      </c>
      <c r="H15645">
        <v>10261</v>
      </c>
      <c r="I15645">
        <v>5046</v>
      </c>
      <c r="J15645">
        <v>5046</v>
      </c>
      <c r="K15645">
        <v>2848</v>
      </c>
      <c r="L15645">
        <v>0</v>
      </c>
      <c r="M15645">
        <v>7199</v>
      </c>
      <c r="N15645">
        <v>158</v>
      </c>
      <c r="O15645">
        <v>56</v>
      </c>
      <c r="P15645">
        <v>1863</v>
      </c>
      <c r="Q15645">
        <v>964</v>
      </c>
    </row>
    <row r="15646" spans="1:17" x14ac:dyDescent="0.2">
      <c r="A15646" s="121">
        <v>44651</v>
      </c>
      <c r="B15646" t="s">
        <v>406</v>
      </c>
      <c r="C15646" t="s">
        <v>562</v>
      </c>
      <c r="D15646" t="s">
        <v>569</v>
      </c>
      <c r="E15646" t="s">
        <v>570</v>
      </c>
      <c r="F15646" t="s">
        <v>413</v>
      </c>
      <c r="G15646">
        <v>5014</v>
      </c>
      <c r="H15646">
        <v>5014</v>
      </c>
      <c r="I15646">
        <v>4732</v>
      </c>
      <c r="J15646">
        <v>4732</v>
      </c>
      <c r="K15646">
        <v>590</v>
      </c>
      <c r="L15646">
        <v>1</v>
      </c>
      <c r="M15646">
        <v>4225</v>
      </c>
      <c r="N15646">
        <v>147</v>
      </c>
      <c r="O15646">
        <v>51</v>
      </c>
      <c r="P15646">
        <v>9</v>
      </c>
      <c r="Q15646">
        <v>1</v>
      </c>
    </row>
    <row r="15647" spans="1:17" x14ac:dyDescent="0.2">
      <c r="A15647" s="121">
        <v>44651</v>
      </c>
      <c r="B15647" t="s">
        <v>406</v>
      </c>
      <c r="C15647" t="s">
        <v>571</v>
      </c>
      <c r="D15647" t="s">
        <v>572</v>
      </c>
      <c r="E15647" t="s">
        <v>627</v>
      </c>
      <c r="F15647" t="s">
        <v>413</v>
      </c>
      <c r="G15647">
        <v>515</v>
      </c>
      <c r="H15647">
        <v>515</v>
      </c>
      <c r="I15647">
        <v>471</v>
      </c>
      <c r="J15647">
        <v>471</v>
      </c>
      <c r="K15647">
        <v>128</v>
      </c>
      <c r="L15647">
        <v>0</v>
      </c>
      <c r="M15647">
        <v>377</v>
      </c>
      <c r="N15647">
        <v>6</v>
      </c>
      <c r="O15647">
        <v>4</v>
      </c>
      <c r="P15647">
        <v>5</v>
      </c>
      <c r="Q15647">
        <v>1</v>
      </c>
    </row>
    <row r="15648" spans="1:17" x14ac:dyDescent="0.2">
      <c r="A15648" s="121">
        <v>44651</v>
      </c>
      <c r="B15648" t="s">
        <v>406</v>
      </c>
      <c r="C15648" t="s">
        <v>574</v>
      </c>
      <c r="D15648" t="s">
        <v>575</v>
      </c>
      <c r="E15648" t="s">
        <v>576</v>
      </c>
      <c r="F15648" t="s">
        <v>413</v>
      </c>
      <c r="G15648">
        <v>554</v>
      </c>
      <c r="H15648">
        <v>554</v>
      </c>
      <c r="I15648">
        <v>533</v>
      </c>
      <c r="J15648">
        <v>533</v>
      </c>
      <c r="K15648">
        <v>105</v>
      </c>
      <c r="L15648">
        <v>0</v>
      </c>
      <c r="M15648">
        <v>440</v>
      </c>
      <c r="N15648">
        <v>4</v>
      </c>
      <c r="O15648">
        <v>5</v>
      </c>
      <c r="P15648">
        <v>0</v>
      </c>
      <c r="Q15648">
        <v>0</v>
      </c>
    </row>
    <row r="15649" spans="1:17" x14ac:dyDescent="0.2">
      <c r="A15649" s="121">
        <v>44651</v>
      </c>
      <c r="B15649" t="s">
        <v>406</v>
      </c>
      <c r="C15649" t="s">
        <v>577</v>
      </c>
      <c r="D15649" t="s">
        <v>578</v>
      </c>
      <c r="E15649" t="s">
        <v>579</v>
      </c>
      <c r="F15649" t="s">
        <v>413</v>
      </c>
      <c r="G15649">
        <v>4956</v>
      </c>
      <c r="H15649">
        <v>4956</v>
      </c>
      <c r="I15649">
        <v>4534</v>
      </c>
      <c r="J15649">
        <v>4534</v>
      </c>
      <c r="K15649">
        <v>1582</v>
      </c>
      <c r="L15649">
        <v>4</v>
      </c>
      <c r="M15649">
        <v>3115</v>
      </c>
      <c r="N15649">
        <v>183</v>
      </c>
      <c r="O15649">
        <v>72</v>
      </c>
      <c r="P15649">
        <v>9</v>
      </c>
      <c r="Q15649">
        <v>0</v>
      </c>
    </row>
    <row r="15650" spans="1:17" x14ac:dyDescent="0.2">
      <c r="A15650" s="121">
        <v>44651</v>
      </c>
      <c r="B15650" t="s">
        <v>406</v>
      </c>
      <c r="C15650" t="s">
        <v>577</v>
      </c>
      <c r="D15650" t="s">
        <v>580</v>
      </c>
      <c r="E15650" t="s">
        <v>581</v>
      </c>
      <c r="F15650" t="s">
        <v>413</v>
      </c>
      <c r="G15650">
        <v>1890</v>
      </c>
      <c r="H15650">
        <v>1890</v>
      </c>
      <c r="I15650">
        <v>1778</v>
      </c>
      <c r="J15650">
        <v>1778</v>
      </c>
      <c r="K15650">
        <v>278</v>
      </c>
      <c r="L15650">
        <v>0</v>
      </c>
      <c r="M15650">
        <v>1456</v>
      </c>
      <c r="N15650">
        <v>137</v>
      </c>
      <c r="O15650">
        <v>19</v>
      </c>
      <c r="P15650">
        <v>10</v>
      </c>
      <c r="Q15650">
        <v>1</v>
      </c>
    </row>
    <row r="15651" spans="1:17" x14ac:dyDescent="0.2">
      <c r="A15651" s="121">
        <v>44651</v>
      </c>
      <c r="B15651" t="s">
        <v>406</v>
      </c>
      <c r="C15651" t="s">
        <v>577</v>
      </c>
      <c r="D15651" t="s">
        <v>586</v>
      </c>
      <c r="E15651" t="s">
        <v>587</v>
      </c>
      <c r="F15651" t="s">
        <v>410</v>
      </c>
      <c r="G15651">
        <v>643</v>
      </c>
      <c r="H15651">
        <v>643</v>
      </c>
      <c r="I15651">
        <v>643</v>
      </c>
      <c r="J15651">
        <v>643</v>
      </c>
      <c r="K15651">
        <v>0</v>
      </c>
      <c r="L15651">
        <v>0</v>
      </c>
      <c r="M15651">
        <v>587</v>
      </c>
      <c r="N15651">
        <v>55</v>
      </c>
      <c r="O15651">
        <v>1</v>
      </c>
      <c r="P15651">
        <v>0</v>
      </c>
      <c r="Q15651">
        <v>0</v>
      </c>
    </row>
    <row r="15652" spans="1:17" x14ac:dyDescent="0.2">
      <c r="A15652" s="121">
        <v>44651</v>
      </c>
      <c r="B15652" t="s">
        <v>406</v>
      </c>
      <c r="C15652" t="s">
        <v>577</v>
      </c>
      <c r="D15652" t="s">
        <v>590</v>
      </c>
      <c r="E15652" t="s">
        <v>591</v>
      </c>
      <c r="F15652" t="s">
        <v>410</v>
      </c>
      <c r="G15652">
        <v>291</v>
      </c>
      <c r="H15652">
        <v>291</v>
      </c>
      <c r="I15652">
        <v>291</v>
      </c>
      <c r="J15652">
        <v>291</v>
      </c>
      <c r="K15652">
        <v>0</v>
      </c>
      <c r="L15652">
        <v>0</v>
      </c>
      <c r="M15652">
        <v>284</v>
      </c>
      <c r="N15652">
        <v>7</v>
      </c>
      <c r="O15652">
        <v>0</v>
      </c>
      <c r="P15652">
        <v>0</v>
      </c>
      <c r="Q15652">
        <v>0</v>
      </c>
    </row>
    <row r="15653" spans="1:17" x14ac:dyDescent="0.2">
      <c r="A15653" s="121">
        <v>44651</v>
      </c>
      <c r="B15653" t="s">
        <v>406</v>
      </c>
      <c r="C15653" t="s">
        <v>594</v>
      </c>
      <c r="D15653" t="s">
        <v>595</v>
      </c>
      <c r="E15653" t="s">
        <v>596</v>
      </c>
      <c r="F15653" t="s">
        <v>410</v>
      </c>
      <c r="G15653">
        <v>25</v>
      </c>
      <c r="I15653">
        <v>25</v>
      </c>
    </row>
    <row r="15654" spans="1:17" x14ac:dyDescent="0.2">
      <c r="A15654" s="121">
        <v>44651</v>
      </c>
      <c r="B15654" t="s">
        <v>406</v>
      </c>
      <c r="C15654" t="s">
        <v>594</v>
      </c>
      <c r="D15654" t="s">
        <v>597</v>
      </c>
      <c r="E15654" t="s">
        <v>598</v>
      </c>
      <c r="F15654" t="s">
        <v>413</v>
      </c>
      <c r="G15654">
        <v>414</v>
      </c>
      <c r="H15654">
        <v>414</v>
      </c>
      <c r="I15654">
        <v>394</v>
      </c>
      <c r="J15654">
        <v>394</v>
      </c>
      <c r="K15654">
        <v>161</v>
      </c>
      <c r="L15654">
        <v>1</v>
      </c>
      <c r="M15654">
        <v>234</v>
      </c>
      <c r="N15654">
        <v>7</v>
      </c>
      <c r="O15654">
        <v>11</v>
      </c>
      <c r="P15654">
        <v>1</v>
      </c>
      <c r="Q15654">
        <v>0</v>
      </c>
    </row>
    <row r="15655" spans="1:17" x14ac:dyDescent="0.2">
      <c r="A15655" s="121">
        <v>44651</v>
      </c>
      <c r="B15655" t="s">
        <v>406</v>
      </c>
      <c r="C15655" t="s">
        <v>594</v>
      </c>
      <c r="D15655" t="s">
        <v>599</v>
      </c>
      <c r="E15655" t="s">
        <v>600</v>
      </c>
      <c r="F15655" t="s">
        <v>410</v>
      </c>
      <c r="G15655">
        <v>77</v>
      </c>
      <c r="H15655">
        <v>77</v>
      </c>
      <c r="I15655">
        <v>77</v>
      </c>
      <c r="J15655">
        <v>77</v>
      </c>
      <c r="K15655">
        <v>4</v>
      </c>
      <c r="L15655">
        <v>0</v>
      </c>
      <c r="M15655">
        <v>72</v>
      </c>
      <c r="N15655">
        <v>1</v>
      </c>
      <c r="O15655">
        <v>0</v>
      </c>
      <c r="P15655">
        <v>0</v>
      </c>
      <c r="Q15655">
        <v>0</v>
      </c>
    </row>
    <row r="15656" spans="1:17" x14ac:dyDescent="0.2">
      <c r="A15656" s="121">
        <v>44681</v>
      </c>
      <c r="B15656" t="s">
        <v>406</v>
      </c>
      <c r="C15656" t="s">
        <v>407</v>
      </c>
      <c r="D15656" t="s">
        <v>408</v>
      </c>
      <c r="E15656" t="s">
        <v>409</v>
      </c>
      <c r="F15656" t="s">
        <v>410</v>
      </c>
      <c r="G15656">
        <v>203</v>
      </c>
      <c r="I15656">
        <v>198</v>
      </c>
    </row>
    <row r="15657" spans="1:17" x14ac:dyDescent="0.2">
      <c r="A15657" s="121">
        <v>44681</v>
      </c>
      <c r="B15657" t="s">
        <v>406</v>
      </c>
      <c r="C15657" t="s">
        <v>407</v>
      </c>
      <c r="D15657" t="s">
        <v>601</v>
      </c>
      <c r="E15657" t="s">
        <v>602</v>
      </c>
      <c r="F15657" t="s">
        <v>410</v>
      </c>
      <c r="G15657">
        <v>81</v>
      </c>
      <c r="I15657">
        <v>80</v>
      </c>
    </row>
    <row r="15658" spans="1:17" x14ac:dyDescent="0.2">
      <c r="A15658" s="121">
        <v>44681</v>
      </c>
      <c r="B15658" t="s">
        <v>406</v>
      </c>
      <c r="C15658" t="s">
        <v>407</v>
      </c>
      <c r="D15658" t="s">
        <v>411</v>
      </c>
      <c r="E15658" t="s">
        <v>412</v>
      </c>
      <c r="F15658" t="s">
        <v>413</v>
      </c>
      <c r="G15658">
        <v>4879</v>
      </c>
      <c r="H15658">
        <v>4879</v>
      </c>
      <c r="I15658">
        <v>3314</v>
      </c>
      <c r="J15658">
        <v>3314</v>
      </c>
      <c r="K15658">
        <v>1284</v>
      </c>
      <c r="L15658">
        <v>8</v>
      </c>
      <c r="M15658">
        <v>3068</v>
      </c>
      <c r="N15658">
        <v>54</v>
      </c>
      <c r="O15658">
        <v>465</v>
      </c>
      <c r="P15658">
        <v>796</v>
      </c>
      <c r="Q15658">
        <v>502</v>
      </c>
    </row>
    <row r="15659" spans="1:17" x14ac:dyDescent="0.2">
      <c r="A15659" s="121">
        <v>44681</v>
      </c>
      <c r="B15659" t="s">
        <v>406</v>
      </c>
      <c r="C15659" t="s">
        <v>407</v>
      </c>
      <c r="D15659" t="s">
        <v>416</v>
      </c>
      <c r="E15659" t="s">
        <v>417</v>
      </c>
      <c r="F15659" t="s">
        <v>413</v>
      </c>
      <c r="G15659">
        <v>2468</v>
      </c>
      <c r="H15659">
        <v>2468</v>
      </c>
      <c r="I15659">
        <v>1494</v>
      </c>
      <c r="J15659">
        <v>1494</v>
      </c>
      <c r="K15659">
        <v>582</v>
      </c>
      <c r="L15659">
        <v>4</v>
      </c>
      <c r="M15659">
        <v>1740</v>
      </c>
      <c r="N15659">
        <v>76</v>
      </c>
      <c r="O15659">
        <v>66</v>
      </c>
      <c r="P15659">
        <v>483</v>
      </c>
      <c r="Q15659">
        <v>268</v>
      </c>
    </row>
    <row r="15660" spans="1:17" x14ac:dyDescent="0.2">
      <c r="A15660" s="121">
        <v>44681</v>
      </c>
      <c r="B15660" t="s">
        <v>406</v>
      </c>
      <c r="C15660" t="s">
        <v>407</v>
      </c>
      <c r="D15660" t="s">
        <v>618</v>
      </c>
      <c r="E15660" t="s">
        <v>619</v>
      </c>
      <c r="F15660" t="s">
        <v>410</v>
      </c>
      <c r="G15660">
        <v>52</v>
      </c>
      <c r="I15660">
        <v>52</v>
      </c>
    </row>
    <row r="15661" spans="1:17" x14ac:dyDescent="0.2">
      <c r="A15661" s="121">
        <v>44681</v>
      </c>
      <c r="B15661" t="s">
        <v>406</v>
      </c>
      <c r="C15661" t="s">
        <v>418</v>
      </c>
      <c r="D15661" t="s">
        <v>427</v>
      </c>
      <c r="E15661" t="s">
        <v>428</v>
      </c>
      <c r="F15661" t="s">
        <v>413</v>
      </c>
      <c r="G15661">
        <v>2397</v>
      </c>
      <c r="H15661">
        <v>2397</v>
      </c>
      <c r="I15661">
        <v>1440</v>
      </c>
      <c r="J15661">
        <v>1440</v>
      </c>
      <c r="K15661">
        <v>642</v>
      </c>
      <c r="L15661">
        <v>2</v>
      </c>
      <c r="M15661">
        <v>1665</v>
      </c>
      <c r="N15661">
        <v>71</v>
      </c>
      <c r="O15661">
        <v>17</v>
      </c>
      <c r="P15661">
        <v>492</v>
      </c>
      <c r="Q15661">
        <v>323</v>
      </c>
    </row>
    <row r="15662" spans="1:17" x14ac:dyDescent="0.2">
      <c r="A15662" s="121">
        <v>44681</v>
      </c>
      <c r="B15662" t="s">
        <v>406</v>
      </c>
      <c r="C15662" t="s">
        <v>429</v>
      </c>
      <c r="D15662" t="s">
        <v>438</v>
      </c>
      <c r="E15662" t="s">
        <v>439</v>
      </c>
      <c r="F15662" t="s">
        <v>413</v>
      </c>
      <c r="G15662">
        <v>1098</v>
      </c>
      <c r="H15662">
        <v>1098</v>
      </c>
      <c r="I15662">
        <v>981</v>
      </c>
      <c r="J15662">
        <v>981</v>
      </c>
      <c r="K15662">
        <v>67</v>
      </c>
      <c r="L15662">
        <v>2</v>
      </c>
      <c r="M15662">
        <v>916</v>
      </c>
      <c r="N15662">
        <v>56</v>
      </c>
      <c r="O15662">
        <v>57</v>
      </c>
      <c r="P15662">
        <v>22</v>
      </c>
      <c r="Q15662">
        <v>2</v>
      </c>
    </row>
    <row r="15663" spans="1:17" x14ac:dyDescent="0.2">
      <c r="A15663" s="121">
        <v>44681</v>
      </c>
      <c r="B15663" t="s">
        <v>406</v>
      </c>
      <c r="C15663" t="s">
        <v>429</v>
      </c>
      <c r="D15663" t="s">
        <v>440</v>
      </c>
      <c r="E15663" t="s">
        <v>441</v>
      </c>
      <c r="F15663" t="s">
        <v>413</v>
      </c>
      <c r="G15663">
        <v>2684</v>
      </c>
      <c r="H15663">
        <v>2684</v>
      </c>
      <c r="I15663">
        <v>2153</v>
      </c>
      <c r="J15663">
        <v>2153</v>
      </c>
      <c r="K15663">
        <v>730</v>
      </c>
      <c r="L15663">
        <v>5</v>
      </c>
      <c r="M15663">
        <v>1868</v>
      </c>
      <c r="N15663">
        <v>28</v>
      </c>
      <c r="O15663">
        <v>53</v>
      </c>
      <c r="P15663">
        <v>72</v>
      </c>
      <c r="Q15663">
        <v>15</v>
      </c>
    </row>
    <row r="15664" spans="1:17" x14ac:dyDescent="0.2">
      <c r="A15664" s="121">
        <v>44681</v>
      </c>
      <c r="B15664" t="s">
        <v>406</v>
      </c>
      <c r="C15664" t="s">
        <v>442</v>
      </c>
      <c r="D15664" t="s">
        <v>443</v>
      </c>
      <c r="E15664" t="s">
        <v>444</v>
      </c>
      <c r="F15664" t="s">
        <v>413</v>
      </c>
      <c r="G15664">
        <v>5368</v>
      </c>
      <c r="H15664">
        <v>5368</v>
      </c>
      <c r="I15664">
        <v>3876</v>
      </c>
      <c r="J15664">
        <v>3876</v>
      </c>
      <c r="K15664">
        <v>1564</v>
      </c>
      <c r="L15664">
        <v>5</v>
      </c>
      <c r="M15664">
        <v>3619</v>
      </c>
      <c r="N15664">
        <v>61</v>
      </c>
      <c r="O15664">
        <v>119</v>
      </c>
      <c r="P15664">
        <v>317</v>
      </c>
      <c r="Q15664">
        <v>73</v>
      </c>
    </row>
    <row r="15665" spans="1:17" x14ac:dyDescent="0.2">
      <c r="A15665" s="121">
        <v>44681</v>
      </c>
      <c r="B15665" t="s">
        <v>406</v>
      </c>
      <c r="C15665" t="s">
        <v>442</v>
      </c>
      <c r="D15665" t="s">
        <v>445</v>
      </c>
      <c r="E15665" t="s">
        <v>446</v>
      </c>
      <c r="F15665" t="s">
        <v>410</v>
      </c>
      <c r="G15665">
        <v>124</v>
      </c>
      <c r="H15665">
        <v>124</v>
      </c>
      <c r="I15665">
        <v>123</v>
      </c>
      <c r="J15665">
        <v>123</v>
      </c>
      <c r="K15665">
        <v>4</v>
      </c>
      <c r="L15665">
        <v>0</v>
      </c>
      <c r="M15665">
        <v>114</v>
      </c>
      <c r="N15665">
        <v>3</v>
      </c>
      <c r="O15665">
        <v>3</v>
      </c>
      <c r="P15665">
        <v>0</v>
      </c>
      <c r="Q15665">
        <v>0</v>
      </c>
    </row>
    <row r="15666" spans="1:17" x14ac:dyDescent="0.2">
      <c r="A15666" s="121">
        <v>44681</v>
      </c>
      <c r="B15666" t="s">
        <v>406</v>
      </c>
      <c r="C15666" t="s">
        <v>442</v>
      </c>
      <c r="D15666" t="s">
        <v>447</v>
      </c>
      <c r="E15666" t="s">
        <v>448</v>
      </c>
      <c r="F15666" t="s">
        <v>410</v>
      </c>
      <c r="G15666">
        <v>198</v>
      </c>
      <c r="H15666">
        <v>198</v>
      </c>
      <c r="I15666">
        <v>198</v>
      </c>
      <c r="J15666">
        <v>198</v>
      </c>
      <c r="K15666">
        <v>1</v>
      </c>
      <c r="L15666">
        <v>0</v>
      </c>
      <c r="M15666">
        <v>194</v>
      </c>
      <c r="N15666">
        <v>3</v>
      </c>
      <c r="O15666">
        <v>0</v>
      </c>
      <c r="P15666">
        <v>0</v>
      </c>
      <c r="Q15666">
        <v>0</v>
      </c>
    </row>
    <row r="15667" spans="1:17" x14ac:dyDescent="0.2">
      <c r="A15667" s="121">
        <v>44681</v>
      </c>
      <c r="B15667" t="s">
        <v>406</v>
      </c>
      <c r="C15667" t="s">
        <v>442</v>
      </c>
      <c r="D15667" t="s">
        <v>449</v>
      </c>
      <c r="E15667" t="s">
        <v>624</v>
      </c>
      <c r="F15667" t="s">
        <v>410</v>
      </c>
      <c r="G15667">
        <v>946</v>
      </c>
      <c r="H15667">
        <v>946</v>
      </c>
      <c r="I15667">
        <v>946</v>
      </c>
      <c r="J15667">
        <v>946</v>
      </c>
      <c r="K15667">
        <v>6</v>
      </c>
      <c r="L15667">
        <v>0</v>
      </c>
      <c r="M15667">
        <v>892</v>
      </c>
      <c r="N15667">
        <v>36</v>
      </c>
      <c r="O15667">
        <v>12</v>
      </c>
      <c r="P15667">
        <v>0</v>
      </c>
      <c r="Q15667">
        <v>0</v>
      </c>
    </row>
    <row r="15668" spans="1:17" x14ac:dyDescent="0.2">
      <c r="A15668" s="121">
        <v>44681</v>
      </c>
      <c r="B15668" t="s">
        <v>406</v>
      </c>
      <c r="C15668" t="s">
        <v>451</v>
      </c>
      <c r="D15668" t="s">
        <v>454</v>
      </c>
      <c r="E15668" t="s">
        <v>621</v>
      </c>
      <c r="F15668" t="s">
        <v>410</v>
      </c>
      <c r="G15668">
        <v>1958</v>
      </c>
      <c r="H15668">
        <v>1958</v>
      </c>
      <c r="I15668">
        <v>1949</v>
      </c>
      <c r="J15668">
        <v>1949</v>
      </c>
      <c r="K15668">
        <v>16</v>
      </c>
      <c r="L15668">
        <v>0</v>
      </c>
      <c r="M15668">
        <v>1803</v>
      </c>
      <c r="N15668">
        <v>5</v>
      </c>
      <c r="O15668">
        <v>134</v>
      </c>
      <c r="P15668">
        <v>0</v>
      </c>
      <c r="Q15668">
        <v>0</v>
      </c>
    </row>
    <row r="15669" spans="1:17" x14ac:dyDescent="0.2">
      <c r="A15669" s="121">
        <v>44681</v>
      </c>
      <c r="B15669" t="s">
        <v>406</v>
      </c>
      <c r="C15669" t="s">
        <v>451</v>
      </c>
      <c r="D15669" t="s">
        <v>622</v>
      </c>
      <c r="E15669" t="s">
        <v>623</v>
      </c>
      <c r="F15669" t="s">
        <v>413</v>
      </c>
      <c r="G15669">
        <v>4903</v>
      </c>
      <c r="H15669">
        <v>4903</v>
      </c>
      <c r="I15669">
        <v>2598</v>
      </c>
      <c r="J15669">
        <v>2598</v>
      </c>
      <c r="K15669">
        <v>1510</v>
      </c>
      <c r="L15669">
        <v>9</v>
      </c>
      <c r="M15669">
        <v>2829</v>
      </c>
      <c r="N15669">
        <v>26</v>
      </c>
      <c r="O15669">
        <v>529</v>
      </c>
      <c r="P15669">
        <v>512</v>
      </c>
      <c r="Q15669">
        <v>93</v>
      </c>
    </row>
    <row r="15670" spans="1:17" x14ac:dyDescent="0.2">
      <c r="A15670" s="121">
        <v>44681</v>
      </c>
      <c r="B15670" t="s">
        <v>406</v>
      </c>
      <c r="C15670" t="s">
        <v>456</v>
      </c>
      <c r="D15670" t="s">
        <v>457</v>
      </c>
      <c r="E15670" t="s">
        <v>458</v>
      </c>
      <c r="F15670" t="s">
        <v>413</v>
      </c>
      <c r="G15670">
        <v>4262</v>
      </c>
      <c r="H15670">
        <v>4262</v>
      </c>
      <c r="I15670">
        <v>2352</v>
      </c>
      <c r="J15670">
        <v>2352</v>
      </c>
      <c r="K15670">
        <v>1380</v>
      </c>
      <c r="L15670">
        <v>11</v>
      </c>
      <c r="M15670">
        <v>2701</v>
      </c>
      <c r="N15670">
        <v>20</v>
      </c>
      <c r="O15670">
        <v>150</v>
      </c>
      <c r="P15670">
        <v>427</v>
      </c>
      <c r="Q15670">
        <v>89</v>
      </c>
    </row>
    <row r="15671" spans="1:17" x14ac:dyDescent="0.2">
      <c r="A15671" s="121">
        <v>44681</v>
      </c>
      <c r="B15671" t="s">
        <v>406</v>
      </c>
      <c r="C15671" t="s">
        <v>456</v>
      </c>
      <c r="D15671" t="s">
        <v>459</v>
      </c>
      <c r="E15671" t="s">
        <v>460</v>
      </c>
      <c r="F15671" t="s">
        <v>413</v>
      </c>
      <c r="G15671">
        <v>1282</v>
      </c>
      <c r="H15671">
        <v>1282</v>
      </c>
      <c r="I15671">
        <v>1202</v>
      </c>
      <c r="J15671">
        <v>1202</v>
      </c>
      <c r="K15671">
        <v>129</v>
      </c>
      <c r="L15671">
        <v>0</v>
      </c>
      <c r="M15671">
        <v>1104</v>
      </c>
      <c r="N15671">
        <v>0</v>
      </c>
      <c r="O15671">
        <v>49</v>
      </c>
      <c r="P15671">
        <v>2</v>
      </c>
      <c r="Q15671">
        <v>0</v>
      </c>
    </row>
    <row r="15672" spans="1:17" x14ac:dyDescent="0.2">
      <c r="A15672" s="121">
        <v>44681</v>
      </c>
      <c r="B15672" t="s">
        <v>406</v>
      </c>
      <c r="C15672" t="s">
        <v>456</v>
      </c>
      <c r="D15672" t="s">
        <v>467</v>
      </c>
      <c r="E15672" t="s">
        <v>468</v>
      </c>
      <c r="F15672" t="s">
        <v>410</v>
      </c>
      <c r="G15672">
        <v>629</v>
      </c>
      <c r="I15672">
        <v>629</v>
      </c>
    </row>
    <row r="15673" spans="1:17" x14ac:dyDescent="0.2">
      <c r="A15673" s="121">
        <v>44681</v>
      </c>
      <c r="B15673" t="s">
        <v>406</v>
      </c>
      <c r="C15673" t="s">
        <v>456</v>
      </c>
      <c r="D15673" t="s">
        <v>469</v>
      </c>
      <c r="E15673" t="s">
        <v>470</v>
      </c>
      <c r="F15673" t="s">
        <v>410</v>
      </c>
      <c r="G15673">
        <v>515</v>
      </c>
      <c r="I15673">
        <v>514</v>
      </c>
    </row>
    <row r="15674" spans="1:17" x14ac:dyDescent="0.2">
      <c r="A15674" s="121">
        <v>44681</v>
      </c>
      <c r="B15674" t="s">
        <v>406</v>
      </c>
      <c r="C15674" t="s">
        <v>456</v>
      </c>
      <c r="D15674" t="s">
        <v>471</v>
      </c>
      <c r="E15674" t="s">
        <v>472</v>
      </c>
      <c r="F15674" t="s">
        <v>410</v>
      </c>
      <c r="G15674">
        <v>482</v>
      </c>
      <c r="I15674">
        <v>477</v>
      </c>
    </row>
    <row r="15675" spans="1:17" x14ac:dyDescent="0.2">
      <c r="A15675" s="121">
        <v>44681</v>
      </c>
      <c r="B15675" t="s">
        <v>406</v>
      </c>
      <c r="C15675" t="s">
        <v>456</v>
      </c>
      <c r="D15675" t="s">
        <v>477</v>
      </c>
      <c r="E15675" t="s">
        <v>478</v>
      </c>
      <c r="F15675" t="s">
        <v>413</v>
      </c>
      <c r="G15675">
        <v>2144</v>
      </c>
      <c r="H15675">
        <v>2144</v>
      </c>
      <c r="I15675">
        <v>1525</v>
      </c>
      <c r="J15675">
        <v>1525</v>
      </c>
      <c r="K15675">
        <v>454</v>
      </c>
      <c r="L15675">
        <v>9</v>
      </c>
      <c r="M15675">
        <v>1645</v>
      </c>
      <c r="N15675">
        <v>20</v>
      </c>
      <c r="O15675">
        <v>16</v>
      </c>
      <c r="P15675">
        <v>200</v>
      </c>
      <c r="Q15675">
        <v>70</v>
      </c>
    </row>
    <row r="15676" spans="1:17" x14ac:dyDescent="0.2">
      <c r="A15676" s="121">
        <v>44681</v>
      </c>
      <c r="B15676" t="s">
        <v>406</v>
      </c>
      <c r="C15676" t="s">
        <v>491</v>
      </c>
      <c r="D15676" t="s">
        <v>492</v>
      </c>
      <c r="E15676" t="s">
        <v>493</v>
      </c>
      <c r="F15676" t="s">
        <v>410</v>
      </c>
      <c r="G15676">
        <v>1217</v>
      </c>
      <c r="H15676">
        <v>1217</v>
      </c>
      <c r="I15676">
        <v>1116</v>
      </c>
      <c r="J15676">
        <v>1116</v>
      </c>
      <c r="K15676">
        <v>135</v>
      </c>
      <c r="L15676">
        <v>0</v>
      </c>
      <c r="M15676">
        <v>1001</v>
      </c>
      <c r="N15676">
        <v>71</v>
      </c>
      <c r="O15676">
        <v>10</v>
      </c>
      <c r="P15676">
        <v>6</v>
      </c>
      <c r="Q15676">
        <v>0</v>
      </c>
    </row>
    <row r="15677" spans="1:17" x14ac:dyDescent="0.2">
      <c r="A15677" s="121">
        <v>44681</v>
      </c>
      <c r="B15677" t="s">
        <v>406</v>
      </c>
      <c r="C15677" t="s">
        <v>491</v>
      </c>
      <c r="D15677" t="s">
        <v>494</v>
      </c>
      <c r="E15677" t="s">
        <v>495</v>
      </c>
      <c r="F15677" t="s">
        <v>413</v>
      </c>
      <c r="G15677">
        <v>2378</v>
      </c>
      <c r="H15677">
        <v>2378</v>
      </c>
      <c r="I15677">
        <v>1914</v>
      </c>
      <c r="J15677">
        <v>1914</v>
      </c>
      <c r="K15677">
        <v>543</v>
      </c>
      <c r="L15677">
        <v>3</v>
      </c>
      <c r="M15677">
        <v>1737</v>
      </c>
      <c r="N15677">
        <v>61</v>
      </c>
      <c r="O15677">
        <v>34</v>
      </c>
      <c r="P15677">
        <v>89</v>
      </c>
      <c r="Q15677">
        <v>12</v>
      </c>
    </row>
    <row r="15678" spans="1:17" x14ac:dyDescent="0.2">
      <c r="A15678" s="121">
        <v>44681</v>
      </c>
      <c r="B15678" t="s">
        <v>406</v>
      </c>
      <c r="C15678" t="s">
        <v>491</v>
      </c>
      <c r="D15678" t="s">
        <v>496</v>
      </c>
      <c r="E15678" t="s">
        <v>497</v>
      </c>
      <c r="F15678" t="s">
        <v>413</v>
      </c>
      <c r="G15678">
        <v>4558</v>
      </c>
      <c r="H15678">
        <v>4558</v>
      </c>
      <c r="I15678">
        <v>2945</v>
      </c>
      <c r="J15678">
        <v>2945</v>
      </c>
      <c r="K15678">
        <v>1179</v>
      </c>
      <c r="L15678">
        <v>13</v>
      </c>
      <c r="M15678">
        <v>3203</v>
      </c>
      <c r="N15678">
        <v>94</v>
      </c>
      <c r="O15678">
        <v>69</v>
      </c>
      <c r="P15678">
        <v>500</v>
      </c>
      <c r="Q15678">
        <v>82</v>
      </c>
    </row>
    <row r="15679" spans="1:17" x14ac:dyDescent="0.2">
      <c r="A15679" s="121">
        <v>44681</v>
      </c>
      <c r="B15679" t="s">
        <v>406</v>
      </c>
      <c r="C15679" t="s">
        <v>491</v>
      </c>
      <c r="D15679" t="s">
        <v>498</v>
      </c>
      <c r="E15679" t="s">
        <v>499</v>
      </c>
      <c r="F15679" t="s">
        <v>413</v>
      </c>
      <c r="G15679">
        <v>6678</v>
      </c>
      <c r="H15679">
        <v>6678</v>
      </c>
      <c r="I15679">
        <v>4501</v>
      </c>
      <c r="J15679">
        <v>4501</v>
      </c>
      <c r="K15679">
        <v>1879</v>
      </c>
      <c r="L15679">
        <v>18</v>
      </c>
      <c r="M15679">
        <v>4309</v>
      </c>
      <c r="N15679">
        <v>142</v>
      </c>
      <c r="O15679">
        <v>330</v>
      </c>
      <c r="P15679">
        <v>258</v>
      </c>
      <c r="Q15679">
        <v>22</v>
      </c>
    </row>
    <row r="15680" spans="1:17" x14ac:dyDescent="0.2">
      <c r="A15680" s="121">
        <v>44681</v>
      </c>
      <c r="B15680" t="s">
        <v>406</v>
      </c>
      <c r="C15680" t="s">
        <v>491</v>
      </c>
      <c r="D15680" t="s">
        <v>500</v>
      </c>
      <c r="E15680" t="s">
        <v>620</v>
      </c>
      <c r="F15680" t="s">
        <v>410</v>
      </c>
      <c r="G15680">
        <v>1820</v>
      </c>
      <c r="H15680">
        <v>1820</v>
      </c>
      <c r="I15680">
        <v>1802</v>
      </c>
      <c r="J15680">
        <v>1802</v>
      </c>
      <c r="K15680">
        <v>0</v>
      </c>
      <c r="L15680">
        <v>0</v>
      </c>
      <c r="M15680">
        <v>1535</v>
      </c>
      <c r="N15680">
        <v>93</v>
      </c>
      <c r="O15680">
        <v>192</v>
      </c>
      <c r="P15680">
        <v>0</v>
      </c>
      <c r="Q15680">
        <v>0</v>
      </c>
    </row>
    <row r="15681" spans="1:17" x14ac:dyDescent="0.2">
      <c r="A15681" s="121">
        <v>44681</v>
      </c>
      <c r="B15681" t="s">
        <v>406</v>
      </c>
      <c r="C15681" t="s">
        <v>491</v>
      </c>
      <c r="D15681" t="s">
        <v>502</v>
      </c>
      <c r="E15681" t="s">
        <v>615</v>
      </c>
      <c r="F15681" t="s">
        <v>410</v>
      </c>
      <c r="G15681">
        <v>2019</v>
      </c>
      <c r="H15681">
        <v>2019</v>
      </c>
      <c r="I15681">
        <v>2018</v>
      </c>
      <c r="J15681">
        <v>2018</v>
      </c>
      <c r="K15681">
        <v>0</v>
      </c>
      <c r="L15681">
        <v>0</v>
      </c>
      <c r="M15681">
        <v>1906</v>
      </c>
      <c r="N15681">
        <v>65</v>
      </c>
      <c r="O15681">
        <v>48</v>
      </c>
      <c r="P15681">
        <v>0</v>
      </c>
      <c r="Q15681">
        <v>0</v>
      </c>
    </row>
    <row r="15682" spans="1:17" x14ac:dyDescent="0.2">
      <c r="A15682" s="121">
        <v>44681</v>
      </c>
      <c r="B15682" t="s">
        <v>406</v>
      </c>
      <c r="C15682" t="s">
        <v>491</v>
      </c>
      <c r="D15682" t="s">
        <v>504</v>
      </c>
      <c r="E15682" t="s">
        <v>630</v>
      </c>
      <c r="F15682" t="s">
        <v>413</v>
      </c>
      <c r="G15682">
        <v>7301</v>
      </c>
      <c r="H15682">
        <v>7301</v>
      </c>
      <c r="I15682">
        <v>3362</v>
      </c>
      <c r="J15682">
        <v>3362</v>
      </c>
      <c r="K15682">
        <v>2403</v>
      </c>
      <c r="L15682">
        <v>22</v>
      </c>
      <c r="M15682">
        <v>4576</v>
      </c>
      <c r="N15682">
        <v>47</v>
      </c>
      <c r="O15682">
        <v>253</v>
      </c>
      <c r="P15682">
        <v>1026</v>
      </c>
      <c r="Q15682">
        <v>276</v>
      </c>
    </row>
    <row r="15683" spans="1:17" x14ac:dyDescent="0.2">
      <c r="A15683" s="121">
        <v>44681</v>
      </c>
      <c r="B15683" t="s">
        <v>406</v>
      </c>
      <c r="C15683" t="s">
        <v>491</v>
      </c>
      <c r="D15683" t="s">
        <v>506</v>
      </c>
      <c r="E15683" t="s">
        <v>507</v>
      </c>
      <c r="F15683" t="s">
        <v>413</v>
      </c>
      <c r="G15683">
        <v>5453</v>
      </c>
      <c r="H15683">
        <v>5453</v>
      </c>
      <c r="I15683">
        <v>5329</v>
      </c>
      <c r="J15683">
        <v>5329</v>
      </c>
      <c r="K15683">
        <v>1031</v>
      </c>
      <c r="L15683">
        <v>0</v>
      </c>
      <c r="M15683">
        <v>4410</v>
      </c>
      <c r="N15683">
        <v>3</v>
      </c>
      <c r="O15683">
        <v>9</v>
      </c>
      <c r="P15683">
        <v>0</v>
      </c>
      <c r="Q15683">
        <v>0</v>
      </c>
    </row>
    <row r="15684" spans="1:17" x14ac:dyDescent="0.2">
      <c r="A15684" s="121">
        <v>44681</v>
      </c>
      <c r="B15684" t="s">
        <v>406</v>
      </c>
      <c r="C15684" t="s">
        <v>510</v>
      </c>
      <c r="D15684" t="s">
        <v>513</v>
      </c>
      <c r="E15684" t="s">
        <v>514</v>
      </c>
      <c r="F15684" t="s">
        <v>410</v>
      </c>
      <c r="G15684">
        <v>576</v>
      </c>
      <c r="I15684">
        <v>568</v>
      </c>
    </row>
    <row r="15685" spans="1:17" x14ac:dyDescent="0.2">
      <c r="A15685" s="121">
        <v>44681</v>
      </c>
      <c r="B15685" t="s">
        <v>406</v>
      </c>
      <c r="C15685" t="s">
        <v>510</v>
      </c>
      <c r="D15685" t="s">
        <v>515</v>
      </c>
      <c r="E15685" t="s">
        <v>516</v>
      </c>
      <c r="F15685" t="s">
        <v>410</v>
      </c>
      <c r="G15685">
        <v>64</v>
      </c>
      <c r="I15685">
        <v>64</v>
      </c>
    </row>
    <row r="15686" spans="1:17" x14ac:dyDescent="0.2">
      <c r="A15686" s="121">
        <v>44681</v>
      </c>
      <c r="B15686" t="s">
        <v>406</v>
      </c>
      <c r="C15686" t="s">
        <v>510</v>
      </c>
      <c r="D15686" t="s">
        <v>519</v>
      </c>
      <c r="E15686" t="s">
        <v>520</v>
      </c>
      <c r="F15686" t="s">
        <v>410</v>
      </c>
      <c r="G15686">
        <v>291</v>
      </c>
      <c r="I15686">
        <v>285</v>
      </c>
    </row>
    <row r="15687" spans="1:17" x14ac:dyDescent="0.2">
      <c r="A15687" s="121">
        <v>44681</v>
      </c>
      <c r="B15687" t="s">
        <v>406</v>
      </c>
      <c r="C15687" t="s">
        <v>510</v>
      </c>
      <c r="D15687" t="s">
        <v>523</v>
      </c>
      <c r="E15687" t="s">
        <v>524</v>
      </c>
      <c r="F15687" t="s">
        <v>413</v>
      </c>
      <c r="G15687">
        <v>711</v>
      </c>
      <c r="H15687">
        <v>711</v>
      </c>
      <c r="I15687">
        <v>628</v>
      </c>
      <c r="J15687">
        <v>628</v>
      </c>
      <c r="K15687">
        <v>155</v>
      </c>
      <c r="L15687">
        <v>1</v>
      </c>
      <c r="M15687">
        <v>521</v>
      </c>
      <c r="N15687">
        <v>17</v>
      </c>
      <c r="O15687">
        <v>17</v>
      </c>
      <c r="P15687">
        <v>4</v>
      </c>
      <c r="Q15687">
        <v>0</v>
      </c>
    </row>
    <row r="15688" spans="1:17" x14ac:dyDescent="0.2">
      <c r="A15688" s="121">
        <v>44681</v>
      </c>
      <c r="B15688" t="s">
        <v>406</v>
      </c>
      <c r="C15688" t="s">
        <v>510</v>
      </c>
      <c r="D15688" t="s">
        <v>525</v>
      </c>
      <c r="E15688" t="s">
        <v>526</v>
      </c>
      <c r="F15688" t="s">
        <v>410</v>
      </c>
      <c r="G15688">
        <v>282</v>
      </c>
      <c r="H15688">
        <v>282</v>
      </c>
      <c r="I15688">
        <v>262</v>
      </c>
      <c r="J15688">
        <v>262</v>
      </c>
      <c r="K15688">
        <v>31</v>
      </c>
      <c r="L15688">
        <v>0</v>
      </c>
      <c r="M15688">
        <v>220</v>
      </c>
      <c r="N15688">
        <v>27</v>
      </c>
      <c r="O15688">
        <v>4</v>
      </c>
      <c r="P15688">
        <v>3</v>
      </c>
      <c r="Q15688">
        <v>1</v>
      </c>
    </row>
    <row r="15689" spans="1:17" x14ac:dyDescent="0.2">
      <c r="A15689" s="121">
        <v>44681</v>
      </c>
      <c r="B15689" t="s">
        <v>406</v>
      </c>
      <c r="C15689" t="s">
        <v>510</v>
      </c>
      <c r="D15689" t="s">
        <v>527</v>
      </c>
      <c r="E15689" t="s">
        <v>528</v>
      </c>
      <c r="F15689" t="s">
        <v>410</v>
      </c>
      <c r="G15689">
        <v>6</v>
      </c>
      <c r="I15689">
        <v>6</v>
      </c>
    </row>
    <row r="15690" spans="1:17" x14ac:dyDescent="0.2">
      <c r="A15690" s="121">
        <v>44681</v>
      </c>
      <c r="B15690" t="s">
        <v>406</v>
      </c>
      <c r="C15690" t="s">
        <v>510</v>
      </c>
      <c r="D15690" t="s">
        <v>529</v>
      </c>
      <c r="E15690" t="s">
        <v>530</v>
      </c>
      <c r="F15690" t="s">
        <v>413</v>
      </c>
      <c r="G15690">
        <v>753</v>
      </c>
      <c r="H15690">
        <v>753</v>
      </c>
      <c r="I15690">
        <v>658</v>
      </c>
      <c r="J15690">
        <v>658</v>
      </c>
      <c r="K15690">
        <v>91</v>
      </c>
      <c r="L15690">
        <v>2</v>
      </c>
      <c r="M15690">
        <v>613</v>
      </c>
      <c r="N15690">
        <v>28</v>
      </c>
      <c r="O15690">
        <v>19</v>
      </c>
      <c r="P15690">
        <v>21</v>
      </c>
      <c r="Q15690">
        <v>9</v>
      </c>
    </row>
    <row r="15691" spans="1:17" x14ac:dyDescent="0.2">
      <c r="A15691" s="121">
        <v>44681</v>
      </c>
      <c r="B15691" t="s">
        <v>406</v>
      </c>
      <c r="C15691" t="s">
        <v>510</v>
      </c>
      <c r="D15691" t="s">
        <v>531</v>
      </c>
      <c r="E15691" t="s">
        <v>532</v>
      </c>
      <c r="F15691" t="s">
        <v>410</v>
      </c>
      <c r="G15691">
        <v>16</v>
      </c>
      <c r="I15691">
        <v>16</v>
      </c>
    </row>
    <row r="15692" spans="1:17" x14ac:dyDescent="0.2">
      <c r="A15692" s="121">
        <v>44681</v>
      </c>
      <c r="B15692" t="s">
        <v>406</v>
      </c>
      <c r="C15692" t="s">
        <v>510</v>
      </c>
      <c r="D15692" t="s">
        <v>533</v>
      </c>
      <c r="E15692" t="s">
        <v>534</v>
      </c>
      <c r="F15692" t="s">
        <v>413</v>
      </c>
      <c r="G15692">
        <v>2745</v>
      </c>
      <c r="H15692">
        <v>2745</v>
      </c>
      <c r="I15692">
        <v>2028</v>
      </c>
      <c r="J15692">
        <v>2028</v>
      </c>
      <c r="K15692">
        <v>647</v>
      </c>
      <c r="L15692">
        <v>3</v>
      </c>
      <c r="M15692">
        <v>1888</v>
      </c>
      <c r="N15692">
        <v>18</v>
      </c>
      <c r="O15692">
        <v>189</v>
      </c>
      <c r="P15692">
        <v>151</v>
      </c>
      <c r="Q15692">
        <v>55</v>
      </c>
    </row>
    <row r="15693" spans="1:17" x14ac:dyDescent="0.2">
      <c r="A15693" s="121">
        <v>44681</v>
      </c>
      <c r="B15693" t="s">
        <v>406</v>
      </c>
      <c r="C15693" t="s">
        <v>510</v>
      </c>
      <c r="D15693" t="s">
        <v>535</v>
      </c>
      <c r="E15693" t="s">
        <v>536</v>
      </c>
      <c r="F15693" t="s">
        <v>410</v>
      </c>
      <c r="G15693">
        <v>241</v>
      </c>
      <c r="I15693">
        <v>239</v>
      </c>
    </row>
    <row r="15694" spans="1:17" x14ac:dyDescent="0.2">
      <c r="A15694" s="121">
        <v>44681</v>
      </c>
      <c r="B15694" t="s">
        <v>406</v>
      </c>
      <c r="C15694" t="s">
        <v>510</v>
      </c>
      <c r="D15694" t="s">
        <v>539</v>
      </c>
      <c r="E15694" t="s">
        <v>540</v>
      </c>
      <c r="F15694" t="s">
        <v>413</v>
      </c>
      <c r="G15694">
        <v>831</v>
      </c>
      <c r="H15694">
        <v>831</v>
      </c>
      <c r="I15694">
        <v>743</v>
      </c>
      <c r="J15694">
        <v>743</v>
      </c>
      <c r="K15694">
        <v>103</v>
      </c>
      <c r="L15694">
        <v>1</v>
      </c>
      <c r="M15694">
        <v>678</v>
      </c>
      <c r="N15694">
        <v>22</v>
      </c>
      <c r="O15694">
        <v>27</v>
      </c>
      <c r="P15694">
        <v>4</v>
      </c>
      <c r="Q15694">
        <v>0</v>
      </c>
    </row>
    <row r="15695" spans="1:17" x14ac:dyDescent="0.2">
      <c r="A15695" s="121">
        <v>44681</v>
      </c>
      <c r="B15695" t="s">
        <v>406</v>
      </c>
      <c r="C15695" t="s">
        <v>510</v>
      </c>
      <c r="D15695" t="s">
        <v>543</v>
      </c>
      <c r="E15695" t="s">
        <v>544</v>
      </c>
      <c r="F15695" t="s">
        <v>410</v>
      </c>
      <c r="G15695">
        <v>28</v>
      </c>
      <c r="I15695">
        <v>28</v>
      </c>
    </row>
    <row r="15696" spans="1:17" x14ac:dyDescent="0.2">
      <c r="A15696" s="121">
        <v>44681</v>
      </c>
      <c r="B15696" t="s">
        <v>406</v>
      </c>
      <c r="C15696" t="s">
        <v>510</v>
      </c>
      <c r="D15696" t="s">
        <v>547</v>
      </c>
      <c r="E15696" t="s">
        <v>548</v>
      </c>
      <c r="F15696" t="s">
        <v>410</v>
      </c>
      <c r="G15696">
        <v>38</v>
      </c>
      <c r="I15696">
        <v>38</v>
      </c>
    </row>
    <row r="15697" spans="1:17" x14ac:dyDescent="0.2">
      <c r="A15697" s="121">
        <v>44681</v>
      </c>
      <c r="B15697" t="s">
        <v>406</v>
      </c>
      <c r="C15697" t="s">
        <v>510</v>
      </c>
      <c r="D15697" t="s">
        <v>616</v>
      </c>
      <c r="E15697" t="s">
        <v>617</v>
      </c>
      <c r="F15697" t="s">
        <v>410</v>
      </c>
      <c r="G15697">
        <v>291</v>
      </c>
      <c r="I15697">
        <v>288</v>
      </c>
    </row>
    <row r="15698" spans="1:17" x14ac:dyDescent="0.2">
      <c r="A15698" s="121">
        <v>44681</v>
      </c>
      <c r="B15698" t="s">
        <v>406</v>
      </c>
      <c r="C15698" t="s">
        <v>510</v>
      </c>
      <c r="D15698" t="s">
        <v>549</v>
      </c>
      <c r="E15698" t="s">
        <v>550</v>
      </c>
      <c r="F15698" t="s">
        <v>410</v>
      </c>
      <c r="G15698">
        <v>55</v>
      </c>
      <c r="I15698">
        <v>55</v>
      </c>
    </row>
    <row r="15699" spans="1:17" x14ac:dyDescent="0.2">
      <c r="A15699" s="121">
        <v>44681</v>
      </c>
      <c r="B15699" t="s">
        <v>406</v>
      </c>
      <c r="C15699" t="s">
        <v>510</v>
      </c>
      <c r="D15699" t="s">
        <v>625</v>
      </c>
      <c r="E15699" t="s">
        <v>626</v>
      </c>
      <c r="F15699" t="s">
        <v>410</v>
      </c>
      <c r="G15699">
        <v>131</v>
      </c>
      <c r="I15699">
        <v>129</v>
      </c>
    </row>
    <row r="15700" spans="1:17" x14ac:dyDescent="0.2">
      <c r="A15700" s="121">
        <v>44681</v>
      </c>
      <c r="B15700" t="s">
        <v>406</v>
      </c>
      <c r="C15700" t="s">
        <v>510</v>
      </c>
      <c r="D15700" t="s">
        <v>634</v>
      </c>
      <c r="E15700" t="s">
        <v>635</v>
      </c>
      <c r="F15700" t="s">
        <v>410</v>
      </c>
      <c r="G15700">
        <v>435</v>
      </c>
      <c r="I15700">
        <v>427</v>
      </c>
    </row>
    <row r="15701" spans="1:17" x14ac:dyDescent="0.2">
      <c r="A15701" s="121">
        <v>44681</v>
      </c>
      <c r="B15701" t="s">
        <v>406</v>
      </c>
      <c r="C15701" t="s">
        <v>551</v>
      </c>
      <c r="D15701" t="s">
        <v>552</v>
      </c>
      <c r="E15701" t="s">
        <v>553</v>
      </c>
      <c r="F15701" t="s">
        <v>413</v>
      </c>
      <c r="G15701">
        <v>5342</v>
      </c>
      <c r="H15701">
        <v>5342</v>
      </c>
      <c r="I15701">
        <v>3797</v>
      </c>
      <c r="J15701">
        <v>3797</v>
      </c>
      <c r="K15701">
        <v>1763</v>
      </c>
      <c r="L15701">
        <v>5</v>
      </c>
      <c r="M15701">
        <v>3464</v>
      </c>
      <c r="N15701">
        <v>91</v>
      </c>
      <c r="O15701">
        <v>19</v>
      </c>
      <c r="P15701">
        <v>269</v>
      </c>
      <c r="Q15701">
        <v>43</v>
      </c>
    </row>
    <row r="15702" spans="1:17" x14ac:dyDescent="0.2">
      <c r="A15702" s="121">
        <v>44681</v>
      </c>
      <c r="B15702" t="s">
        <v>406</v>
      </c>
      <c r="C15702" t="s">
        <v>551</v>
      </c>
      <c r="D15702" t="s">
        <v>558</v>
      </c>
      <c r="E15702" t="s">
        <v>559</v>
      </c>
      <c r="F15702" t="s">
        <v>413</v>
      </c>
      <c r="G15702">
        <v>5018</v>
      </c>
      <c r="H15702">
        <v>5018</v>
      </c>
      <c r="I15702">
        <v>3122</v>
      </c>
      <c r="J15702">
        <v>3122</v>
      </c>
      <c r="K15702">
        <v>1247</v>
      </c>
      <c r="L15702">
        <v>3</v>
      </c>
      <c r="M15702">
        <v>3641</v>
      </c>
      <c r="N15702">
        <v>99</v>
      </c>
      <c r="O15702">
        <v>28</v>
      </c>
      <c r="P15702">
        <v>354</v>
      </c>
      <c r="Q15702">
        <v>86</v>
      </c>
    </row>
    <row r="15703" spans="1:17" x14ac:dyDescent="0.2">
      <c r="A15703" s="121">
        <v>44681</v>
      </c>
      <c r="B15703" t="s">
        <v>406</v>
      </c>
      <c r="C15703" t="s">
        <v>551</v>
      </c>
      <c r="D15703" t="s">
        <v>560</v>
      </c>
      <c r="E15703" t="s">
        <v>561</v>
      </c>
      <c r="F15703" t="s">
        <v>413</v>
      </c>
      <c r="G15703">
        <v>5725</v>
      </c>
      <c r="H15703">
        <v>5725</v>
      </c>
      <c r="I15703">
        <v>3363</v>
      </c>
      <c r="J15703">
        <v>3363</v>
      </c>
      <c r="K15703">
        <v>1841</v>
      </c>
      <c r="L15703">
        <v>7</v>
      </c>
      <c r="M15703">
        <v>3762</v>
      </c>
      <c r="N15703">
        <v>59</v>
      </c>
      <c r="O15703">
        <v>56</v>
      </c>
      <c r="P15703">
        <v>855</v>
      </c>
      <c r="Q15703">
        <v>240</v>
      </c>
    </row>
    <row r="15704" spans="1:17" x14ac:dyDescent="0.2">
      <c r="A15704" s="121">
        <v>44681</v>
      </c>
      <c r="B15704" t="s">
        <v>406</v>
      </c>
      <c r="C15704" t="s">
        <v>562</v>
      </c>
      <c r="D15704" t="s">
        <v>563</v>
      </c>
      <c r="E15704" t="s">
        <v>564</v>
      </c>
      <c r="F15704" t="s">
        <v>410</v>
      </c>
      <c r="G15704">
        <v>3100</v>
      </c>
      <c r="H15704">
        <v>3100</v>
      </c>
      <c r="I15704">
        <v>1887</v>
      </c>
      <c r="J15704">
        <v>1887</v>
      </c>
      <c r="K15704">
        <v>1062</v>
      </c>
      <c r="L15704">
        <v>0</v>
      </c>
      <c r="M15704">
        <v>2026</v>
      </c>
      <c r="N15704">
        <v>1</v>
      </c>
      <c r="O15704">
        <v>11</v>
      </c>
      <c r="P15704">
        <v>391</v>
      </c>
      <c r="Q15704">
        <v>202</v>
      </c>
    </row>
    <row r="15705" spans="1:17" x14ac:dyDescent="0.2">
      <c r="A15705" s="121">
        <v>44681</v>
      </c>
      <c r="B15705" t="s">
        <v>406</v>
      </c>
      <c r="C15705" t="s">
        <v>562</v>
      </c>
      <c r="D15705" t="s">
        <v>565</v>
      </c>
      <c r="E15705" t="s">
        <v>566</v>
      </c>
      <c r="F15705" t="s">
        <v>413</v>
      </c>
      <c r="G15705">
        <v>4729</v>
      </c>
      <c r="H15705">
        <v>4729</v>
      </c>
      <c r="I15705">
        <v>3324</v>
      </c>
      <c r="J15705">
        <v>3324</v>
      </c>
      <c r="K15705">
        <v>922</v>
      </c>
      <c r="L15705">
        <v>2</v>
      </c>
      <c r="M15705">
        <v>3238</v>
      </c>
      <c r="N15705">
        <v>25</v>
      </c>
      <c r="O15705">
        <v>542</v>
      </c>
      <c r="P15705">
        <v>420</v>
      </c>
      <c r="Q15705">
        <v>186</v>
      </c>
    </row>
    <row r="15706" spans="1:17" x14ac:dyDescent="0.2">
      <c r="A15706" s="121">
        <v>44681</v>
      </c>
      <c r="B15706" t="s">
        <v>406</v>
      </c>
      <c r="C15706" t="s">
        <v>562</v>
      </c>
      <c r="D15706" t="s">
        <v>567</v>
      </c>
      <c r="E15706" t="s">
        <v>568</v>
      </c>
      <c r="F15706" t="s">
        <v>413</v>
      </c>
      <c r="G15706">
        <v>9439</v>
      </c>
      <c r="H15706">
        <v>9439</v>
      </c>
      <c r="I15706">
        <v>4570</v>
      </c>
      <c r="J15706">
        <v>4570</v>
      </c>
      <c r="K15706">
        <v>2507</v>
      </c>
      <c r="L15706">
        <v>6</v>
      </c>
      <c r="M15706">
        <v>6768</v>
      </c>
      <c r="N15706">
        <v>100</v>
      </c>
      <c r="O15706">
        <v>58</v>
      </c>
      <c r="P15706">
        <v>1860</v>
      </c>
      <c r="Q15706">
        <v>1064</v>
      </c>
    </row>
    <row r="15707" spans="1:17" x14ac:dyDescent="0.2">
      <c r="A15707" s="121">
        <v>44681</v>
      </c>
      <c r="B15707" t="s">
        <v>406</v>
      </c>
      <c r="C15707" t="s">
        <v>562</v>
      </c>
      <c r="D15707" t="s">
        <v>569</v>
      </c>
      <c r="E15707" t="s">
        <v>570</v>
      </c>
      <c r="F15707" t="s">
        <v>413</v>
      </c>
      <c r="G15707">
        <v>4445</v>
      </c>
      <c r="H15707">
        <v>4445</v>
      </c>
      <c r="I15707">
        <v>4224</v>
      </c>
      <c r="J15707">
        <v>4224</v>
      </c>
      <c r="K15707">
        <v>515</v>
      </c>
      <c r="L15707">
        <v>0</v>
      </c>
      <c r="M15707">
        <v>3760</v>
      </c>
      <c r="N15707">
        <v>131</v>
      </c>
      <c r="O15707">
        <v>39</v>
      </c>
      <c r="P15707">
        <v>5</v>
      </c>
      <c r="Q15707">
        <v>1</v>
      </c>
    </row>
    <row r="15708" spans="1:17" x14ac:dyDescent="0.2">
      <c r="A15708" s="121">
        <v>44681</v>
      </c>
      <c r="B15708" t="s">
        <v>406</v>
      </c>
      <c r="C15708" t="s">
        <v>571</v>
      </c>
      <c r="D15708" t="s">
        <v>572</v>
      </c>
      <c r="E15708" t="s">
        <v>627</v>
      </c>
      <c r="F15708" t="s">
        <v>413</v>
      </c>
      <c r="G15708">
        <v>534</v>
      </c>
      <c r="H15708">
        <v>534</v>
      </c>
      <c r="I15708">
        <v>488</v>
      </c>
      <c r="J15708">
        <v>488</v>
      </c>
      <c r="K15708">
        <v>96</v>
      </c>
      <c r="L15708">
        <v>0</v>
      </c>
      <c r="M15708">
        <v>431</v>
      </c>
      <c r="N15708">
        <v>1</v>
      </c>
      <c r="O15708">
        <v>6</v>
      </c>
      <c r="P15708">
        <v>0</v>
      </c>
      <c r="Q15708">
        <v>0</v>
      </c>
    </row>
    <row r="15709" spans="1:17" x14ac:dyDescent="0.2">
      <c r="A15709" s="121">
        <v>44681</v>
      </c>
      <c r="B15709" t="s">
        <v>406</v>
      </c>
      <c r="C15709" t="s">
        <v>574</v>
      </c>
      <c r="D15709" t="s">
        <v>575</v>
      </c>
      <c r="E15709" t="s">
        <v>576</v>
      </c>
      <c r="F15709" t="s">
        <v>413</v>
      </c>
      <c r="G15709">
        <v>580</v>
      </c>
      <c r="H15709">
        <v>580</v>
      </c>
      <c r="I15709">
        <v>555</v>
      </c>
      <c r="J15709">
        <v>555</v>
      </c>
      <c r="K15709">
        <v>149</v>
      </c>
      <c r="L15709">
        <v>0</v>
      </c>
      <c r="M15709">
        <v>415</v>
      </c>
      <c r="N15709">
        <v>5</v>
      </c>
      <c r="O15709">
        <v>11</v>
      </c>
      <c r="P15709">
        <v>1</v>
      </c>
      <c r="Q15709">
        <v>0</v>
      </c>
    </row>
    <row r="15710" spans="1:17" x14ac:dyDescent="0.2">
      <c r="A15710" s="121">
        <v>44681</v>
      </c>
      <c r="B15710" t="s">
        <v>406</v>
      </c>
      <c r="C15710" t="s">
        <v>577</v>
      </c>
      <c r="D15710" t="s">
        <v>578</v>
      </c>
      <c r="E15710" t="s">
        <v>579</v>
      </c>
      <c r="F15710" t="s">
        <v>413</v>
      </c>
      <c r="G15710">
        <v>4863</v>
      </c>
      <c r="H15710">
        <v>4863</v>
      </c>
      <c r="I15710">
        <v>4372</v>
      </c>
      <c r="J15710">
        <v>4372</v>
      </c>
      <c r="K15710">
        <v>1612</v>
      </c>
      <c r="L15710">
        <v>10</v>
      </c>
      <c r="M15710">
        <v>2964</v>
      </c>
      <c r="N15710">
        <v>201</v>
      </c>
      <c r="O15710">
        <v>76</v>
      </c>
      <c r="P15710">
        <v>24</v>
      </c>
      <c r="Q15710">
        <v>0</v>
      </c>
    </row>
    <row r="15711" spans="1:17" x14ac:dyDescent="0.2">
      <c r="A15711" s="121">
        <v>44681</v>
      </c>
      <c r="B15711" t="s">
        <v>406</v>
      </c>
      <c r="C15711" t="s">
        <v>577</v>
      </c>
      <c r="D15711" t="s">
        <v>580</v>
      </c>
      <c r="E15711" t="s">
        <v>581</v>
      </c>
      <c r="F15711" t="s">
        <v>413</v>
      </c>
      <c r="G15711">
        <v>1931</v>
      </c>
      <c r="H15711">
        <v>1931</v>
      </c>
      <c r="I15711">
        <v>1804</v>
      </c>
      <c r="J15711">
        <v>1804</v>
      </c>
      <c r="K15711">
        <v>239</v>
      </c>
      <c r="L15711">
        <v>1</v>
      </c>
      <c r="M15711">
        <v>1539</v>
      </c>
      <c r="N15711">
        <v>131</v>
      </c>
      <c r="O15711">
        <v>21</v>
      </c>
      <c r="P15711">
        <v>2</v>
      </c>
      <c r="Q15711">
        <v>0</v>
      </c>
    </row>
    <row r="15712" spans="1:17" x14ac:dyDescent="0.2">
      <c r="A15712" s="121">
        <v>44681</v>
      </c>
      <c r="B15712" t="s">
        <v>406</v>
      </c>
      <c r="C15712" t="s">
        <v>577</v>
      </c>
      <c r="D15712" t="s">
        <v>586</v>
      </c>
      <c r="E15712" t="s">
        <v>587</v>
      </c>
      <c r="F15712" t="s">
        <v>410</v>
      </c>
      <c r="G15712">
        <v>698</v>
      </c>
      <c r="H15712">
        <v>698</v>
      </c>
      <c r="I15712">
        <v>698</v>
      </c>
      <c r="J15712">
        <v>698</v>
      </c>
      <c r="K15712">
        <v>0</v>
      </c>
      <c r="L15712">
        <v>0</v>
      </c>
      <c r="M15712">
        <v>616</v>
      </c>
      <c r="N15712">
        <v>61</v>
      </c>
      <c r="O15712">
        <v>21</v>
      </c>
      <c r="P15712">
        <v>0</v>
      </c>
      <c r="Q15712">
        <v>0</v>
      </c>
    </row>
    <row r="15713" spans="1:17" x14ac:dyDescent="0.2">
      <c r="A15713" s="121">
        <v>44681</v>
      </c>
      <c r="B15713" t="s">
        <v>406</v>
      </c>
      <c r="C15713" t="s">
        <v>577</v>
      </c>
      <c r="D15713" t="s">
        <v>590</v>
      </c>
      <c r="E15713" t="s">
        <v>591</v>
      </c>
      <c r="F15713" t="s">
        <v>410</v>
      </c>
      <c r="G15713">
        <v>247</v>
      </c>
      <c r="H15713">
        <v>247</v>
      </c>
      <c r="I15713">
        <v>247</v>
      </c>
      <c r="J15713">
        <v>247</v>
      </c>
      <c r="K15713">
        <v>0</v>
      </c>
      <c r="L15713">
        <v>0</v>
      </c>
      <c r="M15713">
        <v>235</v>
      </c>
      <c r="N15713">
        <v>12</v>
      </c>
      <c r="O15713">
        <v>0</v>
      </c>
      <c r="P15713">
        <v>0</v>
      </c>
      <c r="Q15713">
        <v>0</v>
      </c>
    </row>
    <row r="15714" spans="1:17" x14ac:dyDescent="0.2">
      <c r="A15714" s="121">
        <v>44681</v>
      </c>
      <c r="B15714" t="s">
        <v>406</v>
      </c>
      <c r="C15714" t="s">
        <v>594</v>
      </c>
      <c r="D15714" t="s">
        <v>595</v>
      </c>
      <c r="E15714" t="s">
        <v>596</v>
      </c>
      <c r="F15714" t="s">
        <v>410</v>
      </c>
      <c r="G15714">
        <v>24</v>
      </c>
      <c r="I15714">
        <v>24</v>
      </c>
    </row>
    <row r="15715" spans="1:17" x14ac:dyDescent="0.2">
      <c r="A15715" s="121">
        <v>44681</v>
      </c>
      <c r="B15715" t="s">
        <v>406</v>
      </c>
      <c r="C15715" t="s">
        <v>594</v>
      </c>
      <c r="D15715" t="s">
        <v>597</v>
      </c>
      <c r="E15715" t="s">
        <v>598</v>
      </c>
      <c r="F15715" t="s">
        <v>413</v>
      </c>
      <c r="G15715">
        <v>442</v>
      </c>
      <c r="H15715">
        <v>442</v>
      </c>
      <c r="I15715">
        <v>423</v>
      </c>
      <c r="J15715">
        <v>423</v>
      </c>
      <c r="K15715">
        <v>167</v>
      </c>
      <c r="L15715">
        <v>0</v>
      </c>
      <c r="M15715">
        <v>246</v>
      </c>
      <c r="N15715">
        <v>7</v>
      </c>
      <c r="O15715">
        <v>22</v>
      </c>
      <c r="P15715">
        <v>0</v>
      </c>
      <c r="Q15715">
        <v>0</v>
      </c>
    </row>
    <row r="15716" spans="1:17" x14ac:dyDescent="0.2">
      <c r="A15716" s="121">
        <v>44681</v>
      </c>
      <c r="B15716" t="s">
        <v>406</v>
      </c>
      <c r="C15716" t="s">
        <v>594</v>
      </c>
      <c r="D15716" t="s">
        <v>599</v>
      </c>
      <c r="E15716" t="s">
        <v>600</v>
      </c>
      <c r="F15716" t="s">
        <v>410</v>
      </c>
      <c r="G15716">
        <v>98</v>
      </c>
      <c r="H15716">
        <v>98</v>
      </c>
      <c r="I15716">
        <v>98</v>
      </c>
      <c r="J15716">
        <v>98</v>
      </c>
      <c r="K15716">
        <v>12</v>
      </c>
      <c r="L15716">
        <v>0</v>
      </c>
      <c r="M15716">
        <v>82</v>
      </c>
      <c r="N15716">
        <v>2</v>
      </c>
      <c r="O15716">
        <v>2</v>
      </c>
      <c r="P15716">
        <v>0</v>
      </c>
      <c r="Q15716">
        <v>0</v>
      </c>
    </row>
    <row r="15717" spans="1:17" x14ac:dyDescent="0.2">
      <c r="A15717" s="121">
        <v>44712</v>
      </c>
      <c r="B15717" t="s">
        <v>406</v>
      </c>
      <c r="C15717" t="s">
        <v>407</v>
      </c>
      <c r="D15717" t="s">
        <v>408</v>
      </c>
      <c r="E15717" t="s">
        <v>409</v>
      </c>
      <c r="F15717" t="s">
        <v>410</v>
      </c>
      <c r="G15717">
        <v>256</v>
      </c>
      <c r="I15717">
        <v>249</v>
      </c>
    </row>
    <row r="15718" spans="1:17" x14ac:dyDescent="0.2">
      <c r="A15718" s="121">
        <v>44712</v>
      </c>
      <c r="B15718" t="s">
        <v>406</v>
      </c>
      <c r="C15718" t="s">
        <v>407</v>
      </c>
      <c r="D15718" t="s">
        <v>601</v>
      </c>
      <c r="E15718" t="s">
        <v>602</v>
      </c>
      <c r="F15718" t="s">
        <v>410</v>
      </c>
      <c r="G15718">
        <v>110</v>
      </c>
      <c r="I15718">
        <v>108</v>
      </c>
    </row>
    <row r="15719" spans="1:17" x14ac:dyDescent="0.2">
      <c r="A15719" s="121">
        <v>44712</v>
      </c>
      <c r="B15719" t="s">
        <v>406</v>
      </c>
      <c r="C15719" t="s">
        <v>407</v>
      </c>
      <c r="D15719" t="s">
        <v>411</v>
      </c>
      <c r="E15719" t="s">
        <v>412</v>
      </c>
      <c r="F15719" t="s">
        <v>413</v>
      </c>
      <c r="G15719">
        <v>5369</v>
      </c>
      <c r="H15719">
        <v>5369</v>
      </c>
      <c r="I15719">
        <v>3936</v>
      </c>
      <c r="J15719">
        <v>3936</v>
      </c>
      <c r="K15719">
        <v>1434</v>
      </c>
      <c r="L15719">
        <v>7</v>
      </c>
      <c r="M15719">
        <v>3417</v>
      </c>
      <c r="N15719">
        <v>49</v>
      </c>
      <c r="O15719">
        <v>462</v>
      </c>
      <c r="P15719">
        <v>599</v>
      </c>
      <c r="Q15719">
        <v>333</v>
      </c>
    </row>
    <row r="15720" spans="1:17" x14ac:dyDescent="0.2">
      <c r="A15720" s="121">
        <v>44712</v>
      </c>
      <c r="B15720" t="s">
        <v>406</v>
      </c>
      <c r="C15720" t="s">
        <v>407</v>
      </c>
      <c r="D15720" t="s">
        <v>416</v>
      </c>
      <c r="E15720" t="s">
        <v>417</v>
      </c>
      <c r="F15720" t="s">
        <v>413</v>
      </c>
      <c r="G15720">
        <v>2708</v>
      </c>
      <c r="H15720">
        <v>2708</v>
      </c>
      <c r="I15720">
        <v>1857</v>
      </c>
      <c r="J15720">
        <v>1857</v>
      </c>
      <c r="K15720">
        <v>613</v>
      </c>
      <c r="L15720">
        <v>5</v>
      </c>
      <c r="M15720">
        <v>1938</v>
      </c>
      <c r="N15720">
        <v>98</v>
      </c>
      <c r="O15720">
        <v>54</v>
      </c>
      <c r="P15720">
        <v>437</v>
      </c>
      <c r="Q15720">
        <v>249</v>
      </c>
    </row>
    <row r="15721" spans="1:17" x14ac:dyDescent="0.2">
      <c r="A15721" s="121">
        <v>44712</v>
      </c>
      <c r="B15721" t="s">
        <v>406</v>
      </c>
      <c r="C15721" t="s">
        <v>407</v>
      </c>
      <c r="D15721" t="s">
        <v>618</v>
      </c>
      <c r="E15721" t="s">
        <v>619</v>
      </c>
      <c r="F15721" t="s">
        <v>410</v>
      </c>
      <c r="G15721">
        <v>75</v>
      </c>
      <c r="I15721">
        <v>75</v>
      </c>
    </row>
    <row r="15722" spans="1:17" x14ac:dyDescent="0.2">
      <c r="A15722" s="121">
        <v>44712</v>
      </c>
      <c r="B15722" t="s">
        <v>406</v>
      </c>
      <c r="C15722" t="s">
        <v>418</v>
      </c>
      <c r="D15722" t="s">
        <v>427</v>
      </c>
      <c r="E15722" t="s">
        <v>428</v>
      </c>
      <c r="F15722" t="s">
        <v>413</v>
      </c>
      <c r="G15722">
        <v>2630</v>
      </c>
      <c r="H15722">
        <v>2630</v>
      </c>
      <c r="I15722">
        <v>1686</v>
      </c>
      <c r="J15722">
        <v>1686</v>
      </c>
      <c r="K15722">
        <v>638</v>
      </c>
      <c r="L15722">
        <v>3</v>
      </c>
      <c r="M15722">
        <v>1895</v>
      </c>
      <c r="N15722">
        <v>85</v>
      </c>
      <c r="O15722">
        <v>9</v>
      </c>
      <c r="P15722">
        <v>408</v>
      </c>
      <c r="Q15722">
        <v>287</v>
      </c>
    </row>
    <row r="15723" spans="1:17" x14ac:dyDescent="0.2">
      <c r="A15723" s="121">
        <v>44712</v>
      </c>
      <c r="B15723" t="s">
        <v>406</v>
      </c>
      <c r="C15723" t="s">
        <v>429</v>
      </c>
      <c r="D15723" t="s">
        <v>438</v>
      </c>
      <c r="E15723" t="s">
        <v>439</v>
      </c>
      <c r="F15723" t="s">
        <v>413</v>
      </c>
      <c r="G15723">
        <v>1204</v>
      </c>
      <c r="H15723">
        <v>1204</v>
      </c>
      <c r="I15723">
        <v>1070</v>
      </c>
      <c r="J15723">
        <v>1070</v>
      </c>
      <c r="K15723">
        <v>75</v>
      </c>
      <c r="L15723">
        <v>2</v>
      </c>
      <c r="M15723">
        <v>1006</v>
      </c>
      <c r="N15723">
        <v>72</v>
      </c>
      <c r="O15723">
        <v>49</v>
      </c>
      <c r="P15723">
        <v>19</v>
      </c>
      <c r="Q15723">
        <v>3</v>
      </c>
    </row>
    <row r="15724" spans="1:17" x14ac:dyDescent="0.2">
      <c r="A15724" s="121">
        <v>44712</v>
      </c>
      <c r="B15724" t="s">
        <v>406</v>
      </c>
      <c r="C15724" t="s">
        <v>429</v>
      </c>
      <c r="D15724" t="s">
        <v>440</v>
      </c>
      <c r="E15724" t="s">
        <v>441</v>
      </c>
      <c r="F15724" t="s">
        <v>413</v>
      </c>
      <c r="G15724">
        <v>2932</v>
      </c>
      <c r="H15724">
        <v>2932</v>
      </c>
      <c r="I15724">
        <v>2290</v>
      </c>
      <c r="J15724">
        <v>2290</v>
      </c>
      <c r="K15724">
        <v>756</v>
      </c>
      <c r="L15724">
        <v>1</v>
      </c>
      <c r="M15724">
        <v>2095</v>
      </c>
      <c r="N15724">
        <v>21</v>
      </c>
      <c r="O15724">
        <v>59</v>
      </c>
      <c r="P15724">
        <v>152</v>
      </c>
      <c r="Q15724">
        <v>18</v>
      </c>
    </row>
    <row r="15725" spans="1:17" x14ac:dyDescent="0.2">
      <c r="A15725" s="121">
        <v>44712</v>
      </c>
      <c r="B15725" t="s">
        <v>406</v>
      </c>
      <c r="C15725" t="s">
        <v>442</v>
      </c>
      <c r="D15725" t="s">
        <v>443</v>
      </c>
      <c r="E15725" t="s">
        <v>444</v>
      </c>
      <c r="F15725" t="s">
        <v>413</v>
      </c>
      <c r="G15725">
        <v>6093</v>
      </c>
      <c r="H15725">
        <v>6093</v>
      </c>
      <c r="I15725">
        <v>4419</v>
      </c>
      <c r="J15725">
        <v>4419</v>
      </c>
      <c r="K15725">
        <v>1758</v>
      </c>
      <c r="L15725">
        <v>4</v>
      </c>
      <c r="M15725">
        <v>4130</v>
      </c>
      <c r="N15725">
        <v>60</v>
      </c>
      <c r="O15725">
        <v>141</v>
      </c>
      <c r="P15725">
        <v>308</v>
      </c>
      <c r="Q15725">
        <v>75</v>
      </c>
    </row>
    <row r="15726" spans="1:17" x14ac:dyDescent="0.2">
      <c r="A15726" s="121">
        <v>44712</v>
      </c>
      <c r="B15726" t="s">
        <v>406</v>
      </c>
      <c r="C15726" t="s">
        <v>442</v>
      </c>
      <c r="D15726" t="s">
        <v>445</v>
      </c>
      <c r="E15726" t="s">
        <v>446</v>
      </c>
      <c r="F15726" t="s">
        <v>410</v>
      </c>
      <c r="G15726">
        <v>172</v>
      </c>
      <c r="H15726">
        <v>172</v>
      </c>
      <c r="I15726">
        <v>169</v>
      </c>
      <c r="J15726">
        <v>169</v>
      </c>
      <c r="K15726">
        <v>4</v>
      </c>
      <c r="L15726">
        <v>0</v>
      </c>
      <c r="M15726">
        <v>163</v>
      </c>
      <c r="N15726">
        <v>3</v>
      </c>
      <c r="O15726">
        <v>2</v>
      </c>
      <c r="P15726">
        <v>0</v>
      </c>
      <c r="Q15726">
        <v>0</v>
      </c>
    </row>
    <row r="15727" spans="1:17" x14ac:dyDescent="0.2">
      <c r="A15727" s="121">
        <v>44712</v>
      </c>
      <c r="B15727" t="s">
        <v>406</v>
      </c>
      <c r="C15727" t="s">
        <v>442</v>
      </c>
      <c r="D15727" t="s">
        <v>447</v>
      </c>
      <c r="E15727" t="s">
        <v>448</v>
      </c>
      <c r="F15727" t="s">
        <v>410</v>
      </c>
      <c r="G15727">
        <v>225</v>
      </c>
      <c r="H15727">
        <v>225</v>
      </c>
      <c r="I15727">
        <v>225</v>
      </c>
      <c r="J15727">
        <v>225</v>
      </c>
      <c r="K15727">
        <v>1</v>
      </c>
      <c r="L15727">
        <v>0</v>
      </c>
      <c r="M15727">
        <v>217</v>
      </c>
      <c r="N15727">
        <v>7</v>
      </c>
      <c r="O15727">
        <v>0</v>
      </c>
      <c r="P15727">
        <v>0</v>
      </c>
      <c r="Q15727">
        <v>0</v>
      </c>
    </row>
    <row r="15728" spans="1:17" x14ac:dyDescent="0.2">
      <c r="A15728" s="121">
        <v>44712</v>
      </c>
      <c r="B15728" t="s">
        <v>406</v>
      </c>
      <c r="C15728" t="s">
        <v>442</v>
      </c>
      <c r="D15728" t="s">
        <v>449</v>
      </c>
      <c r="E15728" t="s">
        <v>624</v>
      </c>
      <c r="F15728" t="s">
        <v>410</v>
      </c>
      <c r="G15728">
        <v>1219</v>
      </c>
      <c r="H15728">
        <v>1219</v>
      </c>
      <c r="I15728">
        <v>1219</v>
      </c>
      <c r="J15728">
        <v>1219</v>
      </c>
      <c r="K15728">
        <v>3</v>
      </c>
      <c r="L15728">
        <v>0</v>
      </c>
      <c r="M15728">
        <v>1156</v>
      </c>
      <c r="N15728">
        <v>48</v>
      </c>
      <c r="O15728">
        <v>12</v>
      </c>
      <c r="P15728">
        <v>0</v>
      </c>
      <c r="Q15728">
        <v>0</v>
      </c>
    </row>
    <row r="15729" spans="1:17" x14ac:dyDescent="0.2">
      <c r="A15729" s="121">
        <v>44712</v>
      </c>
      <c r="B15729" t="s">
        <v>406</v>
      </c>
      <c r="C15729" t="s">
        <v>451</v>
      </c>
      <c r="D15729" t="s">
        <v>454</v>
      </c>
      <c r="E15729" t="s">
        <v>621</v>
      </c>
      <c r="F15729" t="s">
        <v>410</v>
      </c>
      <c r="G15729">
        <v>2347</v>
      </c>
      <c r="H15729">
        <v>2347</v>
      </c>
      <c r="I15729">
        <v>2341</v>
      </c>
      <c r="J15729">
        <v>2341</v>
      </c>
      <c r="K15729">
        <v>18</v>
      </c>
      <c r="L15729">
        <v>0</v>
      </c>
      <c r="M15729">
        <v>2157</v>
      </c>
      <c r="N15729">
        <v>11</v>
      </c>
      <c r="O15729">
        <v>161</v>
      </c>
      <c r="P15729">
        <v>0</v>
      </c>
      <c r="Q15729">
        <v>0</v>
      </c>
    </row>
    <row r="15730" spans="1:17" x14ac:dyDescent="0.2">
      <c r="A15730" s="121">
        <v>44712</v>
      </c>
      <c r="B15730" t="s">
        <v>406</v>
      </c>
      <c r="C15730" t="s">
        <v>451</v>
      </c>
      <c r="D15730" t="s">
        <v>622</v>
      </c>
      <c r="E15730" t="s">
        <v>623</v>
      </c>
      <c r="F15730" t="s">
        <v>413</v>
      </c>
      <c r="G15730">
        <v>5471</v>
      </c>
      <c r="H15730">
        <v>5471</v>
      </c>
      <c r="I15730">
        <v>3015</v>
      </c>
      <c r="J15730">
        <v>3015</v>
      </c>
      <c r="K15730">
        <v>1675</v>
      </c>
      <c r="L15730">
        <v>7</v>
      </c>
      <c r="M15730">
        <v>3083</v>
      </c>
      <c r="N15730">
        <v>42</v>
      </c>
      <c r="O15730">
        <v>664</v>
      </c>
      <c r="P15730">
        <v>680</v>
      </c>
      <c r="Q15730">
        <v>147</v>
      </c>
    </row>
    <row r="15731" spans="1:17" x14ac:dyDescent="0.2">
      <c r="A15731" s="121">
        <v>44712</v>
      </c>
      <c r="B15731" t="s">
        <v>406</v>
      </c>
      <c r="C15731" t="s">
        <v>456</v>
      </c>
      <c r="D15731" t="s">
        <v>457</v>
      </c>
      <c r="E15731" t="s">
        <v>458</v>
      </c>
      <c r="F15731" t="s">
        <v>413</v>
      </c>
      <c r="G15731">
        <v>4846</v>
      </c>
      <c r="H15731">
        <v>4846</v>
      </c>
      <c r="I15731">
        <v>2657</v>
      </c>
      <c r="J15731">
        <v>2657</v>
      </c>
      <c r="K15731">
        <v>1459</v>
      </c>
      <c r="L15731">
        <v>11</v>
      </c>
      <c r="M15731">
        <v>3155</v>
      </c>
      <c r="N15731">
        <v>22</v>
      </c>
      <c r="O15731">
        <v>199</v>
      </c>
      <c r="P15731">
        <v>406</v>
      </c>
      <c r="Q15731">
        <v>46</v>
      </c>
    </row>
    <row r="15732" spans="1:17" x14ac:dyDescent="0.2">
      <c r="A15732" s="121">
        <v>44712</v>
      </c>
      <c r="B15732" t="s">
        <v>406</v>
      </c>
      <c r="C15732" t="s">
        <v>456</v>
      </c>
      <c r="D15732" t="s">
        <v>459</v>
      </c>
      <c r="E15732" t="s">
        <v>460</v>
      </c>
      <c r="F15732" t="s">
        <v>413</v>
      </c>
      <c r="G15732">
        <v>1693</v>
      </c>
      <c r="H15732">
        <v>1693</v>
      </c>
      <c r="I15732">
        <v>1500</v>
      </c>
      <c r="J15732">
        <v>1500</v>
      </c>
      <c r="K15732">
        <v>153</v>
      </c>
      <c r="L15732">
        <v>0</v>
      </c>
      <c r="M15732">
        <v>1488</v>
      </c>
      <c r="N15732">
        <v>0</v>
      </c>
      <c r="O15732">
        <v>52</v>
      </c>
      <c r="P15732">
        <v>8</v>
      </c>
      <c r="Q15732">
        <v>0</v>
      </c>
    </row>
    <row r="15733" spans="1:17" x14ac:dyDescent="0.2">
      <c r="A15733" s="121">
        <v>44712</v>
      </c>
      <c r="B15733" t="s">
        <v>406</v>
      </c>
      <c r="C15733" t="s">
        <v>456</v>
      </c>
      <c r="D15733" t="s">
        <v>467</v>
      </c>
      <c r="E15733" t="s">
        <v>468</v>
      </c>
      <c r="F15733" t="s">
        <v>410</v>
      </c>
      <c r="G15733">
        <v>727</v>
      </c>
      <c r="I15733">
        <v>727</v>
      </c>
    </row>
    <row r="15734" spans="1:17" x14ac:dyDescent="0.2">
      <c r="A15734" s="121">
        <v>44712</v>
      </c>
      <c r="B15734" t="s">
        <v>406</v>
      </c>
      <c r="C15734" t="s">
        <v>456</v>
      </c>
      <c r="D15734" t="s">
        <v>469</v>
      </c>
      <c r="E15734" t="s">
        <v>470</v>
      </c>
      <c r="F15734" t="s">
        <v>410</v>
      </c>
      <c r="G15734">
        <v>598</v>
      </c>
      <c r="I15734">
        <v>597</v>
      </c>
    </row>
    <row r="15735" spans="1:17" x14ac:dyDescent="0.2">
      <c r="A15735" s="121">
        <v>44712</v>
      </c>
      <c r="B15735" t="s">
        <v>406</v>
      </c>
      <c r="C15735" t="s">
        <v>456</v>
      </c>
      <c r="D15735" t="s">
        <v>471</v>
      </c>
      <c r="E15735" t="s">
        <v>472</v>
      </c>
      <c r="F15735" t="s">
        <v>410</v>
      </c>
      <c r="G15735">
        <v>409</v>
      </c>
      <c r="I15735">
        <v>407</v>
      </c>
    </row>
    <row r="15736" spans="1:17" x14ac:dyDescent="0.2">
      <c r="A15736" s="121">
        <v>44712</v>
      </c>
      <c r="B15736" t="s">
        <v>406</v>
      </c>
      <c r="C15736" t="s">
        <v>456</v>
      </c>
      <c r="D15736" t="s">
        <v>475</v>
      </c>
      <c r="E15736" t="s">
        <v>476</v>
      </c>
      <c r="F15736" t="s">
        <v>410</v>
      </c>
      <c r="G15736">
        <v>6</v>
      </c>
      <c r="I15736">
        <v>6</v>
      </c>
    </row>
    <row r="15737" spans="1:17" x14ac:dyDescent="0.2">
      <c r="A15737" s="121">
        <v>44712</v>
      </c>
      <c r="B15737" t="s">
        <v>406</v>
      </c>
      <c r="C15737" t="s">
        <v>456</v>
      </c>
      <c r="D15737" t="s">
        <v>477</v>
      </c>
      <c r="E15737" t="s">
        <v>478</v>
      </c>
      <c r="F15737" t="s">
        <v>413</v>
      </c>
      <c r="G15737">
        <v>2442</v>
      </c>
      <c r="H15737">
        <v>2442</v>
      </c>
      <c r="I15737">
        <v>1902</v>
      </c>
      <c r="J15737">
        <v>1902</v>
      </c>
      <c r="K15737">
        <v>460</v>
      </c>
      <c r="L15737">
        <v>3</v>
      </c>
      <c r="M15737">
        <v>1928</v>
      </c>
      <c r="N15737">
        <v>21</v>
      </c>
      <c r="O15737">
        <v>30</v>
      </c>
      <c r="P15737">
        <v>130</v>
      </c>
      <c r="Q15737">
        <v>49</v>
      </c>
    </row>
    <row r="15738" spans="1:17" x14ac:dyDescent="0.2">
      <c r="A15738" s="121">
        <v>44712</v>
      </c>
      <c r="B15738" t="s">
        <v>406</v>
      </c>
      <c r="C15738" t="s">
        <v>491</v>
      </c>
      <c r="D15738" t="s">
        <v>492</v>
      </c>
      <c r="E15738" t="s">
        <v>493</v>
      </c>
      <c r="F15738" t="s">
        <v>410</v>
      </c>
      <c r="G15738">
        <v>1410</v>
      </c>
      <c r="H15738">
        <v>1410</v>
      </c>
      <c r="I15738">
        <v>1305</v>
      </c>
      <c r="J15738">
        <v>1305</v>
      </c>
      <c r="K15738">
        <v>155</v>
      </c>
      <c r="L15738">
        <v>1</v>
      </c>
      <c r="M15738">
        <v>1191</v>
      </c>
      <c r="N15738">
        <v>52</v>
      </c>
      <c r="O15738">
        <v>11</v>
      </c>
      <c r="P15738">
        <v>16</v>
      </c>
      <c r="Q15738">
        <v>0</v>
      </c>
    </row>
    <row r="15739" spans="1:17" x14ac:dyDescent="0.2">
      <c r="A15739" s="121">
        <v>44712</v>
      </c>
      <c r="B15739" t="s">
        <v>406</v>
      </c>
      <c r="C15739" t="s">
        <v>491</v>
      </c>
      <c r="D15739" t="s">
        <v>494</v>
      </c>
      <c r="E15739" t="s">
        <v>495</v>
      </c>
      <c r="F15739" t="s">
        <v>413</v>
      </c>
      <c r="G15739">
        <v>2723</v>
      </c>
      <c r="H15739">
        <v>2723</v>
      </c>
      <c r="I15739">
        <v>2309</v>
      </c>
      <c r="J15739">
        <v>2309</v>
      </c>
      <c r="K15739">
        <v>592</v>
      </c>
      <c r="L15739">
        <v>2</v>
      </c>
      <c r="M15739">
        <v>2018</v>
      </c>
      <c r="N15739">
        <v>67</v>
      </c>
      <c r="O15739">
        <v>44</v>
      </c>
      <c r="P15739">
        <v>41</v>
      </c>
      <c r="Q15739">
        <v>13</v>
      </c>
    </row>
    <row r="15740" spans="1:17" x14ac:dyDescent="0.2">
      <c r="A15740" s="121">
        <v>44712</v>
      </c>
      <c r="B15740" t="s">
        <v>406</v>
      </c>
      <c r="C15740" t="s">
        <v>491</v>
      </c>
      <c r="D15740" t="s">
        <v>496</v>
      </c>
      <c r="E15740" t="s">
        <v>497</v>
      </c>
      <c r="F15740" t="s">
        <v>413</v>
      </c>
      <c r="G15740">
        <v>5013</v>
      </c>
      <c r="H15740">
        <v>5013</v>
      </c>
      <c r="I15740">
        <v>3006</v>
      </c>
      <c r="J15740">
        <v>3006</v>
      </c>
      <c r="K15740">
        <v>1231</v>
      </c>
      <c r="L15740">
        <v>13</v>
      </c>
      <c r="M15740">
        <v>3552</v>
      </c>
      <c r="N15740">
        <v>77</v>
      </c>
      <c r="O15740">
        <v>140</v>
      </c>
      <c r="P15740">
        <v>650</v>
      </c>
      <c r="Q15740">
        <v>164</v>
      </c>
    </row>
    <row r="15741" spans="1:17" x14ac:dyDescent="0.2">
      <c r="A15741" s="121">
        <v>44712</v>
      </c>
      <c r="B15741" t="s">
        <v>406</v>
      </c>
      <c r="C15741" t="s">
        <v>491</v>
      </c>
      <c r="D15741" t="s">
        <v>498</v>
      </c>
      <c r="E15741" t="s">
        <v>499</v>
      </c>
      <c r="F15741" t="s">
        <v>413</v>
      </c>
      <c r="G15741">
        <v>7494</v>
      </c>
      <c r="H15741">
        <v>7494</v>
      </c>
      <c r="I15741">
        <v>4951</v>
      </c>
      <c r="J15741">
        <v>4951</v>
      </c>
      <c r="K15741">
        <v>1985</v>
      </c>
      <c r="L15741">
        <v>10</v>
      </c>
      <c r="M15741">
        <v>4799</v>
      </c>
      <c r="N15741">
        <v>150</v>
      </c>
      <c r="O15741">
        <v>550</v>
      </c>
      <c r="P15741">
        <v>413</v>
      </c>
      <c r="Q15741">
        <v>27</v>
      </c>
    </row>
    <row r="15742" spans="1:17" x14ac:dyDescent="0.2">
      <c r="A15742" s="121">
        <v>44712</v>
      </c>
      <c r="B15742" t="s">
        <v>406</v>
      </c>
      <c r="C15742" t="s">
        <v>491</v>
      </c>
      <c r="D15742" t="s">
        <v>500</v>
      </c>
      <c r="E15742" t="s">
        <v>620</v>
      </c>
      <c r="F15742" t="s">
        <v>410</v>
      </c>
      <c r="G15742">
        <v>2196</v>
      </c>
      <c r="H15742">
        <v>2196</v>
      </c>
      <c r="I15742">
        <v>2169</v>
      </c>
      <c r="J15742">
        <v>2169</v>
      </c>
      <c r="K15742">
        <v>1</v>
      </c>
      <c r="L15742">
        <v>0</v>
      </c>
      <c r="M15742">
        <v>1789</v>
      </c>
      <c r="N15742">
        <v>102</v>
      </c>
      <c r="O15742">
        <v>304</v>
      </c>
      <c r="P15742">
        <v>0</v>
      </c>
      <c r="Q15742">
        <v>0</v>
      </c>
    </row>
    <row r="15743" spans="1:17" x14ac:dyDescent="0.2">
      <c r="A15743" s="121">
        <v>44712</v>
      </c>
      <c r="B15743" t="s">
        <v>406</v>
      </c>
      <c r="C15743" t="s">
        <v>491</v>
      </c>
      <c r="D15743" t="s">
        <v>502</v>
      </c>
      <c r="E15743" t="s">
        <v>615</v>
      </c>
      <c r="F15743" t="s">
        <v>410</v>
      </c>
      <c r="G15743">
        <v>2253</v>
      </c>
      <c r="H15743">
        <v>2253</v>
      </c>
      <c r="I15743">
        <v>2232</v>
      </c>
      <c r="J15743">
        <v>2232</v>
      </c>
      <c r="K15743">
        <v>1</v>
      </c>
      <c r="L15743">
        <v>2</v>
      </c>
      <c r="M15743">
        <v>2085</v>
      </c>
      <c r="N15743">
        <v>103</v>
      </c>
      <c r="O15743">
        <v>62</v>
      </c>
      <c r="P15743">
        <v>0</v>
      </c>
      <c r="Q15743">
        <v>0</v>
      </c>
    </row>
    <row r="15744" spans="1:17" x14ac:dyDescent="0.2">
      <c r="A15744" s="121">
        <v>44712</v>
      </c>
      <c r="B15744" t="s">
        <v>406</v>
      </c>
      <c r="C15744" t="s">
        <v>491</v>
      </c>
      <c r="D15744" t="s">
        <v>504</v>
      </c>
      <c r="E15744" t="s">
        <v>630</v>
      </c>
      <c r="F15744" t="s">
        <v>413</v>
      </c>
      <c r="G15744">
        <v>7970</v>
      </c>
      <c r="H15744">
        <v>7970</v>
      </c>
      <c r="I15744">
        <v>3996</v>
      </c>
      <c r="J15744">
        <v>3996</v>
      </c>
      <c r="K15744">
        <v>2553</v>
      </c>
      <c r="L15744">
        <v>18</v>
      </c>
      <c r="M15744">
        <v>4995</v>
      </c>
      <c r="N15744">
        <v>62</v>
      </c>
      <c r="O15744">
        <v>342</v>
      </c>
      <c r="P15744">
        <v>1066</v>
      </c>
      <c r="Q15744">
        <v>319</v>
      </c>
    </row>
    <row r="15745" spans="1:17" x14ac:dyDescent="0.2">
      <c r="A15745" s="121">
        <v>44712</v>
      </c>
      <c r="B15745" t="s">
        <v>406</v>
      </c>
      <c r="C15745" t="s">
        <v>491</v>
      </c>
      <c r="D15745" t="s">
        <v>506</v>
      </c>
      <c r="E15745" t="s">
        <v>507</v>
      </c>
      <c r="F15745" t="s">
        <v>413</v>
      </c>
      <c r="G15745">
        <v>6604</v>
      </c>
      <c r="H15745">
        <v>6604</v>
      </c>
      <c r="I15745">
        <v>6404</v>
      </c>
      <c r="J15745">
        <v>6404</v>
      </c>
      <c r="K15745">
        <v>1226</v>
      </c>
      <c r="L15745">
        <v>1</v>
      </c>
      <c r="M15745">
        <v>5355</v>
      </c>
      <c r="N15745">
        <v>2</v>
      </c>
      <c r="O15745">
        <v>20</v>
      </c>
      <c r="P15745">
        <v>0</v>
      </c>
      <c r="Q15745">
        <v>0</v>
      </c>
    </row>
    <row r="15746" spans="1:17" x14ac:dyDescent="0.2">
      <c r="A15746" s="121">
        <v>44712</v>
      </c>
      <c r="B15746" t="s">
        <v>406</v>
      </c>
      <c r="C15746" t="s">
        <v>510</v>
      </c>
      <c r="D15746" t="s">
        <v>513</v>
      </c>
      <c r="E15746" t="s">
        <v>514</v>
      </c>
      <c r="F15746" t="s">
        <v>410</v>
      </c>
      <c r="G15746">
        <v>667</v>
      </c>
      <c r="I15746">
        <v>667</v>
      </c>
    </row>
    <row r="15747" spans="1:17" x14ac:dyDescent="0.2">
      <c r="A15747" s="121">
        <v>44712</v>
      </c>
      <c r="B15747" t="s">
        <v>406</v>
      </c>
      <c r="C15747" t="s">
        <v>510</v>
      </c>
      <c r="D15747" t="s">
        <v>515</v>
      </c>
      <c r="E15747" t="s">
        <v>516</v>
      </c>
      <c r="F15747" t="s">
        <v>410</v>
      </c>
      <c r="G15747">
        <v>75</v>
      </c>
      <c r="I15747">
        <v>75</v>
      </c>
    </row>
    <row r="15748" spans="1:17" x14ac:dyDescent="0.2">
      <c r="A15748" s="121">
        <v>44712</v>
      </c>
      <c r="B15748" t="s">
        <v>406</v>
      </c>
      <c r="C15748" t="s">
        <v>510</v>
      </c>
      <c r="D15748" t="s">
        <v>519</v>
      </c>
      <c r="E15748" t="s">
        <v>520</v>
      </c>
      <c r="F15748" t="s">
        <v>410</v>
      </c>
      <c r="G15748">
        <v>322</v>
      </c>
      <c r="I15748">
        <v>317</v>
      </c>
    </row>
    <row r="15749" spans="1:17" x14ac:dyDescent="0.2">
      <c r="A15749" s="121">
        <v>44712</v>
      </c>
      <c r="B15749" t="s">
        <v>406</v>
      </c>
      <c r="C15749" t="s">
        <v>510</v>
      </c>
      <c r="D15749" t="s">
        <v>523</v>
      </c>
      <c r="E15749" t="s">
        <v>524</v>
      </c>
      <c r="F15749" t="s">
        <v>413</v>
      </c>
      <c r="G15749">
        <v>817</v>
      </c>
      <c r="H15749">
        <v>817</v>
      </c>
      <c r="I15749">
        <v>738</v>
      </c>
      <c r="J15749">
        <v>738</v>
      </c>
      <c r="K15749">
        <v>196</v>
      </c>
      <c r="L15749">
        <v>0</v>
      </c>
      <c r="M15749">
        <v>560</v>
      </c>
      <c r="N15749">
        <v>27</v>
      </c>
      <c r="O15749">
        <v>34</v>
      </c>
      <c r="P15749">
        <v>6</v>
      </c>
      <c r="Q15749">
        <v>2</v>
      </c>
    </row>
    <row r="15750" spans="1:17" x14ac:dyDescent="0.2">
      <c r="A15750" s="121">
        <v>44712</v>
      </c>
      <c r="B15750" t="s">
        <v>406</v>
      </c>
      <c r="C15750" t="s">
        <v>510</v>
      </c>
      <c r="D15750" t="s">
        <v>525</v>
      </c>
      <c r="E15750" t="s">
        <v>526</v>
      </c>
      <c r="F15750" t="s">
        <v>410</v>
      </c>
      <c r="G15750">
        <v>357</v>
      </c>
      <c r="H15750">
        <v>357</v>
      </c>
      <c r="I15750">
        <v>334</v>
      </c>
      <c r="J15750">
        <v>334</v>
      </c>
      <c r="K15750">
        <v>39</v>
      </c>
      <c r="L15750">
        <v>2</v>
      </c>
      <c r="M15750">
        <v>292</v>
      </c>
      <c r="N15750">
        <v>20</v>
      </c>
      <c r="O15750">
        <v>4</v>
      </c>
      <c r="P15750">
        <v>6</v>
      </c>
      <c r="Q15750">
        <v>1</v>
      </c>
    </row>
    <row r="15751" spans="1:17" x14ac:dyDescent="0.2">
      <c r="A15751" s="121">
        <v>44712</v>
      </c>
      <c r="B15751" t="s">
        <v>406</v>
      </c>
      <c r="C15751" t="s">
        <v>510</v>
      </c>
      <c r="D15751" t="s">
        <v>527</v>
      </c>
      <c r="E15751" t="s">
        <v>528</v>
      </c>
      <c r="F15751" t="s">
        <v>410</v>
      </c>
      <c r="G15751">
        <v>10</v>
      </c>
      <c r="I15751">
        <v>10</v>
      </c>
    </row>
    <row r="15752" spans="1:17" x14ac:dyDescent="0.2">
      <c r="A15752" s="121">
        <v>44712</v>
      </c>
      <c r="B15752" t="s">
        <v>406</v>
      </c>
      <c r="C15752" t="s">
        <v>510</v>
      </c>
      <c r="D15752" t="s">
        <v>529</v>
      </c>
      <c r="E15752" t="s">
        <v>530</v>
      </c>
      <c r="F15752" t="s">
        <v>413</v>
      </c>
      <c r="G15752">
        <v>880</v>
      </c>
      <c r="H15752">
        <v>880</v>
      </c>
      <c r="I15752">
        <v>767</v>
      </c>
      <c r="J15752">
        <v>767</v>
      </c>
      <c r="K15752">
        <v>108</v>
      </c>
      <c r="L15752">
        <v>1</v>
      </c>
      <c r="M15752">
        <v>718</v>
      </c>
      <c r="N15752">
        <v>30</v>
      </c>
      <c r="O15752">
        <v>23</v>
      </c>
      <c r="P15752">
        <v>43</v>
      </c>
      <c r="Q15752">
        <v>25</v>
      </c>
    </row>
    <row r="15753" spans="1:17" x14ac:dyDescent="0.2">
      <c r="A15753" s="121">
        <v>44712</v>
      </c>
      <c r="B15753" t="s">
        <v>406</v>
      </c>
      <c r="C15753" t="s">
        <v>510</v>
      </c>
      <c r="D15753" t="s">
        <v>531</v>
      </c>
      <c r="E15753" t="s">
        <v>532</v>
      </c>
      <c r="F15753" t="s">
        <v>410</v>
      </c>
      <c r="G15753">
        <v>26</v>
      </c>
      <c r="I15753">
        <v>26</v>
      </c>
    </row>
    <row r="15754" spans="1:17" x14ac:dyDescent="0.2">
      <c r="A15754" s="121">
        <v>44712</v>
      </c>
      <c r="B15754" t="s">
        <v>406</v>
      </c>
      <c r="C15754" t="s">
        <v>510</v>
      </c>
      <c r="D15754" t="s">
        <v>533</v>
      </c>
      <c r="E15754" t="s">
        <v>534</v>
      </c>
      <c r="F15754" t="s">
        <v>413</v>
      </c>
      <c r="G15754">
        <v>3418</v>
      </c>
      <c r="H15754">
        <v>3418</v>
      </c>
      <c r="I15754">
        <v>2379</v>
      </c>
      <c r="J15754">
        <v>2379</v>
      </c>
      <c r="K15754">
        <v>812</v>
      </c>
      <c r="L15754">
        <v>5</v>
      </c>
      <c r="M15754">
        <v>2246</v>
      </c>
      <c r="N15754">
        <v>36</v>
      </c>
      <c r="O15754">
        <v>319</v>
      </c>
      <c r="P15754">
        <v>249</v>
      </c>
      <c r="Q15754">
        <v>51</v>
      </c>
    </row>
    <row r="15755" spans="1:17" x14ac:dyDescent="0.2">
      <c r="A15755" s="121">
        <v>44712</v>
      </c>
      <c r="B15755" t="s">
        <v>406</v>
      </c>
      <c r="C15755" t="s">
        <v>510</v>
      </c>
      <c r="D15755" t="s">
        <v>535</v>
      </c>
      <c r="E15755" t="s">
        <v>536</v>
      </c>
      <c r="F15755" t="s">
        <v>410</v>
      </c>
      <c r="G15755">
        <v>363</v>
      </c>
      <c r="I15755">
        <v>363</v>
      </c>
    </row>
    <row r="15756" spans="1:17" x14ac:dyDescent="0.2">
      <c r="A15756" s="121">
        <v>44712</v>
      </c>
      <c r="B15756" t="s">
        <v>406</v>
      </c>
      <c r="C15756" t="s">
        <v>510</v>
      </c>
      <c r="D15756" t="s">
        <v>539</v>
      </c>
      <c r="E15756" t="s">
        <v>540</v>
      </c>
      <c r="F15756" t="s">
        <v>413</v>
      </c>
      <c r="G15756">
        <v>975</v>
      </c>
      <c r="H15756">
        <v>975</v>
      </c>
      <c r="I15756">
        <v>892</v>
      </c>
      <c r="J15756">
        <v>892</v>
      </c>
      <c r="K15756">
        <v>128</v>
      </c>
      <c r="L15756">
        <v>1</v>
      </c>
      <c r="M15756">
        <v>785</v>
      </c>
      <c r="N15756">
        <v>30</v>
      </c>
      <c r="O15756">
        <v>31</v>
      </c>
      <c r="P15756">
        <v>1</v>
      </c>
      <c r="Q15756">
        <v>0</v>
      </c>
    </row>
    <row r="15757" spans="1:17" x14ac:dyDescent="0.2">
      <c r="A15757" s="121">
        <v>44712</v>
      </c>
      <c r="B15757" t="s">
        <v>406</v>
      </c>
      <c r="C15757" t="s">
        <v>510</v>
      </c>
      <c r="D15757" t="s">
        <v>543</v>
      </c>
      <c r="E15757" t="s">
        <v>544</v>
      </c>
      <c r="F15757" t="s">
        <v>410</v>
      </c>
      <c r="G15757">
        <v>16</v>
      </c>
      <c r="I15757">
        <v>16</v>
      </c>
    </row>
    <row r="15758" spans="1:17" x14ac:dyDescent="0.2">
      <c r="A15758" s="121">
        <v>44712</v>
      </c>
      <c r="B15758" t="s">
        <v>406</v>
      </c>
      <c r="C15758" t="s">
        <v>510</v>
      </c>
      <c r="D15758" t="s">
        <v>547</v>
      </c>
      <c r="E15758" t="s">
        <v>548</v>
      </c>
      <c r="F15758" t="s">
        <v>410</v>
      </c>
      <c r="G15758">
        <v>48</v>
      </c>
      <c r="I15758">
        <v>48</v>
      </c>
    </row>
    <row r="15759" spans="1:17" x14ac:dyDescent="0.2">
      <c r="A15759" s="121">
        <v>44712</v>
      </c>
      <c r="B15759" t="s">
        <v>406</v>
      </c>
      <c r="C15759" t="s">
        <v>510</v>
      </c>
      <c r="D15759" t="s">
        <v>616</v>
      </c>
      <c r="E15759" t="s">
        <v>617</v>
      </c>
      <c r="F15759" t="s">
        <v>410</v>
      </c>
      <c r="G15759">
        <v>338</v>
      </c>
      <c r="I15759">
        <v>332</v>
      </c>
    </row>
    <row r="15760" spans="1:17" x14ac:dyDescent="0.2">
      <c r="A15760" s="121">
        <v>44712</v>
      </c>
      <c r="B15760" t="s">
        <v>406</v>
      </c>
      <c r="C15760" t="s">
        <v>510</v>
      </c>
      <c r="D15760" t="s">
        <v>549</v>
      </c>
      <c r="E15760" t="s">
        <v>550</v>
      </c>
      <c r="F15760" t="s">
        <v>410</v>
      </c>
      <c r="G15760">
        <v>72</v>
      </c>
      <c r="I15760">
        <v>72</v>
      </c>
    </row>
    <row r="15761" spans="1:17" x14ac:dyDescent="0.2">
      <c r="A15761" s="121">
        <v>44712</v>
      </c>
      <c r="B15761" t="s">
        <v>406</v>
      </c>
      <c r="C15761" t="s">
        <v>510</v>
      </c>
      <c r="D15761" t="s">
        <v>625</v>
      </c>
      <c r="E15761" t="s">
        <v>626</v>
      </c>
      <c r="F15761" t="s">
        <v>410</v>
      </c>
      <c r="G15761">
        <v>133</v>
      </c>
      <c r="I15761">
        <v>131</v>
      </c>
    </row>
    <row r="15762" spans="1:17" x14ac:dyDescent="0.2">
      <c r="A15762" s="121">
        <v>44712</v>
      </c>
      <c r="B15762" t="s">
        <v>406</v>
      </c>
      <c r="C15762" t="s">
        <v>510</v>
      </c>
      <c r="D15762" t="s">
        <v>634</v>
      </c>
      <c r="E15762" t="s">
        <v>635</v>
      </c>
      <c r="F15762" t="s">
        <v>410</v>
      </c>
      <c r="G15762">
        <v>474</v>
      </c>
      <c r="I15762">
        <v>460</v>
      </c>
    </row>
    <row r="15763" spans="1:17" x14ac:dyDescent="0.2">
      <c r="A15763" s="121">
        <v>44712</v>
      </c>
      <c r="B15763" t="s">
        <v>406</v>
      </c>
      <c r="C15763" t="s">
        <v>551</v>
      </c>
      <c r="D15763" t="s">
        <v>552</v>
      </c>
      <c r="E15763" t="s">
        <v>553</v>
      </c>
      <c r="F15763" t="s">
        <v>413</v>
      </c>
      <c r="G15763">
        <v>6059</v>
      </c>
      <c r="H15763">
        <v>6059</v>
      </c>
      <c r="I15763">
        <v>4501</v>
      </c>
      <c r="J15763">
        <v>4501</v>
      </c>
      <c r="K15763">
        <v>1867</v>
      </c>
      <c r="L15763">
        <v>5</v>
      </c>
      <c r="M15763">
        <v>4073</v>
      </c>
      <c r="N15763">
        <v>100</v>
      </c>
      <c r="O15763">
        <v>14</v>
      </c>
      <c r="P15763">
        <v>273</v>
      </c>
      <c r="Q15763">
        <v>49</v>
      </c>
    </row>
    <row r="15764" spans="1:17" x14ac:dyDescent="0.2">
      <c r="A15764" s="121">
        <v>44712</v>
      </c>
      <c r="B15764" t="s">
        <v>406</v>
      </c>
      <c r="C15764" t="s">
        <v>551</v>
      </c>
      <c r="D15764" t="s">
        <v>558</v>
      </c>
      <c r="E15764" t="s">
        <v>559</v>
      </c>
      <c r="F15764" t="s">
        <v>413</v>
      </c>
      <c r="G15764">
        <v>5594</v>
      </c>
      <c r="H15764">
        <v>5594</v>
      </c>
      <c r="I15764">
        <v>3246</v>
      </c>
      <c r="J15764">
        <v>3246</v>
      </c>
      <c r="K15764">
        <v>1429</v>
      </c>
      <c r="L15764">
        <v>8</v>
      </c>
      <c r="M15764">
        <v>3998</v>
      </c>
      <c r="N15764">
        <v>111</v>
      </c>
      <c r="O15764">
        <v>48</v>
      </c>
      <c r="P15764">
        <v>465</v>
      </c>
      <c r="Q15764">
        <v>85</v>
      </c>
    </row>
    <row r="15765" spans="1:17" x14ac:dyDescent="0.2">
      <c r="A15765" s="121">
        <v>44712</v>
      </c>
      <c r="B15765" t="s">
        <v>406</v>
      </c>
      <c r="C15765" t="s">
        <v>551</v>
      </c>
      <c r="D15765" t="s">
        <v>560</v>
      </c>
      <c r="E15765" t="s">
        <v>561</v>
      </c>
      <c r="F15765" t="s">
        <v>413</v>
      </c>
      <c r="G15765">
        <v>6354</v>
      </c>
      <c r="H15765">
        <v>6354</v>
      </c>
      <c r="I15765">
        <v>3549</v>
      </c>
      <c r="J15765">
        <v>3549</v>
      </c>
      <c r="K15765">
        <v>2103</v>
      </c>
      <c r="L15765">
        <v>3</v>
      </c>
      <c r="M15765">
        <v>4094</v>
      </c>
      <c r="N15765">
        <v>63</v>
      </c>
      <c r="O15765">
        <v>91</v>
      </c>
      <c r="P15765">
        <v>1069</v>
      </c>
      <c r="Q15765">
        <v>249</v>
      </c>
    </row>
    <row r="15766" spans="1:17" x14ac:dyDescent="0.2">
      <c r="A15766" s="121">
        <v>44712</v>
      </c>
      <c r="B15766" t="s">
        <v>406</v>
      </c>
      <c r="C15766" t="s">
        <v>562</v>
      </c>
      <c r="D15766" t="s">
        <v>563</v>
      </c>
      <c r="E15766" t="s">
        <v>564</v>
      </c>
      <c r="F15766" t="s">
        <v>410</v>
      </c>
      <c r="G15766">
        <v>3441</v>
      </c>
      <c r="H15766">
        <v>3441</v>
      </c>
      <c r="I15766">
        <v>2100</v>
      </c>
      <c r="J15766">
        <v>2100</v>
      </c>
      <c r="K15766">
        <v>1154</v>
      </c>
      <c r="L15766">
        <v>2</v>
      </c>
      <c r="M15766">
        <v>2265</v>
      </c>
      <c r="N15766">
        <v>0</v>
      </c>
      <c r="O15766">
        <v>20</v>
      </c>
      <c r="P15766">
        <v>415</v>
      </c>
      <c r="Q15766">
        <v>195</v>
      </c>
    </row>
    <row r="15767" spans="1:17" x14ac:dyDescent="0.2">
      <c r="A15767" s="121">
        <v>44712</v>
      </c>
      <c r="B15767" t="s">
        <v>406</v>
      </c>
      <c r="C15767" t="s">
        <v>562</v>
      </c>
      <c r="D15767" t="s">
        <v>565</v>
      </c>
      <c r="E15767" t="s">
        <v>566</v>
      </c>
      <c r="F15767" t="s">
        <v>413</v>
      </c>
      <c r="G15767">
        <v>5137</v>
      </c>
      <c r="H15767">
        <v>5137</v>
      </c>
      <c r="I15767">
        <v>3619</v>
      </c>
      <c r="J15767">
        <v>3619</v>
      </c>
      <c r="K15767">
        <v>896</v>
      </c>
      <c r="L15767">
        <v>1</v>
      </c>
      <c r="M15767">
        <v>3493</v>
      </c>
      <c r="N15767">
        <v>75</v>
      </c>
      <c r="O15767">
        <v>672</v>
      </c>
      <c r="P15767">
        <v>504</v>
      </c>
      <c r="Q15767">
        <v>211</v>
      </c>
    </row>
    <row r="15768" spans="1:17" x14ac:dyDescent="0.2">
      <c r="A15768" s="121">
        <v>44712</v>
      </c>
      <c r="B15768" t="s">
        <v>406</v>
      </c>
      <c r="C15768" t="s">
        <v>562</v>
      </c>
      <c r="D15768" t="s">
        <v>567</v>
      </c>
      <c r="E15768" t="s">
        <v>568</v>
      </c>
      <c r="F15768" t="s">
        <v>413</v>
      </c>
      <c r="G15768">
        <v>10399</v>
      </c>
      <c r="H15768">
        <v>10399</v>
      </c>
      <c r="I15768">
        <v>5244</v>
      </c>
      <c r="J15768">
        <v>5244</v>
      </c>
      <c r="K15768">
        <v>2970</v>
      </c>
      <c r="L15768">
        <v>2</v>
      </c>
      <c r="M15768">
        <v>7225</v>
      </c>
      <c r="N15768">
        <v>138</v>
      </c>
      <c r="O15768">
        <v>64</v>
      </c>
      <c r="P15768">
        <v>1671</v>
      </c>
      <c r="Q15768">
        <v>806</v>
      </c>
    </row>
    <row r="15769" spans="1:17" x14ac:dyDescent="0.2">
      <c r="A15769" s="121">
        <v>44712</v>
      </c>
      <c r="B15769" t="s">
        <v>406</v>
      </c>
      <c r="C15769" t="s">
        <v>562</v>
      </c>
      <c r="D15769" t="s">
        <v>569</v>
      </c>
      <c r="E15769" t="s">
        <v>570</v>
      </c>
      <c r="F15769" t="s">
        <v>413</v>
      </c>
      <c r="G15769">
        <v>5395</v>
      </c>
      <c r="H15769">
        <v>5395</v>
      </c>
      <c r="I15769">
        <v>5066</v>
      </c>
      <c r="J15769">
        <v>5066</v>
      </c>
      <c r="K15769">
        <v>635</v>
      </c>
      <c r="L15769">
        <v>0</v>
      </c>
      <c r="M15769">
        <v>4575</v>
      </c>
      <c r="N15769">
        <v>142</v>
      </c>
      <c r="O15769">
        <v>43</v>
      </c>
      <c r="P15769">
        <v>10</v>
      </c>
      <c r="Q15769">
        <v>4</v>
      </c>
    </row>
    <row r="15770" spans="1:17" x14ac:dyDescent="0.2">
      <c r="A15770" s="121">
        <v>44712</v>
      </c>
      <c r="B15770" t="s">
        <v>406</v>
      </c>
      <c r="C15770" t="s">
        <v>571</v>
      </c>
      <c r="D15770" t="s">
        <v>572</v>
      </c>
      <c r="E15770" t="s">
        <v>627</v>
      </c>
      <c r="F15770" t="s">
        <v>413</v>
      </c>
      <c r="G15770">
        <v>630</v>
      </c>
      <c r="H15770">
        <v>630</v>
      </c>
      <c r="I15770">
        <v>600</v>
      </c>
      <c r="J15770">
        <v>600</v>
      </c>
      <c r="K15770">
        <v>139</v>
      </c>
      <c r="L15770">
        <v>0</v>
      </c>
      <c r="M15770">
        <v>475</v>
      </c>
      <c r="N15770">
        <v>6</v>
      </c>
      <c r="O15770">
        <v>10</v>
      </c>
      <c r="P15770">
        <v>2</v>
      </c>
      <c r="Q15770">
        <v>0</v>
      </c>
    </row>
    <row r="15771" spans="1:17" x14ac:dyDescent="0.2">
      <c r="A15771" s="121">
        <v>44712</v>
      </c>
      <c r="B15771" t="s">
        <v>406</v>
      </c>
      <c r="C15771" t="s">
        <v>574</v>
      </c>
      <c r="D15771" t="s">
        <v>575</v>
      </c>
      <c r="E15771" t="s">
        <v>576</v>
      </c>
      <c r="F15771" t="s">
        <v>413</v>
      </c>
      <c r="G15771">
        <v>706</v>
      </c>
      <c r="H15771">
        <v>706</v>
      </c>
      <c r="I15771">
        <v>669</v>
      </c>
      <c r="J15771">
        <v>669</v>
      </c>
      <c r="K15771">
        <v>155</v>
      </c>
      <c r="L15771">
        <v>3</v>
      </c>
      <c r="M15771">
        <v>531</v>
      </c>
      <c r="N15771">
        <v>4</v>
      </c>
      <c r="O15771">
        <v>13</v>
      </c>
      <c r="P15771">
        <v>1</v>
      </c>
      <c r="Q15771">
        <v>0</v>
      </c>
    </row>
    <row r="15772" spans="1:17" x14ac:dyDescent="0.2">
      <c r="A15772" s="121">
        <v>44712</v>
      </c>
      <c r="B15772" t="s">
        <v>406</v>
      </c>
      <c r="C15772" t="s">
        <v>577</v>
      </c>
      <c r="D15772" t="s">
        <v>578</v>
      </c>
      <c r="E15772" t="s">
        <v>579</v>
      </c>
      <c r="F15772" t="s">
        <v>413</v>
      </c>
      <c r="G15772">
        <v>5321</v>
      </c>
      <c r="H15772">
        <v>5321</v>
      </c>
      <c r="I15772">
        <v>4849</v>
      </c>
      <c r="J15772">
        <v>4849</v>
      </c>
      <c r="K15772">
        <v>1691</v>
      </c>
      <c r="L15772">
        <v>8</v>
      </c>
      <c r="M15772">
        <v>3297</v>
      </c>
      <c r="N15772">
        <v>237</v>
      </c>
      <c r="O15772">
        <v>88</v>
      </c>
      <c r="P15772">
        <v>23</v>
      </c>
      <c r="Q15772">
        <v>3</v>
      </c>
    </row>
    <row r="15773" spans="1:17" x14ac:dyDescent="0.2">
      <c r="A15773" s="121">
        <v>44712</v>
      </c>
      <c r="B15773" t="s">
        <v>406</v>
      </c>
      <c r="C15773" t="s">
        <v>577</v>
      </c>
      <c r="D15773" t="s">
        <v>580</v>
      </c>
      <c r="E15773" t="s">
        <v>581</v>
      </c>
      <c r="F15773" t="s">
        <v>413</v>
      </c>
      <c r="G15773">
        <v>2114</v>
      </c>
      <c r="H15773">
        <v>2114</v>
      </c>
      <c r="I15773">
        <v>1934</v>
      </c>
      <c r="J15773">
        <v>1934</v>
      </c>
      <c r="K15773">
        <v>236</v>
      </c>
      <c r="L15773">
        <v>0</v>
      </c>
      <c r="M15773">
        <v>1664</v>
      </c>
      <c r="N15773">
        <v>193</v>
      </c>
      <c r="O15773">
        <v>21</v>
      </c>
      <c r="P15773">
        <v>15</v>
      </c>
      <c r="Q15773">
        <v>0</v>
      </c>
    </row>
    <row r="15774" spans="1:17" x14ac:dyDescent="0.2">
      <c r="A15774" s="121">
        <v>44712</v>
      </c>
      <c r="B15774" t="s">
        <v>406</v>
      </c>
      <c r="C15774" t="s">
        <v>577</v>
      </c>
      <c r="D15774" t="s">
        <v>586</v>
      </c>
      <c r="E15774" t="s">
        <v>587</v>
      </c>
      <c r="F15774" t="s">
        <v>410</v>
      </c>
      <c r="G15774">
        <v>689</v>
      </c>
      <c r="H15774">
        <v>689</v>
      </c>
      <c r="I15774">
        <v>689</v>
      </c>
      <c r="J15774">
        <v>689</v>
      </c>
      <c r="K15774">
        <v>0</v>
      </c>
      <c r="L15774">
        <v>0</v>
      </c>
      <c r="M15774">
        <v>633</v>
      </c>
      <c r="N15774">
        <v>56</v>
      </c>
      <c r="O15774">
        <v>0</v>
      </c>
      <c r="P15774">
        <v>0</v>
      </c>
      <c r="Q15774">
        <v>0</v>
      </c>
    </row>
    <row r="15775" spans="1:17" x14ac:dyDescent="0.2">
      <c r="A15775" s="121">
        <v>44712</v>
      </c>
      <c r="B15775" t="s">
        <v>406</v>
      </c>
      <c r="C15775" t="s">
        <v>577</v>
      </c>
      <c r="D15775" t="s">
        <v>590</v>
      </c>
      <c r="E15775" t="s">
        <v>591</v>
      </c>
      <c r="F15775" t="s">
        <v>410</v>
      </c>
      <c r="G15775">
        <v>283</v>
      </c>
      <c r="H15775">
        <v>283</v>
      </c>
      <c r="I15775">
        <v>283</v>
      </c>
      <c r="J15775">
        <v>283</v>
      </c>
      <c r="K15775">
        <v>0</v>
      </c>
      <c r="L15775">
        <v>0</v>
      </c>
      <c r="M15775">
        <v>270</v>
      </c>
      <c r="N15775">
        <v>13</v>
      </c>
      <c r="O15775">
        <v>0</v>
      </c>
      <c r="P15775">
        <v>0</v>
      </c>
      <c r="Q15775">
        <v>0</v>
      </c>
    </row>
    <row r="15776" spans="1:17" x14ac:dyDescent="0.2">
      <c r="A15776" s="121">
        <v>44712</v>
      </c>
      <c r="B15776" t="s">
        <v>406</v>
      </c>
      <c r="C15776" t="s">
        <v>594</v>
      </c>
      <c r="D15776" t="s">
        <v>595</v>
      </c>
      <c r="E15776" t="s">
        <v>596</v>
      </c>
      <c r="F15776" t="s">
        <v>410</v>
      </c>
      <c r="G15776">
        <v>45</v>
      </c>
      <c r="I15776">
        <v>45</v>
      </c>
    </row>
    <row r="15777" spans="1:17" x14ac:dyDescent="0.2">
      <c r="A15777" s="121">
        <v>44712</v>
      </c>
      <c r="B15777" t="s">
        <v>406</v>
      </c>
      <c r="C15777" t="s">
        <v>594</v>
      </c>
      <c r="D15777" t="s">
        <v>597</v>
      </c>
      <c r="E15777" t="s">
        <v>598</v>
      </c>
      <c r="F15777" t="s">
        <v>413</v>
      </c>
      <c r="G15777">
        <v>500</v>
      </c>
      <c r="H15777">
        <v>500</v>
      </c>
      <c r="I15777">
        <v>480</v>
      </c>
      <c r="J15777">
        <v>480</v>
      </c>
      <c r="K15777">
        <v>161</v>
      </c>
      <c r="L15777">
        <v>1</v>
      </c>
      <c r="M15777">
        <v>327</v>
      </c>
      <c r="N15777">
        <v>6</v>
      </c>
      <c r="O15777">
        <v>5</v>
      </c>
      <c r="P15777">
        <v>1</v>
      </c>
      <c r="Q15777">
        <v>0</v>
      </c>
    </row>
    <row r="15778" spans="1:17" x14ac:dyDescent="0.2">
      <c r="A15778" s="121">
        <v>44712</v>
      </c>
      <c r="B15778" t="s">
        <v>406</v>
      </c>
      <c r="C15778" t="s">
        <v>594</v>
      </c>
      <c r="D15778" t="s">
        <v>599</v>
      </c>
      <c r="E15778" t="s">
        <v>600</v>
      </c>
      <c r="F15778" t="s">
        <v>410</v>
      </c>
      <c r="G15778">
        <v>122</v>
      </c>
      <c r="H15778">
        <v>122</v>
      </c>
      <c r="I15778">
        <v>120</v>
      </c>
      <c r="J15778">
        <v>120</v>
      </c>
      <c r="K15778">
        <v>8</v>
      </c>
      <c r="L15778">
        <v>0</v>
      </c>
      <c r="M15778">
        <v>111</v>
      </c>
      <c r="N15778">
        <v>3</v>
      </c>
      <c r="O15778">
        <v>0</v>
      </c>
      <c r="P15778">
        <v>0</v>
      </c>
      <c r="Q15778">
        <v>0</v>
      </c>
    </row>
    <row r="15779" spans="1:17" x14ac:dyDescent="0.2">
      <c r="A15779" s="121">
        <v>44742</v>
      </c>
      <c r="B15779" t="s">
        <v>406</v>
      </c>
      <c r="C15779" t="s">
        <v>407</v>
      </c>
      <c r="D15779" t="s">
        <v>408</v>
      </c>
      <c r="E15779" t="s">
        <v>409</v>
      </c>
      <c r="F15779" t="s">
        <v>410</v>
      </c>
      <c r="G15779">
        <v>233</v>
      </c>
      <c r="I15779">
        <v>226</v>
      </c>
    </row>
    <row r="15780" spans="1:17" x14ac:dyDescent="0.2">
      <c r="A15780" s="121">
        <v>44742</v>
      </c>
      <c r="B15780" t="s">
        <v>406</v>
      </c>
      <c r="C15780" t="s">
        <v>407</v>
      </c>
      <c r="D15780" t="s">
        <v>601</v>
      </c>
      <c r="E15780" t="s">
        <v>602</v>
      </c>
      <c r="F15780" t="s">
        <v>410</v>
      </c>
      <c r="G15780">
        <v>88</v>
      </c>
      <c r="I15780">
        <v>87</v>
      </c>
    </row>
    <row r="15781" spans="1:17" x14ac:dyDescent="0.2">
      <c r="A15781" s="121">
        <v>44742</v>
      </c>
      <c r="B15781" t="s">
        <v>406</v>
      </c>
      <c r="C15781" t="s">
        <v>407</v>
      </c>
      <c r="D15781" t="s">
        <v>411</v>
      </c>
      <c r="E15781" t="s">
        <v>412</v>
      </c>
      <c r="F15781" t="s">
        <v>413</v>
      </c>
      <c r="G15781">
        <v>5373</v>
      </c>
      <c r="H15781">
        <v>5373</v>
      </c>
      <c r="I15781">
        <v>3673</v>
      </c>
      <c r="J15781">
        <v>3673</v>
      </c>
      <c r="K15781">
        <v>1471</v>
      </c>
      <c r="L15781">
        <v>9</v>
      </c>
      <c r="M15781">
        <v>3452</v>
      </c>
      <c r="N15781">
        <v>46</v>
      </c>
      <c r="O15781">
        <v>395</v>
      </c>
      <c r="P15781">
        <v>742</v>
      </c>
      <c r="Q15781">
        <v>476</v>
      </c>
    </row>
    <row r="15782" spans="1:17" x14ac:dyDescent="0.2">
      <c r="A15782" s="121">
        <v>44742</v>
      </c>
      <c r="B15782" t="s">
        <v>406</v>
      </c>
      <c r="C15782" t="s">
        <v>407</v>
      </c>
      <c r="D15782" t="s">
        <v>416</v>
      </c>
      <c r="E15782" t="s">
        <v>417</v>
      </c>
      <c r="F15782" t="s">
        <v>413</v>
      </c>
      <c r="G15782">
        <v>2677</v>
      </c>
      <c r="H15782">
        <v>2677</v>
      </c>
      <c r="I15782">
        <v>1766</v>
      </c>
      <c r="J15782">
        <v>1766</v>
      </c>
      <c r="K15782">
        <v>504</v>
      </c>
      <c r="L15782">
        <v>8</v>
      </c>
      <c r="M15782">
        <v>1999</v>
      </c>
      <c r="N15782">
        <v>83</v>
      </c>
      <c r="O15782">
        <v>83</v>
      </c>
      <c r="P15782">
        <v>485</v>
      </c>
      <c r="Q15782">
        <v>308</v>
      </c>
    </row>
    <row r="15783" spans="1:17" x14ac:dyDescent="0.2">
      <c r="A15783" s="121">
        <v>44742</v>
      </c>
      <c r="B15783" t="s">
        <v>406</v>
      </c>
      <c r="C15783" t="s">
        <v>407</v>
      </c>
      <c r="D15783" t="s">
        <v>618</v>
      </c>
      <c r="E15783" t="s">
        <v>619</v>
      </c>
      <c r="F15783" t="s">
        <v>410</v>
      </c>
      <c r="G15783">
        <v>80</v>
      </c>
      <c r="I15783">
        <v>80</v>
      </c>
    </row>
    <row r="15784" spans="1:17" x14ac:dyDescent="0.2">
      <c r="A15784" s="121">
        <v>44742</v>
      </c>
      <c r="B15784" t="s">
        <v>406</v>
      </c>
      <c r="C15784" t="s">
        <v>418</v>
      </c>
      <c r="D15784" t="s">
        <v>427</v>
      </c>
      <c r="E15784" t="s">
        <v>428</v>
      </c>
      <c r="F15784" t="s">
        <v>413</v>
      </c>
      <c r="G15784">
        <v>2598</v>
      </c>
      <c r="H15784">
        <v>2598</v>
      </c>
      <c r="I15784">
        <v>1701</v>
      </c>
      <c r="J15784">
        <v>1701</v>
      </c>
      <c r="K15784">
        <v>738</v>
      </c>
      <c r="L15784">
        <v>6</v>
      </c>
      <c r="M15784">
        <v>1752</v>
      </c>
      <c r="N15784">
        <v>88</v>
      </c>
      <c r="O15784">
        <v>14</v>
      </c>
      <c r="P15784">
        <v>334</v>
      </c>
      <c r="Q15784">
        <v>204</v>
      </c>
    </row>
    <row r="15785" spans="1:17" x14ac:dyDescent="0.2">
      <c r="A15785" s="121">
        <v>44742</v>
      </c>
      <c r="B15785" t="s">
        <v>406</v>
      </c>
      <c r="C15785" t="s">
        <v>429</v>
      </c>
      <c r="D15785" t="s">
        <v>438</v>
      </c>
      <c r="E15785" t="s">
        <v>439</v>
      </c>
      <c r="F15785" t="s">
        <v>413</v>
      </c>
      <c r="G15785">
        <v>1136</v>
      </c>
      <c r="H15785">
        <v>1136</v>
      </c>
      <c r="I15785">
        <v>1020</v>
      </c>
      <c r="J15785">
        <v>1020</v>
      </c>
      <c r="K15785">
        <v>65</v>
      </c>
      <c r="L15785">
        <v>3</v>
      </c>
      <c r="M15785">
        <v>953</v>
      </c>
      <c r="N15785">
        <v>76</v>
      </c>
      <c r="O15785">
        <v>39</v>
      </c>
      <c r="P15785">
        <v>22</v>
      </c>
      <c r="Q15785">
        <v>3</v>
      </c>
    </row>
    <row r="15786" spans="1:17" x14ac:dyDescent="0.2">
      <c r="A15786" s="121">
        <v>44742</v>
      </c>
      <c r="B15786" t="s">
        <v>406</v>
      </c>
      <c r="C15786" t="s">
        <v>429</v>
      </c>
      <c r="D15786" t="s">
        <v>440</v>
      </c>
      <c r="E15786" t="s">
        <v>441</v>
      </c>
      <c r="F15786" t="s">
        <v>413</v>
      </c>
      <c r="G15786">
        <v>2924</v>
      </c>
      <c r="H15786">
        <v>2924</v>
      </c>
      <c r="I15786">
        <v>2202</v>
      </c>
      <c r="J15786">
        <v>2202</v>
      </c>
      <c r="K15786">
        <v>760</v>
      </c>
      <c r="L15786">
        <v>6</v>
      </c>
      <c r="M15786">
        <v>2055</v>
      </c>
      <c r="N15786">
        <v>21</v>
      </c>
      <c r="O15786">
        <v>82</v>
      </c>
      <c r="P15786">
        <v>163</v>
      </c>
      <c r="Q15786">
        <v>32</v>
      </c>
    </row>
    <row r="15787" spans="1:17" x14ac:dyDescent="0.2">
      <c r="A15787" s="121">
        <v>44742</v>
      </c>
      <c r="B15787" t="s">
        <v>406</v>
      </c>
      <c r="C15787" t="s">
        <v>442</v>
      </c>
      <c r="D15787" t="s">
        <v>443</v>
      </c>
      <c r="E15787" t="s">
        <v>444</v>
      </c>
      <c r="F15787" t="s">
        <v>413</v>
      </c>
      <c r="G15787">
        <v>6095</v>
      </c>
      <c r="H15787">
        <v>6095</v>
      </c>
      <c r="I15787">
        <v>4138</v>
      </c>
      <c r="J15787">
        <v>4138</v>
      </c>
      <c r="K15787">
        <v>1721</v>
      </c>
      <c r="L15787">
        <v>12</v>
      </c>
      <c r="M15787">
        <v>4116</v>
      </c>
      <c r="N15787">
        <v>67</v>
      </c>
      <c r="O15787">
        <v>179</v>
      </c>
      <c r="P15787">
        <v>358</v>
      </c>
      <c r="Q15787">
        <v>55</v>
      </c>
    </row>
    <row r="15788" spans="1:17" x14ac:dyDescent="0.2">
      <c r="A15788" s="121">
        <v>44742</v>
      </c>
      <c r="B15788" t="s">
        <v>406</v>
      </c>
      <c r="C15788" t="s">
        <v>442</v>
      </c>
      <c r="D15788" t="s">
        <v>445</v>
      </c>
      <c r="E15788" t="s">
        <v>446</v>
      </c>
      <c r="F15788" t="s">
        <v>410</v>
      </c>
      <c r="G15788">
        <v>190</v>
      </c>
      <c r="H15788">
        <v>190</v>
      </c>
      <c r="I15788">
        <v>190</v>
      </c>
      <c r="J15788">
        <v>190</v>
      </c>
      <c r="K15788">
        <v>5</v>
      </c>
      <c r="L15788">
        <v>0</v>
      </c>
      <c r="M15788">
        <v>177</v>
      </c>
      <c r="N15788">
        <v>3</v>
      </c>
      <c r="O15788">
        <v>5</v>
      </c>
      <c r="P15788">
        <v>0</v>
      </c>
      <c r="Q15788">
        <v>0</v>
      </c>
    </row>
    <row r="15789" spans="1:17" x14ac:dyDescent="0.2">
      <c r="A15789" s="121">
        <v>44742</v>
      </c>
      <c r="B15789" t="s">
        <v>406</v>
      </c>
      <c r="C15789" t="s">
        <v>442</v>
      </c>
      <c r="D15789" t="s">
        <v>447</v>
      </c>
      <c r="E15789" t="s">
        <v>448</v>
      </c>
      <c r="F15789" t="s">
        <v>410</v>
      </c>
      <c r="G15789">
        <v>301</v>
      </c>
      <c r="H15789">
        <v>301</v>
      </c>
      <c r="I15789">
        <v>301</v>
      </c>
      <c r="J15789">
        <v>301</v>
      </c>
      <c r="K15789">
        <v>0</v>
      </c>
      <c r="L15789">
        <v>0</v>
      </c>
      <c r="M15789">
        <v>288</v>
      </c>
      <c r="N15789">
        <v>11</v>
      </c>
      <c r="O15789">
        <v>2</v>
      </c>
      <c r="P15789">
        <v>0</v>
      </c>
      <c r="Q15789">
        <v>0</v>
      </c>
    </row>
    <row r="15790" spans="1:17" x14ac:dyDescent="0.2">
      <c r="A15790" s="121">
        <v>44742</v>
      </c>
      <c r="B15790" t="s">
        <v>406</v>
      </c>
      <c r="C15790" t="s">
        <v>442</v>
      </c>
      <c r="D15790" t="s">
        <v>449</v>
      </c>
      <c r="E15790" t="s">
        <v>624</v>
      </c>
      <c r="F15790" t="s">
        <v>410</v>
      </c>
      <c r="G15790">
        <v>1220</v>
      </c>
      <c r="H15790">
        <v>1220</v>
      </c>
      <c r="I15790">
        <v>1215</v>
      </c>
      <c r="J15790">
        <v>1215</v>
      </c>
      <c r="K15790">
        <v>1</v>
      </c>
      <c r="L15790">
        <v>0</v>
      </c>
      <c r="M15790">
        <v>1154</v>
      </c>
      <c r="N15790">
        <v>49</v>
      </c>
      <c r="O15790">
        <v>16</v>
      </c>
      <c r="P15790">
        <v>1</v>
      </c>
      <c r="Q15790">
        <v>0</v>
      </c>
    </row>
    <row r="15791" spans="1:17" x14ac:dyDescent="0.2">
      <c r="A15791" s="121">
        <v>44742</v>
      </c>
      <c r="B15791" t="s">
        <v>406</v>
      </c>
      <c r="C15791" t="s">
        <v>451</v>
      </c>
      <c r="D15791" t="s">
        <v>454</v>
      </c>
      <c r="E15791" t="s">
        <v>621</v>
      </c>
      <c r="F15791" t="s">
        <v>410</v>
      </c>
      <c r="G15791">
        <v>2012</v>
      </c>
      <c r="H15791">
        <v>2012</v>
      </c>
      <c r="I15791">
        <v>1998</v>
      </c>
      <c r="J15791">
        <v>1998</v>
      </c>
      <c r="K15791">
        <v>2</v>
      </c>
      <c r="L15791">
        <v>0</v>
      </c>
      <c r="M15791">
        <v>1861</v>
      </c>
      <c r="N15791">
        <v>4</v>
      </c>
      <c r="O15791">
        <v>145</v>
      </c>
      <c r="P15791">
        <v>0</v>
      </c>
      <c r="Q15791">
        <v>0</v>
      </c>
    </row>
    <row r="15792" spans="1:17" x14ac:dyDescent="0.2">
      <c r="A15792" s="121">
        <v>44742</v>
      </c>
      <c r="B15792" t="s">
        <v>406</v>
      </c>
      <c r="C15792" t="s">
        <v>451</v>
      </c>
      <c r="D15792" t="s">
        <v>622</v>
      </c>
      <c r="E15792" t="s">
        <v>623</v>
      </c>
      <c r="F15792" t="s">
        <v>413</v>
      </c>
      <c r="G15792">
        <v>5314</v>
      </c>
      <c r="H15792">
        <v>5314</v>
      </c>
      <c r="I15792">
        <v>2597</v>
      </c>
      <c r="J15792">
        <v>2597</v>
      </c>
      <c r="K15792">
        <v>1624</v>
      </c>
      <c r="L15792">
        <v>3</v>
      </c>
      <c r="M15792">
        <v>3047</v>
      </c>
      <c r="N15792">
        <v>40</v>
      </c>
      <c r="O15792">
        <v>600</v>
      </c>
      <c r="P15792">
        <v>849</v>
      </c>
      <c r="Q15792">
        <v>243</v>
      </c>
    </row>
    <row r="15793" spans="1:17" x14ac:dyDescent="0.2">
      <c r="A15793" s="121">
        <v>44742</v>
      </c>
      <c r="B15793" t="s">
        <v>406</v>
      </c>
      <c r="C15793" t="s">
        <v>456</v>
      </c>
      <c r="D15793" t="s">
        <v>457</v>
      </c>
      <c r="E15793" t="s">
        <v>458</v>
      </c>
      <c r="F15793" t="s">
        <v>413</v>
      </c>
      <c r="G15793">
        <v>4508</v>
      </c>
      <c r="H15793">
        <v>4508</v>
      </c>
      <c r="I15793">
        <v>2514</v>
      </c>
      <c r="J15793">
        <v>2514</v>
      </c>
      <c r="K15793">
        <v>1412</v>
      </c>
      <c r="L15793">
        <v>11</v>
      </c>
      <c r="M15793">
        <v>2840</v>
      </c>
      <c r="N15793">
        <v>25</v>
      </c>
      <c r="O15793">
        <v>220</v>
      </c>
      <c r="P15793">
        <v>476</v>
      </c>
      <c r="Q15793">
        <v>92</v>
      </c>
    </row>
    <row r="15794" spans="1:17" x14ac:dyDescent="0.2">
      <c r="A15794" s="121">
        <v>44742</v>
      </c>
      <c r="B15794" t="s">
        <v>406</v>
      </c>
      <c r="C15794" t="s">
        <v>456</v>
      </c>
      <c r="D15794" t="s">
        <v>459</v>
      </c>
      <c r="E15794" t="s">
        <v>460</v>
      </c>
      <c r="F15794" t="s">
        <v>413</v>
      </c>
      <c r="G15794">
        <v>1615</v>
      </c>
      <c r="H15794">
        <v>1615</v>
      </c>
      <c r="I15794">
        <v>1460</v>
      </c>
      <c r="J15794">
        <v>1460</v>
      </c>
      <c r="K15794">
        <v>132</v>
      </c>
      <c r="L15794">
        <v>1</v>
      </c>
      <c r="M15794">
        <v>1392</v>
      </c>
      <c r="N15794">
        <v>0</v>
      </c>
      <c r="O15794">
        <v>90</v>
      </c>
      <c r="P15794">
        <v>1</v>
      </c>
      <c r="Q15794">
        <v>0</v>
      </c>
    </row>
    <row r="15795" spans="1:17" x14ac:dyDescent="0.2">
      <c r="A15795" s="121">
        <v>44742</v>
      </c>
      <c r="B15795" t="s">
        <v>406</v>
      </c>
      <c r="C15795" t="s">
        <v>456</v>
      </c>
      <c r="D15795" t="s">
        <v>467</v>
      </c>
      <c r="E15795" t="s">
        <v>468</v>
      </c>
      <c r="F15795" t="s">
        <v>410</v>
      </c>
      <c r="G15795">
        <v>718</v>
      </c>
      <c r="I15795">
        <v>716</v>
      </c>
    </row>
    <row r="15796" spans="1:17" x14ac:dyDescent="0.2">
      <c r="A15796" s="121">
        <v>44742</v>
      </c>
      <c r="B15796" t="s">
        <v>406</v>
      </c>
      <c r="C15796" t="s">
        <v>456</v>
      </c>
      <c r="D15796" t="s">
        <v>469</v>
      </c>
      <c r="E15796" t="s">
        <v>470</v>
      </c>
      <c r="F15796" t="s">
        <v>410</v>
      </c>
      <c r="G15796">
        <v>585</v>
      </c>
      <c r="I15796">
        <v>584</v>
      </c>
    </row>
    <row r="15797" spans="1:17" x14ac:dyDescent="0.2">
      <c r="A15797" s="121">
        <v>44742</v>
      </c>
      <c r="B15797" t="s">
        <v>406</v>
      </c>
      <c r="C15797" t="s">
        <v>456</v>
      </c>
      <c r="D15797" t="s">
        <v>471</v>
      </c>
      <c r="E15797" t="s">
        <v>472</v>
      </c>
      <c r="F15797" t="s">
        <v>410</v>
      </c>
      <c r="G15797">
        <v>538</v>
      </c>
      <c r="I15797">
        <v>537</v>
      </c>
    </row>
    <row r="15798" spans="1:17" x14ac:dyDescent="0.2">
      <c r="A15798" s="121">
        <v>44742</v>
      </c>
      <c r="B15798" t="s">
        <v>406</v>
      </c>
      <c r="C15798" t="s">
        <v>456</v>
      </c>
      <c r="D15798" t="s">
        <v>477</v>
      </c>
      <c r="E15798" t="s">
        <v>478</v>
      </c>
      <c r="F15798" t="s">
        <v>413</v>
      </c>
      <c r="G15798">
        <v>2596</v>
      </c>
      <c r="H15798">
        <v>2596</v>
      </c>
      <c r="I15798">
        <v>1936</v>
      </c>
      <c r="J15798">
        <v>1936</v>
      </c>
      <c r="K15798">
        <v>501</v>
      </c>
      <c r="L15798">
        <v>2</v>
      </c>
      <c r="M15798">
        <v>2058</v>
      </c>
      <c r="N15798">
        <v>25</v>
      </c>
      <c r="O15798">
        <v>10</v>
      </c>
      <c r="P15798">
        <v>206</v>
      </c>
      <c r="Q15798">
        <v>79</v>
      </c>
    </row>
    <row r="15799" spans="1:17" x14ac:dyDescent="0.2">
      <c r="A15799" s="121">
        <v>44742</v>
      </c>
      <c r="B15799" t="s">
        <v>406</v>
      </c>
      <c r="C15799" t="s">
        <v>491</v>
      </c>
      <c r="D15799" t="s">
        <v>492</v>
      </c>
      <c r="E15799" t="s">
        <v>493</v>
      </c>
      <c r="F15799" t="s">
        <v>410</v>
      </c>
      <c r="G15799">
        <v>1469</v>
      </c>
      <c r="H15799">
        <v>1469</v>
      </c>
      <c r="I15799">
        <v>1338</v>
      </c>
      <c r="J15799">
        <v>1338</v>
      </c>
      <c r="K15799">
        <v>169</v>
      </c>
      <c r="L15799">
        <v>0</v>
      </c>
      <c r="M15799">
        <v>1227</v>
      </c>
      <c r="N15799">
        <v>52</v>
      </c>
      <c r="O15799">
        <v>21</v>
      </c>
      <c r="P15799">
        <v>11</v>
      </c>
      <c r="Q15799">
        <v>1</v>
      </c>
    </row>
    <row r="15800" spans="1:17" x14ac:dyDescent="0.2">
      <c r="A15800" s="121">
        <v>44742</v>
      </c>
      <c r="B15800" t="s">
        <v>406</v>
      </c>
      <c r="C15800" t="s">
        <v>491</v>
      </c>
      <c r="D15800" t="s">
        <v>494</v>
      </c>
      <c r="E15800" t="s">
        <v>495</v>
      </c>
      <c r="F15800" t="s">
        <v>413</v>
      </c>
      <c r="G15800">
        <v>2483</v>
      </c>
      <c r="H15800">
        <v>2483</v>
      </c>
      <c r="I15800">
        <v>2062</v>
      </c>
      <c r="J15800">
        <v>2062</v>
      </c>
      <c r="K15800">
        <v>543</v>
      </c>
      <c r="L15800">
        <v>4</v>
      </c>
      <c r="M15800">
        <v>1817</v>
      </c>
      <c r="N15800">
        <v>75</v>
      </c>
      <c r="O15800">
        <v>44</v>
      </c>
      <c r="P15800">
        <v>70</v>
      </c>
      <c r="Q15800">
        <v>11</v>
      </c>
    </row>
    <row r="15801" spans="1:17" x14ac:dyDescent="0.2">
      <c r="A15801" s="121">
        <v>44742</v>
      </c>
      <c r="B15801" t="s">
        <v>406</v>
      </c>
      <c r="C15801" t="s">
        <v>491</v>
      </c>
      <c r="D15801" t="s">
        <v>496</v>
      </c>
      <c r="E15801" t="s">
        <v>497</v>
      </c>
      <c r="F15801" t="s">
        <v>413</v>
      </c>
      <c r="G15801">
        <v>4867</v>
      </c>
      <c r="H15801">
        <v>4867</v>
      </c>
      <c r="I15801">
        <v>2942</v>
      </c>
      <c r="J15801">
        <v>2942</v>
      </c>
      <c r="K15801">
        <v>1173</v>
      </c>
      <c r="L15801">
        <v>10</v>
      </c>
      <c r="M15801">
        <v>3380</v>
      </c>
      <c r="N15801">
        <v>106</v>
      </c>
      <c r="O15801">
        <v>198</v>
      </c>
      <c r="P15801">
        <v>640</v>
      </c>
      <c r="Q15801">
        <v>186</v>
      </c>
    </row>
    <row r="15802" spans="1:17" x14ac:dyDescent="0.2">
      <c r="A15802" s="121">
        <v>44742</v>
      </c>
      <c r="B15802" t="s">
        <v>406</v>
      </c>
      <c r="C15802" t="s">
        <v>491</v>
      </c>
      <c r="D15802" t="s">
        <v>498</v>
      </c>
      <c r="E15802" t="s">
        <v>499</v>
      </c>
      <c r="F15802" t="s">
        <v>413</v>
      </c>
      <c r="G15802">
        <v>7077</v>
      </c>
      <c r="H15802">
        <v>7077</v>
      </c>
      <c r="I15802">
        <v>4487</v>
      </c>
      <c r="J15802">
        <v>4487</v>
      </c>
      <c r="K15802">
        <v>1896</v>
      </c>
      <c r="L15802">
        <v>7</v>
      </c>
      <c r="M15802">
        <v>4590</v>
      </c>
      <c r="N15802">
        <v>147</v>
      </c>
      <c r="O15802">
        <v>437</v>
      </c>
      <c r="P15802">
        <v>386</v>
      </c>
      <c r="Q15802">
        <v>50</v>
      </c>
    </row>
    <row r="15803" spans="1:17" x14ac:dyDescent="0.2">
      <c r="A15803" s="121">
        <v>44742</v>
      </c>
      <c r="B15803" t="s">
        <v>406</v>
      </c>
      <c r="C15803" t="s">
        <v>491</v>
      </c>
      <c r="D15803" t="s">
        <v>500</v>
      </c>
      <c r="E15803" t="s">
        <v>620</v>
      </c>
      <c r="F15803" t="s">
        <v>410</v>
      </c>
      <c r="G15803">
        <v>2043</v>
      </c>
      <c r="H15803">
        <v>2043</v>
      </c>
      <c r="I15803">
        <v>2038</v>
      </c>
      <c r="J15803">
        <v>2038</v>
      </c>
      <c r="K15803">
        <v>1</v>
      </c>
      <c r="L15803">
        <v>0</v>
      </c>
      <c r="M15803">
        <v>1746</v>
      </c>
      <c r="N15803">
        <v>97</v>
      </c>
      <c r="O15803">
        <v>199</v>
      </c>
      <c r="P15803">
        <v>0</v>
      </c>
      <c r="Q15803">
        <v>0</v>
      </c>
    </row>
    <row r="15804" spans="1:17" x14ac:dyDescent="0.2">
      <c r="A15804" s="121">
        <v>44742</v>
      </c>
      <c r="B15804" t="s">
        <v>406</v>
      </c>
      <c r="C15804" t="s">
        <v>491</v>
      </c>
      <c r="D15804" t="s">
        <v>502</v>
      </c>
      <c r="E15804" t="s">
        <v>615</v>
      </c>
      <c r="F15804" t="s">
        <v>410</v>
      </c>
      <c r="G15804">
        <v>2320</v>
      </c>
      <c r="H15804">
        <v>2320</v>
      </c>
      <c r="I15804">
        <v>2273</v>
      </c>
      <c r="J15804">
        <v>2273</v>
      </c>
      <c r="K15804">
        <v>2</v>
      </c>
      <c r="L15804">
        <v>0</v>
      </c>
      <c r="M15804">
        <v>2076</v>
      </c>
      <c r="N15804">
        <v>114</v>
      </c>
      <c r="O15804">
        <v>128</v>
      </c>
      <c r="P15804">
        <v>0</v>
      </c>
      <c r="Q15804">
        <v>0</v>
      </c>
    </row>
    <row r="15805" spans="1:17" x14ac:dyDescent="0.2">
      <c r="A15805" s="121">
        <v>44742</v>
      </c>
      <c r="B15805" t="s">
        <v>406</v>
      </c>
      <c r="C15805" t="s">
        <v>491</v>
      </c>
      <c r="D15805" t="s">
        <v>504</v>
      </c>
      <c r="E15805" t="s">
        <v>630</v>
      </c>
      <c r="F15805" t="s">
        <v>413</v>
      </c>
      <c r="G15805">
        <v>7704</v>
      </c>
      <c r="H15805">
        <v>7704</v>
      </c>
      <c r="I15805">
        <v>3516</v>
      </c>
      <c r="J15805">
        <v>3516</v>
      </c>
      <c r="K15805">
        <v>2417</v>
      </c>
      <c r="L15805">
        <v>18</v>
      </c>
      <c r="M15805">
        <v>4843</v>
      </c>
      <c r="N15805">
        <v>57</v>
      </c>
      <c r="O15805">
        <v>369</v>
      </c>
      <c r="P15805">
        <v>1148</v>
      </c>
      <c r="Q15805">
        <v>266</v>
      </c>
    </row>
    <row r="15806" spans="1:17" x14ac:dyDescent="0.2">
      <c r="A15806" s="121">
        <v>44742</v>
      </c>
      <c r="B15806" t="s">
        <v>406</v>
      </c>
      <c r="C15806" t="s">
        <v>491</v>
      </c>
      <c r="D15806" t="s">
        <v>506</v>
      </c>
      <c r="E15806" t="s">
        <v>507</v>
      </c>
      <c r="F15806" t="s">
        <v>413</v>
      </c>
      <c r="G15806">
        <v>6633</v>
      </c>
      <c r="H15806">
        <v>6633</v>
      </c>
      <c r="I15806">
        <v>6394</v>
      </c>
      <c r="J15806">
        <v>6394</v>
      </c>
      <c r="K15806">
        <v>1183</v>
      </c>
      <c r="L15806">
        <v>1</v>
      </c>
      <c r="M15806">
        <v>5431</v>
      </c>
      <c r="N15806">
        <v>1</v>
      </c>
      <c r="O15806">
        <v>17</v>
      </c>
      <c r="P15806">
        <v>0</v>
      </c>
      <c r="Q15806">
        <v>0</v>
      </c>
    </row>
    <row r="15807" spans="1:17" x14ac:dyDescent="0.2">
      <c r="A15807" s="121">
        <v>44742</v>
      </c>
      <c r="B15807" t="s">
        <v>406</v>
      </c>
      <c r="C15807" t="s">
        <v>510</v>
      </c>
      <c r="D15807" t="s">
        <v>513</v>
      </c>
      <c r="E15807" t="s">
        <v>514</v>
      </c>
      <c r="F15807" t="s">
        <v>410</v>
      </c>
      <c r="G15807">
        <v>766</v>
      </c>
      <c r="I15807">
        <v>766</v>
      </c>
    </row>
    <row r="15808" spans="1:17" x14ac:dyDescent="0.2">
      <c r="A15808" s="121">
        <v>44742</v>
      </c>
      <c r="B15808" t="s">
        <v>406</v>
      </c>
      <c r="C15808" t="s">
        <v>510</v>
      </c>
      <c r="D15808" t="s">
        <v>515</v>
      </c>
      <c r="E15808" t="s">
        <v>516</v>
      </c>
      <c r="F15808" t="s">
        <v>410</v>
      </c>
      <c r="G15808">
        <v>89</v>
      </c>
      <c r="I15808">
        <v>86</v>
      </c>
    </row>
    <row r="15809" spans="1:17" x14ac:dyDescent="0.2">
      <c r="A15809" s="121">
        <v>44742</v>
      </c>
      <c r="B15809" t="s">
        <v>406</v>
      </c>
      <c r="C15809" t="s">
        <v>510</v>
      </c>
      <c r="D15809" t="s">
        <v>519</v>
      </c>
      <c r="E15809" t="s">
        <v>520</v>
      </c>
      <c r="F15809" t="s">
        <v>410</v>
      </c>
      <c r="G15809">
        <v>332</v>
      </c>
      <c r="I15809">
        <v>319</v>
      </c>
    </row>
    <row r="15810" spans="1:17" x14ac:dyDescent="0.2">
      <c r="A15810" s="121">
        <v>44742</v>
      </c>
      <c r="B15810" t="s">
        <v>406</v>
      </c>
      <c r="C15810" t="s">
        <v>510</v>
      </c>
      <c r="D15810" t="s">
        <v>523</v>
      </c>
      <c r="E15810" t="s">
        <v>524</v>
      </c>
      <c r="F15810" t="s">
        <v>413</v>
      </c>
      <c r="G15810">
        <v>817</v>
      </c>
      <c r="H15810">
        <v>817</v>
      </c>
      <c r="I15810">
        <v>738</v>
      </c>
      <c r="J15810">
        <v>738</v>
      </c>
      <c r="K15810">
        <v>187</v>
      </c>
      <c r="L15810">
        <v>1</v>
      </c>
      <c r="M15810">
        <v>588</v>
      </c>
      <c r="N15810">
        <v>16</v>
      </c>
      <c r="O15810">
        <v>25</v>
      </c>
      <c r="P15810">
        <v>3</v>
      </c>
      <c r="Q15810">
        <v>1</v>
      </c>
    </row>
    <row r="15811" spans="1:17" x14ac:dyDescent="0.2">
      <c r="A15811" s="121">
        <v>44742</v>
      </c>
      <c r="B15811" t="s">
        <v>406</v>
      </c>
      <c r="C15811" t="s">
        <v>510</v>
      </c>
      <c r="D15811" t="s">
        <v>525</v>
      </c>
      <c r="E15811" t="s">
        <v>526</v>
      </c>
      <c r="F15811" t="s">
        <v>410</v>
      </c>
      <c r="G15811">
        <v>351</v>
      </c>
      <c r="H15811">
        <v>351</v>
      </c>
      <c r="I15811">
        <v>325</v>
      </c>
      <c r="J15811">
        <v>325</v>
      </c>
      <c r="K15811">
        <v>33</v>
      </c>
      <c r="L15811">
        <v>1</v>
      </c>
      <c r="M15811">
        <v>287</v>
      </c>
      <c r="N15811">
        <v>20</v>
      </c>
      <c r="O15811">
        <v>10</v>
      </c>
      <c r="P15811">
        <v>2</v>
      </c>
      <c r="Q15811">
        <v>2</v>
      </c>
    </row>
    <row r="15812" spans="1:17" x14ac:dyDescent="0.2">
      <c r="A15812" s="121">
        <v>44742</v>
      </c>
      <c r="B15812" t="s">
        <v>406</v>
      </c>
      <c r="C15812" t="s">
        <v>510</v>
      </c>
      <c r="D15812" t="s">
        <v>527</v>
      </c>
      <c r="E15812" t="s">
        <v>528</v>
      </c>
      <c r="F15812" t="s">
        <v>410</v>
      </c>
      <c r="G15812">
        <v>21</v>
      </c>
      <c r="I15812">
        <v>21</v>
      </c>
    </row>
    <row r="15813" spans="1:17" x14ac:dyDescent="0.2">
      <c r="A15813" s="121">
        <v>44742</v>
      </c>
      <c r="B15813" t="s">
        <v>406</v>
      </c>
      <c r="C15813" t="s">
        <v>510</v>
      </c>
      <c r="D15813" t="s">
        <v>529</v>
      </c>
      <c r="E15813" t="s">
        <v>530</v>
      </c>
      <c r="F15813" t="s">
        <v>413</v>
      </c>
      <c r="G15813">
        <v>919</v>
      </c>
      <c r="H15813">
        <v>919</v>
      </c>
      <c r="I15813">
        <v>826</v>
      </c>
      <c r="J15813">
        <v>826</v>
      </c>
      <c r="K15813">
        <v>113</v>
      </c>
      <c r="L15813">
        <v>2</v>
      </c>
      <c r="M15813">
        <v>756</v>
      </c>
      <c r="N15813">
        <v>22</v>
      </c>
      <c r="O15813">
        <v>26</v>
      </c>
      <c r="P15813">
        <v>17</v>
      </c>
      <c r="Q15813">
        <v>7</v>
      </c>
    </row>
    <row r="15814" spans="1:17" x14ac:dyDescent="0.2">
      <c r="A15814" s="121">
        <v>44742</v>
      </c>
      <c r="B15814" t="s">
        <v>406</v>
      </c>
      <c r="C15814" t="s">
        <v>510</v>
      </c>
      <c r="D15814" t="s">
        <v>531</v>
      </c>
      <c r="E15814" t="s">
        <v>532</v>
      </c>
      <c r="F15814" t="s">
        <v>410</v>
      </c>
      <c r="G15814">
        <v>18</v>
      </c>
      <c r="I15814">
        <v>18</v>
      </c>
    </row>
    <row r="15815" spans="1:17" x14ac:dyDescent="0.2">
      <c r="A15815" s="121">
        <v>44742</v>
      </c>
      <c r="B15815" t="s">
        <v>406</v>
      </c>
      <c r="C15815" t="s">
        <v>510</v>
      </c>
      <c r="D15815" t="s">
        <v>533</v>
      </c>
      <c r="E15815" t="s">
        <v>534</v>
      </c>
      <c r="F15815" t="s">
        <v>413</v>
      </c>
      <c r="G15815">
        <v>3389</v>
      </c>
      <c r="H15815">
        <v>3389</v>
      </c>
      <c r="I15815">
        <v>2341</v>
      </c>
      <c r="J15815">
        <v>2341</v>
      </c>
      <c r="K15815">
        <v>753</v>
      </c>
      <c r="L15815">
        <v>3</v>
      </c>
      <c r="M15815">
        <v>2292</v>
      </c>
      <c r="N15815">
        <v>35</v>
      </c>
      <c r="O15815">
        <v>306</v>
      </c>
      <c r="P15815">
        <v>229</v>
      </c>
      <c r="Q15815">
        <v>49</v>
      </c>
    </row>
    <row r="15816" spans="1:17" x14ac:dyDescent="0.2">
      <c r="A15816" s="121">
        <v>44742</v>
      </c>
      <c r="B15816" t="s">
        <v>406</v>
      </c>
      <c r="C15816" t="s">
        <v>510</v>
      </c>
      <c r="D15816" t="s">
        <v>535</v>
      </c>
      <c r="E15816" t="s">
        <v>536</v>
      </c>
      <c r="F15816" t="s">
        <v>410</v>
      </c>
      <c r="G15816">
        <v>326</v>
      </c>
      <c r="I15816">
        <v>326</v>
      </c>
    </row>
    <row r="15817" spans="1:17" x14ac:dyDescent="0.2">
      <c r="A15817" s="121">
        <v>44742</v>
      </c>
      <c r="B15817" t="s">
        <v>406</v>
      </c>
      <c r="C15817" t="s">
        <v>510</v>
      </c>
      <c r="D15817" t="s">
        <v>539</v>
      </c>
      <c r="E15817" t="s">
        <v>540</v>
      </c>
      <c r="F15817" t="s">
        <v>413</v>
      </c>
      <c r="G15817">
        <v>896</v>
      </c>
      <c r="H15817">
        <v>896</v>
      </c>
      <c r="I15817">
        <v>812</v>
      </c>
      <c r="J15817">
        <v>812</v>
      </c>
      <c r="K15817">
        <v>124</v>
      </c>
      <c r="L15817">
        <v>1</v>
      </c>
      <c r="M15817">
        <v>726</v>
      </c>
      <c r="N15817">
        <v>12</v>
      </c>
      <c r="O15817">
        <v>33</v>
      </c>
      <c r="P15817">
        <v>4</v>
      </c>
      <c r="Q15817">
        <v>0</v>
      </c>
    </row>
    <row r="15818" spans="1:17" x14ac:dyDescent="0.2">
      <c r="A15818" s="121">
        <v>44742</v>
      </c>
      <c r="B15818" t="s">
        <v>406</v>
      </c>
      <c r="C15818" t="s">
        <v>510</v>
      </c>
      <c r="D15818" t="s">
        <v>547</v>
      </c>
      <c r="E15818" t="s">
        <v>548</v>
      </c>
      <c r="F15818" t="s">
        <v>410</v>
      </c>
      <c r="G15818">
        <v>34</v>
      </c>
      <c r="I15818">
        <v>34</v>
      </c>
    </row>
    <row r="15819" spans="1:17" x14ac:dyDescent="0.2">
      <c r="A15819" s="121">
        <v>44742</v>
      </c>
      <c r="B15819" t="s">
        <v>406</v>
      </c>
      <c r="C15819" t="s">
        <v>510</v>
      </c>
      <c r="D15819" t="s">
        <v>616</v>
      </c>
      <c r="E15819" t="s">
        <v>617</v>
      </c>
      <c r="F15819" t="s">
        <v>410</v>
      </c>
      <c r="G15819">
        <v>335</v>
      </c>
      <c r="I15819">
        <v>332</v>
      </c>
    </row>
    <row r="15820" spans="1:17" x14ac:dyDescent="0.2">
      <c r="A15820" s="121">
        <v>44742</v>
      </c>
      <c r="B15820" t="s">
        <v>406</v>
      </c>
      <c r="C15820" t="s">
        <v>510</v>
      </c>
      <c r="D15820" t="s">
        <v>549</v>
      </c>
      <c r="E15820" t="s">
        <v>550</v>
      </c>
      <c r="F15820" t="s">
        <v>410</v>
      </c>
      <c r="G15820">
        <v>83</v>
      </c>
      <c r="I15820">
        <v>83</v>
      </c>
    </row>
    <row r="15821" spans="1:17" x14ac:dyDescent="0.2">
      <c r="A15821" s="121">
        <v>44742</v>
      </c>
      <c r="B15821" t="s">
        <v>406</v>
      </c>
      <c r="C15821" t="s">
        <v>510</v>
      </c>
      <c r="D15821" t="s">
        <v>625</v>
      </c>
      <c r="E15821" t="s">
        <v>626</v>
      </c>
      <c r="F15821" t="s">
        <v>410</v>
      </c>
      <c r="G15821">
        <v>153</v>
      </c>
      <c r="I15821">
        <v>150</v>
      </c>
    </row>
    <row r="15822" spans="1:17" x14ac:dyDescent="0.2">
      <c r="A15822" s="121">
        <v>44742</v>
      </c>
      <c r="B15822" t="s">
        <v>406</v>
      </c>
      <c r="C15822" t="s">
        <v>510</v>
      </c>
      <c r="D15822" t="s">
        <v>634</v>
      </c>
      <c r="E15822" t="s">
        <v>635</v>
      </c>
      <c r="F15822" t="s">
        <v>410</v>
      </c>
      <c r="G15822">
        <v>525</v>
      </c>
      <c r="I15822">
        <v>514</v>
      </c>
    </row>
    <row r="15823" spans="1:17" x14ac:dyDescent="0.2">
      <c r="A15823" s="121">
        <v>44742</v>
      </c>
      <c r="B15823" t="s">
        <v>406</v>
      </c>
      <c r="C15823" t="s">
        <v>551</v>
      </c>
      <c r="D15823" t="s">
        <v>552</v>
      </c>
      <c r="E15823" t="s">
        <v>553</v>
      </c>
      <c r="F15823" t="s">
        <v>413</v>
      </c>
      <c r="G15823">
        <v>5735</v>
      </c>
      <c r="H15823">
        <v>5735</v>
      </c>
      <c r="I15823">
        <v>3851</v>
      </c>
      <c r="J15823">
        <v>3851</v>
      </c>
      <c r="K15823">
        <v>1786</v>
      </c>
      <c r="L15823">
        <v>5</v>
      </c>
      <c r="M15823">
        <v>3830</v>
      </c>
      <c r="N15823">
        <v>101</v>
      </c>
      <c r="O15823">
        <v>13</v>
      </c>
      <c r="P15823">
        <v>298</v>
      </c>
      <c r="Q15823">
        <v>73</v>
      </c>
    </row>
    <row r="15824" spans="1:17" x14ac:dyDescent="0.2">
      <c r="A15824" s="121">
        <v>44742</v>
      </c>
      <c r="B15824" t="s">
        <v>406</v>
      </c>
      <c r="C15824" t="s">
        <v>551</v>
      </c>
      <c r="D15824" t="s">
        <v>558</v>
      </c>
      <c r="E15824" t="s">
        <v>559</v>
      </c>
      <c r="F15824" t="s">
        <v>413</v>
      </c>
      <c r="G15824">
        <v>5391</v>
      </c>
      <c r="H15824">
        <v>5391</v>
      </c>
      <c r="I15824">
        <v>2881</v>
      </c>
      <c r="J15824">
        <v>2881</v>
      </c>
      <c r="K15824">
        <v>1258</v>
      </c>
      <c r="L15824">
        <v>6</v>
      </c>
      <c r="M15824">
        <v>3983</v>
      </c>
      <c r="N15824">
        <v>114</v>
      </c>
      <c r="O15824">
        <v>30</v>
      </c>
      <c r="P15824">
        <v>488</v>
      </c>
      <c r="Q15824">
        <v>113</v>
      </c>
    </row>
    <row r="15825" spans="1:17" x14ac:dyDescent="0.2">
      <c r="A15825" s="121">
        <v>44742</v>
      </c>
      <c r="B15825" t="s">
        <v>406</v>
      </c>
      <c r="C15825" t="s">
        <v>551</v>
      </c>
      <c r="D15825" t="s">
        <v>560</v>
      </c>
      <c r="E15825" t="s">
        <v>561</v>
      </c>
      <c r="F15825" t="s">
        <v>413</v>
      </c>
      <c r="G15825">
        <v>6198</v>
      </c>
      <c r="H15825">
        <v>6198</v>
      </c>
      <c r="I15825">
        <v>3288</v>
      </c>
      <c r="J15825">
        <v>3288</v>
      </c>
      <c r="K15825">
        <v>2079</v>
      </c>
      <c r="L15825">
        <v>7</v>
      </c>
      <c r="M15825">
        <v>3939</v>
      </c>
      <c r="N15825">
        <v>46</v>
      </c>
      <c r="O15825">
        <v>127</v>
      </c>
      <c r="P15825">
        <v>1277</v>
      </c>
      <c r="Q15825">
        <v>389</v>
      </c>
    </row>
    <row r="15826" spans="1:17" x14ac:dyDescent="0.2">
      <c r="A15826" s="121">
        <v>44742</v>
      </c>
      <c r="B15826" t="s">
        <v>406</v>
      </c>
      <c r="C15826" t="s">
        <v>562</v>
      </c>
      <c r="D15826" t="s">
        <v>563</v>
      </c>
      <c r="E15826" t="s">
        <v>564</v>
      </c>
      <c r="F15826" t="s">
        <v>410</v>
      </c>
      <c r="G15826">
        <v>3317</v>
      </c>
      <c r="H15826">
        <v>3317</v>
      </c>
      <c r="I15826">
        <v>1995</v>
      </c>
      <c r="J15826">
        <v>1995</v>
      </c>
      <c r="K15826">
        <v>1090</v>
      </c>
      <c r="L15826">
        <v>0</v>
      </c>
      <c r="M15826">
        <v>2155</v>
      </c>
      <c r="N15826">
        <v>3</v>
      </c>
      <c r="O15826">
        <v>69</v>
      </c>
      <c r="P15826">
        <v>599</v>
      </c>
      <c r="Q15826">
        <v>314</v>
      </c>
    </row>
    <row r="15827" spans="1:17" x14ac:dyDescent="0.2">
      <c r="A15827" s="121">
        <v>44742</v>
      </c>
      <c r="B15827" t="s">
        <v>406</v>
      </c>
      <c r="C15827" t="s">
        <v>562</v>
      </c>
      <c r="D15827" t="s">
        <v>565</v>
      </c>
      <c r="E15827" t="s">
        <v>566</v>
      </c>
      <c r="F15827" t="s">
        <v>413</v>
      </c>
      <c r="G15827">
        <v>5067</v>
      </c>
      <c r="H15827">
        <v>5067</v>
      </c>
      <c r="I15827">
        <v>3761</v>
      </c>
      <c r="J15827">
        <v>3761</v>
      </c>
      <c r="K15827">
        <v>907</v>
      </c>
      <c r="L15827">
        <v>2</v>
      </c>
      <c r="M15827">
        <v>3466</v>
      </c>
      <c r="N15827">
        <v>77</v>
      </c>
      <c r="O15827">
        <v>615</v>
      </c>
      <c r="P15827">
        <v>350</v>
      </c>
      <c r="Q15827">
        <v>136</v>
      </c>
    </row>
    <row r="15828" spans="1:17" x14ac:dyDescent="0.2">
      <c r="A15828" s="121">
        <v>44742</v>
      </c>
      <c r="B15828" t="s">
        <v>406</v>
      </c>
      <c r="C15828" t="s">
        <v>562</v>
      </c>
      <c r="D15828" t="s">
        <v>567</v>
      </c>
      <c r="E15828" t="s">
        <v>568</v>
      </c>
      <c r="F15828" t="s">
        <v>413</v>
      </c>
      <c r="G15828">
        <v>10230</v>
      </c>
      <c r="H15828">
        <v>10230</v>
      </c>
      <c r="I15828">
        <v>5031</v>
      </c>
      <c r="J15828">
        <v>5031</v>
      </c>
      <c r="K15828">
        <v>2720</v>
      </c>
      <c r="L15828">
        <v>5</v>
      </c>
      <c r="M15828">
        <v>7179</v>
      </c>
      <c r="N15828">
        <v>128</v>
      </c>
      <c r="O15828">
        <v>198</v>
      </c>
      <c r="P15828">
        <v>1874</v>
      </c>
      <c r="Q15828">
        <v>962</v>
      </c>
    </row>
    <row r="15829" spans="1:17" x14ac:dyDescent="0.2">
      <c r="A15829" s="121">
        <v>44742</v>
      </c>
      <c r="B15829" t="s">
        <v>406</v>
      </c>
      <c r="C15829" t="s">
        <v>562</v>
      </c>
      <c r="D15829" t="s">
        <v>569</v>
      </c>
      <c r="E15829" t="s">
        <v>570</v>
      </c>
      <c r="F15829" t="s">
        <v>413</v>
      </c>
      <c r="G15829">
        <v>5293</v>
      </c>
      <c r="H15829">
        <v>5293</v>
      </c>
      <c r="I15829">
        <v>4990</v>
      </c>
      <c r="J15829">
        <v>4990</v>
      </c>
      <c r="K15829">
        <v>604</v>
      </c>
      <c r="L15829">
        <v>0</v>
      </c>
      <c r="M15829">
        <v>4509</v>
      </c>
      <c r="N15829">
        <v>127</v>
      </c>
      <c r="O15829">
        <v>53</v>
      </c>
      <c r="P15829">
        <v>13</v>
      </c>
      <c r="Q15829">
        <v>0</v>
      </c>
    </row>
    <row r="15830" spans="1:17" x14ac:dyDescent="0.2">
      <c r="A15830" s="121">
        <v>44742</v>
      </c>
      <c r="B15830" t="s">
        <v>406</v>
      </c>
      <c r="C15830" t="s">
        <v>571</v>
      </c>
      <c r="D15830" t="s">
        <v>572</v>
      </c>
      <c r="E15830" t="s">
        <v>627</v>
      </c>
      <c r="F15830" t="s">
        <v>413</v>
      </c>
      <c r="G15830">
        <v>664</v>
      </c>
      <c r="H15830">
        <v>664</v>
      </c>
      <c r="I15830">
        <v>615</v>
      </c>
      <c r="J15830">
        <v>615</v>
      </c>
      <c r="K15830">
        <v>137</v>
      </c>
      <c r="L15830">
        <v>0</v>
      </c>
      <c r="M15830">
        <v>526</v>
      </c>
      <c r="N15830">
        <v>1</v>
      </c>
      <c r="O15830">
        <v>0</v>
      </c>
      <c r="P15830">
        <v>4</v>
      </c>
      <c r="Q15830">
        <v>1</v>
      </c>
    </row>
    <row r="15831" spans="1:17" x14ac:dyDescent="0.2">
      <c r="A15831" s="121">
        <v>44742</v>
      </c>
      <c r="B15831" t="s">
        <v>406</v>
      </c>
      <c r="C15831" t="s">
        <v>574</v>
      </c>
      <c r="D15831" t="s">
        <v>575</v>
      </c>
      <c r="E15831" t="s">
        <v>576</v>
      </c>
      <c r="F15831" t="s">
        <v>413</v>
      </c>
      <c r="G15831">
        <v>684</v>
      </c>
      <c r="H15831">
        <v>684</v>
      </c>
      <c r="I15831">
        <v>648</v>
      </c>
      <c r="J15831">
        <v>648</v>
      </c>
      <c r="K15831">
        <v>143</v>
      </c>
      <c r="L15831">
        <v>2</v>
      </c>
      <c r="M15831">
        <v>525</v>
      </c>
      <c r="N15831">
        <v>3</v>
      </c>
      <c r="O15831">
        <v>11</v>
      </c>
      <c r="P15831">
        <v>0</v>
      </c>
      <c r="Q15831">
        <v>0</v>
      </c>
    </row>
    <row r="15832" spans="1:17" x14ac:dyDescent="0.2">
      <c r="A15832" s="121">
        <v>44742</v>
      </c>
      <c r="B15832" t="s">
        <v>406</v>
      </c>
      <c r="C15832" t="s">
        <v>577</v>
      </c>
      <c r="D15832" t="s">
        <v>578</v>
      </c>
      <c r="E15832" t="s">
        <v>579</v>
      </c>
      <c r="F15832" t="s">
        <v>413</v>
      </c>
      <c r="G15832">
        <v>5089</v>
      </c>
      <c r="H15832">
        <v>5089</v>
      </c>
      <c r="I15832">
        <v>4572</v>
      </c>
      <c r="J15832">
        <v>4572</v>
      </c>
      <c r="K15832">
        <v>1714</v>
      </c>
      <c r="L15832">
        <v>5</v>
      </c>
      <c r="M15832">
        <v>3044</v>
      </c>
      <c r="N15832">
        <v>255</v>
      </c>
      <c r="O15832">
        <v>71</v>
      </c>
      <c r="P15832">
        <v>15</v>
      </c>
      <c r="Q15832">
        <v>0</v>
      </c>
    </row>
    <row r="15833" spans="1:17" x14ac:dyDescent="0.2">
      <c r="A15833" s="121">
        <v>44742</v>
      </c>
      <c r="B15833" t="s">
        <v>406</v>
      </c>
      <c r="C15833" t="s">
        <v>577</v>
      </c>
      <c r="D15833" t="s">
        <v>580</v>
      </c>
      <c r="E15833" t="s">
        <v>581</v>
      </c>
      <c r="F15833" t="s">
        <v>413</v>
      </c>
      <c r="G15833">
        <v>2097</v>
      </c>
      <c r="H15833">
        <v>2097</v>
      </c>
      <c r="I15833">
        <v>1927</v>
      </c>
      <c r="J15833">
        <v>1927</v>
      </c>
      <c r="K15833">
        <v>392</v>
      </c>
      <c r="L15833">
        <v>0</v>
      </c>
      <c r="M15833">
        <v>1515</v>
      </c>
      <c r="N15833">
        <v>172</v>
      </c>
      <c r="O15833">
        <v>18</v>
      </c>
      <c r="P15833">
        <v>10</v>
      </c>
      <c r="Q15833">
        <v>2</v>
      </c>
    </row>
    <row r="15834" spans="1:17" x14ac:dyDescent="0.2">
      <c r="A15834" s="121">
        <v>44742</v>
      </c>
      <c r="B15834" t="s">
        <v>406</v>
      </c>
      <c r="C15834" t="s">
        <v>577</v>
      </c>
      <c r="D15834" t="s">
        <v>586</v>
      </c>
      <c r="E15834" t="s">
        <v>587</v>
      </c>
      <c r="F15834" t="s">
        <v>410</v>
      </c>
      <c r="G15834">
        <v>670</v>
      </c>
      <c r="H15834">
        <v>670</v>
      </c>
      <c r="I15834">
        <v>670</v>
      </c>
      <c r="J15834">
        <v>670</v>
      </c>
      <c r="K15834">
        <v>0</v>
      </c>
      <c r="L15834">
        <v>0</v>
      </c>
      <c r="M15834">
        <v>615</v>
      </c>
      <c r="N15834">
        <v>54</v>
      </c>
      <c r="O15834">
        <v>1</v>
      </c>
      <c r="P15834">
        <v>0</v>
      </c>
      <c r="Q15834">
        <v>0</v>
      </c>
    </row>
    <row r="15835" spans="1:17" x14ac:dyDescent="0.2">
      <c r="A15835" s="121">
        <v>44742</v>
      </c>
      <c r="B15835" t="s">
        <v>406</v>
      </c>
      <c r="C15835" t="s">
        <v>577</v>
      </c>
      <c r="D15835" t="s">
        <v>590</v>
      </c>
      <c r="E15835" t="s">
        <v>591</v>
      </c>
      <c r="F15835" t="s">
        <v>410</v>
      </c>
      <c r="G15835">
        <v>298</v>
      </c>
      <c r="H15835">
        <v>298</v>
      </c>
      <c r="I15835">
        <v>298</v>
      </c>
      <c r="J15835">
        <v>298</v>
      </c>
      <c r="K15835">
        <v>0</v>
      </c>
      <c r="L15835">
        <v>0</v>
      </c>
      <c r="M15835">
        <v>291</v>
      </c>
      <c r="N15835">
        <v>7</v>
      </c>
      <c r="O15835">
        <v>0</v>
      </c>
      <c r="P15835">
        <v>0</v>
      </c>
      <c r="Q15835">
        <v>0</v>
      </c>
    </row>
    <row r="15836" spans="1:17" x14ac:dyDescent="0.2">
      <c r="A15836" s="121">
        <v>44742</v>
      </c>
      <c r="B15836" t="s">
        <v>406</v>
      </c>
      <c r="C15836" t="s">
        <v>594</v>
      </c>
      <c r="D15836" t="s">
        <v>595</v>
      </c>
      <c r="E15836" t="s">
        <v>596</v>
      </c>
      <c r="F15836" t="s">
        <v>410</v>
      </c>
      <c r="G15836">
        <v>51</v>
      </c>
      <c r="I15836">
        <v>51</v>
      </c>
    </row>
    <row r="15837" spans="1:17" x14ac:dyDescent="0.2">
      <c r="A15837" s="121">
        <v>44742</v>
      </c>
      <c r="B15837" t="s">
        <v>406</v>
      </c>
      <c r="C15837" t="s">
        <v>594</v>
      </c>
      <c r="D15837" t="s">
        <v>597</v>
      </c>
      <c r="E15837" t="s">
        <v>598</v>
      </c>
      <c r="F15837" t="s">
        <v>413</v>
      </c>
      <c r="G15837">
        <v>500</v>
      </c>
      <c r="H15837">
        <v>500</v>
      </c>
      <c r="I15837">
        <v>495</v>
      </c>
      <c r="J15837">
        <v>495</v>
      </c>
      <c r="K15837">
        <v>144</v>
      </c>
      <c r="L15837">
        <v>1</v>
      </c>
      <c r="M15837">
        <v>342</v>
      </c>
      <c r="N15837">
        <v>2</v>
      </c>
      <c r="O15837">
        <v>11</v>
      </c>
      <c r="P15837">
        <v>0</v>
      </c>
      <c r="Q15837">
        <v>0</v>
      </c>
    </row>
    <row r="15838" spans="1:17" x14ac:dyDescent="0.2">
      <c r="A15838" s="121">
        <v>44742</v>
      </c>
      <c r="B15838" t="s">
        <v>406</v>
      </c>
      <c r="C15838" t="s">
        <v>594</v>
      </c>
      <c r="D15838" t="s">
        <v>599</v>
      </c>
      <c r="E15838" t="s">
        <v>600</v>
      </c>
      <c r="F15838" t="s">
        <v>410</v>
      </c>
      <c r="G15838">
        <v>108</v>
      </c>
      <c r="H15838">
        <v>108</v>
      </c>
      <c r="I15838">
        <v>107</v>
      </c>
      <c r="J15838">
        <v>107</v>
      </c>
      <c r="K15838">
        <v>4</v>
      </c>
      <c r="L15838">
        <v>0</v>
      </c>
      <c r="M15838">
        <v>104</v>
      </c>
      <c r="N15838">
        <v>0</v>
      </c>
      <c r="O15838">
        <v>0</v>
      </c>
      <c r="P15838">
        <v>0</v>
      </c>
      <c r="Q15838">
        <v>0</v>
      </c>
    </row>
    <row r="15839" spans="1:17" x14ac:dyDescent="0.2">
      <c r="A15839" s="121">
        <v>44773</v>
      </c>
      <c r="B15839" t="s">
        <v>406</v>
      </c>
      <c r="C15839" t="s">
        <v>407</v>
      </c>
      <c r="D15839" t="s">
        <v>408</v>
      </c>
      <c r="E15839" t="s">
        <v>409</v>
      </c>
      <c r="F15839" t="s">
        <v>410</v>
      </c>
      <c r="G15839">
        <v>320</v>
      </c>
      <c r="I15839">
        <v>308</v>
      </c>
    </row>
    <row r="15840" spans="1:17" x14ac:dyDescent="0.2">
      <c r="A15840" s="121">
        <v>44773</v>
      </c>
      <c r="B15840" t="s">
        <v>406</v>
      </c>
      <c r="C15840" t="s">
        <v>407</v>
      </c>
      <c r="D15840" t="s">
        <v>601</v>
      </c>
      <c r="E15840" t="s">
        <v>602</v>
      </c>
      <c r="F15840" t="s">
        <v>410</v>
      </c>
      <c r="G15840">
        <v>120</v>
      </c>
      <c r="I15840">
        <v>119</v>
      </c>
    </row>
    <row r="15841" spans="1:17" x14ac:dyDescent="0.2">
      <c r="A15841" s="121">
        <v>44773</v>
      </c>
      <c r="B15841" t="s">
        <v>406</v>
      </c>
      <c r="C15841" t="s">
        <v>407</v>
      </c>
      <c r="D15841" t="s">
        <v>411</v>
      </c>
      <c r="E15841" t="s">
        <v>412</v>
      </c>
      <c r="F15841" t="s">
        <v>413</v>
      </c>
      <c r="G15841">
        <v>5001</v>
      </c>
      <c r="H15841">
        <v>5001</v>
      </c>
      <c r="I15841">
        <v>3584</v>
      </c>
      <c r="J15841">
        <v>3584</v>
      </c>
      <c r="K15841">
        <v>1337</v>
      </c>
      <c r="L15841">
        <v>11</v>
      </c>
      <c r="M15841">
        <v>3189</v>
      </c>
      <c r="N15841">
        <v>39</v>
      </c>
      <c r="O15841">
        <v>425</v>
      </c>
      <c r="P15841">
        <v>715</v>
      </c>
      <c r="Q15841">
        <v>488</v>
      </c>
    </row>
    <row r="15842" spans="1:17" x14ac:dyDescent="0.2">
      <c r="A15842" s="121">
        <v>44773</v>
      </c>
      <c r="B15842" t="s">
        <v>406</v>
      </c>
      <c r="C15842" t="s">
        <v>407</v>
      </c>
      <c r="D15842" t="s">
        <v>416</v>
      </c>
      <c r="E15842" t="s">
        <v>417</v>
      </c>
      <c r="F15842" t="s">
        <v>413</v>
      </c>
      <c r="G15842">
        <v>2622</v>
      </c>
      <c r="H15842">
        <v>2622</v>
      </c>
      <c r="I15842">
        <v>1672</v>
      </c>
      <c r="J15842">
        <v>1672</v>
      </c>
      <c r="K15842">
        <v>560</v>
      </c>
      <c r="L15842">
        <v>5</v>
      </c>
      <c r="M15842">
        <v>1908</v>
      </c>
      <c r="N15842">
        <v>76</v>
      </c>
      <c r="O15842">
        <v>73</v>
      </c>
      <c r="P15842">
        <v>500</v>
      </c>
      <c r="Q15842">
        <v>333</v>
      </c>
    </row>
    <row r="15843" spans="1:17" x14ac:dyDescent="0.2">
      <c r="A15843" s="121">
        <v>44773</v>
      </c>
      <c r="B15843" t="s">
        <v>406</v>
      </c>
      <c r="C15843" t="s">
        <v>407</v>
      </c>
      <c r="D15843" t="s">
        <v>618</v>
      </c>
      <c r="E15843" t="s">
        <v>619</v>
      </c>
      <c r="F15843" t="s">
        <v>410</v>
      </c>
      <c r="G15843">
        <v>12</v>
      </c>
      <c r="I15843">
        <v>12</v>
      </c>
    </row>
    <row r="15844" spans="1:17" x14ac:dyDescent="0.2">
      <c r="A15844" s="121">
        <v>44773</v>
      </c>
      <c r="B15844" t="s">
        <v>406</v>
      </c>
      <c r="C15844" t="s">
        <v>418</v>
      </c>
      <c r="D15844" t="s">
        <v>427</v>
      </c>
      <c r="E15844" t="s">
        <v>428</v>
      </c>
      <c r="F15844" t="s">
        <v>413</v>
      </c>
      <c r="G15844">
        <v>2556</v>
      </c>
      <c r="H15844">
        <v>2556</v>
      </c>
      <c r="I15844">
        <v>1591</v>
      </c>
      <c r="J15844">
        <v>1591</v>
      </c>
      <c r="K15844">
        <v>671</v>
      </c>
      <c r="L15844">
        <v>8</v>
      </c>
      <c r="M15844">
        <v>1807</v>
      </c>
      <c r="N15844">
        <v>65</v>
      </c>
      <c r="O15844">
        <v>5</v>
      </c>
      <c r="P15844">
        <v>470</v>
      </c>
      <c r="Q15844">
        <v>347</v>
      </c>
    </row>
    <row r="15845" spans="1:17" x14ac:dyDescent="0.2">
      <c r="A15845" s="121">
        <v>44773</v>
      </c>
      <c r="B15845" t="s">
        <v>406</v>
      </c>
      <c r="C15845" t="s">
        <v>429</v>
      </c>
      <c r="D15845" t="s">
        <v>438</v>
      </c>
      <c r="E15845" t="s">
        <v>439</v>
      </c>
      <c r="F15845" t="s">
        <v>413</v>
      </c>
      <c r="G15845">
        <v>1184</v>
      </c>
      <c r="H15845">
        <v>1184</v>
      </c>
      <c r="I15845">
        <v>1044</v>
      </c>
      <c r="J15845">
        <v>1044</v>
      </c>
      <c r="K15845">
        <v>77</v>
      </c>
      <c r="L15845">
        <v>3</v>
      </c>
      <c r="M15845">
        <v>976</v>
      </c>
      <c r="N15845">
        <v>66</v>
      </c>
      <c r="O15845">
        <v>62</v>
      </c>
      <c r="P15845">
        <v>25</v>
      </c>
      <c r="Q15845">
        <v>4</v>
      </c>
    </row>
    <row r="15846" spans="1:17" x14ac:dyDescent="0.2">
      <c r="A15846" s="121">
        <v>44773</v>
      </c>
      <c r="B15846" t="s">
        <v>406</v>
      </c>
      <c r="C15846" t="s">
        <v>429</v>
      </c>
      <c r="D15846" t="s">
        <v>440</v>
      </c>
      <c r="E15846" t="s">
        <v>441</v>
      </c>
      <c r="F15846" t="s">
        <v>413</v>
      </c>
      <c r="G15846">
        <v>2778</v>
      </c>
      <c r="H15846">
        <v>2778</v>
      </c>
      <c r="I15846">
        <v>2207</v>
      </c>
      <c r="J15846">
        <v>2207</v>
      </c>
      <c r="K15846">
        <v>730</v>
      </c>
      <c r="L15846">
        <v>2</v>
      </c>
      <c r="M15846">
        <v>1977</v>
      </c>
      <c r="N15846">
        <v>25</v>
      </c>
      <c r="O15846">
        <v>44</v>
      </c>
      <c r="P15846">
        <v>110</v>
      </c>
      <c r="Q15846">
        <v>23</v>
      </c>
    </row>
    <row r="15847" spans="1:17" x14ac:dyDescent="0.2">
      <c r="A15847" s="121">
        <v>44773</v>
      </c>
      <c r="B15847" t="s">
        <v>406</v>
      </c>
      <c r="C15847" t="s">
        <v>442</v>
      </c>
      <c r="D15847" t="s">
        <v>443</v>
      </c>
      <c r="E15847" t="s">
        <v>444</v>
      </c>
      <c r="F15847" t="s">
        <v>413</v>
      </c>
      <c r="G15847">
        <v>5732</v>
      </c>
      <c r="H15847">
        <v>5732</v>
      </c>
      <c r="I15847">
        <v>3504</v>
      </c>
      <c r="J15847">
        <v>3504</v>
      </c>
      <c r="K15847">
        <v>1654</v>
      </c>
      <c r="L15847">
        <v>5</v>
      </c>
      <c r="M15847">
        <v>3799</v>
      </c>
      <c r="N15847">
        <v>49</v>
      </c>
      <c r="O15847">
        <v>225</v>
      </c>
      <c r="P15847">
        <v>589</v>
      </c>
      <c r="Q15847">
        <v>125</v>
      </c>
    </row>
    <row r="15848" spans="1:17" x14ac:dyDescent="0.2">
      <c r="A15848" s="121">
        <v>44773</v>
      </c>
      <c r="B15848" t="s">
        <v>406</v>
      </c>
      <c r="C15848" t="s">
        <v>442</v>
      </c>
      <c r="D15848" t="s">
        <v>445</v>
      </c>
      <c r="E15848" t="s">
        <v>446</v>
      </c>
      <c r="F15848" t="s">
        <v>410</v>
      </c>
      <c r="G15848">
        <v>193</v>
      </c>
      <c r="H15848">
        <v>193</v>
      </c>
      <c r="I15848">
        <v>192</v>
      </c>
      <c r="J15848">
        <v>192</v>
      </c>
      <c r="K15848">
        <v>3</v>
      </c>
      <c r="L15848">
        <v>0</v>
      </c>
      <c r="M15848">
        <v>186</v>
      </c>
      <c r="N15848">
        <v>3</v>
      </c>
      <c r="O15848">
        <v>1</v>
      </c>
      <c r="P15848">
        <v>0</v>
      </c>
      <c r="Q15848">
        <v>0</v>
      </c>
    </row>
    <row r="15849" spans="1:17" x14ac:dyDescent="0.2">
      <c r="A15849" s="121">
        <v>44773</v>
      </c>
      <c r="B15849" t="s">
        <v>406</v>
      </c>
      <c r="C15849" t="s">
        <v>442</v>
      </c>
      <c r="D15849" t="s">
        <v>447</v>
      </c>
      <c r="E15849" t="s">
        <v>448</v>
      </c>
      <c r="F15849" t="s">
        <v>410</v>
      </c>
      <c r="G15849">
        <v>231</v>
      </c>
      <c r="H15849">
        <v>231</v>
      </c>
      <c r="I15849">
        <v>231</v>
      </c>
      <c r="J15849">
        <v>231</v>
      </c>
      <c r="K15849">
        <v>0</v>
      </c>
      <c r="L15849">
        <v>0</v>
      </c>
      <c r="M15849">
        <v>229</v>
      </c>
      <c r="N15849">
        <v>1</v>
      </c>
      <c r="O15849">
        <v>1</v>
      </c>
      <c r="P15849">
        <v>0</v>
      </c>
      <c r="Q15849">
        <v>0</v>
      </c>
    </row>
    <row r="15850" spans="1:17" x14ac:dyDescent="0.2">
      <c r="A15850" s="121">
        <v>44773</v>
      </c>
      <c r="B15850" t="s">
        <v>406</v>
      </c>
      <c r="C15850" t="s">
        <v>442</v>
      </c>
      <c r="D15850" t="s">
        <v>449</v>
      </c>
      <c r="E15850" t="s">
        <v>624</v>
      </c>
      <c r="F15850" t="s">
        <v>410</v>
      </c>
      <c r="G15850">
        <v>1099</v>
      </c>
      <c r="H15850">
        <v>1099</v>
      </c>
      <c r="I15850">
        <v>1099</v>
      </c>
      <c r="J15850">
        <v>1099</v>
      </c>
      <c r="K15850">
        <v>7</v>
      </c>
      <c r="L15850">
        <v>0</v>
      </c>
      <c r="M15850">
        <v>1043</v>
      </c>
      <c r="N15850">
        <v>38</v>
      </c>
      <c r="O15850">
        <v>11</v>
      </c>
      <c r="P15850">
        <v>0</v>
      </c>
      <c r="Q15850">
        <v>0</v>
      </c>
    </row>
    <row r="15851" spans="1:17" x14ac:dyDescent="0.2">
      <c r="A15851" s="121">
        <v>44773</v>
      </c>
      <c r="B15851" t="s">
        <v>406</v>
      </c>
      <c r="C15851" t="s">
        <v>451</v>
      </c>
      <c r="D15851" t="s">
        <v>454</v>
      </c>
      <c r="E15851" t="s">
        <v>621</v>
      </c>
      <c r="F15851" t="s">
        <v>410</v>
      </c>
      <c r="G15851">
        <v>2072</v>
      </c>
      <c r="H15851">
        <v>2072</v>
      </c>
      <c r="I15851">
        <v>2058</v>
      </c>
      <c r="J15851">
        <v>2058</v>
      </c>
      <c r="K15851">
        <v>0</v>
      </c>
      <c r="L15851">
        <v>0</v>
      </c>
      <c r="M15851">
        <v>1915</v>
      </c>
      <c r="N15851">
        <v>3</v>
      </c>
      <c r="O15851">
        <v>154</v>
      </c>
      <c r="P15851">
        <v>0</v>
      </c>
      <c r="Q15851">
        <v>0</v>
      </c>
    </row>
    <row r="15852" spans="1:17" x14ac:dyDescent="0.2">
      <c r="A15852" s="121">
        <v>44773</v>
      </c>
      <c r="B15852" t="s">
        <v>406</v>
      </c>
      <c r="C15852" t="s">
        <v>451</v>
      </c>
      <c r="D15852" t="s">
        <v>622</v>
      </c>
      <c r="E15852" t="s">
        <v>623</v>
      </c>
      <c r="F15852" t="s">
        <v>413</v>
      </c>
      <c r="G15852">
        <v>4918</v>
      </c>
      <c r="H15852">
        <v>4918</v>
      </c>
      <c r="I15852">
        <v>2429</v>
      </c>
      <c r="J15852">
        <v>2429</v>
      </c>
      <c r="K15852">
        <v>1454</v>
      </c>
      <c r="L15852">
        <v>8</v>
      </c>
      <c r="M15852">
        <v>2911</v>
      </c>
      <c r="N15852">
        <v>32</v>
      </c>
      <c r="O15852">
        <v>513</v>
      </c>
      <c r="P15852">
        <v>931</v>
      </c>
      <c r="Q15852">
        <v>366</v>
      </c>
    </row>
    <row r="15853" spans="1:17" x14ac:dyDescent="0.2">
      <c r="A15853" s="121">
        <v>44773</v>
      </c>
      <c r="B15853" t="s">
        <v>406</v>
      </c>
      <c r="C15853" t="s">
        <v>456</v>
      </c>
      <c r="D15853" t="s">
        <v>457</v>
      </c>
      <c r="E15853" t="s">
        <v>458</v>
      </c>
      <c r="F15853" t="s">
        <v>413</v>
      </c>
      <c r="G15853">
        <v>4414</v>
      </c>
      <c r="H15853">
        <v>4414</v>
      </c>
      <c r="I15853">
        <v>2273</v>
      </c>
      <c r="J15853">
        <v>2273</v>
      </c>
      <c r="K15853">
        <v>1422</v>
      </c>
      <c r="L15853">
        <v>10</v>
      </c>
      <c r="M15853">
        <v>2776</v>
      </c>
      <c r="N15853">
        <v>14</v>
      </c>
      <c r="O15853">
        <v>192</v>
      </c>
      <c r="P15853">
        <v>523</v>
      </c>
      <c r="Q15853">
        <v>110</v>
      </c>
    </row>
    <row r="15854" spans="1:17" x14ac:dyDescent="0.2">
      <c r="A15854" s="121">
        <v>44773</v>
      </c>
      <c r="B15854" t="s">
        <v>406</v>
      </c>
      <c r="C15854" t="s">
        <v>456</v>
      </c>
      <c r="D15854" t="s">
        <v>459</v>
      </c>
      <c r="E15854" t="s">
        <v>460</v>
      </c>
      <c r="F15854" t="s">
        <v>413</v>
      </c>
      <c r="G15854">
        <v>1280</v>
      </c>
      <c r="H15854">
        <v>1280</v>
      </c>
      <c r="I15854">
        <v>1172</v>
      </c>
      <c r="J15854">
        <v>1172</v>
      </c>
      <c r="K15854">
        <v>144</v>
      </c>
      <c r="L15854">
        <v>0</v>
      </c>
      <c r="M15854">
        <v>1119</v>
      </c>
      <c r="N15854">
        <v>0</v>
      </c>
      <c r="O15854">
        <v>17</v>
      </c>
      <c r="P15854">
        <v>1</v>
      </c>
      <c r="Q15854">
        <v>0</v>
      </c>
    </row>
    <row r="15855" spans="1:17" x14ac:dyDescent="0.2">
      <c r="A15855" s="121">
        <v>44773</v>
      </c>
      <c r="B15855" t="s">
        <v>406</v>
      </c>
      <c r="C15855" t="s">
        <v>456</v>
      </c>
      <c r="D15855" t="s">
        <v>467</v>
      </c>
      <c r="E15855" t="s">
        <v>468</v>
      </c>
      <c r="F15855" t="s">
        <v>410</v>
      </c>
      <c r="G15855">
        <v>654</v>
      </c>
      <c r="I15855">
        <v>653</v>
      </c>
    </row>
    <row r="15856" spans="1:17" x14ac:dyDescent="0.2">
      <c r="A15856" s="121">
        <v>44773</v>
      </c>
      <c r="B15856" t="s">
        <v>406</v>
      </c>
      <c r="C15856" t="s">
        <v>456</v>
      </c>
      <c r="D15856" t="s">
        <v>469</v>
      </c>
      <c r="E15856" t="s">
        <v>470</v>
      </c>
      <c r="F15856" t="s">
        <v>410</v>
      </c>
      <c r="G15856">
        <v>558</v>
      </c>
      <c r="I15856">
        <v>558</v>
      </c>
    </row>
    <row r="15857" spans="1:17" x14ac:dyDescent="0.2">
      <c r="A15857" s="121">
        <v>44773</v>
      </c>
      <c r="B15857" t="s">
        <v>406</v>
      </c>
      <c r="C15857" t="s">
        <v>456</v>
      </c>
      <c r="D15857" t="s">
        <v>471</v>
      </c>
      <c r="E15857" t="s">
        <v>472</v>
      </c>
      <c r="F15857" t="s">
        <v>410</v>
      </c>
      <c r="G15857">
        <v>413</v>
      </c>
      <c r="I15857">
        <v>413</v>
      </c>
    </row>
    <row r="15858" spans="1:17" x14ac:dyDescent="0.2">
      <c r="A15858" s="121">
        <v>44773</v>
      </c>
      <c r="B15858" t="s">
        <v>406</v>
      </c>
      <c r="C15858" t="s">
        <v>456</v>
      </c>
      <c r="D15858" t="s">
        <v>475</v>
      </c>
      <c r="E15858" t="s">
        <v>476</v>
      </c>
      <c r="F15858" t="s">
        <v>410</v>
      </c>
      <c r="G15858">
        <v>77</v>
      </c>
      <c r="I15858">
        <v>77</v>
      </c>
    </row>
    <row r="15859" spans="1:17" x14ac:dyDescent="0.2">
      <c r="A15859" s="121">
        <v>44773</v>
      </c>
      <c r="B15859" t="s">
        <v>406</v>
      </c>
      <c r="C15859" t="s">
        <v>456</v>
      </c>
      <c r="D15859" t="s">
        <v>477</v>
      </c>
      <c r="E15859" t="s">
        <v>478</v>
      </c>
      <c r="F15859" t="s">
        <v>413</v>
      </c>
      <c r="G15859">
        <v>2518</v>
      </c>
      <c r="H15859">
        <v>2518</v>
      </c>
      <c r="I15859">
        <v>1885</v>
      </c>
      <c r="J15859">
        <v>1885</v>
      </c>
      <c r="K15859">
        <v>455</v>
      </c>
      <c r="L15859">
        <v>2</v>
      </c>
      <c r="M15859">
        <v>2038</v>
      </c>
      <c r="N15859">
        <v>12</v>
      </c>
      <c r="O15859">
        <v>11</v>
      </c>
      <c r="P15859">
        <v>180</v>
      </c>
      <c r="Q15859">
        <v>62</v>
      </c>
    </row>
    <row r="15860" spans="1:17" x14ac:dyDescent="0.2">
      <c r="A15860" s="121">
        <v>44773</v>
      </c>
      <c r="B15860" t="s">
        <v>406</v>
      </c>
      <c r="C15860" t="s">
        <v>491</v>
      </c>
      <c r="D15860" t="s">
        <v>492</v>
      </c>
      <c r="E15860" t="s">
        <v>493</v>
      </c>
      <c r="F15860" t="s">
        <v>410</v>
      </c>
      <c r="G15860">
        <v>1352</v>
      </c>
      <c r="H15860">
        <v>1352</v>
      </c>
      <c r="I15860">
        <v>1254</v>
      </c>
      <c r="J15860">
        <v>1254</v>
      </c>
      <c r="K15860">
        <v>128</v>
      </c>
      <c r="L15860">
        <v>0</v>
      </c>
      <c r="M15860">
        <v>1130</v>
      </c>
      <c r="N15860">
        <v>73</v>
      </c>
      <c r="O15860">
        <v>21</v>
      </c>
      <c r="P15860">
        <v>14</v>
      </c>
      <c r="Q15860">
        <v>6</v>
      </c>
    </row>
    <row r="15861" spans="1:17" x14ac:dyDescent="0.2">
      <c r="A15861" s="121">
        <v>44773</v>
      </c>
      <c r="B15861" t="s">
        <v>406</v>
      </c>
      <c r="C15861" t="s">
        <v>491</v>
      </c>
      <c r="D15861" t="s">
        <v>494</v>
      </c>
      <c r="E15861" t="s">
        <v>495</v>
      </c>
      <c r="F15861" t="s">
        <v>413</v>
      </c>
      <c r="G15861">
        <v>2511</v>
      </c>
      <c r="H15861">
        <v>2511</v>
      </c>
      <c r="I15861">
        <v>2142</v>
      </c>
      <c r="J15861">
        <v>2142</v>
      </c>
      <c r="K15861">
        <v>563</v>
      </c>
      <c r="L15861">
        <v>2</v>
      </c>
      <c r="M15861">
        <v>1820</v>
      </c>
      <c r="N15861">
        <v>66</v>
      </c>
      <c r="O15861">
        <v>60</v>
      </c>
      <c r="P15861">
        <v>54</v>
      </c>
      <c r="Q15861">
        <v>14</v>
      </c>
    </row>
    <row r="15862" spans="1:17" x14ac:dyDescent="0.2">
      <c r="A15862" s="121">
        <v>44773</v>
      </c>
      <c r="B15862" t="s">
        <v>406</v>
      </c>
      <c r="C15862" t="s">
        <v>491</v>
      </c>
      <c r="D15862" t="s">
        <v>496</v>
      </c>
      <c r="E15862" t="s">
        <v>497</v>
      </c>
      <c r="F15862" t="s">
        <v>413</v>
      </c>
      <c r="G15862">
        <v>4728</v>
      </c>
      <c r="H15862">
        <v>4728</v>
      </c>
      <c r="I15862">
        <v>2644</v>
      </c>
      <c r="J15862">
        <v>2644</v>
      </c>
      <c r="K15862">
        <v>1200</v>
      </c>
      <c r="L15862">
        <v>4</v>
      </c>
      <c r="M15862">
        <v>3246</v>
      </c>
      <c r="N15862">
        <v>94</v>
      </c>
      <c r="O15862">
        <v>184</v>
      </c>
      <c r="P15862">
        <v>900</v>
      </c>
      <c r="Q15862">
        <v>269</v>
      </c>
    </row>
    <row r="15863" spans="1:17" x14ac:dyDescent="0.2">
      <c r="A15863" s="121">
        <v>44773</v>
      </c>
      <c r="B15863" t="s">
        <v>406</v>
      </c>
      <c r="C15863" t="s">
        <v>491</v>
      </c>
      <c r="D15863" t="s">
        <v>498</v>
      </c>
      <c r="E15863" t="s">
        <v>499</v>
      </c>
      <c r="F15863" t="s">
        <v>413</v>
      </c>
      <c r="G15863">
        <v>7083</v>
      </c>
      <c r="H15863">
        <v>7083</v>
      </c>
      <c r="I15863">
        <v>4285</v>
      </c>
      <c r="J15863">
        <v>4285</v>
      </c>
      <c r="K15863">
        <v>1923</v>
      </c>
      <c r="L15863">
        <v>16</v>
      </c>
      <c r="M15863">
        <v>4483</v>
      </c>
      <c r="N15863">
        <v>128</v>
      </c>
      <c r="O15863">
        <v>533</v>
      </c>
      <c r="P15863">
        <v>698</v>
      </c>
      <c r="Q15863">
        <v>133</v>
      </c>
    </row>
    <row r="15864" spans="1:17" x14ac:dyDescent="0.2">
      <c r="A15864" s="121">
        <v>44773</v>
      </c>
      <c r="B15864" t="s">
        <v>406</v>
      </c>
      <c r="C15864" t="s">
        <v>491</v>
      </c>
      <c r="D15864" t="s">
        <v>500</v>
      </c>
      <c r="E15864" t="s">
        <v>620</v>
      </c>
      <c r="F15864" t="s">
        <v>410</v>
      </c>
      <c r="G15864">
        <v>1995</v>
      </c>
      <c r="H15864">
        <v>1995</v>
      </c>
      <c r="I15864">
        <v>1933</v>
      </c>
      <c r="J15864">
        <v>1933</v>
      </c>
      <c r="K15864">
        <v>0</v>
      </c>
      <c r="L15864">
        <v>1</v>
      </c>
      <c r="M15864">
        <v>1612</v>
      </c>
      <c r="N15864">
        <v>69</v>
      </c>
      <c r="O15864">
        <v>313</v>
      </c>
      <c r="P15864">
        <v>0</v>
      </c>
      <c r="Q15864">
        <v>0</v>
      </c>
    </row>
    <row r="15865" spans="1:17" x14ac:dyDescent="0.2">
      <c r="A15865" s="121">
        <v>44773</v>
      </c>
      <c r="B15865" t="s">
        <v>406</v>
      </c>
      <c r="C15865" t="s">
        <v>491</v>
      </c>
      <c r="D15865" t="s">
        <v>502</v>
      </c>
      <c r="E15865" t="s">
        <v>615</v>
      </c>
      <c r="F15865" t="s">
        <v>410</v>
      </c>
      <c r="G15865">
        <v>2274</v>
      </c>
      <c r="H15865">
        <v>2274</v>
      </c>
      <c r="I15865">
        <v>2236</v>
      </c>
      <c r="J15865">
        <v>2236</v>
      </c>
      <c r="K15865">
        <v>0</v>
      </c>
      <c r="L15865">
        <v>1</v>
      </c>
      <c r="M15865">
        <v>2042</v>
      </c>
      <c r="N15865">
        <v>112</v>
      </c>
      <c r="O15865">
        <v>119</v>
      </c>
      <c r="P15865">
        <v>0</v>
      </c>
      <c r="Q15865">
        <v>0</v>
      </c>
    </row>
    <row r="15866" spans="1:17" x14ac:dyDescent="0.2">
      <c r="A15866" s="121">
        <v>44773</v>
      </c>
      <c r="B15866" t="s">
        <v>406</v>
      </c>
      <c r="C15866" t="s">
        <v>491</v>
      </c>
      <c r="D15866" t="s">
        <v>504</v>
      </c>
      <c r="E15866" t="s">
        <v>630</v>
      </c>
      <c r="F15866" t="s">
        <v>413</v>
      </c>
      <c r="G15866">
        <v>7926</v>
      </c>
      <c r="H15866">
        <v>7926</v>
      </c>
      <c r="I15866">
        <v>4390</v>
      </c>
      <c r="J15866">
        <v>4390</v>
      </c>
      <c r="K15866">
        <v>2648</v>
      </c>
      <c r="L15866">
        <v>21</v>
      </c>
      <c r="M15866">
        <v>4816</v>
      </c>
      <c r="N15866">
        <v>67</v>
      </c>
      <c r="O15866">
        <v>374</v>
      </c>
      <c r="P15866">
        <v>548</v>
      </c>
      <c r="Q15866">
        <v>63</v>
      </c>
    </row>
    <row r="15867" spans="1:17" x14ac:dyDescent="0.2">
      <c r="A15867" s="121">
        <v>44773</v>
      </c>
      <c r="B15867" t="s">
        <v>406</v>
      </c>
      <c r="C15867" t="s">
        <v>491</v>
      </c>
      <c r="D15867" t="s">
        <v>506</v>
      </c>
      <c r="E15867" t="s">
        <v>507</v>
      </c>
      <c r="F15867" t="s">
        <v>413</v>
      </c>
      <c r="G15867">
        <v>5416</v>
      </c>
      <c r="H15867">
        <v>5416</v>
      </c>
      <c r="I15867">
        <v>5289</v>
      </c>
      <c r="J15867">
        <v>5289</v>
      </c>
      <c r="K15867">
        <v>985</v>
      </c>
      <c r="L15867">
        <v>7</v>
      </c>
      <c r="M15867">
        <v>4412</v>
      </c>
      <c r="N15867">
        <v>0</v>
      </c>
      <c r="O15867">
        <v>12</v>
      </c>
      <c r="P15867">
        <v>0</v>
      </c>
      <c r="Q15867">
        <v>0</v>
      </c>
    </row>
    <row r="15868" spans="1:17" x14ac:dyDescent="0.2">
      <c r="A15868" s="121">
        <v>44773</v>
      </c>
      <c r="B15868" t="s">
        <v>406</v>
      </c>
      <c r="C15868" t="s">
        <v>510</v>
      </c>
      <c r="D15868" t="s">
        <v>513</v>
      </c>
      <c r="E15868" t="s">
        <v>514</v>
      </c>
      <c r="F15868" t="s">
        <v>410</v>
      </c>
      <c r="G15868">
        <v>726</v>
      </c>
      <c r="I15868">
        <v>722</v>
      </c>
    </row>
    <row r="15869" spans="1:17" x14ac:dyDescent="0.2">
      <c r="A15869" s="121">
        <v>44773</v>
      </c>
      <c r="B15869" t="s">
        <v>406</v>
      </c>
      <c r="C15869" t="s">
        <v>510</v>
      </c>
      <c r="D15869" t="s">
        <v>515</v>
      </c>
      <c r="E15869" t="s">
        <v>516</v>
      </c>
      <c r="F15869" t="s">
        <v>410</v>
      </c>
      <c r="G15869">
        <v>105</v>
      </c>
      <c r="I15869">
        <v>96</v>
      </c>
    </row>
    <row r="15870" spans="1:17" x14ac:dyDescent="0.2">
      <c r="A15870" s="121">
        <v>44773</v>
      </c>
      <c r="B15870" t="s">
        <v>406</v>
      </c>
      <c r="C15870" t="s">
        <v>510</v>
      </c>
      <c r="D15870" t="s">
        <v>519</v>
      </c>
      <c r="E15870" t="s">
        <v>520</v>
      </c>
      <c r="F15870" t="s">
        <v>410</v>
      </c>
      <c r="G15870">
        <v>333</v>
      </c>
      <c r="I15870">
        <v>329</v>
      </c>
    </row>
    <row r="15871" spans="1:17" x14ac:dyDescent="0.2">
      <c r="A15871" s="121">
        <v>44773</v>
      </c>
      <c r="B15871" t="s">
        <v>406</v>
      </c>
      <c r="C15871" t="s">
        <v>510</v>
      </c>
      <c r="D15871" t="s">
        <v>523</v>
      </c>
      <c r="E15871" t="s">
        <v>524</v>
      </c>
      <c r="F15871" t="s">
        <v>413</v>
      </c>
      <c r="G15871">
        <v>804</v>
      </c>
      <c r="H15871">
        <v>804</v>
      </c>
      <c r="I15871">
        <v>697</v>
      </c>
      <c r="J15871">
        <v>697</v>
      </c>
      <c r="K15871">
        <v>152</v>
      </c>
      <c r="L15871">
        <v>0</v>
      </c>
      <c r="M15871">
        <v>608</v>
      </c>
      <c r="N15871">
        <v>18</v>
      </c>
      <c r="O15871">
        <v>26</v>
      </c>
      <c r="P15871">
        <v>9</v>
      </c>
      <c r="Q15871">
        <v>2</v>
      </c>
    </row>
    <row r="15872" spans="1:17" x14ac:dyDescent="0.2">
      <c r="A15872" s="121">
        <v>44773</v>
      </c>
      <c r="B15872" t="s">
        <v>406</v>
      </c>
      <c r="C15872" t="s">
        <v>510</v>
      </c>
      <c r="D15872" t="s">
        <v>525</v>
      </c>
      <c r="E15872" t="s">
        <v>526</v>
      </c>
      <c r="F15872" t="s">
        <v>410</v>
      </c>
      <c r="G15872">
        <v>377</v>
      </c>
      <c r="H15872">
        <v>377</v>
      </c>
      <c r="I15872">
        <v>347</v>
      </c>
      <c r="J15872">
        <v>347</v>
      </c>
      <c r="K15872">
        <v>27</v>
      </c>
      <c r="L15872">
        <v>0</v>
      </c>
      <c r="M15872">
        <v>319</v>
      </c>
      <c r="N15872">
        <v>20</v>
      </c>
      <c r="O15872">
        <v>11</v>
      </c>
      <c r="P15872">
        <v>7</v>
      </c>
      <c r="Q15872">
        <v>2</v>
      </c>
    </row>
    <row r="15873" spans="1:17" x14ac:dyDescent="0.2">
      <c r="A15873" s="121">
        <v>44773</v>
      </c>
      <c r="B15873" t="s">
        <v>406</v>
      </c>
      <c r="C15873" t="s">
        <v>510</v>
      </c>
      <c r="D15873" t="s">
        <v>527</v>
      </c>
      <c r="E15873" t="s">
        <v>528</v>
      </c>
      <c r="F15873" t="s">
        <v>410</v>
      </c>
      <c r="G15873">
        <v>33</v>
      </c>
      <c r="I15873">
        <v>33</v>
      </c>
    </row>
    <row r="15874" spans="1:17" x14ac:dyDescent="0.2">
      <c r="A15874" s="121">
        <v>44773</v>
      </c>
      <c r="B15874" t="s">
        <v>406</v>
      </c>
      <c r="C15874" t="s">
        <v>510</v>
      </c>
      <c r="D15874" t="s">
        <v>529</v>
      </c>
      <c r="E15874" t="s">
        <v>530</v>
      </c>
      <c r="F15874" t="s">
        <v>413</v>
      </c>
      <c r="G15874">
        <v>869</v>
      </c>
      <c r="H15874">
        <v>869</v>
      </c>
      <c r="I15874">
        <v>722</v>
      </c>
      <c r="J15874">
        <v>722</v>
      </c>
      <c r="K15874">
        <v>144</v>
      </c>
      <c r="L15874">
        <v>3</v>
      </c>
      <c r="M15874">
        <v>673</v>
      </c>
      <c r="N15874">
        <v>24</v>
      </c>
      <c r="O15874">
        <v>25</v>
      </c>
      <c r="P15874">
        <v>30</v>
      </c>
      <c r="Q15874">
        <v>6</v>
      </c>
    </row>
    <row r="15875" spans="1:17" x14ac:dyDescent="0.2">
      <c r="A15875" s="121">
        <v>44773</v>
      </c>
      <c r="B15875" t="s">
        <v>406</v>
      </c>
      <c r="C15875" t="s">
        <v>510</v>
      </c>
      <c r="D15875" t="s">
        <v>531</v>
      </c>
      <c r="E15875" t="s">
        <v>532</v>
      </c>
      <c r="F15875" t="s">
        <v>410</v>
      </c>
      <c r="G15875">
        <v>43</v>
      </c>
      <c r="I15875">
        <v>43</v>
      </c>
    </row>
    <row r="15876" spans="1:17" x14ac:dyDescent="0.2">
      <c r="A15876" s="121">
        <v>44773</v>
      </c>
      <c r="B15876" t="s">
        <v>406</v>
      </c>
      <c r="C15876" t="s">
        <v>510</v>
      </c>
      <c r="D15876" t="s">
        <v>533</v>
      </c>
      <c r="E15876" t="s">
        <v>534</v>
      </c>
      <c r="F15876" t="s">
        <v>413</v>
      </c>
      <c r="G15876">
        <v>3283</v>
      </c>
      <c r="H15876">
        <v>3283</v>
      </c>
      <c r="I15876">
        <v>2227</v>
      </c>
      <c r="J15876">
        <v>2227</v>
      </c>
      <c r="K15876">
        <v>759</v>
      </c>
      <c r="L15876">
        <v>5</v>
      </c>
      <c r="M15876">
        <v>2181</v>
      </c>
      <c r="N15876">
        <v>25</v>
      </c>
      <c r="O15876">
        <v>313</v>
      </c>
      <c r="P15876">
        <v>250</v>
      </c>
      <c r="Q15876">
        <v>51</v>
      </c>
    </row>
    <row r="15877" spans="1:17" x14ac:dyDescent="0.2">
      <c r="A15877" s="121">
        <v>44773</v>
      </c>
      <c r="B15877" t="s">
        <v>406</v>
      </c>
      <c r="C15877" t="s">
        <v>510</v>
      </c>
      <c r="D15877" t="s">
        <v>535</v>
      </c>
      <c r="E15877" t="s">
        <v>536</v>
      </c>
      <c r="F15877" t="s">
        <v>410</v>
      </c>
      <c r="G15877">
        <v>351</v>
      </c>
      <c r="I15877">
        <v>349</v>
      </c>
    </row>
    <row r="15878" spans="1:17" x14ac:dyDescent="0.2">
      <c r="A15878" s="121">
        <v>44773</v>
      </c>
      <c r="B15878" t="s">
        <v>406</v>
      </c>
      <c r="C15878" t="s">
        <v>510</v>
      </c>
      <c r="D15878" t="s">
        <v>539</v>
      </c>
      <c r="E15878" t="s">
        <v>540</v>
      </c>
      <c r="F15878" t="s">
        <v>413</v>
      </c>
      <c r="G15878">
        <v>940</v>
      </c>
      <c r="H15878">
        <v>940</v>
      </c>
      <c r="I15878">
        <v>813</v>
      </c>
      <c r="J15878">
        <v>813</v>
      </c>
      <c r="K15878">
        <v>135</v>
      </c>
      <c r="L15878">
        <v>1</v>
      </c>
      <c r="M15878">
        <v>737</v>
      </c>
      <c r="N15878">
        <v>30</v>
      </c>
      <c r="O15878">
        <v>37</v>
      </c>
      <c r="P15878">
        <v>8</v>
      </c>
      <c r="Q15878">
        <v>0</v>
      </c>
    </row>
    <row r="15879" spans="1:17" x14ac:dyDescent="0.2">
      <c r="A15879" s="121">
        <v>44773</v>
      </c>
      <c r="B15879" t="s">
        <v>406</v>
      </c>
      <c r="C15879" t="s">
        <v>510</v>
      </c>
      <c r="D15879" t="s">
        <v>547</v>
      </c>
      <c r="E15879" t="s">
        <v>548</v>
      </c>
      <c r="F15879" t="s">
        <v>410</v>
      </c>
      <c r="G15879">
        <v>21</v>
      </c>
      <c r="I15879">
        <v>21</v>
      </c>
    </row>
    <row r="15880" spans="1:17" x14ac:dyDescent="0.2">
      <c r="A15880" s="121">
        <v>44773</v>
      </c>
      <c r="B15880" t="s">
        <v>406</v>
      </c>
      <c r="C15880" t="s">
        <v>510</v>
      </c>
      <c r="D15880" t="s">
        <v>616</v>
      </c>
      <c r="E15880" t="s">
        <v>617</v>
      </c>
      <c r="F15880" t="s">
        <v>410</v>
      </c>
      <c r="G15880">
        <v>363</v>
      </c>
      <c r="I15880">
        <v>345</v>
      </c>
    </row>
    <row r="15881" spans="1:17" x14ac:dyDescent="0.2">
      <c r="A15881" s="121">
        <v>44773</v>
      </c>
      <c r="B15881" t="s">
        <v>406</v>
      </c>
      <c r="C15881" t="s">
        <v>510</v>
      </c>
      <c r="D15881" t="s">
        <v>549</v>
      </c>
      <c r="E15881" t="s">
        <v>550</v>
      </c>
      <c r="F15881" t="s">
        <v>410</v>
      </c>
      <c r="G15881">
        <v>74</v>
      </c>
      <c r="I15881">
        <v>74</v>
      </c>
    </row>
    <row r="15882" spans="1:17" x14ac:dyDescent="0.2">
      <c r="A15882" s="121">
        <v>44773</v>
      </c>
      <c r="B15882" t="s">
        <v>406</v>
      </c>
      <c r="C15882" t="s">
        <v>510</v>
      </c>
      <c r="D15882" t="s">
        <v>625</v>
      </c>
      <c r="E15882" t="s">
        <v>626</v>
      </c>
      <c r="F15882" t="s">
        <v>410</v>
      </c>
      <c r="G15882">
        <v>150</v>
      </c>
      <c r="I15882">
        <v>145</v>
      </c>
    </row>
    <row r="15883" spans="1:17" x14ac:dyDescent="0.2">
      <c r="A15883" s="121">
        <v>44773</v>
      </c>
      <c r="B15883" t="s">
        <v>406</v>
      </c>
      <c r="C15883" t="s">
        <v>510</v>
      </c>
      <c r="D15883" t="s">
        <v>634</v>
      </c>
      <c r="E15883" t="s">
        <v>635</v>
      </c>
      <c r="F15883" t="s">
        <v>410</v>
      </c>
      <c r="G15883">
        <v>387</v>
      </c>
      <c r="I15883">
        <v>387</v>
      </c>
    </row>
    <row r="15884" spans="1:17" x14ac:dyDescent="0.2">
      <c r="A15884" s="121">
        <v>44773</v>
      </c>
      <c r="B15884" t="s">
        <v>406</v>
      </c>
      <c r="C15884" t="s">
        <v>551</v>
      </c>
      <c r="D15884" t="s">
        <v>552</v>
      </c>
      <c r="E15884" t="s">
        <v>553</v>
      </c>
      <c r="F15884" t="s">
        <v>413</v>
      </c>
      <c r="G15884">
        <v>5581</v>
      </c>
      <c r="H15884">
        <v>5581</v>
      </c>
      <c r="I15884">
        <v>3275</v>
      </c>
      <c r="J15884">
        <v>3275</v>
      </c>
      <c r="K15884">
        <v>1770</v>
      </c>
      <c r="L15884">
        <v>7</v>
      </c>
      <c r="M15884">
        <v>3694</v>
      </c>
      <c r="N15884">
        <v>76</v>
      </c>
      <c r="O15884">
        <v>34</v>
      </c>
      <c r="P15884">
        <v>713</v>
      </c>
      <c r="Q15884">
        <v>214</v>
      </c>
    </row>
    <row r="15885" spans="1:17" x14ac:dyDescent="0.2">
      <c r="A15885" s="121">
        <v>44773</v>
      </c>
      <c r="B15885" t="s">
        <v>406</v>
      </c>
      <c r="C15885" t="s">
        <v>551</v>
      </c>
      <c r="D15885" t="s">
        <v>558</v>
      </c>
      <c r="E15885" t="s">
        <v>559</v>
      </c>
      <c r="F15885" t="s">
        <v>413</v>
      </c>
      <c r="G15885">
        <v>5288</v>
      </c>
      <c r="H15885">
        <v>5288</v>
      </c>
      <c r="I15885">
        <v>2666</v>
      </c>
      <c r="J15885">
        <v>2666</v>
      </c>
      <c r="K15885">
        <v>1302</v>
      </c>
      <c r="L15885">
        <v>8</v>
      </c>
      <c r="M15885">
        <v>3829</v>
      </c>
      <c r="N15885">
        <v>121</v>
      </c>
      <c r="O15885">
        <v>28</v>
      </c>
      <c r="P15885">
        <v>665</v>
      </c>
      <c r="Q15885">
        <v>165</v>
      </c>
    </row>
    <row r="15886" spans="1:17" x14ac:dyDescent="0.2">
      <c r="A15886" s="121">
        <v>44773</v>
      </c>
      <c r="B15886" t="s">
        <v>406</v>
      </c>
      <c r="C15886" t="s">
        <v>551</v>
      </c>
      <c r="D15886" t="s">
        <v>560</v>
      </c>
      <c r="E15886" t="s">
        <v>561</v>
      </c>
      <c r="F15886" t="s">
        <v>413</v>
      </c>
      <c r="G15886">
        <v>5644</v>
      </c>
      <c r="H15886">
        <v>5644</v>
      </c>
      <c r="I15886">
        <v>2942</v>
      </c>
      <c r="J15886">
        <v>2942</v>
      </c>
      <c r="K15886">
        <v>1870</v>
      </c>
      <c r="L15886">
        <v>4</v>
      </c>
      <c r="M15886">
        <v>3612</v>
      </c>
      <c r="N15886">
        <v>66</v>
      </c>
      <c r="O15886">
        <v>92</v>
      </c>
      <c r="P15886">
        <v>1248</v>
      </c>
      <c r="Q15886">
        <v>449</v>
      </c>
    </row>
    <row r="15887" spans="1:17" x14ac:dyDescent="0.2">
      <c r="A15887" s="121">
        <v>44773</v>
      </c>
      <c r="B15887" t="s">
        <v>406</v>
      </c>
      <c r="C15887" t="s">
        <v>562</v>
      </c>
      <c r="D15887" t="s">
        <v>563</v>
      </c>
      <c r="E15887" t="s">
        <v>564</v>
      </c>
      <c r="F15887" t="s">
        <v>410</v>
      </c>
      <c r="G15887">
        <v>3199</v>
      </c>
      <c r="H15887">
        <v>3199</v>
      </c>
      <c r="I15887">
        <v>1844</v>
      </c>
      <c r="J15887">
        <v>1844</v>
      </c>
      <c r="K15887">
        <v>1111</v>
      </c>
      <c r="L15887">
        <v>0</v>
      </c>
      <c r="M15887">
        <v>1325</v>
      </c>
      <c r="N15887">
        <v>10</v>
      </c>
      <c r="O15887">
        <v>753</v>
      </c>
      <c r="P15887">
        <v>452</v>
      </c>
      <c r="Q15887">
        <v>211</v>
      </c>
    </row>
    <row r="15888" spans="1:17" x14ac:dyDescent="0.2">
      <c r="A15888" s="121">
        <v>44773</v>
      </c>
      <c r="B15888" t="s">
        <v>406</v>
      </c>
      <c r="C15888" t="s">
        <v>562</v>
      </c>
      <c r="D15888" t="s">
        <v>565</v>
      </c>
      <c r="E15888" t="s">
        <v>566</v>
      </c>
      <c r="F15888" t="s">
        <v>413</v>
      </c>
      <c r="G15888">
        <v>4693</v>
      </c>
      <c r="H15888">
        <v>4693</v>
      </c>
      <c r="I15888">
        <v>3172</v>
      </c>
      <c r="J15888">
        <v>3172</v>
      </c>
      <c r="K15888">
        <v>841</v>
      </c>
      <c r="L15888">
        <v>1</v>
      </c>
      <c r="M15888">
        <v>3331</v>
      </c>
      <c r="N15888">
        <v>51</v>
      </c>
      <c r="O15888">
        <v>469</v>
      </c>
      <c r="P15888">
        <v>532</v>
      </c>
      <c r="Q15888">
        <v>249</v>
      </c>
    </row>
    <row r="15889" spans="1:17" x14ac:dyDescent="0.2">
      <c r="A15889" s="121">
        <v>44773</v>
      </c>
      <c r="B15889" t="s">
        <v>406</v>
      </c>
      <c r="C15889" t="s">
        <v>562</v>
      </c>
      <c r="D15889" t="s">
        <v>567</v>
      </c>
      <c r="E15889" t="s">
        <v>568</v>
      </c>
      <c r="F15889" t="s">
        <v>413</v>
      </c>
      <c r="G15889">
        <v>9855</v>
      </c>
      <c r="H15889">
        <v>9855</v>
      </c>
      <c r="I15889">
        <v>4828</v>
      </c>
      <c r="J15889">
        <v>4828</v>
      </c>
      <c r="K15889">
        <v>2344</v>
      </c>
      <c r="L15889">
        <v>4</v>
      </c>
      <c r="M15889">
        <v>6335</v>
      </c>
      <c r="N15889">
        <v>137</v>
      </c>
      <c r="O15889">
        <v>1035</v>
      </c>
      <c r="P15889">
        <v>1819</v>
      </c>
      <c r="Q15889">
        <v>932</v>
      </c>
    </row>
    <row r="15890" spans="1:17" x14ac:dyDescent="0.2">
      <c r="A15890" s="121">
        <v>44773</v>
      </c>
      <c r="B15890" t="s">
        <v>406</v>
      </c>
      <c r="C15890" t="s">
        <v>562</v>
      </c>
      <c r="D15890" t="s">
        <v>569</v>
      </c>
      <c r="E15890" t="s">
        <v>570</v>
      </c>
      <c r="F15890" t="s">
        <v>413</v>
      </c>
      <c r="G15890">
        <v>4221</v>
      </c>
      <c r="H15890">
        <v>4221</v>
      </c>
      <c r="I15890">
        <v>4060</v>
      </c>
      <c r="J15890">
        <v>4060</v>
      </c>
      <c r="K15890">
        <v>554</v>
      </c>
      <c r="L15890">
        <v>1</v>
      </c>
      <c r="M15890">
        <v>3506</v>
      </c>
      <c r="N15890">
        <v>133</v>
      </c>
      <c r="O15890">
        <v>27</v>
      </c>
      <c r="P15890">
        <v>3</v>
      </c>
      <c r="Q15890">
        <v>0</v>
      </c>
    </row>
    <row r="15891" spans="1:17" x14ac:dyDescent="0.2">
      <c r="A15891" s="121">
        <v>44773</v>
      </c>
      <c r="B15891" t="s">
        <v>406</v>
      </c>
      <c r="C15891" t="s">
        <v>571</v>
      </c>
      <c r="D15891" t="s">
        <v>572</v>
      </c>
      <c r="E15891" t="s">
        <v>627</v>
      </c>
      <c r="F15891" t="s">
        <v>413</v>
      </c>
      <c r="G15891">
        <v>612</v>
      </c>
      <c r="H15891">
        <v>612</v>
      </c>
      <c r="I15891">
        <v>568</v>
      </c>
      <c r="J15891">
        <v>568</v>
      </c>
      <c r="K15891">
        <v>122</v>
      </c>
      <c r="L15891">
        <v>0</v>
      </c>
      <c r="M15891">
        <v>478</v>
      </c>
      <c r="N15891">
        <v>7</v>
      </c>
      <c r="O15891">
        <v>5</v>
      </c>
      <c r="P15891">
        <v>9</v>
      </c>
      <c r="Q15891">
        <v>2</v>
      </c>
    </row>
    <row r="15892" spans="1:17" x14ac:dyDescent="0.2">
      <c r="A15892" s="121">
        <v>44773</v>
      </c>
      <c r="B15892" t="s">
        <v>406</v>
      </c>
      <c r="C15892" t="s">
        <v>574</v>
      </c>
      <c r="D15892" t="s">
        <v>575</v>
      </c>
      <c r="E15892" t="s">
        <v>576</v>
      </c>
      <c r="F15892" t="s">
        <v>413</v>
      </c>
      <c r="G15892">
        <v>622</v>
      </c>
      <c r="H15892">
        <v>622</v>
      </c>
      <c r="I15892">
        <v>576</v>
      </c>
      <c r="J15892">
        <v>576</v>
      </c>
      <c r="K15892">
        <v>134</v>
      </c>
      <c r="L15892">
        <v>1</v>
      </c>
      <c r="M15892">
        <v>474</v>
      </c>
      <c r="N15892">
        <v>3</v>
      </c>
      <c r="O15892">
        <v>10</v>
      </c>
      <c r="P15892">
        <v>1</v>
      </c>
      <c r="Q15892">
        <v>0</v>
      </c>
    </row>
    <row r="15893" spans="1:17" x14ac:dyDescent="0.2">
      <c r="A15893" s="121">
        <v>44773</v>
      </c>
      <c r="B15893" t="s">
        <v>406</v>
      </c>
      <c r="C15893" t="s">
        <v>577</v>
      </c>
      <c r="D15893" t="s">
        <v>578</v>
      </c>
      <c r="E15893" t="s">
        <v>579</v>
      </c>
      <c r="F15893" t="s">
        <v>413</v>
      </c>
      <c r="G15893">
        <v>5007</v>
      </c>
      <c r="H15893">
        <v>5007</v>
      </c>
      <c r="I15893">
        <v>4458</v>
      </c>
      <c r="J15893">
        <v>4458</v>
      </c>
      <c r="K15893">
        <v>1672</v>
      </c>
      <c r="L15893">
        <v>4</v>
      </c>
      <c r="M15893">
        <v>2987</v>
      </c>
      <c r="N15893">
        <v>242</v>
      </c>
      <c r="O15893">
        <v>102</v>
      </c>
      <c r="P15893">
        <v>15</v>
      </c>
      <c r="Q15893">
        <v>1</v>
      </c>
    </row>
    <row r="15894" spans="1:17" x14ac:dyDescent="0.2">
      <c r="A15894" s="121">
        <v>44773</v>
      </c>
      <c r="B15894" t="s">
        <v>406</v>
      </c>
      <c r="C15894" t="s">
        <v>577</v>
      </c>
      <c r="D15894" t="s">
        <v>580</v>
      </c>
      <c r="E15894" t="s">
        <v>581</v>
      </c>
      <c r="F15894" t="s">
        <v>413</v>
      </c>
      <c r="G15894">
        <v>2016</v>
      </c>
      <c r="H15894">
        <v>2016</v>
      </c>
      <c r="I15894">
        <v>1832</v>
      </c>
      <c r="J15894">
        <v>1832</v>
      </c>
      <c r="K15894">
        <v>251</v>
      </c>
      <c r="L15894">
        <v>0</v>
      </c>
      <c r="M15894">
        <v>1572</v>
      </c>
      <c r="N15894">
        <v>162</v>
      </c>
      <c r="O15894">
        <v>31</v>
      </c>
      <c r="P15894">
        <v>17</v>
      </c>
      <c r="Q15894">
        <v>7</v>
      </c>
    </row>
    <row r="15895" spans="1:17" x14ac:dyDescent="0.2">
      <c r="A15895" s="121">
        <v>44773</v>
      </c>
      <c r="B15895" t="s">
        <v>406</v>
      </c>
      <c r="C15895" t="s">
        <v>577</v>
      </c>
      <c r="D15895" t="s">
        <v>586</v>
      </c>
      <c r="E15895" t="s">
        <v>587</v>
      </c>
      <c r="F15895" t="s">
        <v>410</v>
      </c>
      <c r="G15895">
        <v>621</v>
      </c>
      <c r="H15895">
        <v>621</v>
      </c>
      <c r="I15895">
        <v>621</v>
      </c>
      <c r="J15895">
        <v>621</v>
      </c>
      <c r="K15895">
        <v>0</v>
      </c>
      <c r="L15895">
        <v>0</v>
      </c>
      <c r="M15895">
        <v>566</v>
      </c>
      <c r="N15895">
        <v>55</v>
      </c>
      <c r="O15895">
        <v>0</v>
      </c>
      <c r="P15895">
        <v>0</v>
      </c>
      <c r="Q15895">
        <v>0</v>
      </c>
    </row>
    <row r="15896" spans="1:17" x14ac:dyDescent="0.2">
      <c r="A15896" s="121">
        <v>44773</v>
      </c>
      <c r="B15896" t="s">
        <v>406</v>
      </c>
      <c r="C15896" t="s">
        <v>577</v>
      </c>
      <c r="D15896" t="s">
        <v>590</v>
      </c>
      <c r="E15896" t="s">
        <v>591</v>
      </c>
      <c r="F15896" t="s">
        <v>410</v>
      </c>
      <c r="G15896">
        <v>306</v>
      </c>
      <c r="H15896">
        <v>306</v>
      </c>
      <c r="I15896">
        <v>306</v>
      </c>
      <c r="J15896">
        <v>306</v>
      </c>
      <c r="K15896">
        <v>0</v>
      </c>
      <c r="L15896">
        <v>0</v>
      </c>
      <c r="M15896">
        <v>298</v>
      </c>
      <c r="N15896">
        <v>8</v>
      </c>
      <c r="O15896">
        <v>0</v>
      </c>
      <c r="P15896">
        <v>0</v>
      </c>
      <c r="Q15896">
        <v>0</v>
      </c>
    </row>
    <row r="15897" spans="1:17" x14ac:dyDescent="0.2">
      <c r="A15897" s="121">
        <v>44773</v>
      </c>
      <c r="B15897" t="s">
        <v>406</v>
      </c>
      <c r="C15897" t="s">
        <v>594</v>
      </c>
      <c r="D15897" t="s">
        <v>595</v>
      </c>
      <c r="E15897" t="s">
        <v>596</v>
      </c>
      <c r="F15897" t="s">
        <v>410</v>
      </c>
      <c r="G15897">
        <v>33</v>
      </c>
      <c r="I15897">
        <v>33</v>
      </c>
    </row>
    <row r="15898" spans="1:17" x14ac:dyDescent="0.2">
      <c r="A15898" s="121">
        <v>44773</v>
      </c>
      <c r="B15898" t="s">
        <v>406</v>
      </c>
      <c r="C15898" t="s">
        <v>594</v>
      </c>
      <c r="D15898" t="s">
        <v>597</v>
      </c>
      <c r="E15898" t="s">
        <v>598</v>
      </c>
      <c r="F15898" t="s">
        <v>413</v>
      </c>
      <c r="G15898">
        <v>548</v>
      </c>
      <c r="H15898">
        <v>548</v>
      </c>
      <c r="I15898">
        <v>532</v>
      </c>
      <c r="J15898">
        <v>532</v>
      </c>
      <c r="K15898">
        <v>162</v>
      </c>
      <c r="L15898">
        <v>0</v>
      </c>
      <c r="M15898">
        <v>358</v>
      </c>
      <c r="N15898">
        <v>14</v>
      </c>
      <c r="O15898">
        <v>14</v>
      </c>
      <c r="P15898">
        <v>0</v>
      </c>
      <c r="Q15898">
        <v>0</v>
      </c>
    </row>
    <row r="15899" spans="1:17" x14ac:dyDescent="0.2">
      <c r="A15899" s="121">
        <v>44773</v>
      </c>
      <c r="B15899" t="s">
        <v>406</v>
      </c>
      <c r="C15899" t="s">
        <v>594</v>
      </c>
      <c r="D15899" t="s">
        <v>599</v>
      </c>
      <c r="E15899" t="s">
        <v>600</v>
      </c>
      <c r="F15899" t="s">
        <v>410</v>
      </c>
      <c r="G15899">
        <v>131</v>
      </c>
      <c r="H15899">
        <v>131</v>
      </c>
      <c r="I15899">
        <v>130</v>
      </c>
      <c r="J15899">
        <v>130</v>
      </c>
      <c r="K15899">
        <v>10</v>
      </c>
      <c r="L15899">
        <v>0</v>
      </c>
      <c r="M15899">
        <v>120</v>
      </c>
      <c r="N15899">
        <v>1</v>
      </c>
      <c r="O15899">
        <v>0</v>
      </c>
      <c r="P15899">
        <v>0</v>
      </c>
      <c r="Q15899">
        <v>0</v>
      </c>
    </row>
    <row r="15900" spans="1:17" x14ac:dyDescent="0.2">
      <c r="A15900" s="121">
        <v>44804</v>
      </c>
      <c r="B15900" t="s">
        <v>406</v>
      </c>
      <c r="C15900" t="s">
        <v>407</v>
      </c>
      <c r="D15900" t="s">
        <v>408</v>
      </c>
      <c r="E15900" t="s">
        <v>409</v>
      </c>
      <c r="F15900" t="s">
        <v>410</v>
      </c>
      <c r="G15900">
        <v>295</v>
      </c>
      <c r="I15900">
        <v>283</v>
      </c>
    </row>
    <row r="15901" spans="1:17" x14ac:dyDescent="0.2">
      <c r="A15901" s="121">
        <v>44804</v>
      </c>
      <c r="B15901" t="s">
        <v>406</v>
      </c>
      <c r="C15901" t="s">
        <v>407</v>
      </c>
      <c r="D15901" t="s">
        <v>601</v>
      </c>
      <c r="E15901" t="s">
        <v>602</v>
      </c>
      <c r="F15901" t="s">
        <v>410</v>
      </c>
      <c r="G15901">
        <v>96</v>
      </c>
      <c r="I15901">
        <v>95</v>
      </c>
    </row>
    <row r="15902" spans="1:17" x14ac:dyDescent="0.2">
      <c r="A15902" s="121">
        <v>44804</v>
      </c>
      <c r="B15902" t="s">
        <v>406</v>
      </c>
      <c r="C15902" t="s">
        <v>407</v>
      </c>
      <c r="D15902" t="s">
        <v>411</v>
      </c>
      <c r="E15902" t="s">
        <v>412</v>
      </c>
      <c r="F15902" t="s">
        <v>413</v>
      </c>
      <c r="G15902">
        <v>5471</v>
      </c>
      <c r="H15902">
        <v>5471</v>
      </c>
      <c r="I15902">
        <v>3936</v>
      </c>
      <c r="J15902">
        <v>3936</v>
      </c>
      <c r="K15902">
        <v>1367</v>
      </c>
      <c r="L15902">
        <v>10</v>
      </c>
      <c r="M15902">
        <v>3457</v>
      </c>
      <c r="N15902">
        <v>46</v>
      </c>
      <c r="O15902">
        <v>591</v>
      </c>
      <c r="P15902">
        <v>652</v>
      </c>
      <c r="Q15902">
        <v>344</v>
      </c>
    </row>
    <row r="15903" spans="1:17" x14ac:dyDescent="0.2">
      <c r="A15903" s="121">
        <v>44804</v>
      </c>
      <c r="B15903" t="s">
        <v>406</v>
      </c>
      <c r="C15903" t="s">
        <v>407</v>
      </c>
      <c r="D15903" t="s">
        <v>416</v>
      </c>
      <c r="E15903" t="s">
        <v>417</v>
      </c>
      <c r="F15903" t="s">
        <v>413</v>
      </c>
      <c r="G15903">
        <v>2773</v>
      </c>
      <c r="H15903">
        <v>2773</v>
      </c>
      <c r="I15903">
        <v>1898</v>
      </c>
      <c r="J15903">
        <v>1898</v>
      </c>
      <c r="K15903">
        <v>559</v>
      </c>
      <c r="L15903">
        <v>5</v>
      </c>
      <c r="M15903">
        <v>2058</v>
      </c>
      <c r="N15903">
        <v>94</v>
      </c>
      <c r="O15903">
        <v>57</v>
      </c>
      <c r="P15903">
        <v>441</v>
      </c>
      <c r="Q15903">
        <v>269</v>
      </c>
    </row>
    <row r="15904" spans="1:17" x14ac:dyDescent="0.2">
      <c r="A15904" s="121">
        <v>44804</v>
      </c>
      <c r="B15904" t="s">
        <v>406</v>
      </c>
      <c r="C15904" t="s">
        <v>407</v>
      </c>
      <c r="D15904" t="s">
        <v>618</v>
      </c>
      <c r="E15904" t="s">
        <v>619</v>
      </c>
      <c r="F15904" t="s">
        <v>410</v>
      </c>
      <c r="G15904">
        <v>55</v>
      </c>
      <c r="I15904">
        <v>55</v>
      </c>
    </row>
    <row r="15905" spans="1:17" x14ac:dyDescent="0.2">
      <c r="A15905" s="121">
        <v>44804</v>
      </c>
      <c r="B15905" t="s">
        <v>406</v>
      </c>
      <c r="C15905" t="s">
        <v>418</v>
      </c>
      <c r="D15905" t="s">
        <v>427</v>
      </c>
      <c r="E15905" t="s">
        <v>428</v>
      </c>
      <c r="F15905" t="s">
        <v>413</v>
      </c>
      <c r="G15905">
        <v>2635</v>
      </c>
      <c r="H15905">
        <v>2635</v>
      </c>
      <c r="I15905">
        <v>1630</v>
      </c>
      <c r="J15905">
        <v>1630</v>
      </c>
      <c r="K15905">
        <v>637</v>
      </c>
      <c r="L15905">
        <v>3</v>
      </c>
      <c r="M15905">
        <v>1920</v>
      </c>
      <c r="N15905">
        <v>68</v>
      </c>
      <c r="O15905">
        <v>7</v>
      </c>
      <c r="P15905">
        <v>497</v>
      </c>
      <c r="Q15905">
        <v>334</v>
      </c>
    </row>
    <row r="15906" spans="1:17" x14ac:dyDescent="0.2">
      <c r="A15906" s="121">
        <v>44804</v>
      </c>
      <c r="B15906" t="s">
        <v>406</v>
      </c>
      <c r="C15906" t="s">
        <v>429</v>
      </c>
      <c r="D15906" t="s">
        <v>438</v>
      </c>
      <c r="E15906" t="s">
        <v>439</v>
      </c>
      <c r="F15906" t="s">
        <v>413</v>
      </c>
      <c r="G15906">
        <v>1191</v>
      </c>
      <c r="H15906">
        <v>1191</v>
      </c>
      <c r="I15906">
        <v>1071</v>
      </c>
      <c r="J15906">
        <v>1071</v>
      </c>
      <c r="K15906">
        <v>76</v>
      </c>
      <c r="L15906">
        <v>2</v>
      </c>
      <c r="M15906">
        <v>1020</v>
      </c>
      <c r="N15906">
        <v>60</v>
      </c>
      <c r="O15906">
        <v>33</v>
      </c>
      <c r="P15906">
        <v>19</v>
      </c>
      <c r="Q15906">
        <v>5</v>
      </c>
    </row>
    <row r="15907" spans="1:17" x14ac:dyDescent="0.2">
      <c r="A15907" s="121">
        <v>44804</v>
      </c>
      <c r="B15907" t="s">
        <v>406</v>
      </c>
      <c r="C15907" t="s">
        <v>429</v>
      </c>
      <c r="D15907" t="s">
        <v>440</v>
      </c>
      <c r="E15907" t="s">
        <v>441</v>
      </c>
      <c r="F15907" t="s">
        <v>413</v>
      </c>
      <c r="G15907">
        <v>3114</v>
      </c>
      <c r="H15907">
        <v>3114</v>
      </c>
      <c r="I15907">
        <v>2398</v>
      </c>
      <c r="J15907">
        <v>2398</v>
      </c>
      <c r="K15907">
        <v>772</v>
      </c>
      <c r="L15907">
        <v>6</v>
      </c>
      <c r="M15907">
        <v>2237</v>
      </c>
      <c r="N15907">
        <v>39</v>
      </c>
      <c r="O15907">
        <v>60</v>
      </c>
      <c r="P15907">
        <v>149</v>
      </c>
      <c r="Q15907">
        <v>44</v>
      </c>
    </row>
    <row r="15908" spans="1:17" x14ac:dyDescent="0.2">
      <c r="A15908" s="121">
        <v>44804</v>
      </c>
      <c r="B15908" t="s">
        <v>406</v>
      </c>
      <c r="C15908" t="s">
        <v>442</v>
      </c>
      <c r="D15908" t="s">
        <v>443</v>
      </c>
      <c r="E15908" t="s">
        <v>444</v>
      </c>
      <c r="F15908" t="s">
        <v>413</v>
      </c>
      <c r="G15908">
        <v>5826</v>
      </c>
      <c r="H15908">
        <v>5826</v>
      </c>
      <c r="I15908">
        <v>3403</v>
      </c>
      <c r="J15908">
        <v>3403</v>
      </c>
      <c r="K15908">
        <v>1618</v>
      </c>
      <c r="L15908">
        <v>10</v>
      </c>
      <c r="M15908">
        <v>3921</v>
      </c>
      <c r="N15908">
        <v>63</v>
      </c>
      <c r="O15908">
        <v>214</v>
      </c>
      <c r="P15908">
        <v>605</v>
      </c>
      <c r="Q15908">
        <v>117</v>
      </c>
    </row>
    <row r="15909" spans="1:17" x14ac:dyDescent="0.2">
      <c r="A15909" s="121">
        <v>44804</v>
      </c>
      <c r="B15909" t="s">
        <v>406</v>
      </c>
      <c r="C15909" t="s">
        <v>442</v>
      </c>
      <c r="D15909" t="s">
        <v>445</v>
      </c>
      <c r="E15909" t="s">
        <v>446</v>
      </c>
      <c r="F15909" t="s">
        <v>410</v>
      </c>
      <c r="G15909">
        <v>192</v>
      </c>
      <c r="H15909">
        <v>192</v>
      </c>
      <c r="I15909">
        <v>191</v>
      </c>
      <c r="J15909">
        <v>191</v>
      </c>
      <c r="K15909">
        <v>2</v>
      </c>
      <c r="L15909">
        <v>0</v>
      </c>
      <c r="M15909">
        <v>183</v>
      </c>
      <c r="N15909">
        <v>3</v>
      </c>
      <c r="O15909">
        <v>4</v>
      </c>
      <c r="P15909">
        <v>0</v>
      </c>
      <c r="Q15909">
        <v>0</v>
      </c>
    </row>
    <row r="15910" spans="1:17" x14ac:dyDescent="0.2">
      <c r="A15910" s="121">
        <v>44804</v>
      </c>
      <c r="B15910" t="s">
        <v>406</v>
      </c>
      <c r="C15910" t="s">
        <v>442</v>
      </c>
      <c r="D15910" t="s">
        <v>447</v>
      </c>
      <c r="E15910" t="s">
        <v>448</v>
      </c>
      <c r="F15910" t="s">
        <v>410</v>
      </c>
      <c r="G15910">
        <v>294</v>
      </c>
      <c r="H15910">
        <v>294</v>
      </c>
      <c r="I15910">
        <v>293</v>
      </c>
      <c r="J15910">
        <v>293</v>
      </c>
      <c r="K15910">
        <v>0</v>
      </c>
      <c r="L15910">
        <v>0</v>
      </c>
      <c r="M15910">
        <v>287</v>
      </c>
      <c r="N15910">
        <v>7</v>
      </c>
      <c r="O15910">
        <v>0</v>
      </c>
      <c r="P15910">
        <v>0</v>
      </c>
      <c r="Q15910">
        <v>0</v>
      </c>
    </row>
    <row r="15911" spans="1:17" x14ac:dyDescent="0.2">
      <c r="A15911" s="121">
        <v>44804</v>
      </c>
      <c r="B15911" t="s">
        <v>406</v>
      </c>
      <c r="C15911" t="s">
        <v>442</v>
      </c>
      <c r="D15911" t="s">
        <v>449</v>
      </c>
      <c r="E15911" t="s">
        <v>624</v>
      </c>
      <c r="F15911" t="s">
        <v>410</v>
      </c>
      <c r="G15911">
        <v>1366</v>
      </c>
      <c r="H15911">
        <v>1366</v>
      </c>
      <c r="I15911">
        <v>1363</v>
      </c>
      <c r="J15911">
        <v>1363</v>
      </c>
      <c r="K15911">
        <v>8</v>
      </c>
      <c r="L15911">
        <v>0</v>
      </c>
      <c r="M15911">
        <v>1295</v>
      </c>
      <c r="N15911">
        <v>47</v>
      </c>
      <c r="O15911">
        <v>16</v>
      </c>
      <c r="P15911">
        <v>0</v>
      </c>
      <c r="Q15911">
        <v>0</v>
      </c>
    </row>
    <row r="15912" spans="1:17" x14ac:dyDescent="0.2">
      <c r="A15912" s="121">
        <v>44804</v>
      </c>
      <c r="B15912" t="s">
        <v>406</v>
      </c>
      <c r="C15912" t="s">
        <v>451</v>
      </c>
      <c r="D15912" t="s">
        <v>454</v>
      </c>
      <c r="E15912" t="s">
        <v>621</v>
      </c>
      <c r="F15912" t="s">
        <v>410</v>
      </c>
      <c r="G15912">
        <v>2199</v>
      </c>
      <c r="H15912">
        <v>2199</v>
      </c>
      <c r="I15912">
        <v>2187</v>
      </c>
      <c r="J15912">
        <v>2187</v>
      </c>
      <c r="K15912">
        <v>6</v>
      </c>
      <c r="L15912">
        <v>0</v>
      </c>
      <c r="M15912">
        <v>2008</v>
      </c>
      <c r="N15912">
        <v>8</v>
      </c>
      <c r="O15912">
        <v>177</v>
      </c>
      <c r="P15912">
        <v>0</v>
      </c>
      <c r="Q15912">
        <v>0</v>
      </c>
    </row>
    <row r="15913" spans="1:17" x14ac:dyDescent="0.2">
      <c r="A15913" s="121">
        <v>44804</v>
      </c>
      <c r="B15913" t="s">
        <v>406</v>
      </c>
      <c r="C15913" t="s">
        <v>451</v>
      </c>
      <c r="D15913" t="s">
        <v>622</v>
      </c>
      <c r="E15913" t="s">
        <v>623</v>
      </c>
      <c r="F15913" t="s">
        <v>413</v>
      </c>
      <c r="G15913">
        <v>5018</v>
      </c>
      <c r="H15913">
        <v>5018</v>
      </c>
      <c r="I15913">
        <v>2328</v>
      </c>
      <c r="J15913">
        <v>2328</v>
      </c>
      <c r="K15913">
        <v>1351</v>
      </c>
      <c r="L15913">
        <v>14</v>
      </c>
      <c r="M15913">
        <v>3038</v>
      </c>
      <c r="N15913">
        <v>33</v>
      </c>
      <c r="O15913">
        <v>582</v>
      </c>
      <c r="P15913">
        <v>994</v>
      </c>
      <c r="Q15913">
        <v>417</v>
      </c>
    </row>
    <row r="15914" spans="1:17" x14ac:dyDescent="0.2">
      <c r="A15914" s="121">
        <v>44804</v>
      </c>
      <c r="B15914" t="s">
        <v>406</v>
      </c>
      <c r="C15914" t="s">
        <v>456</v>
      </c>
      <c r="D15914" t="s">
        <v>457</v>
      </c>
      <c r="E15914" t="s">
        <v>458</v>
      </c>
      <c r="F15914" t="s">
        <v>413</v>
      </c>
      <c r="G15914">
        <v>4746</v>
      </c>
      <c r="H15914">
        <v>4746</v>
      </c>
      <c r="I15914">
        <v>2546</v>
      </c>
      <c r="J15914">
        <v>2546</v>
      </c>
      <c r="K15914">
        <v>1408</v>
      </c>
      <c r="L15914">
        <v>13</v>
      </c>
      <c r="M15914">
        <v>3100</v>
      </c>
      <c r="N15914">
        <v>24</v>
      </c>
      <c r="O15914">
        <v>201</v>
      </c>
      <c r="P15914">
        <v>436</v>
      </c>
      <c r="Q15914">
        <v>73</v>
      </c>
    </row>
    <row r="15915" spans="1:17" x14ac:dyDescent="0.2">
      <c r="A15915" s="121">
        <v>44804</v>
      </c>
      <c r="B15915" t="s">
        <v>406</v>
      </c>
      <c r="C15915" t="s">
        <v>456</v>
      </c>
      <c r="D15915" t="s">
        <v>459</v>
      </c>
      <c r="E15915" t="s">
        <v>460</v>
      </c>
      <c r="F15915" t="s">
        <v>413</v>
      </c>
      <c r="G15915">
        <v>1372</v>
      </c>
      <c r="H15915">
        <v>1372</v>
      </c>
      <c r="I15915">
        <v>1244</v>
      </c>
      <c r="J15915">
        <v>1244</v>
      </c>
      <c r="K15915">
        <v>157</v>
      </c>
      <c r="L15915">
        <v>0</v>
      </c>
      <c r="M15915">
        <v>1188</v>
      </c>
      <c r="N15915">
        <v>0</v>
      </c>
      <c r="O15915">
        <v>27</v>
      </c>
      <c r="P15915">
        <v>3</v>
      </c>
      <c r="Q15915">
        <v>1</v>
      </c>
    </row>
    <row r="15916" spans="1:17" x14ac:dyDescent="0.2">
      <c r="A15916" s="121">
        <v>44804</v>
      </c>
      <c r="B15916" t="s">
        <v>406</v>
      </c>
      <c r="C15916" t="s">
        <v>456</v>
      </c>
      <c r="D15916" t="s">
        <v>467</v>
      </c>
      <c r="E15916" t="s">
        <v>468</v>
      </c>
      <c r="F15916" t="s">
        <v>410</v>
      </c>
      <c r="G15916">
        <v>765</v>
      </c>
      <c r="I15916">
        <v>762</v>
      </c>
    </row>
    <row r="15917" spans="1:17" x14ac:dyDescent="0.2">
      <c r="A15917" s="121">
        <v>44804</v>
      </c>
      <c r="B15917" t="s">
        <v>406</v>
      </c>
      <c r="C15917" t="s">
        <v>456</v>
      </c>
      <c r="D15917" t="s">
        <v>469</v>
      </c>
      <c r="E15917" t="s">
        <v>470</v>
      </c>
      <c r="F15917" t="s">
        <v>410</v>
      </c>
      <c r="G15917">
        <v>636</v>
      </c>
      <c r="I15917">
        <v>635</v>
      </c>
    </row>
    <row r="15918" spans="1:17" x14ac:dyDescent="0.2">
      <c r="A15918" s="121">
        <v>44804</v>
      </c>
      <c r="B15918" t="s">
        <v>406</v>
      </c>
      <c r="C15918" t="s">
        <v>456</v>
      </c>
      <c r="D15918" t="s">
        <v>471</v>
      </c>
      <c r="E15918" t="s">
        <v>472</v>
      </c>
      <c r="F15918" t="s">
        <v>410</v>
      </c>
      <c r="G15918">
        <v>497</v>
      </c>
      <c r="I15918">
        <v>494</v>
      </c>
    </row>
    <row r="15919" spans="1:17" x14ac:dyDescent="0.2">
      <c r="A15919" s="121">
        <v>44804</v>
      </c>
      <c r="B15919" t="s">
        <v>406</v>
      </c>
      <c r="C15919" t="s">
        <v>456</v>
      </c>
      <c r="D15919" t="s">
        <v>475</v>
      </c>
      <c r="E15919" t="s">
        <v>476</v>
      </c>
      <c r="F15919" t="s">
        <v>410</v>
      </c>
      <c r="G15919">
        <v>91</v>
      </c>
      <c r="I15919">
        <v>91</v>
      </c>
    </row>
    <row r="15920" spans="1:17" x14ac:dyDescent="0.2">
      <c r="A15920" s="121">
        <v>44804</v>
      </c>
      <c r="B15920" t="s">
        <v>406</v>
      </c>
      <c r="C15920" t="s">
        <v>456</v>
      </c>
      <c r="D15920" t="s">
        <v>477</v>
      </c>
      <c r="E15920" t="s">
        <v>478</v>
      </c>
      <c r="F15920" t="s">
        <v>413</v>
      </c>
      <c r="G15920">
        <v>2673</v>
      </c>
      <c r="H15920">
        <v>2673</v>
      </c>
      <c r="I15920">
        <v>1918</v>
      </c>
      <c r="J15920">
        <v>1918</v>
      </c>
      <c r="K15920">
        <v>518</v>
      </c>
      <c r="L15920">
        <v>6</v>
      </c>
      <c r="M15920">
        <v>2061</v>
      </c>
      <c r="N15920">
        <v>17</v>
      </c>
      <c r="O15920">
        <v>71</v>
      </c>
      <c r="P15920">
        <v>289</v>
      </c>
      <c r="Q15920">
        <v>115</v>
      </c>
    </row>
    <row r="15921" spans="1:17" x14ac:dyDescent="0.2">
      <c r="A15921" s="121">
        <v>44804</v>
      </c>
      <c r="B15921" t="s">
        <v>406</v>
      </c>
      <c r="C15921" t="s">
        <v>491</v>
      </c>
      <c r="D15921" t="s">
        <v>492</v>
      </c>
      <c r="E15921" t="s">
        <v>493</v>
      </c>
      <c r="F15921" t="s">
        <v>410</v>
      </c>
      <c r="G15921">
        <v>1476</v>
      </c>
      <c r="H15921">
        <v>1476</v>
      </c>
      <c r="I15921">
        <v>1406</v>
      </c>
      <c r="J15921">
        <v>1406</v>
      </c>
      <c r="K15921">
        <v>128</v>
      </c>
      <c r="L15921">
        <v>1</v>
      </c>
      <c r="M15921">
        <v>1261</v>
      </c>
      <c r="N15921">
        <v>70</v>
      </c>
      <c r="O15921">
        <v>16</v>
      </c>
      <c r="P15921">
        <v>8</v>
      </c>
      <c r="Q15921">
        <v>2</v>
      </c>
    </row>
    <row r="15922" spans="1:17" x14ac:dyDescent="0.2">
      <c r="A15922" s="121">
        <v>44804</v>
      </c>
      <c r="B15922" t="s">
        <v>406</v>
      </c>
      <c r="C15922" t="s">
        <v>491</v>
      </c>
      <c r="D15922" t="s">
        <v>494</v>
      </c>
      <c r="E15922" t="s">
        <v>495</v>
      </c>
      <c r="F15922" t="s">
        <v>413</v>
      </c>
      <c r="G15922">
        <v>2549</v>
      </c>
      <c r="H15922">
        <v>2549</v>
      </c>
      <c r="I15922">
        <v>2025</v>
      </c>
      <c r="J15922">
        <v>2025</v>
      </c>
      <c r="K15922">
        <v>608</v>
      </c>
      <c r="L15922">
        <v>7</v>
      </c>
      <c r="M15922">
        <v>1811</v>
      </c>
      <c r="N15922">
        <v>66</v>
      </c>
      <c r="O15922">
        <v>57</v>
      </c>
      <c r="P15922">
        <v>103</v>
      </c>
      <c r="Q15922">
        <v>30</v>
      </c>
    </row>
    <row r="15923" spans="1:17" x14ac:dyDescent="0.2">
      <c r="A15923" s="121">
        <v>44804</v>
      </c>
      <c r="B15923" t="s">
        <v>406</v>
      </c>
      <c r="C15923" t="s">
        <v>491</v>
      </c>
      <c r="D15923" t="s">
        <v>496</v>
      </c>
      <c r="E15923" t="s">
        <v>497</v>
      </c>
      <c r="F15923" t="s">
        <v>413</v>
      </c>
      <c r="G15923">
        <v>4911</v>
      </c>
      <c r="H15923">
        <v>4911</v>
      </c>
      <c r="I15923">
        <v>2831</v>
      </c>
      <c r="J15923">
        <v>2831</v>
      </c>
      <c r="K15923">
        <v>1236</v>
      </c>
      <c r="L15923">
        <v>6</v>
      </c>
      <c r="M15923">
        <v>3375</v>
      </c>
      <c r="N15923">
        <v>96</v>
      </c>
      <c r="O15923">
        <v>198</v>
      </c>
      <c r="P15923">
        <v>868</v>
      </c>
      <c r="Q15923">
        <v>295</v>
      </c>
    </row>
    <row r="15924" spans="1:17" x14ac:dyDescent="0.2">
      <c r="A15924" s="121">
        <v>44804</v>
      </c>
      <c r="B15924" t="s">
        <v>406</v>
      </c>
      <c r="C15924" t="s">
        <v>491</v>
      </c>
      <c r="D15924" t="s">
        <v>498</v>
      </c>
      <c r="E15924" t="s">
        <v>499</v>
      </c>
      <c r="F15924" t="s">
        <v>413</v>
      </c>
      <c r="G15924">
        <v>7034</v>
      </c>
      <c r="H15924">
        <v>7034</v>
      </c>
      <c r="I15924">
        <v>3865</v>
      </c>
      <c r="J15924">
        <v>3865</v>
      </c>
      <c r="K15924">
        <v>1855</v>
      </c>
      <c r="L15924">
        <v>13</v>
      </c>
      <c r="M15924">
        <v>4500</v>
      </c>
      <c r="N15924">
        <v>146</v>
      </c>
      <c r="O15924">
        <v>520</v>
      </c>
      <c r="P15924">
        <v>911</v>
      </c>
      <c r="Q15924">
        <v>202</v>
      </c>
    </row>
    <row r="15925" spans="1:17" x14ac:dyDescent="0.2">
      <c r="A15925" s="121">
        <v>44804</v>
      </c>
      <c r="B15925" t="s">
        <v>406</v>
      </c>
      <c r="C15925" t="s">
        <v>491</v>
      </c>
      <c r="D15925" t="s">
        <v>500</v>
      </c>
      <c r="E15925" t="s">
        <v>620</v>
      </c>
      <c r="F15925" t="s">
        <v>410</v>
      </c>
      <c r="G15925">
        <v>2221</v>
      </c>
      <c r="H15925">
        <v>2221</v>
      </c>
      <c r="I15925">
        <v>2187</v>
      </c>
      <c r="J15925">
        <v>2187</v>
      </c>
      <c r="K15925">
        <v>0</v>
      </c>
      <c r="L15925">
        <v>0</v>
      </c>
      <c r="M15925">
        <v>1897</v>
      </c>
      <c r="N15925">
        <v>79</v>
      </c>
      <c r="O15925">
        <v>245</v>
      </c>
      <c r="P15925">
        <v>0</v>
      </c>
      <c r="Q15925">
        <v>0</v>
      </c>
    </row>
    <row r="15926" spans="1:17" x14ac:dyDescent="0.2">
      <c r="A15926" s="121">
        <v>44804</v>
      </c>
      <c r="B15926" t="s">
        <v>406</v>
      </c>
      <c r="C15926" t="s">
        <v>491</v>
      </c>
      <c r="D15926" t="s">
        <v>502</v>
      </c>
      <c r="E15926" t="s">
        <v>615</v>
      </c>
      <c r="F15926" t="s">
        <v>410</v>
      </c>
      <c r="G15926">
        <v>2340</v>
      </c>
      <c r="H15926">
        <v>2340</v>
      </c>
      <c r="I15926">
        <v>2133</v>
      </c>
      <c r="J15926">
        <v>2133</v>
      </c>
      <c r="K15926">
        <v>0</v>
      </c>
      <c r="L15926">
        <v>2</v>
      </c>
      <c r="M15926">
        <v>2039</v>
      </c>
      <c r="N15926">
        <v>102</v>
      </c>
      <c r="O15926">
        <v>197</v>
      </c>
      <c r="P15926">
        <v>0</v>
      </c>
      <c r="Q15926">
        <v>0</v>
      </c>
    </row>
    <row r="15927" spans="1:17" x14ac:dyDescent="0.2">
      <c r="A15927" s="121">
        <v>44804</v>
      </c>
      <c r="B15927" t="s">
        <v>406</v>
      </c>
      <c r="C15927" t="s">
        <v>491</v>
      </c>
      <c r="D15927" t="s">
        <v>504</v>
      </c>
      <c r="E15927" t="s">
        <v>630</v>
      </c>
      <c r="F15927" t="s">
        <v>413</v>
      </c>
      <c r="G15927">
        <v>8287</v>
      </c>
      <c r="H15927">
        <v>8287</v>
      </c>
      <c r="I15927">
        <v>4295</v>
      </c>
      <c r="J15927">
        <v>4295</v>
      </c>
      <c r="K15927">
        <v>2560</v>
      </c>
      <c r="L15927">
        <v>20</v>
      </c>
      <c r="M15927">
        <v>5110</v>
      </c>
      <c r="N15927">
        <v>81</v>
      </c>
      <c r="O15927">
        <v>516</v>
      </c>
      <c r="P15927">
        <v>1123</v>
      </c>
      <c r="Q15927">
        <v>270</v>
      </c>
    </row>
    <row r="15928" spans="1:17" x14ac:dyDescent="0.2">
      <c r="A15928" s="121">
        <v>44804</v>
      </c>
      <c r="B15928" t="s">
        <v>406</v>
      </c>
      <c r="C15928" t="s">
        <v>491</v>
      </c>
      <c r="D15928" t="s">
        <v>506</v>
      </c>
      <c r="E15928" t="s">
        <v>507</v>
      </c>
      <c r="F15928" t="s">
        <v>413</v>
      </c>
      <c r="G15928">
        <v>5985</v>
      </c>
      <c r="H15928">
        <v>5985</v>
      </c>
      <c r="I15928">
        <v>5813</v>
      </c>
      <c r="J15928">
        <v>5813</v>
      </c>
      <c r="K15928">
        <v>1254</v>
      </c>
      <c r="L15928">
        <v>2</v>
      </c>
      <c r="M15928">
        <v>4703</v>
      </c>
      <c r="N15928">
        <v>3</v>
      </c>
      <c r="O15928">
        <v>23</v>
      </c>
      <c r="P15928">
        <v>0</v>
      </c>
      <c r="Q15928">
        <v>0</v>
      </c>
    </row>
    <row r="15929" spans="1:17" x14ac:dyDescent="0.2">
      <c r="A15929" s="121">
        <v>44804</v>
      </c>
      <c r="B15929" t="s">
        <v>406</v>
      </c>
      <c r="C15929" t="s">
        <v>510</v>
      </c>
      <c r="D15929" t="s">
        <v>513</v>
      </c>
      <c r="E15929" t="s">
        <v>514</v>
      </c>
      <c r="F15929" t="s">
        <v>410</v>
      </c>
      <c r="G15929">
        <v>696</v>
      </c>
      <c r="I15929">
        <v>695</v>
      </c>
    </row>
    <row r="15930" spans="1:17" x14ac:dyDescent="0.2">
      <c r="A15930" s="121">
        <v>44804</v>
      </c>
      <c r="B15930" t="s">
        <v>406</v>
      </c>
      <c r="C15930" t="s">
        <v>510</v>
      </c>
      <c r="D15930" t="s">
        <v>515</v>
      </c>
      <c r="E15930" t="s">
        <v>516</v>
      </c>
      <c r="F15930" t="s">
        <v>410</v>
      </c>
      <c r="G15930">
        <v>111</v>
      </c>
      <c r="I15930">
        <v>107</v>
      </c>
    </row>
    <row r="15931" spans="1:17" x14ac:dyDescent="0.2">
      <c r="A15931" s="121">
        <v>44804</v>
      </c>
      <c r="B15931" t="s">
        <v>406</v>
      </c>
      <c r="C15931" t="s">
        <v>510</v>
      </c>
      <c r="D15931" t="s">
        <v>519</v>
      </c>
      <c r="E15931" t="s">
        <v>520</v>
      </c>
      <c r="F15931" t="s">
        <v>410</v>
      </c>
      <c r="G15931">
        <v>377</v>
      </c>
      <c r="I15931">
        <v>365</v>
      </c>
    </row>
    <row r="15932" spans="1:17" x14ac:dyDescent="0.2">
      <c r="A15932" s="121">
        <v>44804</v>
      </c>
      <c r="B15932" t="s">
        <v>406</v>
      </c>
      <c r="C15932" t="s">
        <v>510</v>
      </c>
      <c r="D15932" t="s">
        <v>523</v>
      </c>
      <c r="E15932" t="s">
        <v>524</v>
      </c>
      <c r="F15932" t="s">
        <v>413</v>
      </c>
      <c r="G15932">
        <v>863</v>
      </c>
      <c r="H15932">
        <v>863</v>
      </c>
      <c r="I15932">
        <v>803</v>
      </c>
      <c r="J15932">
        <v>803</v>
      </c>
      <c r="K15932">
        <v>189</v>
      </c>
      <c r="L15932">
        <v>0</v>
      </c>
      <c r="M15932">
        <v>614</v>
      </c>
      <c r="N15932">
        <v>18</v>
      </c>
      <c r="O15932">
        <v>42</v>
      </c>
      <c r="P15932">
        <v>5</v>
      </c>
      <c r="Q15932">
        <v>1</v>
      </c>
    </row>
    <row r="15933" spans="1:17" x14ac:dyDescent="0.2">
      <c r="A15933" s="121">
        <v>44804</v>
      </c>
      <c r="B15933" t="s">
        <v>406</v>
      </c>
      <c r="C15933" t="s">
        <v>510</v>
      </c>
      <c r="D15933" t="s">
        <v>525</v>
      </c>
      <c r="E15933" t="s">
        <v>526</v>
      </c>
      <c r="F15933" t="s">
        <v>410</v>
      </c>
      <c r="G15933">
        <v>390</v>
      </c>
      <c r="H15933">
        <v>390</v>
      </c>
      <c r="I15933">
        <v>356</v>
      </c>
      <c r="J15933">
        <v>356</v>
      </c>
      <c r="K15933">
        <v>31</v>
      </c>
      <c r="L15933">
        <v>0</v>
      </c>
      <c r="M15933">
        <v>331</v>
      </c>
      <c r="N15933">
        <v>22</v>
      </c>
      <c r="O15933">
        <v>6</v>
      </c>
      <c r="P15933">
        <v>5</v>
      </c>
      <c r="Q15933">
        <v>2</v>
      </c>
    </row>
    <row r="15934" spans="1:17" x14ac:dyDescent="0.2">
      <c r="A15934" s="121">
        <v>44804</v>
      </c>
      <c r="B15934" t="s">
        <v>406</v>
      </c>
      <c r="C15934" t="s">
        <v>510</v>
      </c>
      <c r="D15934" t="s">
        <v>527</v>
      </c>
      <c r="E15934" t="s">
        <v>528</v>
      </c>
      <c r="F15934" t="s">
        <v>410</v>
      </c>
      <c r="G15934">
        <v>26</v>
      </c>
      <c r="I15934">
        <v>26</v>
      </c>
    </row>
    <row r="15935" spans="1:17" x14ac:dyDescent="0.2">
      <c r="A15935" s="121">
        <v>44804</v>
      </c>
      <c r="B15935" t="s">
        <v>406</v>
      </c>
      <c r="C15935" t="s">
        <v>510</v>
      </c>
      <c r="D15935" t="s">
        <v>529</v>
      </c>
      <c r="E15935" t="s">
        <v>530</v>
      </c>
      <c r="F15935" t="s">
        <v>413</v>
      </c>
      <c r="G15935">
        <v>897</v>
      </c>
      <c r="H15935">
        <v>897</v>
      </c>
      <c r="I15935">
        <v>803</v>
      </c>
      <c r="J15935">
        <v>803</v>
      </c>
      <c r="K15935">
        <v>118</v>
      </c>
      <c r="L15935">
        <v>2</v>
      </c>
      <c r="M15935">
        <v>728</v>
      </c>
      <c r="N15935">
        <v>28</v>
      </c>
      <c r="O15935">
        <v>21</v>
      </c>
      <c r="P15935">
        <v>20</v>
      </c>
      <c r="Q15935">
        <v>3</v>
      </c>
    </row>
    <row r="15936" spans="1:17" x14ac:dyDescent="0.2">
      <c r="A15936" s="121">
        <v>44804</v>
      </c>
      <c r="B15936" t="s">
        <v>406</v>
      </c>
      <c r="C15936" t="s">
        <v>510</v>
      </c>
      <c r="D15936" t="s">
        <v>531</v>
      </c>
      <c r="E15936" t="s">
        <v>532</v>
      </c>
      <c r="F15936" t="s">
        <v>410</v>
      </c>
      <c r="G15936">
        <v>5</v>
      </c>
      <c r="I15936">
        <v>5</v>
      </c>
    </row>
    <row r="15937" spans="1:17" x14ac:dyDescent="0.2">
      <c r="A15937" s="121">
        <v>44804</v>
      </c>
      <c r="B15937" t="s">
        <v>406</v>
      </c>
      <c r="C15937" t="s">
        <v>510</v>
      </c>
      <c r="D15937" t="s">
        <v>533</v>
      </c>
      <c r="E15937" t="s">
        <v>534</v>
      </c>
      <c r="F15937" t="s">
        <v>413</v>
      </c>
      <c r="G15937">
        <v>3494</v>
      </c>
      <c r="H15937">
        <v>3494</v>
      </c>
      <c r="I15937">
        <v>2480</v>
      </c>
      <c r="J15937">
        <v>2480</v>
      </c>
      <c r="K15937">
        <v>803</v>
      </c>
      <c r="L15937">
        <v>2</v>
      </c>
      <c r="M15937">
        <v>2398</v>
      </c>
      <c r="N15937">
        <v>24</v>
      </c>
      <c r="O15937">
        <v>267</v>
      </c>
      <c r="P15937">
        <v>250</v>
      </c>
      <c r="Q15937">
        <v>74</v>
      </c>
    </row>
    <row r="15938" spans="1:17" x14ac:dyDescent="0.2">
      <c r="A15938" s="121">
        <v>44804</v>
      </c>
      <c r="B15938" t="s">
        <v>406</v>
      </c>
      <c r="C15938" t="s">
        <v>510</v>
      </c>
      <c r="D15938" t="s">
        <v>535</v>
      </c>
      <c r="E15938" t="s">
        <v>536</v>
      </c>
      <c r="F15938" t="s">
        <v>410</v>
      </c>
      <c r="G15938">
        <v>410</v>
      </c>
      <c r="I15938">
        <v>410</v>
      </c>
    </row>
    <row r="15939" spans="1:17" x14ac:dyDescent="0.2">
      <c r="A15939" s="121">
        <v>44804</v>
      </c>
      <c r="B15939" t="s">
        <v>406</v>
      </c>
      <c r="C15939" t="s">
        <v>510</v>
      </c>
      <c r="D15939" t="s">
        <v>539</v>
      </c>
      <c r="E15939" t="s">
        <v>540</v>
      </c>
      <c r="F15939" t="s">
        <v>413</v>
      </c>
      <c r="G15939">
        <v>950</v>
      </c>
      <c r="H15939">
        <v>950</v>
      </c>
      <c r="I15939">
        <v>865</v>
      </c>
      <c r="J15939">
        <v>865</v>
      </c>
      <c r="K15939">
        <v>122</v>
      </c>
      <c r="L15939">
        <v>0</v>
      </c>
      <c r="M15939">
        <v>769</v>
      </c>
      <c r="N15939">
        <v>24</v>
      </c>
      <c r="O15939">
        <v>35</v>
      </c>
      <c r="P15939">
        <v>9</v>
      </c>
      <c r="Q15939">
        <v>1</v>
      </c>
    </row>
    <row r="15940" spans="1:17" x14ac:dyDescent="0.2">
      <c r="A15940" s="121">
        <v>44804</v>
      </c>
      <c r="B15940" t="s">
        <v>406</v>
      </c>
      <c r="C15940" t="s">
        <v>510</v>
      </c>
      <c r="D15940" t="s">
        <v>547</v>
      </c>
      <c r="E15940" t="s">
        <v>548</v>
      </c>
      <c r="F15940" t="s">
        <v>410</v>
      </c>
      <c r="G15940">
        <v>27</v>
      </c>
      <c r="I15940">
        <v>27</v>
      </c>
    </row>
    <row r="15941" spans="1:17" x14ac:dyDescent="0.2">
      <c r="A15941" s="121">
        <v>44804</v>
      </c>
      <c r="B15941" t="s">
        <v>406</v>
      </c>
      <c r="C15941" t="s">
        <v>510</v>
      </c>
      <c r="D15941" t="s">
        <v>616</v>
      </c>
      <c r="E15941" t="s">
        <v>617</v>
      </c>
      <c r="F15941" t="s">
        <v>410</v>
      </c>
      <c r="G15941">
        <v>344</v>
      </c>
      <c r="I15941">
        <v>343</v>
      </c>
    </row>
    <row r="15942" spans="1:17" x14ac:dyDescent="0.2">
      <c r="A15942" s="121">
        <v>44804</v>
      </c>
      <c r="B15942" t="s">
        <v>406</v>
      </c>
      <c r="C15942" t="s">
        <v>510</v>
      </c>
      <c r="D15942" t="s">
        <v>549</v>
      </c>
      <c r="E15942" t="s">
        <v>550</v>
      </c>
      <c r="F15942" t="s">
        <v>410</v>
      </c>
      <c r="G15942">
        <v>107</v>
      </c>
      <c r="I15942">
        <v>107</v>
      </c>
    </row>
    <row r="15943" spans="1:17" x14ac:dyDescent="0.2">
      <c r="A15943" s="121">
        <v>44804</v>
      </c>
      <c r="B15943" t="s">
        <v>406</v>
      </c>
      <c r="C15943" t="s">
        <v>510</v>
      </c>
      <c r="D15943" t="s">
        <v>625</v>
      </c>
      <c r="E15943" t="s">
        <v>626</v>
      </c>
      <c r="F15943" t="s">
        <v>410</v>
      </c>
      <c r="G15943">
        <v>120</v>
      </c>
      <c r="I15943">
        <v>116</v>
      </c>
    </row>
    <row r="15944" spans="1:17" x14ac:dyDescent="0.2">
      <c r="A15944" s="121">
        <v>44804</v>
      </c>
      <c r="B15944" t="s">
        <v>406</v>
      </c>
      <c r="C15944" t="s">
        <v>551</v>
      </c>
      <c r="D15944" t="s">
        <v>552</v>
      </c>
      <c r="E15944" t="s">
        <v>553</v>
      </c>
      <c r="F15944" t="s">
        <v>413</v>
      </c>
      <c r="G15944">
        <v>5678</v>
      </c>
      <c r="H15944">
        <v>5678</v>
      </c>
      <c r="I15944">
        <v>3580</v>
      </c>
      <c r="J15944">
        <v>3580</v>
      </c>
      <c r="K15944">
        <v>1893</v>
      </c>
      <c r="L15944">
        <v>6</v>
      </c>
      <c r="M15944">
        <v>3671</v>
      </c>
      <c r="N15944">
        <v>90</v>
      </c>
      <c r="O15944">
        <v>18</v>
      </c>
      <c r="P15944">
        <v>435</v>
      </c>
      <c r="Q15944">
        <v>68</v>
      </c>
    </row>
    <row r="15945" spans="1:17" x14ac:dyDescent="0.2">
      <c r="A15945" s="121">
        <v>44804</v>
      </c>
      <c r="B15945" t="s">
        <v>406</v>
      </c>
      <c r="C15945" t="s">
        <v>551</v>
      </c>
      <c r="D15945" t="s">
        <v>558</v>
      </c>
      <c r="E15945" t="s">
        <v>559</v>
      </c>
      <c r="F15945" t="s">
        <v>413</v>
      </c>
      <c r="G15945">
        <v>5443</v>
      </c>
      <c r="H15945">
        <v>5443</v>
      </c>
      <c r="I15945">
        <v>3071</v>
      </c>
      <c r="J15945">
        <v>3071</v>
      </c>
      <c r="K15945">
        <v>1371</v>
      </c>
      <c r="L15945">
        <v>5</v>
      </c>
      <c r="M15945">
        <v>3903</v>
      </c>
      <c r="N15945">
        <v>117</v>
      </c>
      <c r="O15945">
        <v>47</v>
      </c>
      <c r="P15945">
        <v>548</v>
      </c>
      <c r="Q15945">
        <v>167</v>
      </c>
    </row>
    <row r="15946" spans="1:17" x14ac:dyDescent="0.2">
      <c r="A15946" s="121">
        <v>44804</v>
      </c>
      <c r="B15946" t="s">
        <v>406</v>
      </c>
      <c r="C15946" t="s">
        <v>551</v>
      </c>
      <c r="D15946" t="s">
        <v>560</v>
      </c>
      <c r="E15946" t="s">
        <v>561</v>
      </c>
      <c r="F15946" t="s">
        <v>413</v>
      </c>
      <c r="G15946">
        <v>6147</v>
      </c>
      <c r="H15946">
        <v>6147</v>
      </c>
      <c r="I15946">
        <v>3463</v>
      </c>
      <c r="J15946">
        <v>3463</v>
      </c>
      <c r="K15946">
        <v>2071</v>
      </c>
      <c r="L15946">
        <v>7</v>
      </c>
      <c r="M15946">
        <v>3946</v>
      </c>
      <c r="N15946">
        <v>54</v>
      </c>
      <c r="O15946">
        <v>69</v>
      </c>
      <c r="P15946">
        <v>1097</v>
      </c>
      <c r="Q15946">
        <v>367</v>
      </c>
    </row>
    <row r="15947" spans="1:17" x14ac:dyDescent="0.2">
      <c r="A15947" s="121">
        <v>44804</v>
      </c>
      <c r="B15947" t="s">
        <v>406</v>
      </c>
      <c r="C15947" t="s">
        <v>562</v>
      </c>
      <c r="D15947" t="s">
        <v>563</v>
      </c>
      <c r="E15947" t="s">
        <v>564</v>
      </c>
      <c r="F15947" t="s">
        <v>410</v>
      </c>
      <c r="G15947">
        <v>3447</v>
      </c>
      <c r="H15947">
        <v>3447</v>
      </c>
      <c r="I15947">
        <v>1987</v>
      </c>
      <c r="J15947">
        <v>1987</v>
      </c>
      <c r="K15947">
        <v>1111</v>
      </c>
      <c r="L15947">
        <v>0</v>
      </c>
      <c r="M15947">
        <v>1706</v>
      </c>
      <c r="N15947">
        <v>4</v>
      </c>
      <c r="O15947">
        <v>626</v>
      </c>
      <c r="P15947">
        <v>511</v>
      </c>
      <c r="Q15947">
        <v>232</v>
      </c>
    </row>
    <row r="15948" spans="1:17" x14ac:dyDescent="0.2">
      <c r="A15948" s="121">
        <v>44804</v>
      </c>
      <c r="B15948" t="s">
        <v>406</v>
      </c>
      <c r="C15948" t="s">
        <v>562</v>
      </c>
      <c r="D15948" t="s">
        <v>565</v>
      </c>
      <c r="E15948" t="s">
        <v>566</v>
      </c>
      <c r="F15948" t="s">
        <v>413</v>
      </c>
      <c r="G15948">
        <v>4889</v>
      </c>
      <c r="H15948">
        <v>4889</v>
      </c>
      <c r="I15948">
        <v>3401</v>
      </c>
      <c r="J15948">
        <v>3401</v>
      </c>
      <c r="K15948">
        <v>858</v>
      </c>
      <c r="L15948">
        <v>3</v>
      </c>
      <c r="M15948">
        <v>3376</v>
      </c>
      <c r="N15948">
        <v>78</v>
      </c>
      <c r="O15948">
        <v>574</v>
      </c>
      <c r="P15948">
        <v>508</v>
      </c>
      <c r="Q15948">
        <v>234</v>
      </c>
    </row>
    <row r="15949" spans="1:17" x14ac:dyDescent="0.2">
      <c r="A15949" s="121">
        <v>44804</v>
      </c>
      <c r="B15949" t="s">
        <v>406</v>
      </c>
      <c r="C15949" t="s">
        <v>562</v>
      </c>
      <c r="D15949" t="s">
        <v>567</v>
      </c>
      <c r="E15949" t="s">
        <v>568</v>
      </c>
      <c r="F15949" t="s">
        <v>413</v>
      </c>
      <c r="G15949">
        <v>10527</v>
      </c>
      <c r="H15949">
        <v>10527</v>
      </c>
      <c r="I15949">
        <v>4564</v>
      </c>
      <c r="J15949">
        <v>4564</v>
      </c>
      <c r="K15949">
        <v>2369</v>
      </c>
      <c r="L15949">
        <v>3</v>
      </c>
      <c r="M15949">
        <v>7925</v>
      </c>
      <c r="N15949">
        <v>138</v>
      </c>
      <c r="O15949">
        <v>92</v>
      </c>
      <c r="P15949">
        <v>2608</v>
      </c>
      <c r="Q15949">
        <v>1444</v>
      </c>
    </row>
    <row r="15950" spans="1:17" x14ac:dyDescent="0.2">
      <c r="A15950" s="121">
        <v>44804</v>
      </c>
      <c r="B15950" t="s">
        <v>406</v>
      </c>
      <c r="C15950" t="s">
        <v>562</v>
      </c>
      <c r="D15950" t="s">
        <v>569</v>
      </c>
      <c r="E15950" t="s">
        <v>570</v>
      </c>
      <c r="F15950" t="s">
        <v>413</v>
      </c>
      <c r="G15950">
        <v>4503</v>
      </c>
      <c r="H15950">
        <v>4503</v>
      </c>
      <c r="I15950">
        <v>4229</v>
      </c>
      <c r="J15950">
        <v>4229</v>
      </c>
      <c r="K15950">
        <v>598</v>
      </c>
      <c r="L15950">
        <v>0</v>
      </c>
      <c r="M15950">
        <v>3769</v>
      </c>
      <c r="N15950">
        <v>82</v>
      </c>
      <c r="O15950">
        <v>54</v>
      </c>
      <c r="P15950">
        <v>9</v>
      </c>
      <c r="Q15950">
        <v>3</v>
      </c>
    </row>
    <row r="15951" spans="1:17" x14ac:dyDescent="0.2">
      <c r="A15951" s="121">
        <v>44804</v>
      </c>
      <c r="B15951" t="s">
        <v>406</v>
      </c>
      <c r="C15951" t="s">
        <v>571</v>
      </c>
      <c r="D15951" t="s">
        <v>572</v>
      </c>
      <c r="E15951" t="s">
        <v>627</v>
      </c>
      <c r="F15951" t="s">
        <v>413</v>
      </c>
      <c r="G15951">
        <v>655</v>
      </c>
      <c r="H15951">
        <v>655</v>
      </c>
      <c r="I15951">
        <v>587</v>
      </c>
      <c r="J15951">
        <v>587</v>
      </c>
      <c r="K15951">
        <v>115</v>
      </c>
      <c r="L15951">
        <v>1</v>
      </c>
      <c r="M15951">
        <v>524</v>
      </c>
      <c r="N15951">
        <v>7</v>
      </c>
      <c r="O15951">
        <v>8</v>
      </c>
      <c r="P15951">
        <v>8</v>
      </c>
      <c r="Q15951">
        <v>2</v>
      </c>
    </row>
    <row r="15952" spans="1:17" x14ac:dyDescent="0.2">
      <c r="A15952" s="121">
        <v>44804</v>
      </c>
      <c r="B15952" t="s">
        <v>406</v>
      </c>
      <c r="C15952" t="s">
        <v>574</v>
      </c>
      <c r="D15952" t="s">
        <v>575</v>
      </c>
      <c r="E15952" t="s">
        <v>576</v>
      </c>
      <c r="F15952" t="s">
        <v>413</v>
      </c>
      <c r="G15952">
        <v>647</v>
      </c>
      <c r="H15952">
        <v>647</v>
      </c>
      <c r="I15952">
        <v>604</v>
      </c>
      <c r="J15952">
        <v>604</v>
      </c>
      <c r="K15952">
        <v>136</v>
      </c>
      <c r="L15952">
        <v>2</v>
      </c>
      <c r="M15952">
        <v>494</v>
      </c>
      <c r="N15952">
        <v>2</v>
      </c>
      <c r="O15952">
        <v>13</v>
      </c>
      <c r="P15952">
        <v>1</v>
      </c>
      <c r="Q15952">
        <v>0</v>
      </c>
    </row>
    <row r="15953" spans="1:17" x14ac:dyDescent="0.2">
      <c r="A15953" s="121">
        <v>44804</v>
      </c>
      <c r="B15953" t="s">
        <v>406</v>
      </c>
      <c r="C15953" t="s">
        <v>577</v>
      </c>
      <c r="D15953" t="s">
        <v>578</v>
      </c>
      <c r="E15953" t="s">
        <v>579</v>
      </c>
      <c r="F15953" t="s">
        <v>413</v>
      </c>
      <c r="G15953">
        <v>5044</v>
      </c>
      <c r="H15953">
        <v>5044</v>
      </c>
      <c r="I15953">
        <v>4491</v>
      </c>
      <c r="J15953">
        <v>4491</v>
      </c>
      <c r="K15953">
        <v>1631</v>
      </c>
      <c r="L15953">
        <v>5</v>
      </c>
      <c r="M15953">
        <v>3127</v>
      </c>
      <c r="N15953">
        <v>202</v>
      </c>
      <c r="O15953">
        <v>79</v>
      </c>
      <c r="P15953">
        <v>9</v>
      </c>
      <c r="Q15953">
        <v>0</v>
      </c>
    </row>
    <row r="15954" spans="1:17" x14ac:dyDescent="0.2">
      <c r="A15954" s="121">
        <v>44804</v>
      </c>
      <c r="B15954" t="s">
        <v>406</v>
      </c>
      <c r="C15954" t="s">
        <v>577</v>
      </c>
      <c r="D15954" t="s">
        <v>580</v>
      </c>
      <c r="E15954" t="s">
        <v>581</v>
      </c>
      <c r="F15954" t="s">
        <v>413</v>
      </c>
      <c r="G15954">
        <v>2016</v>
      </c>
      <c r="H15954">
        <v>2016</v>
      </c>
      <c r="I15954">
        <v>1831</v>
      </c>
      <c r="J15954">
        <v>1831</v>
      </c>
      <c r="K15954">
        <v>218</v>
      </c>
      <c r="L15954">
        <v>0</v>
      </c>
      <c r="M15954">
        <v>1585</v>
      </c>
      <c r="N15954">
        <v>177</v>
      </c>
      <c r="O15954">
        <v>36</v>
      </c>
      <c r="P15954">
        <v>10</v>
      </c>
      <c r="Q15954">
        <v>2</v>
      </c>
    </row>
    <row r="15955" spans="1:17" x14ac:dyDescent="0.2">
      <c r="A15955" s="121">
        <v>44804</v>
      </c>
      <c r="B15955" t="s">
        <v>406</v>
      </c>
      <c r="C15955" t="s">
        <v>577</v>
      </c>
      <c r="D15955" t="s">
        <v>586</v>
      </c>
      <c r="E15955" t="s">
        <v>587</v>
      </c>
      <c r="F15955" t="s">
        <v>410</v>
      </c>
      <c r="G15955">
        <v>712</v>
      </c>
      <c r="H15955">
        <v>712</v>
      </c>
      <c r="I15955">
        <v>712</v>
      </c>
      <c r="J15955">
        <v>712</v>
      </c>
      <c r="K15955">
        <v>0</v>
      </c>
      <c r="L15955">
        <v>0</v>
      </c>
      <c r="M15955">
        <v>653</v>
      </c>
      <c r="N15955">
        <v>59</v>
      </c>
      <c r="O15955">
        <v>0</v>
      </c>
      <c r="P15955">
        <v>0</v>
      </c>
      <c r="Q15955">
        <v>0</v>
      </c>
    </row>
    <row r="15956" spans="1:17" x14ac:dyDescent="0.2">
      <c r="A15956" s="121">
        <v>44804</v>
      </c>
      <c r="B15956" t="s">
        <v>406</v>
      </c>
      <c r="C15956" t="s">
        <v>577</v>
      </c>
      <c r="D15956" t="s">
        <v>590</v>
      </c>
      <c r="E15956" t="s">
        <v>591</v>
      </c>
      <c r="F15956" t="s">
        <v>410</v>
      </c>
      <c r="G15956">
        <v>324</v>
      </c>
      <c r="H15956">
        <v>324</v>
      </c>
      <c r="I15956">
        <v>324</v>
      </c>
      <c r="J15956">
        <v>324</v>
      </c>
      <c r="K15956">
        <v>0</v>
      </c>
      <c r="L15956">
        <v>0</v>
      </c>
      <c r="M15956">
        <v>314</v>
      </c>
      <c r="N15956">
        <v>9</v>
      </c>
      <c r="O15956">
        <v>1</v>
      </c>
      <c r="P15956">
        <v>0</v>
      </c>
      <c r="Q15956">
        <v>0</v>
      </c>
    </row>
    <row r="15957" spans="1:17" x14ac:dyDescent="0.2">
      <c r="A15957" s="121">
        <v>44804</v>
      </c>
      <c r="B15957" t="s">
        <v>406</v>
      </c>
      <c r="C15957" t="s">
        <v>594</v>
      </c>
      <c r="D15957" t="s">
        <v>595</v>
      </c>
      <c r="E15957" t="s">
        <v>596</v>
      </c>
      <c r="F15957" t="s">
        <v>410</v>
      </c>
      <c r="G15957">
        <v>36</v>
      </c>
      <c r="I15957">
        <v>36</v>
      </c>
    </row>
    <row r="15958" spans="1:17" x14ac:dyDescent="0.2">
      <c r="A15958" s="121">
        <v>44804</v>
      </c>
      <c r="B15958" t="s">
        <v>406</v>
      </c>
      <c r="C15958" t="s">
        <v>594</v>
      </c>
      <c r="D15958" t="s">
        <v>597</v>
      </c>
      <c r="E15958" t="s">
        <v>598</v>
      </c>
      <c r="F15958" t="s">
        <v>413</v>
      </c>
      <c r="G15958">
        <v>598</v>
      </c>
      <c r="H15958">
        <v>598</v>
      </c>
      <c r="I15958">
        <v>583</v>
      </c>
      <c r="J15958">
        <v>583</v>
      </c>
      <c r="K15958">
        <v>182</v>
      </c>
      <c r="L15958">
        <v>0</v>
      </c>
      <c r="M15958">
        <v>395</v>
      </c>
      <c r="N15958">
        <v>6</v>
      </c>
      <c r="O15958">
        <v>15</v>
      </c>
      <c r="P15958">
        <v>0</v>
      </c>
      <c r="Q15958">
        <v>0</v>
      </c>
    </row>
    <row r="15959" spans="1:17" x14ac:dyDescent="0.2">
      <c r="A15959" s="121">
        <v>44804</v>
      </c>
      <c r="B15959" t="s">
        <v>406</v>
      </c>
      <c r="C15959" t="s">
        <v>594</v>
      </c>
      <c r="D15959" t="s">
        <v>599</v>
      </c>
      <c r="E15959" t="s">
        <v>600</v>
      </c>
      <c r="F15959" t="s">
        <v>410</v>
      </c>
      <c r="G15959">
        <v>121</v>
      </c>
      <c r="H15959">
        <v>121</v>
      </c>
      <c r="I15959">
        <v>121</v>
      </c>
      <c r="J15959">
        <v>121</v>
      </c>
      <c r="K15959">
        <v>5</v>
      </c>
      <c r="L15959">
        <v>0</v>
      </c>
      <c r="M15959">
        <v>116</v>
      </c>
      <c r="N15959">
        <v>0</v>
      </c>
      <c r="O15959">
        <v>0</v>
      </c>
      <c r="P15959">
        <v>0</v>
      </c>
      <c r="Q15959">
        <v>0</v>
      </c>
    </row>
    <row r="15960" spans="1:17" x14ac:dyDescent="0.2">
      <c r="A15960" s="121">
        <v>44834</v>
      </c>
      <c r="B15960" t="s">
        <v>406</v>
      </c>
      <c r="C15960" t="s">
        <v>407</v>
      </c>
      <c r="D15960" t="s">
        <v>408</v>
      </c>
      <c r="E15960" t="s">
        <v>409</v>
      </c>
      <c r="F15960" t="s">
        <v>410</v>
      </c>
      <c r="G15960">
        <v>215</v>
      </c>
      <c r="I15960">
        <v>207</v>
      </c>
    </row>
    <row r="15961" spans="1:17" x14ac:dyDescent="0.2">
      <c r="A15961" s="121">
        <v>44834</v>
      </c>
      <c r="B15961" t="s">
        <v>406</v>
      </c>
      <c r="C15961" t="s">
        <v>407</v>
      </c>
      <c r="D15961" t="s">
        <v>601</v>
      </c>
      <c r="E15961" t="s">
        <v>602</v>
      </c>
      <c r="F15961" t="s">
        <v>410</v>
      </c>
      <c r="G15961">
        <v>96</v>
      </c>
      <c r="I15961">
        <v>96</v>
      </c>
    </row>
    <row r="15962" spans="1:17" x14ac:dyDescent="0.2">
      <c r="A15962" s="121">
        <v>44834</v>
      </c>
      <c r="B15962" t="s">
        <v>406</v>
      </c>
      <c r="C15962" t="s">
        <v>407</v>
      </c>
      <c r="D15962" t="s">
        <v>411</v>
      </c>
      <c r="E15962" t="s">
        <v>412</v>
      </c>
      <c r="F15962" t="s">
        <v>413</v>
      </c>
      <c r="G15962">
        <v>5336</v>
      </c>
      <c r="H15962">
        <v>5336</v>
      </c>
      <c r="I15962">
        <v>3672</v>
      </c>
      <c r="J15962">
        <v>3672</v>
      </c>
      <c r="K15962">
        <v>1269</v>
      </c>
      <c r="L15962">
        <v>8</v>
      </c>
      <c r="M15962">
        <v>3467</v>
      </c>
      <c r="N15962">
        <v>54</v>
      </c>
      <c r="O15962">
        <v>538</v>
      </c>
      <c r="P15962">
        <v>747</v>
      </c>
      <c r="Q15962">
        <v>468</v>
      </c>
    </row>
    <row r="15963" spans="1:17" x14ac:dyDescent="0.2">
      <c r="A15963" s="121">
        <v>44834</v>
      </c>
      <c r="B15963" t="s">
        <v>406</v>
      </c>
      <c r="C15963" t="s">
        <v>407</v>
      </c>
      <c r="D15963" t="s">
        <v>416</v>
      </c>
      <c r="E15963" t="s">
        <v>417</v>
      </c>
      <c r="F15963" t="s">
        <v>413</v>
      </c>
      <c r="G15963">
        <v>2651</v>
      </c>
      <c r="H15963">
        <v>2651</v>
      </c>
      <c r="I15963">
        <v>1729</v>
      </c>
      <c r="J15963">
        <v>1729</v>
      </c>
      <c r="K15963">
        <v>519</v>
      </c>
      <c r="L15963">
        <v>6</v>
      </c>
      <c r="M15963">
        <v>1968</v>
      </c>
      <c r="N15963">
        <v>82</v>
      </c>
      <c r="O15963">
        <v>76</v>
      </c>
      <c r="P15963">
        <v>479</v>
      </c>
      <c r="Q15963">
        <v>314</v>
      </c>
    </row>
    <row r="15964" spans="1:17" x14ac:dyDescent="0.2">
      <c r="A15964" s="121">
        <v>44834</v>
      </c>
      <c r="B15964" t="s">
        <v>406</v>
      </c>
      <c r="C15964" t="s">
        <v>407</v>
      </c>
      <c r="D15964" t="s">
        <v>618</v>
      </c>
      <c r="E15964" t="s">
        <v>619</v>
      </c>
      <c r="F15964" t="s">
        <v>410</v>
      </c>
      <c r="G15964">
        <v>60</v>
      </c>
      <c r="I15964">
        <v>60</v>
      </c>
    </row>
    <row r="15965" spans="1:17" x14ac:dyDescent="0.2">
      <c r="A15965" s="121">
        <v>44834</v>
      </c>
      <c r="B15965" t="s">
        <v>406</v>
      </c>
      <c r="C15965" t="s">
        <v>418</v>
      </c>
      <c r="D15965" t="s">
        <v>427</v>
      </c>
      <c r="E15965" t="s">
        <v>428</v>
      </c>
      <c r="F15965" t="s">
        <v>413</v>
      </c>
      <c r="G15965">
        <v>2524</v>
      </c>
      <c r="H15965">
        <v>2524</v>
      </c>
      <c r="I15965">
        <v>1713</v>
      </c>
      <c r="J15965">
        <v>1713</v>
      </c>
      <c r="K15965">
        <v>719</v>
      </c>
      <c r="L15965">
        <v>4</v>
      </c>
      <c r="M15965">
        <v>1723</v>
      </c>
      <c r="N15965">
        <v>69</v>
      </c>
      <c r="O15965">
        <v>9</v>
      </c>
      <c r="P15965">
        <v>247</v>
      </c>
      <c r="Q15965">
        <v>138</v>
      </c>
    </row>
    <row r="15966" spans="1:17" x14ac:dyDescent="0.2">
      <c r="A15966" s="121">
        <v>44834</v>
      </c>
      <c r="B15966" t="s">
        <v>406</v>
      </c>
      <c r="C15966" t="s">
        <v>429</v>
      </c>
      <c r="D15966" t="s">
        <v>438</v>
      </c>
      <c r="E15966" t="s">
        <v>439</v>
      </c>
      <c r="F15966" t="s">
        <v>413</v>
      </c>
      <c r="G15966">
        <v>1230</v>
      </c>
      <c r="H15966">
        <v>1230</v>
      </c>
      <c r="I15966">
        <v>1065</v>
      </c>
      <c r="J15966">
        <v>1065</v>
      </c>
      <c r="K15966">
        <v>73</v>
      </c>
      <c r="L15966">
        <v>0</v>
      </c>
      <c r="M15966">
        <v>1041</v>
      </c>
      <c r="N15966">
        <v>64</v>
      </c>
      <c r="O15966">
        <v>52</v>
      </c>
      <c r="P15966">
        <v>25</v>
      </c>
      <c r="Q15966">
        <v>6</v>
      </c>
    </row>
    <row r="15967" spans="1:17" x14ac:dyDescent="0.2">
      <c r="A15967" s="121">
        <v>44834</v>
      </c>
      <c r="B15967" t="s">
        <v>406</v>
      </c>
      <c r="C15967" t="s">
        <v>429</v>
      </c>
      <c r="D15967" t="s">
        <v>440</v>
      </c>
      <c r="E15967" t="s">
        <v>441</v>
      </c>
      <c r="F15967" t="s">
        <v>413</v>
      </c>
      <c r="G15967">
        <v>3023</v>
      </c>
      <c r="H15967">
        <v>3023</v>
      </c>
      <c r="I15967">
        <v>2150</v>
      </c>
      <c r="J15967">
        <v>2150</v>
      </c>
      <c r="K15967">
        <v>777</v>
      </c>
      <c r="L15967">
        <v>2</v>
      </c>
      <c r="M15967">
        <v>2147</v>
      </c>
      <c r="N15967">
        <v>36</v>
      </c>
      <c r="O15967">
        <v>61</v>
      </c>
      <c r="P15967">
        <v>248</v>
      </c>
      <c r="Q15967">
        <v>86</v>
      </c>
    </row>
    <row r="15968" spans="1:17" x14ac:dyDescent="0.2">
      <c r="A15968" s="121">
        <v>44834</v>
      </c>
      <c r="B15968" t="s">
        <v>406</v>
      </c>
      <c r="C15968" t="s">
        <v>442</v>
      </c>
      <c r="D15968" t="s">
        <v>443</v>
      </c>
      <c r="E15968" t="s">
        <v>444</v>
      </c>
      <c r="F15968" t="s">
        <v>413</v>
      </c>
      <c r="G15968">
        <v>5707</v>
      </c>
      <c r="H15968">
        <v>5707</v>
      </c>
      <c r="I15968">
        <v>3322</v>
      </c>
      <c r="J15968">
        <v>3322</v>
      </c>
      <c r="K15968">
        <v>1648</v>
      </c>
      <c r="L15968">
        <v>4</v>
      </c>
      <c r="M15968">
        <v>3802</v>
      </c>
      <c r="N15968">
        <v>68</v>
      </c>
      <c r="O15968">
        <v>185</v>
      </c>
      <c r="P15968">
        <v>783</v>
      </c>
      <c r="Q15968">
        <v>274</v>
      </c>
    </row>
    <row r="15969" spans="1:17" x14ac:dyDescent="0.2">
      <c r="A15969" s="121">
        <v>44834</v>
      </c>
      <c r="B15969" t="s">
        <v>406</v>
      </c>
      <c r="C15969" t="s">
        <v>442</v>
      </c>
      <c r="D15969" t="s">
        <v>445</v>
      </c>
      <c r="E15969" t="s">
        <v>446</v>
      </c>
      <c r="F15969" t="s">
        <v>410</v>
      </c>
      <c r="G15969">
        <v>175</v>
      </c>
      <c r="H15969">
        <v>175</v>
      </c>
      <c r="I15969">
        <v>175</v>
      </c>
      <c r="J15969">
        <v>175</v>
      </c>
      <c r="K15969">
        <v>2</v>
      </c>
      <c r="L15969">
        <v>0</v>
      </c>
      <c r="M15969">
        <v>167</v>
      </c>
      <c r="N15969">
        <v>1</v>
      </c>
      <c r="O15969">
        <v>5</v>
      </c>
      <c r="P15969">
        <v>0</v>
      </c>
      <c r="Q15969">
        <v>0</v>
      </c>
    </row>
    <row r="15970" spans="1:17" x14ac:dyDescent="0.2">
      <c r="A15970" s="121">
        <v>44834</v>
      </c>
      <c r="B15970" t="s">
        <v>406</v>
      </c>
      <c r="C15970" t="s">
        <v>442</v>
      </c>
      <c r="D15970" t="s">
        <v>447</v>
      </c>
      <c r="E15970" t="s">
        <v>448</v>
      </c>
      <c r="F15970" t="s">
        <v>410</v>
      </c>
      <c r="G15970">
        <v>281</v>
      </c>
      <c r="H15970">
        <v>281</v>
      </c>
      <c r="I15970">
        <v>278</v>
      </c>
      <c r="J15970">
        <v>278</v>
      </c>
      <c r="K15970">
        <v>0</v>
      </c>
      <c r="L15970">
        <v>0</v>
      </c>
      <c r="M15970">
        <v>273</v>
      </c>
      <c r="N15970">
        <v>8</v>
      </c>
      <c r="O15970">
        <v>0</v>
      </c>
      <c r="P15970">
        <v>1</v>
      </c>
      <c r="Q15970">
        <v>0</v>
      </c>
    </row>
    <row r="15971" spans="1:17" x14ac:dyDescent="0.2">
      <c r="A15971" s="121">
        <v>44834</v>
      </c>
      <c r="B15971" t="s">
        <v>406</v>
      </c>
      <c r="C15971" t="s">
        <v>442</v>
      </c>
      <c r="D15971" t="s">
        <v>449</v>
      </c>
      <c r="E15971" t="s">
        <v>624</v>
      </c>
      <c r="F15971" t="s">
        <v>410</v>
      </c>
      <c r="G15971">
        <v>1233</v>
      </c>
      <c r="H15971">
        <v>1233</v>
      </c>
      <c r="I15971">
        <v>1232</v>
      </c>
      <c r="J15971">
        <v>1232</v>
      </c>
      <c r="K15971">
        <v>2</v>
      </c>
      <c r="L15971">
        <v>0</v>
      </c>
      <c r="M15971">
        <v>1164</v>
      </c>
      <c r="N15971">
        <v>56</v>
      </c>
      <c r="O15971">
        <v>11</v>
      </c>
      <c r="P15971">
        <v>1</v>
      </c>
      <c r="Q15971">
        <v>1</v>
      </c>
    </row>
    <row r="15972" spans="1:17" x14ac:dyDescent="0.2">
      <c r="A15972" s="121">
        <v>44834</v>
      </c>
      <c r="B15972" t="s">
        <v>406</v>
      </c>
      <c r="C15972" t="s">
        <v>451</v>
      </c>
      <c r="D15972" t="s">
        <v>454</v>
      </c>
      <c r="E15972" t="s">
        <v>621</v>
      </c>
      <c r="F15972" t="s">
        <v>410</v>
      </c>
      <c r="G15972">
        <v>2003</v>
      </c>
      <c r="H15972">
        <v>2003</v>
      </c>
      <c r="I15972">
        <v>2002</v>
      </c>
      <c r="J15972">
        <v>2002</v>
      </c>
      <c r="K15972">
        <v>4</v>
      </c>
      <c r="L15972">
        <v>0</v>
      </c>
      <c r="M15972">
        <v>1849</v>
      </c>
      <c r="N15972">
        <v>1</v>
      </c>
      <c r="O15972">
        <v>149</v>
      </c>
      <c r="P15972">
        <v>0</v>
      </c>
      <c r="Q15972">
        <v>0</v>
      </c>
    </row>
    <row r="15973" spans="1:17" x14ac:dyDescent="0.2">
      <c r="A15973" s="121">
        <v>44834</v>
      </c>
      <c r="B15973" t="s">
        <v>406</v>
      </c>
      <c r="C15973" t="s">
        <v>451</v>
      </c>
      <c r="D15973" t="s">
        <v>622</v>
      </c>
      <c r="E15973" t="s">
        <v>623</v>
      </c>
      <c r="F15973" t="s">
        <v>413</v>
      </c>
      <c r="G15973">
        <v>4982</v>
      </c>
      <c r="H15973">
        <v>4982</v>
      </c>
      <c r="I15973">
        <v>2105</v>
      </c>
      <c r="J15973">
        <v>2105</v>
      </c>
      <c r="K15973">
        <v>1505</v>
      </c>
      <c r="L15973">
        <v>11</v>
      </c>
      <c r="M15973">
        <v>2816</v>
      </c>
      <c r="N15973">
        <v>32</v>
      </c>
      <c r="O15973">
        <v>618</v>
      </c>
      <c r="P15973">
        <v>1382</v>
      </c>
      <c r="Q15973">
        <v>600</v>
      </c>
    </row>
    <row r="15974" spans="1:17" x14ac:dyDescent="0.2">
      <c r="A15974" s="121">
        <v>44834</v>
      </c>
      <c r="B15974" t="s">
        <v>406</v>
      </c>
      <c r="C15974" t="s">
        <v>456</v>
      </c>
      <c r="D15974" t="s">
        <v>457</v>
      </c>
      <c r="E15974" t="s">
        <v>458</v>
      </c>
      <c r="F15974" t="s">
        <v>413</v>
      </c>
      <c r="G15974">
        <v>4584</v>
      </c>
      <c r="H15974">
        <v>4584</v>
      </c>
      <c r="I15974">
        <v>2260</v>
      </c>
      <c r="J15974">
        <v>2260</v>
      </c>
      <c r="K15974">
        <v>1454</v>
      </c>
      <c r="L15974">
        <v>7</v>
      </c>
      <c r="M15974">
        <v>2887</v>
      </c>
      <c r="N15974">
        <v>15</v>
      </c>
      <c r="O15974">
        <v>221</v>
      </c>
      <c r="P15974">
        <v>711</v>
      </c>
      <c r="Q15974">
        <v>149</v>
      </c>
    </row>
    <row r="15975" spans="1:17" x14ac:dyDescent="0.2">
      <c r="A15975" s="121">
        <v>44834</v>
      </c>
      <c r="B15975" t="s">
        <v>406</v>
      </c>
      <c r="C15975" t="s">
        <v>456</v>
      </c>
      <c r="D15975" t="s">
        <v>459</v>
      </c>
      <c r="E15975" t="s">
        <v>460</v>
      </c>
      <c r="F15975" t="s">
        <v>413</v>
      </c>
      <c r="G15975">
        <v>1473</v>
      </c>
      <c r="H15975">
        <v>1473</v>
      </c>
      <c r="I15975">
        <v>1317</v>
      </c>
      <c r="J15975">
        <v>1317</v>
      </c>
      <c r="K15975">
        <v>141</v>
      </c>
      <c r="L15975">
        <v>1</v>
      </c>
      <c r="M15975">
        <v>1274</v>
      </c>
      <c r="N15975">
        <v>0</v>
      </c>
      <c r="O15975">
        <v>57</v>
      </c>
      <c r="P15975">
        <v>7</v>
      </c>
      <c r="Q15975">
        <v>0</v>
      </c>
    </row>
    <row r="15976" spans="1:17" x14ac:dyDescent="0.2">
      <c r="A15976" s="121">
        <v>44834</v>
      </c>
      <c r="B15976" t="s">
        <v>406</v>
      </c>
      <c r="C15976" t="s">
        <v>456</v>
      </c>
      <c r="D15976" t="s">
        <v>467</v>
      </c>
      <c r="E15976" t="s">
        <v>468</v>
      </c>
      <c r="F15976" t="s">
        <v>410</v>
      </c>
      <c r="G15976">
        <v>731</v>
      </c>
      <c r="I15976">
        <v>729</v>
      </c>
    </row>
    <row r="15977" spans="1:17" x14ac:dyDescent="0.2">
      <c r="A15977" s="121">
        <v>44834</v>
      </c>
      <c r="B15977" t="s">
        <v>406</v>
      </c>
      <c r="C15977" t="s">
        <v>456</v>
      </c>
      <c r="D15977" t="s">
        <v>469</v>
      </c>
      <c r="E15977" t="s">
        <v>470</v>
      </c>
      <c r="F15977" t="s">
        <v>410</v>
      </c>
      <c r="G15977">
        <v>586</v>
      </c>
      <c r="I15977">
        <v>586</v>
      </c>
    </row>
    <row r="15978" spans="1:17" x14ac:dyDescent="0.2">
      <c r="A15978" s="121">
        <v>44834</v>
      </c>
      <c r="B15978" t="s">
        <v>406</v>
      </c>
      <c r="C15978" t="s">
        <v>456</v>
      </c>
      <c r="D15978" t="s">
        <v>471</v>
      </c>
      <c r="E15978" t="s">
        <v>472</v>
      </c>
      <c r="F15978" t="s">
        <v>410</v>
      </c>
      <c r="G15978">
        <v>418</v>
      </c>
      <c r="I15978">
        <v>413</v>
      </c>
    </row>
    <row r="15979" spans="1:17" x14ac:dyDescent="0.2">
      <c r="A15979" s="121">
        <v>44834</v>
      </c>
      <c r="B15979" t="s">
        <v>406</v>
      </c>
      <c r="C15979" t="s">
        <v>456</v>
      </c>
      <c r="D15979" t="s">
        <v>473</v>
      </c>
      <c r="E15979" t="s">
        <v>474</v>
      </c>
      <c r="F15979" t="s">
        <v>410</v>
      </c>
      <c r="G15979">
        <v>2</v>
      </c>
      <c r="I15979">
        <v>2</v>
      </c>
    </row>
    <row r="15980" spans="1:17" x14ac:dyDescent="0.2">
      <c r="A15980" s="121">
        <v>44834</v>
      </c>
      <c r="B15980" t="s">
        <v>406</v>
      </c>
      <c r="C15980" t="s">
        <v>456</v>
      </c>
      <c r="D15980" t="s">
        <v>475</v>
      </c>
      <c r="E15980" t="s">
        <v>476</v>
      </c>
      <c r="F15980" t="s">
        <v>410</v>
      </c>
      <c r="G15980">
        <v>73</v>
      </c>
      <c r="I15980">
        <v>73</v>
      </c>
    </row>
    <row r="15981" spans="1:17" x14ac:dyDescent="0.2">
      <c r="A15981" s="121">
        <v>44834</v>
      </c>
      <c r="B15981" t="s">
        <v>406</v>
      </c>
      <c r="C15981" t="s">
        <v>456</v>
      </c>
      <c r="D15981" t="s">
        <v>477</v>
      </c>
      <c r="E15981" t="s">
        <v>478</v>
      </c>
      <c r="F15981" t="s">
        <v>413</v>
      </c>
      <c r="G15981">
        <v>2530</v>
      </c>
      <c r="H15981">
        <v>2530</v>
      </c>
      <c r="I15981">
        <v>1850</v>
      </c>
      <c r="J15981">
        <v>1850</v>
      </c>
      <c r="K15981">
        <v>479</v>
      </c>
      <c r="L15981">
        <v>4</v>
      </c>
      <c r="M15981">
        <v>1967</v>
      </c>
      <c r="N15981">
        <v>33</v>
      </c>
      <c r="O15981">
        <v>47</v>
      </c>
      <c r="P15981">
        <v>216</v>
      </c>
      <c r="Q15981">
        <v>79</v>
      </c>
    </row>
    <row r="15982" spans="1:17" x14ac:dyDescent="0.2">
      <c r="A15982" s="121">
        <v>44834</v>
      </c>
      <c r="B15982" t="s">
        <v>406</v>
      </c>
      <c r="C15982" t="s">
        <v>491</v>
      </c>
      <c r="D15982" t="s">
        <v>492</v>
      </c>
      <c r="E15982" t="s">
        <v>493</v>
      </c>
      <c r="F15982" t="s">
        <v>410</v>
      </c>
      <c r="G15982">
        <v>1388</v>
      </c>
      <c r="H15982">
        <v>1388</v>
      </c>
      <c r="I15982">
        <v>1291</v>
      </c>
      <c r="J15982">
        <v>1291</v>
      </c>
      <c r="K15982">
        <v>133</v>
      </c>
      <c r="L15982">
        <v>0</v>
      </c>
      <c r="M15982">
        <v>1174</v>
      </c>
      <c r="N15982">
        <v>63</v>
      </c>
      <c r="O15982">
        <v>18</v>
      </c>
      <c r="P15982">
        <v>15</v>
      </c>
      <c r="Q15982">
        <v>4</v>
      </c>
    </row>
    <row r="15983" spans="1:17" x14ac:dyDescent="0.2">
      <c r="A15983" s="121">
        <v>44834</v>
      </c>
      <c r="B15983" t="s">
        <v>406</v>
      </c>
      <c r="C15983" t="s">
        <v>491</v>
      </c>
      <c r="D15983" t="s">
        <v>494</v>
      </c>
      <c r="E15983" t="s">
        <v>495</v>
      </c>
      <c r="F15983" t="s">
        <v>413</v>
      </c>
      <c r="G15983">
        <v>2466</v>
      </c>
      <c r="H15983">
        <v>2466</v>
      </c>
      <c r="I15983">
        <v>1990</v>
      </c>
      <c r="J15983">
        <v>1990</v>
      </c>
      <c r="K15983">
        <v>519</v>
      </c>
      <c r="L15983">
        <v>8</v>
      </c>
      <c r="M15983">
        <v>1807</v>
      </c>
      <c r="N15983">
        <v>85</v>
      </c>
      <c r="O15983">
        <v>47</v>
      </c>
      <c r="P15983">
        <v>95</v>
      </c>
      <c r="Q15983">
        <v>19</v>
      </c>
    </row>
    <row r="15984" spans="1:17" x14ac:dyDescent="0.2">
      <c r="A15984" s="121">
        <v>44834</v>
      </c>
      <c r="B15984" t="s">
        <v>406</v>
      </c>
      <c r="C15984" t="s">
        <v>491</v>
      </c>
      <c r="D15984" t="s">
        <v>496</v>
      </c>
      <c r="E15984" t="s">
        <v>497</v>
      </c>
      <c r="F15984" t="s">
        <v>413</v>
      </c>
      <c r="G15984">
        <v>4657</v>
      </c>
      <c r="H15984">
        <v>4657</v>
      </c>
      <c r="I15984">
        <v>2949</v>
      </c>
      <c r="J15984">
        <v>2949</v>
      </c>
      <c r="K15984">
        <v>1233</v>
      </c>
      <c r="L15984">
        <v>12</v>
      </c>
      <c r="M15984">
        <v>3193</v>
      </c>
      <c r="N15984">
        <v>82</v>
      </c>
      <c r="O15984">
        <v>137</v>
      </c>
      <c r="P15984">
        <v>608</v>
      </c>
      <c r="Q15984">
        <v>137</v>
      </c>
    </row>
    <row r="15985" spans="1:17" x14ac:dyDescent="0.2">
      <c r="A15985" s="121">
        <v>44834</v>
      </c>
      <c r="B15985" t="s">
        <v>406</v>
      </c>
      <c r="C15985" t="s">
        <v>491</v>
      </c>
      <c r="D15985" t="s">
        <v>498</v>
      </c>
      <c r="E15985" t="s">
        <v>499</v>
      </c>
      <c r="F15985" t="s">
        <v>413</v>
      </c>
      <c r="G15985">
        <v>6918</v>
      </c>
      <c r="H15985">
        <v>6918</v>
      </c>
      <c r="I15985">
        <v>4104</v>
      </c>
      <c r="J15985">
        <v>4104</v>
      </c>
      <c r="K15985">
        <v>1877</v>
      </c>
      <c r="L15985">
        <v>15</v>
      </c>
      <c r="M15985">
        <v>4456</v>
      </c>
      <c r="N15985">
        <v>142</v>
      </c>
      <c r="O15985">
        <v>428</v>
      </c>
      <c r="P15985">
        <v>690</v>
      </c>
      <c r="Q15985">
        <v>121</v>
      </c>
    </row>
    <row r="15986" spans="1:17" x14ac:dyDescent="0.2">
      <c r="A15986" s="121">
        <v>44834</v>
      </c>
      <c r="B15986" t="s">
        <v>406</v>
      </c>
      <c r="C15986" t="s">
        <v>491</v>
      </c>
      <c r="D15986" t="s">
        <v>500</v>
      </c>
      <c r="E15986" t="s">
        <v>620</v>
      </c>
      <c r="F15986" t="s">
        <v>410</v>
      </c>
      <c r="G15986">
        <v>1998</v>
      </c>
      <c r="H15986">
        <v>1998</v>
      </c>
      <c r="I15986">
        <v>1974</v>
      </c>
      <c r="J15986">
        <v>1974</v>
      </c>
      <c r="K15986">
        <v>0</v>
      </c>
      <c r="L15986">
        <v>0</v>
      </c>
      <c r="M15986">
        <v>1728</v>
      </c>
      <c r="N15986">
        <v>54</v>
      </c>
      <c r="O15986">
        <v>216</v>
      </c>
      <c r="P15986">
        <v>0</v>
      </c>
      <c r="Q15986">
        <v>0</v>
      </c>
    </row>
    <row r="15987" spans="1:17" x14ac:dyDescent="0.2">
      <c r="A15987" s="121">
        <v>44834</v>
      </c>
      <c r="B15987" t="s">
        <v>406</v>
      </c>
      <c r="C15987" t="s">
        <v>491</v>
      </c>
      <c r="D15987" t="s">
        <v>502</v>
      </c>
      <c r="E15987" t="s">
        <v>615</v>
      </c>
      <c r="F15987" t="s">
        <v>410</v>
      </c>
      <c r="G15987">
        <v>2325</v>
      </c>
      <c r="H15987">
        <v>2325</v>
      </c>
      <c r="I15987">
        <v>2210</v>
      </c>
      <c r="J15987">
        <v>2210</v>
      </c>
      <c r="K15987">
        <v>1</v>
      </c>
      <c r="L15987">
        <v>0</v>
      </c>
      <c r="M15987">
        <v>2056</v>
      </c>
      <c r="N15987">
        <v>135</v>
      </c>
      <c r="O15987">
        <v>133</v>
      </c>
      <c r="P15987">
        <v>0</v>
      </c>
      <c r="Q15987">
        <v>0</v>
      </c>
    </row>
    <row r="15988" spans="1:17" x14ac:dyDescent="0.2">
      <c r="A15988" s="121">
        <v>44834</v>
      </c>
      <c r="B15988" t="s">
        <v>406</v>
      </c>
      <c r="C15988" t="s">
        <v>491</v>
      </c>
      <c r="D15988" t="s">
        <v>504</v>
      </c>
      <c r="E15988" t="s">
        <v>630</v>
      </c>
      <c r="F15988" t="s">
        <v>413</v>
      </c>
      <c r="G15988">
        <v>7863</v>
      </c>
      <c r="H15988">
        <v>7863</v>
      </c>
      <c r="I15988">
        <v>4060</v>
      </c>
      <c r="J15988">
        <v>4060</v>
      </c>
      <c r="K15988">
        <v>2463</v>
      </c>
      <c r="L15988">
        <v>32</v>
      </c>
      <c r="M15988">
        <v>4836</v>
      </c>
      <c r="N15988">
        <v>85</v>
      </c>
      <c r="O15988">
        <v>447</v>
      </c>
      <c r="P15988">
        <v>1097</v>
      </c>
      <c r="Q15988">
        <v>292</v>
      </c>
    </row>
    <row r="15989" spans="1:17" x14ac:dyDescent="0.2">
      <c r="A15989" s="121">
        <v>44834</v>
      </c>
      <c r="B15989" t="s">
        <v>406</v>
      </c>
      <c r="C15989" t="s">
        <v>491</v>
      </c>
      <c r="D15989" t="s">
        <v>506</v>
      </c>
      <c r="E15989" t="s">
        <v>507</v>
      </c>
      <c r="F15989" t="s">
        <v>413</v>
      </c>
      <c r="G15989">
        <v>6874</v>
      </c>
      <c r="H15989">
        <v>6874</v>
      </c>
      <c r="I15989">
        <v>6303</v>
      </c>
      <c r="J15989">
        <v>6303</v>
      </c>
      <c r="K15989">
        <v>1399</v>
      </c>
      <c r="L15989">
        <v>3</v>
      </c>
      <c r="M15989">
        <v>5435</v>
      </c>
      <c r="N15989">
        <v>4</v>
      </c>
      <c r="O15989">
        <v>33</v>
      </c>
      <c r="P15989">
        <v>4</v>
      </c>
      <c r="Q15989">
        <v>0</v>
      </c>
    </row>
    <row r="15990" spans="1:17" x14ac:dyDescent="0.2">
      <c r="A15990" s="121">
        <v>44834</v>
      </c>
      <c r="B15990" t="s">
        <v>406</v>
      </c>
      <c r="C15990" t="s">
        <v>510</v>
      </c>
      <c r="D15990" t="s">
        <v>513</v>
      </c>
      <c r="E15990" t="s">
        <v>514</v>
      </c>
      <c r="F15990" t="s">
        <v>410</v>
      </c>
      <c r="G15990">
        <v>626</v>
      </c>
      <c r="I15990">
        <v>625</v>
      </c>
    </row>
    <row r="15991" spans="1:17" x14ac:dyDescent="0.2">
      <c r="A15991" s="121">
        <v>44834</v>
      </c>
      <c r="B15991" t="s">
        <v>406</v>
      </c>
      <c r="C15991" t="s">
        <v>510</v>
      </c>
      <c r="D15991" t="s">
        <v>515</v>
      </c>
      <c r="E15991" t="s">
        <v>516</v>
      </c>
      <c r="F15991" t="s">
        <v>410</v>
      </c>
      <c r="G15991">
        <v>78</v>
      </c>
      <c r="I15991">
        <v>78</v>
      </c>
    </row>
    <row r="15992" spans="1:17" x14ac:dyDescent="0.2">
      <c r="A15992" s="121">
        <v>44834</v>
      </c>
      <c r="B15992" t="s">
        <v>406</v>
      </c>
      <c r="C15992" t="s">
        <v>510</v>
      </c>
      <c r="D15992" t="s">
        <v>519</v>
      </c>
      <c r="E15992" t="s">
        <v>520</v>
      </c>
      <c r="F15992" t="s">
        <v>410</v>
      </c>
      <c r="G15992">
        <v>295</v>
      </c>
      <c r="I15992">
        <v>290</v>
      </c>
    </row>
    <row r="15993" spans="1:17" x14ac:dyDescent="0.2">
      <c r="A15993" s="121">
        <v>44834</v>
      </c>
      <c r="B15993" t="s">
        <v>406</v>
      </c>
      <c r="C15993" t="s">
        <v>510</v>
      </c>
      <c r="D15993" t="s">
        <v>523</v>
      </c>
      <c r="E15993" t="s">
        <v>524</v>
      </c>
      <c r="F15993" t="s">
        <v>413</v>
      </c>
      <c r="G15993">
        <v>806</v>
      </c>
      <c r="H15993">
        <v>806</v>
      </c>
      <c r="I15993">
        <v>730</v>
      </c>
      <c r="J15993">
        <v>730</v>
      </c>
      <c r="K15993">
        <v>177</v>
      </c>
      <c r="L15993">
        <v>1</v>
      </c>
      <c r="M15993">
        <v>578</v>
      </c>
      <c r="N15993">
        <v>18</v>
      </c>
      <c r="O15993">
        <v>32</v>
      </c>
      <c r="P15993">
        <v>6</v>
      </c>
      <c r="Q15993">
        <v>1</v>
      </c>
    </row>
    <row r="15994" spans="1:17" x14ac:dyDescent="0.2">
      <c r="A15994" s="121">
        <v>44834</v>
      </c>
      <c r="B15994" t="s">
        <v>406</v>
      </c>
      <c r="C15994" t="s">
        <v>510</v>
      </c>
      <c r="D15994" t="s">
        <v>525</v>
      </c>
      <c r="E15994" t="s">
        <v>526</v>
      </c>
      <c r="F15994" t="s">
        <v>410</v>
      </c>
      <c r="G15994">
        <v>334</v>
      </c>
      <c r="H15994">
        <v>334</v>
      </c>
      <c r="I15994">
        <v>313</v>
      </c>
      <c r="J15994">
        <v>313</v>
      </c>
      <c r="K15994">
        <v>35</v>
      </c>
      <c r="L15994">
        <v>1</v>
      </c>
      <c r="M15994">
        <v>269</v>
      </c>
      <c r="N15994">
        <v>27</v>
      </c>
      <c r="O15994">
        <v>2</v>
      </c>
      <c r="P15994">
        <v>4</v>
      </c>
      <c r="Q15994">
        <v>1</v>
      </c>
    </row>
    <row r="15995" spans="1:17" x14ac:dyDescent="0.2">
      <c r="A15995" s="121">
        <v>44834</v>
      </c>
      <c r="B15995" t="s">
        <v>406</v>
      </c>
      <c r="C15995" t="s">
        <v>510</v>
      </c>
      <c r="D15995" t="s">
        <v>527</v>
      </c>
      <c r="E15995" t="s">
        <v>528</v>
      </c>
      <c r="F15995" t="s">
        <v>410</v>
      </c>
      <c r="G15995">
        <v>15</v>
      </c>
      <c r="I15995">
        <v>15</v>
      </c>
    </row>
    <row r="15996" spans="1:17" x14ac:dyDescent="0.2">
      <c r="A15996" s="121">
        <v>44834</v>
      </c>
      <c r="B15996" t="s">
        <v>406</v>
      </c>
      <c r="C15996" t="s">
        <v>510</v>
      </c>
      <c r="D15996" t="s">
        <v>529</v>
      </c>
      <c r="E15996" t="s">
        <v>530</v>
      </c>
      <c r="F15996" t="s">
        <v>413</v>
      </c>
      <c r="G15996">
        <v>873</v>
      </c>
      <c r="H15996">
        <v>873</v>
      </c>
      <c r="I15996">
        <v>735</v>
      </c>
      <c r="J15996">
        <v>735</v>
      </c>
      <c r="K15996">
        <v>131</v>
      </c>
      <c r="L15996">
        <v>0</v>
      </c>
      <c r="M15996">
        <v>706</v>
      </c>
      <c r="N15996">
        <v>27</v>
      </c>
      <c r="O15996">
        <v>9</v>
      </c>
      <c r="P15996">
        <v>17</v>
      </c>
      <c r="Q15996">
        <v>8</v>
      </c>
    </row>
    <row r="15997" spans="1:17" x14ac:dyDescent="0.2">
      <c r="A15997" s="121">
        <v>44834</v>
      </c>
      <c r="B15997" t="s">
        <v>406</v>
      </c>
      <c r="C15997" t="s">
        <v>510</v>
      </c>
      <c r="D15997" t="s">
        <v>531</v>
      </c>
      <c r="E15997" t="s">
        <v>532</v>
      </c>
      <c r="F15997" t="s">
        <v>410</v>
      </c>
      <c r="G15997">
        <v>4</v>
      </c>
      <c r="I15997">
        <v>4</v>
      </c>
    </row>
    <row r="15998" spans="1:17" x14ac:dyDescent="0.2">
      <c r="A15998" s="121">
        <v>44834</v>
      </c>
      <c r="B15998" t="s">
        <v>406</v>
      </c>
      <c r="C15998" t="s">
        <v>510</v>
      </c>
      <c r="D15998" t="s">
        <v>533</v>
      </c>
      <c r="E15998" t="s">
        <v>534</v>
      </c>
      <c r="F15998" t="s">
        <v>413</v>
      </c>
      <c r="G15998">
        <v>3238</v>
      </c>
      <c r="H15998">
        <v>3238</v>
      </c>
      <c r="I15998">
        <v>2325</v>
      </c>
      <c r="J15998">
        <v>2325</v>
      </c>
      <c r="K15998">
        <v>763</v>
      </c>
      <c r="L15998">
        <v>5</v>
      </c>
      <c r="M15998">
        <v>2204</v>
      </c>
      <c r="N15998">
        <v>22</v>
      </c>
      <c r="O15998">
        <v>244</v>
      </c>
      <c r="P15998">
        <v>223</v>
      </c>
      <c r="Q15998">
        <v>39</v>
      </c>
    </row>
    <row r="15999" spans="1:17" x14ac:dyDescent="0.2">
      <c r="A15999" s="121">
        <v>44834</v>
      </c>
      <c r="B15999" t="s">
        <v>406</v>
      </c>
      <c r="C15999" t="s">
        <v>510</v>
      </c>
      <c r="D15999" t="s">
        <v>535</v>
      </c>
      <c r="E15999" t="s">
        <v>536</v>
      </c>
      <c r="F15999" t="s">
        <v>410</v>
      </c>
      <c r="G15999">
        <v>305</v>
      </c>
      <c r="I15999">
        <v>305</v>
      </c>
    </row>
    <row r="16000" spans="1:17" x14ac:dyDescent="0.2">
      <c r="A16000" s="121">
        <v>44834</v>
      </c>
      <c r="B16000" t="s">
        <v>406</v>
      </c>
      <c r="C16000" t="s">
        <v>510</v>
      </c>
      <c r="D16000" t="s">
        <v>539</v>
      </c>
      <c r="E16000" t="s">
        <v>540</v>
      </c>
      <c r="F16000" t="s">
        <v>413</v>
      </c>
      <c r="G16000">
        <v>851</v>
      </c>
      <c r="H16000">
        <v>851</v>
      </c>
      <c r="I16000">
        <v>771</v>
      </c>
      <c r="J16000">
        <v>771</v>
      </c>
      <c r="K16000">
        <v>110</v>
      </c>
      <c r="L16000">
        <v>0</v>
      </c>
      <c r="M16000">
        <v>684</v>
      </c>
      <c r="N16000">
        <v>31</v>
      </c>
      <c r="O16000">
        <v>26</v>
      </c>
      <c r="P16000">
        <v>3</v>
      </c>
      <c r="Q16000">
        <v>1</v>
      </c>
    </row>
    <row r="16001" spans="1:17" x14ac:dyDescent="0.2">
      <c r="A16001" s="121">
        <v>44834</v>
      </c>
      <c r="B16001" t="s">
        <v>406</v>
      </c>
      <c r="C16001" t="s">
        <v>510</v>
      </c>
      <c r="D16001" t="s">
        <v>547</v>
      </c>
      <c r="E16001" t="s">
        <v>548</v>
      </c>
      <c r="F16001" t="s">
        <v>410</v>
      </c>
      <c r="G16001">
        <v>26</v>
      </c>
      <c r="I16001">
        <v>26</v>
      </c>
    </row>
    <row r="16002" spans="1:17" x14ac:dyDescent="0.2">
      <c r="A16002" s="121">
        <v>44834</v>
      </c>
      <c r="B16002" t="s">
        <v>406</v>
      </c>
      <c r="C16002" t="s">
        <v>510</v>
      </c>
      <c r="D16002" t="s">
        <v>616</v>
      </c>
      <c r="E16002" t="s">
        <v>617</v>
      </c>
      <c r="F16002" t="s">
        <v>410</v>
      </c>
      <c r="G16002">
        <v>338</v>
      </c>
      <c r="I16002">
        <v>334</v>
      </c>
    </row>
    <row r="16003" spans="1:17" x14ac:dyDescent="0.2">
      <c r="A16003" s="121">
        <v>44834</v>
      </c>
      <c r="B16003" t="s">
        <v>406</v>
      </c>
      <c r="C16003" t="s">
        <v>510</v>
      </c>
      <c r="D16003" t="s">
        <v>549</v>
      </c>
      <c r="E16003" t="s">
        <v>550</v>
      </c>
      <c r="F16003" t="s">
        <v>410</v>
      </c>
      <c r="G16003">
        <v>90</v>
      </c>
      <c r="I16003">
        <v>90</v>
      </c>
    </row>
    <row r="16004" spans="1:17" x14ac:dyDescent="0.2">
      <c r="A16004" s="121">
        <v>44834</v>
      </c>
      <c r="B16004" t="s">
        <v>406</v>
      </c>
      <c r="C16004" t="s">
        <v>510</v>
      </c>
      <c r="D16004" t="s">
        <v>625</v>
      </c>
      <c r="E16004" t="s">
        <v>626</v>
      </c>
      <c r="F16004" t="s">
        <v>410</v>
      </c>
      <c r="G16004">
        <v>113</v>
      </c>
      <c r="I16004">
        <v>111</v>
      </c>
    </row>
    <row r="16005" spans="1:17" x14ac:dyDescent="0.2">
      <c r="A16005" s="121">
        <v>44834</v>
      </c>
      <c r="B16005" t="s">
        <v>406</v>
      </c>
      <c r="C16005" t="s">
        <v>510</v>
      </c>
      <c r="D16005" t="s">
        <v>634</v>
      </c>
      <c r="E16005" t="s">
        <v>635</v>
      </c>
      <c r="F16005" t="s">
        <v>410</v>
      </c>
      <c r="G16005">
        <v>8</v>
      </c>
      <c r="I16005">
        <v>8</v>
      </c>
    </row>
    <row r="16006" spans="1:17" x14ac:dyDescent="0.2">
      <c r="A16006" s="121">
        <v>44834</v>
      </c>
      <c r="B16006" t="s">
        <v>406</v>
      </c>
      <c r="C16006" t="s">
        <v>551</v>
      </c>
      <c r="D16006" t="s">
        <v>552</v>
      </c>
      <c r="E16006" t="s">
        <v>553</v>
      </c>
      <c r="F16006" t="s">
        <v>413</v>
      </c>
      <c r="G16006">
        <v>5441</v>
      </c>
      <c r="H16006">
        <v>5441</v>
      </c>
      <c r="I16006">
        <v>3410</v>
      </c>
      <c r="J16006">
        <v>3410</v>
      </c>
      <c r="K16006">
        <v>1735</v>
      </c>
      <c r="L16006">
        <v>5</v>
      </c>
      <c r="M16006">
        <v>3575</v>
      </c>
      <c r="N16006">
        <v>92</v>
      </c>
      <c r="O16006">
        <v>34</v>
      </c>
      <c r="P16006">
        <v>520</v>
      </c>
      <c r="Q16006">
        <v>113</v>
      </c>
    </row>
    <row r="16007" spans="1:17" x14ac:dyDescent="0.2">
      <c r="A16007" s="121">
        <v>44834</v>
      </c>
      <c r="B16007" t="s">
        <v>406</v>
      </c>
      <c r="C16007" t="s">
        <v>551</v>
      </c>
      <c r="D16007" t="s">
        <v>558</v>
      </c>
      <c r="E16007" t="s">
        <v>559</v>
      </c>
      <c r="F16007" t="s">
        <v>413</v>
      </c>
      <c r="G16007">
        <v>5147</v>
      </c>
      <c r="H16007">
        <v>5147</v>
      </c>
      <c r="I16007">
        <v>2682</v>
      </c>
      <c r="J16007">
        <v>2682</v>
      </c>
      <c r="K16007">
        <v>1232</v>
      </c>
      <c r="L16007">
        <v>7</v>
      </c>
      <c r="M16007">
        <v>3764</v>
      </c>
      <c r="N16007">
        <v>95</v>
      </c>
      <c r="O16007">
        <v>49</v>
      </c>
      <c r="P16007">
        <v>743</v>
      </c>
      <c r="Q16007">
        <v>301</v>
      </c>
    </row>
    <row r="16008" spans="1:17" x14ac:dyDescent="0.2">
      <c r="A16008" s="121">
        <v>44834</v>
      </c>
      <c r="B16008" t="s">
        <v>406</v>
      </c>
      <c r="C16008" t="s">
        <v>551</v>
      </c>
      <c r="D16008" t="s">
        <v>560</v>
      </c>
      <c r="E16008" t="s">
        <v>561</v>
      </c>
      <c r="F16008" t="s">
        <v>413</v>
      </c>
      <c r="G16008">
        <v>5746</v>
      </c>
      <c r="H16008">
        <v>5746</v>
      </c>
      <c r="I16008">
        <v>3167</v>
      </c>
      <c r="J16008">
        <v>3167</v>
      </c>
      <c r="K16008">
        <v>1987</v>
      </c>
      <c r="L16008">
        <v>5</v>
      </c>
      <c r="M16008">
        <v>3626</v>
      </c>
      <c r="N16008">
        <v>49</v>
      </c>
      <c r="O16008">
        <v>79</v>
      </c>
      <c r="P16008">
        <v>1098</v>
      </c>
      <c r="Q16008">
        <v>461</v>
      </c>
    </row>
    <row r="16009" spans="1:17" x14ac:dyDescent="0.2">
      <c r="A16009" s="121">
        <v>44834</v>
      </c>
      <c r="B16009" t="s">
        <v>406</v>
      </c>
      <c r="C16009" t="s">
        <v>562</v>
      </c>
      <c r="D16009" t="s">
        <v>563</v>
      </c>
      <c r="E16009" t="s">
        <v>564</v>
      </c>
      <c r="F16009" t="s">
        <v>410</v>
      </c>
      <c r="G16009">
        <v>3201</v>
      </c>
      <c r="H16009">
        <v>3201</v>
      </c>
      <c r="I16009">
        <v>1724</v>
      </c>
      <c r="J16009">
        <v>1724</v>
      </c>
      <c r="K16009">
        <v>1138</v>
      </c>
      <c r="L16009">
        <v>0</v>
      </c>
      <c r="M16009">
        <v>1499</v>
      </c>
      <c r="N16009">
        <v>4</v>
      </c>
      <c r="O16009">
        <v>560</v>
      </c>
      <c r="P16009">
        <v>533</v>
      </c>
      <c r="Q16009">
        <v>235</v>
      </c>
    </row>
    <row r="16010" spans="1:17" x14ac:dyDescent="0.2">
      <c r="A16010" s="121">
        <v>44834</v>
      </c>
      <c r="B16010" t="s">
        <v>406</v>
      </c>
      <c r="C16010" t="s">
        <v>562</v>
      </c>
      <c r="D16010" t="s">
        <v>565</v>
      </c>
      <c r="E16010" t="s">
        <v>566</v>
      </c>
      <c r="F16010" t="s">
        <v>413</v>
      </c>
      <c r="G16010">
        <v>4632</v>
      </c>
      <c r="H16010">
        <v>4632</v>
      </c>
      <c r="I16010">
        <v>3243</v>
      </c>
      <c r="J16010">
        <v>3243</v>
      </c>
      <c r="K16010">
        <v>825</v>
      </c>
      <c r="L16010">
        <v>0</v>
      </c>
      <c r="M16010">
        <v>3252</v>
      </c>
      <c r="N16010">
        <v>37</v>
      </c>
      <c r="O16010">
        <v>518</v>
      </c>
      <c r="P16010">
        <v>537</v>
      </c>
      <c r="Q16010">
        <v>273</v>
      </c>
    </row>
    <row r="16011" spans="1:17" x14ac:dyDescent="0.2">
      <c r="A16011" s="121">
        <v>44834</v>
      </c>
      <c r="B16011" t="s">
        <v>406</v>
      </c>
      <c r="C16011" t="s">
        <v>562</v>
      </c>
      <c r="D16011" t="s">
        <v>567</v>
      </c>
      <c r="E16011" t="s">
        <v>568</v>
      </c>
      <c r="F16011" t="s">
        <v>413</v>
      </c>
      <c r="G16011">
        <v>9988</v>
      </c>
      <c r="H16011">
        <v>9988</v>
      </c>
      <c r="I16011">
        <v>4249</v>
      </c>
      <c r="J16011">
        <v>4249</v>
      </c>
      <c r="K16011">
        <v>2420</v>
      </c>
      <c r="L16011">
        <v>2</v>
      </c>
      <c r="M16011">
        <v>7363</v>
      </c>
      <c r="N16011">
        <v>133</v>
      </c>
      <c r="O16011">
        <v>70</v>
      </c>
      <c r="P16011">
        <v>2426</v>
      </c>
      <c r="Q16011">
        <v>1171</v>
      </c>
    </row>
    <row r="16012" spans="1:17" x14ac:dyDescent="0.2">
      <c r="A16012" s="121">
        <v>44834</v>
      </c>
      <c r="B16012" t="s">
        <v>406</v>
      </c>
      <c r="C16012" t="s">
        <v>562</v>
      </c>
      <c r="D16012" t="s">
        <v>569</v>
      </c>
      <c r="E16012" t="s">
        <v>570</v>
      </c>
      <c r="F16012" t="s">
        <v>413</v>
      </c>
      <c r="G16012">
        <v>5171</v>
      </c>
      <c r="H16012">
        <v>5171</v>
      </c>
      <c r="I16012">
        <v>4793</v>
      </c>
      <c r="J16012">
        <v>4793</v>
      </c>
      <c r="K16012">
        <v>682</v>
      </c>
      <c r="L16012">
        <v>0</v>
      </c>
      <c r="M16012">
        <v>4316</v>
      </c>
      <c r="N16012">
        <v>123</v>
      </c>
      <c r="O16012">
        <v>50</v>
      </c>
      <c r="P16012">
        <v>7</v>
      </c>
      <c r="Q16012">
        <v>1</v>
      </c>
    </row>
    <row r="16013" spans="1:17" x14ac:dyDescent="0.2">
      <c r="A16013" s="121">
        <v>44834</v>
      </c>
      <c r="B16013" t="s">
        <v>406</v>
      </c>
      <c r="C16013" t="s">
        <v>571</v>
      </c>
      <c r="D16013" t="s">
        <v>572</v>
      </c>
      <c r="E16013" t="s">
        <v>627</v>
      </c>
      <c r="F16013" t="s">
        <v>413</v>
      </c>
      <c r="G16013">
        <v>593</v>
      </c>
      <c r="H16013">
        <v>593</v>
      </c>
      <c r="I16013">
        <v>527</v>
      </c>
      <c r="J16013">
        <v>527</v>
      </c>
      <c r="K16013">
        <v>118</v>
      </c>
      <c r="L16013">
        <v>0</v>
      </c>
      <c r="M16013">
        <v>464</v>
      </c>
      <c r="N16013">
        <v>3</v>
      </c>
      <c r="O16013">
        <v>8</v>
      </c>
      <c r="P16013">
        <v>4</v>
      </c>
      <c r="Q16013">
        <v>0</v>
      </c>
    </row>
    <row r="16014" spans="1:17" x14ac:dyDescent="0.2">
      <c r="A16014" s="121">
        <v>44834</v>
      </c>
      <c r="B16014" t="s">
        <v>406</v>
      </c>
      <c r="C16014" t="s">
        <v>574</v>
      </c>
      <c r="D16014" t="s">
        <v>575</v>
      </c>
      <c r="E16014" t="s">
        <v>576</v>
      </c>
      <c r="F16014" t="s">
        <v>413</v>
      </c>
      <c r="G16014">
        <v>725</v>
      </c>
      <c r="H16014">
        <v>725</v>
      </c>
      <c r="I16014">
        <v>677</v>
      </c>
      <c r="J16014">
        <v>677</v>
      </c>
      <c r="K16014">
        <v>145</v>
      </c>
      <c r="L16014">
        <v>0</v>
      </c>
      <c r="M16014">
        <v>569</v>
      </c>
      <c r="N16014">
        <v>5</v>
      </c>
      <c r="O16014">
        <v>6</v>
      </c>
      <c r="P16014">
        <v>1</v>
      </c>
      <c r="Q16014">
        <v>0</v>
      </c>
    </row>
    <row r="16015" spans="1:17" x14ac:dyDescent="0.2">
      <c r="A16015" s="121">
        <v>44834</v>
      </c>
      <c r="B16015" t="s">
        <v>406</v>
      </c>
      <c r="C16015" t="s">
        <v>577</v>
      </c>
      <c r="D16015" t="s">
        <v>578</v>
      </c>
      <c r="E16015" t="s">
        <v>579</v>
      </c>
      <c r="F16015" t="s">
        <v>413</v>
      </c>
      <c r="G16015">
        <v>5045</v>
      </c>
      <c r="H16015">
        <v>5045</v>
      </c>
      <c r="I16015">
        <v>4324</v>
      </c>
      <c r="J16015">
        <v>4324</v>
      </c>
      <c r="K16015">
        <v>1780</v>
      </c>
      <c r="L16015">
        <v>7</v>
      </c>
      <c r="M16015">
        <v>2854</v>
      </c>
      <c r="N16015">
        <v>317</v>
      </c>
      <c r="O16015">
        <v>87</v>
      </c>
      <c r="P16015">
        <v>20</v>
      </c>
      <c r="Q16015">
        <v>0</v>
      </c>
    </row>
    <row r="16016" spans="1:17" x14ac:dyDescent="0.2">
      <c r="A16016" s="121">
        <v>44834</v>
      </c>
      <c r="B16016" t="s">
        <v>406</v>
      </c>
      <c r="C16016" t="s">
        <v>577</v>
      </c>
      <c r="D16016" t="s">
        <v>580</v>
      </c>
      <c r="E16016" t="s">
        <v>581</v>
      </c>
      <c r="F16016" t="s">
        <v>413</v>
      </c>
      <c r="G16016">
        <v>1950</v>
      </c>
      <c r="H16016">
        <v>1950</v>
      </c>
      <c r="I16016">
        <v>1785</v>
      </c>
      <c r="J16016">
        <v>1785</v>
      </c>
      <c r="K16016">
        <v>250</v>
      </c>
      <c r="L16016">
        <v>0</v>
      </c>
      <c r="M16016">
        <v>1506</v>
      </c>
      <c r="N16016">
        <v>167</v>
      </c>
      <c r="O16016">
        <v>27</v>
      </c>
      <c r="P16016">
        <v>8</v>
      </c>
      <c r="Q16016">
        <v>2</v>
      </c>
    </row>
    <row r="16017" spans="1:17" x14ac:dyDescent="0.2">
      <c r="A16017" s="121">
        <v>44834</v>
      </c>
      <c r="B16017" t="s">
        <v>406</v>
      </c>
      <c r="C16017" t="s">
        <v>577</v>
      </c>
      <c r="D16017" t="s">
        <v>586</v>
      </c>
      <c r="E16017" t="s">
        <v>587</v>
      </c>
      <c r="F16017" t="s">
        <v>410</v>
      </c>
      <c r="G16017">
        <v>658</v>
      </c>
      <c r="H16017">
        <v>658</v>
      </c>
      <c r="I16017">
        <v>658</v>
      </c>
      <c r="J16017">
        <v>658</v>
      </c>
      <c r="K16017">
        <v>0</v>
      </c>
      <c r="L16017">
        <v>1</v>
      </c>
      <c r="M16017">
        <v>581</v>
      </c>
      <c r="N16017">
        <v>69</v>
      </c>
      <c r="O16017">
        <v>7</v>
      </c>
      <c r="P16017">
        <v>0</v>
      </c>
      <c r="Q16017">
        <v>0</v>
      </c>
    </row>
    <row r="16018" spans="1:17" x14ac:dyDescent="0.2">
      <c r="A16018" s="121">
        <v>44834</v>
      </c>
      <c r="B16018" t="s">
        <v>406</v>
      </c>
      <c r="C16018" t="s">
        <v>577</v>
      </c>
      <c r="D16018" t="s">
        <v>590</v>
      </c>
      <c r="E16018" t="s">
        <v>591</v>
      </c>
      <c r="F16018" t="s">
        <v>410</v>
      </c>
      <c r="G16018">
        <v>251</v>
      </c>
      <c r="H16018">
        <v>251</v>
      </c>
      <c r="I16018">
        <v>251</v>
      </c>
      <c r="J16018">
        <v>251</v>
      </c>
      <c r="K16018">
        <v>0</v>
      </c>
      <c r="L16018">
        <v>0</v>
      </c>
      <c r="M16018">
        <v>241</v>
      </c>
      <c r="N16018">
        <v>10</v>
      </c>
      <c r="O16018">
        <v>0</v>
      </c>
      <c r="P16018">
        <v>0</v>
      </c>
      <c r="Q16018">
        <v>0</v>
      </c>
    </row>
    <row r="16019" spans="1:17" x14ac:dyDescent="0.2">
      <c r="A16019" s="121">
        <v>44834</v>
      </c>
      <c r="B16019" t="s">
        <v>406</v>
      </c>
      <c r="C16019" t="s">
        <v>594</v>
      </c>
      <c r="D16019" t="s">
        <v>595</v>
      </c>
      <c r="E16019" t="s">
        <v>596</v>
      </c>
      <c r="F16019" t="s">
        <v>410</v>
      </c>
      <c r="G16019">
        <v>38</v>
      </c>
      <c r="I16019">
        <v>38</v>
      </c>
    </row>
    <row r="16020" spans="1:17" x14ac:dyDescent="0.2">
      <c r="A16020" s="121">
        <v>44834</v>
      </c>
      <c r="B16020" t="s">
        <v>406</v>
      </c>
      <c r="C16020" t="s">
        <v>594</v>
      </c>
      <c r="D16020" t="s">
        <v>597</v>
      </c>
      <c r="E16020" t="s">
        <v>598</v>
      </c>
      <c r="F16020" t="s">
        <v>413</v>
      </c>
      <c r="G16020">
        <v>504</v>
      </c>
      <c r="H16020">
        <v>504</v>
      </c>
      <c r="I16020">
        <v>494</v>
      </c>
      <c r="J16020">
        <v>494</v>
      </c>
      <c r="K16020">
        <v>155</v>
      </c>
      <c r="L16020">
        <v>1</v>
      </c>
      <c r="M16020">
        <v>323</v>
      </c>
      <c r="N16020">
        <v>7</v>
      </c>
      <c r="O16020">
        <v>18</v>
      </c>
      <c r="P16020">
        <v>0</v>
      </c>
      <c r="Q16020">
        <v>0</v>
      </c>
    </row>
    <row r="16021" spans="1:17" x14ac:dyDescent="0.2">
      <c r="A16021" s="121">
        <v>44834</v>
      </c>
      <c r="B16021" t="s">
        <v>406</v>
      </c>
      <c r="C16021" t="s">
        <v>594</v>
      </c>
      <c r="D16021" t="s">
        <v>599</v>
      </c>
      <c r="E16021" t="s">
        <v>600</v>
      </c>
      <c r="F16021" t="s">
        <v>410</v>
      </c>
      <c r="G16021">
        <v>81</v>
      </c>
      <c r="H16021">
        <v>81</v>
      </c>
      <c r="I16021">
        <v>81</v>
      </c>
      <c r="J16021">
        <v>81</v>
      </c>
      <c r="K16021">
        <v>5</v>
      </c>
      <c r="L16021">
        <v>0</v>
      </c>
      <c r="M16021">
        <v>73</v>
      </c>
      <c r="N16021">
        <v>0</v>
      </c>
      <c r="O16021">
        <v>3</v>
      </c>
      <c r="P16021">
        <v>0</v>
      </c>
      <c r="Q16021">
        <v>0</v>
      </c>
    </row>
    <row r="16022" spans="1:17" x14ac:dyDescent="0.2">
      <c r="A16022" s="121">
        <v>44865</v>
      </c>
      <c r="B16022" t="s">
        <v>406</v>
      </c>
      <c r="C16022" t="s">
        <v>407</v>
      </c>
      <c r="D16022" t="s">
        <v>408</v>
      </c>
      <c r="E16022" t="s">
        <v>409</v>
      </c>
      <c r="F16022" t="s">
        <v>410</v>
      </c>
      <c r="G16022">
        <v>244</v>
      </c>
      <c r="I16022">
        <v>238</v>
      </c>
    </row>
    <row r="16023" spans="1:17" x14ac:dyDescent="0.2">
      <c r="A16023" s="121">
        <v>44865</v>
      </c>
      <c r="B16023" t="s">
        <v>406</v>
      </c>
      <c r="C16023" t="s">
        <v>407</v>
      </c>
      <c r="D16023" t="s">
        <v>601</v>
      </c>
      <c r="E16023" t="s">
        <v>602</v>
      </c>
      <c r="F16023" t="s">
        <v>410</v>
      </c>
      <c r="G16023">
        <v>105</v>
      </c>
      <c r="I16023">
        <v>105</v>
      </c>
    </row>
    <row r="16024" spans="1:17" x14ac:dyDescent="0.2">
      <c r="A16024" s="121">
        <v>44865</v>
      </c>
      <c r="B16024" t="s">
        <v>406</v>
      </c>
      <c r="C16024" t="s">
        <v>407</v>
      </c>
      <c r="D16024" t="s">
        <v>411</v>
      </c>
      <c r="E16024" t="s">
        <v>412</v>
      </c>
      <c r="F16024" t="s">
        <v>413</v>
      </c>
      <c r="G16024">
        <v>5304</v>
      </c>
      <c r="H16024">
        <v>5304</v>
      </c>
      <c r="I16024">
        <v>3576</v>
      </c>
      <c r="J16024">
        <v>3576</v>
      </c>
      <c r="K16024">
        <v>1394</v>
      </c>
      <c r="L16024">
        <v>9</v>
      </c>
      <c r="M16024">
        <v>3500</v>
      </c>
      <c r="N16024">
        <v>38</v>
      </c>
      <c r="O16024">
        <v>363</v>
      </c>
      <c r="P16024">
        <v>855</v>
      </c>
      <c r="Q16024">
        <v>571</v>
      </c>
    </row>
    <row r="16025" spans="1:17" x14ac:dyDescent="0.2">
      <c r="A16025" s="121">
        <v>44865</v>
      </c>
      <c r="B16025" t="s">
        <v>406</v>
      </c>
      <c r="C16025" t="s">
        <v>407</v>
      </c>
      <c r="D16025" t="s">
        <v>416</v>
      </c>
      <c r="E16025" t="s">
        <v>417</v>
      </c>
      <c r="F16025" t="s">
        <v>413</v>
      </c>
      <c r="G16025">
        <v>2679</v>
      </c>
      <c r="H16025">
        <v>2679</v>
      </c>
      <c r="I16025">
        <v>1644</v>
      </c>
      <c r="J16025">
        <v>1644</v>
      </c>
      <c r="K16025">
        <v>570</v>
      </c>
      <c r="L16025">
        <v>3</v>
      </c>
      <c r="M16025">
        <v>1925</v>
      </c>
      <c r="N16025">
        <v>83</v>
      </c>
      <c r="O16025">
        <v>98</v>
      </c>
      <c r="P16025">
        <v>582</v>
      </c>
      <c r="Q16025">
        <v>396</v>
      </c>
    </row>
    <row r="16026" spans="1:17" x14ac:dyDescent="0.2">
      <c r="A16026" s="121">
        <v>44865</v>
      </c>
      <c r="B16026" t="s">
        <v>406</v>
      </c>
      <c r="C16026" t="s">
        <v>407</v>
      </c>
      <c r="D16026" t="s">
        <v>618</v>
      </c>
      <c r="E16026" t="s">
        <v>619</v>
      </c>
      <c r="F16026" t="s">
        <v>410</v>
      </c>
      <c r="G16026">
        <v>68</v>
      </c>
      <c r="I16026">
        <v>68</v>
      </c>
    </row>
    <row r="16027" spans="1:17" x14ac:dyDescent="0.2">
      <c r="A16027" s="121">
        <v>44865</v>
      </c>
      <c r="B16027" t="s">
        <v>406</v>
      </c>
      <c r="C16027" t="s">
        <v>418</v>
      </c>
      <c r="D16027" t="s">
        <v>427</v>
      </c>
      <c r="E16027" t="s">
        <v>428</v>
      </c>
      <c r="F16027" t="s">
        <v>413</v>
      </c>
      <c r="G16027">
        <v>2568</v>
      </c>
      <c r="H16027">
        <v>2568</v>
      </c>
      <c r="I16027">
        <v>1633</v>
      </c>
      <c r="J16027">
        <v>1633</v>
      </c>
      <c r="K16027">
        <v>710</v>
      </c>
      <c r="L16027">
        <v>6</v>
      </c>
      <c r="M16027">
        <v>1747</v>
      </c>
      <c r="N16027">
        <v>95</v>
      </c>
      <c r="O16027">
        <v>10</v>
      </c>
      <c r="P16027">
        <v>445</v>
      </c>
      <c r="Q16027">
        <v>311</v>
      </c>
    </row>
    <row r="16028" spans="1:17" x14ac:dyDescent="0.2">
      <c r="A16028" s="121">
        <v>44865</v>
      </c>
      <c r="B16028" t="s">
        <v>406</v>
      </c>
      <c r="C16028" t="s">
        <v>429</v>
      </c>
      <c r="D16028" t="s">
        <v>438</v>
      </c>
      <c r="E16028" t="s">
        <v>439</v>
      </c>
      <c r="F16028" t="s">
        <v>413</v>
      </c>
      <c r="G16028">
        <v>1208</v>
      </c>
      <c r="H16028">
        <v>1208</v>
      </c>
      <c r="I16028">
        <v>1053</v>
      </c>
      <c r="J16028">
        <v>1053</v>
      </c>
      <c r="K16028">
        <v>72</v>
      </c>
      <c r="L16028">
        <v>0</v>
      </c>
      <c r="M16028">
        <v>1033</v>
      </c>
      <c r="N16028">
        <v>61</v>
      </c>
      <c r="O16028">
        <v>42</v>
      </c>
      <c r="P16028">
        <v>19</v>
      </c>
      <c r="Q16028">
        <v>3</v>
      </c>
    </row>
    <row r="16029" spans="1:17" x14ac:dyDescent="0.2">
      <c r="A16029" s="121">
        <v>44865</v>
      </c>
      <c r="B16029" t="s">
        <v>406</v>
      </c>
      <c r="C16029" t="s">
        <v>429</v>
      </c>
      <c r="D16029" t="s">
        <v>440</v>
      </c>
      <c r="E16029" t="s">
        <v>441</v>
      </c>
      <c r="F16029" t="s">
        <v>413</v>
      </c>
      <c r="G16029">
        <v>2735</v>
      </c>
      <c r="H16029">
        <v>2735</v>
      </c>
      <c r="I16029">
        <v>1984</v>
      </c>
      <c r="J16029">
        <v>1984</v>
      </c>
      <c r="K16029">
        <v>640</v>
      </c>
      <c r="L16029">
        <v>6</v>
      </c>
      <c r="M16029">
        <v>1998</v>
      </c>
      <c r="N16029">
        <v>31</v>
      </c>
      <c r="O16029">
        <v>60</v>
      </c>
      <c r="P16029">
        <v>220</v>
      </c>
      <c r="Q16029">
        <v>71</v>
      </c>
    </row>
    <row r="16030" spans="1:17" x14ac:dyDescent="0.2">
      <c r="A16030" s="121">
        <v>44865</v>
      </c>
      <c r="B16030" t="s">
        <v>406</v>
      </c>
      <c r="C16030" t="s">
        <v>442</v>
      </c>
      <c r="D16030" t="s">
        <v>443</v>
      </c>
      <c r="E16030" t="s">
        <v>444</v>
      </c>
      <c r="F16030" t="s">
        <v>413</v>
      </c>
      <c r="G16030">
        <v>5469</v>
      </c>
      <c r="H16030">
        <v>5469</v>
      </c>
      <c r="I16030">
        <v>3314</v>
      </c>
      <c r="J16030">
        <v>3314</v>
      </c>
      <c r="K16030">
        <v>1635</v>
      </c>
      <c r="L16030">
        <v>11</v>
      </c>
      <c r="M16030">
        <v>3556</v>
      </c>
      <c r="N16030">
        <v>81</v>
      </c>
      <c r="O16030">
        <v>186</v>
      </c>
      <c r="P16030">
        <v>655</v>
      </c>
      <c r="Q16030">
        <v>182</v>
      </c>
    </row>
    <row r="16031" spans="1:17" x14ac:dyDescent="0.2">
      <c r="A16031" s="121">
        <v>44865</v>
      </c>
      <c r="B16031" t="s">
        <v>406</v>
      </c>
      <c r="C16031" t="s">
        <v>442</v>
      </c>
      <c r="D16031" t="s">
        <v>445</v>
      </c>
      <c r="E16031" t="s">
        <v>446</v>
      </c>
      <c r="F16031" t="s">
        <v>410</v>
      </c>
      <c r="G16031">
        <v>127</v>
      </c>
      <c r="H16031">
        <v>127</v>
      </c>
      <c r="I16031">
        <v>126</v>
      </c>
      <c r="J16031">
        <v>126</v>
      </c>
      <c r="K16031">
        <v>1</v>
      </c>
      <c r="L16031">
        <v>0</v>
      </c>
      <c r="M16031">
        <v>122</v>
      </c>
      <c r="N16031">
        <v>1</v>
      </c>
      <c r="O16031">
        <v>3</v>
      </c>
      <c r="P16031">
        <v>0</v>
      </c>
      <c r="Q16031">
        <v>0</v>
      </c>
    </row>
    <row r="16032" spans="1:17" x14ac:dyDescent="0.2">
      <c r="A16032" s="121">
        <v>44865</v>
      </c>
      <c r="B16032" t="s">
        <v>406</v>
      </c>
      <c r="C16032" t="s">
        <v>442</v>
      </c>
      <c r="D16032" t="s">
        <v>447</v>
      </c>
      <c r="E16032" t="s">
        <v>448</v>
      </c>
      <c r="F16032" t="s">
        <v>410</v>
      </c>
      <c r="G16032">
        <v>271</v>
      </c>
      <c r="H16032">
        <v>271</v>
      </c>
      <c r="I16032">
        <v>271</v>
      </c>
      <c r="J16032">
        <v>271</v>
      </c>
      <c r="K16032">
        <v>0</v>
      </c>
      <c r="L16032">
        <v>0</v>
      </c>
      <c r="M16032">
        <v>263</v>
      </c>
      <c r="N16032">
        <v>8</v>
      </c>
      <c r="O16032">
        <v>0</v>
      </c>
      <c r="P16032">
        <v>0</v>
      </c>
      <c r="Q16032">
        <v>0</v>
      </c>
    </row>
    <row r="16033" spans="1:17" x14ac:dyDescent="0.2">
      <c r="A16033" s="121">
        <v>44865</v>
      </c>
      <c r="B16033" t="s">
        <v>406</v>
      </c>
      <c r="C16033" t="s">
        <v>442</v>
      </c>
      <c r="D16033" t="s">
        <v>449</v>
      </c>
      <c r="E16033" t="s">
        <v>624</v>
      </c>
      <c r="F16033" t="s">
        <v>410</v>
      </c>
      <c r="G16033">
        <v>1068</v>
      </c>
      <c r="H16033">
        <v>1068</v>
      </c>
      <c r="I16033">
        <v>1067</v>
      </c>
      <c r="J16033">
        <v>1067</v>
      </c>
      <c r="K16033">
        <v>1</v>
      </c>
      <c r="L16033">
        <v>0</v>
      </c>
      <c r="M16033">
        <v>1006</v>
      </c>
      <c r="N16033">
        <v>46</v>
      </c>
      <c r="O16033">
        <v>15</v>
      </c>
      <c r="P16033">
        <v>1</v>
      </c>
      <c r="Q16033">
        <v>0</v>
      </c>
    </row>
    <row r="16034" spans="1:17" x14ac:dyDescent="0.2">
      <c r="A16034" s="121">
        <v>44865</v>
      </c>
      <c r="B16034" t="s">
        <v>406</v>
      </c>
      <c r="C16034" t="s">
        <v>451</v>
      </c>
      <c r="D16034" t="s">
        <v>454</v>
      </c>
      <c r="E16034" t="s">
        <v>621</v>
      </c>
      <c r="F16034" t="s">
        <v>410</v>
      </c>
      <c r="G16034">
        <v>1685</v>
      </c>
      <c r="H16034">
        <v>1685</v>
      </c>
      <c r="I16034">
        <v>1683</v>
      </c>
      <c r="J16034">
        <v>1683</v>
      </c>
      <c r="K16034">
        <v>6</v>
      </c>
      <c r="L16034">
        <v>0</v>
      </c>
      <c r="M16034">
        <v>1533</v>
      </c>
      <c r="N16034">
        <v>3</v>
      </c>
      <c r="O16034">
        <v>143</v>
      </c>
      <c r="P16034">
        <v>0</v>
      </c>
      <c r="Q16034">
        <v>0</v>
      </c>
    </row>
    <row r="16035" spans="1:17" x14ac:dyDescent="0.2">
      <c r="A16035" s="121">
        <v>44865</v>
      </c>
      <c r="B16035" t="s">
        <v>406</v>
      </c>
      <c r="C16035" t="s">
        <v>451</v>
      </c>
      <c r="D16035" t="s">
        <v>622</v>
      </c>
      <c r="E16035" t="s">
        <v>623</v>
      </c>
      <c r="F16035" t="s">
        <v>413</v>
      </c>
      <c r="G16035">
        <v>4906</v>
      </c>
      <c r="H16035">
        <v>4906</v>
      </c>
      <c r="I16035">
        <v>1972</v>
      </c>
      <c r="J16035">
        <v>1972</v>
      </c>
      <c r="K16035">
        <v>1595</v>
      </c>
      <c r="L16035">
        <v>17</v>
      </c>
      <c r="M16035">
        <v>2618</v>
      </c>
      <c r="N16035">
        <v>32</v>
      </c>
      <c r="O16035">
        <v>644</v>
      </c>
      <c r="P16035">
        <v>1405</v>
      </c>
      <c r="Q16035">
        <v>647</v>
      </c>
    </row>
    <row r="16036" spans="1:17" x14ac:dyDescent="0.2">
      <c r="A16036" s="121">
        <v>44865</v>
      </c>
      <c r="B16036" t="s">
        <v>406</v>
      </c>
      <c r="C16036" t="s">
        <v>456</v>
      </c>
      <c r="D16036" t="s">
        <v>457</v>
      </c>
      <c r="E16036" t="s">
        <v>458</v>
      </c>
      <c r="F16036" t="s">
        <v>413</v>
      </c>
      <c r="G16036">
        <v>4587</v>
      </c>
      <c r="H16036">
        <v>4587</v>
      </c>
      <c r="I16036">
        <v>2294</v>
      </c>
      <c r="J16036">
        <v>2294</v>
      </c>
      <c r="K16036">
        <v>1395</v>
      </c>
      <c r="L16036">
        <v>11</v>
      </c>
      <c r="M16036">
        <v>2933</v>
      </c>
      <c r="N16036">
        <v>18</v>
      </c>
      <c r="O16036">
        <v>230</v>
      </c>
      <c r="P16036">
        <v>669</v>
      </c>
      <c r="Q16036">
        <v>129</v>
      </c>
    </row>
    <row r="16037" spans="1:17" x14ac:dyDescent="0.2">
      <c r="A16037" s="121">
        <v>44865</v>
      </c>
      <c r="B16037" t="s">
        <v>406</v>
      </c>
      <c r="C16037" t="s">
        <v>456</v>
      </c>
      <c r="D16037" t="s">
        <v>459</v>
      </c>
      <c r="E16037" t="s">
        <v>460</v>
      </c>
      <c r="F16037" t="s">
        <v>413</v>
      </c>
      <c r="G16037">
        <v>1388</v>
      </c>
      <c r="H16037">
        <v>1388</v>
      </c>
      <c r="I16037">
        <v>1229</v>
      </c>
      <c r="J16037">
        <v>1229</v>
      </c>
      <c r="K16037">
        <v>130</v>
      </c>
      <c r="L16037">
        <v>1</v>
      </c>
      <c r="M16037">
        <v>1209</v>
      </c>
      <c r="N16037">
        <v>0</v>
      </c>
      <c r="O16037">
        <v>48</v>
      </c>
      <c r="P16037">
        <v>7</v>
      </c>
      <c r="Q16037">
        <v>0</v>
      </c>
    </row>
    <row r="16038" spans="1:17" x14ac:dyDescent="0.2">
      <c r="A16038" s="121">
        <v>44865</v>
      </c>
      <c r="B16038" t="s">
        <v>406</v>
      </c>
      <c r="C16038" t="s">
        <v>456</v>
      </c>
      <c r="D16038" t="s">
        <v>467</v>
      </c>
      <c r="E16038" t="s">
        <v>468</v>
      </c>
      <c r="F16038" t="s">
        <v>410</v>
      </c>
      <c r="G16038">
        <v>757</v>
      </c>
      <c r="I16038">
        <v>757</v>
      </c>
    </row>
    <row r="16039" spans="1:17" x14ac:dyDescent="0.2">
      <c r="A16039" s="121">
        <v>44865</v>
      </c>
      <c r="B16039" t="s">
        <v>406</v>
      </c>
      <c r="C16039" t="s">
        <v>456</v>
      </c>
      <c r="D16039" t="s">
        <v>469</v>
      </c>
      <c r="E16039" t="s">
        <v>470</v>
      </c>
      <c r="F16039" t="s">
        <v>410</v>
      </c>
      <c r="G16039">
        <v>534</v>
      </c>
      <c r="I16039">
        <v>533</v>
      </c>
    </row>
    <row r="16040" spans="1:17" x14ac:dyDescent="0.2">
      <c r="A16040" s="121">
        <v>44865</v>
      </c>
      <c r="B16040" t="s">
        <v>406</v>
      </c>
      <c r="C16040" t="s">
        <v>456</v>
      </c>
      <c r="D16040" t="s">
        <v>471</v>
      </c>
      <c r="E16040" t="s">
        <v>472</v>
      </c>
      <c r="F16040" t="s">
        <v>410</v>
      </c>
      <c r="G16040">
        <v>434</v>
      </c>
      <c r="I16040">
        <v>431</v>
      </c>
    </row>
    <row r="16041" spans="1:17" x14ac:dyDescent="0.2">
      <c r="A16041" s="121">
        <v>44865</v>
      </c>
      <c r="B16041" t="s">
        <v>406</v>
      </c>
      <c r="C16041" t="s">
        <v>456</v>
      </c>
      <c r="D16041" t="s">
        <v>475</v>
      </c>
      <c r="E16041" t="s">
        <v>476</v>
      </c>
      <c r="F16041" t="s">
        <v>410</v>
      </c>
      <c r="G16041">
        <v>91</v>
      </c>
      <c r="I16041">
        <v>91</v>
      </c>
    </row>
    <row r="16042" spans="1:17" x14ac:dyDescent="0.2">
      <c r="A16042" s="121">
        <v>44865</v>
      </c>
      <c r="B16042" t="s">
        <v>406</v>
      </c>
      <c r="C16042" t="s">
        <v>456</v>
      </c>
      <c r="D16042" t="s">
        <v>477</v>
      </c>
      <c r="E16042" t="s">
        <v>478</v>
      </c>
      <c r="F16042" t="s">
        <v>413</v>
      </c>
      <c r="G16042">
        <v>2408</v>
      </c>
      <c r="H16042">
        <v>2408</v>
      </c>
      <c r="I16042">
        <v>1650</v>
      </c>
      <c r="J16042">
        <v>1650</v>
      </c>
      <c r="K16042">
        <v>460</v>
      </c>
      <c r="L16042">
        <v>3</v>
      </c>
      <c r="M16042">
        <v>1906</v>
      </c>
      <c r="N16042">
        <v>12</v>
      </c>
      <c r="O16042">
        <v>27</v>
      </c>
      <c r="P16042">
        <v>270</v>
      </c>
      <c r="Q16042">
        <v>134</v>
      </c>
    </row>
    <row r="16043" spans="1:17" x14ac:dyDescent="0.2">
      <c r="A16043" s="121">
        <v>44865</v>
      </c>
      <c r="B16043" t="s">
        <v>406</v>
      </c>
      <c r="C16043" t="s">
        <v>491</v>
      </c>
      <c r="D16043" t="s">
        <v>492</v>
      </c>
      <c r="E16043" t="s">
        <v>493</v>
      </c>
      <c r="F16043" t="s">
        <v>410</v>
      </c>
      <c r="G16043">
        <v>1193</v>
      </c>
      <c r="H16043">
        <v>1193</v>
      </c>
      <c r="I16043">
        <v>1105</v>
      </c>
      <c r="J16043">
        <v>1105</v>
      </c>
      <c r="K16043">
        <v>130</v>
      </c>
      <c r="L16043">
        <v>2</v>
      </c>
      <c r="M16043">
        <v>1011</v>
      </c>
      <c r="N16043">
        <v>46</v>
      </c>
      <c r="O16043">
        <v>4</v>
      </c>
      <c r="P16043">
        <v>9</v>
      </c>
      <c r="Q16043">
        <v>1</v>
      </c>
    </row>
    <row r="16044" spans="1:17" x14ac:dyDescent="0.2">
      <c r="A16044" s="121">
        <v>44865</v>
      </c>
      <c r="B16044" t="s">
        <v>406</v>
      </c>
      <c r="C16044" t="s">
        <v>491</v>
      </c>
      <c r="D16044" t="s">
        <v>494</v>
      </c>
      <c r="E16044" t="s">
        <v>495</v>
      </c>
      <c r="F16044" t="s">
        <v>413</v>
      </c>
      <c r="G16044">
        <v>2437</v>
      </c>
      <c r="H16044">
        <v>2437</v>
      </c>
      <c r="I16044">
        <v>1848</v>
      </c>
      <c r="J16044">
        <v>1848</v>
      </c>
      <c r="K16044">
        <v>560</v>
      </c>
      <c r="L16044">
        <v>4</v>
      </c>
      <c r="M16044">
        <v>1756</v>
      </c>
      <c r="N16044">
        <v>71</v>
      </c>
      <c r="O16044">
        <v>46</v>
      </c>
      <c r="P16044">
        <v>153</v>
      </c>
      <c r="Q16044">
        <v>66</v>
      </c>
    </row>
    <row r="16045" spans="1:17" x14ac:dyDescent="0.2">
      <c r="A16045" s="121">
        <v>44865</v>
      </c>
      <c r="B16045" t="s">
        <v>406</v>
      </c>
      <c r="C16045" t="s">
        <v>491</v>
      </c>
      <c r="D16045" t="s">
        <v>496</v>
      </c>
      <c r="E16045" t="s">
        <v>497</v>
      </c>
      <c r="F16045" t="s">
        <v>413</v>
      </c>
      <c r="G16045">
        <v>4653</v>
      </c>
      <c r="H16045">
        <v>4653</v>
      </c>
      <c r="I16045">
        <v>2594</v>
      </c>
      <c r="J16045">
        <v>2594</v>
      </c>
      <c r="K16045">
        <v>1274</v>
      </c>
      <c r="L16045">
        <v>13</v>
      </c>
      <c r="M16045">
        <v>3123</v>
      </c>
      <c r="N16045">
        <v>73</v>
      </c>
      <c r="O16045">
        <v>170</v>
      </c>
      <c r="P16045">
        <v>891</v>
      </c>
      <c r="Q16045">
        <v>335</v>
      </c>
    </row>
    <row r="16046" spans="1:17" x14ac:dyDescent="0.2">
      <c r="A16046" s="121">
        <v>44865</v>
      </c>
      <c r="B16046" t="s">
        <v>406</v>
      </c>
      <c r="C16046" t="s">
        <v>491</v>
      </c>
      <c r="D16046" t="s">
        <v>498</v>
      </c>
      <c r="E16046" t="s">
        <v>499</v>
      </c>
      <c r="F16046" t="s">
        <v>413</v>
      </c>
      <c r="G16046">
        <v>7046</v>
      </c>
      <c r="H16046">
        <v>7046</v>
      </c>
      <c r="I16046">
        <v>4295</v>
      </c>
      <c r="J16046">
        <v>4295</v>
      </c>
      <c r="K16046">
        <v>1900</v>
      </c>
      <c r="L16046">
        <v>18</v>
      </c>
      <c r="M16046">
        <v>4529</v>
      </c>
      <c r="N16046">
        <v>138</v>
      </c>
      <c r="O16046">
        <v>461</v>
      </c>
      <c r="P16046">
        <v>733</v>
      </c>
      <c r="Q16046">
        <v>156</v>
      </c>
    </row>
    <row r="16047" spans="1:17" x14ac:dyDescent="0.2">
      <c r="A16047" s="121">
        <v>44865</v>
      </c>
      <c r="B16047" t="s">
        <v>406</v>
      </c>
      <c r="C16047" t="s">
        <v>491</v>
      </c>
      <c r="D16047" t="s">
        <v>500</v>
      </c>
      <c r="E16047" t="s">
        <v>620</v>
      </c>
      <c r="F16047" t="s">
        <v>410</v>
      </c>
      <c r="G16047">
        <v>1862</v>
      </c>
      <c r="H16047">
        <v>1862</v>
      </c>
      <c r="I16047">
        <v>1855</v>
      </c>
      <c r="J16047">
        <v>1855</v>
      </c>
      <c r="K16047">
        <v>0</v>
      </c>
      <c r="L16047">
        <v>0</v>
      </c>
      <c r="M16047">
        <v>1614</v>
      </c>
      <c r="N16047">
        <v>77</v>
      </c>
      <c r="O16047">
        <v>171</v>
      </c>
      <c r="P16047">
        <v>0</v>
      </c>
      <c r="Q16047">
        <v>0</v>
      </c>
    </row>
    <row r="16048" spans="1:17" x14ac:dyDescent="0.2">
      <c r="A16048" s="121">
        <v>44865</v>
      </c>
      <c r="B16048" t="s">
        <v>406</v>
      </c>
      <c r="C16048" t="s">
        <v>491</v>
      </c>
      <c r="D16048" t="s">
        <v>502</v>
      </c>
      <c r="E16048" t="s">
        <v>615</v>
      </c>
      <c r="F16048" t="s">
        <v>410</v>
      </c>
      <c r="G16048">
        <v>2469</v>
      </c>
      <c r="H16048">
        <v>2469</v>
      </c>
      <c r="I16048">
        <v>2428</v>
      </c>
      <c r="J16048">
        <v>2428</v>
      </c>
      <c r="K16048">
        <v>0</v>
      </c>
      <c r="L16048">
        <v>3</v>
      </c>
      <c r="M16048">
        <v>2212</v>
      </c>
      <c r="N16048">
        <v>154</v>
      </c>
      <c r="O16048">
        <v>100</v>
      </c>
      <c r="P16048">
        <v>0</v>
      </c>
      <c r="Q16048">
        <v>0</v>
      </c>
    </row>
    <row r="16049" spans="1:17" x14ac:dyDescent="0.2">
      <c r="A16049" s="121">
        <v>44865</v>
      </c>
      <c r="B16049" t="s">
        <v>406</v>
      </c>
      <c r="C16049" t="s">
        <v>491</v>
      </c>
      <c r="D16049" t="s">
        <v>504</v>
      </c>
      <c r="E16049" t="s">
        <v>630</v>
      </c>
      <c r="F16049" t="s">
        <v>413</v>
      </c>
      <c r="G16049">
        <v>7793</v>
      </c>
      <c r="H16049">
        <v>7793</v>
      </c>
      <c r="I16049">
        <v>3583</v>
      </c>
      <c r="J16049">
        <v>3583</v>
      </c>
      <c r="K16049">
        <v>2439</v>
      </c>
      <c r="L16049">
        <v>21</v>
      </c>
      <c r="M16049">
        <v>4783</v>
      </c>
      <c r="N16049">
        <v>74</v>
      </c>
      <c r="O16049">
        <v>476</v>
      </c>
      <c r="P16049">
        <v>1646</v>
      </c>
      <c r="Q16049">
        <v>597</v>
      </c>
    </row>
    <row r="16050" spans="1:17" x14ac:dyDescent="0.2">
      <c r="A16050" s="121">
        <v>44865</v>
      </c>
      <c r="B16050" t="s">
        <v>406</v>
      </c>
      <c r="C16050" t="s">
        <v>491</v>
      </c>
      <c r="D16050" t="s">
        <v>506</v>
      </c>
      <c r="E16050" t="s">
        <v>507</v>
      </c>
      <c r="F16050" t="s">
        <v>413</v>
      </c>
      <c r="G16050">
        <v>6677</v>
      </c>
      <c r="H16050">
        <v>6677</v>
      </c>
      <c r="I16050">
        <v>6056</v>
      </c>
      <c r="J16050">
        <v>6056</v>
      </c>
      <c r="K16050">
        <v>1454</v>
      </c>
      <c r="L16050">
        <v>3</v>
      </c>
      <c r="M16050">
        <v>5179</v>
      </c>
      <c r="N16050">
        <v>4</v>
      </c>
      <c r="O16050">
        <v>37</v>
      </c>
      <c r="P16050">
        <v>5</v>
      </c>
      <c r="Q16050">
        <v>0</v>
      </c>
    </row>
    <row r="16051" spans="1:17" x14ac:dyDescent="0.2">
      <c r="A16051" s="121">
        <v>44865</v>
      </c>
      <c r="B16051" t="s">
        <v>406</v>
      </c>
      <c r="C16051" t="s">
        <v>510</v>
      </c>
      <c r="D16051" t="s">
        <v>513</v>
      </c>
      <c r="E16051" t="s">
        <v>514</v>
      </c>
      <c r="F16051" t="s">
        <v>410</v>
      </c>
      <c r="G16051">
        <v>608</v>
      </c>
      <c r="I16051">
        <v>604</v>
      </c>
    </row>
    <row r="16052" spans="1:17" x14ac:dyDescent="0.2">
      <c r="A16052" s="121">
        <v>44865</v>
      </c>
      <c r="B16052" t="s">
        <v>406</v>
      </c>
      <c r="C16052" t="s">
        <v>510</v>
      </c>
      <c r="D16052" t="s">
        <v>515</v>
      </c>
      <c r="E16052" t="s">
        <v>516</v>
      </c>
      <c r="F16052" t="s">
        <v>410</v>
      </c>
      <c r="G16052">
        <v>66</v>
      </c>
      <c r="I16052">
        <v>61</v>
      </c>
    </row>
    <row r="16053" spans="1:17" x14ac:dyDescent="0.2">
      <c r="A16053" s="121">
        <v>44865</v>
      </c>
      <c r="B16053" t="s">
        <v>406</v>
      </c>
      <c r="C16053" t="s">
        <v>510</v>
      </c>
      <c r="D16053" t="s">
        <v>519</v>
      </c>
      <c r="E16053" t="s">
        <v>520</v>
      </c>
      <c r="F16053" t="s">
        <v>410</v>
      </c>
      <c r="G16053">
        <v>226</v>
      </c>
      <c r="I16053">
        <v>218</v>
      </c>
    </row>
    <row r="16054" spans="1:17" x14ac:dyDescent="0.2">
      <c r="A16054" s="121">
        <v>44865</v>
      </c>
      <c r="B16054" t="s">
        <v>406</v>
      </c>
      <c r="C16054" t="s">
        <v>510</v>
      </c>
      <c r="D16054" t="s">
        <v>523</v>
      </c>
      <c r="E16054" t="s">
        <v>524</v>
      </c>
      <c r="F16054" t="s">
        <v>413</v>
      </c>
      <c r="G16054">
        <v>704</v>
      </c>
      <c r="H16054">
        <v>704</v>
      </c>
      <c r="I16054">
        <v>667</v>
      </c>
      <c r="J16054">
        <v>667</v>
      </c>
      <c r="K16054">
        <v>154</v>
      </c>
      <c r="L16054">
        <v>0</v>
      </c>
      <c r="M16054">
        <v>507</v>
      </c>
      <c r="N16054">
        <v>23</v>
      </c>
      <c r="O16054">
        <v>20</v>
      </c>
      <c r="P16054">
        <v>6</v>
      </c>
      <c r="Q16054">
        <v>1</v>
      </c>
    </row>
    <row r="16055" spans="1:17" x14ac:dyDescent="0.2">
      <c r="A16055" s="121">
        <v>44865</v>
      </c>
      <c r="B16055" t="s">
        <v>406</v>
      </c>
      <c r="C16055" t="s">
        <v>510</v>
      </c>
      <c r="D16055" t="s">
        <v>525</v>
      </c>
      <c r="E16055" t="s">
        <v>526</v>
      </c>
      <c r="F16055" t="s">
        <v>410</v>
      </c>
      <c r="G16055">
        <v>296</v>
      </c>
      <c r="H16055">
        <v>296</v>
      </c>
      <c r="I16055">
        <v>273</v>
      </c>
      <c r="J16055">
        <v>273</v>
      </c>
      <c r="K16055">
        <v>41</v>
      </c>
      <c r="L16055">
        <v>1</v>
      </c>
      <c r="M16055">
        <v>236</v>
      </c>
      <c r="N16055">
        <v>17</v>
      </c>
      <c r="O16055">
        <v>1</v>
      </c>
      <c r="P16055">
        <v>3</v>
      </c>
      <c r="Q16055">
        <v>0</v>
      </c>
    </row>
    <row r="16056" spans="1:17" x14ac:dyDescent="0.2">
      <c r="A16056" s="121">
        <v>44865</v>
      </c>
      <c r="B16056" t="s">
        <v>406</v>
      </c>
      <c r="C16056" t="s">
        <v>510</v>
      </c>
      <c r="D16056" t="s">
        <v>527</v>
      </c>
      <c r="E16056" t="s">
        <v>528</v>
      </c>
      <c r="F16056" t="s">
        <v>410</v>
      </c>
      <c r="G16056">
        <v>12</v>
      </c>
      <c r="I16056">
        <v>12</v>
      </c>
    </row>
    <row r="16057" spans="1:17" x14ac:dyDescent="0.2">
      <c r="A16057" s="121">
        <v>44865</v>
      </c>
      <c r="B16057" t="s">
        <v>406</v>
      </c>
      <c r="C16057" t="s">
        <v>510</v>
      </c>
      <c r="D16057" t="s">
        <v>529</v>
      </c>
      <c r="E16057" t="s">
        <v>530</v>
      </c>
      <c r="F16057" t="s">
        <v>413</v>
      </c>
      <c r="G16057">
        <v>836</v>
      </c>
      <c r="H16057">
        <v>836</v>
      </c>
      <c r="I16057">
        <v>734</v>
      </c>
      <c r="J16057">
        <v>734</v>
      </c>
      <c r="K16057">
        <v>113</v>
      </c>
      <c r="L16057">
        <v>0</v>
      </c>
      <c r="M16057">
        <v>685</v>
      </c>
      <c r="N16057">
        <v>28</v>
      </c>
      <c r="O16057">
        <v>10</v>
      </c>
      <c r="P16057">
        <v>22</v>
      </c>
      <c r="Q16057">
        <v>14</v>
      </c>
    </row>
    <row r="16058" spans="1:17" x14ac:dyDescent="0.2">
      <c r="A16058" s="121">
        <v>44865</v>
      </c>
      <c r="B16058" t="s">
        <v>406</v>
      </c>
      <c r="C16058" t="s">
        <v>510</v>
      </c>
      <c r="D16058" t="s">
        <v>531</v>
      </c>
      <c r="E16058" t="s">
        <v>532</v>
      </c>
      <c r="F16058" t="s">
        <v>410</v>
      </c>
      <c r="G16058">
        <v>32</v>
      </c>
      <c r="I16058">
        <v>32</v>
      </c>
    </row>
    <row r="16059" spans="1:17" x14ac:dyDescent="0.2">
      <c r="A16059" s="121">
        <v>44865</v>
      </c>
      <c r="B16059" t="s">
        <v>406</v>
      </c>
      <c r="C16059" t="s">
        <v>510</v>
      </c>
      <c r="D16059" t="s">
        <v>533</v>
      </c>
      <c r="E16059" t="s">
        <v>534</v>
      </c>
      <c r="F16059" t="s">
        <v>413</v>
      </c>
      <c r="G16059">
        <v>3165</v>
      </c>
      <c r="H16059">
        <v>3165</v>
      </c>
      <c r="I16059">
        <v>2314</v>
      </c>
      <c r="J16059">
        <v>2314</v>
      </c>
      <c r="K16059">
        <v>771</v>
      </c>
      <c r="L16059">
        <v>2</v>
      </c>
      <c r="M16059">
        <v>2186</v>
      </c>
      <c r="N16059">
        <v>22</v>
      </c>
      <c r="O16059">
        <v>184</v>
      </c>
      <c r="P16059">
        <v>253</v>
      </c>
      <c r="Q16059">
        <v>89</v>
      </c>
    </row>
    <row r="16060" spans="1:17" x14ac:dyDescent="0.2">
      <c r="A16060" s="121">
        <v>44865</v>
      </c>
      <c r="B16060" t="s">
        <v>406</v>
      </c>
      <c r="C16060" t="s">
        <v>510</v>
      </c>
      <c r="D16060" t="s">
        <v>535</v>
      </c>
      <c r="E16060" t="s">
        <v>536</v>
      </c>
      <c r="F16060" t="s">
        <v>410</v>
      </c>
      <c r="G16060">
        <v>358</v>
      </c>
      <c r="I16060">
        <v>358</v>
      </c>
    </row>
    <row r="16061" spans="1:17" x14ac:dyDescent="0.2">
      <c r="A16061" s="121">
        <v>44865</v>
      </c>
      <c r="B16061" t="s">
        <v>406</v>
      </c>
      <c r="C16061" t="s">
        <v>510</v>
      </c>
      <c r="D16061" t="s">
        <v>539</v>
      </c>
      <c r="E16061" t="s">
        <v>540</v>
      </c>
      <c r="F16061" t="s">
        <v>413</v>
      </c>
      <c r="G16061">
        <v>780</v>
      </c>
      <c r="H16061">
        <v>780</v>
      </c>
      <c r="I16061">
        <v>685</v>
      </c>
      <c r="J16061">
        <v>685</v>
      </c>
      <c r="K16061">
        <v>122</v>
      </c>
      <c r="L16061">
        <v>1</v>
      </c>
      <c r="M16061">
        <v>609</v>
      </c>
      <c r="N16061">
        <v>23</v>
      </c>
      <c r="O16061">
        <v>25</v>
      </c>
      <c r="P16061">
        <v>18</v>
      </c>
      <c r="Q16061">
        <v>5</v>
      </c>
    </row>
    <row r="16062" spans="1:17" x14ac:dyDescent="0.2">
      <c r="A16062" s="121">
        <v>44865</v>
      </c>
      <c r="B16062" t="s">
        <v>406</v>
      </c>
      <c r="C16062" t="s">
        <v>510</v>
      </c>
      <c r="D16062" t="s">
        <v>543</v>
      </c>
      <c r="E16062" t="s">
        <v>544</v>
      </c>
      <c r="F16062" t="s">
        <v>410</v>
      </c>
      <c r="G16062">
        <v>1</v>
      </c>
      <c r="I16062">
        <v>1</v>
      </c>
    </row>
    <row r="16063" spans="1:17" x14ac:dyDescent="0.2">
      <c r="A16063" s="121">
        <v>44865</v>
      </c>
      <c r="B16063" t="s">
        <v>406</v>
      </c>
      <c r="C16063" t="s">
        <v>510</v>
      </c>
      <c r="D16063" t="s">
        <v>547</v>
      </c>
      <c r="E16063" t="s">
        <v>548</v>
      </c>
      <c r="F16063" t="s">
        <v>410</v>
      </c>
      <c r="G16063">
        <v>20</v>
      </c>
      <c r="I16063">
        <v>20</v>
      </c>
    </row>
    <row r="16064" spans="1:17" x14ac:dyDescent="0.2">
      <c r="A16064" s="121">
        <v>44865</v>
      </c>
      <c r="B16064" t="s">
        <v>406</v>
      </c>
      <c r="C16064" t="s">
        <v>510</v>
      </c>
      <c r="D16064" t="s">
        <v>616</v>
      </c>
      <c r="E16064" t="s">
        <v>617</v>
      </c>
      <c r="F16064" t="s">
        <v>410</v>
      </c>
      <c r="G16064">
        <v>289</v>
      </c>
      <c r="I16064">
        <v>289</v>
      </c>
    </row>
    <row r="16065" spans="1:17" x14ac:dyDescent="0.2">
      <c r="A16065" s="121">
        <v>44865</v>
      </c>
      <c r="B16065" t="s">
        <v>406</v>
      </c>
      <c r="C16065" t="s">
        <v>510</v>
      </c>
      <c r="D16065" t="s">
        <v>549</v>
      </c>
      <c r="E16065" t="s">
        <v>550</v>
      </c>
      <c r="F16065" t="s">
        <v>410</v>
      </c>
      <c r="G16065">
        <v>94</v>
      </c>
      <c r="I16065">
        <v>94</v>
      </c>
    </row>
    <row r="16066" spans="1:17" x14ac:dyDescent="0.2">
      <c r="A16066" s="121">
        <v>44865</v>
      </c>
      <c r="B16066" t="s">
        <v>406</v>
      </c>
      <c r="C16066" t="s">
        <v>510</v>
      </c>
      <c r="D16066" t="s">
        <v>625</v>
      </c>
      <c r="E16066" t="s">
        <v>626</v>
      </c>
      <c r="F16066" t="s">
        <v>410</v>
      </c>
      <c r="G16066">
        <v>136</v>
      </c>
      <c r="I16066">
        <v>129</v>
      </c>
    </row>
    <row r="16067" spans="1:17" x14ac:dyDescent="0.2">
      <c r="A16067" s="121">
        <v>44865</v>
      </c>
      <c r="B16067" t="s">
        <v>406</v>
      </c>
      <c r="C16067" t="s">
        <v>510</v>
      </c>
      <c r="D16067" t="s">
        <v>634</v>
      </c>
      <c r="E16067" t="s">
        <v>635</v>
      </c>
      <c r="F16067" t="s">
        <v>410</v>
      </c>
      <c r="G16067">
        <v>264</v>
      </c>
      <c r="I16067">
        <v>261</v>
      </c>
    </row>
    <row r="16068" spans="1:17" x14ac:dyDescent="0.2">
      <c r="A16068" s="121">
        <v>44865</v>
      </c>
      <c r="B16068" t="s">
        <v>406</v>
      </c>
      <c r="C16068" t="s">
        <v>551</v>
      </c>
      <c r="D16068" t="s">
        <v>552</v>
      </c>
      <c r="E16068" t="s">
        <v>553</v>
      </c>
      <c r="F16068" t="s">
        <v>413</v>
      </c>
      <c r="G16068">
        <v>5283</v>
      </c>
      <c r="H16068">
        <v>5283</v>
      </c>
      <c r="I16068">
        <v>3159</v>
      </c>
      <c r="J16068">
        <v>3159</v>
      </c>
      <c r="K16068">
        <v>1737</v>
      </c>
      <c r="L16068">
        <v>3</v>
      </c>
      <c r="M16068">
        <v>3417</v>
      </c>
      <c r="N16068">
        <v>95</v>
      </c>
      <c r="O16068">
        <v>31</v>
      </c>
      <c r="P16068">
        <v>666</v>
      </c>
      <c r="Q16068">
        <v>211</v>
      </c>
    </row>
    <row r="16069" spans="1:17" x14ac:dyDescent="0.2">
      <c r="A16069" s="121">
        <v>44865</v>
      </c>
      <c r="B16069" t="s">
        <v>406</v>
      </c>
      <c r="C16069" t="s">
        <v>551</v>
      </c>
      <c r="D16069" t="s">
        <v>558</v>
      </c>
      <c r="E16069" t="s">
        <v>559</v>
      </c>
      <c r="F16069" t="s">
        <v>413</v>
      </c>
      <c r="G16069">
        <v>5161</v>
      </c>
      <c r="H16069">
        <v>5161</v>
      </c>
      <c r="I16069">
        <v>2358</v>
      </c>
      <c r="J16069">
        <v>2358</v>
      </c>
      <c r="K16069">
        <v>1226</v>
      </c>
      <c r="L16069">
        <v>10</v>
      </c>
      <c r="M16069">
        <v>3744</v>
      </c>
      <c r="N16069">
        <v>110</v>
      </c>
      <c r="O16069">
        <v>71</v>
      </c>
      <c r="P16069">
        <v>1218</v>
      </c>
      <c r="Q16069">
        <v>558</v>
      </c>
    </row>
    <row r="16070" spans="1:17" x14ac:dyDescent="0.2">
      <c r="A16070" s="121">
        <v>44865</v>
      </c>
      <c r="B16070" t="s">
        <v>406</v>
      </c>
      <c r="C16070" t="s">
        <v>551</v>
      </c>
      <c r="D16070" t="s">
        <v>560</v>
      </c>
      <c r="E16070" t="s">
        <v>561</v>
      </c>
      <c r="F16070" t="s">
        <v>413</v>
      </c>
      <c r="G16070">
        <v>5915</v>
      </c>
      <c r="H16070">
        <v>5915</v>
      </c>
      <c r="I16070">
        <v>3213</v>
      </c>
      <c r="J16070">
        <v>3213</v>
      </c>
      <c r="K16070">
        <v>2083</v>
      </c>
      <c r="L16070">
        <v>2</v>
      </c>
      <c r="M16070">
        <v>3720</v>
      </c>
      <c r="N16070">
        <v>61</v>
      </c>
      <c r="O16070">
        <v>49</v>
      </c>
      <c r="P16070">
        <v>1128</v>
      </c>
      <c r="Q16070">
        <v>458</v>
      </c>
    </row>
    <row r="16071" spans="1:17" x14ac:dyDescent="0.2">
      <c r="A16071" s="121">
        <v>44865</v>
      </c>
      <c r="B16071" t="s">
        <v>406</v>
      </c>
      <c r="C16071" t="s">
        <v>562</v>
      </c>
      <c r="D16071" t="s">
        <v>563</v>
      </c>
      <c r="E16071" t="s">
        <v>564</v>
      </c>
      <c r="F16071" t="s">
        <v>410</v>
      </c>
      <c r="G16071">
        <v>3346</v>
      </c>
      <c r="H16071">
        <v>3346</v>
      </c>
      <c r="I16071">
        <v>1817</v>
      </c>
      <c r="J16071">
        <v>1817</v>
      </c>
      <c r="K16071">
        <v>1144</v>
      </c>
      <c r="L16071">
        <v>0</v>
      </c>
      <c r="M16071">
        <v>2147</v>
      </c>
      <c r="N16071">
        <v>5</v>
      </c>
      <c r="O16071">
        <v>50</v>
      </c>
      <c r="P16071">
        <v>726</v>
      </c>
      <c r="Q16071">
        <v>427</v>
      </c>
    </row>
    <row r="16072" spans="1:17" x14ac:dyDescent="0.2">
      <c r="A16072" s="121">
        <v>44865</v>
      </c>
      <c r="B16072" t="s">
        <v>406</v>
      </c>
      <c r="C16072" t="s">
        <v>562</v>
      </c>
      <c r="D16072" t="s">
        <v>565</v>
      </c>
      <c r="E16072" t="s">
        <v>566</v>
      </c>
      <c r="F16072" t="s">
        <v>413</v>
      </c>
      <c r="G16072">
        <v>4664</v>
      </c>
      <c r="H16072">
        <v>4664</v>
      </c>
      <c r="I16072">
        <v>3183</v>
      </c>
      <c r="J16072">
        <v>3183</v>
      </c>
      <c r="K16072">
        <v>866</v>
      </c>
      <c r="L16072">
        <v>5</v>
      </c>
      <c r="M16072">
        <v>3255</v>
      </c>
      <c r="N16072">
        <v>55</v>
      </c>
      <c r="O16072">
        <v>483</v>
      </c>
      <c r="P16072">
        <v>646</v>
      </c>
      <c r="Q16072">
        <v>405</v>
      </c>
    </row>
    <row r="16073" spans="1:17" x14ac:dyDescent="0.2">
      <c r="A16073" s="121">
        <v>44865</v>
      </c>
      <c r="B16073" t="s">
        <v>406</v>
      </c>
      <c r="C16073" t="s">
        <v>562</v>
      </c>
      <c r="D16073" t="s">
        <v>567</v>
      </c>
      <c r="E16073" t="s">
        <v>568</v>
      </c>
      <c r="F16073" t="s">
        <v>413</v>
      </c>
      <c r="G16073">
        <v>10216</v>
      </c>
      <c r="H16073">
        <v>10216</v>
      </c>
      <c r="I16073">
        <v>4512</v>
      </c>
      <c r="J16073">
        <v>4512</v>
      </c>
      <c r="K16073">
        <v>2529</v>
      </c>
      <c r="L16073">
        <v>5</v>
      </c>
      <c r="M16073">
        <v>7458</v>
      </c>
      <c r="N16073">
        <v>133</v>
      </c>
      <c r="O16073">
        <v>91</v>
      </c>
      <c r="P16073">
        <v>2369</v>
      </c>
      <c r="Q16073">
        <v>1241</v>
      </c>
    </row>
    <row r="16074" spans="1:17" x14ac:dyDescent="0.2">
      <c r="A16074" s="121">
        <v>44865</v>
      </c>
      <c r="B16074" t="s">
        <v>406</v>
      </c>
      <c r="C16074" t="s">
        <v>562</v>
      </c>
      <c r="D16074" t="s">
        <v>569</v>
      </c>
      <c r="E16074" t="s">
        <v>570</v>
      </c>
      <c r="F16074" t="s">
        <v>413</v>
      </c>
      <c r="G16074">
        <v>5190</v>
      </c>
      <c r="H16074">
        <v>5190</v>
      </c>
      <c r="I16074">
        <v>4787</v>
      </c>
      <c r="J16074">
        <v>4787</v>
      </c>
      <c r="K16074">
        <v>723</v>
      </c>
      <c r="L16074">
        <v>1</v>
      </c>
      <c r="M16074">
        <v>4301</v>
      </c>
      <c r="N16074">
        <v>134</v>
      </c>
      <c r="O16074">
        <v>31</v>
      </c>
      <c r="P16074">
        <v>16</v>
      </c>
      <c r="Q16074">
        <v>0</v>
      </c>
    </row>
    <row r="16075" spans="1:17" x14ac:dyDescent="0.2">
      <c r="A16075" s="121">
        <v>44865</v>
      </c>
      <c r="B16075" t="s">
        <v>406</v>
      </c>
      <c r="C16075" t="s">
        <v>571</v>
      </c>
      <c r="D16075" t="s">
        <v>572</v>
      </c>
      <c r="E16075" t="s">
        <v>627</v>
      </c>
      <c r="F16075" t="s">
        <v>413</v>
      </c>
      <c r="G16075">
        <v>509</v>
      </c>
      <c r="H16075">
        <v>509</v>
      </c>
      <c r="I16075">
        <v>461</v>
      </c>
      <c r="J16075">
        <v>461</v>
      </c>
      <c r="K16075">
        <v>120</v>
      </c>
      <c r="L16075">
        <v>0</v>
      </c>
      <c r="M16075">
        <v>374</v>
      </c>
      <c r="N16075">
        <v>7</v>
      </c>
      <c r="O16075">
        <v>8</v>
      </c>
      <c r="P16075">
        <v>1</v>
      </c>
      <c r="Q16075">
        <v>1</v>
      </c>
    </row>
    <row r="16076" spans="1:17" x14ac:dyDescent="0.2">
      <c r="A16076" s="121">
        <v>44865</v>
      </c>
      <c r="B16076" t="s">
        <v>406</v>
      </c>
      <c r="C16076" t="s">
        <v>574</v>
      </c>
      <c r="D16076" t="s">
        <v>575</v>
      </c>
      <c r="E16076" t="s">
        <v>576</v>
      </c>
      <c r="F16076" t="s">
        <v>413</v>
      </c>
      <c r="G16076">
        <v>686</v>
      </c>
      <c r="H16076">
        <v>686</v>
      </c>
      <c r="I16076">
        <v>632</v>
      </c>
      <c r="J16076">
        <v>632</v>
      </c>
      <c r="K16076">
        <v>159</v>
      </c>
      <c r="L16076">
        <v>1</v>
      </c>
      <c r="M16076">
        <v>513</v>
      </c>
      <c r="N16076">
        <v>3</v>
      </c>
      <c r="O16076">
        <v>10</v>
      </c>
      <c r="P16076">
        <v>1</v>
      </c>
      <c r="Q16076">
        <v>1</v>
      </c>
    </row>
    <row r="16077" spans="1:17" x14ac:dyDescent="0.2">
      <c r="A16077" s="121">
        <v>44865</v>
      </c>
      <c r="B16077" t="s">
        <v>406</v>
      </c>
      <c r="C16077" t="s">
        <v>577</v>
      </c>
      <c r="D16077" t="s">
        <v>578</v>
      </c>
      <c r="E16077" t="s">
        <v>579</v>
      </c>
      <c r="F16077" t="s">
        <v>413</v>
      </c>
      <c r="G16077">
        <v>4831</v>
      </c>
      <c r="H16077">
        <v>4831</v>
      </c>
      <c r="I16077">
        <v>4172</v>
      </c>
      <c r="J16077">
        <v>4172</v>
      </c>
      <c r="K16077">
        <v>1696</v>
      </c>
      <c r="L16077">
        <v>14</v>
      </c>
      <c r="M16077">
        <v>2666</v>
      </c>
      <c r="N16077">
        <v>377</v>
      </c>
      <c r="O16077">
        <v>78</v>
      </c>
      <c r="P16077">
        <v>36</v>
      </c>
      <c r="Q16077">
        <v>3</v>
      </c>
    </row>
    <row r="16078" spans="1:17" x14ac:dyDescent="0.2">
      <c r="A16078" s="121">
        <v>44865</v>
      </c>
      <c r="B16078" t="s">
        <v>406</v>
      </c>
      <c r="C16078" t="s">
        <v>577</v>
      </c>
      <c r="D16078" t="s">
        <v>580</v>
      </c>
      <c r="E16078" t="s">
        <v>581</v>
      </c>
      <c r="F16078" t="s">
        <v>413</v>
      </c>
      <c r="G16078">
        <v>1913</v>
      </c>
      <c r="H16078">
        <v>1913</v>
      </c>
      <c r="I16078">
        <v>1756</v>
      </c>
      <c r="J16078">
        <v>1756</v>
      </c>
      <c r="K16078">
        <v>247</v>
      </c>
      <c r="L16078">
        <v>0</v>
      </c>
      <c r="M16078">
        <v>1398</v>
      </c>
      <c r="N16078">
        <v>243</v>
      </c>
      <c r="O16078">
        <v>25</v>
      </c>
      <c r="P16078">
        <v>10</v>
      </c>
      <c r="Q16078">
        <v>1</v>
      </c>
    </row>
    <row r="16079" spans="1:17" x14ac:dyDescent="0.2">
      <c r="A16079" s="121">
        <v>44865</v>
      </c>
      <c r="B16079" t="s">
        <v>406</v>
      </c>
      <c r="C16079" t="s">
        <v>577</v>
      </c>
      <c r="D16079" t="s">
        <v>586</v>
      </c>
      <c r="E16079" t="s">
        <v>587</v>
      </c>
      <c r="F16079" t="s">
        <v>410</v>
      </c>
      <c r="G16079">
        <v>614</v>
      </c>
      <c r="H16079">
        <v>614</v>
      </c>
      <c r="I16079">
        <v>614</v>
      </c>
      <c r="J16079">
        <v>614</v>
      </c>
      <c r="K16079">
        <v>0</v>
      </c>
      <c r="L16079">
        <v>0</v>
      </c>
      <c r="M16079">
        <v>561</v>
      </c>
      <c r="N16079">
        <v>50</v>
      </c>
      <c r="O16079">
        <v>3</v>
      </c>
      <c r="P16079">
        <v>0</v>
      </c>
      <c r="Q16079">
        <v>0</v>
      </c>
    </row>
    <row r="16080" spans="1:17" x14ac:dyDescent="0.2">
      <c r="A16080" s="121">
        <v>44865</v>
      </c>
      <c r="B16080" t="s">
        <v>406</v>
      </c>
      <c r="C16080" t="s">
        <v>577</v>
      </c>
      <c r="D16080" t="s">
        <v>590</v>
      </c>
      <c r="E16080" t="s">
        <v>591</v>
      </c>
      <c r="F16080" t="s">
        <v>410</v>
      </c>
      <c r="G16080">
        <v>276</v>
      </c>
      <c r="H16080">
        <v>276</v>
      </c>
      <c r="I16080">
        <v>276</v>
      </c>
      <c r="J16080">
        <v>276</v>
      </c>
      <c r="K16080">
        <v>0</v>
      </c>
      <c r="L16080">
        <v>0</v>
      </c>
      <c r="M16080">
        <v>264</v>
      </c>
      <c r="N16080">
        <v>12</v>
      </c>
      <c r="O16080">
        <v>0</v>
      </c>
      <c r="P16080">
        <v>0</v>
      </c>
      <c r="Q16080">
        <v>0</v>
      </c>
    </row>
    <row r="16081" spans="1:17" x14ac:dyDescent="0.2">
      <c r="A16081" s="121">
        <v>44865</v>
      </c>
      <c r="B16081" t="s">
        <v>406</v>
      </c>
      <c r="C16081" t="s">
        <v>594</v>
      </c>
      <c r="D16081" t="s">
        <v>595</v>
      </c>
      <c r="E16081" t="s">
        <v>596</v>
      </c>
      <c r="F16081" t="s">
        <v>410</v>
      </c>
      <c r="G16081">
        <v>24</v>
      </c>
      <c r="I16081">
        <v>24</v>
      </c>
    </row>
    <row r="16082" spans="1:17" x14ac:dyDescent="0.2">
      <c r="A16082" s="121">
        <v>44865</v>
      </c>
      <c r="B16082" t="s">
        <v>406</v>
      </c>
      <c r="C16082" t="s">
        <v>594</v>
      </c>
      <c r="D16082" t="s">
        <v>597</v>
      </c>
      <c r="E16082" t="s">
        <v>598</v>
      </c>
      <c r="F16082" t="s">
        <v>413</v>
      </c>
      <c r="G16082">
        <v>481</v>
      </c>
      <c r="H16082">
        <v>481</v>
      </c>
      <c r="I16082">
        <v>468</v>
      </c>
      <c r="J16082">
        <v>468</v>
      </c>
      <c r="K16082">
        <v>178</v>
      </c>
      <c r="L16082">
        <v>0</v>
      </c>
      <c r="M16082">
        <v>287</v>
      </c>
      <c r="N16082">
        <v>4</v>
      </c>
      <c r="O16082">
        <v>12</v>
      </c>
      <c r="P16082">
        <v>0</v>
      </c>
      <c r="Q16082">
        <v>0</v>
      </c>
    </row>
    <row r="16083" spans="1:17" x14ac:dyDescent="0.2">
      <c r="A16083" s="121">
        <v>44865</v>
      </c>
      <c r="B16083" t="s">
        <v>406</v>
      </c>
      <c r="C16083" t="s">
        <v>594</v>
      </c>
      <c r="D16083" t="s">
        <v>599</v>
      </c>
      <c r="E16083" t="s">
        <v>600</v>
      </c>
      <c r="F16083" t="s">
        <v>410</v>
      </c>
      <c r="G16083">
        <v>87</v>
      </c>
      <c r="H16083">
        <v>87</v>
      </c>
      <c r="I16083">
        <v>87</v>
      </c>
      <c r="J16083">
        <v>87</v>
      </c>
      <c r="K16083">
        <v>7</v>
      </c>
      <c r="L16083">
        <v>0</v>
      </c>
      <c r="M16083">
        <v>77</v>
      </c>
      <c r="N16083">
        <v>2</v>
      </c>
      <c r="O16083">
        <v>1</v>
      </c>
      <c r="P16083">
        <v>0</v>
      </c>
      <c r="Q16083">
        <v>0</v>
      </c>
    </row>
    <row r="16084" spans="1:17" x14ac:dyDescent="0.2">
      <c r="A16084" s="121">
        <v>44895</v>
      </c>
      <c r="B16084" t="s">
        <v>406</v>
      </c>
      <c r="C16084" t="s">
        <v>407</v>
      </c>
      <c r="D16084" t="s">
        <v>408</v>
      </c>
      <c r="E16084" t="s">
        <v>409</v>
      </c>
      <c r="F16084" t="s">
        <v>410</v>
      </c>
      <c r="G16084">
        <v>145</v>
      </c>
      <c r="I16084">
        <v>142</v>
      </c>
    </row>
    <row r="16085" spans="1:17" x14ac:dyDescent="0.2">
      <c r="A16085" s="121">
        <v>44895</v>
      </c>
      <c r="B16085" t="s">
        <v>406</v>
      </c>
      <c r="C16085" t="s">
        <v>407</v>
      </c>
      <c r="D16085" t="s">
        <v>601</v>
      </c>
      <c r="E16085" t="s">
        <v>602</v>
      </c>
      <c r="F16085" t="s">
        <v>410</v>
      </c>
      <c r="G16085">
        <v>89</v>
      </c>
      <c r="I16085">
        <v>89</v>
      </c>
    </row>
    <row r="16086" spans="1:17" x14ac:dyDescent="0.2">
      <c r="A16086" s="121">
        <v>44895</v>
      </c>
      <c r="B16086" t="s">
        <v>406</v>
      </c>
      <c r="C16086" t="s">
        <v>407</v>
      </c>
      <c r="D16086" t="s">
        <v>411</v>
      </c>
      <c r="E16086" t="s">
        <v>412</v>
      </c>
      <c r="F16086" t="s">
        <v>413</v>
      </c>
      <c r="G16086">
        <v>4706</v>
      </c>
      <c r="H16086">
        <v>4706</v>
      </c>
      <c r="I16086">
        <v>3129</v>
      </c>
      <c r="J16086">
        <v>3129</v>
      </c>
      <c r="K16086">
        <v>1315</v>
      </c>
      <c r="L16086">
        <v>6</v>
      </c>
      <c r="M16086">
        <v>2971</v>
      </c>
      <c r="N16086">
        <v>42</v>
      </c>
      <c r="O16086">
        <v>372</v>
      </c>
      <c r="P16086">
        <v>746</v>
      </c>
      <c r="Q16086">
        <v>486</v>
      </c>
    </row>
    <row r="16087" spans="1:17" x14ac:dyDescent="0.2">
      <c r="A16087" s="121">
        <v>44895</v>
      </c>
      <c r="B16087" t="s">
        <v>406</v>
      </c>
      <c r="C16087" t="s">
        <v>407</v>
      </c>
      <c r="D16087" t="s">
        <v>416</v>
      </c>
      <c r="E16087" t="s">
        <v>417</v>
      </c>
      <c r="F16087" t="s">
        <v>413</v>
      </c>
      <c r="G16087">
        <v>2289</v>
      </c>
      <c r="H16087">
        <v>2289</v>
      </c>
      <c r="I16087">
        <v>1469</v>
      </c>
      <c r="J16087">
        <v>1469</v>
      </c>
      <c r="K16087">
        <v>555</v>
      </c>
      <c r="L16087">
        <v>4</v>
      </c>
      <c r="M16087">
        <v>1606</v>
      </c>
      <c r="N16087">
        <v>61</v>
      </c>
      <c r="O16087">
        <v>63</v>
      </c>
      <c r="P16087">
        <v>418</v>
      </c>
      <c r="Q16087">
        <v>270</v>
      </c>
    </row>
    <row r="16088" spans="1:17" x14ac:dyDescent="0.2">
      <c r="A16088" s="121">
        <v>44895</v>
      </c>
      <c r="B16088" t="s">
        <v>406</v>
      </c>
      <c r="C16088" t="s">
        <v>407</v>
      </c>
      <c r="D16088" t="s">
        <v>618</v>
      </c>
      <c r="E16088" t="s">
        <v>619</v>
      </c>
      <c r="F16088" t="s">
        <v>410</v>
      </c>
      <c r="G16088">
        <v>51</v>
      </c>
      <c r="I16088">
        <v>51</v>
      </c>
    </row>
    <row r="16089" spans="1:17" x14ac:dyDescent="0.2">
      <c r="A16089" s="121">
        <v>44895</v>
      </c>
      <c r="B16089" t="s">
        <v>406</v>
      </c>
      <c r="C16089" t="s">
        <v>418</v>
      </c>
      <c r="D16089" t="s">
        <v>427</v>
      </c>
      <c r="E16089" t="s">
        <v>428</v>
      </c>
      <c r="F16089" t="s">
        <v>413</v>
      </c>
      <c r="G16089">
        <v>2426</v>
      </c>
      <c r="H16089">
        <v>2426</v>
      </c>
      <c r="I16089">
        <v>1682</v>
      </c>
      <c r="J16089">
        <v>1682</v>
      </c>
      <c r="K16089">
        <v>725</v>
      </c>
      <c r="L16089">
        <v>6</v>
      </c>
      <c r="M16089">
        <v>1580</v>
      </c>
      <c r="N16089">
        <v>97</v>
      </c>
      <c r="O16089">
        <v>18</v>
      </c>
      <c r="P16089">
        <v>312</v>
      </c>
      <c r="Q16089">
        <v>215</v>
      </c>
    </row>
    <row r="16090" spans="1:17" x14ac:dyDescent="0.2">
      <c r="A16090" s="121">
        <v>44895</v>
      </c>
      <c r="B16090" t="s">
        <v>406</v>
      </c>
      <c r="C16090" t="s">
        <v>429</v>
      </c>
      <c r="D16090" t="s">
        <v>438</v>
      </c>
      <c r="E16090" t="s">
        <v>439</v>
      </c>
      <c r="F16090" t="s">
        <v>413</v>
      </c>
      <c r="G16090">
        <v>1025</v>
      </c>
      <c r="H16090">
        <v>1025</v>
      </c>
      <c r="I16090">
        <v>895</v>
      </c>
      <c r="J16090">
        <v>895</v>
      </c>
      <c r="K16090">
        <v>72</v>
      </c>
      <c r="L16090">
        <v>2</v>
      </c>
      <c r="M16090">
        <v>852</v>
      </c>
      <c r="N16090">
        <v>57</v>
      </c>
      <c r="O16090">
        <v>42</v>
      </c>
      <c r="P16090">
        <v>13</v>
      </c>
      <c r="Q16090">
        <v>1</v>
      </c>
    </row>
    <row r="16091" spans="1:17" x14ac:dyDescent="0.2">
      <c r="A16091" s="121">
        <v>44895</v>
      </c>
      <c r="B16091" t="s">
        <v>406</v>
      </c>
      <c r="C16091" t="s">
        <v>429</v>
      </c>
      <c r="D16091" t="s">
        <v>440</v>
      </c>
      <c r="E16091" t="s">
        <v>441</v>
      </c>
      <c r="F16091" t="s">
        <v>413</v>
      </c>
      <c r="G16091">
        <v>2511</v>
      </c>
      <c r="H16091">
        <v>2511</v>
      </c>
      <c r="I16091">
        <v>1929</v>
      </c>
      <c r="J16091">
        <v>1929</v>
      </c>
      <c r="K16091">
        <v>700</v>
      </c>
      <c r="L16091">
        <v>2</v>
      </c>
      <c r="M16091">
        <v>1741</v>
      </c>
      <c r="N16091">
        <v>18</v>
      </c>
      <c r="O16091">
        <v>50</v>
      </c>
      <c r="P16091">
        <v>110</v>
      </c>
      <c r="Q16091">
        <v>25</v>
      </c>
    </row>
    <row r="16092" spans="1:17" x14ac:dyDescent="0.2">
      <c r="A16092" s="121">
        <v>44895</v>
      </c>
      <c r="B16092" t="s">
        <v>406</v>
      </c>
      <c r="C16092" t="s">
        <v>442</v>
      </c>
      <c r="D16092" t="s">
        <v>443</v>
      </c>
      <c r="E16092" t="s">
        <v>444</v>
      </c>
      <c r="F16092" t="s">
        <v>413</v>
      </c>
      <c r="G16092">
        <v>5454</v>
      </c>
      <c r="H16092">
        <v>5454</v>
      </c>
      <c r="I16092">
        <v>3375</v>
      </c>
      <c r="J16092">
        <v>3375</v>
      </c>
      <c r="K16092">
        <v>1731</v>
      </c>
      <c r="L16092">
        <v>4</v>
      </c>
      <c r="M16092">
        <v>3481</v>
      </c>
      <c r="N16092">
        <v>67</v>
      </c>
      <c r="O16092">
        <v>171</v>
      </c>
      <c r="P16092">
        <v>615</v>
      </c>
      <c r="Q16092">
        <v>168</v>
      </c>
    </row>
    <row r="16093" spans="1:17" x14ac:dyDescent="0.2">
      <c r="A16093" s="121">
        <v>44895</v>
      </c>
      <c r="B16093" t="s">
        <v>406</v>
      </c>
      <c r="C16093" t="s">
        <v>442</v>
      </c>
      <c r="D16093" t="s">
        <v>445</v>
      </c>
      <c r="E16093" t="s">
        <v>446</v>
      </c>
      <c r="F16093" t="s">
        <v>410</v>
      </c>
      <c r="G16093">
        <v>132</v>
      </c>
      <c r="H16093">
        <v>132</v>
      </c>
      <c r="I16093">
        <v>132</v>
      </c>
      <c r="J16093">
        <v>132</v>
      </c>
      <c r="K16093">
        <v>2</v>
      </c>
      <c r="L16093">
        <v>0</v>
      </c>
      <c r="M16093">
        <v>126</v>
      </c>
      <c r="N16093">
        <v>1</v>
      </c>
      <c r="O16093">
        <v>3</v>
      </c>
      <c r="P16093">
        <v>0</v>
      </c>
      <c r="Q16093">
        <v>0</v>
      </c>
    </row>
    <row r="16094" spans="1:17" x14ac:dyDescent="0.2">
      <c r="A16094" s="121">
        <v>44895</v>
      </c>
      <c r="B16094" t="s">
        <v>406</v>
      </c>
      <c r="C16094" t="s">
        <v>442</v>
      </c>
      <c r="D16094" t="s">
        <v>447</v>
      </c>
      <c r="E16094" t="s">
        <v>448</v>
      </c>
      <c r="F16094" t="s">
        <v>410</v>
      </c>
      <c r="G16094">
        <v>296</v>
      </c>
      <c r="H16094">
        <v>296</v>
      </c>
      <c r="I16094">
        <v>296</v>
      </c>
      <c r="J16094">
        <v>296</v>
      </c>
      <c r="K16094">
        <v>1</v>
      </c>
      <c r="L16094">
        <v>0</v>
      </c>
      <c r="M16094">
        <v>289</v>
      </c>
      <c r="N16094">
        <v>6</v>
      </c>
      <c r="O16094">
        <v>0</v>
      </c>
      <c r="P16094">
        <v>0</v>
      </c>
      <c r="Q16094">
        <v>0</v>
      </c>
    </row>
    <row r="16095" spans="1:17" x14ac:dyDescent="0.2">
      <c r="A16095" s="121">
        <v>44895</v>
      </c>
      <c r="B16095" t="s">
        <v>406</v>
      </c>
      <c r="C16095" t="s">
        <v>442</v>
      </c>
      <c r="D16095" t="s">
        <v>449</v>
      </c>
      <c r="E16095" t="s">
        <v>624</v>
      </c>
      <c r="F16095" t="s">
        <v>410</v>
      </c>
      <c r="G16095">
        <v>1070</v>
      </c>
      <c r="H16095">
        <v>1070</v>
      </c>
      <c r="I16095">
        <v>1069</v>
      </c>
      <c r="J16095">
        <v>1069</v>
      </c>
      <c r="K16095">
        <v>4</v>
      </c>
      <c r="L16095">
        <v>0</v>
      </c>
      <c r="M16095">
        <v>1012</v>
      </c>
      <c r="N16095">
        <v>39</v>
      </c>
      <c r="O16095">
        <v>15</v>
      </c>
      <c r="P16095">
        <v>0</v>
      </c>
      <c r="Q16095">
        <v>0</v>
      </c>
    </row>
    <row r="16096" spans="1:17" x14ac:dyDescent="0.2">
      <c r="A16096" s="121">
        <v>44895</v>
      </c>
      <c r="B16096" t="s">
        <v>406</v>
      </c>
      <c r="C16096" t="s">
        <v>451</v>
      </c>
      <c r="D16096" t="s">
        <v>454</v>
      </c>
      <c r="E16096" t="s">
        <v>621</v>
      </c>
      <c r="F16096" t="s">
        <v>410</v>
      </c>
      <c r="G16096">
        <v>1567</v>
      </c>
      <c r="H16096">
        <v>1567</v>
      </c>
      <c r="I16096">
        <v>1565</v>
      </c>
      <c r="J16096">
        <v>1565</v>
      </c>
      <c r="K16096">
        <v>2</v>
      </c>
      <c r="L16096">
        <v>0</v>
      </c>
      <c r="M16096">
        <v>1432</v>
      </c>
      <c r="N16096">
        <v>2</v>
      </c>
      <c r="O16096">
        <v>131</v>
      </c>
      <c r="P16096">
        <v>0</v>
      </c>
      <c r="Q16096">
        <v>0</v>
      </c>
    </row>
    <row r="16097" spans="1:17" x14ac:dyDescent="0.2">
      <c r="A16097" s="121">
        <v>44895</v>
      </c>
      <c r="B16097" t="s">
        <v>406</v>
      </c>
      <c r="C16097" t="s">
        <v>451</v>
      </c>
      <c r="D16097" t="s">
        <v>622</v>
      </c>
      <c r="E16097" t="s">
        <v>623</v>
      </c>
      <c r="F16097" t="s">
        <v>413</v>
      </c>
      <c r="G16097">
        <v>4706</v>
      </c>
      <c r="H16097">
        <v>4706</v>
      </c>
      <c r="I16097">
        <v>2289</v>
      </c>
      <c r="J16097">
        <v>2289</v>
      </c>
      <c r="K16097">
        <v>1476</v>
      </c>
      <c r="L16097">
        <v>17</v>
      </c>
      <c r="M16097">
        <v>2903</v>
      </c>
      <c r="N16097">
        <v>27</v>
      </c>
      <c r="O16097">
        <v>283</v>
      </c>
      <c r="P16097">
        <v>859</v>
      </c>
      <c r="Q16097">
        <v>236</v>
      </c>
    </row>
    <row r="16098" spans="1:17" x14ac:dyDescent="0.2">
      <c r="A16098" s="121">
        <v>44895</v>
      </c>
      <c r="B16098" t="s">
        <v>406</v>
      </c>
      <c r="C16098" t="s">
        <v>456</v>
      </c>
      <c r="D16098" t="s">
        <v>457</v>
      </c>
      <c r="E16098" t="s">
        <v>458</v>
      </c>
      <c r="F16098" t="s">
        <v>413</v>
      </c>
      <c r="G16098">
        <v>4361</v>
      </c>
      <c r="H16098">
        <v>4361</v>
      </c>
      <c r="I16098">
        <v>2269</v>
      </c>
      <c r="J16098">
        <v>2269</v>
      </c>
      <c r="K16098">
        <v>1328</v>
      </c>
      <c r="L16098">
        <v>13</v>
      </c>
      <c r="M16098">
        <v>2831</v>
      </c>
      <c r="N16098">
        <v>17</v>
      </c>
      <c r="O16098">
        <v>172</v>
      </c>
      <c r="P16098">
        <v>573</v>
      </c>
      <c r="Q16098">
        <v>117</v>
      </c>
    </row>
    <row r="16099" spans="1:17" x14ac:dyDescent="0.2">
      <c r="A16099" s="121">
        <v>44895</v>
      </c>
      <c r="B16099" t="s">
        <v>406</v>
      </c>
      <c r="C16099" t="s">
        <v>456</v>
      </c>
      <c r="D16099" t="s">
        <v>459</v>
      </c>
      <c r="E16099" t="s">
        <v>460</v>
      </c>
      <c r="F16099" t="s">
        <v>413</v>
      </c>
      <c r="G16099">
        <v>1426</v>
      </c>
      <c r="H16099">
        <v>1426</v>
      </c>
      <c r="I16099">
        <v>1300</v>
      </c>
      <c r="J16099">
        <v>1300</v>
      </c>
      <c r="K16099">
        <v>163</v>
      </c>
      <c r="L16099">
        <v>0</v>
      </c>
      <c r="M16099">
        <v>1196</v>
      </c>
      <c r="N16099">
        <v>0</v>
      </c>
      <c r="O16099">
        <v>67</v>
      </c>
      <c r="P16099">
        <v>5</v>
      </c>
      <c r="Q16099">
        <v>0</v>
      </c>
    </row>
    <row r="16100" spans="1:17" x14ac:dyDescent="0.2">
      <c r="A16100" s="121">
        <v>44895</v>
      </c>
      <c r="B16100" t="s">
        <v>406</v>
      </c>
      <c r="C16100" t="s">
        <v>456</v>
      </c>
      <c r="D16100" t="s">
        <v>467</v>
      </c>
      <c r="E16100" t="s">
        <v>468</v>
      </c>
      <c r="F16100" t="s">
        <v>410</v>
      </c>
      <c r="G16100">
        <v>654</v>
      </c>
      <c r="I16100">
        <v>653</v>
      </c>
    </row>
    <row r="16101" spans="1:17" x14ac:dyDescent="0.2">
      <c r="A16101" s="121">
        <v>44895</v>
      </c>
      <c r="B16101" t="s">
        <v>406</v>
      </c>
      <c r="C16101" t="s">
        <v>456</v>
      </c>
      <c r="D16101" t="s">
        <v>469</v>
      </c>
      <c r="E16101" t="s">
        <v>470</v>
      </c>
      <c r="F16101" t="s">
        <v>410</v>
      </c>
      <c r="G16101">
        <v>458</v>
      </c>
      <c r="I16101">
        <v>456</v>
      </c>
    </row>
    <row r="16102" spans="1:17" x14ac:dyDescent="0.2">
      <c r="A16102" s="121">
        <v>44895</v>
      </c>
      <c r="B16102" t="s">
        <v>406</v>
      </c>
      <c r="C16102" t="s">
        <v>456</v>
      </c>
      <c r="D16102" t="s">
        <v>471</v>
      </c>
      <c r="E16102" t="s">
        <v>472</v>
      </c>
      <c r="F16102" t="s">
        <v>410</v>
      </c>
      <c r="G16102">
        <v>398</v>
      </c>
      <c r="I16102">
        <v>396</v>
      </c>
    </row>
    <row r="16103" spans="1:17" x14ac:dyDescent="0.2">
      <c r="A16103" s="121">
        <v>44895</v>
      </c>
      <c r="B16103" t="s">
        <v>406</v>
      </c>
      <c r="C16103" t="s">
        <v>456</v>
      </c>
      <c r="D16103" t="s">
        <v>475</v>
      </c>
      <c r="E16103" t="s">
        <v>476</v>
      </c>
      <c r="F16103" t="s">
        <v>410</v>
      </c>
      <c r="G16103">
        <v>84</v>
      </c>
      <c r="I16103">
        <v>84</v>
      </c>
    </row>
    <row r="16104" spans="1:17" x14ac:dyDescent="0.2">
      <c r="A16104" s="121">
        <v>44895</v>
      </c>
      <c r="B16104" t="s">
        <v>406</v>
      </c>
      <c r="C16104" t="s">
        <v>456</v>
      </c>
      <c r="D16104" t="s">
        <v>477</v>
      </c>
      <c r="E16104" t="s">
        <v>478</v>
      </c>
      <c r="F16104" t="s">
        <v>413</v>
      </c>
      <c r="G16104">
        <v>2301</v>
      </c>
      <c r="H16104">
        <v>2301</v>
      </c>
      <c r="I16104">
        <v>1640</v>
      </c>
      <c r="J16104">
        <v>1640</v>
      </c>
      <c r="K16104">
        <v>493</v>
      </c>
      <c r="L16104">
        <v>3</v>
      </c>
      <c r="M16104">
        <v>1767</v>
      </c>
      <c r="N16104">
        <v>22</v>
      </c>
      <c r="O16104">
        <v>16</v>
      </c>
      <c r="P16104">
        <v>179</v>
      </c>
      <c r="Q16104">
        <v>66</v>
      </c>
    </row>
    <row r="16105" spans="1:17" x14ac:dyDescent="0.2">
      <c r="A16105" s="121">
        <v>44895</v>
      </c>
      <c r="B16105" t="s">
        <v>406</v>
      </c>
      <c r="C16105" t="s">
        <v>491</v>
      </c>
      <c r="D16105" t="s">
        <v>492</v>
      </c>
      <c r="E16105" t="s">
        <v>493</v>
      </c>
      <c r="F16105" t="s">
        <v>410</v>
      </c>
      <c r="G16105">
        <v>1236</v>
      </c>
      <c r="H16105">
        <v>1236</v>
      </c>
      <c r="I16105">
        <v>1145</v>
      </c>
      <c r="J16105">
        <v>1145</v>
      </c>
      <c r="K16105">
        <v>132</v>
      </c>
      <c r="L16105">
        <v>0</v>
      </c>
      <c r="M16105">
        <v>1049</v>
      </c>
      <c r="N16105">
        <v>44</v>
      </c>
      <c r="O16105">
        <v>11</v>
      </c>
      <c r="P16105">
        <v>15</v>
      </c>
      <c r="Q16105">
        <v>7</v>
      </c>
    </row>
    <row r="16106" spans="1:17" x14ac:dyDescent="0.2">
      <c r="A16106" s="121">
        <v>44895</v>
      </c>
      <c r="B16106" t="s">
        <v>406</v>
      </c>
      <c r="C16106" t="s">
        <v>491</v>
      </c>
      <c r="D16106" t="s">
        <v>494</v>
      </c>
      <c r="E16106" t="s">
        <v>495</v>
      </c>
      <c r="F16106" t="s">
        <v>413</v>
      </c>
      <c r="G16106">
        <v>2465</v>
      </c>
      <c r="H16106">
        <v>2465</v>
      </c>
      <c r="I16106">
        <v>1888</v>
      </c>
      <c r="J16106">
        <v>1888</v>
      </c>
      <c r="K16106">
        <v>542</v>
      </c>
      <c r="L16106">
        <v>6</v>
      </c>
      <c r="M16106">
        <v>1776</v>
      </c>
      <c r="N16106">
        <v>87</v>
      </c>
      <c r="O16106">
        <v>54</v>
      </c>
      <c r="P16106">
        <v>138</v>
      </c>
      <c r="Q16106">
        <v>57</v>
      </c>
    </row>
    <row r="16107" spans="1:17" x14ac:dyDescent="0.2">
      <c r="A16107" s="121">
        <v>44895</v>
      </c>
      <c r="B16107" t="s">
        <v>406</v>
      </c>
      <c r="C16107" t="s">
        <v>491</v>
      </c>
      <c r="D16107" t="s">
        <v>496</v>
      </c>
      <c r="E16107" t="s">
        <v>497</v>
      </c>
      <c r="F16107" t="s">
        <v>413</v>
      </c>
      <c r="G16107">
        <v>4527</v>
      </c>
      <c r="H16107">
        <v>4527</v>
      </c>
      <c r="I16107">
        <v>2504</v>
      </c>
      <c r="J16107">
        <v>2504</v>
      </c>
      <c r="K16107">
        <v>1297</v>
      </c>
      <c r="L16107">
        <v>11</v>
      </c>
      <c r="M16107">
        <v>2939</v>
      </c>
      <c r="N16107">
        <v>94</v>
      </c>
      <c r="O16107">
        <v>186</v>
      </c>
      <c r="P16107">
        <v>780</v>
      </c>
      <c r="Q16107">
        <v>250</v>
      </c>
    </row>
    <row r="16108" spans="1:17" x14ac:dyDescent="0.2">
      <c r="A16108" s="121">
        <v>44895</v>
      </c>
      <c r="B16108" t="s">
        <v>406</v>
      </c>
      <c r="C16108" t="s">
        <v>491</v>
      </c>
      <c r="D16108" t="s">
        <v>498</v>
      </c>
      <c r="E16108" t="s">
        <v>499</v>
      </c>
      <c r="F16108" t="s">
        <v>413</v>
      </c>
      <c r="G16108">
        <v>6744</v>
      </c>
      <c r="H16108">
        <v>6744</v>
      </c>
      <c r="I16108">
        <v>3804</v>
      </c>
      <c r="J16108">
        <v>3804</v>
      </c>
      <c r="K16108">
        <v>1898</v>
      </c>
      <c r="L16108">
        <v>21</v>
      </c>
      <c r="M16108">
        <v>4266</v>
      </c>
      <c r="N16108">
        <v>140</v>
      </c>
      <c r="O16108">
        <v>419</v>
      </c>
      <c r="P16108">
        <v>837</v>
      </c>
      <c r="Q16108">
        <v>161</v>
      </c>
    </row>
    <row r="16109" spans="1:17" x14ac:dyDescent="0.2">
      <c r="A16109" s="121">
        <v>44895</v>
      </c>
      <c r="B16109" t="s">
        <v>406</v>
      </c>
      <c r="C16109" t="s">
        <v>491</v>
      </c>
      <c r="D16109" t="s">
        <v>500</v>
      </c>
      <c r="E16109" t="s">
        <v>620</v>
      </c>
      <c r="F16109" t="s">
        <v>410</v>
      </c>
      <c r="G16109">
        <v>1812</v>
      </c>
      <c r="H16109">
        <v>1812</v>
      </c>
      <c r="I16109">
        <v>1805</v>
      </c>
      <c r="J16109">
        <v>1805</v>
      </c>
      <c r="K16109">
        <v>0</v>
      </c>
      <c r="L16109">
        <v>0</v>
      </c>
      <c r="M16109">
        <v>1592</v>
      </c>
      <c r="N16109">
        <v>51</v>
      </c>
      <c r="O16109">
        <v>169</v>
      </c>
      <c r="P16109">
        <v>0</v>
      </c>
      <c r="Q16109">
        <v>0</v>
      </c>
    </row>
    <row r="16110" spans="1:17" x14ac:dyDescent="0.2">
      <c r="A16110" s="121">
        <v>44895</v>
      </c>
      <c r="B16110" t="s">
        <v>406</v>
      </c>
      <c r="C16110" t="s">
        <v>491</v>
      </c>
      <c r="D16110" t="s">
        <v>502</v>
      </c>
      <c r="E16110" t="s">
        <v>615</v>
      </c>
      <c r="F16110" t="s">
        <v>410</v>
      </c>
      <c r="G16110">
        <v>2348</v>
      </c>
      <c r="H16110">
        <v>2348</v>
      </c>
      <c r="I16110">
        <v>2163</v>
      </c>
      <c r="J16110">
        <v>2163</v>
      </c>
      <c r="K16110">
        <v>0</v>
      </c>
      <c r="L16110">
        <v>1</v>
      </c>
      <c r="M16110">
        <v>2083</v>
      </c>
      <c r="N16110">
        <v>125</v>
      </c>
      <c r="O16110">
        <v>139</v>
      </c>
      <c r="P16110">
        <v>0</v>
      </c>
      <c r="Q16110">
        <v>0</v>
      </c>
    </row>
    <row r="16111" spans="1:17" x14ac:dyDescent="0.2">
      <c r="A16111" s="121">
        <v>44895</v>
      </c>
      <c r="B16111" t="s">
        <v>406</v>
      </c>
      <c r="C16111" t="s">
        <v>491</v>
      </c>
      <c r="D16111" t="s">
        <v>504</v>
      </c>
      <c r="E16111" t="s">
        <v>630</v>
      </c>
      <c r="F16111" t="s">
        <v>413</v>
      </c>
      <c r="G16111">
        <v>7490</v>
      </c>
      <c r="H16111">
        <v>7490</v>
      </c>
      <c r="I16111">
        <v>3145</v>
      </c>
      <c r="J16111">
        <v>3145</v>
      </c>
      <c r="K16111">
        <v>2519</v>
      </c>
      <c r="L16111">
        <v>19</v>
      </c>
      <c r="M16111">
        <v>4440</v>
      </c>
      <c r="N16111">
        <v>59</v>
      </c>
      <c r="O16111">
        <v>453</v>
      </c>
      <c r="P16111">
        <v>1634</v>
      </c>
      <c r="Q16111">
        <v>411</v>
      </c>
    </row>
    <row r="16112" spans="1:17" x14ac:dyDescent="0.2">
      <c r="A16112" s="121">
        <v>44895</v>
      </c>
      <c r="B16112" t="s">
        <v>406</v>
      </c>
      <c r="C16112" t="s">
        <v>491</v>
      </c>
      <c r="D16112" t="s">
        <v>506</v>
      </c>
      <c r="E16112" t="s">
        <v>507</v>
      </c>
      <c r="F16112" t="s">
        <v>413</v>
      </c>
      <c r="G16112">
        <v>7416</v>
      </c>
      <c r="H16112">
        <v>7416</v>
      </c>
      <c r="I16112">
        <v>6054</v>
      </c>
      <c r="J16112">
        <v>6054</v>
      </c>
      <c r="K16112">
        <v>1664</v>
      </c>
      <c r="L16112">
        <v>1</v>
      </c>
      <c r="M16112">
        <v>5694</v>
      </c>
      <c r="N16112">
        <v>3</v>
      </c>
      <c r="O16112">
        <v>54</v>
      </c>
      <c r="P16112">
        <v>37</v>
      </c>
      <c r="Q16112">
        <v>0</v>
      </c>
    </row>
    <row r="16113" spans="1:17" x14ac:dyDescent="0.2">
      <c r="A16113" s="121">
        <v>44895</v>
      </c>
      <c r="B16113" t="s">
        <v>406</v>
      </c>
      <c r="C16113" t="s">
        <v>491</v>
      </c>
      <c r="D16113" t="s">
        <v>508</v>
      </c>
      <c r="E16113" t="s">
        <v>631</v>
      </c>
      <c r="F16113" t="s">
        <v>410</v>
      </c>
      <c r="G16113">
        <v>1</v>
      </c>
      <c r="H16113">
        <v>1</v>
      </c>
      <c r="I16113">
        <v>1</v>
      </c>
      <c r="J16113">
        <v>1</v>
      </c>
      <c r="K16113">
        <v>0</v>
      </c>
      <c r="L16113">
        <v>0</v>
      </c>
      <c r="M16113">
        <v>1</v>
      </c>
      <c r="N16113">
        <v>0</v>
      </c>
      <c r="O16113">
        <v>0</v>
      </c>
      <c r="P16113">
        <v>0</v>
      </c>
      <c r="Q16113">
        <v>0</v>
      </c>
    </row>
    <row r="16114" spans="1:17" x14ac:dyDescent="0.2">
      <c r="A16114" s="121">
        <v>44895</v>
      </c>
      <c r="B16114" t="s">
        <v>406</v>
      </c>
      <c r="C16114" t="s">
        <v>510</v>
      </c>
      <c r="D16114" t="s">
        <v>513</v>
      </c>
      <c r="E16114" t="s">
        <v>514</v>
      </c>
      <c r="F16114" t="s">
        <v>410</v>
      </c>
      <c r="G16114">
        <v>642</v>
      </c>
      <c r="I16114">
        <v>635</v>
      </c>
    </row>
    <row r="16115" spans="1:17" x14ac:dyDescent="0.2">
      <c r="A16115" s="121">
        <v>44895</v>
      </c>
      <c r="B16115" t="s">
        <v>406</v>
      </c>
      <c r="C16115" t="s">
        <v>510</v>
      </c>
      <c r="D16115" t="s">
        <v>515</v>
      </c>
      <c r="E16115" t="s">
        <v>516</v>
      </c>
      <c r="F16115" t="s">
        <v>410</v>
      </c>
      <c r="G16115">
        <v>74</v>
      </c>
      <c r="I16115">
        <v>61</v>
      </c>
    </row>
    <row r="16116" spans="1:17" x14ac:dyDescent="0.2">
      <c r="A16116" s="121">
        <v>44895</v>
      </c>
      <c r="B16116" t="s">
        <v>406</v>
      </c>
      <c r="C16116" t="s">
        <v>510</v>
      </c>
      <c r="D16116" t="s">
        <v>519</v>
      </c>
      <c r="E16116" t="s">
        <v>520</v>
      </c>
      <c r="F16116" t="s">
        <v>410</v>
      </c>
      <c r="G16116">
        <v>287</v>
      </c>
      <c r="I16116">
        <v>276</v>
      </c>
    </row>
    <row r="16117" spans="1:17" x14ac:dyDescent="0.2">
      <c r="A16117" s="121">
        <v>44895</v>
      </c>
      <c r="B16117" t="s">
        <v>406</v>
      </c>
      <c r="C16117" t="s">
        <v>510</v>
      </c>
      <c r="D16117" t="s">
        <v>523</v>
      </c>
      <c r="E16117" t="s">
        <v>524</v>
      </c>
      <c r="F16117" t="s">
        <v>413</v>
      </c>
      <c r="G16117">
        <v>669</v>
      </c>
      <c r="H16117">
        <v>669</v>
      </c>
      <c r="I16117">
        <v>643</v>
      </c>
      <c r="J16117">
        <v>643</v>
      </c>
      <c r="K16117">
        <v>153</v>
      </c>
      <c r="L16117">
        <v>0</v>
      </c>
      <c r="M16117">
        <v>500</v>
      </c>
      <c r="N16117">
        <v>11</v>
      </c>
      <c r="O16117">
        <v>5</v>
      </c>
      <c r="P16117">
        <v>2</v>
      </c>
      <c r="Q16117">
        <v>0</v>
      </c>
    </row>
    <row r="16118" spans="1:17" x14ac:dyDescent="0.2">
      <c r="A16118" s="121">
        <v>44895</v>
      </c>
      <c r="B16118" t="s">
        <v>406</v>
      </c>
      <c r="C16118" t="s">
        <v>510</v>
      </c>
      <c r="D16118" t="s">
        <v>525</v>
      </c>
      <c r="E16118" t="s">
        <v>526</v>
      </c>
      <c r="F16118" t="s">
        <v>410</v>
      </c>
      <c r="G16118">
        <v>332</v>
      </c>
      <c r="H16118">
        <v>332</v>
      </c>
      <c r="I16118">
        <v>310</v>
      </c>
      <c r="J16118">
        <v>310</v>
      </c>
      <c r="K16118">
        <v>34</v>
      </c>
      <c r="L16118">
        <v>0</v>
      </c>
      <c r="M16118">
        <v>272</v>
      </c>
      <c r="N16118">
        <v>20</v>
      </c>
      <c r="O16118">
        <v>6</v>
      </c>
      <c r="P16118">
        <v>5</v>
      </c>
      <c r="Q16118">
        <v>0</v>
      </c>
    </row>
    <row r="16119" spans="1:17" x14ac:dyDescent="0.2">
      <c r="A16119" s="121">
        <v>44895</v>
      </c>
      <c r="B16119" t="s">
        <v>406</v>
      </c>
      <c r="C16119" t="s">
        <v>510</v>
      </c>
      <c r="D16119" t="s">
        <v>527</v>
      </c>
      <c r="E16119" t="s">
        <v>528</v>
      </c>
      <c r="F16119" t="s">
        <v>410</v>
      </c>
      <c r="G16119">
        <v>14</v>
      </c>
      <c r="I16119">
        <v>14</v>
      </c>
    </row>
    <row r="16120" spans="1:17" x14ac:dyDescent="0.2">
      <c r="A16120" s="121">
        <v>44895</v>
      </c>
      <c r="B16120" t="s">
        <v>406</v>
      </c>
      <c r="C16120" t="s">
        <v>510</v>
      </c>
      <c r="D16120" t="s">
        <v>529</v>
      </c>
      <c r="E16120" t="s">
        <v>530</v>
      </c>
      <c r="F16120" t="s">
        <v>413</v>
      </c>
      <c r="G16120">
        <v>843</v>
      </c>
      <c r="H16120">
        <v>843</v>
      </c>
      <c r="I16120">
        <v>752</v>
      </c>
      <c r="J16120">
        <v>752</v>
      </c>
      <c r="K16120">
        <v>127</v>
      </c>
      <c r="L16120">
        <v>2</v>
      </c>
      <c r="M16120">
        <v>673</v>
      </c>
      <c r="N16120">
        <v>20</v>
      </c>
      <c r="O16120">
        <v>21</v>
      </c>
      <c r="P16120">
        <v>13</v>
      </c>
      <c r="Q16120">
        <v>4</v>
      </c>
    </row>
    <row r="16121" spans="1:17" x14ac:dyDescent="0.2">
      <c r="A16121" s="121">
        <v>44895</v>
      </c>
      <c r="B16121" t="s">
        <v>406</v>
      </c>
      <c r="C16121" t="s">
        <v>510</v>
      </c>
      <c r="D16121" t="s">
        <v>531</v>
      </c>
      <c r="E16121" t="s">
        <v>532</v>
      </c>
      <c r="F16121" t="s">
        <v>410</v>
      </c>
      <c r="G16121">
        <v>23</v>
      </c>
      <c r="I16121">
        <v>23</v>
      </c>
    </row>
    <row r="16122" spans="1:17" x14ac:dyDescent="0.2">
      <c r="A16122" s="121">
        <v>44895</v>
      </c>
      <c r="B16122" t="s">
        <v>406</v>
      </c>
      <c r="C16122" t="s">
        <v>510</v>
      </c>
      <c r="D16122" t="s">
        <v>533</v>
      </c>
      <c r="E16122" t="s">
        <v>534</v>
      </c>
      <c r="F16122" t="s">
        <v>413</v>
      </c>
      <c r="G16122">
        <v>2839</v>
      </c>
      <c r="H16122">
        <v>2839</v>
      </c>
      <c r="I16122">
        <v>2062</v>
      </c>
      <c r="J16122">
        <v>2062</v>
      </c>
      <c r="K16122">
        <v>734</v>
      </c>
      <c r="L16122">
        <v>1</v>
      </c>
      <c r="M16122">
        <v>1936</v>
      </c>
      <c r="N16122">
        <v>28</v>
      </c>
      <c r="O16122">
        <v>140</v>
      </c>
      <c r="P16122">
        <v>202</v>
      </c>
      <c r="Q16122">
        <v>62</v>
      </c>
    </row>
    <row r="16123" spans="1:17" x14ac:dyDescent="0.2">
      <c r="A16123" s="121">
        <v>44895</v>
      </c>
      <c r="B16123" t="s">
        <v>406</v>
      </c>
      <c r="C16123" t="s">
        <v>510</v>
      </c>
      <c r="D16123" t="s">
        <v>535</v>
      </c>
      <c r="E16123" t="s">
        <v>536</v>
      </c>
      <c r="F16123" t="s">
        <v>410</v>
      </c>
      <c r="G16123">
        <v>264</v>
      </c>
      <c r="I16123">
        <v>262</v>
      </c>
    </row>
    <row r="16124" spans="1:17" x14ac:dyDescent="0.2">
      <c r="A16124" s="121">
        <v>44895</v>
      </c>
      <c r="B16124" t="s">
        <v>406</v>
      </c>
      <c r="C16124" t="s">
        <v>510</v>
      </c>
      <c r="D16124" t="s">
        <v>539</v>
      </c>
      <c r="E16124" t="s">
        <v>540</v>
      </c>
      <c r="F16124" t="s">
        <v>413</v>
      </c>
      <c r="G16124">
        <v>638</v>
      </c>
      <c r="H16124">
        <v>638</v>
      </c>
      <c r="I16124">
        <v>547</v>
      </c>
      <c r="J16124">
        <v>547</v>
      </c>
      <c r="K16124">
        <v>93</v>
      </c>
      <c r="L16124">
        <v>0</v>
      </c>
      <c r="M16124">
        <v>498</v>
      </c>
      <c r="N16124">
        <v>25</v>
      </c>
      <c r="O16124">
        <v>22</v>
      </c>
      <c r="P16124">
        <v>7</v>
      </c>
      <c r="Q16124">
        <v>4</v>
      </c>
    </row>
    <row r="16125" spans="1:17" x14ac:dyDescent="0.2">
      <c r="A16125" s="121">
        <v>44895</v>
      </c>
      <c r="B16125" t="s">
        <v>406</v>
      </c>
      <c r="C16125" t="s">
        <v>510</v>
      </c>
      <c r="D16125" t="s">
        <v>543</v>
      </c>
      <c r="E16125" t="s">
        <v>544</v>
      </c>
      <c r="F16125" t="s">
        <v>410</v>
      </c>
      <c r="G16125">
        <v>1</v>
      </c>
      <c r="I16125">
        <v>1</v>
      </c>
    </row>
    <row r="16126" spans="1:17" x14ac:dyDescent="0.2">
      <c r="A16126" s="121">
        <v>44895</v>
      </c>
      <c r="B16126" t="s">
        <v>406</v>
      </c>
      <c r="C16126" t="s">
        <v>510</v>
      </c>
      <c r="D16126" t="s">
        <v>547</v>
      </c>
      <c r="E16126" t="s">
        <v>548</v>
      </c>
      <c r="F16126" t="s">
        <v>410</v>
      </c>
      <c r="G16126">
        <v>28</v>
      </c>
      <c r="I16126">
        <v>28</v>
      </c>
    </row>
    <row r="16127" spans="1:17" x14ac:dyDescent="0.2">
      <c r="A16127" s="121">
        <v>44895</v>
      </c>
      <c r="B16127" t="s">
        <v>406</v>
      </c>
      <c r="C16127" t="s">
        <v>510</v>
      </c>
      <c r="D16127" t="s">
        <v>616</v>
      </c>
      <c r="E16127" t="s">
        <v>617</v>
      </c>
      <c r="F16127" t="s">
        <v>410</v>
      </c>
      <c r="G16127">
        <v>315</v>
      </c>
      <c r="I16127">
        <v>315</v>
      </c>
    </row>
    <row r="16128" spans="1:17" x14ac:dyDescent="0.2">
      <c r="A16128" s="121">
        <v>44895</v>
      </c>
      <c r="B16128" t="s">
        <v>406</v>
      </c>
      <c r="C16128" t="s">
        <v>510</v>
      </c>
      <c r="D16128" t="s">
        <v>549</v>
      </c>
      <c r="E16128" t="s">
        <v>550</v>
      </c>
      <c r="F16128" t="s">
        <v>410</v>
      </c>
      <c r="G16128">
        <v>69</v>
      </c>
      <c r="I16128">
        <v>69</v>
      </c>
    </row>
    <row r="16129" spans="1:17" x14ac:dyDescent="0.2">
      <c r="A16129" s="121">
        <v>44895</v>
      </c>
      <c r="B16129" t="s">
        <v>406</v>
      </c>
      <c r="C16129" t="s">
        <v>510</v>
      </c>
      <c r="D16129" t="s">
        <v>625</v>
      </c>
      <c r="E16129" t="s">
        <v>626</v>
      </c>
      <c r="F16129" t="s">
        <v>410</v>
      </c>
      <c r="G16129">
        <v>75</v>
      </c>
      <c r="I16129">
        <v>75</v>
      </c>
    </row>
    <row r="16130" spans="1:17" x14ac:dyDescent="0.2">
      <c r="A16130" s="121">
        <v>44895</v>
      </c>
      <c r="B16130" t="s">
        <v>406</v>
      </c>
      <c r="C16130" t="s">
        <v>510</v>
      </c>
      <c r="D16130" t="s">
        <v>634</v>
      </c>
      <c r="E16130" t="s">
        <v>635</v>
      </c>
      <c r="F16130" t="s">
        <v>410</v>
      </c>
      <c r="G16130">
        <v>144</v>
      </c>
      <c r="I16130">
        <v>144</v>
      </c>
    </row>
    <row r="16131" spans="1:17" x14ac:dyDescent="0.2">
      <c r="A16131" s="121">
        <v>44895</v>
      </c>
      <c r="B16131" t="s">
        <v>406</v>
      </c>
      <c r="C16131" t="s">
        <v>551</v>
      </c>
      <c r="D16131" t="s">
        <v>552</v>
      </c>
      <c r="E16131" t="s">
        <v>553</v>
      </c>
      <c r="F16131" t="s">
        <v>413</v>
      </c>
      <c r="G16131">
        <v>5377</v>
      </c>
      <c r="H16131">
        <v>5377</v>
      </c>
      <c r="I16131">
        <v>3315</v>
      </c>
      <c r="J16131">
        <v>3315</v>
      </c>
      <c r="K16131">
        <v>1806</v>
      </c>
      <c r="L16131">
        <v>3</v>
      </c>
      <c r="M16131">
        <v>3427</v>
      </c>
      <c r="N16131">
        <v>98</v>
      </c>
      <c r="O16131">
        <v>43</v>
      </c>
      <c r="P16131">
        <v>577</v>
      </c>
      <c r="Q16131">
        <v>165</v>
      </c>
    </row>
    <row r="16132" spans="1:17" x14ac:dyDescent="0.2">
      <c r="A16132" s="121">
        <v>44895</v>
      </c>
      <c r="B16132" t="s">
        <v>406</v>
      </c>
      <c r="C16132" t="s">
        <v>551</v>
      </c>
      <c r="D16132" t="s">
        <v>558</v>
      </c>
      <c r="E16132" t="s">
        <v>559</v>
      </c>
      <c r="F16132" t="s">
        <v>413</v>
      </c>
      <c r="G16132">
        <v>4988</v>
      </c>
      <c r="H16132">
        <v>4988</v>
      </c>
      <c r="I16132">
        <v>2357</v>
      </c>
      <c r="J16132">
        <v>2357</v>
      </c>
      <c r="K16132">
        <v>1215</v>
      </c>
      <c r="L16132">
        <v>11</v>
      </c>
      <c r="M16132">
        <v>3638</v>
      </c>
      <c r="N16132">
        <v>88</v>
      </c>
      <c r="O16132">
        <v>36</v>
      </c>
      <c r="P16132">
        <v>1048</v>
      </c>
      <c r="Q16132">
        <v>473</v>
      </c>
    </row>
    <row r="16133" spans="1:17" x14ac:dyDescent="0.2">
      <c r="A16133" s="121">
        <v>44895</v>
      </c>
      <c r="B16133" t="s">
        <v>406</v>
      </c>
      <c r="C16133" t="s">
        <v>551</v>
      </c>
      <c r="D16133" t="s">
        <v>560</v>
      </c>
      <c r="E16133" t="s">
        <v>561</v>
      </c>
      <c r="F16133" t="s">
        <v>413</v>
      </c>
      <c r="G16133">
        <v>5744</v>
      </c>
      <c r="H16133">
        <v>5744</v>
      </c>
      <c r="I16133">
        <v>3256</v>
      </c>
      <c r="J16133">
        <v>3256</v>
      </c>
      <c r="K16133">
        <v>2029</v>
      </c>
      <c r="L16133">
        <v>8</v>
      </c>
      <c r="M16133">
        <v>3585</v>
      </c>
      <c r="N16133">
        <v>59</v>
      </c>
      <c r="O16133">
        <v>63</v>
      </c>
      <c r="P16133">
        <v>1041</v>
      </c>
      <c r="Q16133">
        <v>509</v>
      </c>
    </row>
    <row r="16134" spans="1:17" x14ac:dyDescent="0.2">
      <c r="A16134" s="121">
        <v>44895</v>
      </c>
      <c r="B16134" t="s">
        <v>406</v>
      </c>
      <c r="C16134" t="s">
        <v>562</v>
      </c>
      <c r="D16134" t="s">
        <v>563</v>
      </c>
      <c r="E16134" t="s">
        <v>564</v>
      </c>
      <c r="F16134" t="s">
        <v>410</v>
      </c>
      <c r="G16134">
        <v>3286</v>
      </c>
      <c r="H16134">
        <v>3286</v>
      </c>
      <c r="I16134">
        <v>1886</v>
      </c>
      <c r="J16134">
        <v>1886</v>
      </c>
      <c r="K16134">
        <v>1118</v>
      </c>
      <c r="L16134">
        <v>1</v>
      </c>
      <c r="M16134">
        <v>2144</v>
      </c>
      <c r="N16134">
        <v>10</v>
      </c>
      <c r="O16134">
        <v>13</v>
      </c>
      <c r="P16134">
        <v>524</v>
      </c>
      <c r="Q16134">
        <v>234</v>
      </c>
    </row>
    <row r="16135" spans="1:17" x14ac:dyDescent="0.2">
      <c r="A16135" s="121">
        <v>44895</v>
      </c>
      <c r="B16135" t="s">
        <v>406</v>
      </c>
      <c r="C16135" t="s">
        <v>562</v>
      </c>
      <c r="D16135" t="s">
        <v>565</v>
      </c>
      <c r="E16135" t="s">
        <v>566</v>
      </c>
      <c r="F16135" t="s">
        <v>413</v>
      </c>
      <c r="G16135">
        <v>4681</v>
      </c>
      <c r="H16135">
        <v>4681</v>
      </c>
      <c r="I16135">
        <v>3110</v>
      </c>
      <c r="J16135">
        <v>3110</v>
      </c>
      <c r="K16135">
        <v>880</v>
      </c>
      <c r="L16135">
        <v>3</v>
      </c>
      <c r="M16135">
        <v>3357</v>
      </c>
      <c r="N16135">
        <v>71</v>
      </c>
      <c r="O16135">
        <v>370</v>
      </c>
      <c r="P16135">
        <v>597</v>
      </c>
      <c r="Q16135">
        <v>312</v>
      </c>
    </row>
    <row r="16136" spans="1:17" x14ac:dyDescent="0.2">
      <c r="A16136" s="121">
        <v>44895</v>
      </c>
      <c r="B16136" t="s">
        <v>406</v>
      </c>
      <c r="C16136" t="s">
        <v>562</v>
      </c>
      <c r="D16136" t="s">
        <v>567</v>
      </c>
      <c r="E16136" t="s">
        <v>568</v>
      </c>
      <c r="F16136" t="s">
        <v>413</v>
      </c>
      <c r="G16136">
        <v>9949</v>
      </c>
      <c r="H16136">
        <v>9949</v>
      </c>
      <c r="I16136">
        <v>4106</v>
      </c>
      <c r="J16136">
        <v>4106</v>
      </c>
      <c r="K16136">
        <v>2670</v>
      </c>
      <c r="L16136">
        <v>3</v>
      </c>
      <c r="M16136">
        <v>6941</v>
      </c>
      <c r="N16136">
        <v>290</v>
      </c>
      <c r="O16136">
        <v>45</v>
      </c>
      <c r="P16136">
        <v>2419</v>
      </c>
      <c r="Q16136">
        <v>1170</v>
      </c>
    </row>
    <row r="16137" spans="1:17" x14ac:dyDescent="0.2">
      <c r="A16137" s="121">
        <v>44895</v>
      </c>
      <c r="B16137" t="s">
        <v>406</v>
      </c>
      <c r="C16137" t="s">
        <v>562</v>
      </c>
      <c r="D16137" t="s">
        <v>569</v>
      </c>
      <c r="E16137" t="s">
        <v>570</v>
      </c>
      <c r="F16137" t="s">
        <v>413</v>
      </c>
      <c r="G16137">
        <v>5691</v>
      </c>
      <c r="H16137">
        <v>5691</v>
      </c>
      <c r="I16137">
        <v>5212</v>
      </c>
      <c r="J16137">
        <v>5212</v>
      </c>
      <c r="K16137">
        <v>825</v>
      </c>
      <c r="L16137">
        <v>0</v>
      </c>
      <c r="M16137">
        <v>4783</v>
      </c>
      <c r="N16137">
        <v>43</v>
      </c>
      <c r="O16137">
        <v>40</v>
      </c>
      <c r="P16137">
        <v>15</v>
      </c>
      <c r="Q16137">
        <v>0</v>
      </c>
    </row>
    <row r="16138" spans="1:17" x14ac:dyDescent="0.2">
      <c r="A16138" s="121">
        <v>44895</v>
      </c>
      <c r="B16138" t="s">
        <v>406</v>
      </c>
      <c r="C16138" t="s">
        <v>571</v>
      </c>
      <c r="D16138" t="s">
        <v>572</v>
      </c>
      <c r="E16138" t="s">
        <v>627</v>
      </c>
      <c r="F16138" t="s">
        <v>413</v>
      </c>
      <c r="G16138">
        <v>599</v>
      </c>
      <c r="H16138">
        <v>599</v>
      </c>
      <c r="I16138">
        <v>538</v>
      </c>
      <c r="J16138">
        <v>538</v>
      </c>
      <c r="K16138">
        <v>124</v>
      </c>
      <c r="L16138">
        <v>3</v>
      </c>
      <c r="M16138">
        <v>462</v>
      </c>
      <c r="N16138">
        <v>3</v>
      </c>
      <c r="O16138">
        <v>7</v>
      </c>
      <c r="P16138">
        <v>3</v>
      </c>
      <c r="Q16138">
        <v>1</v>
      </c>
    </row>
    <row r="16139" spans="1:17" x14ac:dyDescent="0.2">
      <c r="A16139" s="121">
        <v>44895</v>
      </c>
      <c r="B16139" t="s">
        <v>406</v>
      </c>
      <c r="C16139" t="s">
        <v>574</v>
      </c>
      <c r="D16139" t="s">
        <v>575</v>
      </c>
      <c r="E16139" t="s">
        <v>576</v>
      </c>
      <c r="F16139" t="s">
        <v>413</v>
      </c>
      <c r="G16139">
        <v>609</v>
      </c>
      <c r="H16139">
        <v>609</v>
      </c>
      <c r="I16139">
        <v>560</v>
      </c>
      <c r="J16139">
        <v>560</v>
      </c>
      <c r="K16139">
        <v>122</v>
      </c>
      <c r="L16139">
        <v>1</v>
      </c>
      <c r="M16139">
        <v>471</v>
      </c>
      <c r="N16139">
        <v>7</v>
      </c>
      <c r="O16139">
        <v>8</v>
      </c>
      <c r="P16139">
        <v>0</v>
      </c>
      <c r="Q16139">
        <v>0</v>
      </c>
    </row>
    <row r="16140" spans="1:17" x14ac:dyDescent="0.2">
      <c r="A16140" s="121">
        <v>44895</v>
      </c>
      <c r="B16140" t="s">
        <v>406</v>
      </c>
      <c r="C16140" t="s">
        <v>577</v>
      </c>
      <c r="D16140" t="s">
        <v>578</v>
      </c>
      <c r="E16140" t="s">
        <v>579</v>
      </c>
      <c r="F16140" t="s">
        <v>413</v>
      </c>
      <c r="G16140">
        <v>4669</v>
      </c>
      <c r="H16140">
        <v>4669</v>
      </c>
      <c r="I16140">
        <v>4092</v>
      </c>
      <c r="J16140">
        <v>4092</v>
      </c>
      <c r="K16140">
        <v>1724</v>
      </c>
      <c r="L16140">
        <v>9</v>
      </c>
      <c r="M16140">
        <v>2511</v>
      </c>
      <c r="N16140">
        <v>337</v>
      </c>
      <c r="O16140">
        <v>88</v>
      </c>
      <c r="P16140">
        <v>39</v>
      </c>
      <c r="Q16140">
        <v>3</v>
      </c>
    </row>
    <row r="16141" spans="1:17" x14ac:dyDescent="0.2">
      <c r="A16141" s="121">
        <v>44895</v>
      </c>
      <c r="B16141" t="s">
        <v>406</v>
      </c>
      <c r="C16141" t="s">
        <v>577</v>
      </c>
      <c r="D16141" t="s">
        <v>580</v>
      </c>
      <c r="E16141" t="s">
        <v>581</v>
      </c>
      <c r="F16141" t="s">
        <v>413</v>
      </c>
      <c r="G16141">
        <v>1701</v>
      </c>
      <c r="H16141">
        <v>1701</v>
      </c>
      <c r="I16141">
        <v>1602</v>
      </c>
      <c r="J16141">
        <v>1602</v>
      </c>
      <c r="K16141">
        <v>225</v>
      </c>
      <c r="L16141">
        <v>1</v>
      </c>
      <c r="M16141">
        <v>1271</v>
      </c>
      <c r="N16141">
        <v>189</v>
      </c>
      <c r="O16141">
        <v>15</v>
      </c>
      <c r="P16141">
        <v>5</v>
      </c>
      <c r="Q16141">
        <v>1</v>
      </c>
    </row>
    <row r="16142" spans="1:17" x14ac:dyDescent="0.2">
      <c r="A16142" s="121">
        <v>44895</v>
      </c>
      <c r="B16142" t="s">
        <v>406</v>
      </c>
      <c r="C16142" t="s">
        <v>577</v>
      </c>
      <c r="D16142" t="s">
        <v>586</v>
      </c>
      <c r="E16142" t="s">
        <v>587</v>
      </c>
      <c r="F16142" t="s">
        <v>410</v>
      </c>
      <c r="G16142">
        <v>567</v>
      </c>
      <c r="H16142">
        <v>567</v>
      </c>
      <c r="I16142">
        <v>567</v>
      </c>
      <c r="J16142">
        <v>567</v>
      </c>
      <c r="K16142">
        <v>0</v>
      </c>
      <c r="L16142">
        <v>0</v>
      </c>
      <c r="M16142">
        <v>531</v>
      </c>
      <c r="N16142">
        <v>35</v>
      </c>
      <c r="O16142">
        <v>1</v>
      </c>
      <c r="P16142">
        <v>0</v>
      </c>
      <c r="Q16142">
        <v>0</v>
      </c>
    </row>
    <row r="16143" spans="1:17" x14ac:dyDescent="0.2">
      <c r="A16143" s="121">
        <v>44895</v>
      </c>
      <c r="B16143" t="s">
        <v>406</v>
      </c>
      <c r="C16143" t="s">
        <v>577</v>
      </c>
      <c r="D16143" t="s">
        <v>590</v>
      </c>
      <c r="E16143" t="s">
        <v>591</v>
      </c>
      <c r="F16143" t="s">
        <v>410</v>
      </c>
      <c r="G16143">
        <v>276</v>
      </c>
      <c r="H16143">
        <v>276</v>
      </c>
      <c r="I16143">
        <v>276</v>
      </c>
      <c r="J16143">
        <v>276</v>
      </c>
      <c r="K16143">
        <v>0</v>
      </c>
      <c r="L16143">
        <v>0</v>
      </c>
      <c r="M16143">
        <v>273</v>
      </c>
      <c r="N16143">
        <v>3</v>
      </c>
      <c r="O16143">
        <v>0</v>
      </c>
      <c r="P16143">
        <v>0</v>
      </c>
      <c r="Q16143">
        <v>0</v>
      </c>
    </row>
    <row r="16144" spans="1:17" x14ac:dyDescent="0.2">
      <c r="A16144" s="121">
        <v>44895</v>
      </c>
      <c r="B16144" t="s">
        <v>406</v>
      </c>
      <c r="C16144" t="s">
        <v>594</v>
      </c>
      <c r="D16144" t="s">
        <v>595</v>
      </c>
      <c r="E16144" t="s">
        <v>596</v>
      </c>
      <c r="F16144" t="s">
        <v>410</v>
      </c>
      <c r="G16144">
        <v>33</v>
      </c>
      <c r="I16144">
        <v>33</v>
      </c>
    </row>
    <row r="16145" spans="1:17" x14ac:dyDescent="0.2">
      <c r="A16145" s="121">
        <v>44895</v>
      </c>
      <c r="B16145" t="s">
        <v>406</v>
      </c>
      <c r="C16145" t="s">
        <v>594</v>
      </c>
      <c r="D16145" t="s">
        <v>597</v>
      </c>
      <c r="E16145" t="s">
        <v>598</v>
      </c>
      <c r="F16145" t="s">
        <v>413</v>
      </c>
      <c r="G16145">
        <v>512</v>
      </c>
      <c r="H16145">
        <v>512</v>
      </c>
      <c r="I16145">
        <v>499</v>
      </c>
      <c r="J16145">
        <v>499</v>
      </c>
      <c r="K16145">
        <v>171</v>
      </c>
      <c r="L16145">
        <v>1</v>
      </c>
      <c r="M16145">
        <v>316</v>
      </c>
      <c r="N16145">
        <v>11</v>
      </c>
      <c r="O16145">
        <v>13</v>
      </c>
      <c r="P16145">
        <v>1</v>
      </c>
      <c r="Q16145">
        <v>0</v>
      </c>
    </row>
    <row r="16146" spans="1:17" x14ac:dyDescent="0.2">
      <c r="A16146" s="121">
        <v>44895</v>
      </c>
      <c r="B16146" t="s">
        <v>406</v>
      </c>
      <c r="C16146" t="s">
        <v>594</v>
      </c>
      <c r="D16146" t="s">
        <v>599</v>
      </c>
      <c r="E16146" t="s">
        <v>600</v>
      </c>
      <c r="F16146" t="s">
        <v>410</v>
      </c>
      <c r="G16146">
        <v>97</v>
      </c>
      <c r="H16146">
        <v>97</v>
      </c>
      <c r="I16146">
        <v>96</v>
      </c>
      <c r="J16146">
        <v>96</v>
      </c>
      <c r="K16146">
        <v>4</v>
      </c>
      <c r="L16146">
        <v>1</v>
      </c>
      <c r="M16146">
        <v>92</v>
      </c>
      <c r="N16146">
        <v>0</v>
      </c>
      <c r="O16146">
        <v>0</v>
      </c>
      <c r="P16146">
        <v>0</v>
      </c>
      <c r="Q16146">
        <v>0</v>
      </c>
    </row>
    <row r="16147" spans="1:17" x14ac:dyDescent="0.2">
      <c r="A16147" s="121">
        <v>44926</v>
      </c>
      <c r="B16147" t="s">
        <v>406</v>
      </c>
      <c r="C16147" t="s">
        <v>407</v>
      </c>
      <c r="D16147" t="s">
        <v>408</v>
      </c>
      <c r="E16147" t="s">
        <v>409</v>
      </c>
      <c r="F16147" t="s">
        <v>410</v>
      </c>
      <c r="G16147">
        <v>165</v>
      </c>
      <c r="I16147">
        <v>162</v>
      </c>
    </row>
    <row r="16148" spans="1:17" x14ac:dyDescent="0.2">
      <c r="A16148" s="121">
        <v>44926</v>
      </c>
      <c r="B16148" t="s">
        <v>406</v>
      </c>
      <c r="C16148" t="s">
        <v>407</v>
      </c>
      <c r="D16148" t="s">
        <v>601</v>
      </c>
      <c r="E16148" t="s">
        <v>602</v>
      </c>
      <c r="F16148" t="s">
        <v>410</v>
      </c>
      <c r="G16148">
        <v>72</v>
      </c>
      <c r="I16148">
        <v>72</v>
      </c>
    </row>
    <row r="16149" spans="1:17" x14ac:dyDescent="0.2">
      <c r="A16149" s="121">
        <v>44926</v>
      </c>
      <c r="B16149" t="s">
        <v>406</v>
      </c>
      <c r="C16149" t="s">
        <v>407</v>
      </c>
      <c r="D16149" t="s">
        <v>411</v>
      </c>
      <c r="E16149" t="s">
        <v>412</v>
      </c>
      <c r="F16149" t="s">
        <v>413</v>
      </c>
      <c r="G16149">
        <v>4898</v>
      </c>
      <c r="H16149">
        <v>4898</v>
      </c>
      <c r="I16149">
        <v>3128</v>
      </c>
      <c r="J16149">
        <v>3128</v>
      </c>
      <c r="K16149">
        <v>1535</v>
      </c>
      <c r="L16149">
        <v>10</v>
      </c>
      <c r="M16149">
        <v>2967</v>
      </c>
      <c r="N16149">
        <v>37</v>
      </c>
      <c r="O16149">
        <v>349</v>
      </c>
      <c r="P16149">
        <v>824</v>
      </c>
      <c r="Q16149">
        <v>538</v>
      </c>
    </row>
    <row r="16150" spans="1:17" x14ac:dyDescent="0.2">
      <c r="A16150" s="121">
        <v>44926</v>
      </c>
      <c r="B16150" t="s">
        <v>406</v>
      </c>
      <c r="C16150" t="s">
        <v>407</v>
      </c>
      <c r="D16150" t="s">
        <v>416</v>
      </c>
      <c r="E16150" t="s">
        <v>417</v>
      </c>
      <c r="F16150" t="s">
        <v>413</v>
      </c>
      <c r="G16150">
        <v>2561</v>
      </c>
      <c r="H16150">
        <v>2561</v>
      </c>
      <c r="I16150">
        <v>1521</v>
      </c>
      <c r="J16150">
        <v>1521</v>
      </c>
      <c r="K16150">
        <v>597</v>
      </c>
      <c r="L16150">
        <v>6</v>
      </c>
      <c r="M16150">
        <v>1812</v>
      </c>
      <c r="N16150">
        <v>82</v>
      </c>
      <c r="O16150">
        <v>64</v>
      </c>
      <c r="P16150">
        <v>509</v>
      </c>
      <c r="Q16150">
        <v>320</v>
      </c>
    </row>
    <row r="16151" spans="1:17" x14ac:dyDescent="0.2">
      <c r="A16151" s="121">
        <v>44926</v>
      </c>
      <c r="B16151" t="s">
        <v>406</v>
      </c>
      <c r="C16151" t="s">
        <v>407</v>
      </c>
      <c r="D16151" t="s">
        <v>618</v>
      </c>
      <c r="E16151" t="s">
        <v>619</v>
      </c>
      <c r="F16151" t="s">
        <v>410</v>
      </c>
      <c r="G16151">
        <v>40</v>
      </c>
      <c r="I16151">
        <v>40</v>
      </c>
    </row>
    <row r="16152" spans="1:17" x14ac:dyDescent="0.2">
      <c r="A16152" s="121">
        <v>44926</v>
      </c>
      <c r="B16152" t="s">
        <v>406</v>
      </c>
      <c r="C16152" t="s">
        <v>418</v>
      </c>
      <c r="D16152" t="s">
        <v>427</v>
      </c>
      <c r="E16152" t="s">
        <v>428</v>
      </c>
      <c r="F16152" t="s">
        <v>413</v>
      </c>
      <c r="G16152">
        <v>2487</v>
      </c>
      <c r="H16152">
        <v>2487</v>
      </c>
      <c r="I16152">
        <v>1579</v>
      </c>
      <c r="J16152">
        <v>1579</v>
      </c>
      <c r="K16152">
        <v>739</v>
      </c>
      <c r="L16152">
        <v>7</v>
      </c>
      <c r="M16152">
        <v>1635</v>
      </c>
      <c r="N16152">
        <v>102</v>
      </c>
      <c r="O16152">
        <v>4</v>
      </c>
      <c r="P16152">
        <v>428</v>
      </c>
      <c r="Q16152">
        <v>302</v>
      </c>
    </row>
    <row r="16153" spans="1:17" x14ac:dyDescent="0.2">
      <c r="A16153" s="121">
        <v>44926</v>
      </c>
      <c r="B16153" t="s">
        <v>406</v>
      </c>
      <c r="C16153" t="s">
        <v>429</v>
      </c>
      <c r="D16153" t="s">
        <v>438</v>
      </c>
      <c r="E16153" t="s">
        <v>439</v>
      </c>
      <c r="F16153" t="s">
        <v>413</v>
      </c>
      <c r="G16153">
        <v>1314</v>
      </c>
      <c r="H16153">
        <v>1314</v>
      </c>
      <c r="I16153">
        <v>1135</v>
      </c>
      <c r="J16153">
        <v>1135</v>
      </c>
      <c r="K16153">
        <v>75</v>
      </c>
      <c r="L16153">
        <v>2</v>
      </c>
      <c r="M16153">
        <v>1078</v>
      </c>
      <c r="N16153">
        <v>84</v>
      </c>
      <c r="O16153">
        <v>75</v>
      </c>
      <c r="P16153">
        <v>33</v>
      </c>
      <c r="Q16153">
        <v>7</v>
      </c>
    </row>
    <row r="16154" spans="1:17" x14ac:dyDescent="0.2">
      <c r="A16154" s="121">
        <v>44926</v>
      </c>
      <c r="B16154" t="s">
        <v>406</v>
      </c>
      <c r="C16154" t="s">
        <v>429</v>
      </c>
      <c r="D16154" t="s">
        <v>440</v>
      </c>
      <c r="E16154" t="s">
        <v>441</v>
      </c>
      <c r="F16154" t="s">
        <v>413</v>
      </c>
      <c r="G16154">
        <v>2798</v>
      </c>
      <c r="H16154">
        <v>2798</v>
      </c>
      <c r="I16154">
        <v>1977</v>
      </c>
      <c r="J16154">
        <v>1977</v>
      </c>
      <c r="K16154">
        <v>813</v>
      </c>
      <c r="L16154">
        <v>7</v>
      </c>
      <c r="M16154">
        <v>1905</v>
      </c>
      <c r="N16154">
        <v>20</v>
      </c>
      <c r="O16154">
        <v>53</v>
      </c>
      <c r="P16154">
        <v>262</v>
      </c>
      <c r="Q16154">
        <v>117</v>
      </c>
    </row>
    <row r="16155" spans="1:17" x14ac:dyDescent="0.2">
      <c r="A16155" s="121">
        <v>44926</v>
      </c>
      <c r="B16155" t="s">
        <v>406</v>
      </c>
      <c r="C16155" t="s">
        <v>442</v>
      </c>
      <c r="D16155" t="s">
        <v>443</v>
      </c>
      <c r="E16155" t="s">
        <v>444</v>
      </c>
      <c r="F16155" t="s">
        <v>413</v>
      </c>
      <c r="G16155">
        <v>5666</v>
      </c>
      <c r="H16155">
        <v>5666</v>
      </c>
      <c r="I16155">
        <v>3098</v>
      </c>
      <c r="J16155">
        <v>3098</v>
      </c>
      <c r="K16155">
        <v>1853</v>
      </c>
      <c r="L16155">
        <v>9</v>
      </c>
      <c r="M16155">
        <v>3541</v>
      </c>
      <c r="N16155">
        <v>97</v>
      </c>
      <c r="O16155">
        <v>166</v>
      </c>
      <c r="P16155">
        <v>921</v>
      </c>
      <c r="Q16155">
        <v>374</v>
      </c>
    </row>
    <row r="16156" spans="1:17" x14ac:dyDescent="0.2">
      <c r="A16156" s="121">
        <v>44926</v>
      </c>
      <c r="B16156" t="s">
        <v>406</v>
      </c>
      <c r="C16156" t="s">
        <v>442</v>
      </c>
      <c r="D16156" t="s">
        <v>445</v>
      </c>
      <c r="E16156" t="s">
        <v>446</v>
      </c>
      <c r="F16156" t="s">
        <v>410</v>
      </c>
      <c r="G16156">
        <v>152</v>
      </c>
      <c r="H16156">
        <v>152</v>
      </c>
      <c r="I16156">
        <v>152</v>
      </c>
      <c r="J16156">
        <v>152</v>
      </c>
      <c r="K16156">
        <v>5</v>
      </c>
      <c r="L16156">
        <v>0</v>
      </c>
      <c r="M16156">
        <v>146</v>
      </c>
      <c r="N16156">
        <v>0</v>
      </c>
      <c r="O16156">
        <v>1</v>
      </c>
      <c r="P16156">
        <v>0</v>
      </c>
      <c r="Q16156">
        <v>0</v>
      </c>
    </row>
    <row r="16157" spans="1:17" x14ac:dyDescent="0.2">
      <c r="A16157" s="121">
        <v>44926</v>
      </c>
      <c r="B16157" t="s">
        <v>406</v>
      </c>
      <c r="C16157" t="s">
        <v>442</v>
      </c>
      <c r="D16157" t="s">
        <v>447</v>
      </c>
      <c r="E16157" t="s">
        <v>448</v>
      </c>
      <c r="F16157" t="s">
        <v>410</v>
      </c>
      <c r="G16157">
        <v>179</v>
      </c>
      <c r="H16157">
        <v>179</v>
      </c>
      <c r="I16157">
        <v>177</v>
      </c>
      <c r="J16157">
        <v>177</v>
      </c>
      <c r="K16157">
        <v>3</v>
      </c>
      <c r="L16157">
        <v>0</v>
      </c>
      <c r="M16157">
        <v>175</v>
      </c>
      <c r="N16157">
        <v>1</v>
      </c>
      <c r="O16157">
        <v>0</v>
      </c>
      <c r="P16157">
        <v>0</v>
      </c>
      <c r="Q16157">
        <v>0</v>
      </c>
    </row>
    <row r="16158" spans="1:17" x14ac:dyDescent="0.2">
      <c r="A16158" s="121">
        <v>44926</v>
      </c>
      <c r="B16158" t="s">
        <v>406</v>
      </c>
      <c r="C16158" t="s">
        <v>442</v>
      </c>
      <c r="D16158" t="s">
        <v>449</v>
      </c>
      <c r="E16158" t="s">
        <v>624</v>
      </c>
      <c r="F16158" t="s">
        <v>410</v>
      </c>
      <c r="G16158">
        <v>996</v>
      </c>
      <c r="H16158">
        <v>996</v>
      </c>
      <c r="I16158">
        <v>992</v>
      </c>
      <c r="J16158">
        <v>992</v>
      </c>
      <c r="K16158">
        <v>5</v>
      </c>
      <c r="L16158">
        <v>0</v>
      </c>
      <c r="M16158">
        <v>929</v>
      </c>
      <c r="N16158">
        <v>52</v>
      </c>
      <c r="O16158">
        <v>10</v>
      </c>
      <c r="P16158">
        <v>2</v>
      </c>
      <c r="Q16158">
        <v>1</v>
      </c>
    </row>
    <row r="16159" spans="1:17" x14ac:dyDescent="0.2">
      <c r="A16159" s="121">
        <v>44926</v>
      </c>
      <c r="B16159" t="s">
        <v>406</v>
      </c>
      <c r="C16159" t="s">
        <v>451</v>
      </c>
      <c r="D16159" t="s">
        <v>454</v>
      </c>
      <c r="E16159" t="s">
        <v>621</v>
      </c>
      <c r="F16159" t="s">
        <v>410</v>
      </c>
      <c r="G16159">
        <v>1395</v>
      </c>
      <c r="H16159">
        <v>1395</v>
      </c>
      <c r="I16159">
        <v>1394</v>
      </c>
      <c r="J16159">
        <v>1394</v>
      </c>
      <c r="K16159">
        <v>8</v>
      </c>
      <c r="L16159">
        <v>0</v>
      </c>
      <c r="M16159">
        <v>1251</v>
      </c>
      <c r="N16159">
        <v>0</v>
      </c>
      <c r="O16159">
        <v>136</v>
      </c>
      <c r="P16159">
        <v>0</v>
      </c>
      <c r="Q16159">
        <v>0</v>
      </c>
    </row>
    <row r="16160" spans="1:17" x14ac:dyDescent="0.2">
      <c r="A16160" s="121">
        <v>44926</v>
      </c>
      <c r="B16160" t="s">
        <v>406</v>
      </c>
      <c r="C16160" t="s">
        <v>451</v>
      </c>
      <c r="D16160" t="s">
        <v>622</v>
      </c>
      <c r="E16160" t="s">
        <v>623</v>
      </c>
      <c r="F16160" t="s">
        <v>413</v>
      </c>
      <c r="G16160">
        <v>4905</v>
      </c>
      <c r="H16160">
        <v>4905</v>
      </c>
      <c r="I16160">
        <v>2060</v>
      </c>
      <c r="J16160">
        <v>2060</v>
      </c>
      <c r="K16160">
        <v>1552</v>
      </c>
      <c r="L16160">
        <v>27</v>
      </c>
      <c r="M16160">
        <v>2960</v>
      </c>
      <c r="N16160">
        <v>42</v>
      </c>
      <c r="O16160">
        <v>324</v>
      </c>
      <c r="P16160">
        <v>1260</v>
      </c>
      <c r="Q16160">
        <v>649</v>
      </c>
    </row>
    <row r="16161" spans="1:17" x14ac:dyDescent="0.2">
      <c r="A16161" s="121">
        <v>44926</v>
      </c>
      <c r="B16161" t="s">
        <v>406</v>
      </c>
      <c r="C16161" t="s">
        <v>456</v>
      </c>
      <c r="D16161" t="s">
        <v>457</v>
      </c>
      <c r="E16161" t="s">
        <v>458</v>
      </c>
      <c r="F16161" t="s">
        <v>413</v>
      </c>
      <c r="G16161">
        <v>4447</v>
      </c>
      <c r="H16161">
        <v>4447</v>
      </c>
      <c r="I16161">
        <v>1917</v>
      </c>
      <c r="J16161">
        <v>1917</v>
      </c>
      <c r="K16161">
        <v>1487</v>
      </c>
      <c r="L16161">
        <v>18</v>
      </c>
      <c r="M16161">
        <v>2778</v>
      </c>
      <c r="N16161">
        <v>15</v>
      </c>
      <c r="O16161">
        <v>149</v>
      </c>
      <c r="P16161">
        <v>1122</v>
      </c>
      <c r="Q16161">
        <v>288</v>
      </c>
    </row>
    <row r="16162" spans="1:17" x14ac:dyDescent="0.2">
      <c r="A16162" s="121">
        <v>44926</v>
      </c>
      <c r="B16162" t="s">
        <v>406</v>
      </c>
      <c r="C16162" t="s">
        <v>456</v>
      </c>
      <c r="D16162" t="s">
        <v>459</v>
      </c>
      <c r="E16162" t="s">
        <v>460</v>
      </c>
      <c r="F16162" t="s">
        <v>413</v>
      </c>
      <c r="G16162">
        <v>1591</v>
      </c>
      <c r="H16162">
        <v>1591</v>
      </c>
      <c r="I16162">
        <v>1225</v>
      </c>
      <c r="J16162">
        <v>1225</v>
      </c>
      <c r="K16162">
        <v>176</v>
      </c>
      <c r="L16162">
        <v>0</v>
      </c>
      <c r="M16162">
        <v>1298</v>
      </c>
      <c r="N16162">
        <v>2</v>
      </c>
      <c r="O16162">
        <v>115</v>
      </c>
      <c r="P16162">
        <v>27</v>
      </c>
      <c r="Q16162">
        <v>3</v>
      </c>
    </row>
    <row r="16163" spans="1:17" x14ac:dyDescent="0.2">
      <c r="A16163" s="121">
        <v>44926</v>
      </c>
      <c r="B16163" t="s">
        <v>406</v>
      </c>
      <c r="C16163" t="s">
        <v>456</v>
      </c>
      <c r="D16163" t="s">
        <v>467</v>
      </c>
      <c r="E16163" t="s">
        <v>468</v>
      </c>
      <c r="F16163" t="s">
        <v>410</v>
      </c>
      <c r="G16163">
        <v>744</v>
      </c>
      <c r="I16163">
        <v>740</v>
      </c>
    </row>
    <row r="16164" spans="1:17" x14ac:dyDescent="0.2">
      <c r="A16164" s="121">
        <v>44926</v>
      </c>
      <c r="B16164" t="s">
        <v>406</v>
      </c>
      <c r="C16164" t="s">
        <v>456</v>
      </c>
      <c r="D16164" t="s">
        <v>469</v>
      </c>
      <c r="E16164" t="s">
        <v>470</v>
      </c>
      <c r="F16164" t="s">
        <v>410</v>
      </c>
      <c r="G16164">
        <v>626</v>
      </c>
      <c r="I16164">
        <v>626</v>
      </c>
    </row>
    <row r="16165" spans="1:17" x14ac:dyDescent="0.2">
      <c r="A16165" s="121">
        <v>44926</v>
      </c>
      <c r="B16165" t="s">
        <v>406</v>
      </c>
      <c r="C16165" t="s">
        <v>456</v>
      </c>
      <c r="D16165" t="s">
        <v>471</v>
      </c>
      <c r="E16165" t="s">
        <v>472</v>
      </c>
      <c r="F16165" t="s">
        <v>410</v>
      </c>
      <c r="G16165">
        <v>385</v>
      </c>
      <c r="I16165">
        <v>381</v>
      </c>
    </row>
    <row r="16166" spans="1:17" x14ac:dyDescent="0.2">
      <c r="A16166" s="121">
        <v>44926</v>
      </c>
      <c r="B16166" t="s">
        <v>406</v>
      </c>
      <c r="C16166" t="s">
        <v>456</v>
      </c>
      <c r="D16166" t="s">
        <v>475</v>
      </c>
      <c r="E16166" t="s">
        <v>476</v>
      </c>
      <c r="F16166" t="s">
        <v>410</v>
      </c>
      <c r="G16166">
        <v>75</v>
      </c>
      <c r="I16166">
        <v>75</v>
      </c>
    </row>
    <row r="16167" spans="1:17" x14ac:dyDescent="0.2">
      <c r="A16167" s="121">
        <v>44926</v>
      </c>
      <c r="B16167" t="s">
        <v>406</v>
      </c>
      <c r="C16167" t="s">
        <v>456</v>
      </c>
      <c r="D16167" t="s">
        <v>477</v>
      </c>
      <c r="E16167" t="s">
        <v>478</v>
      </c>
      <c r="F16167" t="s">
        <v>413</v>
      </c>
      <c r="G16167">
        <v>2390</v>
      </c>
      <c r="H16167">
        <v>2390</v>
      </c>
      <c r="I16167">
        <v>1593</v>
      </c>
      <c r="J16167">
        <v>1593</v>
      </c>
      <c r="K16167">
        <v>516</v>
      </c>
      <c r="L16167">
        <v>5</v>
      </c>
      <c r="M16167">
        <v>1829</v>
      </c>
      <c r="N16167">
        <v>24</v>
      </c>
      <c r="O16167">
        <v>16</v>
      </c>
      <c r="P16167">
        <v>321</v>
      </c>
      <c r="Q16167">
        <v>156</v>
      </c>
    </row>
    <row r="16168" spans="1:17" x14ac:dyDescent="0.2">
      <c r="A16168" s="121">
        <v>44926</v>
      </c>
      <c r="B16168" t="s">
        <v>406</v>
      </c>
      <c r="C16168" t="s">
        <v>491</v>
      </c>
      <c r="D16168" t="s">
        <v>492</v>
      </c>
      <c r="E16168" t="s">
        <v>493</v>
      </c>
      <c r="F16168" t="s">
        <v>410</v>
      </c>
      <c r="G16168">
        <v>1099</v>
      </c>
      <c r="H16168">
        <v>1099</v>
      </c>
      <c r="I16168">
        <v>930</v>
      </c>
      <c r="J16168">
        <v>930</v>
      </c>
      <c r="K16168">
        <v>143</v>
      </c>
      <c r="L16168">
        <v>1</v>
      </c>
      <c r="M16168">
        <v>886</v>
      </c>
      <c r="N16168">
        <v>60</v>
      </c>
      <c r="O16168">
        <v>9</v>
      </c>
      <c r="P16168">
        <v>46</v>
      </c>
      <c r="Q16168">
        <v>27</v>
      </c>
    </row>
    <row r="16169" spans="1:17" x14ac:dyDescent="0.2">
      <c r="A16169" s="121">
        <v>44926</v>
      </c>
      <c r="B16169" t="s">
        <v>406</v>
      </c>
      <c r="C16169" t="s">
        <v>491</v>
      </c>
      <c r="D16169" t="s">
        <v>494</v>
      </c>
      <c r="E16169" t="s">
        <v>495</v>
      </c>
      <c r="F16169" t="s">
        <v>413</v>
      </c>
      <c r="G16169">
        <v>2438</v>
      </c>
      <c r="H16169">
        <v>2438</v>
      </c>
      <c r="I16169">
        <v>1532</v>
      </c>
      <c r="J16169">
        <v>1532</v>
      </c>
      <c r="K16169">
        <v>597</v>
      </c>
      <c r="L16169">
        <v>12</v>
      </c>
      <c r="M16169">
        <v>1637</v>
      </c>
      <c r="N16169">
        <v>97</v>
      </c>
      <c r="O16169">
        <v>95</v>
      </c>
      <c r="P16169">
        <v>264</v>
      </c>
      <c r="Q16169">
        <v>73</v>
      </c>
    </row>
    <row r="16170" spans="1:17" x14ac:dyDescent="0.2">
      <c r="A16170" s="121">
        <v>44926</v>
      </c>
      <c r="B16170" t="s">
        <v>406</v>
      </c>
      <c r="C16170" t="s">
        <v>491</v>
      </c>
      <c r="D16170" t="s">
        <v>496</v>
      </c>
      <c r="E16170" t="s">
        <v>497</v>
      </c>
      <c r="F16170" t="s">
        <v>413</v>
      </c>
      <c r="G16170">
        <v>4489</v>
      </c>
      <c r="H16170">
        <v>4489</v>
      </c>
      <c r="I16170">
        <v>2110</v>
      </c>
      <c r="J16170">
        <v>2110</v>
      </c>
      <c r="K16170">
        <v>1301</v>
      </c>
      <c r="L16170">
        <v>16</v>
      </c>
      <c r="M16170">
        <v>2892</v>
      </c>
      <c r="N16170">
        <v>83</v>
      </c>
      <c r="O16170">
        <v>197</v>
      </c>
      <c r="P16170">
        <v>1106</v>
      </c>
      <c r="Q16170">
        <v>414</v>
      </c>
    </row>
    <row r="16171" spans="1:17" x14ac:dyDescent="0.2">
      <c r="A16171" s="121">
        <v>44926</v>
      </c>
      <c r="B16171" t="s">
        <v>406</v>
      </c>
      <c r="C16171" t="s">
        <v>491</v>
      </c>
      <c r="D16171" t="s">
        <v>498</v>
      </c>
      <c r="E16171" t="s">
        <v>499</v>
      </c>
      <c r="F16171" t="s">
        <v>413</v>
      </c>
      <c r="G16171">
        <v>6611</v>
      </c>
      <c r="H16171">
        <v>6611</v>
      </c>
      <c r="I16171">
        <v>3045</v>
      </c>
      <c r="J16171">
        <v>3045</v>
      </c>
      <c r="K16171">
        <v>1933</v>
      </c>
      <c r="L16171">
        <v>15</v>
      </c>
      <c r="M16171">
        <v>3935</v>
      </c>
      <c r="N16171">
        <v>140</v>
      </c>
      <c r="O16171">
        <v>588</v>
      </c>
      <c r="P16171">
        <v>1493</v>
      </c>
      <c r="Q16171">
        <v>534</v>
      </c>
    </row>
    <row r="16172" spans="1:17" x14ac:dyDescent="0.2">
      <c r="A16172" s="121">
        <v>44926</v>
      </c>
      <c r="B16172" t="s">
        <v>406</v>
      </c>
      <c r="C16172" t="s">
        <v>491</v>
      </c>
      <c r="D16172" t="s">
        <v>500</v>
      </c>
      <c r="E16172" t="s">
        <v>620</v>
      </c>
      <c r="F16172" t="s">
        <v>410</v>
      </c>
      <c r="G16172">
        <v>1630</v>
      </c>
      <c r="H16172">
        <v>1630</v>
      </c>
      <c r="I16172">
        <v>1611</v>
      </c>
      <c r="J16172">
        <v>1611</v>
      </c>
      <c r="K16172">
        <v>0</v>
      </c>
      <c r="L16172">
        <v>0</v>
      </c>
      <c r="M16172">
        <v>1431</v>
      </c>
      <c r="N16172">
        <v>60</v>
      </c>
      <c r="O16172">
        <v>139</v>
      </c>
      <c r="P16172">
        <v>0</v>
      </c>
      <c r="Q16172">
        <v>0</v>
      </c>
    </row>
    <row r="16173" spans="1:17" x14ac:dyDescent="0.2">
      <c r="A16173" s="121">
        <v>44926</v>
      </c>
      <c r="B16173" t="s">
        <v>406</v>
      </c>
      <c r="C16173" t="s">
        <v>491</v>
      </c>
      <c r="D16173" t="s">
        <v>502</v>
      </c>
      <c r="E16173" t="s">
        <v>615</v>
      </c>
      <c r="F16173" t="s">
        <v>410</v>
      </c>
      <c r="G16173">
        <v>2184</v>
      </c>
      <c r="H16173">
        <v>2184</v>
      </c>
      <c r="I16173">
        <v>2094</v>
      </c>
      <c r="J16173">
        <v>2094</v>
      </c>
      <c r="K16173">
        <v>0</v>
      </c>
      <c r="L16173">
        <v>2</v>
      </c>
      <c r="M16173">
        <v>1924</v>
      </c>
      <c r="N16173">
        <v>158</v>
      </c>
      <c r="O16173">
        <v>100</v>
      </c>
      <c r="P16173">
        <v>0</v>
      </c>
      <c r="Q16173">
        <v>0</v>
      </c>
    </row>
    <row r="16174" spans="1:17" x14ac:dyDescent="0.2">
      <c r="A16174" s="121">
        <v>44926</v>
      </c>
      <c r="B16174" t="s">
        <v>406</v>
      </c>
      <c r="C16174" t="s">
        <v>491</v>
      </c>
      <c r="D16174" t="s">
        <v>504</v>
      </c>
      <c r="E16174" t="s">
        <v>630</v>
      </c>
      <c r="F16174" t="s">
        <v>413</v>
      </c>
      <c r="G16174">
        <v>7410</v>
      </c>
      <c r="H16174">
        <v>7410</v>
      </c>
      <c r="I16174">
        <v>3549</v>
      </c>
      <c r="J16174">
        <v>3549</v>
      </c>
      <c r="K16174">
        <v>2632</v>
      </c>
      <c r="L16174">
        <v>14</v>
      </c>
      <c r="M16174">
        <v>4218</v>
      </c>
      <c r="N16174">
        <v>54</v>
      </c>
      <c r="O16174">
        <v>492</v>
      </c>
      <c r="P16174">
        <v>1453</v>
      </c>
      <c r="Q16174">
        <v>554</v>
      </c>
    </row>
    <row r="16175" spans="1:17" x14ac:dyDescent="0.2">
      <c r="A16175" s="121">
        <v>44926</v>
      </c>
      <c r="B16175" t="s">
        <v>406</v>
      </c>
      <c r="C16175" t="s">
        <v>491</v>
      </c>
      <c r="D16175" t="s">
        <v>506</v>
      </c>
      <c r="E16175" t="s">
        <v>507</v>
      </c>
      <c r="F16175" t="s">
        <v>413</v>
      </c>
      <c r="G16175">
        <v>8582</v>
      </c>
      <c r="H16175">
        <v>8582</v>
      </c>
      <c r="I16175">
        <v>5739</v>
      </c>
      <c r="J16175">
        <v>5739</v>
      </c>
      <c r="K16175">
        <v>1755</v>
      </c>
      <c r="L16175">
        <v>5</v>
      </c>
      <c r="M16175">
        <v>6671</v>
      </c>
      <c r="N16175">
        <v>2</v>
      </c>
      <c r="O16175">
        <v>149</v>
      </c>
      <c r="P16175">
        <v>252</v>
      </c>
      <c r="Q16175">
        <v>9</v>
      </c>
    </row>
    <row r="16176" spans="1:17" x14ac:dyDescent="0.2">
      <c r="A16176" s="121">
        <v>44926</v>
      </c>
      <c r="B16176" t="s">
        <v>406</v>
      </c>
      <c r="C16176" t="s">
        <v>510</v>
      </c>
      <c r="D16176" t="s">
        <v>513</v>
      </c>
      <c r="E16176" t="s">
        <v>514</v>
      </c>
      <c r="F16176" t="s">
        <v>410</v>
      </c>
      <c r="G16176">
        <v>674</v>
      </c>
      <c r="I16176">
        <v>663</v>
      </c>
    </row>
    <row r="16177" spans="1:17" x14ac:dyDescent="0.2">
      <c r="A16177" s="121">
        <v>44926</v>
      </c>
      <c r="B16177" t="s">
        <v>406</v>
      </c>
      <c r="C16177" t="s">
        <v>510</v>
      </c>
      <c r="D16177" t="s">
        <v>515</v>
      </c>
      <c r="E16177" t="s">
        <v>516</v>
      </c>
      <c r="F16177" t="s">
        <v>410</v>
      </c>
      <c r="G16177">
        <v>72</v>
      </c>
      <c r="I16177">
        <v>68</v>
      </c>
    </row>
    <row r="16178" spans="1:17" x14ac:dyDescent="0.2">
      <c r="A16178" s="121">
        <v>44926</v>
      </c>
      <c r="B16178" t="s">
        <v>406</v>
      </c>
      <c r="C16178" t="s">
        <v>510</v>
      </c>
      <c r="D16178" t="s">
        <v>519</v>
      </c>
      <c r="E16178" t="s">
        <v>520</v>
      </c>
      <c r="F16178" t="s">
        <v>410</v>
      </c>
      <c r="G16178">
        <v>339</v>
      </c>
      <c r="I16178">
        <v>326</v>
      </c>
    </row>
    <row r="16179" spans="1:17" x14ac:dyDescent="0.2">
      <c r="A16179" s="121">
        <v>44926</v>
      </c>
      <c r="B16179" t="s">
        <v>406</v>
      </c>
      <c r="C16179" t="s">
        <v>510</v>
      </c>
      <c r="D16179" t="s">
        <v>523</v>
      </c>
      <c r="E16179" t="s">
        <v>524</v>
      </c>
      <c r="F16179" t="s">
        <v>413</v>
      </c>
      <c r="G16179">
        <v>711</v>
      </c>
      <c r="H16179">
        <v>711</v>
      </c>
      <c r="I16179">
        <v>657</v>
      </c>
      <c r="J16179">
        <v>657</v>
      </c>
      <c r="K16179">
        <v>170</v>
      </c>
      <c r="L16179">
        <v>2</v>
      </c>
      <c r="M16179">
        <v>500</v>
      </c>
      <c r="N16179">
        <v>18</v>
      </c>
      <c r="O16179">
        <v>21</v>
      </c>
      <c r="P16179">
        <v>7</v>
      </c>
      <c r="Q16179">
        <v>2</v>
      </c>
    </row>
    <row r="16180" spans="1:17" x14ac:dyDescent="0.2">
      <c r="A16180" s="121">
        <v>44926</v>
      </c>
      <c r="B16180" t="s">
        <v>406</v>
      </c>
      <c r="C16180" t="s">
        <v>510</v>
      </c>
      <c r="D16180" t="s">
        <v>525</v>
      </c>
      <c r="E16180" t="s">
        <v>526</v>
      </c>
      <c r="F16180" t="s">
        <v>410</v>
      </c>
      <c r="G16180">
        <v>342</v>
      </c>
      <c r="H16180">
        <v>342</v>
      </c>
      <c r="I16180">
        <v>319</v>
      </c>
      <c r="J16180">
        <v>319</v>
      </c>
      <c r="K16180">
        <v>28</v>
      </c>
      <c r="L16180">
        <v>0</v>
      </c>
      <c r="M16180">
        <v>290</v>
      </c>
      <c r="N16180">
        <v>22</v>
      </c>
      <c r="O16180">
        <v>2</v>
      </c>
      <c r="P16180">
        <v>4</v>
      </c>
      <c r="Q16180">
        <v>2</v>
      </c>
    </row>
    <row r="16181" spans="1:17" x14ac:dyDescent="0.2">
      <c r="A16181" s="121">
        <v>44926</v>
      </c>
      <c r="B16181" t="s">
        <v>406</v>
      </c>
      <c r="C16181" t="s">
        <v>510</v>
      </c>
      <c r="D16181" t="s">
        <v>527</v>
      </c>
      <c r="E16181" t="s">
        <v>528</v>
      </c>
      <c r="F16181" t="s">
        <v>410</v>
      </c>
      <c r="G16181">
        <v>11</v>
      </c>
      <c r="I16181">
        <v>11</v>
      </c>
    </row>
    <row r="16182" spans="1:17" x14ac:dyDescent="0.2">
      <c r="A16182" s="121">
        <v>44926</v>
      </c>
      <c r="B16182" t="s">
        <v>406</v>
      </c>
      <c r="C16182" t="s">
        <v>510</v>
      </c>
      <c r="D16182" t="s">
        <v>529</v>
      </c>
      <c r="E16182" t="s">
        <v>530</v>
      </c>
      <c r="F16182" t="s">
        <v>413</v>
      </c>
      <c r="G16182">
        <v>800</v>
      </c>
      <c r="H16182">
        <v>800</v>
      </c>
      <c r="I16182">
        <v>703</v>
      </c>
      <c r="J16182">
        <v>703</v>
      </c>
      <c r="K16182">
        <v>121</v>
      </c>
      <c r="L16182">
        <v>1</v>
      </c>
      <c r="M16182">
        <v>636</v>
      </c>
      <c r="N16182">
        <v>20</v>
      </c>
      <c r="O16182">
        <v>22</v>
      </c>
      <c r="P16182">
        <v>18</v>
      </c>
      <c r="Q16182">
        <v>8</v>
      </c>
    </row>
    <row r="16183" spans="1:17" x14ac:dyDescent="0.2">
      <c r="A16183" s="121">
        <v>44926</v>
      </c>
      <c r="B16183" t="s">
        <v>406</v>
      </c>
      <c r="C16183" t="s">
        <v>510</v>
      </c>
      <c r="D16183" t="s">
        <v>531</v>
      </c>
      <c r="E16183" t="s">
        <v>532</v>
      </c>
      <c r="F16183" t="s">
        <v>410</v>
      </c>
      <c r="G16183">
        <v>22</v>
      </c>
      <c r="I16183">
        <v>22</v>
      </c>
    </row>
    <row r="16184" spans="1:17" x14ac:dyDescent="0.2">
      <c r="A16184" s="121">
        <v>44926</v>
      </c>
      <c r="B16184" t="s">
        <v>406</v>
      </c>
      <c r="C16184" t="s">
        <v>510</v>
      </c>
      <c r="D16184" t="s">
        <v>533</v>
      </c>
      <c r="E16184" t="s">
        <v>534</v>
      </c>
      <c r="F16184" t="s">
        <v>413</v>
      </c>
      <c r="G16184">
        <v>3140</v>
      </c>
      <c r="H16184">
        <v>3140</v>
      </c>
      <c r="I16184">
        <v>2248</v>
      </c>
      <c r="J16184">
        <v>2248</v>
      </c>
      <c r="K16184">
        <v>842</v>
      </c>
      <c r="L16184">
        <v>5</v>
      </c>
      <c r="M16184">
        <v>2040</v>
      </c>
      <c r="N16184">
        <v>21</v>
      </c>
      <c r="O16184">
        <v>232</v>
      </c>
      <c r="P16184">
        <v>206</v>
      </c>
      <c r="Q16184">
        <v>66</v>
      </c>
    </row>
    <row r="16185" spans="1:17" x14ac:dyDescent="0.2">
      <c r="A16185" s="121">
        <v>44926</v>
      </c>
      <c r="B16185" t="s">
        <v>406</v>
      </c>
      <c r="C16185" t="s">
        <v>510</v>
      </c>
      <c r="D16185" t="s">
        <v>535</v>
      </c>
      <c r="E16185" t="s">
        <v>536</v>
      </c>
      <c r="F16185" t="s">
        <v>410</v>
      </c>
      <c r="G16185">
        <v>271</v>
      </c>
      <c r="I16185">
        <v>271</v>
      </c>
    </row>
    <row r="16186" spans="1:17" x14ac:dyDescent="0.2">
      <c r="A16186" s="121">
        <v>44926</v>
      </c>
      <c r="B16186" t="s">
        <v>406</v>
      </c>
      <c r="C16186" t="s">
        <v>510</v>
      </c>
      <c r="D16186" t="s">
        <v>539</v>
      </c>
      <c r="E16186" t="s">
        <v>540</v>
      </c>
      <c r="F16186" t="s">
        <v>413</v>
      </c>
      <c r="G16186">
        <v>741</v>
      </c>
      <c r="H16186">
        <v>741</v>
      </c>
      <c r="I16186">
        <v>622</v>
      </c>
      <c r="J16186">
        <v>622</v>
      </c>
      <c r="K16186">
        <v>110</v>
      </c>
      <c r="L16186">
        <v>1</v>
      </c>
      <c r="M16186">
        <v>564</v>
      </c>
      <c r="N16186">
        <v>38</v>
      </c>
      <c r="O16186">
        <v>28</v>
      </c>
      <c r="P16186">
        <v>23</v>
      </c>
      <c r="Q16186">
        <v>3</v>
      </c>
    </row>
    <row r="16187" spans="1:17" x14ac:dyDescent="0.2">
      <c r="A16187" s="121">
        <v>44926</v>
      </c>
      <c r="B16187" t="s">
        <v>406</v>
      </c>
      <c r="C16187" t="s">
        <v>510</v>
      </c>
      <c r="D16187" t="s">
        <v>547</v>
      </c>
      <c r="E16187" t="s">
        <v>548</v>
      </c>
      <c r="F16187" t="s">
        <v>410</v>
      </c>
      <c r="G16187">
        <v>27</v>
      </c>
      <c r="I16187">
        <v>27</v>
      </c>
    </row>
    <row r="16188" spans="1:17" x14ac:dyDescent="0.2">
      <c r="A16188" s="121">
        <v>44926</v>
      </c>
      <c r="B16188" t="s">
        <v>406</v>
      </c>
      <c r="C16188" t="s">
        <v>510</v>
      </c>
      <c r="D16188" t="s">
        <v>616</v>
      </c>
      <c r="E16188" t="s">
        <v>617</v>
      </c>
      <c r="F16188" t="s">
        <v>410</v>
      </c>
      <c r="G16188">
        <v>318</v>
      </c>
      <c r="I16188">
        <v>317</v>
      </c>
    </row>
    <row r="16189" spans="1:17" x14ac:dyDescent="0.2">
      <c r="A16189" s="121">
        <v>44926</v>
      </c>
      <c r="B16189" t="s">
        <v>406</v>
      </c>
      <c r="C16189" t="s">
        <v>510</v>
      </c>
      <c r="D16189" t="s">
        <v>549</v>
      </c>
      <c r="E16189" t="s">
        <v>550</v>
      </c>
      <c r="F16189" t="s">
        <v>410</v>
      </c>
      <c r="G16189">
        <v>82</v>
      </c>
      <c r="I16189">
        <v>82</v>
      </c>
    </row>
    <row r="16190" spans="1:17" x14ac:dyDescent="0.2">
      <c r="A16190" s="121">
        <v>44926</v>
      </c>
      <c r="B16190" t="s">
        <v>406</v>
      </c>
      <c r="C16190" t="s">
        <v>510</v>
      </c>
      <c r="D16190" t="s">
        <v>625</v>
      </c>
      <c r="E16190" t="s">
        <v>626</v>
      </c>
      <c r="F16190" t="s">
        <v>410</v>
      </c>
      <c r="G16190">
        <v>80</v>
      </c>
      <c r="I16190">
        <v>78</v>
      </c>
    </row>
    <row r="16191" spans="1:17" x14ac:dyDescent="0.2">
      <c r="A16191" s="121">
        <v>44926</v>
      </c>
      <c r="B16191" t="s">
        <v>406</v>
      </c>
      <c r="C16191" t="s">
        <v>510</v>
      </c>
      <c r="D16191" t="s">
        <v>634</v>
      </c>
      <c r="E16191" t="s">
        <v>635</v>
      </c>
      <c r="F16191" t="s">
        <v>410</v>
      </c>
      <c r="G16191">
        <v>167</v>
      </c>
      <c r="I16191">
        <v>167</v>
      </c>
    </row>
    <row r="16192" spans="1:17" x14ac:dyDescent="0.2">
      <c r="A16192" s="121">
        <v>44926</v>
      </c>
      <c r="B16192" t="s">
        <v>406</v>
      </c>
      <c r="C16192" t="s">
        <v>551</v>
      </c>
      <c r="D16192" t="s">
        <v>552</v>
      </c>
      <c r="E16192" t="s">
        <v>553</v>
      </c>
      <c r="F16192" t="s">
        <v>413</v>
      </c>
      <c r="G16192">
        <v>5289</v>
      </c>
      <c r="H16192">
        <v>5289</v>
      </c>
      <c r="I16192">
        <v>2449</v>
      </c>
      <c r="J16192">
        <v>2449</v>
      </c>
      <c r="K16192">
        <v>1721</v>
      </c>
      <c r="L16192">
        <v>5</v>
      </c>
      <c r="M16192">
        <v>3415</v>
      </c>
      <c r="N16192">
        <v>102</v>
      </c>
      <c r="O16192">
        <v>46</v>
      </c>
      <c r="P16192">
        <v>1184</v>
      </c>
      <c r="Q16192">
        <v>452</v>
      </c>
    </row>
    <row r="16193" spans="1:17" x14ac:dyDescent="0.2">
      <c r="A16193" s="121">
        <v>44926</v>
      </c>
      <c r="B16193" t="s">
        <v>406</v>
      </c>
      <c r="C16193" t="s">
        <v>551</v>
      </c>
      <c r="D16193" t="s">
        <v>558</v>
      </c>
      <c r="E16193" t="s">
        <v>559</v>
      </c>
      <c r="F16193" t="s">
        <v>413</v>
      </c>
      <c r="G16193">
        <v>4906</v>
      </c>
      <c r="H16193">
        <v>4906</v>
      </c>
      <c r="I16193">
        <v>2042</v>
      </c>
      <c r="J16193">
        <v>2042</v>
      </c>
      <c r="K16193">
        <v>1209</v>
      </c>
      <c r="L16193">
        <v>12</v>
      </c>
      <c r="M16193">
        <v>3557</v>
      </c>
      <c r="N16193">
        <v>89</v>
      </c>
      <c r="O16193">
        <v>39</v>
      </c>
      <c r="P16193">
        <v>1202</v>
      </c>
      <c r="Q16193">
        <v>524</v>
      </c>
    </row>
    <row r="16194" spans="1:17" x14ac:dyDescent="0.2">
      <c r="A16194" s="121">
        <v>44926</v>
      </c>
      <c r="B16194" t="s">
        <v>406</v>
      </c>
      <c r="C16194" t="s">
        <v>551</v>
      </c>
      <c r="D16194" t="s">
        <v>560</v>
      </c>
      <c r="E16194" t="s">
        <v>561</v>
      </c>
      <c r="F16194" t="s">
        <v>413</v>
      </c>
      <c r="G16194">
        <v>5772</v>
      </c>
      <c r="H16194">
        <v>5772</v>
      </c>
      <c r="I16194">
        <v>2700</v>
      </c>
      <c r="J16194">
        <v>2700</v>
      </c>
      <c r="K16194">
        <v>2009</v>
      </c>
      <c r="L16194">
        <v>15</v>
      </c>
      <c r="M16194">
        <v>3586</v>
      </c>
      <c r="N16194">
        <v>53</v>
      </c>
      <c r="O16194">
        <v>109</v>
      </c>
      <c r="P16194">
        <v>1582</v>
      </c>
      <c r="Q16194">
        <v>722</v>
      </c>
    </row>
    <row r="16195" spans="1:17" x14ac:dyDescent="0.2">
      <c r="A16195" s="121">
        <v>44926</v>
      </c>
      <c r="B16195" t="s">
        <v>406</v>
      </c>
      <c r="C16195" t="s">
        <v>562</v>
      </c>
      <c r="D16195" t="s">
        <v>563</v>
      </c>
      <c r="E16195" t="s">
        <v>564</v>
      </c>
      <c r="F16195" t="s">
        <v>410</v>
      </c>
      <c r="G16195">
        <v>3218</v>
      </c>
      <c r="H16195">
        <v>3218</v>
      </c>
      <c r="I16195">
        <v>1596</v>
      </c>
      <c r="J16195">
        <v>1596</v>
      </c>
      <c r="K16195">
        <v>1202</v>
      </c>
      <c r="L16195">
        <v>1</v>
      </c>
      <c r="M16195">
        <v>1985</v>
      </c>
      <c r="N16195">
        <v>21</v>
      </c>
      <c r="O16195">
        <v>9</v>
      </c>
      <c r="P16195">
        <v>859</v>
      </c>
      <c r="Q16195">
        <v>527</v>
      </c>
    </row>
    <row r="16196" spans="1:17" x14ac:dyDescent="0.2">
      <c r="A16196" s="121">
        <v>44926</v>
      </c>
      <c r="B16196" t="s">
        <v>406</v>
      </c>
      <c r="C16196" t="s">
        <v>562</v>
      </c>
      <c r="D16196" t="s">
        <v>565</v>
      </c>
      <c r="E16196" t="s">
        <v>566</v>
      </c>
      <c r="F16196" t="s">
        <v>413</v>
      </c>
      <c r="G16196">
        <v>4902</v>
      </c>
      <c r="H16196">
        <v>4902</v>
      </c>
      <c r="I16196">
        <v>2950</v>
      </c>
      <c r="J16196">
        <v>2950</v>
      </c>
      <c r="K16196">
        <v>966</v>
      </c>
      <c r="L16196">
        <v>8</v>
      </c>
      <c r="M16196">
        <v>3353</v>
      </c>
      <c r="N16196">
        <v>112</v>
      </c>
      <c r="O16196">
        <v>463</v>
      </c>
      <c r="P16196">
        <v>797</v>
      </c>
      <c r="Q16196">
        <v>406</v>
      </c>
    </row>
    <row r="16197" spans="1:17" x14ac:dyDescent="0.2">
      <c r="A16197" s="121">
        <v>44926</v>
      </c>
      <c r="B16197" t="s">
        <v>406</v>
      </c>
      <c r="C16197" t="s">
        <v>562</v>
      </c>
      <c r="D16197" t="s">
        <v>567</v>
      </c>
      <c r="E16197" t="s">
        <v>568</v>
      </c>
      <c r="F16197" t="s">
        <v>413</v>
      </c>
      <c r="G16197">
        <v>9462</v>
      </c>
      <c r="H16197">
        <v>9462</v>
      </c>
      <c r="I16197">
        <v>3892</v>
      </c>
      <c r="J16197">
        <v>3892</v>
      </c>
      <c r="K16197">
        <v>2302</v>
      </c>
      <c r="L16197">
        <v>17</v>
      </c>
      <c r="M16197">
        <v>6754</v>
      </c>
      <c r="N16197">
        <v>352</v>
      </c>
      <c r="O16197">
        <v>37</v>
      </c>
      <c r="P16197">
        <v>2893</v>
      </c>
      <c r="Q16197">
        <v>1709</v>
      </c>
    </row>
    <row r="16198" spans="1:17" x14ac:dyDescent="0.2">
      <c r="A16198" s="121">
        <v>44926</v>
      </c>
      <c r="B16198" t="s">
        <v>406</v>
      </c>
      <c r="C16198" t="s">
        <v>562</v>
      </c>
      <c r="D16198" t="s">
        <v>569</v>
      </c>
      <c r="E16198" t="s">
        <v>570</v>
      </c>
      <c r="F16198" t="s">
        <v>413</v>
      </c>
      <c r="G16198">
        <v>6362</v>
      </c>
      <c r="H16198">
        <v>6362</v>
      </c>
      <c r="I16198">
        <v>5689</v>
      </c>
      <c r="J16198">
        <v>5689</v>
      </c>
      <c r="K16198">
        <v>767</v>
      </c>
      <c r="L16198">
        <v>0</v>
      </c>
      <c r="M16198">
        <v>5465</v>
      </c>
      <c r="N16198">
        <v>104</v>
      </c>
      <c r="O16198">
        <v>26</v>
      </c>
      <c r="P16198">
        <v>37</v>
      </c>
      <c r="Q16198">
        <v>0</v>
      </c>
    </row>
    <row r="16199" spans="1:17" x14ac:dyDescent="0.2">
      <c r="A16199" s="121">
        <v>44926</v>
      </c>
      <c r="B16199" t="s">
        <v>406</v>
      </c>
      <c r="C16199" t="s">
        <v>571</v>
      </c>
      <c r="D16199" t="s">
        <v>572</v>
      </c>
      <c r="E16199" t="s">
        <v>627</v>
      </c>
      <c r="F16199" t="s">
        <v>413</v>
      </c>
      <c r="G16199">
        <v>645</v>
      </c>
      <c r="H16199">
        <v>645</v>
      </c>
      <c r="I16199">
        <v>568</v>
      </c>
      <c r="J16199">
        <v>568</v>
      </c>
      <c r="K16199">
        <v>123</v>
      </c>
      <c r="L16199">
        <v>0</v>
      </c>
      <c r="M16199">
        <v>508</v>
      </c>
      <c r="N16199">
        <v>5</v>
      </c>
      <c r="O16199">
        <v>9</v>
      </c>
      <c r="P16199">
        <v>13</v>
      </c>
      <c r="Q16199">
        <v>5</v>
      </c>
    </row>
    <row r="16200" spans="1:17" x14ac:dyDescent="0.2">
      <c r="A16200" s="121">
        <v>44926</v>
      </c>
      <c r="B16200" t="s">
        <v>406</v>
      </c>
      <c r="C16200" t="s">
        <v>574</v>
      </c>
      <c r="D16200" t="s">
        <v>575</v>
      </c>
      <c r="E16200" t="s">
        <v>576</v>
      </c>
      <c r="F16200" t="s">
        <v>413</v>
      </c>
      <c r="G16200">
        <v>650</v>
      </c>
      <c r="H16200">
        <v>650</v>
      </c>
      <c r="I16200">
        <v>577</v>
      </c>
      <c r="J16200">
        <v>577</v>
      </c>
      <c r="K16200">
        <v>146</v>
      </c>
      <c r="L16200">
        <v>0</v>
      </c>
      <c r="M16200">
        <v>493</v>
      </c>
      <c r="N16200">
        <v>7</v>
      </c>
      <c r="O16200">
        <v>4</v>
      </c>
      <c r="P16200">
        <v>3</v>
      </c>
      <c r="Q16200">
        <v>1</v>
      </c>
    </row>
    <row r="16201" spans="1:17" x14ac:dyDescent="0.2">
      <c r="A16201" s="121">
        <v>44926</v>
      </c>
      <c r="B16201" t="s">
        <v>406</v>
      </c>
      <c r="C16201" t="s">
        <v>577</v>
      </c>
      <c r="D16201" t="s">
        <v>578</v>
      </c>
      <c r="E16201" t="s">
        <v>579</v>
      </c>
      <c r="F16201" t="s">
        <v>413</v>
      </c>
      <c r="G16201">
        <v>5065</v>
      </c>
      <c r="H16201">
        <v>5065</v>
      </c>
      <c r="I16201">
        <v>3814</v>
      </c>
      <c r="J16201">
        <v>3814</v>
      </c>
      <c r="K16201">
        <v>2356</v>
      </c>
      <c r="L16201">
        <v>5</v>
      </c>
      <c r="M16201">
        <v>2286</v>
      </c>
      <c r="N16201">
        <v>313</v>
      </c>
      <c r="O16201">
        <v>105</v>
      </c>
      <c r="P16201">
        <v>120</v>
      </c>
      <c r="Q16201">
        <v>13</v>
      </c>
    </row>
    <row r="16202" spans="1:17" x14ac:dyDescent="0.2">
      <c r="A16202" s="121">
        <v>44926</v>
      </c>
      <c r="B16202" t="s">
        <v>406</v>
      </c>
      <c r="C16202" t="s">
        <v>577</v>
      </c>
      <c r="D16202" t="s">
        <v>580</v>
      </c>
      <c r="E16202" t="s">
        <v>581</v>
      </c>
      <c r="F16202" t="s">
        <v>413</v>
      </c>
      <c r="G16202">
        <v>2008</v>
      </c>
      <c r="H16202">
        <v>2008</v>
      </c>
      <c r="I16202">
        <v>1620</v>
      </c>
      <c r="J16202">
        <v>1620</v>
      </c>
      <c r="K16202">
        <v>295</v>
      </c>
      <c r="L16202">
        <v>1</v>
      </c>
      <c r="M16202">
        <v>1428</v>
      </c>
      <c r="N16202">
        <v>235</v>
      </c>
      <c r="O16202">
        <v>49</v>
      </c>
      <c r="P16202">
        <v>41</v>
      </c>
      <c r="Q16202">
        <v>15</v>
      </c>
    </row>
    <row r="16203" spans="1:17" x14ac:dyDescent="0.2">
      <c r="A16203" s="121">
        <v>44926</v>
      </c>
      <c r="B16203" t="s">
        <v>406</v>
      </c>
      <c r="C16203" t="s">
        <v>577</v>
      </c>
      <c r="D16203" t="s">
        <v>586</v>
      </c>
      <c r="E16203" t="s">
        <v>587</v>
      </c>
      <c r="F16203" t="s">
        <v>410</v>
      </c>
      <c r="G16203">
        <v>649</v>
      </c>
      <c r="H16203">
        <v>649</v>
      </c>
      <c r="I16203">
        <v>647</v>
      </c>
      <c r="J16203">
        <v>647</v>
      </c>
      <c r="K16203">
        <v>0</v>
      </c>
      <c r="L16203">
        <v>0</v>
      </c>
      <c r="M16203">
        <v>607</v>
      </c>
      <c r="N16203">
        <v>41</v>
      </c>
      <c r="O16203">
        <v>1</v>
      </c>
      <c r="P16203">
        <v>1</v>
      </c>
      <c r="Q16203">
        <v>0</v>
      </c>
    </row>
    <row r="16204" spans="1:17" x14ac:dyDescent="0.2">
      <c r="A16204" s="121">
        <v>44926</v>
      </c>
      <c r="B16204" t="s">
        <v>406</v>
      </c>
      <c r="C16204" t="s">
        <v>577</v>
      </c>
      <c r="D16204" t="s">
        <v>590</v>
      </c>
      <c r="E16204" t="s">
        <v>591</v>
      </c>
      <c r="F16204" t="s">
        <v>410</v>
      </c>
      <c r="G16204">
        <v>289</v>
      </c>
      <c r="H16204">
        <v>289</v>
      </c>
      <c r="I16204">
        <v>289</v>
      </c>
      <c r="J16204">
        <v>289</v>
      </c>
      <c r="K16204">
        <v>0</v>
      </c>
      <c r="L16204">
        <v>0</v>
      </c>
      <c r="M16204">
        <v>277</v>
      </c>
      <c r="N16204">
        <v>12</v>
      </c>
      <c r="O16204">
        <v>0</v>
      </c>
      <c r="P16204">
        <v>0</v>
      </c>
      <c r="Q16204">
        <v>0</v>
      </c>
    </row>
    <row r="16205" spans="1:17" x14ac:dyDescent="0.2">
      <c r="A16205" s="121">
        <v>44926</v>
      </c>
      <c r="B16205" t="s">
        <v>406</v>
      </c>
      <c r="C16205" t="s">
        <v>594</v>
      </c>
      <c r="D16205" t="s">
        <v>595</v>
      </c>
      <c r="E16205" t="s">
        <v>596</v>
      </c>
      <c r="F16205" t="s">
        <v>410</v>
      </c>
      <c r="G16205">
        <v>38</v>
      </c>
      <c r="I16205">
        <v>38</v>
      </c>
    </row>
    <row r="16206" spans="1:17" x14ac:dyDescent="0.2">
      <c r="A16206" s="121">
        <v>44926</v>
      </c>
      <c r="B16206" t="s">
        <v>406</v>
      </c>
      <c r="C16206" t="s">
        <v>594</v>
      </c>
      <c r="D16206" t="s">
        <v>597</v>
      </c>
      <c r="E16206" t="s">
        <v>598</v>
      </c>
      <c r="F16206" t="s">
        <v>413</v>
      </c>
      <c r="G16206">
        <v>520</v>
      </c>
      <c r="H16206">
        <v>520</v>
      </c>
      <c r="I16206">
        <v>512</v>
      </c>
      <c r="J16206">
        <v>512</v>
      </c>
      <c r="K16206">
        <v>145</v>
      </c>
      <c r="L16206">
        <v>1</v>
      </c>
      <c r="M16206">
        <v>342</v>
      </c>
      <c r="N16206">
        <v>26</v>
      </c>
      <c r="O16206">
        <v>6</v>
      </c>
      <c r="P16206">
        <v>0</v>
      </c>
      <c r="Q16206">
        <v>0</v>
      </c>
    </row>
    <row r="16207" spans="1:17" x14ac:dyDescent="0.2">
      <c r="A16207" s="121">
        <v>44926</v>
      </c>
      <c r="B16207" t="s">
        <v>406</v>
      </c>
      <c r="C16207" t="s">
        <v>594</v>
      </c>
      <c r="D16207" t="s">
        <v>599</v>
      </c>
      <c r="E16207" t="s">
        <v>600</v>
      </c>
      <c r="F16207" t="s">
        <v>410</v>
      </c>
      <c r="G16207">
        <v>106</v>
      </c>
      <c r="H16207">
        <v>106</v>
      </c>
      <c r="I16207">
        <v>106</v>
      </c>
      <c r="J16207">
        <v>106</v>
      </c>
      <c r="K16207">
        <v>7</v>
      </c>
      <c r="L16207">
        <v>0</v>
      </c>
      <c r="M16207">
        <v>99</v>
      </c>
      <c r="N16207">
        <v>0</v>
      </c>
      <c r="O16207">
        <v>0</v>
      </c>
      <c r="P16207">
        <v>0</v>
      </c>
      <c r="Q16207">
        <v>0</v>
      </c>
    </row>
    <row r="16208" spans="1:17" x14ac:dyDescent="0.2">
      <c r="A16208" s="121">
        <v>44957</v>
      </c>
      <c r="B16208" t="s">
        <v>406</v>
      </c>
      <c r="C16208" t="s">
        <v>407</v>
      </c>
      <c r="D16208" t="s">
        <v>408</v>
      </c>
      <c r="E16208" t="s">
        <v>409</v>
      </c>
      <c r="F16208" t="s">
        <v>410</v>
      </c>
      <c r="G16208">
        <v>199</v>
      </c>
      <c r="I16208">
        <v>191</v>
      </c>
    </row>
    <row r="16209" spans="1:17" x14ac:dyDescent="0.2">
      <c r="A16209" s="121">
        <v>44957</v>
      </c>
      <c r="B16209" t="s">
        <v>406</v>
      </c>
      <c r="C16209" t="s">
        <v>407</v>
      </c>
      <c r="D16209" t="s">
        <v>601</v>
      </c>
      <c r="E16209" t="s">
        <v>602</v>
      </c>
      <c r="F16209" t="s">
        <v>410</v>
      </c>
      <c r="G16209">
        <v>106</v>
      </c>
      <c r="I16209">
        <v>103</v>
      </c>
    </row>
    <row r="16210" spans="1:17" x14ac:dyDescent="0.2">
      <c r="A16210" s="121">
        <v>44957</v>
      </c>
      <c r="B16210" t="s">
        <v>406</v>
      </c>
      <c r="C16210" t="s">
        <v>407</v>
      </c>
      <c r="D16210" t="s">
        <v>411</v>
      </c>
      <c r="E16210" t="s">
        <v>412</v>
      </c>
      <c r="F16210" t="s">
        <v>413</v>
      </c>
      <c r="G16210">
        <v>4334</v>
      </c>
      <c r="H16210">
        <v>4334</v>
      </c>
      <c r="I16210">
        <v>2785</v>
      </c>
      <c r="J16210">
        <v>2785</v>
      </c>
      <c r="K16210">
        <v>1309</v>
      </c>
      <c r="L16210">
        <v>10</v>
      </c>
      <c r="M16210">
        <v>2687</v>
      </c>
      <c r="N16210">
        <v>52</v>
      </c>
      <c r="O16210">
        <v>276</v>
      </c>
      <c r="P16210">
        <v>719</v>
      </c>
      <c r="Q16210">
        <v>443</v>
      </c>
    </row>
    <row r="16211" spans="1:17" x14ac:dyDescent="0.2">
      <c r="A16211" s="121">
        <v>44957</v>
      </c>
      <c r="B16211" t="s">
        <v>406</v>
      </c>
      <c r="C16211" t="s">
        <v>407</v>
      </c>
      <c r="D16211" t="s">
        <v>416</v>
      </c>
      <c r="E16211" t="s">
        <v>417</v>
      </c>
      <c r="F16211" t="s">
        <v>413</v>
      </c>
      <c r="G16211">
        <v>2213</v>
      </c>
      <c r="H16211">
        <v>2213</v>
      </c>
      <c r="I16211">
        <v>1327</v>
      </c>
      <c r="J16211">
        <v>1327</v>
      </c>
      <c r="K16211">
        <v>499</v>
      </c>
      <c r="L16211">
        <v>10</v>
      </c>
      <c r="M16211">
        <v>1588</v>
      </c>
      <c r="N16211">
        <v>72</v>
      </c>
      <c r="O16211">
        <v>44</v>
      </c>
      <c r="P16211">
        <v>501</v>
      </c>
      <c r="Q16211">
        <v>356</v>
      </c>
    </row>
    <row r="16212" spans="1:17" x14ac:dyDescent="0.2">
      <c r="A16212" s="121">
        <v>44957</v>
      </c>
      <c r="B16212" t="s">
        <v>406</v>
      </c>
      <c r="C16212" t="s">
        <v>407</v>
      </c>
      <c r="D16212" t="s">
        <v>618</v>
      </c>
      <c r="E16212" t="s">
        <v>619</v>
      </c>
      <c r="F16212" t="s">
        <v>410</v>
      </c>
      <c r="G16212">
        <v>40</v>
      </c>
      <c r="I16212">
        <v>40</v>
      </c>
    </row>
    <row r="16213" spans="1:17" x14ac:dyDescent="0.2">
      <c r="A16213" s="121">
        <v>44957</v>
      </c>
      <c r="B16213" t="s">
        <v>406</v>
      </c>
      <c r="C16213" t="s">
        <v>418</v>
      </c>
      <c r="D16213" t="s">
        <v>427</v>
      </c>
      <c r="E16213" t="s">
        <v>428</v>
      </c>
      <c r="F16213" t="s">
        <v>413</v>
      </c>
      <c r="G16213">
        <v>2325</v>
      </c>
      <c r="H16213">
        <v>2325</v>
      </c>
      <c r="I16213">
        <v>1505</v>
      </c>
      <c r="J16213">
        <v>1505</v>
      </c>
      <c r="K16213">
        <v>709</v>
      </c>
      <c r="L16213">
        <v>8</v>
      </c>
      <c r="M16213">
        <v>1538</v>
      </c>
      <c r="N16213">
        <v>62</v>
      </c>
      <c r="O16213">
        <v>8</v>
      </c>
      <c r="P16213">
        <v>343</v>
      </c>
      <c r="Q16213">
        <v>225</v>
      </c>
    </row>
    <row r="16214" spans="1:17" x14ac:dyDescent="0.2">
      <c r="A16214" s="121">
        <v>44957</v>
      </c>
      <c r="B16214" t="s">
        <v>406</v>
      </c>
      <c r="C16214" t="s">
        <v>429</v>
      </c>
      <c r="D16214" t="s">
        <v>438</v>
      </c>
      <c r="E16214" t="s">
        <v>439</v>
      </c>
      <c r="F16214" t="s">
        <v>413</v>
      </c>
      <c r="G16214">
        <v>1059</v>
      </c>
      <c r="H16214">
        <v>1059</v>
      </c>
      <c r="I16214">
        <v>913</v>
      </c>
      <c r="J16214">
        <v>913</v>
      </c>
      <c r="K16214">
        <v>68</v>
      </c>
      <c r="L16214">
        <v>1</v>
      </c>
      <c r="M16214">
        <v>870</v>
      </c>
      <c r="N16214">
        <v>72</v>
      </c>
      <c r="O16214">
        <v>48</v>
      </c>
      <c r="P16214">
        <v>35</v>
      </c>
      <c r="Q16214">
        <v>6</v>
      </c>
    </row>
    <row r="16215" spans="1:17" x14ac:dyDescent="0.2">
      <c r="A16215" s="121">
        <v>44957</v>
      </c>
      <c r="B16215" t="s">
        <v>406</v>
      </c>
      <c r="C16215" t="s">
        <v>429</v>
      </c>
      <c r="D16215" t="s">
        <v>440</v>
      </c>
      <c r="E16215" t="s">
        <v>441</v>
      </c>
      <c r="F16215" t="s">
        <v>413</v>
      </c>
      <c r="G16215">
        <v>2338</v>
      </c>
      <c r="H16215">
        <v>2338</v>
      </c>
      <c r="I16215">
        <v>1779</v>
      </c>
      <c r="J16215">
        <v>1779</v>
      </c>
      <c r="K16215">
        <v>684</v>
      </c>
      <c r="L16215">
        <v>2</v>
      </c>
      <c r="M16215">
        <v>1599</v>
      </c>
      <c r="N16215">
        <v>21</v>
      </c>
      <c r="O16215">
        <v>32</v>
      </c>
      <c r="P16215">
        <v>175</v>
      </c>
      <c r="Q16215">
        <v>84</v>
      </c>
    </row>
    <row r="16216" spans="1:17" x14ac:dyDescent="0.2">
      <c r="A16216" s="121">
        <v>44957</v>
      </c>
      <c r="B16216" t="s">
        <v>406</v>
      </c>
      <c r="C16216" t="s">
        <v>442</v>
      </c>
      <c r="D16216" t="s">
        <v>443</v>
      </c>
      <c r="E16216" t="s">
        <v>444</v>
      </c>
      <c r="F16216" t="s">
        <v>413</v>
      </c>
      <c r="G16216">
        <v>4931</v>
      </c>
      <c r="H16216">
        <v>4931</v>
      </c>
      <c r="I16216">
        <v>3048</v>
      </c>
      <c r="J16216">
        <v>3048</v>
      </c>
      <c r="K16216">
        <v>1702</v>
      </c>
      <c r="L16216">
        <v>8</v>
      </c>
      <c r="M16216">
        <v>3011</v>
      </c>
      <c r="N16216">
        <v>71</v>
      </c>
      <c r="O16216">
        <v>139</v>
      </c>
      <c r="P16216">
        <v>551</v>
      </c>
      <c r="Q16216">
        <v>189</v>
      </c>
    </row>
    <row r="16217" spans="1:17" x14ac:dyDescent="0.2">
      <c r="A16217" s="121">
        <v>44957</v>
      </c>
      <c r="B16217" t="s">
        <v>406</v>
      </c>
      <c r="C16217" t="s">
        <v>442</v>
      </c>
      <c r="D16217" t="s">
        <v>445</v>
      </c>
      <c r="E16217" t="s">
        <v>446</v>
      </c>
      <c r="F16217" t="s">
        <v>410</v>
      </c>
      <c r="G16217">
        <v>180</v>
      </c>
      <c r="H16217">
        <v>180</v>
      </c>
      <c r="I16217">
        <v>179</v>
      </c>
      <c r="J16217">
        <v>179</v>
      </c>
      <c r="K16217">
        <v>2</v>
      </c>
      <c r="L16217">
        <v>0</v>
      </c>
      <c r="M16217">
        <v>173</v>
      </c>
      <c r="N16217">
        <v>3</v>
      </c>
      <c r="O16217">
        <v>2</v>
      </c>
      <c r="P16217">
        <v>1</v>
      </c>
      <c r="Q16217">
        <v>0</v>
      </c>
    </row>
    <row r="16218" spans="1:17" x14ac:dyDescent="0.2">
      <c r="A16218" s="121">
        <v>44957</v>
      </c>
      <c r="B16218" t="s">
        <v>406</v>
      </c>
      <c r="C16218" t="s">
        <v>442</v>
      </c>
      <c r="D16218" t="s">
        <v>447</v>
      </c>
      <c r="E16218" t="s">
        <v>448</v>
      </c>
      <c r="F16218" t="s">
        <v>410</v>
      </c>
      <c r="G16218">
        <v>201</v>
      </c>
      <c r="H16218">
        <v>201</v>
      </c>
      <c r="I16218">
        <v>199</v>
      </c>
      <c r="J16218">
        <v>199</v>
      </c>
      <c r="K16218">
        <v>1</v>
      </c>
      <c r="L16218">
        <v>0</v>
      </c>
      <c r="M16218">
        <v>191</v>
      </c>
      <c r="N16218">
        <v>9</v>
      </c>
      <c r="O16218">
        <v>0</v>
      </c>
      <c r="P16218">
        <v>0</v>
      </c>
      <c r="Q16218">
        <v>0</v>
      </c>
    </row>
    <row r="16219" spans="1:17" x14ac:dyDescent="0.2">
      <c r="A16219" s="121">
        <v>44957</v>
      </c>
      <c r="B16219" t="s">
        <v>406</v>
      </c>
      <c r="C16219" t="s">
        <v>442</v>
      </c>
      <c r="D16219" t="s">
        <v>449</v>
      </c>
      <c r="E16219" t="s">
        <v>624</v>
      </c>
      <c r="F16219" t="s">
        <v>410</v>
      </c>
      <c r="G16219">
        <v>896</v>
      </c>
      <c r="H16219">
        <v>896</v>
      </c>
      <c r="I16219">
        <v>896</v>
      </c>
      <c r="J16219">
        <v>896</v>
      </c>
      <c r="K16219">
        <v>2</v>
      </c>
      <c r="L16219">
        <v>0</v>
      </c>
      <c r="M16219">
        <v>849</v>
      </c>
      <c r="N16219">
        <v>37</v>
      </c>
      <c r="O16219">
        <v>8</v>
      </c>
      <c r="P16219">
        <v>0</v>
      </c>
      <c r="Q16219">
        <v>0</v>
      </c>
    </row>
    <row r="16220" spans="1:17" x14ac:dyDescent="0.2">
      <c r="A16220" s="121">
        <v>44957</v>
      </c>
      <c r="B16220" t="s">
        <v>406</v>
      </c>
      <c r="C16220" t="s">
        <v>451</v>
      </c>
      <c r="D16220" t="s">
        <v>454</v>
      </c>
      <c r="E16220" t="s">
        <v>621</v>
      </c>
      <c r="F16220" t="s">
        <v>410</v>
      </c>
      <c r="G16220">
        <v>1426</v>
      </c>
      <c r="H16220">
        <v>1426</v>
      </c>
      <c r="I16220">
        <v>1424</v>
      </c>
      <c r="J16220">
        <v>1424</v>
      </c>
      <c r="K16220">
        <v>5</v>
      </c>
      <c r="L16220">
        <v>0</v>
      </c>
      <c r="M16220">
        <v>1305</v>
      </c>
      <c r="N16220">
        <v>1</v>
      </c>
      <c r="O16220">
        <v>115</v>
      </c>
      <c r="P16220">
        <v>0</v>
      </c>
      <c r="Q16220">
        <v>0</v>
      </c>
    </row>
    <row r="16221" spans="1:17" x14ac:dyDescent="0.2">
      <c r="A16221" s="121">
        <v>44957</v>
      </c>
      <c r="B16221" t="s">
        <v>406</v>
      </c>
      <c r="C16221" t="s">
        <v>451</v>
      </c>
      <c r="D16221" t="s">
        <v>622</v>
      </c>
      <c r="E16221" t="s">
        <v>623</v>
      </c>
      <c r="F16221" t="s">
        <v>413</v>
      </c>
      <c r="G16221">
        <v>4197</v>
      </c>
      <c r="H16221">
        <v>4197</v>
      </c>
      <c r="I16221">
        <v>2029</v>
      </c>
      <c r="J16221">
        <v>2029</v>
      </c>
      <c r="K16221">
        <v>1373</v>
      </c>
      <c r="L16221">
        <v>17</v>
      </c>
      <c r="M16221">
        <v>2573</v>
      </c>
      <c r="N16221">
        <v>27</v>
      </c>
      <c r="O16221">
        <v>207</v>
      </c>
      <c r="P16221">
        <v>1030</v>
      </c>
      <c r="Q16221">
        <v>558</v>
      </c>
    </row>
    <row r="16222" spans="1:17" x14ac:dyDescent="0.2">
      <c r="A16222" s="121">
        <v>44957</v>
      </c>
      <c r="B16222" t="s">
        <v>406</v>
      </c>
      <c r="C16222" t="s">
        <v>456</v>
      </c>
      <c r="D16222" t="s">
        <v>457</v>
      </c>
      <c r="E16222" t="s">
        <v>458</v>
      </c>
      <c r="F16222" t="s">
        <v>413</v>
      </c>
      <c r="G16222">
        <v>4306</v>
      </c>
      <c r="H16222">
        <v>4306</v>
      </c>
      <c r="I16222">
        <v>1947</v>
      </c>
      <c r="J16222">
        <v>1947</v>
      </c>
      <c r="K16222">
        <v>1401</v>
      </c>
      <c r="L16222">
        <v>13</v>
      </c>
      <c r="M16222">
        <v>2806</v>
      </c>
      <c r="N16222">
        <v>18</v>
      </c>
      <c r="O16222">
        <v>68</v>
      </c>
      <c r="P16222">
        <v>868</v>
      </c>
      <c r="Q16222">
        <v>219</v>
      </c>
    </row>
    <row r="16223" spans="1:17" x14ac:dyDescent="0.2">
      <c r="A16223" s="121">
        <v>44957</v>
      </c>
      <c r="B16223" t="s">
        <v>406</v>
      </c>
      <c r="C16223" t="s">
        <v>456</v>
      </c>
      <c r="D16223" t="s">
        <v>459</v>
      </c>
      <c r="E16223" t="s">
        <v>460</v>
      </c>
      <c r="F16223" t="s">
        <v>413</v>
      </c>
      <c r="G16223">
        <v>1249</v>
      </c>
      <c r="H16223">
        <v>1249</v>
      </c>
      <c r="I16223">
        <v>1052</v>
      </c>
      <c r="J16223">
        <v>1052</v>
      </c>
      <c r="K16223">
        <v>134</v>
      </c>
      <c r="L16223">
        <v>1</v>
      </c>
      <c r="M16223">
        <v>1047</v>
      </c>
      <c r="N16223">
        <v>2</v>
      </c>
      <c r="O16223">
        <v>65</v>
      </c>
      <c r="P16223">
        <v>14</v>
      </c>
      <c r="Q16223">
        <v>1</v>
      </c>
    </row>
    <row r="16224" spans="1:17" x14ac:dyDescent="0.2">
      <c r="A16224" s="121">
        <v>44957</v>
      </c>
      <c r="B16224" t="s">
        <v>406</v>
      </c>
      <c r="C16224" t="s">
        <v>456</v>
      </c>
      <c r="D16224" t="s">
        <v>467</v>
      </c>
      <c r="E16224" t="s">
        <v>468</v>
      </c>
      <c r="F16224" t="s">
        <v>410</v>
      </c>
      <c r="G16224">
        <v>822</v>
      </c>
      <c r="I16224">
        <v>820</v>
      </c>
    </row>
    <row r="16225" spans="1:17" x14ac:dyDescent="0.2">
      <c r="A16225" s="121">
        <v>44957</v>
      </c>
      <c r="B16225" t="s">
        <v>406</v>
      </c>
      <c r="C16225" t="s">
        <v>456</v>
      </c>
      <c r="D16225" t="s">
        <v>469</v>
      </c>
      <c r="E16225" t="s">
        <v>470</v>
      </c>
      <c r="F16225" t="s">
        <v>410</v>
      </c>
      <c r="G16225">
        <v>626</v>
      </c>
      <c r="I16225">
        <v>625</v>
      </c>
    </row>
    <row r="16226" spans="1:17" x14ac:dyDescent="0.2">
      <c r="A16226" s="121">
        <v>44957</v>
      </c>
      <c r="B16226" t="s">
        <v>406</v>
      </c>
      <c r="C16226" t="s">
        <v>456</v>
      </c>
      <c r="D16226" t="s">
        <v>471</v>
      </c>
      <c r="E16226" t="s">
        <v>472</v>
      </c>
      <c r="F16226" t="s">
        <v>410</v>
      </c>
      <c r="G16226">
        <v>360</v>
      </c>
      <c r="I16226">
        <v>356</v>
      </c>
    </row>
    <row r="16227" spans="1:17" x14ac:dyDescent="0.2">
      <c r="A16227" s="121">
        <v>44957</v>
      </c>
      <c r="B16227" t="s">
        <v>406</v>
      </c>
      <c r="C16227" t="s">
        <v>456</v>
      </c>
      <c r="D16227" t="s">
        <v>475</v>
      </c>
      <c r="E16227" t="s">
        <v>476</v>
      </c>
      <c r="F16227" t="s">
        <v>410</v>
      </c>
      <c r="G16227">
        <v>73</v>
      </c>
      <c r="I16227">
        <v>73</v>
      </c>
    </row>
    <row r="16228" spans="1:17" x14ac:dyDescent="0.2">
      <c r="A16228" s="121">
        <v>44957</v>
      </c>
      <c r="B16228" t="s">
        <v>406</v>
      </c>
      <c r="C16228" t="s">
        <v>456</v>
      </c>
      <c r="D16228" t="s">
        <v>477</v>
      </c>
      <c r="E16228" t="s">
        <v>478</v>
      </c>
      <c r="F16228" t="s">
        <v>413</v>
      </c>
      <c r="G16228">
        <v>2143</v>
      </c>
      <c r="H16228">
        <v>2143</v>
      </c>
      <c r="I16228">
        <v>1441</v>
      </c>
      <c r="J16228">
        <v>1441</v>
      </c>
      <c r="K16228">
        <v>456</v>
      </c>
      <c r="L16228">
        <v>7</v>
      </c>
      <c r="M16228">
        <v>1649</v>
      </c>
      <c r="N16228">
        <v>21</v>
      </c>
      <c r="O16228">
        <v>10</v>
      </c>
      <c r="P16228">
        <v>297</v>
      </c>
      <c r="Q16228">
        <v>149</v>
      </c>
    </row>
    <row r="16229" spans="1:17" x14ac:dyDescent="0.2">
      <c r="A16229" s="121">
        <v>44957</v>
      </c>
      <c r="B16229" t="s">
        <v>406</v>
      </c>
      <c r="C16229" t="s">
        <v>491</v>
      </c>
      <c r="D16229" t="s">
        <v>492</v>
      </c>
      <c r="E16229" t="s">
        <v>493</v>
      </c>
      <c r="F16229" t="s">
        <v>410</v>
      </c>
      <c r="G16229">
        <v>1236</v>
      </c>
      <c r="H16229">
        <v>1236</v>
      </c>
      <c r="I16229">
        <v>1058</v>
      </c>
      <c r="J16229">
        <v>1058</v>
      </c>
      <c r="K16229">
        <v>158</v>
      </c>
      <c r="L16229">
        <v>0</v>
      </c>
      <c r="M16229">
        <v>1013</v>
      </c>
      <c r="N16229">
        <v>54</v>
      </c>
      <c r="O16229">
        <v>11</v>
      </c>
      <c r="P16229">
        <v>60</v>
      </c>
      <c r="Q16229">
        <v>25</v>
      </c>
    </row>
    <row r="16230" spans="1:17" x14ac:dyDescent="0.2">
      <c r="A16230" s="121">
        <v>44957</v>
      </c>
      <c r="B16230" t="s">
        <v>406</v>
      </c>
      <c r="C16230" t="s">
        <v>491</v>
      </c>
      <c r="D16230" t="s">
        <v>494</v>
      </c>
      <c r="E16230" t="s">
        <v>495</v>
      </c>
      <c r="F16230" t="s">
        <v>413</v>
      </c>
      <c r="G16230">
        <v>2103</v>
      </c>
      <c r="H16230">
        <v>2103</v>
      </c>
      <c r="I16230">
        <v>1613</v>
      </c>
      <c r="J16230">
        <v>1613</v>
      </c>
      <c r="K16230">
        <v>497</v>
      </c>
      <c r="L16230">
        <v>5</v>
      </c>
      <c r="M16230">
        <v>1484</v>
      </c>
      <c r="N16230">
        <v>79</v>
      </c>
      <c r="O16230">
        <v>38</v>
      </c>
      <c r="P16230">
        <v>76</v>
      </c>
      <c r="Q16230">
        <v>21</v>
      </c>
    </row>
    <row r="16231" spans="1:17" x14ac:dyDescent="0.2">
      <c r="A16231" s="121">
        <v>44957</v>
      </c>
      <c r="B16231" t="s">
        <v>406</v>
      </c>
      <c r="C16231" t="s">
        <v>491</v>
      </c>
      <c r="D16231" t="s">
        <v>496</v>
      </c>
      <c r="E16231" t="s">
        <v>497</v>
      </c>
      <c r="F16231" t="s">
        <v>413</v>
      </c>
      <c r="G16231">
        <v>4186</v>
      </c>
      <c r="H16231">
        <v>4186</v>
      </c>
      <c r="I16231">
        <v>2440</v>
      </c>
      <c r="J16231">
        <v>2440</v>
      </c>
      <c r="K16231">
        <v>1255</v>
      </c>
      <c r="L16231">
        <v>15</v>
      </c>
      <c r="M16231">
        <v>2726</v>
      </c>
      <c r="N16231">
        <v>74</v>
      </c>
      <c r="O16231">
        <v>116</v>
      </c>
      <c r="P16231">
        <v>777</v>
      </c>
      <c r="Q16231">
        <v>339</v>
      </c>
    </row>
    <row r="16232" spans="1:17" x14ac:dyDescent="0.2">
      <c r="A16232" s="121">
        <v>44957</v>
      </c>
      <c r="B16232" t="s">
        <v>406</v>
      </c>
      <c r="C16232" t="s">
        <v>491</v>
      </c>
      <c r="D16232" t="s">
        <v>498</v>
      </c>
      <c r="E16232" t="s">
        <v>499</v>
      </c>
      <c r="F16232" t="s">
        <v>413</v>
      </c>
      <c r="G16232">
        <v>5881</v>
      </c>
      <c r="H16232">
        <v>5881</v>
      </c>
      <c r="I16232">
        <v>3841</v>
      </c>
      <c r="J16232">
        <v>3841</v>
      </c>
      <c r="K16232">
        <v>1761</v>
      </c>
      <c r="L16232">
        <v>18</v>
      </c>
      <c r="M16232">
        <v>3654</v>
      </c>
      <c r="N16232">
        <v>140</v>
      </c>
      <c r="O16232">
        <v>308</v>
      </c>
      <c r="P16232">
        <v>659</v>
      </c>
      <c r="Q16232">
        <v>226</v>
      </c>
    </row>
    <row r="16233" spans="1:17" x14ac:dyDescent="0.2">
      <c r="A16233" s="121">
        <v>44957</v>
      </c>
      <c r="B16233" t="s">
        <v>406</v>
      </c>
      <c r="C16233" t="s">
        <v>491</v>
      </c>
      <c r="D16233" t="s">
        <v>500</v>
      </c>
      <c r="E16233" t="s">
        <v>620</v>
      </c>
      <c r="F16233" t="s">
        <v>410</v>
      </c>
      <c r="G16233">
        <v>1667</v>
      </c>
      <c r="H16233">
        <v>1667</v>
      </c>
      <c r="I16233">
        <v>1662</v>
      </c>
      <c r="J16233">
        <v>1662</v>
      </c>
      <c r="K16233">
        <v>0</v>
      </c>
      <c r="L16233">
        <v>0</v>
      </c>
      <c r="M16233">
        <v>1458</v>
      </c>
      <c r="N16233">
        <v>81</v>
      </c>
      <c r="O16233">
        <v>128</v>
      </c>
      <c r="P16233">
        <v>0</v>
      </c>
      <c r="Q16233">
        <v>0</v>
      </c>
    </row>
    <row r="16234" spans="1:17" x14ac:dyDescent="0.2">
      <c r="A16234" s="121">
        <v>44957</v>
      </c>
      <c r="B16234" t="s">
        <v>406</v>
      </c>
      <c r="C16234" t="s">
        <v>491</v>
      </c>
      <c r="D16234" t="s">
        <v>502</v>
      </c>
      <c r="E16234" t="s">
        <v>615</v>
      </c>
      <c r="F16234" t="s">
        <v>410</v>
      </c>
      <c r="G16234">
        <v>2252</v>
      </c>
      <c r="H16234">
        <v>2252</v>
      </c>
      <c r="I16234">
        <v>2203</v>
      </c>
      <c r="J16234">
        <v>2203</v>
      </c>
      <c r="K16234">
        <v>1</v>
      </c>
      <c r="L16234">
        <v>1</v>
      </c>
      <c r="M16234">
        <v>1997</v>
      </c>
      <c r="N16234">
        <v>131</v>
      </c>
      <c r="O16234">
        <v>122</v>
      </c>
      <c r="P16234">
        <v>0</v>
      </c>
      <c r="Q16234">
        <v>0</v>
      </c>
    </row>
    <row r="16235" spans="1:17" x14ac:dyDescent="0.2">
      <c r="A16235" s="121">
        <v>44957</v>
      </c>
      <c r="B16235" t="s">
        <v>406</v>
      </c>
      <c r="C16235" t="s">
        <v>491</v>
      </c>
      <c r="D16235" t="s">
        <v>504</v>
      </c>
      <c r="E16235" t="s">
        <v>630</v>
      </c>
      <c r="F16235" t="s">
        <v>413</v>
      </c>
      <c r="G16235">
        <v>6945</v>
      </c>
      <c r="H16235">
        <v>6945</v>
      </c>
      <c r="I16235">
        <v>3961</v>
      </c>
      <c r="J16235">
        <v>3961</v>
      </c>
      <c r="K16235">
        <v>2509</v>
      </c>
      <c r="L16235">
        <v>23</v>
      </c>
      <c r="M16235">
        <v>4052</v>
      </c>
      <c r="N16235">
        <v>63</v>
      </c>
      <c r="O16235">
        <v>298</v>
      </c>
      <c r="P16235">
        <v>1097</v>
      </c>
      <c r="Q16235">
        <v>356</v>
      </c>
    </row>
    <row r="16236" spans="1:17" x14ac:dyDescent="0.2">
      <c r="A16236" s="121">
        <v>44957</v>
      </c>
      <c r="B16236" t="s">
        <v>406</v>
      </c>
      <c r="C16236" t="s">
        <v>491</v>
      </c>
      <c r="D16236" t="s">
        <v>506</v>
      </c>
      <c r="E16236" t="s">
        <v>507</v>
      </c>
      <c r="F16236" t="s">
        <v>413</v>
      </c>
      <c r="G16236">
        <v>5489</v>
      </c>
      <c r="H16236">
        <v>5489</v>
      </c>
      <c r="I16236">
        <v>5120</v>
      </c>
      <c r="J16236">
        <v>5120</v>
      </c>
      <c r="K16236">
        <v>1383</v>
      </c>
      <c r="L16236">
        <v>2</v>
      </c>
      <c r="M16236">
        <v>4089</v>
      </c>
      <c r="N16236">
        <v>1</v>
      </c>
      <c r="O16236">
        <v>14</v>
      </c>
      <c r="P16236">
        <v>1</v>
      </c>
      <c r="Q16236">
        <v>0</v>
      </c>
    </row>
    <row r="16237" spans="1:17" x14ac:dyDescent="0.2">
      <c r="A16237" s="121">
        <v>44957</v>
      </c>
      <c r="B16237" t="s">
        <v>406</v>
      </c>
      <c r="C16237" t="s">
        <v>510</v>
      </c>
      <c r="D16237" t="s">
        <v>513</v>
      </c>
      <c r="E16237" t="s">
        <v>514</v>
      </c>
      <c r="F16237" t="s">
        <v>410</v>
      </c>
      <c r="G16237">
        <v>539</v>
      </c>
      <c r="I16237">
        <v>528</v>
      </c>
    </row>
    <row r="16238" spans="1:17" x14ac:dyDescent="0.2">
      <c r="A16238" s="121">
        <v>44957</v>
      </c>
      <c r="B16238" t="s">
        <v>406</v>
      </c>
      <c r="C16238" t="s">
        <v>510</v>
      </c>
      <c r="D16238" t="s">
        <v>515</v>
      </c>
      <c r="E16238" t="s">
        <v>516</v>
      </c>
      <c r="F16238" t="s">
        <v>410</v>
      </c>
      <c r="G16238">
        <v>78</v>
      </c>
      <c r="I16238">
        <v>69</v>
      </c>
    </row>
    <row r="16239" spans="1:17" x14ac:dyDescent="0.2">
      <c r="A16239" s="121">
        <v>44957</v>
      </c>
      <c r="B16239" t="s">
        <v>406</v>
      </c>
      <c r="C16239" t="s">
        <v>510</v>
      </c>
      <c r="D16239" t="s">
        <v>519</v>
      </c>
      <c r="E16239" t="s">
        <v>520</v>
      </c>
      <c r="F16239" t="s">
        <v>410</v>
      </c>
      <c r="G16239">
        <v>326</v>
      </c>
      <c r="I16239">
        <v>313</v>
      </c>
    </row>
    <row r="16240" spans="1:17" x14ac:dyDescent="0.2">
      <c r="A16240" s="121">
        <v>44957</v>
      </c>
      <c r="B16240" t="s">
        <v>406</v>
      </c>
      <c r="C16240" t="s">
        <v>510</v>
      </c>
      <c r="D16240" t="s">
        <v>523</v>
      </c>
      <c r="E16240" t="s">
        <v>524</v>
      </c>
      <c r="F16240" t="s">
        <v>413</v>
      </c>
      <c r="G16240">
        <v>646</v>
      </c>
      <c r="H16240">
        <v>646</v>
      </c>
      <c r="I16240">
        <v>571</v>
      </c>
      <c r="J16240">
        <v>571</v>
      </c>
      <c r="K16240">
        <v>143</v>
      </c>
      <c r="L16240">
        <v>1</v>
      </c>
      <c r="M16240">
        <v>482</v>
      </c>
      <c r="N16240">
        <v>13</v>
      </c>
      <c r="O16240">
        <v>7</v>
      </c>
      <c r="P16240">
        <v>4</v>
      </c>
      <c r="Q16240">
        <v>1</v>
      </c>
    </row>
    <row r="16241" spans="1:17" x14ac:dyDescent="0.2">
      <c r="A16241" s="121">
        <v>44957</v>
      </c>
      <c r="B16241" t="s">
        <v>406</v>
      </c>
      <c r="C16241" t="s">
        <v>510</v>
      </c>
      <c r="D16241" t="s">
        <v>525</v>
      </c>
      <c r="E16241" t="s">
        <v>526</v>
      </c>
      <c r="F16241" t="s">
        <v>410</v>
      </c>
      <c r="G16241">
        <v>325</v>
      </c>
      <c r="H16241">
        <v>325</v>
      </c>
      <c r="I16241">
        <v>299</v>
      </c>
      <c r="J16241">
        <v>299</v>
      </c>
      <c r="K16241">
        <v>40</v>
      </c>
      <c r="L16241">
        <v>0</v>
      </c>
      <c r="M16241">
        <v>256</v>
      </c>
      <c r="N16241">
        <v>18</v>
      </c>
      <c r="O16241">
        <v>11</v>
      </c>
      <c r="P16241">
        <v>7</v>
      </c>
      <c r="Q16241">
        <v>2</v>
      </c>
    </row>
    <row r="16242" spans="1:17" x14ac:dyDescent="0.2">
      <c r="A16242" s="121">
        <v>44957</v>
      </c>
      <c r="B16242" t="s">
        <v>406</v>
      </c>
      <c r="C16242" t="s">
        <v>510</v>
      </c>
      <c r="D16242" t="s">
        <v>527</v>
      </c>
      <c r="E16242" t="s">
        <v>528</v>
      </c>
      <c r="F16242" t="s">
        <v>410</v>
      </c>
      <c r="G16242">
        <v>9</v>
      </c>
      <c r="I16242">
        <v>9</v>
      </c>
    </row>
    <row r="16243" spans="1:17" x14ac:dyDescent="0.2">
      <c r="A16243" s="121">
        <v>44957</v>
      </c>
      <c r="B16243" t="s">
        <v>406</v>
      </c>
      <c r="C16243" t="s">
        <v>510</v>
      </c>
      <c r="D16243" t="s">
        <v>529</v>
      </c>
      <c r="E16243" t="s">
        <v>530</v>
      </c>
      <c r="F16243" t="s">
        <v>413</v>
      </c>
      <c r="G16243">
        <v>724</v>
      </c>
      <c r="H16243">
        <v>724</v>
      </c>
      <c r="I16243">
        <v>570</v>
      </c>
      <c r="J16243">
        <v>570</v>
      </c>
      <c r="K16243">
        <v>120</v>
      </c>
      <c r="L16243">
        <v>2</v>
      </c>
      <c r="M16243">
        <v>557</v>
      </c>
      <c r="N16243">
        <v>24</v>
      </c>
      <c r="O16243">
        <v>21</v>
      </c>
      <c r="P16243">
        <v>49</v>
      </c>
      <c r="Q16243">
        <v>22</v>
      </c>
    </row>
    <row r="16244" spans="1:17" x14ac:dyDescent="0.2">
      <c r="A16244" s="121">
        <v>44957</v>
      </c>
      <c r="B16244" t="s">
        <v>406</v>
      </c>
      <c r="C16244" t="s">
        <v>510</v>
      </c>
      <c r="D16244" t="s">
        <v>531</v>
      </c>
      <c r="E16244" t="s">
        <v>532</v>
      </c>
      <c r="F16244" t="s">
        <v>410</v>
      </c>
      <c r="G16244">
        <v>38</v>
      </c>
      <c r="I16244">
        <v>38</v>
      </c>
    </row>
    <row r="16245" spans="1:17" x14ac:dyDescent="0.2">
      <c r="A16245" s="121">
        <v>44957</v>
      </c>
      <c r="B16245" t="s">
        <v>406</v>
      </c>
      <c r="C16245" t="s">
        <v>510</v>
      </c>
      <c r="D16245" t="s">
        <v>533</v>
      </c>
      <c r="E16245" t="s">
        <v>534</v>
      </c>
      <c r="F16245" t="s">
        <v>413</v>
      </c>
      <c r="G16245">
        <v>2710</v>
      </c>
      <c r="H16245">
        <v>2710</v>
      </c>
      <c r="I16245">
        <v>2001</v>
      </c>
      <c r="J16245">
        <v>2001</v>
      </c>
      <c r="K16245">
        <v>740</v>
      </c>
      <c r="L16245">
        <v>5</v>
      </c>
      <c r="M16245">
        <v>1802</v>
      </c>
      <c r="N16245">
        <v>23</v>
      </c>
      <c r="O16245">
        <v>140</v>
      </c>
      <c r="P16245">
        <v>202</v>
      </c>
      <c r="Q16245">
        <v>60</v>
      </c>
    </row>
    <row r="16246" spans="1:17" x14ac:dyDescent="0.2">
      <c r="A16246" s="121">
        <v>44957</v>
      </c>
      <c r="B16246" t="s">
        <v>406</v>
      </c>
      <c r="C16246" t="s">
        <v>510</v>
      </c>
      <c r="D16246" t="s">
        <v>535</v>
      </c>
      <c r="E16246" t="s">
        <v>536</v>
      </c>
      <c r="F16246" t="s">
        <v>410</v>
      </c>
      <c r="G16246">
        <v>262</v>
      </c>
      <c r="I16246">
        <v>262</v>
      </c>
    </row>
    <row r="16247" spans="1:17" x14ac:dyDescent="0.2">
      <c r="A16247" s="121">
        <v>44957</v>
      </c>
      <c r="B16247" t="s">
        <v>406</v>
      </c>
      <c r="C16247" t="s">
        <v>510</v>
      </c>
      <c r="D16247" t="s">
        <v>539</v>
      </c>
      <c r="E16247" t="s">
        <v>540</v>
      </c>
      <c r="F16247" t="s">
        <v>413</v>
      </c>
      <c r="G16247">
        <v>578</v>
      </c>
      <c r="H16247">
        <v>578</v>
      </c>
      <c r="I16247">
        <v>479</v>
      </c>
      <c r="J16247">
        <v>479</v>
      </c>
      <c r="K16247">
        <v>70</v>
      </c>
      <c r="L16247">
        <v>0</v>
      </c>
      <c r="M16247">
        <v>465</v>
      </c>
      <c r="N16247">
        <v>29</v>
      </c>
      <c r="O16247">
        <v>14</v>
      </c>
      <c r="P16247">
        <v>29</v>
      </c>
      <c r="Q16247">
        <v>12</v>
      </c>
    </row>
    <row r="16248" spans="1:17" x14ac:dyDescent="0.2">
      <c r="A16248" s="121">
        <v>44957</v>
      </c>
      <c r="B16248" t="s">
        <v>406</v>
      </c>
      <c r="C16248" t="s">
        <v>510</v>
      </c>
      <c r="D16248" t="s">
        <v>543</v>
      </c>
      <c r="E16248" t="s">
        <v>544</v>
      </c>
      <c r="F16248" t="s">
        <v>410</v>
      </c>
      <c r="G16248">
        <v>6</v>
      </c>
      <c r="I16248">
        <v>6</v>
      </c>
    </row>
    <row r="16249" spans="1:17" x14ac:dyDescent="0.2">
      <c r="A16249" s="121">
        <v>44957</v>
      </c>
      <c r="B16249" t="s">
        <v>406</v>
      </c>
      <c r="C16249" t="s">
        <v>510</v>
      </c>
      <c r="D16249" t="s">
        <v>547</v>
      </c>
      <c r="E16249" t="s">
        <v>548</v>
      </c>
      <c r="F16249" t="s">
        <v>410</v>
      </c>
      <c r="G16249">
        <v>23</v>
      </c>
      <c r="I16249">
        <v>23</v>
      </c>
    </row>
    <row r="16250" spans="1:17" x14ac:dyDescent="0.2">
      <c r="A16250" s="121">
        <v>44957</v>
      </c>
      <c r="B16250" t="s">
        <v>406</v>
      </c>
      <c r="C16250" t="s">
        <v>510</v>
      </c>
      <c r="D16250" t="s">
        <v>616</v>
      </c>
      <c r="E16250" t="s">
        <v>617</v>
      </c>
      <c r="F16250" t="s">
        <v>410</v>
      </c>
      <c r="G16250">
        <v>335</v>
      </c>
      <c r="I16250">
        <v>333</v>
      </c>
    </row>
    <row r="16251" spans="1:17" x14ac:dyDescent="0.2">
      <c r="A16251" s="121">
        <v>44957</v>
      </c>
      <c r="B16251" t="s">
        <v>406</v>
      </c>
      <c r="C16251" t="s">
        <v>510</v>
      </c>
      <c r="D16251" t="s">
        <v>549</v>
      </c>
      <c r="E16251" t="s">
        <v>550</v>
      </c>
      <c r="F16251" t="s">
        <v>410</v>
      </c>
      <c r="G16251">
        <v>135</v>
      </c>
      <c r="I16251">
        <v>135</v>
      </c>
    </row>
    <row r="16252" spans="1:17" x14ac:dyDescent="0.2">
      <c r="A16252" s="121">
        <v>44957</v>
      </c>
      <c r="B16252" t="s">
        <v>406</v>
      </c>
      <c r="C16252" t="s">
        <v>510</v>
      </c>
      <c r="D16252" t="s">
        <v>625</v>
      </c>
      <c r="E16252" t="s">
        <v>626</v>
      </c>
      <c r="F16252" t="s">
        <v>410</v>
      </c>
      <c r="G16252">
        <v>65</v>
      </c>
      <c r="I16252">
        <v>60</v>
      </c>
    </row>
    <row r="16253" spans="1:17" x14ac:dyDescent="0.2">
      <c r="A16253" s="121">
        <v>44957</v>
      </c>
      <c r="B16253" t="s">
        <v>406</v>
      </c>
      <c r="C16253" t="s">
        <v>510</v>
      </c>
      <c r="D16253" t="s">
        <v>634</v>
      </c>
      <c r="E16253" t="s">
        <v>635</v>
      </c>
      <c r="F16253" t="s">
        <v>410</v>
      </c>
      <c r="G16253">
        <v>174</v>
      </c>
      <c r="I16253">
        <v>174</v>
      </c>
    </row>
    <row r="16254" spans="1:17" x14ac:dyDescent="0.2">
      <c r="A16254" s="121">
        <v>44957</v>
      </c>
      <c r="B16254" t="s">
        <v>406</v>
      </c>
      <c r="C16254" t="s">
        <v>551</v>
      </c>
      <c r="D16254" t="s">
        <v>552</v>
      </c>
      <c r="E16254" t="s">
        <v>553</v>
      </c>
      <c r="F16254" t="s">
        <v>413</v>
      </c>
      <c r="G16254">
        <v>4779</v>
      </c>
      <c r="H16254">
        <v>4779</v>
      </c>
      <c r="I16254">
        <v>2920</v>
      </c>
      <c r="J16254">
        <v>2920</v>
      </c>
      <c r="K16254">
        <v>1653</v>
      </c>
      <c r="L16254">
        <v>10</v>
      </c>
      <c r="M16254">
        <v>2991</v>
      </c>
      <c r="N16254">
        <v>97</v>
      </c>
      <c r="O16254">
        <v>28</v>
      </c>
      <c r="P16254">
        <v>739</v>
      </c>
      <c r="Q16254">
        <v>368</v>
      </c>
    </row>
    <row r="16255" spans="1:17" x14ac:dyDescent="0.2">
      <c r="A16255" s="121">
        <v>44957</v>
      </c>
      <c r="B16255" t="s">
        <v>406</v>
      </c>
      <c r="C16255" t="s">
        <v>551</v>
      </c>
      <c r="D16255" t="s">
        <v>558</v>
      </c>
      <c r="E16255" t="s">
        <v>559</v>
      </c>
      <c r="F16255" t="s">
        <v>413</v>
      </c>
      <c r="G16255">
        <v>4567</v>
      </c>
      <c r="H16255">
        <v>4567</v>
      </c>
      <c r="I16255">
        <v>2292</v>
      </c>
      <c r="J16255">
        <v>2292</v>
      </c>
      <c r="K16255">
        <v>1225</v>
      </c>
      <c r="L16255">
        <v>11</v>
      </c>
      <c r="M16255">
        <v>3218</v>
      </c>
      <c r="N16255">
        <v>84</v>
      </c>
      <c r="O16255">
        <v>29</v>
      </c>
      <c r="P16255">
        <v>937</v>
      </c>
      <c r="Q16255">
        <v>463</v>
      </c>
    </row>
    <row r="16256" spans="1:17" x14ac:dyDescent="0.2">
      <c r="A16256" s="121">
        <v>44957</v>
      </c>
      <c r="B16256" t="s">
        <v>406</v>
      </c>
      <c r="C16256" t="s">
        <v>551</v>
      </c>
      <c r="D16256" t="s">
        <v>560</v>
      </c>
      <c r="E16256" t="s">
        <v>561</v>
      </c>
      <c r="F16256" t="s">
        <v>413</v>
      </c>
      <c r="G16256">
        <v>5004</v>
      </c>
      <c r="H16256">
        <v>5004</v>
      </c>
      <c r="I16256">
        <v>2559</v>
      </c>
      <c r="J16256">
        <v>2559</v>
      </c>
      <c r="K16256">
        <v>1843</v>
      </c>
      <c r="L16256">
        <v>15</v>
      </c>
      <c r="M16256">
        <v>3031</v>
      </c>
      <c r="N16256">
        <v>62</v>
      </c>
      <c r="O16256">
        <v>53</v>
      </c>
      <c r="P16256">
        <v>1284</v>
      </c>
      <c r="Q16256">
        <v>694</v>
      </c>
    </row>
    <row r="16257" spans="1:17" x14ac:dyDescent="0.2">
      <c r="A16257" s="121">
        <v>44957</v>
      </c>
      <c r="B16257" t="s">
        <v>406</v>
      </c>
      <c r="C16257" t="s">
        <v>562</v>
      </c>
      <c r="D16257" t="s">
        <v>563</v>
      </c>
      <c r="E16257" t="s">
        <v>564</v>
      </c>
      <c r="F16257" t="s">
        <v>410</v>
      </c>
      <c r="G16257">
        <v>3108</v>
      </c>
      <c r="H16257">
        <v>3108</v>
      </c>
      <c r="I16257">
        <v>1677</v>
      </c>
      <c r="J16257">
        <v>1677</v>
      </c>
      <c r="K16257">
        <v>1142</v>
      </c>
      <c r="L16257">
        <v>1</v>
      </c>
      <c r="M16257">
        <v>1930</v>
      </c>
      <c r="N16257">
        <v>21</v>
      </c>
      <c r="O16257">
        <v>14</v>
      </c>
      <c r="P16257">
        <v>628</v>
      </c>
      <c r="Q16257">
        <v>323</v>
      </c>
    </row>
    <row r="16258" spans="1:17" x14ac:dyDescent="0.2">
      <c r="A16258" s="121">
        <v>44957</v>
      </c>
      <c r="B16258" t="s">
        <v>406</v>
      </c>
      <c r="C16258" t="s">
        <v>562</v>
      </c>
      <c r="D16258" t="s">
        <v>565</v>
      </c>
      <c r="E16258" t="s">
        <v>566</v>
      </c>
      <c r="F16258" t="s">
        <v>413</v>
      </c>
      <c r="G16258">
        <v>4149</v>
      </c>
      <c r="H16258">
        <v>4149</v>
      </c>
      <c r="I16258">
        <v>2837</v>
      </c>
      <c r="J16258">
        <v>2837</v>
      </c>
      <c r="K16258">
        <v>912</v>
      </c>
      <c r="L16258">
        <v>6</v>
      </c>
      <c r="M16258">
        <v>2796</v>
      </c>
      <c r="N16258">
        <v>115</v>
      </c>
      <c r="O16258">
        <v>320</v>
      </c>
      <c r="P16258">
        <v>446</v>
      </c>
      <c r="Q16258">
        <v>216</v>
      </c>
    </row>
    <row r="16259" spans="1:17" x14ac:dyDescent="0.2">
      <c r="A16259" s="121">
        <v>44957</v>
      </c>
      <c r="B16259" t="s">
        <v>406</v>
      </c>
      <c r="C16259" t="s">
        <v>562</v>
      </c>
      <c r="D16259" t="s">
        <v>567</v>
      </c>
      <c r="E16259" t="s">
        <v>568</v>
      </c>
      <c r="F16259" t="s">
        <v>413</v>
      </c>
      <c r="G16259">
        <v>9119</v>
      </c>
      <c r="H16259">
        <v>9119</v>
      </c>
      <c r="I16259">
        <v>4042</v>
      </c>
      <c r="J16259">
        <v>4042</v>
      </c>
      <c r="K16259">
        <v>2495</v>
      </c>
      <c r="L16259">
        <v>5</v>
      </c>
      <c r="M16259">
        <v>6370</v>
      </c>
      <c r="N16259">
        <v>232</v>
      </c>
      <c r="O16259">
        <v>17</v>
      </c>
      <c r="P16259">
        <v>2165</v>
      </c>
      <c r="Q16259">
        <v>1306</v>
      </c>
    </row>
    <row r="16260" spans="1:17" x14ac:dyDescent="0.2">
      <c r="A16260" s="121">
        <v>44957</v>
      </c>
      <c r="B16260" t="s">
        <v>406</v>
      </c>
      <c r="C16260" t="s">
        <v>562</v>
      </c>
      <c r="D16260" t="s">
        <v>569</v>
      </c>
      <c r="E16260" t="s">
        <v>570</v>
      </c>
      <c r="F16260" t="s">
        <v>413</v>
      </c>
      <c r="G16260">
        <v>4175</v>
      </c>
      <c r="H16260">
        <v>4175</v>
      </c>
      <c r="I16260">
        <v>3837</v>
      </c>
      <c r="J16260">
        <v>3837</v>
      </c>
      <c r="K16260">
        <v>680</v>
      </c>
      <c r="L16260">
        <v>0</v>
      </c>
      <c r="M16260">
        <v>3427</v>
      </c>
      <c r="N16260">
        <v>32</v>
      </c>
      <c r="O16260">
        <v>36</v>
      </c>
      <c r="P16260">
        <v>8</v>
      </c>
      <c r="Q16260">
        <v>1</v>
      </c>
    </row>
    <row r="16261" spans="1:17" x14ac:dyDescent="0.2">
      <c r="A16261" s="121">
        <v>44957</v>
      </c>
      <c r="B16261" t="s">
        <v>406</v>
      </c>
      <c r="C16261" t="s">
        <v>571</v>
      </c>
      <c r="D16261" t="s">
        <v>572</v>
      </c>
      <c r="E16261" t="s">
        <v>627</v>
      </c>
      <c r="F16261" t="s">
        <v>413</v>
      </c>
      <c r="G16261">
        <v>555</v>
      </c>
      <c r="H16261">
        <v>555</v>
      </c>
      <c r="I16261">
        <v>485</v>
      </c>
      <c r="J16261">
        <v>485</v>
      </c>
      <c r="K16261">
        <v>122</v>
      </c>
      <c r="L16261">
        <v>0</v>
      </c>
      <c r="M16261">
        <v>411</v>
      </c>
      <c r="N16261">
        <v>6</v>
      </c>
      <c r="O16261">
        <v>16</v>
      </c>
      <c r="P16261">
        <v>13</v>
      </c>
      <c r="Q16261">
        <v>2</v>
      </c>
    </row>
    <row r="16262" spans="1:17" x14ac:dyDescent="0.2">
      <c r="A16262" s="121">
        <v>44957</v>
      </c>
      <c r="B16262" t="s">
        <v>406</v>
      </c>
      <c r="C16262" t="s">
        <v>574</v>
      </c>
      <c r="D16262" t="s">
        <v>575</v>
      </c>
      <c r="E16262" t="s">
        <v>576</v>
      </c>
      <c r="F16262" t="s">
        <v>413</v>
      </c>
      <c r="G16262">
        <v>693</v>
      </c>
      <c r="H16262">
        <v>693</v>
      </c>
      <c r="I16262">
        <v>601</v>
      </c>
      <c r="J16262">
        <v>601</v>
      </c>
      <c r="K16262">
        <v>150</v>
      </c>
      <c r="L16262">
        <v>1</v>
      </c>
      <c r="M16262">
        <v>530</v>
      </c>
      <c r="N16262">
        <v>4</v>
      </c>
      <c r="O16262">
        <v>8</v>
      </c>
      <c r="P16262">
        <v>4</v>
      </c>
      <c r="Q16262">
        <v>1</v>
      </c>
    </row>
    <row r="16263" spans="1:17" x14ac:dyDescent="0.2">
      <c r="A16263" s="121">
        <v>44957</v>
      </c>
      <c r="B16263" t="s">
        <v>406</v>
      </c>
      <c r="C16263" t="s">
        <v>577</v>
      </c>
      <c r="D16263" t="s">
        <v>578</v>
      </c>
      <c r="E16263" t="s">
        <v>579</v>
      </c>
      <c r="F16263" t="s">
        <v>413</v>
      </c>
      <c r="G16263">
        <v>4243</v>
      </c>
      <c r="H16263">
        <v>4243</v>
      </c>
      <c r="I16263">
        <v>3815</v>
      </c>
      <c r="J16263">
        <v>3815</v>
      </c>
      <c r="K16263">
        <v>1805</v>
      </c>
      <c r="L16263">
        <v>5</v>
      </c>
      <c r="M16263">
        <v>2091</v>
      </c>
      <c r="N16263">
        <v>294</v>
      </c>
      <c r="O16263">
        <v>48</v>
      </c>
      <c r="P16263">
        <v>27</v>
      </c>
      <c r="Q16263">
        <v>0</v>
      </c>
    </row>
    <row r="16264" spans="1:17" x14ac:dyDescent="0.2">
      <c r="A16264" s="121">
        <v>44957</v>
      </c>
      <c r="B16264" t="s">
        <v>406</v>
      </c>
      <c r="C16264" t="s">
        <v>577</v>
      </c>
      <c r="D16264" t="s">
        <v>580</v>
      </c>
      <c r="E16264" t="s">
        <v>581</v>
      </c>
      <c r="F16264" t="s">
        <v>413</v>
      </c>
      <c r="G16264">
        <v>1588</v>
      </c>
      <c r="H16264">
        <v>1588</v>
      </c>
      <c r="I16264">
        <v>1463</v>
      </c>
      <c r="J16264">
        <v>1463</v>
      </c>
      <c r="K16264">
        <v>250</v>
      </c>
      <c r="L16264">
        <v>1</v>
      </c>
      <c r="M16264">
        <v>1120</v>
      </c>
      <c r="N16264">
        <v>176</v>
      </c>
      <c r="O16264">
        <v>41</v>
      </c>
      <c r="P16264">
        <v>5</v>
      </c>
      <c r="Q16264">
        <v>0</v>
      </c>
    </row>
    <row r="16265" spans="1:17" x14ac:dyDescent="0.2">
      <c r="A16265" s="121">
        <v>44957</v>
      </c>
      <c r="B16265" t="s">
        <v>406</v>
      </c>
      <c r="C16265" t="s">
        <v>577</v>
      </c>
      <c r="D16265" t="s">
        <v>586</v>
      </c>
      <c r="E16265" t="s">
        <v>587</v>
      </c>
      <c r="F16265" t="s">
        <v>410</v>
      </c>
      <c r="G16265">
        <v>573</v>
      </c>
      <c r="H16265">
        <v>573</v>
      </c>
      <c r="I16265">
        <v>573</v>
      </c>
      <c r="J16265">
        <v>573</v>
      </c>
      <c r="K16265">
        <v>0</v>
      </c>
      <c r="L16265">
        <v>0</v>
      </c>
      <c r="M16265">
        <v>529</v>
      </c>
      <c r="N16265">
        <v>44</v>
      </c>
      <c r="O16265">
        <v>0</v>
      </c>
      <c r="P16265">
        <v>0</v>
      </c>
      <c r="Q16265">
        <v>0</v>
      </c>
    </row>
    <row r="16266" spans="1:17" x14ac:dyDescent="0.2">
      <c r="A16266" s="121">
        <v>44957</v>
      </c>
      <c r="B16266" t="s">
        <v>406</v>
      </c>
      <c r="C16266" t="s">
        <v>577</v>
      </c>
      <c r="D16266" t="s">
        <v>590</v>
      </c>
      <c r="E16266" t="s">
        <v>591</v>
      </c>
      <c r="F16266" t="s">
        <v>410</v>
      </c>
      <c r="G16266">
        <v>254</v>
      </c>
      <c r="H16266">
        <v>254</v>
      </c>
      <c r="I16266">
        <v>254</v>
      </c>
      <c r="J16266">
        <v>254</v>
      </c>
      <c r="K16266">
        <v>0</v>
      </c>
      <c r="L16266">
        <v>0</v>
      </c>
      <c r="M16266">
        <v>241</v>
      </c>
      <c r="N16266">
        <v>12</v>
      </c>
      <c r="O16266">
        <v>1</v>
      </c>
      <c r="P16266">
        <v>0</v>
      </c>
      <c r="Q16266">
        <v>0</v>
      </c>
    </row>
    <row r="16267" spans="1:17" x14ac:dyDescent="0.2">
      <c r="A16267" s="121">
        <v>44957</v>
      </c>
      <c r="B16267" t="s">
        <v>406</v>
      </c>
      <c r="C16267" t="s">
        <v>594</v>
      </c>
      <c r="D16267" t="s">
        <v>595</v>
      </c>
      <c r="E16267" t="s">
        <v>596</v>
      </c>
      <c r="F16267" t="s">
        <v>410</v>
      </c>
      <c r="G16267">
        <v>21</v>
      </c>
      <c r="I16267">
        <v>21</v>
      </c>
    </row>
    <row r="16268" spans="1:17" x14ac:dyDescent="0.2">
      <c r="A16268" s="121">
        <v>44957</v>
      </c>
      <c r="B16268" t="s">
        <v>406</v>
      </c>
      <c r="C16268" t="s">
        <v>594</v>
      </c>
      <c r="D16268" t="s">
        <v>597</v>
      </c>
      <c r="E16268" t="s">
        <v>598</v>
      </c>
      <c r="F16268" t="s">
        <v>413</v>
      </c>
      <c r="G16268">
        <v>430</v>
      </c>
      <c r="H16268">
        <v>430</v>
      </c>
      <c r="I16268">
        <v>423</v>
      </c>
      <c r="J16268">
        <v>423</v>
      </c>
      <c r="K16268">
        <v>143</v>
      </c>
      <c r="L16268">
        <v>1</v>
      </c>
      <c r="M16268">
        <v>277</v>
      </c>
      <c r="N16268">
        <v>4</v>
      </c>
      <c r="O16268">
        <v>5</v>
      </c>
      <c r="P16268">
        <v>0</v>
      </c>
      <c r="Q16268">
        <v>0</v>
      </c>
    </row>
    <row r="16269" spans="1:17" x14ac:dyDescent="0.2">
      <c r="A16269" s="121">
        <v>44957</v>
      </c>
      <c r="B16269" t="s">
        <v>406</v>
      </c>
      <c r="C16269" t="s">
        <v>594</v>
      </c>
      <c r="D16269" t="s">
        <v>599</v>
      </c>
      <c r="E16269" t="s">
        <v>600</v>
      </c>
      <c r="F16269" t="s">
        <v>410</v>
      </c>
      <c r="G16269">
        <v>89</v>
      </c>
      <c r="H16269">
        <v>89</v>
      </c>
      <c r="I16269">
        <v>88</v>
      </c>
      <c r="J16269">
        <v>88</v>
      </c>
      <c r="K16269">
        <v>6</v>
      </c>
      <c r="L16269">
        <v>0</v>
      </c>
      <c r="M16269">
        <v>83</v>
      </c>
      <c r="N16269">
        <v>0</v>
      </c>
      <c r="O16269">
        <v>0</v>
      </c>
      <c r="P16269">
        <v>0</v>
      </c>
      <c r="Q16269">
        <v>0</v>
      </c>
    </row>
  </sheetData>
  <autoFilter ref="A1:Q1" xr:uid="{00000000-0009-0000-0000-000005000000}"/>
  <pageMargins left="0.70866141732283472" right="0.70866141732283472" top="0.74803149606299213" bottom="0.74803149606299213" header="0.31496062992125984" footer="0.31496062992125984"/>
  <pageSetup paperSize="9" scale="51" orientation="landscape" horizontalDpi="200" verticalDpi="2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T223"/>
  <sheetViews>
    <sheetView showGridLines="0" topLeftCell="A61" zoomScale="85" zoomScaleNormal="85" workbookViewId="0">
      <selection activeCell="B95" sqref="B95"/>
    </sheetView>
  </sheetViews>
  <sheetFormatPr defaultColWidth="11.42578125" defaultRowHeight="12.75" x14ac:dyDescent="0.2"/>
  <cols>
    <col min="1" max="1" width="1.140625" customWidth="1"/>
    <col min="2" max="2" width="62.140625" customWidth="1"/>
    <col min="3" max="6" width="12.7109375" customWidth="1"/>
    <col min="7" max="7" width="5.140625" customWidth="1"/>
    <col min="8" max="8" width="6.28515625" customWidth="1"/>
    <col min="9" max="9" width="29.140625" customWidth="1"/>
    <col min="10" max="10" width="28.7109375" customWidth="1"/>
    <col min="11" max="11" width="22.85546875" customWidth="1"/>
    <col min="12" max="12" width="17.85546875" customWidth="1"/>
    <col min="13" max="13" width="21.7109375" customWidth="1"/>
    <col min="14" max="14" width="10.5703125" customWidth="1"/>
    <col min="19" max="19" width="21.7109375" customWidth="1"/>
  </cols>
  <sheetData>
    <row r="1" spans="2:20" ht="22.5" customHeight="1" x14ac:dyDescent="0.35">
      <c r="B1" s="112" t="s">
        <v>88</v>
      </c>
      <c r="I1" s="112" t="s">
        <v>143</v>
      </c>
      <c r="N1" s="112" t="s">
        <v>142</v>
      </c>
    </row>
    <row r="2" spans="2:20" ht="7.5" customHeight="1" x14ac:dyDescent="0.2"/>
    <row r="3" spans="2:20" ht="29.45" customHeight="1" x14ac:dyDescent="0.25">
      <c r="B3" s="38" t="s">
        <v>87</v>
      </c>
      <c r="C3" s="113" t="s">
        <v>141</v>
      </c>
      <c r="D3" s="116" t="s">
        <v>138</v>
      </c>
      <c r="E3" s="120" t="s">
        <v>159</v>
      </c>
      <c r="F3" s="120" t="s">
        <v>185</v>
      </c>
      <c r="N3" s="61" t="s">
        <v>193</v>
      </c>
      <c r="Q3" s="61" t="s">
        <v>194</v>
      </c>
    </row>
    <row r="4" spans="2:20" ht="16.5" customHeight="1" x14ac:dyDescent="0.25">
      <c r="B4" s="62" t="s">
        <v>0</v>
      </c>
      <c r="C4" s="63" t="s">
        <v>222</v>
      </c>
      <c r="D4" s="63" t="str">
        <f>IF(ISNUMBER(FIND("ED",B4)),"ED","All")</f>
        <v>All</v>
      </c>
      <c r="E4" s="64" t="s">
        <v>197</v>
      </c>
      <c r="F4" s="65" t="s">
        <v>196</v>
      </c>
      <c r="I4" s="75"/>
      <c r="J4" s="75" t="s">
        <v>89</v>
      </c>
      <c r="K4" s="75" t="s">
        <v>15</v>
      </c>
      <c r="L4" s="209" t="s">
        <v>158</v>
      </c>
      <c r="M4" s="209"/>
      <c r="Q4" s="38"/>
    </row>
    <row r="5" spans="2:20" ht="16.5" customHeight="1" x14ac:dyDescent="0.25">
      <c r="B5" s="66" t="s">
        <v>122</v>
      </c>
      <c r="C5" s="67" t="s">
        <v>222</v>
      </c>
      <c r="D5" s="67" t="str">
        <f>IF(ISNUMBER(FIND("ED",B5)),"ED","All")</f>
        <v>ED</v>
      </c>
      <c r="E5" s="68" t="s">
        <v>197</v>
      </c>
      <c r="F5" s="69" t="s">
        <v>197</v>
      </c>
      <c r="I5" s="86" t="s">
        <v>16</v>
      </c>
      <c r="J5" s="62" t="str">
        <f>Compliance!B4</f>
        <v>NHS Scotland</v>
      </c>
      <c r="K5" s="38" t="str">
        <f>Disc_dest!$B$4</f>
        <v>NHS Scotland</v>
      </c>
      <c r="L5" s="38" t="str">
        <f>board_comparison!$B$4</f>
        <v>NHS Scotland</v>
      </c>
      <c r="M5" s="38" t="str">
        <f>board_comparison!$B$7</f>
        <v>% within 4 hours</v>
      </c>
      <c r="N5" s="97">
        <v>39294</v>
      </c>
      <c r="O5" s="101">
        <v>0.98</v>
      </c>
      <c r="P5" s="101">
        <v>98</v>
      </c>
      <c r="Q5" s="115"/>
      <c r="S5" s="61" t="s">
        <v>157</v>
      </c>
      <c r="T5" s="38" t="str">
        <f>K5&amp;": destination on leaving A&amp;E (excludes 'Unknown')"</f>
        <v>NHS Scotland: destination on leaving A&amp;E (excludes 'Unknown')</v>
      </c>
    </row>
    <row r="6" spans="2:20" ht="16.5" customHeight="1" x14ac:dyDescent="0.25">
      <c r="B6" s="62" t="s">
        <v>1</v>
      </c>
      <c r="C6" s="70" t="s">
        <v>139</v>
      </c>
      <c r="D6" s="70" t="str">
        <f>IF(ISNUMBER(FIND("ED",B6)),"ED","All")</f>
        <v>All</v>
      </c>
      <c r="E6" s="71"/>
      <c r="F6" s="72" t="s">
        <v>229</v>
      </c>
      <c r="I6" s="102" t="s">
        <v>144</v>
      </c>
      <c r="J6" s="38" t="str">
        <f>VLOOKUP(J5,$B$4:$D$142,2,FALSE)</f>
        <v>Scotland</v>
      </c>
      <c r="K6" s="38" t="str">
        <f>VLOOKUP(K5,$B$4:$D$142,2,FALSE)</f>
        <v>Scotland</v>
      </c>
      <c r="N6" s="97">
        <v>39325</v>
      </c>
      <c r="O6" s="101">
        <v>0.98</v>
      </c>
      <c r="P6" s="101">
        <v>98</v>
      </c>
      <c r="Q6" s="115"/>
      <c r="S6" s="61" t="s">
        <v>157</v>
      </c>
      <c r="T6" s="38" t="str">
        <f>J5&amp;": attendance and compliance with 4 hour waiting time standard"</f>
        <v>NHS Scotland: attendance and compliance with 4 hour waiting time standard</v>
      </c>
    </row>
    <row r="7" spans="2:20" ht="16.5" customHeight="1" x14ac:dyDescent="0.25">
      <c r="B7" s="66" t="s">
        <v>124</v>
      </c>
      <c r="C7" s="73" t="s">
        <v>139</v>
      </c>
      <c r="D7" s="73" t="str">
        <f>IF(ISNUMBER(FIND("ED",B7)),"ED","All")</f>
        <v>ED</v>
      </c>
      <c r="E7" s="74"/>
      <c r="F7" s="72" t="s">
        <v>229</v>
      </c>
      <c r="I7" s="61" t="s">
        <v>146</v>
      </c>
      <c r="J7" s="38" t="str">
        <f>IF(J6="Hosp","$E:$E",IF(J6="HB","$C:$C",IF(J6="Scotland","$B:$B",IF(J6="Scotlandxl","$R:$R"))))</f>
        <v>$B:$B</v>
      </c>
      <c r="K7" s="38" t="str">
        <f>IF(K6="Hosp","$E:$E",IF(K6="HB","$C:$C",IF(K6="Scotland","$B:$B",IF(K6="Scotlandxl","$R:$R"))))</f>
        <v>$B:$B</v>
      </c>
      <c r="L7" s="38" t="s">
        <v>220</v>
      </c>
      <c r="N7" s="97">
        <v>39355</v>
      </c>
      <c r="O7" s="101">
        <v>0.98</v>
      </c>
      <c r="P7" s="101">
        <v>98</v>
      </c>
      <c r="Q7" s="115"/>
    </row>
    <row r="8" spans="2:20" ht="16.5" customHeight="1" x14ac:dyDescent="0.25">
      <c r="B8" s="76" t="s">
        <v>22</v>
      </c>
      <c r="C8" s="77" t="s">
        <v>140</v>
      </c>
      <c r="D8" s="77" t="s">
        <v>255</v>
      </c>
      <c r="E8" s="78"/>
      <c r="F8" s="79"/>
      <c r="I8" s="102" t="s">
        <v>145</v>
      </c>
      <c r="J8" s="38" t="s">
        <v>262</v>
      </c>
      <c r="K8" s="38" t="s">
        <v>262</v>
      </c>
      <c r="L8" s="38" t="s">
        <v>262</v>
      </c>
      <c r="N8" s="97">
        <v>39386</v>
      </c>
      <c r="O8" s="101">
        <v>0.98</v>
      </c>
      <c r="P8" s="101">
        <v>98</v>
      </c>
      <c r="Q8" s="115"/>
    </row>
    <row r="9" spans="2:20" ht="16.5" customHeight="1" x14ac:dyDescent="0.2">
      <c r="B9" s="80" t="s">
        <v>109</v>
      </c>
      <c r="C9" s="81" t="s">
        <v>140</v>
      </c>
      <c r="D9" s="81" t="s">
        <v>255</v>
      </c>
      <c r="E9" s="82" t="s">
        <v>160</v>
      </c>
      <c r="F9" s="82" t="s">
        <v>160</v>
      </c>
      <c r="I9" s="38" t="s">
        <v>147</v>
      </c>
      <c r="J9" s="38" t="str">
        <f>CONCATENATE(J8,J7)</f>
        <v>inputdata!$B:$B</v>
      </c>
      <c r="K9" s="38" t="str">
        <f>CONCATENATE(K8,K7)</f>
        <v>inputdata!$B:$B</v>
      </c>
      <c r="L9" s="38" t="str">
        <f>CONCATENATE(L8,L7)</f>
        <v>inputdata!$C:$C</v>
      </c>
      <c r="N9" s="97">
        <v>39416</v>
      </c>
      <c r="O9" s="101">
        <v>0.98</v>
      </c>
      <c r="P9" s="101">
        <v>98</v>
      </c>
      <c r="Q9" s="115"/>
    </row>
    <row r="10" spans="2:20" ht="16.5" customHeight="1" x14ac:dyDescent="0.25">
      <c r="B10" s="80" t="s">
        <v>230</v>
      </c>
      <c r="C10" s="81" t="s">
        <v>140</v>
      </c>
      <c r="D10" s="81" t="s">
        <v>255</v>
      </c>
      <c r="E10" s="82"/>
      <c r="F10" s="72" t="s">
        <v>229</v>
      </c>
      <c r="I10" s="38" t="s">
        <v>148</v>
      </c>
      <c r="J10" s="38" t="str">
        <f>CONCATENATE(J8,"$A:$A")</f>
        <v>inputdata!$A:$A</v>
      </c>
      <c r="K10" s="38" t="str">
        <f>CONCATENATE(K8,"$A:$A")</f>
        <v>inputdata!$A:$A</v>
      </c>
      <c r="L10" s="38" t="str">
        <f>CONCATENATE(L8,"$A:$A")</f>
        <v>inputdata!$A:$A</v>
      </c>
      <c r="N10" s="97">
        <v>39447</v>
      </c>
      <c r="O10" s="101">
        <v>0.98</v>
      </c>
      <c r="P10" s="101">
        <v>98</v>
      </c>
      <c r="Q10" s="115"/>
      <c r="S10" s="119" t="s">
        <v>217</v>
      </c>
    </row>
    <row r="11" spans="2:20" ht="16.5" customHeight="1" x14ac:dyDescent="0.2">
      <c r="B11" s="80" t="s">
        <v>23</v>
      </c>
      <c r="C11" s="81" t="s">
        <v>140</v>
      </c>
      <c r="D11" s="81" t="s">
        <v>255</v>
      </c>
      <c r="E11" s="82" t="s">
        <v>161</v>
      </c>
      <c r="F11" s="82" t="s">
        <v>161</v>
      </c>
      <c r="I11" s="38" t="s">
        <v>263</v>
      </c>
      <c r="J11" s="38" t="str">
        <f>CONCATENATE(J$8,"$G:$G")</f>
        <v>inputdata!$G:$G</v>
      </c>
      <c r="K11" s="38" t="str">
        <f>CONCATENATE(K$8,"$G:$G")</f>
        <v>inputdata!$G:$G</v>
      </c>
      <c r="L11" s="38" t="str">
        <f>CONCATENATE(L$8,"$G:$G")</f>
        <v>inputdata!$G:$G</v>
      </c>
      <c r="N11" s="97">
        <v>39478</v>
      </c>
      <c r="O11" s="101">
        <v>0.98</v>
      </c>
      <c r="P11" s="101">
        <v>98</v>
      </c>
      <c r="Q11" s="115"/>
      <c r="S11" s="117" t="s">
        <v>21</v>
      </c>
    </row>
    <row r="12" spans="2:20" ht="16.5" customHeight="1" x14ac:dyDescent="0.2">
      <c r="B12" s="80" t="s">
        <v>231</v>
      </c>
      <c r="C12" s="81" t="s">
        <v>140</v>
      </c>
      <c r="D12" s="81" t="s">
        <v>255</v>
      </c>
      <c r="E12" s="82"/>
      <c r="F12" s="72" t="s">
        <v>229</v>
      </c>
      <c r="I12" s="38" t="s">
        <v>264</v>
      </c>
      <c r="J12" s="38" t="str">
        <f>CONCATENATE(J$8,"$H:$H")</f>
        <v>inputdata!$H:$H</v>
      </c>
      <c r="K12" s="38" t="str">
        <f>CONCATENATE(K$8,"$H:$H")</f>
        <v>inputdata!$H:$H</v>
      </c>
      <c r="N12" s="97">
        <v>39507</v>
      </c>
      <c r="O12" s="101">
        <v>0.98</v>
      </c>
      <c r="P12" s="101">
        <v>98</v>
      </c>
      <c r="Q12" s="115"/>
      <c r="S12" s="117" t="s">
        <v>224</v>
      </c>
    </row>
    <row r="13" spans="2:20" ht="16.5" customHeight="1" x14ac:dyDescent="0.2">
      <c r="B13" s="83" t="s">
        <v>110</v>
      </c>
      <c r="C13" s="73" t="s">
        <v>140</v>
      </c>
      <c r="D13" s="73" t="s">
        <v>255</v>
      </c>
      <c r="E13" s="74" t="s">
        <v>162</v>
      </c>
      <c r="F13" s="74" t="s">
        <v>162</v>
      </c>
      <c r="I13" s="38" t="s">
        <v>265</v>
      </c>
      <c r="J13" s="38" t="str">
        <f>CONCATENATE(J$8,"$I:$I")</f>
        <v>inputdata!$I:$I</v>
      </c>
      <c r="L13" s="38" t="str">
        <f>CONCATENATE(L$8,"$I:$I")</f>
        <v>inputdata!$I:$I</v>
      </c>
      <c r="N13" s="97">
        <v>39538</v>
      </c>
      <c r="O13" s="101">
        <v>0.98</v>
      </c>
      <c r="P13" s="101">
        <v>98</v>
      </c>
      <c r="Q13" s="115"/>
      <c r="S13" s="117" t="s">
        <v>225</v>
      </c>
    </row>
    <row r="14" spans="2:20" ht="16.5" customHeight="1" x14ac:dyDescent="0.25">
      <c r="B14" s="62" t="s">
        <v>2</v>
      </c>
      <c r="C14" s="70" t="s">
        <v>139</v>
      </c>
      <c r="D14" s="70" t="str">
        <f>IF(ISNUMBER(FIND("ED",B14)),"ED","All")</f>
        <v>All</v>
      </c>
      <c r="E14" s="71"/>
      <c r="F14" s="72"/>
      <c r="I14" s="38" t="s">
        <v>151</v>
      </c>
      <c r="J14" s="38" t="str">
        <f>CONCATENATE(J$8,"$J:$J")</f>
        <v>inputdata!$J:$J</v>
      </c>
      <c r="N14" s="97">
        <v>39568</v>
      </c>
      <c r="O14" s="101">
        <v>0.98</v>
      </c>
      <c r="P14" s="101">
        <v>98</v>
      </c>
      <c r="Q14" s="115"/>
      <c r="S14" s="118" t="s">
        <v>226</v>
      </c>
    </row>
    <row r="15" spans="2:20" ht="16.5" customHeight="1" x14ac:dyDescent="0.25">
      <c r="B15" s="66" t="s">
        <v>125</v>
      </c>
      <c r="C15" s="73" t="s">
        <v>139</v>
      </c>
      <c r="D15" s="73" t="str">
        <f>IF(ISNUMBER(FIND("ED",B15)),"ED","All")</f>
        <v>ED</v>
      </c>
      <c r="E15" s="74"/>
      <c r="F15" s="84"/>
      <c r="I15" s="38" t="s">
        <v>149</v>
      </c>
      <c r="J15" s="38" t="str">
        <f>CONCATENATE(J$8,"$P:$P")</f>
        <v>inputdata!$P:$P</v>
      </c>
      <c r="K15" s="38" t="s">
        <v>123</v>
      </c>
      <c r="L15" s="38" t="str">
        <f>CONCATENATE(L$8,"$P:$P")</f>
        <v>inputdata!$P:$P</v>
      </c>
      <c r="N15" s="97">
        <v>39599</v>
      </c>
      <c r="O15" s="101">
        <v>0.98</v>
      </c>
      <c r="P15" s="101">
        <v>98</v>
      </c>
      <c r="Q15" s="115"/>
    </row>
    <row r="16" spans="2:20" ht="16.5" customHeight="1" x14ac:dyDescent="0.2">
      <c r="B16" s="85" t="s">
        <v>319</v>
      </c>
      <c r="C16" s="70" t="s">
        <v>140</v>
      </c>
      <c r="D16" s="70" t="s">
        <v>255</v>
      </c>
      <c r="E16" s="71"/>
      <c r="F16" s="72"/>
      <c r="I16" s="38" t="s">
        <v>150</v>
      </c>
      <c r="J16" s="38" t="str">
        <f>CONCATENATE(J$8,"$Q:$Q")</f>
        <v>inputdata!$Q:$Q</v>
      </c>
      <c r="L16" s="38" t="str">
        <f>CONCATENATE(J$8,"$Q:$Q")</f>
        <v>inputdata!$Q:$Q</v>
      </c>
      <c r="N16" s="97">
        <v>39629</v>
      </c>
      <c r="O16" s="101">
        <v>0.98</v>
      </c>
      <c r="P16" s="101">
        <v>98</v>
      </c>
      <c r="Q16" s="115"/>
    </row>
    <row r="17" spans="2:17" ht="16.5" customHeight="1" x14ac:dyDescent="0.2">
      <c r="B17" s="80" t="s">
        <v>25</v>
      </c>
      <c r="C17" s="81" t="s">
        <v>140</v>
      </c>
      <c r="D17" s="81" t="s">
        <v>255</v>
      </c>
      <c r="E17" s="82"/>
      <c r="F17" s="87"/>
      <c r="I17" s="38" t="s">
        <v>152</v>
      </c>
      <c r="K17" s="38" t="str">
        <f>CONCATENATE(K$8,"$M:$M")</f>
        <v>inputdata!$M:$M</v>
      </c>
      <c r="N17" s="97">
        <v>39660</v>
      </c>
      <c r="O17" s="101">
        <v>0.98</v>
      </c>
      <c r="P17" s="101">
        <v>98</v>
      </c>
      <c r="Q17" s="115"/>
    </row>
    <row r="18" spans="2:17" ht="16.5" customHeight="1" x14ac:dyDescent="0.2">
      <c r="B18" s="80" t="s">
        <v>320</v>
      </c>
      <c r="C18" s="81" t="s">
        <v>140</v>
      </c>
      <c r="D18" s="81" t="s">
        <v>255</v>
      </c>
      <c r="E18" s="82"/>
      <c r="F18" s="87"/>
      <c r="I18" s="38" t="s">
        <v>153</v>
      </c>
      <c r="K18" s="38" t="str">
        <f>CONCATENATE(K$8,"$K:$K")</f>
        <v>inputdata!$K:$K</v>
      </c>
      <c r="N18" s="97">
        <v>39691</v>
      </c>
      <c r="O18" s="101">
        <v>0.98</v>
      </c>
      <c r="P18" s="101">
        <v>98</v>
      </c>
      <c r="Q18" s="115"/>
    </row>
    <row r="19" spans="2:17" ht="16.5" customHeight="1" x14ac:dyDescent="0.2">
      <c r="B19" s="80" t="s">
        <v>26</v>
      </c>
      <c r="C19" s="81" t="s">
        <v>140</v>
      </c>
      <c r="D19" s="81" t="s">
        <v>255</v>
      </c>
      <c r="E19" s="82"/>
      <c r="F19" s="87"/>
      <c r="I19" s="38" t="s">
        <v>154</v>
      </c>
      <c r="K19" s="38" t="str">
        <f>CONCATENATE(K$8,"$N:$N")</f>
        <v>inputdata!$N:$N</v>
      </c>
      <c r="N19" s="97">
        <v>39721</v>
      </c>
      <c r="O19" s="101">
        <v>0.98</v>
      </c>
      <c r="P19" s="101">
        <v>98</v>
      </c>
      <c r="Q19" s="115"/>
    </row>
    <row r="20" spans="2:17" ht="16.5" customHeight="1" x14ac:dyDescent="0.2">
      <c r="B20" s="83" t="s">
        <v>232</v>
      </c>
      <c r="C20" s="73" t="s">
        <v>140</v>
      </c>
      <c r="D20" s="73" t="s">
        <v>255</v>
      </c>
      <c r="E20" s="74"/>
      <c r="F20" s="84"/>
      <c r="I20" s="38" t="s">
        <v>155</v>
      </c>
      <c r="K20" s="38" t="str">
        <f>CONCATENATE(K$8,"$L:$L")</f>
        <v>inputdata!$L:$L</v>
      </c>
      <c r="N20" s="97">
        <v>39752</v>
      </c>
      <c r="O20" s="101">
        <v>0.98</v>
      </c>
      <c r="P20" s="101">
        <v>98</v>
      </c>
      <c r="Q20" s="115"/>
    </row>
    <row r="21" spans="2:17" ht="16.5" customHeight="1" x14ac:dyDescent="0.25">
      <c r="B21" s="62" t="s">
        <v>3</v>
      </c>
      <c r="C21" s="70" t="s">
        <v>139</v>
      </c>
      <c r="D21" s="70" t="str">
        <f>IF(ISNUMBER(FIND("ED",B21)),"ED","All")</f>
        <v>All</v>
      </c>
      <c r="E21" s="71" t="s">
        <v>163</v>
      </c>
      <c r="F21" s="72" t="s">
        <v>163</v>
      </c>
      <c r="I21" s="38" t="s">
        <v>156</v>
      </c>
      <c r="K21" s="38" t="str">
        <f>CONCATENATE(K$8,"$O:$O")</f>
        <v>inputdata!$O:$O</v>
      </c>
      <c r="N21" s="97">
        <v>39782</v>
      </c>
      <c r="O21" s="101">
        <v>0.98</v>
      </c>
      <c r="P21" s="101">
        <v>98</v>
      </c>
      <c r="Q21" s="115"/>
    </row>
    <row r="22" spans="2:17" ht="16.5" customHeight="1" x14ac:dyDescent="0.25">
      <c r="B22" s="66" t="s">
        <v>135</v>
      </c>
      <c r="C22" s="73" t="s">
        <v>139</v>
      </c>
      <c r="D22" s="73" t="str">
        <f>IF(ISNUMBER(FIND("ED",B22)),"ED","All")</f>
        <v>ED</v>
      </c>
      <c r="E22" s="74"/>
      <c r="F22" s="84"/>
      <c r="I22" s="38" t="s">
        <v>218</v>
      </c>
      <c r="L22" s="38" t="str">
        <f>IF(M5="Number of Attendances",L11,IF(M5="% Within 4 Hours",L13,IF(M5="Number over 8 Hours",L15,L16)))</f>
        <v>inputdata!$I:$I</v>
      </c>
      <c r="N22" s="97">
        <v>39813</v>
      </c>
      <c r="O22" s="101">
        <v>0.98</v>
      </c>
      <c r="P22" s="101">
        <v>98</v>
      </c>
      <c r="Q22" s="115"/>
    </row>
    <row r="23" spans="2:17" ht="16.5" customHeight="1" x14ac:dyDescent="0.2">
      <c r="B23" s="85" t="s">
        <v>323</v>
      </c>
      <c r="C23" s="70" t="s">
        <v>140</v>
      </c>
      <c r="D23" s="70" t="s">
        <v>255</v>
      </c>
      <c r="E23" s="71"/>
      <c r="F23" s="72"/>
      <c r="N23" s="97">
        <v>39844</v>
      </c>
      <c r="O23" s="101">
        <v>0.98</v>
      </c>
      <c r="P23" s="101">
        <v>98</v>
      </c>
      <c r="Q23" s="115"/>
    </row>
    <row r="24" spans="2:17" ht="16.5" customHeight="1" x14ac:dyDescent="0.2">
      <c r="B24" s="80" t="s">
        <v>234</v>
      </c>
      <c r="C24" s="81" t="s">
        <v>140</v>
      </c>
      <c r="D24" s="81" t="s">
        <v>255</v>
      </c>
      <c r="E24" s="82"/>
      <c r="F24" s="87"/>
      <c r="N24" s="97">
        <v>39872</v>
      </c>
      <c r="O24" s="101">
        <v>0.98</v>
      </c>
      <c r="P24" s="101">
        <v>98</v>
      </c>
      <c r="Q24" s="115"/>
    </row>
    <row r="25" spans="2:17" ht="16.5" customHeight="1" x14ac:dyDescent="0.2">
      <c r="B25" s="50" t="s">
        <v>324</v>
      </c>
      <c r="C25" s="81" t="s">
        <v>140</v>
      </c>
      <c r="D25" s="81" t="s">
        <v>255</v>
      </c>
      <c r="E25" s="82"/>
      <c r="F25" s="87"/>
      <c r="N25" s="97">
        <v>39903</v>
      </c>
      <c r="O25" s="101">
        <v>0.98</v>
      </c>
      <c r="P25" s="101">
        <v>98</v>
      </c>
      <c r="Q25" s="115"/>
    </row>
    <row r="26" spans="2:17" ht="16.5" customHeight="1" x14ac:dyDescent="0.2">
      <c r="B26" s="50" t="s">
        <v>325</v>
      </c>
      <c r="C26" s="81" t="s">
        <v>140</v>
      </c>
      <c r="D26" s="81" t="s">
        <v>255</v>
      </c>
      <c r="E26" s="82"/>
      <c r="F26" s="87"/>
      <c r="N26" s="97">
        <v>39933</v>
      </c>
      <c r="O26" s="101">
        <v>0.98</v>
      </c>
      <c r="P26" s="101">
        <v>98</v>
      </c>
      <c r="Q26" s="115"/>
    </row>
    <row r="27" spans="2:17" ht="16.5" customHeight="1" x14ac:dyDescent="0.2">
      <c r="B27" s="80" t="s">
        <v>28</v>
      </c>
      <c r="C27" s="81" t="s">
        <v>140</v>
      </c>
      <c r="D27" s="81" t="s">
        <v>255</v>
      </c>
      <c r="E27" s="82" t="s">
        <v>164</v>
      </c>
      <c r="F27" s="87" t="s">
        <v>164</v>
      </c>
      <c r="N27" s="97">
        <v>39964</v>
      </c>
      <c r="O27" s="101">
        <v>0.98</v>
      </c>
      <c r="P27" s="101">
        <v>98</v>
      </c>
      <c r="Q27" s="115"/>
    </row>
    <row r="28" spans="2:17" ht="16.5" customHeight="1" x14ac:dyDescent="0.2">
      <c r="B28" s="83" t="s">
        <v>233</v>
      </c>
      <c r="C28" s="73" t="s">
        <v>140</v>
      </c>
      <c r="D28" s="73" t="s">
        <v>255</v>
      </c>
      <c r="E28" s="74" t="s">
        <v>165</v>
      </c>
      <c r="F28" s="84" t="s">
        <v>165</v>
      </c>
      <c r="N28" s="97">
        <v>39994</v>
      </c>
      <c r="O28" s="101">
        <v>0.98</v>
      </c>
      <c r="P28" s="101">
        <v>98</v>
      </c>
      <c r="Q28" s="115"/>
    </row>
    <row r="29" spans="2:17" ht="16.5" customHeight="1" x14ac:dyDescent="0.25">
      <c r="B29" s="62" t="s">
        <v>4</v>
      </c>
      <c r="C29" s="70" t="s">
        <v>139</v>
      </c>
      <c r="D29" s="70" t="str">
        <f>IF(ISNUMBER(FIND("ED",B29)),"ED","All")</f>
        <v>All</v>
      </c>
      <c r="E29" s="71"/>
      <c r="F29" s="72"/>
      <c r="N29" s="97">
        <v>40025</v>
      </c>
      <c r="O29" s="101">
        <v>0.98</v>
      </c>
      <c r="P29" s="101">
        <v>98</v>
      </c>
      <c r="Q29" s="115"/>
    </row>
    <row r="30" spans="2:17" ht="16.5" customHeight="1" x14ac:dyDescent="0.25">
      <c r="B30" s="66" t="s">
        <v>126</v>
      </c>
      <c r="C30" s="73" t="s">
        <v>139</v>
      </c>
      <c r="D30" s="73" t="str">
        <f>IF(ISNUMBER(FIND("ED",B30)),"ED","All")</f>
        <v>ED</v>
      </c>
      <c r="E30" s="74"/>
      <c r="F30" s="84"/>
      <c r="N30" s="97">
        <v>40056</v>
      </c>
      <c r="O30" s="101">
        <v>0.98</v>
      </c>
      <c r="P30" s="101">
        <v>98</v>
      </c>
      <c r="Q30" s="115"/>
    </row>
    <row r="31" spans="2:17" ht="16.5" customHeight="1" x14ac:dyDescent="0.2">
      <c r="B31" s="85" t="s">
        <v>327</v>
      </c>
      <c r="C31" s="70" t="s">
        <v>140</v>
      </c>
      <c r="D31" s="70" t="s">
        <v>255</v>
      </c>
      <c r="E31" s="71"/>
      <c r="F31" s="72"/>
      <c r="N31" s="97">
        <v>40086</v>
      </c>
      <c r="O31" s="101">
        <v>0.98</v>
      </c>
      <c r="P31" s="101">
        <v>98</v>
      </c>
      <c r="Q31" s="115"/>
    </row>
    <row r="32" spans="2:17" ht="16.5" customHeight="1" x14ac:dyDescent="0.2">
      <c r="B32" s="80" t="s">
        <v>29</v>
      </c>
      <c r="C32" s="81" t="s">
        <v>140</v>
      </c>
      <c r="D32" s="81" t="s">
        <v>255</v>
      </c>
      <c r="E32" s="82"/>
      <c r="F32" s="87"/>
      <c r="N32" s="97">
        <v>40117</v>
      </c>
      <c r="O32" s="101">
        <v>0.98</v>
      </c>
      <c r="P32" s="101">
        <v>98</v>
      </c>
      <c r="Q32" s="115"/>
    </row>
    <row r="33" spans="2:17" ht="16.5" customHeight="1" x14ac:dyDescent="0.2">
      <c r="B33" s="80" t="s">
        <v>31</v>
      </c>
      <c r="C33" s="81" t="s">
        <v>140</v>
      </c>
      <c r="D33" s="81" t="s">
        <v>255</v>
      </c>
      <c r="E33" s="82"/>
      <c r="F33" s="87"/>
      <c r="N33" s="97">
        <v>40147</v>
      </c>
      <c r="O33" s="101">
        <v>0.98</v>
      </c>
      <c r="P33" s="101">
        <v>98</v>
      </c>
      <c r="Q33" s="115"/>
    </row>
    <row r="34" spans="2:17" ht="16.5" customHeight="1" x14ac:dyDescent="0.2">
      <c r="B34" s="88" t="s">
        <v>235</v>
      </c>
      <c r="C34" s="89" t="s">
        <v>140</v>
      </c>
      <c r="D34" s="89" t="s">
        <v>255</v>
      </c>
      <c r="E34" s="90" t="s">
        <v>166</v>
      </c>
      <c r="F34" s="91" t="s">
        <v>166</v>
      </c>
      <c r="N34" s="97">
        <v>40178</v>
      </c>
      <c r="O34" s="101">
        <v>0.98</v>
      </c>
      <c r="P34" s="101">
        <v>98</v>
      </c>
      <c r="Q34" s="115"/>
    </row>
    <row r="35" spans="2:17" ht="16.5" customHeight="1" x14ac:dyDescent="0.2">
      <c r="B35" s="83" t="s">
        <v>30</v>
      </c>
      <c r="C35" s="73" t="s">
        <v>140</v>
      </c>
      <c r="D35" s="73" t="s">
        <v>255</v>
      </c>
      <c r="E35" s="74" t="s">
        <v>166</v>
      </c>
      <c r="F35" s="84" t="s">
        <v>166</v>
      </c>
      <c r="N35" s="97">
        <v>40209</v>
      </c>
      <c r="O35" s="101">
        <v>0.98</v>
      </c>
      <c r="P35" s="101">
        <v>98</v>
      </c>
      <c r="Q35" s="115"/>
    </row>
    <row r="36" spans="2:17" ht="16.5" customHeight="1" x14ac:dyDescent="0.25">
      <c r="B36" s="62" t="s">
        <v>5</v>
      </c>
      <c r="C36" s="70" t="s">
        <v>139</v>
      </c>
      <c r="D36" s="70" t="str">
        <f>IF(ISNUMBER(FIND("ED",B36)),"ED","All")</f>
        <v>All</v>
      </c>
      <c r="E36" s="71"/>
      <c r="F36" s="72" t="s">
        <v>186</v>
      </c>
      <c r="N36" s="97">
        <v>40237</v>
      </c>
      <c r="O36" s="101">
        <v>0.98</v>
      </c>
      <c r="P36" s="101">
        <v>98</v>
      </c>
      <c r="Q36" s="115"/>
    </row>
    <row r="37" spans="2:17" ht="16.5" customHeight="1" x14ac:dyDescent="0.25">
      <c r="B37" s="66" t="s">
        <v>134</v>
      </c>
      <c r="C37" s="73" t="s">
        <v>139</v>
      </c>
      <c r="D37" s="73" t="str">
        <f>IF(ISNUMBER(FIND("ED",B37)),"ED","All")</f>
        <v>ED</v>
      </c>
      <c r="E37" s="74"/>
      <c r="F37" s="72" t="s">
        <v>186</v>
      </c>
      <c r="N37" s="97">
        <v>40268</v>
      </c>
      <c r="O37" s="101">
        <v>0.98</v>
      </c>
      <c r="P37" s="101">
        <v>98</v>
      </c>
      <c r="Q37" s="115"/>
    </row>
    <row r="38" spans="2:17" ht="16.5" customHeight="1" x14ac:dyDescent="0.2">
      <c r="B38" s="85" t="s">
        <v>33</v>
      </c>
      <c r="C38" s="70" t="s">
        <v>140</v>
      </c>
      <c r="D38" s="70" t="s">
        <v>255</v>
      </c>
      <c r="E38" s="71" t="s">
        <v>167</v>
      </c>
      <c r="F38" s="72" t="s">
        <v>167</v>
      </c>
      <c r="N38" s="97">
        <v>40298</v>
      </c>
      <c r="O38" s="101">
        <v>0.98</v>
      </c>
      <c r="P38" s="101">
        <v>98</v>
      </c>
      <c r="Q38" s="115"/>
    </row>
    <row r="39" spans="2:17" ht="16.5" customHeight="1" x14ac:dyDescent="0.2">
      <c r="B39" s="80" t="s">
        <v>329</v>
      </c>
      <c r="C39" s="81" t="s">
        <v>140</v>
      </c>
      <c r="D39" s="81" t="s">
        <v>255</v>
      </c>
      <c r="E39" s="82" t="s">
        <v>293</v>
      </c>
      <c r="F39" s="87" t="s">
        <v>291</v>
      </c>
      <c r="N39" s="97">
        <v>40329</v>
      </c>
      <c r="O39" s="101">
        <v>0.98</v>
      </c>
      <c r="P39" s="101">
        <v>98</v>
      </c>
      <c r="Q39" s="115"/>
    </row>
    <row r="40" spans="2:17" ht="16.5" customHeight="1" x14ac:dyDescent="0.2">
      <c r="B40" s="88" t="s">
        <v>238</v>
      </c>
      <c r="C40" s="89" t="s">
        <v>140</v>
      </c>
      <c r="D40" s="89" t="s">
        <v>255</v>
      </c>
      <c r="E40" s="90" t="s">
        <v>237</v>
      </c>
      <c r="F40" s="91" t="s">
        <v>294</v>
      </c>
      <c r="N40" s="97">
        <v>40359</v>
      </c>
      <c r="O40" s="101">
        <v>0.98</v>
      </c>
      <c r="P40" s="101">
        <v>98</v>
      </c>
      <c r="Q40" s="115"/>
    </row>
    <row r="41" spans="2:17" ht="16.5" customHeight="1" x14ac:dyDescent="0.2">
      <c r="B41" s="83" t="s">
        <v>236</v>
      </c>
      <c r="C41" s="73" t="s">
        <v>140</v>
      </c>
      <c r="D41" s="73" t="s">
        <v>255</v>
      </c>
      <c r="E41" s="74" t="s">
        <v>168</v>
      </c>
      <c r="F41" s="84" t="s">
        <v>189</v>
      </c>
      <c r="N41" s="97">
        <v>40390</v>
      </c>
      <c r="O41" s="101">
        <v>0.98</v>
      </c>
      <c r="P41" s="101">
        <v>98</v>
      </c>
      <c r="Q41" s="115"/>
    </row>
    <row r="42" spans="2:17" ht="16.5" customHeight="1" x14ac:dyDescent="0.25">
      <c r="B42" s="62" t="s">
        <v>6</v>
      </c>
      <c r="C42" s="70" t="s">
        <v>139</v>
      </c>
      <c r="D42" s="70" t="str">
        <f>IF(ISNUMBER(FIND("ED",B42)),"ED","All")</f>
        <v>All</v>
      </c>
      <c r="E42" s="71"/>
      <c r="F42" s="72"/>
      <c r="N42" s="97">
        <v>40421</v>
      </c>
      <c r="O42" s="101">
        <v>0.98</v>
      </c>
      <c r="P42" s="101">
        <v>98</v>
      </c>
      <c r="Q42" s="115"/>
    </row>
    <row r="43" spans="2:17" ht="16.5" customHeight="1" x14ac:dyDescent="0.25">
      <c r="B43" s="66" t="s">
        <v>130</v>
      </c>
      <c r="C43" s="73" t="s">
        <v>139</v>
      </c>
      <c r="D43" s="73" t="str">
        <f>IF(ISNUMBER(FIND("ED",B43)),"ED","All")</f>
        <v>ED</v>
      </c>
      <c r="E43" s="74"/>
      <c r="F43" s="84"/>
      <c r="I43" s="114"/>
      <c r="J43" s="114"/>
      <c r="N43" s="97">
        <v>40451</v>
      </c>
      <c r="O43" s="101">
        <v>0.98</v>
      </c>
      <c r="P43" s="101">
        <v>98</v>
      </c>
      <c r="Q43" s="115"/>
    </row>
    <row r="44" spans="2:17" ht="16.5" customHeight="1" x14ac:dyDescent="0.2">
      <c r="B44" s="85" t="s">
        <v>239</v>
      </c>
      <c r="C44" s="70" t="s">
        <v>140</v>
      </c>
      <c r="D44" s="70" t="s">
        <v>255</v>
      </c>
      <c r="E44" s="71"/>
      <c r="F44" s="72"/>
      <c r="I44" s="114"/>
      <c r="J44" s="114"/>
      <c r="N44" s="97">
        <v>40482</v>
      </c>
      <c r="O44" s="101">
        <v>0.98</v>
      </c>
      <c r="P44" s="101">
        <v>98</v>
      </c>
      <c r="Q44" s="115"/>
    </row>
    <row r="45" spans="2:17" ht="16.5" customHeight="1" x14ac:dyDescent="0.2">
      <c r="B45" s="80" t="s">
        <v>240</v>
      </c>
      <c r="C45" s="81" t="s">
        <v>140</v>
      </c>
      <c r="D45" s="81" t="s">
        <v>255</v>
      </c>
      <c r="E45" s="82"/>
      <c r="F45" s="87" t="s">
        <v>292</v>
      </c>
      <c r="I45" s="114"/>
      <c r="J45" s="114"/>
      <c r="N45" s="97">
        <v>40512</v>
      </c>
      <c r="O45" s="101">
        <v>0.98</v>
      </c>
      <c r="P45" s="101">
        <v>98</v>
      </c>
      <c r="Q45" s="115"/>
    </row>
    <row r="46" spans="2:17" ht="16.5" customHeight="1" x14ac:dyDescent="0.2">
      <c r="B46" s="80" t="s">
        <v>37</v>
      </c>
      <c r="C46" s="81" t="s">
        <v>140</v>
      </c>
      <c r="D46" s="81" t="s">
        <v>255</v>
      </c>
      <c r="E46" s="82"/>
      <c r="F46" s="87"/>
      <c r="I46" s="114"/>
      <c r="J46" s="114"/>
      <c r="N46" s="97">
        <v>40543</v>
      </c>
      <c r="O46" s="101">
        <v>0.98</v>
      </c>
      <c r="P46" s="101">
        <v>98</v>
      </c>
      <c r="Q46" s="115"/>
    </row>
    <row r="47" spans="2:17" ht="16.5" customHeight="1" x14ac:dyDescent="0.2">
      <c r="B47" s="80" t="s">
        <v>41</v>
      </c>
      <c r="C47" s="81" t="s">
        <v>140</v>
      </c>
      <c r="D47" s="81" t="s">
        <v>255</v>
      </c>
      <c r="E47" s="82"/>
      <c r="F47" s="87"/>
      <c r="I47" s="114"/>
      <c r="J47" s="114"/>
      <c r="N47" s="97">
        <v>40574</v>
      </c>
      <c r="O47" s="101">
        <v>0.98</v>
      </c>
      <c r="P47" s="101">
        <v>98</v>
      </c>
      <c r="Q47" s="115"/>
    </row>
    <row r="48" spans="2:17" ht="16.5" customHeight="1" x14ac:dyDescent="0.2">
      <c r="B48" s="80" t="s">
        <v>331</v>
      </c>
      <c r="C48" s="81" t="s">
        <v>140</v>
      </c>
      <c r="D48" s="81" t="s">
        <v>255</v>
      </c>
      <c r="E48" s="82"/>
      <c r="F48" s="87"/>
      <c r="I48" s="114"/>
      <c r="J48" s="114"/>
      <c r="N48" s="97">
        <v>40602</v>
      </c>
      <c r="O48" s="101">
        <v>0.98</v>
      </c>
      <c r="P48" s="101">
        <v>98</v>
      </c>
      <c r="Q48" s="115"/>
    </row>
    <row r="49" spans="2:17" ht="16.5" customHeight="1" x14ac:dyDescent="0.2">
      <c r="B49" s="80" t="s">
        <v>45</v>
      </c>
      <c r="C49" s="81" t="s">
        <v>140</v>
      </c>
      <c r="D49" s="81" t="s">
        <v>255</v>
      </c>
      <c r="E49" s="82"/>
      <c r="F49" s="87"/>
      <c r="I49" s="114"/>
      <c r="J49" s="114"/>
      <c r="N49" s="97">
        <v>40633</v>
      </c>
      <c r="O49" s="101">
        <v>0.98</v>
      </c>
      <c r="P49" s="101">
        <v>98</v>
      </c>
      <c r="Q49" s="115"/>
    </row>
    <row r="50" spans="2:17" ht="16.5" customHeight="1" x14ac:dyDescent="0.2">
      <c r="B50" s="80" t="s">
        <v>40</v>
      </c>
      <c r="C50" s="81" t="s">
        <v>140</v>
      </c>
      <c r="D50" s="81" t="s">
        <v>255</v>
      </c>
      <c r="E50" s="82"/>
      <c r="F50" s="87"/>
      <c r="I50" s="114"/>
      <c r="J50" s="114"/>
      <c r="N50" s="97">
        <v>40663</v>
      </c>
      <c r="O50" s="101">
        <v>0.98</v>
      </c>
      <c r="P50" s="101">
        <v>98</v>
      </c>
      <c r="Q50" s="115"/>
    </row>
    <row r="51" spans="2:17" ht="16.5" customHeight="1" x14ac:dyDescent="0.2">
      <c r="B51" s="80" t="s">
        <v>42</v>
      </c>
      <c r="C51" s="81" t="s">
        <v>140</v>
      </c>
      <c r="D51" s="81" t="s">
        <v>255</v>
      </c>
      <c r="E51" s="82"/>
      <c r="F51" s="87"/>
      <c r="I51" s="114"/>
      <c r="J51" s="114"/>
      <c r="N51" s="97">
        <v>40694</v>
      </c>
      <c r="O51" s="101">
        <v>0.98</v>
      </c>
      <c r="P51" s="101">
        <v>98</v>
      </c>
      <c r="Q51" s="115"/>
    </row>
    <row r="52" spans="2:17" ht="16.5" customHeight="1" x14ac:dyDescent="0.2">
      <c r="B52" s="80" t="s">
        <v>332</v>
      </c>
      <c r="C52" s="81" t="s">
        <v>140</v>
      </c>
      <c r="D52" s="81" t="s">
        <v>255</v>
      </c>
      <c r="E52" s="82"/>
      <c r="F52" s="87"/>
      <c r="I52" s="114"/>
      <c r="J52" s="114"/>
      <c r="N52" s="97">
        <v>40724</v>
      </c>
      <c r="O52" s="101">
        <v>0.98</v>
      </c>
      <c r="P52" s="101">
        <v>98</v>
      </c>
      <c r="Q52" s="115"/>
    </row>
    <row r="53" spans="2:17" ht="16.5" customHeight="1" x14ac:dyDescent="0.2">
      <c r="B53" s="80" t="s">
        <v>38</v>
      </c>
      <c r="C53" s="81" t="s">
        <v>140</v>
      </c>
      <c r="D53" s="81" t="s">
        <v>255</v>
      </c>
      <c r="E53" s="82"/>
      <c r="F53" s="87"/>
      <c r="N53" s="97">
        <v>40755</v>
      </c>
      <c r="O53" s="101">
        <v>0.98</v>
      </c>
      <c r="P53" s="101">
        <v>98</v>
      </c>
      <c r="Q53" s="115"/>
    </row>
    <row r="54" spans="2:17" ht="16.5" customHeight="1" x14ac:dyDescent="0.2">
      <c r="B54" s="80" t="s">
        <v>241</v>
      </c>
      <c r="C54" s="81" t="s">
        <v>140</v>
      </c>
      <c r="D54" s="81" t="s">
        <v>255</v>
      </c>
      <c r="E54" s="82"/>
      <c r="F54" s="87"/>
      <c r="N54" s="97">
        <v>40786</v>
      </c>
      <c r="O54" s="101">
        <v>0.98</v>
      </c>
      <c r="P54" s="101">
        <v>98</v>
      </c>
      <c r="Q54" s="115"/>
    </row>
    <row r="55" spans="2:17" ht="16.5" customHeight="1" x14ac:dyDescent="0.2">
      <c r="B55" s="80" t="s">
        <v>47</v>
      </c>
      <c r="C55" s="81" t="s">
        <v>140</v>
      </c>
      <c r="D55" s="81" t="s">
        <v>255</v>
      </c>
      <c r="E55" s="82"/>
      <c r="F55" s="87"/>
      <c r="N55" s="97">
        <v>40816</v>
      </c>
      <c r="O55" s="101">
        <v>0.98</v>
      </c>
      <c r="P55" s="101">
        <v>98</v>
      </c>
      <c r="Q55" s="115"/>
    </row>
    <row r="56" spans="2:17" ht="16.5" customHeight="1" x14ac:dyDescent="0.25">
      <c r="B56" s="80" t="s">
        <v>333</v>
      </c>
      <c r="C56" s="81" t="s">
        <v>140</v>
      </c>
      <c r="D56" s="81" t="s">
        <v>255</v>
      </c>
      <c r="E56" s="82"/>
      <c r="F56" s="87"/>
      <c r="K56" s="103"/>
      <c r="N56" s="97">
        <v>40847</v>
      </c>
      <c r="O56" s="101">
        <v>0.98</v>
      </c>
      <c r="P56" s="101">
        <v>98</v>
      </c>
      <c r="Q56" s="115"/>
    </row>
    <row r="57" spans="2:17" ht="16.5" customHeight="1" x14ac:dyDescent="0.2">
      <c r="B57" s="80" t="s">
        <v>48</v>
      </c>
      <c r="C57" s="81" t="s">
        <v>140</v>
      </c>
      <c r="D57" s="81" t="s">
        <v>255</v>
      </c>
      <c r="E57" s="82"/>
      <c r="F57" s="87"/>
      <c r="N57" s="97">
        <v>40877</v>
      </c>
      <c r="O57" s="101">
        <v>0.98</v>
      </c>
      <c r="P57" s="101">
        <v>98</v>
      </c>
      <c r="Q57" s="115"/>
    </row>
    <row r="58" spans="2:17" ht="16.5" customHeight="1" x14ac:dyDescent="0.2">
      <c r="B58" s="80" t="s">
        <v>44</v>
      </c>
      <c r="C58" s="81" t="s">
        <v>140</v>
      </c>
      <c r="D58" s="81" t="s">
        <v>255</v>
      </c>
      <c r="E58" s="82" t="s">
        <v>169</v>
      </c>
      <c r="F58" s="82" t="s">
        <v>169</v>
      </c>
      <c r="N58" s="97">
        <v>40908</v>
      </c>
      <c r="O58" s="101">
        <v>0.98</v>
      </c>
      <c r="P58" s="101">
        <v>98</v>
      </c>
      <c r="Q58" s="115"/>
    </row>
    <row r="59" spans="2:17" ht="16.5" customHeight="1" x14ac:dyDescent="0.2">
      <c r="B59" s="80" t="s">
        <v>334</v>
      </c>
      <c r="C59" s="81" t="s">
        <v>140</v>
      </c>
      <c r="D59" s="81" t="s">
        <v>255</v>
      </c>
      <c r="E59" s="82"/>
      <c r="F59" s="87"/>
      <c r="N59" s="97">
        <v>40939</v>
      </c>
      <c r="O59" s="101">
        <v>0.98</v>
      </c>
      <c r="P59" s="101">
        <v>98</v>
      </c>
      <c r="Q59" s="115"/>
    </row>
    <row r="60" spans="2:17" ht="16.5" customHeight="1" x14ac:dyDescent="0.2">
      <c r="B60" s="80" t="s">
        <v>43</v>
      </c>
      <c r="C60" s="81" t="s">
        <v>140</v>
      </c>
      <c r="D60" s="81" t="s">
        <v>255</v>
      </c>
      <c r="E60" s="82" t="s">
        <v>170</v>
      </c>
      <c r="F60" s="87" t="s">
        <v>170</v>
      </c>
      <c r="N60" s="97">
        <v>40968</v>
      </c>
      <c r="O60" s="101">
        <v>0.98</v>
      </c>
      <c r="P60" s="101">
        <v>98</v>
      </c>
      <c r="Q60" s="115"/>
    </row>
    <row r="61" spans="2:17" ht="16.5" customHeight="1" x14ac:dyDescent="0.2">
      <c r="B61" s="83" t="s">
        <v>114</v>
      </c>
      <c r="C61" s="73" t="s">
        <v>140</v>
      </c>
      <c r="D61" s="73" t="s">
        <v>255</v>
      </c>
      <c r="E61" s="74" t="s">
        <v>171</v>
      </c>
      <c r="F61" s="74" t="s">
        <v>171</v>
      </c>
      <c r="N61" s="97">
        <v>40999</v>
      </c>
      <c r="O61" s="101">
        <v>0.98</v>
      </c>
      <c r="P61" s="101">
        <v>98</v>
      </c>
      <c r="Q61" s="115"/>
    </row>
    <row r="62" spans="2:17" ht="16.5" customHeight="1" x14ac:dyDescent="0.25">
      <c r="B62" s="62" t="s">
        <v>7</v>
      </c>
      <c r="C62" s="70" t="s">
        <v>139</v>
      </c>
      <c r="D62" s="70" t="str">
        <f>IF(ISNUMBER(FIND("ED",B62)),"ED","All")</f>
        <v>All</v>
      </c>
      <c r="E62" s="71"/>
      <c r="F62" s="72" t="s">
        <v>207</v>
      </c>
      <c r="N62" s="97">
        <v>41029</v>
      </c>
      <c r="O62" s="101">
        <v>0.98</v>
      </c>
      <c r="P62" s="101">
        <v>98</v>
      </c>
      <c r="Q62" s="115"/>
    </row>
    <row r="63" spans="2:17" ht="16.5" customHeight="1" x14ac:dyDescent="0.25">
      <c r="B63" s="66" t="s">
        <v>127</v>
      </c>
      <c r="C63" s="73" t="s">
        <v>139</v>
      </c>
      <c r="D63" s="73" t="str">
        <f>IF(ISNUMBER(FIND("ED",B63)),"ED","All")</f>
        <v>ED</v>
      </c>
      <c r="E63" s="74"/>
      <c r="F63" s="84" t="s">
        <v>207</v>
      </c>
      <c r="N63" s="97">
        <v>41060</v>
      </c>
      <c r="O63" s="101">
        <v>0.98</v>
      </c>
      <c r="P63" s="101">
        <v>98</v>
      </c>
      <c r="Q63" s="115"/>
    </row>
    <row r="64" spans="2:17" ht="16.5" customHeight="1" x14ac:dyDescent="0.2">
      <c r="B64" s="85" t="s">
        <v>336</v>
      </c>
      <c r="C64" s="70" t="s">
        <v>140</v>
      </c>
      <c r="D64" s="70" t="s">
        <v>255</v>
      </c>
      <c r="E64" s="71"/>
      <c r="F64" s="72" t="s">
        <v>208</v>
      </c>
      <c r="N64" s="97">
        <v>41090</v>
      </c>
      <c r="O64" s="101">
        <v>0.98</v>
      </c>
      <c r="P64" s="101">
        <v>98</v>
      </c>
      <c r="Q64" s="115"/>
    </row>
    <row r="65" spans="2:17" ht="16.5" customHeight="1" x14ac:dyDescent="0.2">
      <c r="B65" s="80" t="s">
        <v>244</v>
      </c>
      <c r="C65" s="81" t="s">
        <v>140</v>
      </c>
      <c r="D65" s="81" t="s">
        <v>255</v>
      </c>
      <c r="E65" s="82"/>
      <c r="F65" s="87" t="s">
        <v>209</v>
      </c>
      <c r="N65" s="97">
        <v>41121</v>
      </c>
      <c r="O65" s="101">
        <v>0.98</v>
      </c>
      <c r="P65" s="101">
        <v>98</v>
      </c>
      <c r="Q65" s="115"/>
    </row>
    <row r="66" spans="2:17" ht="16.5" customHeight="1" x14ac:dyDescent="0.2">
      <c r="B66" s="80" t="s">
        <v>245</v>
      </c>
      <c r="C66" s="81" t="s">
        <v>140</v>
      </c>
      <c r="D66" s="81" t="s">
        <v>255</v>
      </c>
      <c r="E66" s="82"/>
      <c r="F66" s="87" t="s">
        <v>210</v>
      </c>
      <c r="N66" s="97">
        <v>41152</v>
      </c>
      <c r="O66" s="101">
        <v>0.98</v>
      </c>
      <c r="P66" s="101">
        <v>98</v>
      </c>
      <c r="Q66" s="115"/>
    </row>
    <row r="67" spans="2:17" ht="16.5" customHeight="1" x14ac:dyDescent="0.2">
      <c r="B67" s="80" t="s">
        <v>246</v>
      </c>
      <c r="C67" s="81" t="s">
        <v>140</v>
      </c>
      <c r="D67" s="81" t="s">
        <v>255</v>
      </c>
      <c r="E67" s="82"/>
      <c r="F67" s="87" t="s">
        <v>211</v>
      </c>
      <c r="N67" s="97">
        <v>41182</v>
      </c>
      <c r="O67" s="101">
        <v>0.98</v>
      </c>
      <c r="P67" s="101">
        <v>98</v>
      </c>
      <c r="Q67" s="115"/>
    </row>
    <row r="68" spans="2:17" ht="16.5" customHeight="1" x14ac:dyDescent="0.2">
      <c r="B68" s="80" t="s">
        <v>243</v>
      </c>
      <c r="C68" s="81" t="s">
        <v>140</v>
      </c>
      <c r="D68" s="81" t="s">
        <v>255</v>
      </c>
      <c r="E68" s="82" t="s">
        <v>274</v>
      </c>
      <c r="F68" s="87" t="s">
        <v>274</v>
      </c>
      <c r="N68" s="97">
        <v>41213</v>
      </c>
      <c r="O68" s="101">
        <v>0.98</v>
      </c>
      <c r="P68" s="101">
        <v>98</v>
      </c>
      <c r="Q68" s="115"/>
    </row>
    <row r="69" spans="2:17" ht="16.5" customHeight="1" x14ac:dyDescent="0.2">
      <c r="B69" s="80" t="s">
        <v>339</v>
      </c>
      <c r="C69" s="81" t="s">
        <v>140</v>
      </c>
      <c r="D69" s="81" t="s">
        <v>255</v>
      </c>
      <c r="E69" s="82" t="s">
        <v>301</v>
      </c>
      <c r="F69" s="87" t="s">
        <v>299</v>
      </c>
      <c r="N69" s="97">
        <v>41243</v>
      </c>
      <c r="O69" s="101">
        <v>0.98</v>
      </c>
      <c r="P69" s="101">
        <v>98</v>
      </c>
      <c r="Q69" s="115"/>
    </row>
    <row r="70" spans="2:17" ht="16.5" customHeight="1" x14ac:dyDescent="0.2">
      <c r="B70" s="80" t="s">
        <v>242</v>
      </c>
      <c r="C70" s="81" t="s">
        <v>140</v>
      </c>
      <c r="D70" s="81" t="s">
        <v>255</v>
      </c>
      <c r="E70" s="82" t="s">
        <v>272</v>
      </c>
      <c r="F70" s="87" t="s">
        <v>273</v>
      </c>
      <c r="N70" s="97">
        <v>41274</v>
      </c>
      <c r="O70" s="101">
        <v>0.98</v>
      </c>
      <c r="P70" s="101">
        <v>98</v>
      </c>
      <c r="Q70" s="115"/>
    </row>
    <row r="71" spans="2:17" ht="16.5" customHeight="1" x14ac:dyDescent="0.2">
      <c r="B71" s="80" t="s">
        <v>338</v>
      </c>
      <c r="C71" s="81" t="s">
        <v>140</v>
      </c>
      <c r="D71" s="81" t="s">
        <v>255</v>
      </c>
      <c r="E71" s="82" t="s">
        <v>300</v>
      </c>
      <c r="F71" s="87" t="s">
        <v>298</v>
      </c>
      <c r="N71" s="97">
        <v>41305</v>
      </c>
      <c r="O71" s="101">
        <v>0.98</v>
      </c>
      <c r="P71" s="101">
        <v>98</v>
      </c>
      <c r="Q71" s="115"/>
    </row>
    <row r="72" spans="2:17" ht="16.5" customHeight="1" x14ac:dyDescent="0.2">
      <c r="B72" s="80" t="s">
        <v>247</v>
      </c>
      <c r="C72" s="81" t="s">
        <v>140</v>
      </c>
      <c r="D72" s="81" t="s">
        <v>255</v>
      </c>
      <c r="E72" s="82" t="s">
        <v>267</v>
      </c>
      <c r="F72" s="87" t="s">
        <v>268</v>
      </c>
      <c r="N72" s="97">
        <v>41333</v>
      </c>
      <c r="O72" s="101">
        <v>0.98</v>
      </c>
      <c r="P72" s="101">
        <v>98</v>
      </c>
      <c r="Q72" s="115"/>
    </row>
    <row r="73" spans="2:17" ht="16.5" customHeight="1" x14ac:dyDescent="0.2">
      <c r="B73" s="80" t="s">
        <v>337</v>
      </c>
      <c r="C73" s="81" t="s">
        <v>140</v>
      </c>
      <c r="D73" s="81" t="s">
        <v>255</v>
      </c>
      <c r="E73" s="82" t="s">
        <v>279</v>
      </c>
      <c r="F73" s="87" t="s">
        <v>282</v>
      </c>
      <c r="N73" s="97">
        <v>41364</v>
      </c>
      <c r="O73" s="101">
        <v>0.98</v>
      </c>
      <c r="P73" s="101">
        <v>98</v>
      </c>
      <c r="Q73" s="115"/>
    </row>
    <row r="74" spans="2:17" ht="16.5" customHeight="1" x14ac:dyDescent="0.2">
      <c r="B74" s="88" t="s">
        <v>248</v>
      </c>
      <c r="C74" s="89" t="s">
        <v>140</v>
      </c>
      <c r="D74" s="89" t="s">
        <v>255</v>
      </c>
      <c r="E74" s="90" t="s">
        <v>269</v>
      </c>
      <c r="F74" s="91" t="s">
        <v>270</v>
      </c>
      <c r="N74" s="97">
        <v>41394</v>
      </c>
      <c r="O74" s="101">
        <v>0.98</v>
      </c>
      <c r="P74" s="101">
        <v>98</v>
      </c>
      <c r="Q74" s="115"/>
    </row>
    <row r="75" spans="2:17" ht="16.5" customHeight="1" x14ac:dyDescent="0.2">
      <c r="B75" s="88" t="s">
        <v>369</v>
      </c>
      <c r="C75" s="89" t="s">
        <v>140</v>
      </c>
      <c r="D75" s="89" t="s">
        <v>255</v>
      </c>
      <c r="E75" s="90" t="s">
        <v>297</v>
      </c>
      <c r="F75" s="91" t="s">
        <v>297</v>
      </c>
      <c r="N75" s="97"/>
      <c r="O75" s="101"/>
      <c r="P75" s="101"/>
      <c r="Q75" s="115"/>
    </row>
    <row r="76" spans="2:17" ht="16.5" customHeight="1" x14ac:dyDescent="0.2">
      <c r="B76" s="80" t="s">
        <v>275</v>
      </c>
      <c r="C76" s="81" t="s">
        <v>140</v>
      </c>
      <c r="D76" s="81" t="s">
        <v>255</v>
      </c>
      <c r="E76" s="82" t="s">
        <v>271</v>
      </c>
      <c r="F76" s="87" t="s">
        <v>271</v>
      </c>
      <c r="N76" s="97"/>
      <c r="O76" s="101"/>
      <c r="P76" s="101"/>
      <c r="Q76" s="115"/>
    </row>
    <row r="77" spans="2:17" ht="16.5" customHeight="1" x14ac:dyDescent="0.25">
      <c r="B77" s="62" t="s">
        <v>8</v>
      </c>
      <c r="C77" s="70" t="s">
        <v>139</v>
      </c>
      <c r="D77" s="70" t="str">
        <f>IF(ISNUMBER(FIND("ED",B77)),"ED","All")</f>
        <v>All</v>
      </c>
      <c r="E77" s="71" t="s">
        <v>172</v>
      </c>
      <c r="F77" s="72" t="s">
        <v>172</v>
      </c>
      <c r="N77" s="97"/>
      <c r="O77" s="101"/>
      <c r="P77" s="101"/>
      <c r="Q77" s="115"/>
    </row>
    <row r="78" spans="2:17" ht="16.5" customHeight="1" x14ac:dyDescent="0.25">
      <c r="B78" s="66" t="s">
        <v>128</v>
      </c>
      <c r="C78" s="73" t="s">
        <v>139</v>
      </c>
      <c r="D78" s="73" t="str">
        <f>IF(ISNUMBER(FIND("ED",B78)),"ED","All")</f>
        <v>ED</v>
      </c>
      <c r="E78" s="74" t="s">
        <v>173</v>
      </c>
      <c r="F78" s="84" t="s">
        <v>173</v>
      </c>
      <c r="N78" s="97">
        <v>41425</v>
      </c>
      <c r="O78" s="101">
        <v>0.98</v>
      </c>
      <c r="P78" s="101">
        <v>98</v>
      </c>
      <c r="Q78" s="115"/>
    </row>
    <row r="79" spans="2:17" ht="16.5" customHeight="1" x14ac:dyDescent="0.2">
      <c r="B79" s="85" t="s">
        <v>341</v>
      </c>
      <c r="C79" s="70" t="s">
        <v>140</v>
      </c>
      <c r="D79" s="70" t="s">
        <v>255</v>
      </c>
      <c r="E79" s="71" t="s">
        <v>174</v>
      </c>
      <c r="F79" s="72" t="s">
        <v>174</v>
      </c>
      <c r="N79" s="97">
        <v>41455</v>
      </c>
      <c r="O79" s="101">
        <v>0.98</v>
      </c>
      <c r="P79" s="101">
        <v>98</v>
      </c>
      <c r="Q79" s="115"/>
    </row>
    <row r="80" spans="2:17" ht="16.5" customHeight="1" x14ac:dyDescent="0.2">
      <c r="B80" s="80" t="s">
        <v>111</v>
      </c>
      <c r="C80" s="81" t="s">
        <v>140</v>
      </c>
      <c r="D80" s="81" t="s">
        <v>255</v>
      </c>
      <c r="E80" s="82"/>
      <c r="F80" s="87"/>
      <c r="N80" s="97">
        <v>41486</v>
      </c>
      <c r="O80" s="101">
        <v>0.98</v>
      </c>
      <c r="P80" s="101">
        <v>98</v>
      </c>
      <c r="Q80" s="115"/>
    </row>
    <row r="81" spans="2:17" ht="16.5" customHeight="1" x14ac:dyDescent="0.2">
      <c r="B81" s="80" t="s">
        <v>63</v>
      </c>
      <c r="C81" s="81" t="s">
        <v>140</v>
      </c>
      <c r="D81" s="81" t="s">
        <v>255</v>
      </c>
      <c r="E81" s="82"/>
      <c r="F81" s="87"/>
      <c r="N81" s="97">
        <v>41517</v>
      </c>
      <c r="O81" s="101">
        <v>0.98</v>
      </c>
      <c r="P81" s="101">
        <v>98</v>
      </c>
      <c r="Q81" s="115"/>
    </row>
    <row r="82" spans="2:17" ht="16.5" customHeight="1" x14ac:dyDescent="0.2">
      <c r="B82" s="80" t="s">
        <v>342</v>
      </c>
      <c r="C82" s="81" t="s">
        <v>140</v>
      </c>
      <c r="D82" s="81" t="s">
        <v>255</v>
      </c>
      <c r="E82" s="82" t="s">
        <v>175</v>
      </c>
      <c r="F82" s="87" t="s">
        <v>175</v>
      </c>
      <c r="N82" s="97">
        <v>41547</v>
      </c>
      <c r="O82" s="101">
        <v>0.98</v>
      </c>
      <c r="P82" s="101">
        <v>98</v>
      </c>
      <c r="Q82" s="115"/>
    </row>
    <row r="83" spans="2:17" ht="16.5" customHeight="1" x14ac:dyDescent="0.2">
      <c r="B83" s="80" t="s">
        <v>343</v>
      </c>
      <c r="C83" s="81" t="s">
        <v>140</v>
      </c>
      <c r="D83" s="81" t="s">
        <v>255</v>
      </c>
      <c r="E83" s="82"/>
      <c r="F83" s="87"/>
      <c r="N83" s="97">
        <v>41578</v>
      </c>
      <c r="O83" s="101">
        <v>0.98</v>
      </c>
      <c r="P83" s="101">
        <v>98</v>
      </c>
      <c r="Q83" s="115"/>
    </row>
    <row r="84" spans="2:17" ht="16.5" customHeight="1" x14ac:dyDescent="0.2">
      <c r="B84" s="80" t="s">
        <v>344</v>
      </c>
      <c r="C84" s="81" t="s">
        <v>140</v>
      </c>
      <c r="D84" s="81" t="s">
        <v>255</v>
      </c>
      <c r="E84" s="82" t="s">
        <v>176</v>
      </c>
      <c r="F84" s="87" t="s">
        <v>176</v>
      </c>
      <c r="N84" s="97">
        <v>41608</v>
      </c>
      <c r="O84" s="101">
        <v>0.98</v>
      </c>
      <c r="P84" s="101">
        <v>98</v>
      </c>
      <c r="Q84" s="115"/>
    </row>
    <row r="85" spans="2:17" ht="16.5" customHeight="1" x14ac:dyDescent="0.2">
      <c r="B85" s="80" t="s">
        <v>252</v>
      </c>
      <c r="C85" s="81" t="s">
        <v>140</v>
      </c>
      <c r="D85" s="81" t="s">
        <v>255</v>
      </c>
      <c r="E85" s="82" t="s">
        <v>177</v>
      </c>
      <c r="F85" s="87" t="s">
        <v>177</v>
      </c>
      <c r="N85" s="97">
        <v>41639</v>
      </c>
      <c r="O85" s="101">
        <v>0.98</v>
      </c>
      <c r="P85" s="101">
        <v>98</v>
      </c>
      <c r="Q85" s="115"/>
    </row>
    <row r="86" spans="2:17" ht="16.5" customHeight="1" x14ac:dyDescent="0.2">
      <c r="B86" s="80" t="s">
        <v>61</v>
      </c>
      <c r="C86" s="81" t="s">
        <v>140</v>
      </c>
      <c r="D86" s="81" t="s">
        <v>255</v>
      </c>
      <c r="E86" s="82" t="s">
        <v>174</v>
      </c>
      <c r="F86" s="82" t="s">
        <v>174</v>
      </c>
      <c r="N86" s="97">
        <v>41670</v>
      </c>
      <c r="O86" s="101">
        <v>0.98</v>
      </c>
      <c r="P86" s="101">
        <v>98</v>
      </c>
      <c r="Q86" s="115"/>
    </row>
    <row r="87" spans="2:17" ht="16.5" customHeight="1" x14ac:dyDescent="0.2">
      <c r="B87" s="80" t="s">
        <v>62</v>
      </c>
      <c r="C87" s="81" t="s">
        <v>140</v>
      </c>
      <c r="D87" s="81" t="s">
        <v>255</v>
      </c>
      <c r="E87" s="82"/>
      <c r="F87" s="87"/>
      <c r="N87" s="97">
        <v>41698</v>
      </c>
      <c r="O87" s="101">
        <v>0.98</v>
      </c>
      <c r="P87" s="101">
        <v>98</v>
      </c>
      <c r="Q87" s="115"/>
    </row>
    <row r="88" spans="2:17" ht="16.5" customHeight="1" x14ac:dyDescent="0.2">
      <c r="B88" s="80" t="s">
        <v>250</v>
      </c>
      <c r="C88" s="81" t="s">
        <v>140</v>
      </c>
      <c r="D88" s="81" t="s">
        <v>255</v>
      </c>
      <c r="E88" s="82" t="s">
        <v>178</v>
      </c>
      <c r="F88" s="87" t="s">
        <v>178</v>
      </c>
      <c r="N88" s="97">
        <v>41729</v>
      </c>
      <c r="O88" s="101">
        <v>0.98</v>
      </c>
      <c r="P88" s="101">
        <v>98</v>
      </c>
      <c r="Q88" s="115"/>
    </row>
    <row r="89" spans="2:17" ht="16.5" customHeight="1" x14ac:dyDescent="0.2">
      <c r="B89" s="80" t="s">
        <v>64</v>
      </c>
      <c r="C89" s="81" t="s">
        <v>140</v>
      </c>
      <c r="D89" s="81" t="s">
        <v>255</v>
      </c>
      <c r="E89" s="82"/>
      <c r="F89" s="87"/>
      <c r="N89" s="97">
        <v>41759</v>
      </c>
      <c r="O89" s="101">
        <v>0.98</v>
      </c>
      <c r="P89" s="101">
        <v>98</v>
      </c>
      <c r="Q89" s="115"/>
    </row>
    <row r="90" spans="2:17" ht="16.5" customHeight="1" x14ac:dyDescent="0.2">
      <c r="B90" s="80" t="s">
        <v>251</v>
      </c>
      <c r="C90" s="81" t="s">
        <v>140</v>
      </c>
      <c r="D90" s="81" t="s">
        <v>255</v>
      </c>
      <c r="E90" s="82"/>
      <c r="F90" s="87"/>
      <c r="N90" s="97">
        <v>41790</v>
      </c>
      <c r="O90" s="101">
        <v>0.98</v>
      </c>
      <c r="P90" s="101">
        <v>98</v>
      </c>
      <c r="Q90" s="115"/>
    </row>
    <row r="91" spans="2:17" ht="16.5" customHeight="1" x14ac:dyDescent="0.2">
      <c r="B91" s="80" t="s">
        <v>66</v>
      </c>
      <c r="C91" s="81" t="s">
        <v>140</v>
      </c>
      <c r="D91" s="81" t="s">
        <v>255</v>
      </c>
      <c r="E91" s="82"/>
      <c r="F91" s="87"/>
      <c r="N91" s="97">
        <v>41820</v>
      </c>
      <c r="O91" s="101">
        <v>0.98</v>
      </c>
      <c r="P91" s="101">
        <v>98</v>
      </c>
      <c r="Q91" s="115"/>
    </row>
    <row r="92" spans="2:17" ht="16.5" customHeight="1" x14ac:dyDescent="0.2">
      <c r="B92" s="80" t="s">
        <v>308</v>
      </c>
      <c r="C92" s="81" t="s">
        <v>140</v>
      </c>
      <c r="D92" s="81" t="s">
        <v>255</v>
      </c>
      <c r="E92" s="82"/>
      <c r="F92" s="87"/>
      <c r="N92" s="97">
        <v>41851</v>
      </c>
      <c r="O92" s="101">
        <v>0.98</v>
      </c>
      <c r="P92" s="101">
        <v>98</v>
      </c>
      <c r="Q92" s="115"/>
    </row>
    <row r="93" spans="2:17" ht="16.5" customHeight="1" x14ac:dyDescent="0.2">
      <c r="B93" s="80" t="s">
        <v>249</v>
      </c>
      <c r="C93" s="81" t="s">
        <v>140</v>
      </c>
      <c r="D93" s="81" t="s">
        <v>255</v>
      </c>
      <c r="E93" s="82" t="s">
        <v>178</v>
      </c>
      <c r="F93" s="87" t="s">
        <v>178</v>
      </c>
      <c r="N93" s="97">
        <v>41882</v>
      </c>
      <c r="O93" s="101">
        <v>0.98</v>
      </c>
      <c r="P93" s="101">
        <v>98</v>
      </c>
      <c r="Q93" s="115"/>
    </row>
    <row r="94" spans="2:17" ht="16.5" customHeight="1" x14ac:dyDescent="0.2">
      <c r="B94" s="80" t="s">
        <v>346</v>
      </c>
      <c r="C94" s="81" t="s">
        <v>140</v>
      </c>
      <c r="D94" s="81" t="s">
        <v>255</v>
      </c>
      <c r="E94" s="82" t="s">
        <v>385</v>
      </c>
      <c r="F94" s="87" t="s">
        <v>385</v>
      </c>
      <c r="N94" s="97">
        <v>41912</v>
      </c>
      <c r="O94" s="101">
        <v>0.98</v>
      </c>
      <c r="P94" s="101">
        <v>98</v>
      </c>
      <c r="Q94" s="115"/>
    </row>
    <row r="95" spans="2:17" ht="16.5" customHeight="1" x14ac:dyDescent="0.2">
      <c r="B95" s="80" t="s">
        <v>386</v>
      </c>
      <c r="C95" s="81" t="s">
        <v>140</v>
      </c>
      <c r="D95" s="81" t="s">
        <v>255</v>
      </c>
      <c r="E95" s="82" t="s">
        <v>387</v>
      </c>
      <c r="F95" s="87" t="s">
        <v>387</v>
      </c>
      <c r="N95" s="97">
        <v>41943</v>
      </c>
      <c r="O95" s="101">
        <v>0.98</v>
      </c>
      <c r="P95" s="101">
        <v>98</v>
      </c>
      <c r="Q95" s="115"/>
    </row>
    <row r="96" spans="2:17" ht="16.5" customHeight="1" x14ac:dyDescent="0.2">
      <c r="B96" s="80" t="s">
        <v>347</v>
      </c>
      <c r="C96" s="81" t="s">
        <v>140</v>
      </c>
      <c r="D96" s="81" t="s">
        <v>255</v>
      </c>
      <c r="E96" s="82"/>
      <c r="F96" s="87"/>
      <c r="N96" s="97">
        <v>41973</v>
      </c>
      <c r="O96" s="101">
        <v>0.98</v>
      </c>
      <c r="P96" s="101">
        <v>98</v>
      </c>
      <c r="Q96" s="115"/>
    </row>
    <row r="97" spans="2:17" ht="16.5" customHeight="1" x14ac:dyDescent="0.2">
      <c r="B97" s="80" t="s">
        <v>68</v>
      </c>
      <c r="C97" s="81" t="s">
        <v>140</v>
      </c>
      <c r="D97" s="81" t="s">
        <v>255</v>
      </c>
      <c r="E97" s="82"/>
      <c r="F97" s="87"/>
      <c r="N97" s="97">
        <v>42004</v>
      </c>
      <c r="O97" s="101">
        <v>0.98</v>
      </c>
      <c r="P97" s="101">
        <v>98</v>
      </c>
      <c r="Q97" s="115"/>
    </row>
    <row r="98" spans="2:17" ht="16.5" customHeight="1" x14ac:dyDescent="0.2">
      <c r="B98" s="80" t="s">
        <v>348</v>
      </c>
      <c r="C98" s="81" t="s">
        <v>140</v>
      </c>
      <c r="D98" s="81" t="s">
        <v>255</v>
      </c>
      <c r="E98" s="82"/>
      <c r="F98" s="87"/>
      <c r="N98" s="97">
        <v>42035</v>
      </c>
      <c r="O98" s="101">
        <v>0.98</v>
      </c>
      <c r="P98" s="101">
        <v>98</v>
      </c>
      <c r="Q98" s="115"/>
    </row>
    <row r="99" spans="2:17" ht="16.5" customHeight="1" x14ac:dyDescent="0.2">
      <c r="B99" s="80" t="s">
        <v>349</v>
      </c>
      <c r="C99" s="81" t="s">
        <v>140</v>
      </c>
      <c r="D99" s="81" t="s">
        <v>255</v>
      </c>
      <c r="E99" s="82" t="s">
        <v>175</v>
      </c>
      <c r="F99" s="87" t="s">
        <v>175</v>
      </c>
      <c r="N99" s="97">
        <v>42063</v>
      </c>
      <c r="O99" s="101">
        <v>0.98</v>
      </c>
      <c r="P99" s="101">
        <v>98</v>
      </c>
      <c r="Q99" s="115"/>
    </row>
    <row r="100" spans="2:17" ht="16.5" customHeight="1" x14ac:dyDescent="0.2">
      <c r="B100" s="80" t="s">
        <v>58</v>
      </c>
      <c r="C100" s="81" t="s">
        <v>140</v>
      </c>
      <c r="D100" s="81" t="s">
        <v>255</v>
      </c>
      <c r="E100" s="82"/>
      <c r="F100" s="87"/>
      <c r="N100" s="97">
        <v>42094</v>
      </c>
      <c r="O100" s="101">
        <v>0.98</v>
      </c>
      <c r="P100" s="101">
        <v>98</v>
      </c>
      <c r="Q100" s="115"/>
    </row>
    <row r="101" spans="2:17" ht="16.5" customHeight="1" x14ac:dyDescent="0.2">
      <c r="B101" s="83" t="s">
        <v>112</v>
      </c>
      <c r="C101" s="73" t="s">
        <v>140</v>
      </c>
      <c r="D101" s="73" t="s">
        <v>255</v>
      </c>
      <c r="E101" s="74" t="s">
        <v>179</v>
      </c>
      <c r="F101" s="84" t="s">
        <v>179</v>
      </c>
      <c r="N101" s="97">
        <v>42124</v>
      </c>
      <c r="O101" s="101">
        <v>0.98</v>
      </c>
      <c r="P101" s="101">
        <v>98</v>
      </c>
      <c r="Q101" s="115"/>
    </row>
    <row r="102" spans="2:17" ht="16.5" customHeight="1" x14ac:dyDescent="0.25">
      <c r="B102" s="62" t="s">
        <v>9</v>
      </c>
      <c r="C102" s="70" t="s">
        <v>139</v>
      </c>
      <c r="D102" s="70" t="str">
        <f>IF(ISNUMBER(FIND("ED",B102)),"ED","All")</f>
        <v>All</v>
      </c>
      <c r="E102" s="71"/>
      <c r="F102" s="72"/>
      <c r="N102" s="97">
        <v>42155</v>
      </c>
      <c r="O102" s="101">
        <v>0.98</v>
      </c>
      <c r="P102" s="101">
        <v>98</v>
      </c>
      <c r="Q102" s="115"/>
    </row>
    <row r="103" spans="2:17" ht="16.5" customHeight="1" x14ac:dyDescent="0.25">
      <c r="B103" s="66" t="s">
        <v>129</v>
      </c>
      <c r="C103" s="73" t="s">
        <v>139</v>
      </c>
      <c r="D103" s="73" t="str">
        <f>IF(ISNUMBER(FIND("ED",B103)),"ED","All")</f>
        <v>ED</v>
      </c>
      <c r="E103" s="74"/>
      <c r="F103" s="84"/>
      <c r="N103" s="97">
        <v>42185</v>
      </c>
      <c r="O103" s="101">
        <v>0.98</v>
      </c>
      <c r="P103" s="101">
        <v>98</v>
      </c>
      <c r="Q103" s="115"/>
    </row>
    <row r="104" spans="2:17" ht="16.5" customHeight="1" x14ac:dyDescent="0.2">
      <c r="B104" s="92" t="s">
        <v>352</v>
      </c>
      <c r="C104" s="70" t="s">
        <v>140</v>
      </c>
      <c r="D104" s="70" t="s">
        <v>255</v>
      </c>
      <c r="E104" s="71"/>
      <c r="F104" s="72"/>
      <c r="N104" s="97">
        <v>42216</v>
      </c>
      <c r="O104" s="101">
        <v>0.98</v>
      </c>
      <c r="P104" s="101">
        <v>98</v>
      </c>
      <c r="Q104" s="115"/>
    </row>
    <row r="105" spans="2:17" ht="16.5" customHeight="1" x14ac:dyDescent="0.2">
      <c r="B105" s="93" t="s">
        <v>70</v>
      </c>
      <c r="C105" s="81" t="s">
        <v>140</v>
      </c>
      <c r="D105" s="81" t="s">
        <v>255</v>
      </c>
      <c r="E105" s="82"/>
      <c r="F105" s="87"/>
      <c r="N105" s="97">
        <v>42247</v>
      </c>
    </row>
    <row r="106" spans="2:17" ht="16.5" customHeight="1" x14ac:dyDescent="0.2">
      <c r="B106" s="80" t="s">
        <v>353</v>
      </c>
      <c r="C106" s="81" t="s">
        <v>140</v>
      </c>
      <c r="D106" s="81" t="s">
        <v>255</v>
      </c>
      <c r="E106" s="82"/>
      <c r="F106" s="87"/>
      <c r="N106" s="97">
        <v>42277</v>
      </c>
    </row>
    <row r="107" spans="2:17" ht="16.5" customHeight="1" x14ac:dyDescent="0.2">
      <c r="B107" s="93" t="s">
        <v>354</v>
      </c>
      <c r="C107" s="81" t="s">
        <v>140</v>
      </c>
      <c r="D107" s="81" t="s">
        <v>255</v>
      </c>
      <c r="E107" s="82"/>
      <c r="F107" s="87"/>
      <c r="N107" s="97">
        <v>42308</v>
      </c>
    </row>
    <row r="108" spans="2:17" ht="16.5" customHeight="1" x14ac:dyDescent="0.2">
      <c r="B108" s="94" t="s">
        <v>355</v>
      </c>
      <c r="C108" s="73" t="s">
        <v>140</v>
      </c>
      <c r="D108" s="73" t="s">
        <v>255</v>
      </c>
      <c r="E108" s="74"/>
      <c r="F108" s="84"/>
      <c r="N108" s="97">
        <v>42338</v>
      </c>
    </row>
    <row r="109" spans="2:17" ht="16.5" customHeight="1" x14ac:dyDescent="0.25">
      <c r="B109" s="62" t="s">
        <v>10</v>
      </c>
      <c r="C109" s="70" t="s">
        <v>139</v>
      </c>
      <c r="D109" s="70" t="str">
        <f>IF(ISNUMBER(FIND("ED",B109)),"ED","All")</f>
        <v>All</v>
      </c>
      <c r="E109" s="71" t="s">
        <v>304</v>
      </c>
      <c r="F109" s="72"/>
      <c r="N109" s="97">
        <v>42369</v>
      </c>
    </row>
    <row r="110" spans="2:17" ht="16.5" customHeight="1" x14ac:dyDescent="0.25">
      <c r="B110" s="66" t="s">
        <v>132</v>
      </c>
      <c r="C110" s="73" t="s">
        <v>139</v>
      </c>
      <c r="D110" s="73" t="str">
        <f>IF(ISNUMBER(FIND("ED",B110)),"ED","All")</f>
        <v>ED</v>
      </c>
      <c r="E110" s="74" t="s">
        <v>304</v>
      </c>
      <c r="F110" s="84"/>
      <c r="N110" s="97">
        <v>42400</v>
      </c>
    </row>
    <row r="111" spans="2:17" ht="16.5" customHeight="1" x14ac:dyDescent="0.2">
      <c r="B111" s="76" t="s">
        <v>115</v>
      </c>
      <c r="C111" s="77" t="s">
        <v>140</v>
      </c>
      <c r="D111" s="77" t="s">
        <v>255</v>
      </c>
      <c r="E111" s="78" t="s">
        <v>180</v>
      </c>
      <c r="F111" s="78" t="s">
        <v>180</v>
      </c>
      <c r="N111" s="97">
        <v>42429</v>
      </c>
    </row>
    <row r="112" spans="2:17" ht="16.5" customHeight="1" x14ac:dyDescent="0.2">
      <c r="B112" s="80" t="s">
        <v>116</v>
      </c>
      <c r="C112" s="81" t="s">
        <v>140</v>
      </c>
      <c r="D112" s="81" t="s">
        <v>255</v>
      </c>
      <c r="E112" s="82" t="s">
        <v>181</v>
      </c>
      <c r="F112" s="82" t="s">
        <v>181</v>
      </c>
      <c r="N112" s="97">
        <v>42460</v>
      </c>
    </row>
    <row r="113" spans="2:6" ht="16.5" customHeight="1" x14ac:dyDescent="0.2">
      <c r="B113" s="80" t="s">
        <v>74</v>
      </c>
      <c r="C113" s="81" t="s">
        <v>140</v>
      </c>
      <c r="D113" s="81" t="s">
        <v>255</v>
      </c>
      <c r="E113" s="71" t="s">
        <v>304</v>
      </c>
      <c r="F113" s="87"/>
    </row>
    <row r="114" spans="2:6" ht="16.5" customHeight="1" x14ac:dyDescent="0.2">
      <c r="B114" s="80" t="s">
        <v>357</v>
      </c>
      <c r="C114" s="81" t="s">
        <v>140</v>
      </c>
      <c r="D114" s="81" t="s">
        <v>255</v>
      </c>
      <c r="E114" s="71" t="s">
        <v>304</v>
      </c>
      <c r="F114" s="87"/>
    </row>
    <row r="115" spans="2:6" ht="16.5" customHeight="1" x14ac:dyDescent="0.2">
      <c r="B115" s="80" t="s">
        <v>253</v>
      </c>
      <c r="C115" s="81" t="s">
        <v>140</v>
      </c>
      <c r="D115" s="81" t="s">
        <v>255</v>
      </c>
      <c r="E115" s="71" t="s">
        <v>304</v>
      </c>
      <c r="F115" s="87"/>
    </row>
    <row r="116" spans="2:6" ht="16.5" customHeight="1" x14ac:dyDescent="0.2">
      <c r="B116" s="83" t="s">
        <v>358</v>
      </c>
      <c r="C116" s="73" t="s">
        <v>140</v>
      </c>
      <c r="D116" s="73" t="s">
        <v>255</v>
      </c>
      <c r="E116" s="71" t="s">
        <v>304</v>
      </c>
      <c r="F116" s="84"/>
    </row>
    <row r="117" spans="2:6" ht="16.5" customHeight="1" x14ac:dyDescent="0.25">
      <c r="B117" s="62" t="s">
        <v>11</v>
      </c>
      <c r="C117" s="70" t="s">
        <v>139</v>
      </c>
      <c r="D117" s="70" t="str">
        <f>IF(ISNUMBER(FIND("ED",B117)),"ED","All")</f>
        <v>All</v>
      </c>
      <c r="E117" s="71" t="s">
        <v>182</v>
      </c>
      <c r="F117" s="72" t="s">
        <v>187</v>
      </c>
    </row>
    <row r="118" spans="2:6" ht="16.5" customHeight="1" x14ac:dyDescent="0.25">
      <c r="B118" s="66" t="s">
        <v>131</v>
      </c>
      <c r="C118" s="73" t="s">
        <v>139</v>
      </c>
      <c r="D118" s="73" t="str">
        <f>IF(ISNUMBER(FIND("ED",B118)),"ED","All")</f>
        <v>ED</v>
      </c>
      <c r="E118" s="74"/>
      <c r="F118" s="84" t="s">
        <v>187</v>
      </c>
    </row>
    <row r="119" spans="2:6" ht="16.5" customHeight="1" x14ac:dyDescent="0.2">
      <c r="B119" s="85" t="s">
        <v>254</v>
      </c>
      <c r="C119" s="70" t="s">
        <v>140</v>
      </c>
      <c r="D119" s="70" t="s">
        <v>255</v>
      </c>
      <c r="E119" s="71" t="s">
        <v>257</v>
      </c>
      <c r="F119" s="72" t="s">
        <v>256</v>
      </c>
    </row>
    <row r="120" spans="2:6" ht="16.5" customHeight="1" x14ac:dyDescent="0.2">
      <c r="B120" s="95" t="s">
        <v>266</v>
      </c>
      <c r="C120" s="96" t="s">
        <v>140</v>
      </c>
      <c r="D120" s="96" t="s">
        <v>255</v>
      </c>
      <c r="E120" s="98" t="s">
        <v>188</v>
      </c>
      <c r="F120" s="99" t="s">
        <v>192</v>
      </c>
    </row>
    <row r="121" spans="2:6" ht="16.5" customHeight="1" x14ac:dyDescent="0.25">
      <c r="B121" s="62" t="s">
        <v>12</v>
      </c>
      <c r="C121" s="70" t="s">
        <v>139</v>
      </c>
      <c r="D121" s="70" t="str">
        <f>IF(ISNUMBER(FIND("ED",B121)),"ED","All")</f>
        <v>All</v>
      </c>
      <c r="E121" s="71"/>
      <c r="F121" s="72"/>
    </row>
    <row r="122" spans="2:6" ht="16.5" customHeight="1" x14ac:dyDescent="0.25">
      <c r="B122" s="66" t="s">
        <v>137</v>
      </c>
      <c r="C122" s="73" t="s">
        <v>139</v>
      </c>
      <c r="D122" s="73" t="s">
        <v>255</v>
      </c>
      <c r="E122" s="74"/>
      <c r="F122" s="84"/>
    </row>
    <row r="123" spans="2:6" ht="16.5" customHeight="1" x14ac:dyDescent="0.2">
      <c r="B123" s="95" t="s">
        <v>258</v>
      </c>
      <c r="C123" s="96" t="s">
        <v>140</v>
      </c>
      <c r="D123" s="96" t="str">
        <f>IF(ISNUMBER(FIND("ED",B123)),"ED","All")</f>
        <v>ED</v>
      </c>
      <c r="E123" s="98"/>
      <c r="F123" s="99"/>
    </row>
    <row r="124" spans="2:6" ht="16.5" customHeight="1" x14ac:dyDescent="0.25">
      <c r="B124" s="62" t="s">
        <v>13</v>
      </c>
      <c r="C124" s="70" t="s">
        <v>139</v>
      </c>
      <c r="D124" s="70" t="s">
        <v>255</v>
      </c>
      <c r="E124" s="71"/>
      <c r="F124" s="72"/>
    </row>
    <row r="125" spans="2:6" ht="16.5" customHeight="1" x14ac:dyDescent="0.25">
      <c r="B125" s="100" t="s">
        <v>133</v>
      </c>
      <c r="C125" s="81" t="s">
        <v>139</v>
      </c>
      <c r="D125" s="81" t="s">
        <v>255</v>
      </c>
      <c r="E125" s="82"/>
      <c r="F125" s="87"/>
    </row>
    <row r="126" spans="2:6" ht="16.5" customHeight="1" x14ac:dyDescent="0.2">
      <c r="B126" s="80" t="s">
        <v>259</v>
      </c>
      <c r="C126" s="81" t="s">
        <v>140</v>
      </c>
      <c r="D126" s="81" t="s">
        <v>255</v>
      </c>
      <c r="E126" s="82"/>
      <c r="F126" s="87"/>
    </row>
    <row r="127" spans="2:6" ht="16.5" customHeight="1" x14ac:dyDescent="0.2">
      <c r="B127" s="80" t="s">
        <v>260</v>
      </c>
      <c r="C127" s="81" t="s">
        <v>140</v>
      </c>
      <c r="D127" s="81" t="s">
        <v>255</v>
      </c>
      <c r="E127" s="82"/>
      <c r="F127" s="87"/>
    </row>
    <row r="128" spans="2:6" ht="16.5" customHeight="1" x14ac:dyDescent="0.2">
      <c r="B128" s="80" t="s">
        <v>118</v>
      </c>
      <c r="C128" s="81" t="s">
        <v>140</v>
      </c>
      <c r="D128" s="81" t="s">
        <v>255</v>
      </c>
      <c r="E128" s="82" t="s">
        <v>183</v>
      </c>
      <c r="F128" s="87" t="s">
        <v>183</v>
      </c>
    </row>
    <row r="129" spans="2:6" ht="16.5" customHeight="1" x14ac:dyDescent="0.2">
      <c r="B129" s="80" t="s">
        <v>365</v>
      </c>
      <c r="C129" s="81" t="s">
        <v>140</v>
      </c>
      <c r="D129" s="81" t="s">
        <v>255</v>
      </c>
      <c r="E129" s="82" t="s">
        <v>285</v>
      </c>
      <c r="F129" s="82" t="s">
        <v>285</v>
      </c>
    </row>
    <row r="130" spans="2:6" ht="16.5" customHeight="1" x14ac:dyDescent="0.2">
      <c r="B130" s="80" t="s">
        <v>80</v>
      </c>
      <c r="C130" s="81" t="s">
        <v>140</v>
      </c>
      <c r="D130" s="81" t="s">
        <v>255</v>
      </c>
      <c r="E130" s="82" t="s">
        <v>184</v>
      </c>
      <c r="F130" s="87" t="s">
        <v>184</v>
      </c>
    </row>
    <row r="131" spans="2:6" ht="16.5" customHeight="1" x14ac:dyDescent="0.2">
      <c r="B131" s="80" t="s">
        <v>363</v>
      </c>
      <c r="C131" s="81" t="s">
        <v>140</v>
      </c>
      <c r="D131" s="81" t="s">
        <v>255</v>
      </c>
      <c r="E131" s="82"/>
      <c r="F131" s="87"/>
    </row>
    <row r="132" spans="2:6" ht="16.5" customHeight="1" x14ac:dyDescent="0.2">
      <c r="B132" s="80" t="s">
        <v>77</v>
      </c>
      <c r="C132" s="81" t="s">
        <v>140</v>
      </c>
      <c r="D132" s="81" t="s">
        <v>255</v>
      </c>
      <c r="E132" s="82"/>
      <c r="F132" s="87"/>
    </row>
    <row r="133" spans="2:6" ht="16.5" customHeight="1" x14ac:dyDescent="0.2">
      <c r="B133" s="80" t="s">
        <v>79</v>
      </c>
      <c r="C133" s="81" t="s">
        <v>140</v>
      </c>
      <c r="D133" s="81" t="s">
        <v>255</v>
      </c>
      <c r="E133" s="82"/>
      <c r="F133" s="87"/>
    </row>
    <row r="134" spans="2:6" ht="16.5" customHeight="1" x14ac:dyDescent="0.2">
      <c r="B134" s="80" t="s">
        <v>120</v>
      </c>
      <c r="C134" s="81" t="s">
        <v>140</v>
      </c>
      <c r="D134" s="81" t="s">
        <v>255</v>
      </c>
      <c r="E134" s="82" t="s">
        <v>280</v>
      </c>
      <c r="F134" s="87" t="s">
        <v>280</v>
      </c>
    </row>
    <row r="135" spans="2:6" ht="16.5" customHeight="1" x14ac:dyDescent="0.2">
      <c r="B135" s="80" t="s">
        <v>84</v>
      </c>
      <c r="C135" s="81" t="s">
        <v>140</v>
      </c>
      <c r="D135" s="81" t="s">
        <v>255</v>
      </c>
      <c r="E135" s="82"/>
      <c r="F135" s="87"/>
    </row>
    <row r="136" spans="2:6" ht="16.5" customHeight="1" x14ac:dyDescent="0.2">
      <c r="B136" s="80" t="s">
        <v>121</v>
      </c>
      <c r="C136" s="81" t="s">
        <v>140</v>
      </c>
      <c r="D136" s="81" t="s">
        <v>255</v>
      </c>
      <c r="E136" s="82"/>
      <c r="F136" s="87"/>
    </row>
    <row r="137" spans="2:6" ht="16.5" customHeight="1" x14ac:dyDescent="0.2">
      <c r="B137" s="83" t="s">
        <v>81</v>
      </c>
      <c r="C137" s="73" t="s">
        <v>140</v>
      </c>
      <c r="D137" s="73" t="s">
        <v>255</v>
      </c>
      <c r="E137" s="74"/>
      <c r="F137" s="84"/>
    </row>
    <row r="138" spans="2:6" ht="15" x14ac:dyDescent="0.25">
      <c r="B138" s="62" t="s">
        <v>14</v>
      </c>
      <c r="C138" s="70" t="s">
        <v>139</v>
      </c>
      <c r="D138" s="70" t="str">
        <f>IF(ISNUMBER(FIND("ED",B138)),"ED","All")</f>
        <v>All</v>
      </c>
      <c r="E138" s="71"/>
      <c r="F138" s="72"/>
    </row>
    <row r="139" spans="2:6" ht="15" customHeight="1" x14ac:dyDescent="0.25">
      <c r="B139" s="66" t="s">
        <v>136</v>
      </c>
      <c r="C139" s="73" t="s">
        <v>139</v>
      </c>
      <c r="D139" s="73" t="str">
        <f>IF(ISNUMBER(FIND("ED",B139)),"ED","All")</f>
        <v>ED</v>
      </c>
      <c r="E139" s="74"/>
      <c r="F139" s="84"/>
    </row>
    <row r="140" spans="2:6" x14ac:dyDescent="0.2">
      <c r="B140" s="85" t="s">
        <v>368</v>
      </c>
      <c r="C140" s="70" t="s">
        <v>140</v>
      </c>
      <c r="D140" s="70" t="s">
        <v>255</v>
      </c>
      <c r="E140" s="71"/>
      <c r="F140" s="72"/>
    </row>
    <row r="141" spans="2:6" x14ac:dyDescent="0.2">
      <c r="B141" s="80" t="s">
        <v>261</v>
      </c>
      <c r="C141" s="81" t="s">
        <v>140</v>
      </c>
      <c r="D141" s="81" t="s">
        <v>255</v>
      </c>
      <c r="E141" s="82"/>
      <c r="F141" s="87"/>
    </row>
    <row r="142" spans="2:6" ht="15" customHeight="1" x14ac:dyDescent="0.2">
      <c r="B142" s="83" t="s">
        <v>85</v>
      </c>
      <c r="C142" s="73" t="s">
        <v>140</v>
      </c>
      <c r="D142" s="73" t="s">
        <v>255</v>
      </c>
      <c r="E142" s="74"/>
      <c r="F142" s="84"/>
    </row>
    <row r="144" spans="2:6" ht="15" customHeight="1" x14ac:dyDescent="0.2">
      <c r="B144" s="28" t="s">
        <v>190</v>
      </c>
    </row>
    <row r="145" spans="2:2" ht="15" x14ac:dyDescent="0.25">
      <c r="B145" s="104" t="s">
        <v>0</v>
      </c>
    </row>
    <row r="146" spans="2:2" ht="15" customHeight="1" x14ac:dyDescent="0.25">
      <c r="B146" s="105" t="s">
        <v>122</v>
      </c>
    </row>
    <row r="147" spans="2:2" ht="15" x14ac:dyDescent="0.25">
      <c r="B147" s="104" t="s">
        <v>1</v>
      </c>
    </row>
    <row r="148" spans="2:2" ht="15" customHeight="1" x14ac:dyDescent="0.25">
      <c r="B148" s="105" t="s">
        <v>124</v>
      </c>
    </row>
    <row r="149" spans="2:2" x14ac:dyDescent="0.2">
      <c r="B149" s="106" t="s">
        <v>18</v>
      </c>
    </row>
    <row r="150" spans="2:2" ht="15" customHeight="1" x14ac:dyDescent="0.2">
      <c r="B150" s="106" t="s">
        <v>17</v>
      </c>
    </row>
    <row r="151" spans="2:2" ht="15" x14ac:dyDescent="0.25">
      <c r="B151" s="104" t="s">
        <v>2</v>
      </c>
    </row>
    <row r="152" spans="2:2" ht="15" customHeight="1" x14ac:dyDescent="0.25">
      <c r="B152" s="105" t="s">
        <v>125</v>
      </c>
    </row>
    <row r="153" spans="2:2" ht="15" customHeight="1" x14ac:dyDescent="0.2">
      <c r="B153" s="107" t="s">
        <v>24</v>
      </c>
    </row>
    <row r="154" spans="2:2" ht="15" x14ac:dyDescent="0.25">
      <c r="B154" s="104" t="s">
        <v>3</v>
      </c>
    </row>
    <row r="155" spans="2:2" ht="15" customHeight="1" x14ac:dyDescent="0.25">
      <c r="B155" s="105" t="s">
        <v>135</v>
      </c>
    </row>
    <row r="156" spans="2:2" x14ac:dyDescent="0.2">
      <c r="B156" s="106" t="s">
        <v>28</v>
      </c>
    </row>
    <row r="157" spans="2:2" ht="15" customHeight="1" x14ac:dyDescent="0.2">
      <c r="B157" s="107" t="s">
        <v>27</v>
      </c>
    </row>
    <row r="158" spans="2:2" ht="15" x14ac:dyDescent="0.25">
      <c r="B158" s="104" t="s">
        <v>4</v>
      </c>
    </row>
    <row r="159" spans="2:2" ht="15" customHeight="1" x14ac:dyDescent="0.25">
      <c r="B159" s="105" t="s">
        <v>126</v>
      </c>
    </row>
    <row r="160" spans="2:2" x14ac:dyDescent="0.2">
      <c r="B160" s="108" t="s">
        <v>32</v>
      </c>
    </row>
    <row r="161" spans="2:2" ht="15" customHeight="1" x14ac:dyDescent="0.2">
      <c r="B161" s="107" t="s">
        <v>30</v>
      </c>
    </row>
    <row r="162" spans="2:2" ht="15" x14ac:dyDescent="0.25">
      <c r="B162" s="104" t="s">
        <v>5</v>
      </c>
    </row>
    <row r="163" spans="2:2" ht="15" customHeight="1" x14ac:dyDescent="0.25">
      <c r="B163" s="105" t="s">
        <v>134</v>
      </c>
    </row>
    <row r="164" spans="2:2" x14ac:dyDescent="0.2">
      <c r="B164" s="108" t="s">
        <v>33</v>
      </c>
    </row>
    <row r="165" spans="2:2" x14ac:dyDescent="0.2">
      <c r="B165" s="106" t="s">
        <v>34</v>
      </c>
    </row>
    <row r="166" spans="2:2" ht="15" customHeight="1" x14ac:dyDescent="0.2">
      <c r="B166" s="107" t="s">
        <v>35</v>
      </c>
    </row>
    <row r="167" spans="2:2" ht="15" x14ac:dyDescent="0.25">
      <c r="B167" s="104" t="s">
        <v>6</v>
      </c>
    </row>
    <row r="168" spans="2:2" ht="15" customHeight="1" x14ac:dyDescent="0.25">
      <c r="B168" s="105" t="s">
        <v>130</v>
      </c>
    </row>
    <row r="169" spans="2:2" x14ac:dyDescent="0.2">
      <c r="B169" s="108" t="s">
        <v>36</v>
      </c>
    </row>
    <row r="170" spans="2:2" x14ac:dyDescent="0.2">
      <c r="B170" s="106" t="s">
        <v>46</v>
      </c>
    </row>
    <row r="171" spans="2:2" x14ac:dyDescent="0.2">
      <c r="B171" s="106" t="s">
        <v>39</v>
      </c>
    </row>
    <row r="172" spans="2:2" ht="15" customHeight="1" x14ac:dyDescent="0.2">
      <c r="B172" s="106" t="s">
        <v>43</v>
      </c>
    </row>
    <row r="173" spans="2:2" ht="15" x14ac:dyDescent="0.25">
      <c r="B173" s="104" t="s">
        <v>7</v>
      </c>
    </row>
    <row r="174" spans="2:2" ht="15" customHeight="1" x14ac:dyDescent="0.25">
      <c r="B174" s="105" t="s">
        <v>127</v>
      </c>
    </row>
    <row r="175" spans="2:2" x14ac:dyDescent="0.2">
      <c r="B175" s="108" t="s">
        <v>55</v>
      </c>
    </row>
    <row r="176" spans="2:2" x14ac:dyDescent="0.2">
      <c r="B176" s="106" t="s">
        <v>50</v>
      </c>
    </row>
    <row r="177" spans="2:2" x14ac:dyDescent="0.2">
      <c r="B177" s="106" t="s">
        <v>51</v>
      </c>
    </row>
    <row r="178" spans="2:2" x14ac:dyDescent="0.2">
      <c r="B178" s="106" t="s">
        <v>49</v>
      </c>
    </row>
    <row r="179" spans="2:2" x14ac:dyDescent="0.2">
      <c r="B179" s="106" t="s">
        <v>54</v>
      </c>
    </row>
    <row r="180" spans="2:2" x14ac:dyDescent="0.2">
      <c r="B180" s="106" t="s">
        <v>56</v>
      </c>
    </row>
    <row r="181" spans="2:2" x14ac:dyDescent="0.2">
      <c r="B181" s="106" t="s">
        <v>53</v>
      </c>
    </row>
    <row r="182" spans="2:2" x14ac:dyDescent="0.2">
      <c r="B182" s="106" t="s">
        <v>52</v>
      </c>
    </row>
    <row r="183" spans="2:2" ht="15" customHeight="1" x14ac:dyDescent="0.2">
      <c r="B183" s="107" t="s">
        <v>57</v>
      </c>
    </row>
    <row r="184" spans="2:2" ht="15" x14ac:dyDescent="0.25">
      <c r="B184" s="104" t="s">
        <v>8</v>
      </c>
    </row>
    <row r="185" spans="2:2" ht="15" customHeight="1" x14ac:dyDescent="0.25">
      <c r="B185" s="105" t="s">
        <v>128</v>
      </c>
    </row>
    <row r="186" spans="2:2" x14ac:dyDescent="0.2">
      <c r="B186" s="106" t="s">
        <v>65</v>
      </c>
    </row>
    <row r="187" spans="2:2" x14ac:dyDescent="0.2">
      <c r="B187" s="106" t="s">
        <v>60</v>
      </c>
    </row>
    <row r="188" spans="2:2" x14ac:dyDescent="0.2">
      <c r="B188" s="106" t="s">
        <v>67</v>
      </c>
    </row>
    <row r="189" spans="2:2" ht="15" customHeight="1" x14ac:dyDescent="0.2">
      <c r="B189" s="106" t="s">
        <v>59</v>
      </c>
    </row>
    <row r="190" spans="2:2" ht="15" x14ac:dyDescent="0.25">
      <c r="B190" s="104" t="s">
        <v>9</v>
      </c>
    </row>
    <row r="191" spans="2:2" ht="15" customHeight="1" x14ac:dyDescent="0.25">
      <c r="B191" s="105" t="s">
        <v>129</v>
      </c>
    </row>
    <row r="192" spans="2:2" x14ac:dyDescent="0.2">
      <c r="B192" s="108" t="s">
        <v>113</v>
      </c>
    </row>
    <row r="193" spans="2:2" x14ac:dyDescent="0.2">
      <c r="B193" s="106" t="s">
        <v>69</v>
      </c>
    </row>
    <row r="194" spans="2:2" ht="15" customHeight="1" x14ac:dyDescent="0.2">
      <c r="B194" s="107" t="s">
        <v>71</v>
      </c>
    </row>
    <row r="195" spans="2:2" ht="15" x14ac:dyDescent="0.25">
      <c r="B195" s="104" t="s">
        <v>10</v>
      </c>
    </row>
    <row r="196" spans="2:2" ht="15" customHeight="1" x14ac:dyDescent="0.25">
      <c r="B196" s="105" t="s">
        <v>132</v>
      </c>
    </row>
    <row r="197" spans="2:2" x14ac:dyDescent="0.2">
      <c r="B197" s="106" t="s">
        <v>74</v>
      </c>
    </row>
    <row r="198" spans="2:2" x14ac:dyDescent="0.2">
      <c r="B198" s="106" t="s">
        <v>117</v>
      </c>
    </row>
    <row r="199" spans="2:2" x14ac:dyDescent="0.2">
      <c r="B199" s="106" t="s">
        <v>73</v>
      </c>
    </row>
    <row r="200" spans="2:2" ht="15" customHeight="1" x14ac:dyDescent="0.2">
      <c r="B200" s="107" t="s">
        <v>72</v>
      </c>
    </row>
    <row r="201" spans="2:2" ht="15" x14ac:dyDescent="0.25">
      <c r="B201" s="104" t="s">
        <v>11</v>
      </c>
    </row>
    <row r="202" spans="2:2" ht="15" customHeight="1" x14ac:dyDescent="0.25">
      <c r="B202" s="105" t="s">
        <v>131</v>
      </c>
    </row>
    <row r="203" spans="2:2" ht="15" customHeight="1" x14ac:dyDescent="0.2">
      <c r="B203" s="109" t="s">
        <v>75</v>
      </c>
    </row>
    <row r="204" spans="2:2" ht="15" x14ac:dyDescent="0.25">
      <c r="B204" s="104" t="s">
        <v>12</v>
      </c>
    </row>
    <row r="205" spans="2:2" ht="15" customHeight="1" x14ac:dyDescent="0.25">
      <c r="B205" s="105" t="s">
        <v>137</v>
      </c>
    </row>
    <row r="206" spans="2:2" ht="15" customHeight="1" x14ac:dyDescent="0.2">
      <c r="B206" s="110" t="s">
        <v>76</v>
      </c>
    </row>
    <row r="207" spans="2:2" ht="15" x14ac:dyDescent="0.25">
      <c r="B207" s="104" t="s">
        <v>13</v>
      </c>
    </row>
    <row r="208" spans="2:2" ht="15" x14ac:dyDescent="0.25">
      <c r="B208" s="111" t="s">
        <v>133</v>
      </c>
    </row>
    <row r="209" spans="2:2" x14ac:dyDescent="0.2">
      <c r="B209" s="106" t="s">
        <v>82</v>
      </c>
    </row>
    <row r="210" spans="2:2" x14ac:dyDescent="0.2">
      <c r="B210" s="106" t="s">
        <v>83</v>
      </c>
    </row>
    <row r="211" spans="2:2" x14ac:dyDescent="0.2">
      <c r="B211" s="106" t="s">
        <v>118</v>
      </c>
    </row>
    <row r="212" spans="2:2" x14ac:dyDescent="0.2">
      <c r="B212" s="106" t="s">
        <v>119</v>
      </c>
    </row>
    <row r="213" spans="2:2" x14ac:dyDescent="0.2">
      <c r="B213" s="106" t="s">
        <v>80</v>
      </c>
    </row>
    <row r="214" spans="2:2" x14ac:dyDescent="0.2">
      <c r="B214" s="106" t="s">
        <v>78</v>
      </c>
    </row>
    <row r="215" spans="2:2" x14ac:dyDescent="0.2">
      <c r="B215" s="106" t="s">
        <v>77</v>
      </c>
    </row>
    <row r="216" spans="2:2" x14ac:dyDescent="0.2">
      <c r="B216" s="106" t="s">
        <v>79</v>
      </c>
    </row>
    <row r="217" spans="2:2" x14ac:dyDescent="0.2">
      <c r="B217" s="106" t="s">
        <v>120</v>
      </c>
    </row>
    <row r="218" spans="2:2" x14ac:dyDescent="0.2">
      <c r="B218" s="106" t="s">
        <v>84</v>
      </c>
    </row>
    <row r="219" spans="2:2" x14ac:dyDescent="0.2">
      <c r="B219" s="106" t="s">
        <v>121</v>
      </c>
    </row>
    <row r="220" spans="2:2" ht="15" customHeight="1" x14ac:dyDescent="0.2">
      <c r="B220" s="107" t="s">
        <v>81</v>
      </c>
    </row>
    <row r="221" spans="2:2" ht="15" x14ac:dyDescent="0.25">
      <c r="B221" s="104" t="s">
        <v>14</v>
      </c>
    </row>
    <row r="222" spans="2:2" ht="15" customHeight="1" x14ac:dyDescent="0.25">
      <c r="B222" s="105" t="s">
        <v>136</v>
      </c>
    </row>
    <row r="223" spans="2:2" ht="15" customHeight="1" x14ac:dyDescent="0.2">
      <c r="B223" s="107" t="s">
        <v>86</v>
      </c>
    </row>
  </sheetData>
  <mergeCells count="1">
    <mergeCell ref="L4:M4"/>
  </mergeCells>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Notes</vt:lpstr>
      <vt:lpstr>DataQuality</vt:lpstr>
      <vt:lpstr>board_comparison</vt:lpstr>
      <vt:lpstr>Compliance</vt:lpstr>
      <vt:lpstr>Disc_dest</vt:lpstr>
      <vt:lpstr>inputdata</vt:lpstr>
      <vt:lpstr>Lookups</vt:lpstr>
      <vt:lpstr>data_source</vt:lpstr>
      <vt:lpstr>board_comparison!Print_Area</vt:lpstr>
      <vt:lpstr>Compliance!Print_Area</vt:lpstr>
      <vt:lpstr>DataQuality!Print_Area</vt:lpstr>
      <vt:lpstr>Disc_dest!Print_Area</vt:lpstr>
      <vt:lpstr>Notes!Print_Area</vt:lpstr>
      <vt:lpstr>board_comparison!Print_Titles</vt:lpstr>
      <vt:lpstr>Compliance!Print_Titles</vt:lpstr>
      <vt:lpstr>Disc_dest!Print_Titles</vt:lpstr>
      <vt:lpstr>rolling_average_att</vt:lpstr>
      <vt:lpstr>site_lookup</vt:lpstr>
      <vt:lpstr>Site_lookup_Episode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 and E activity waiting times</dc:title>
  <dc:creator>Unscheduled Care Team</dc:creator>
  <cp:keywords>Emergency Care, A and E, Scotland</cp:keywords>
  <cp:lastModifiedBy>Ewout Jaspers</cp:lastModifiedBy>
  <cp:lastPrinted>2016-06-14T12:25:58Z</cp:lastPrinted>
  <dcterms:created xsi:type="dcterms:W3CDTF">2014-06-27T12:45:26Z</dcterms:created>
  <dcterms:modified xsi:type="dcterms:W3CDTF">2023-02-22T11:18:47Z</dcterms:modified>
</cp:coreProperties>
</file>